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mc:AlternateContent xmlns:mc="http://schemas.openxmlformats.org/markup-compatibility/2006">
    <mc:Choice Requires="x15">
      <x15ac:absPath xmlns:x15ac="http://schemas.microsoft.com/office/spreadsheetml/2010/11/ac" url="C:\Users\jose luis parra sanc\Documents\MULTIVOZ\facturas y ofertas de clientes\ORANGE MULTIVOZ\INMOBILIARIA SERVIGESTION\"/>
    </mc:Choice>
  </mc:AlternateContent>
  <workbookProtection workbookAlgorithmName="SHA-512" workbookHashValue="5lunbcU6keP9sBY3JXjoioSNNQtFYPt+UiO+TwL/HMtKpLh0uUTvjCRWcddqBdrIc+OmXbDIPYg9HlPsijM9tg==" workbookSaltValue="OYge5s0+kAFpMnMQQNCn3g==" workbookSpinCount="100000" lockStructure="1"/>
  <bookViews>
    <workbookView showSheetTabs="0" xWindow="0" yWindow="0" windowWidth="20490" windowHeight="7755" tabRatio="724" activeTab="2"/>
  </bookViews>
  <sheets>
    <sheet name="Seleccion de oferta" sheetId="25" r:id="rId1"/>
    <sheet name="Entrada de datos" sheetId="1" r:id="rId2"/>
    <sheet name="Perfiles_usuario" sheetId="54" r:id="rId3"/>
    <sheet name="Calculadora CP Centralita" sheetId="74" r:id="rId4"/>
    <sheet name="Validacion" sheetId="75" state="hidden" r:id="rId5"/>
    <sheet name="Calculos_cuotas" sheetId="55" state="veryHidden" r:id="rId6"/>
    <sheet name="ITL_roam" sheetId="7" state="veryHidden" r:id="rId7"/>
    <sheet name="Oferta_OptimaRPV" sheetId="56" state="veryHidden" r:id="rId8"/>
    <sheet name="Oferta_Optima" sheetId="67" state="veryHidden" r:id="rId9"/>
    <sheet name="Oferta_Preaprobadas" sheetId="69" state="veryHidden" r:id="rId10"/>
    <sheet name="Oferta_OptimaRPV_sinCP" sheetId="66" state="veryHidden" r:id="rId11"/>
    <sheet name="Oferta_Optima_sinCP" sheetId="68" state="veryHidden" r:id="rId12"/>
    <sheet name="Oferta_Preaprobadas_sinCP" sheetId="70" state="veryHidden" r:id="rId13"/>
    <sheet name="Control_cambios" sheetId="73" state="veryHidden" r:id="rId14"/>
  </sheets>
  <externalReferences>
    <externalReference r:id="rId15"/>
    <externalReference r:id="rId16"/>
    <externalReference r:id="rId17"/>
    <externalReference r:id="rId18"/>
    <externalReference r:id="rId19"/>
    <externalReference r:id="rId20"/>
  </externalReferences>
  <definedNames>
    <definedName name="_4G">Perfiles_usuario!$CM$47</definedName>
    <definedName name="_SEN1" localSheetId="8">#REF!</definedName>
    <definedName name="_SEN1" localSheetId="11">#REF!</definedName>
    <definedName name="_SEN1" localSheetId="7">#REF!</definedName>
    <definedName name="_SEN1" localSheetId="10">#REF!</definedName>
    <definedName name="_SEN1" localSheetId="9">#REF!</definedName>
    <definedName name="_SEN1" localSheetId="12">#REF!</definedName>
    <definedName name="_SEN1">#REF!</definedName>
    <definedName name="_SEN10" localSheetId="8">#REF!</definedName>
    <definedName name="_SEN10" localSheetId="11">#REF!</definedName>
    <definedName name="_SEN10" localSheetId="7">#REF!</definedName>
    <definedName name="_SEN10" localSheetId="10">#REF!</definedName>
    <definedName name="_SEN10" localSheetId="9">#REF!</definedName>
    <definedName name="_SEN10" localSheetId="12">#REF!</definedName>
    <definedName name="_SEN10">#REF!</definedName>
    <definedName name="_SEN100" localSheetId="8">#REF!</definedName>
    <definedName name="_SEN100" localSheetId="11">#REF!</definedName>
    <definedName name="_SEN100" localSheetId="7">#REF!</definedName>
    <definedName name="_SEN100" localSheetId="10">#REF!</definedName>
    <definedName name="_SEN100" localSheetId="9">#REF!</definedName>
    <definedName name="_SEN100" localSheetId="12">#REF!</definedName>
    <definedName name="_SEN100">#REF!</definedName>
    <definedName name="_SEN101" localSheetId="8">#REF!</definedName>
    <definedName name="_SEN101" localSheetId="11">#REF!</definedName>
    <definedName name="_SEN101" localSheetId="7">#REF!</definedName>
    <definedName name="_SEN101" localSheetId="10">#REF!</definedName>
    <definedName name="_SEN101" localSheetId="9">#REF!</definedName>
    <definedName name="_SEN101" localSheetId="12">#REF!</definedName>
    <definedName name="_SEN101">#REF!</definedName>
    <definedName name="_SEN102" localSheetId="8">#REF!</definedName>
    <definedName name="_SEN102" localSheetId="11">#REF!</definedName>
    <definedName name="_SEN102" localSheetId="7">#REF!</definedName>
    <definedName name="_SEN102" localSheetId="10">#REF!</definedName>
    <definedName name="_SEN102" localSheetId="9">#REF!</definedName>
    <definedName name="_SEN102" localSheetId="12">#REF!</definedName>
    <definedName name="_SEN102">#REF!</definedName>
    <definedName name="_SEN103" localSheetId="8">#REF!</definedName>
    <definedName name="_SEN103" localSheetId="11">#REF!</definedName>
    <definedName name="_SEN103" localSheetId="7">#REF!</definedName>
    <definedName name="_SEN103" localSheetId="10">#REF!</definedName>
    <definedName name="_SEN103" localSheetId="9">#REF!</definedName>
    <definedName name="_SEN103" localSheetId="12">#REF!</definedName>
    <definedName name="_SEN103">#REF!</definedName>
    <definedName name="_SEN104" localSheetId="8">#REF!</definedName>
    <definedName name="_SEN104" localSheetId="11">#REF!</definedName>
    <definedName name="_SEN104" localSheetId="7">#REF!</definedName>
    <definedName name="_SEN104" localSheetId="10">#REF!</definedName>
    <definedName name="_SEN104" localSheetId="9">#REF!</definedName>
    <definedName name="_SEN104" localSheetId="12">#REF!</definedName>
    <definedName name="_SEN104">#REF!</definedName>
    <definedName name="_SEN105" localSheetId="8">#REF!</definedName>
    <definedName name="_SEN105" localSheetId="11">#REF!</definedName>
    <definedName name="_SEN105" localSheetId="7">#REF!</definedName>
    <definedName name="_SEN105" localSheetId="10">#REF!</definedName>
    <definedName name="_SEN105" localSheetId="9">#REF!</definedName>
    <definedName name="_SEN105" localSheetId="12">#REF!</definedName>
    <definedName name="_SEN105">#REF!</definedName>
    <definedName name="_SEN106" localSheetId="8">#REF!</definedName>
    <definedName name="_SEN106" localSheetId="11">#REF!</definedName>
    <definedName name="_SEN106" localSheetId="7">#REF!</definedName>
    <definedName name="_SEN106" localSheetId="10">#REF!</definedName>
    <definedName name="_SEN106" localSheetId="9">#REF!</definedName>
    <definedName name="_SEN106" localSheetId="12">#REF!</definedName>
    <definedName name="_SEN106">#REF!</definedName>
    <definedName name="_SEN107" localSheetId="8">#REF!</definedName>
    <definedName name="_SEN107" localSheetId="11">#REF!</definedName>
    <definedName name="_SEN107" localSheetId="7">#REF!</definedName>
    <definedName name="_SEN107" localSheetId="10">#REF!</definedName>
    <definedName name="_SEN107" localSheetId="9">#REF!</definedName>
    <definedName name="_SEN107" localSheetId="12">#REF!</definedName>
    <definedName name="_SEN107">#REF!</definedName>
    <definedName name="_SEN108" localSheetId="8">#REF!</definedName>
    <definedName name="_SEN108" localSheetId="11">#REF!</definedName>
    <definedName name="_SEN108" localSheetId="7">#REF!</definedName>
    <definedName name="_SEN108" localSheetId="10">#REF!</definedName>
    <definedName name="_SEN108" localSheetId="9">#REF!</definedName>
    <definedName name="_SEN108" localSheetId="12">#REF!</definedName>
    <definedName name="_SEN108">#REF!</definedName>
    <definedName name="_SEN109" localSheetId="8">#REF!</definedName>
    <definedName name="_SEN109" localSheetId="11">#REF!</definedName>
    <definedName name="_SEN109" localSheetId="7">#REF!</definedName>
    <definedName name="_SEN109" localSheetId="10">#REF!</definedName>
    <definedName name="_SEN109" localSheetId="9">#REF!</definedName>
    <definedName name="_SEN109" localSheetId="12">#REF!</definedName>
    <definedName name="_SEN109">#REF!</definedName>
    <definedName name="_SEN11" localSheetId="8">#REF!</definedName>
    <definedName name="_SEN11" localSheetId="11">#REF!</definedName>
    <definedName name="_SEN11" localSheetId="7">#REF!</definedName>
    <definedName name="_SEN11" localSheetId="10">#REF!</definedName>
    <definedName name="_SEN11" localSheetId="9">#REF!</definedName>
    <definedName name="_SEN11" localSheetId="12">#REF!</definedName>
    <definedName name="_SEN11">#REF!</definedName>
    <definedName name="_SEN110" localSheetId="8">#REF!</definedName>
    <definedName name="_SEN110" localSheetId="11">#REF!</definedName>
    <definedName name="_SEN110" localSheetId="7">#REF!</definedName>
    <definedName name="_SEN110" localSheetId="10">#REF!</definedName>
    <definedName name="_SEN110" localSheetId="9">#REF!</definedName>
    <definedName name="_SEN110" localSheetId="12">#REF!</definedName>
    <definedName name="_SEN110">#REF!</definedName>
    <definedName name="_SEN111" localSheetId="8">#REF!</definedName>
    <definedName name="_SEN111" localSheetId="11">#REF!</definedName>
    <definedName name="_SEN111" localSheetId="7">#REF!</definedName>
    <definedName name="_SEN111" localSheetId="10">#REF!</definedName>
    <definedName name="_SEN111" localSheetId="9">#REF!</definedName>
    <definedName name="_SEN111" localSheetId="12">#REF!</definedName>
    <definedName name="_SEN111">#REF!</definedName>
    <definedName name="_SEN112" localSheetId="8">#REF!</definedName>
    <definedName name="_SEN112" localSheetId="11">#REF!</definedName>
    <definedName name="_SEN112" localSheetId="7">#REF!</definedName>
    <definedName name="_SEN112" localSheetId="10">#REF!</definedName>
    <definedName name="_SEN112" localSheetId="9">#REF!</definedName>
    <definedName name="_SEN112" localSheetId="12">#REF!</definedName>
    <definedName name="_SEN112">#REF!</definedName>
    <definedName name="_SEN113" localSheetId="8">#REF!</definedName>
    <definedName name="_SEN113" localSheetId="11">#REF!</definedName>
    <definedName name="_SEN113" localSheetId="7">#REF!</definedName>
    <definedName name="_SEN113" localSheetId="10">#REF!</definedName>
    <definedName name="_SEN113" localSheetId="9">#REF!</definedName>
    <definedName name="_SEN113" localSheetId="12">#REF!</definedName>
    <definedName name="_SEN113">#REF!</definedName>
    <definedName name="_SEN114" localSheetId="8">#REF!</definedName>
    <definedName name="_SEN114" localSheetId="11">#REF!</definedName>
    <definedName name="_SEN114" localSheetId="7">#REF!</definedName>
    <definedName name="_SEN114" localSheetId="10">#REF!</definedName>
    <definedName name="_SEN114" localSheetId="9">#REF!</definedName>
    <definedName name="_SEN114" localSheetId="12">#REF!</definedName>
    <definedName name="_SEN114">#REF!</definedName>
    <definedName name="_SEN115" localSheetId="8">#REF!</definedName>
    <definedName name="_SEN115" localSheetId="11">#REF!</definedName>
    <definedName name="_SEN115" localSheetId="7">#REF!</definedName>
    <definedName name="_SEN115" localSheetId="10">#REF!</definedName>
    <definedName name="_SEN115" localSheetId="9">#REF!</definedName>
    <definedName name="_SEN115" localSheetId="12">#REF!</definedName>
    <definedName name="_SEN115">#REF!</definedName>
    <definedName name="_SEN116" localSheetId="8">#REF!</definedName>
    <definedName name="_SEN116" localSheetId="11">#REF!</definedName>
    <definedName name="_SEN116" localSheetId="7">#REF!</definedName>
    <definedName name="_SEN116" localSheetId="10">#REF!</definedName>
    <definedName name="_SEN116" localSheetId="9">#REF!</definedName>
    <definedName name="_SEN116" localSheetId="12">#REF!</definedName>
    <definedName name="_SEN116">#REF!</definedName>
    <definedName name="_SEN117" localSheetId="8">#REF!</definedName>
    <definedName name="_SEN117" localSheetId="11">#REF!</definedName>
    <definedName name="_SEN117" localSheetId="7">#REF!</definedName>
    <definedName name="_SEN117" localSheetId="10">#REF!</definedName>
    <definedName name="_SEN117" localSheetId="9">#REF!</definedName>
    <definedName name="_SEN117" localSheetId="12">#REF!</definedName>
    <definedName name="_SEN117">#REF!</definedName>
    <definedName name="_SEN118" localSheetId="8">#REF!</definedName>
    <definedName name="_SEN118" localSheetId="11">#REF!</definedName>
    <definedName name="_SEN118" localSheetId="7">#REF!</definedName>
    <definedName name="_SEN118" localSheetId="10">#REF!</definedName>
    <definedName name="_SEN118" localSheetId="9">#REF!</definedName>
    <definedName name="_SEN118" localSheetId="12">#REF!</definedName>
    <definedName name="_SEN118">#REF!</definedName>
    <definedName name="_SEN119" localSheetId="8">#REF!</definedName>
    <definedName name="_SEN119" localSheetId="11">#REF!</definedName>
    <definedName name="_SEN119" localSheetId="7">#REF!</definedName>
    <definedName name="_SEN119" localSheetId="10">#REF!</definedName>
    <definedName name="_SEN119" localSheetId="9">#REF!</definedName>
    <definedName name="_SEN119" localSheetId="12">#REF!</definedName>
    <definedName name="_SEN119">#REF!</definedName>
    <definedName name="_SEN12" localSheetId="8">#REF!</definedName>
    <definedName name="_SEN12" localSheetId="11">#REF!</definedName>
    <definedName name="_SEN12" localSheetId="7">#REF!</definedName>
    <definedName name="_SEN12" localSheetId="10">#REF!</definedName>
    <definedName name="_SEN12" localSheetId="9">#REF!</definedName>
    <definedName name="_SEN12" localSheetId="12">#REF!</definedName>
    <definedName name="_SEN12">#REF!</definedName>
    <definedName name="_SEN120" localSheetId="8">#REF!</definedName>
    <definedName name="_SEN120" localSheetId="11">#REF!</definedName>
    <definedName name="_SEN120" localSheetId="7">#REF!</definedName>
    <definedName name="_SEN120" localSheetId="10">#REF!</definedName>
    <definedName name="_SEN120" localSheetId="9">#REF!</definedName>
    <definedName name="_SEN120" localSheetId="12">#REF!</definedName>
    <definedName name="_SEN120">#REF!</definedName>
    <definedName name="_SEN121" localSheetId="8">#REF!</definedName>
    <definedName name="_SEN121" localSheetId="11">#REF!</definedName>
    <definedName name="_SEN121" localSheetId="7">#REF!</definedName>
    <definedName name="_SEN121" localSheetId="10">#REF!</definedName>
    <definedName name="_SEN121" localSheetId="9">#REF!</definedName>
    <definedName name="_SEN121" localSheetId="12">#REF!</definedName>
    <definedName name="_SEN121">#REF!</definedName>
    <definedName name="_SEN13" localSheetId="8">#REF!</definedName>
    <definedName name="_SEN13" localSheetId="11">#REF!</definedName>
    <definedName name="_SEN13" localSheetId="7">#REF!</definedName>
    <definedName name="_SEN13" localSheetId="10">#REF!</definedName>
    <definedName name="_SEN13" localSheetId="9">#REF!</definedName>
    <definedName name="_SEN13" localSheetId="12">#REF!</definedName>
    <definedName name="_SEN13">#REF!</definedName>
    <definedName name="_SEN14" localSheetId="8">#REF!</definedName>
    <definedName name="_SEN14" localSheetId="11">#REF!</definedName>
    <definedName name="_SEN14" localSheetId="7">#REF!</definedName>
    <definedName name="_SEN14" localSheetId="10">#REF!</definedName>
    <definedName name="_SEN14" localSheetId="9">#REF!</definedName>
    <definedName name="_SEN14" localSheetId="12">#REF!</definedName>
    <definedName name="_SEN14">#REF!</definedName>
    <definedName name="_SEN15" localSheetId="8">#REF!</definedName>
    <definedName name="_SEN15" localSheetId="11">#REF!</definedName>
    <definedName name="_SEN15" localSheetId="7">#REF!</definedName>
    <definedName name="_SEN15" localSheetId="10">#REF!</definedName>
    <definedName name="_SEN15" localSheetId="9">#REF!</definedName>
    <definedName name="_SEN15" localSheetId="12">#REF!</definedName>
    <definedName name="_SEN15">#REF!</definedName>
    <definedName name="_SEN16" localSheetId="8">#REF!</definedName>
    <definedName name="_SEN16" localSheetId="11">#REF!</definedName>
    <definedName name="_SEN16" localSheetId="7">#REF!</definedName>
    <definedName name="_SEN16" localSheetId="10">#REF!</definedName>
    <definedName name="_SEN16" localSheetId="9">#REF!</definedName>
    <definedName name="_SEN16" localSheetId="12">#REF!</definedName>
    <definedName name="_SEN16">#REF!</definedName>
    <definedName name="_SEN17" localSheetId="8">#REF!</definedName>
    <definedName name="_SEN17" localSheetId="11">#REF!</definedName>
    <definedName name="_SEN17" localSheetId="7">#REF!</definedName>
    <definedName name="_SEN17" localSheetId="10">#REF!</definedName>
    <definedName name="_SEN17" localSheetId="9">#REF!</definedName>
    <definedName name="_SEN17" localSheetId="12">#REF!</definedName>
    <definedName name="_SEN17">#REF!</definedName>
    <definedName name="_SEN18" localSheetId="8">#REF!</definedName>
    <definedName name="_SEN18" localSheetId="11">#REF!</definedName>
    <definedName name="_SEN18" localSheetId="7">#REF!</definedName>
    <definedName name="_SEN18" localSheetId="10">#REF!</definedName>
    <definedName name="_SEN18" localSheetId="9">#REF!</definedName>
    <definedName name="_SEN18" localSheetId="12">#REF!</definedName>
    <definedName name="_SEN18">#REF!</definedName>
    <definedName name="_SEN19" localSheetId="8">#REF!</definedName>
    <definedName name="_SEN19" localSheetId="11">#REF!</definedName>
    <definedName name="_SEN19" localSheetId="7">#REF!</definedName>
    <definedName name="_SEN19" localSheetId="10">#REF!</definedName>
    <definedName name="_SEN19" localSheetId="9">#REF!</definedName>
    <definedName name="_SEN19" localSheetId="12">#REF!</definedName>
    <definedName name="_SEN19">#REF!</definedName>
    <definedName name="_SEN2" localSheetId="8">#REF!</definedName>
    <definedName name="_SEN2" localSheetId="11">#REF!</definedName>
    <definedName name="_SEN2" localSheetId="7">#REF!</definedName>
    <definedName name="_SEN2" localSheetId="10">#REF!</definedName>
    <definedName name="_SEN2" localSheetId="9">#REF!</definedName>
    <definedName name="_SEN2" localSheetId="12">#REF!</definedName>
    <definedName name="_SEN2">#REF!</definedName>
    <definedName name="_SEN20" localSheetId="8">#REF!</definedName>
    <definedName name="_SEN20" localSheetId="11">#REF!</definedName>
    <definedName name="_SEN20" localSheetId="7">#REF!</definedName>
    <definedName name="_SEN20" localSheetId="10">#REF!</definedName>
    <definedName name="_SEN20" localSheetId="9">#REF!</definedName>
    <definedName name="_SEN20" localSheetId="12">#REF!</definedName>
    <definedName name="_SEN20">#REF!</definedName>
    <definedName name="_SEN21" localSheetId="8">#REF!</definedName>
    <definedName name="_SEN21" localSheetId="11">#REF!</definedName>
    <definedName name="_SEN21" localSheetId="7">#REF!</definedName>
    <definedName name="_SEN21" localSheetId="10">#REF!</definedName>
    <definedName name="_SEN21" localSheetId="9">#REF!</definedName>
    <definedName name="_SEN21" localSheetId="12">#REF!</definedName>
    <definedName name="_SEN21">#REF!</definedName>
    <definedName name="_SEN22" localSheetId="8">#REF!</definedName>
    <definedName name="_SEN22" localSheetId="11">#REF!</definedName>
    <definedName name="_SEN22" localSheetId="7">#REF!</definedName>
    <definedName name="_SEN22" localSheetId="10">#REF!</definedName>
    <definedName name="_SEN22" localSheetId="9">#REF!</definedName>
    <definedName name="_SEN22" localSheetId="12">#REF!</definedName>
    <definedName name="_SEN22">#REF!</definedName>
    <definedName name="_SEN23" localSheetId="8">#REF!</definedName>
    <definedName name="_SEN23" localSheetId="11">#REF!</definedName>
    <definedName name="_SEN23" localSheetId="7">#REF!</definedName>
    <definedName name="_SEN23" localSheetId="10">#REF!</definedName>
    <definedName name="_SEN23" localSheetId="9">#REF!</definedName>
    <definedName name="_SEN23" localSheetId="12">#REF!</definedName>
    <definedName name="_SEN23">#REF!</definedName>
    <definedName name="_SEN24" localSheetId="8">#REF!</definedName>
    <definedName name="_SEN24" localSheetId="11">#REF!</definedName>
    <definedName name="_SEN24" localSheetId="7">#REF!</definedName>
    <definedName name="_SEN24" localSheetId="10">#REF!</definedName>
    <definedName name="_SEN24" localSheetId="9">#REF!</definedName>
    <definedName name="_SEN24" localSheetId="12">#REF!</definedName>
    <definedName name="_SEN24">#REF!</definedName>
    <definedName name="_SEN25" localSheetId="8">#REF!</definedName>
    <definedName name="_SEN25" localSheetId="11">#REF!</definedName>
    <definedName name="_SEN25" localSheetId="7">#REF!</definedName>
    <definedName name="_SEN25" localSheetId="10">#REF!</definedName>
    <definedName name="_SEN25" localSheetId="9">#REF!</definedName>
    <definedName name="_SEN25" localSheetId="12">#REF!</definedName>
    <definedName name="_SEN25">#REF!</definedName>
    <definedName name="_SEN26" localSheetId="8">#REF!</definedName>
    <definedName name="_SEN26" localSheetId="11">#REF!</definedName>
    <definedName name="_SEN26" localSheetId="7">#REF!</definedName>
    <definedName name="_SEN26" localSheetId="10">#REF!</definedName>
    <definedName name="_SEN26" localSheetId="9">#REF!</definedName>
    <definedName name="_SEN26" localSheetId="12">#REF!</definedName>
    <definedName name="_SEN26">#REF!</definedName>
    <definedName name="_SEN27" localSheetId="8">#REF!</definedName>
    <definedName name="_SEN27" localSheetId="11">#REF!</definedName>
    <definedName name="_SEN27" localSheetId="7">#REF!</definedName>
    <definedName name="_SEN27" localSheetId="10">#REF!</definedName>
    <definedName name="_SEN27" localSheetId="9">#REF!</definedName>
    <definedName name="_SEN27" localSheetId="12">#REF!</definedName>
    <definedName name="_SEN27">#REF!</definedName>
    <definedName name="_SEN28" localSheetId="8">#REF!</definedName>
    <definedName name="_SEN28" localSheetId="11">#REF!</definedName>
    <definedName name="_SEN28" localSheetId="7">#REF!</definedName>
    <definedName name="_SEN28" localSheetId="10">#REF!</definedName>
    <definedName name="_SEN28" localSheetId="9">#REF!</definedName>
    <definedName name="_SEN28" localSheetId="12">#REF!</definedName>
    <definedName name="_SEN28">#REF!</definedName>
    <definedName name="_SEN29" localSheetId="8">#REF!</definedName>
    <definedName name="_SEN29" localSheetId="11">#REF!</definedName>
    <definedName name="_SEN29" localSheetId="7">#REF!</definedName>
    <definedName name="_SEN29" localSheetId="10">#REF!</definedName>
    <definedName name="_SEN29" localSheetId="9">#REF!</definedName>
    <definedName name="_SEN29" localSheetId="12">#REF!</definedName>
    <definedName name="_SEN29">#REF!</definedName>
    <definedName name="_SEN3" localSheetId="8">#REF!</definedName>
    <definedName name="_SEN3" localSheetId="11">#REF!</definedName>
    <definedName name="_SEN3" localSheetId="7">#REF!</definedName>
    <definedName name="_SEN3" localSheetId="10">#REF!</definedName>
    <definedName name="_SEN3" localSheetId="9">#REF!</definedName>
    <definedName name="_SEN3" localSheetId="12">#REF!</definedName>
    <definedName name="_SEN3">#REF!</definedName>
    <definedName name="_SEN30" localSheetId="8">#REF!</definedName>
    <definedName name="_SEN30" localSheetId="11">#REF!</definedName>
    <definedName name="_SEN30" localSheetId="7">#REF!</definedName>
    <definedName name="_SEN30" localSheetId="10">#REF!</definedName>
    <definedName name="_SEN30" localSheetId="9">#REF!</definedName>
    <definedName name="_SEN30" localSheetId="12">#REF!</definedName>
    <definedName name="_SEN30">#REF!</definedName>
    <definedName name="_SEN31" localSheetId="8">#REF!</definedName>
    <definedName name="_SEN31" localSheetId="11">#REF!</definedName>
    <definedName name="_SEN31" localSheetId="7">#REF!</definedName>
    <definedName name="_SEN31" localSheetId="10">#REF!</definedName>
    <definedName name="_SEN31" localSheetId="9">#REF!</definedName>
    <definedName name="_SEN31" localSheetId="12">#REF!</definedName>
    <definedName name="_SEN31">#REF!</definedName>
    <definedName name="_SEN32" localSheetId="8">#REF!</definedName>
    <definedName name="_SEN32" localSheetId="11">#REF!</definedName>
    <definedName name="_SEN32" localSheetId="7">#REF!</definedName>
    <definedName name="_SEN32" localSheetId="10">#REF!</definedName>
    <definedName name="_SEN32" localSheetId="9">#REF!</definedName>
    <definedName name="_SEN32" localSheetId="12">#REF!</definedName>
    <definedName name="_SEN32">#REF!</definedName>
    <definedName name="_SEN33" localSheetId="8">#REF!</definedName>
    <definedName name="_SEN33" localSheetId="11">#REF!</definedName>
    <definedName name="_SEN33" localSheetId="7">#REF!</definedName>
    <definedName name="_SEN33" localSheetId="10">#REF!</definedName>
    <definedName name="_SEN33" localSheetId="9">#REF!</definedName>
    <definedName name="_SEN33" localSheetId="12">#REF!</definedName>
    <definedName name="_SEN33">#REF!</definedName>
    <definedName name="_SEN34" localSheetId="8">#REF!</definedName>
    <definedName name="_SEN34" localSheetId="11">#REF!</definedName>
    <definedName name="_SEN34" localSheetId="7">#REF!</definedName>
    <definedName name="_SEN34" localSheetId="10">#REF!</definedName>
    <definedName name="_SEN34" localSheetId="9">#REF!</definedName>
    <definedName name="_SEN34" localSheetId="12">#REF!</definedName>
    <definedName name="_SEN34">#REF!</definedName>
    <definedName name="_SEN35" localSheetId="8">#REF!</definedName>
    <definedName name="_SEN35" localSheetId="11">#REF!</definedName>
    <definedName name="_SEN35" localSheetId="7">#REF!</definedName>
    <definedName name="_SEN35" localSheetId="10">#REF!</definedName>
    <definedName name="_SEN35" localSheetId="9">#REF!</definedName>
    <definedName name="_SEN35" localSheetId="12">#REF!</definedName>
    <definedName name="_SEN35">#REF!</definedName>
    <definedName name="_SEN36" localSheetId="8">#REF!</definedName>
    <definedName name="_SEN36" localSheetId="11">#REF!</definedName>
    <definedName name="_SEN36" localSheetId="7">#REF!</definedName>
    <definedName name="_SEN36" localSheetId="10">#REF!</definedName>
    <definedName name="_SEN36" localSheetId="9">#REF!</definedName>
    <definedName name="_SEN36" localSheetId="12">#REF!</definedName>
    <definedName name="_SEN36">#REF!</definedName>
    <definedName name="_SEN37" localSheetId="8">#REF!</definedName>
    <definedName name="_SEN37" localSheetId="11">#REF!</definedName>
    <definedName name="_SEN37" localSheetId="7">#REF!</definedName>
    <definedName name="_SEN37" localSheetId="10">#REF!</definedName>
    <definedName name="_SEN37" localSheetId="9">#REF!</definedName>
    <definedName name="_SEN37" localSheetId="12">#REF!</definedName>
    <definedName name="_SEN37">#REF!</definedName>
    <definedName name="_SEN38" localSheetId="8">#REF!</definedName>
    <definedName name="_SEN38" localSheetId="11">#REF!</definedName>
    <definedName name="_SEN38" localSheetId="7">#REF!</definedName>
    <definedName name="_SEN38" localSheetId="10">#REF!</definedName>
    <definedName name="_SEN38" localSheetId="9">#REF!</definedName>
    <definedName name="_SEN38" localSheetId="12">#REF!</definedName>
    <definedName name="_SEN38">#REF!</definedName>
    <definedName name="_SEN39" localSheetId="8">#REF!</definedName>
    <definedName name="_SEN39" localSheetId="11">#REF!</definedName>
    <definedName name="_SEN39" localSheetId="7">#REF!</definedName>
    <definedName name="_SEN39" localSheetId="10">#REF!</definedName>
    <definedName name="_SEN39" localSheetId="9">#REF!</definedName>
    <definedName name="_SEN39" localSheetId="12">#REF!</definedName>
    <definedName name="_SEN39">#REF!</definedName>
    <definedName name="_SEN4" localSheetId="8">#REF!</definedName>
    <definedName name="_SEN4" localSheetId="11">#REF!</definedName>
    <definedName name="_SEN4" localSheetId="7">#REF!</definedName>
    <definedName name="_SEN4" localSheetId="10">#REF!</definedName>
    <definedName name="_SEN4" localSheetId="9">#REF!</definedName>
    <definedName name="_SEN4" localSheetId="12">#REF!</definedName>
    <definedName name="_SEN4">#REF!</definedName>
    <definedName name="_SEN40" localSheetId="8">#REF!</definedName>
    <definedName name="_SEN40" localSheetId="11">#REF!</definedName>
    <definedName name="_SEN40" localSheetId="7">#REF!</definedName>
    <definedName name="_SEN40" localSheetId="10">#REF!</definedName>
    <definedName name="_SEN40" localSheetId="9">#REF!</definedName>
    <definedName name="_SEN40" localSheetId="12">#REF!</definedName>
    <definedName name="_SEN40">#REF!</definedName>
    <definedName name="_SEN41" localSheetId="8">#REF!</definedName>
    <definedName name="_SEN41" localSheetId="11">#REF!</definedName>
    <definedName name="_SEN41" localSheetId="7">#REF!</definedName>
    <definedName name="_SEN41" localSheetId="10">#REF!</definedName>
    <definedName name="_SEN41" localSheetId="9">#REF!</definedName>
    <definedName name="_SEN41" localSheetId="12">#REF!</definedName>
    <definedName name="_SEN41">#REF!</definedName>
    <definedName name="_SEN42" localSheetId="8">#REF!</definedName>
    <definedName name="_SEN42" localSheetId="11">#REF!</definedName>
    <definedName name="_SEN42" localSheetId="7">#REF!</definedName>
    <definedName name="_SEN42" localSheetId="10">#REF!</definedName>
    <definedName name="_SEN42" localSheetId="9">#REF!</definedName>
    <definedName name="_SEN42" localSheetId="12">#REF!</definedName>
    <definedName name="_SEN42">#REF!</definedName>
    <definedName name="_SEN43" localSheetId="8">#REF!</definedName>
    <definedName name="_SEN43" localSheetId="11">#REF!</definedName>
    <definedName name="_SEN43" localSheetId="7">#REF!</definedName>
    <definedName name="_SEN43" localSheetId="10">#REF!</definedName>
    <definedName name="_SEN43" localSheetId="9">#REF!</definedName>
    <definedName name="_SEN43" localSheetId="12">#REF!</definedName>
    <definedName name="_SEN43">#REF!</definedName>
    <definedName name="_SEN44" localSheetId="8">#REF!</definedName>
    <definedName name="_SEN44" localSheetId="11">#REF!</definedName>
    <definedName name="_SEN44" localSheetId="7">#REF!</definedName>
    <definedName name="_SEN44" localSheetId="10">#REF!</definedName>
    <definedName name="_SEN44" localSheetId="9">#REF!</definedName>
    <definedName name="_SEN44" localSheetId="12">#REF!</definedName>
    <definedName name="_SEN44">#REF!</definedName>
    <definedName name="_SEN45" localSheetId="8">#REF!</definedName>
    <definedName name="_SEN45" localSheetId="11">#REF!</definedName>
    <definedName name="_SEN45" localSheetId="7">#REF!</definedName>
    <definedName name="_SEN45" localSheetId="10">#REF!</definedName>
    <definedName name="_SEN45" localSheetId="9">#REF!</definedName>
    <definedName name="_SEN45" localSheetId="12">#REF!</definedName>
    <definedName name="_SEN45">#REF!</definedName>
    <definedName name="_SEN46" localSheetId="8">#REF!</definedName>
    <definedName name="_SEN46" localSheetId="11">#REF!</definedName>
    <definedName name="_SEN46" localSheetId="7">#REF!</definedName>
    <definedName name="_SEN46" localSheetId="10">#REF!</definedName>
    <definedName name="_SEN46" localSheetId="9">#REF!</definedName>
    <definedName name="_SEN46" localSheetId="12">#REF!</definedName>
    <definedName name="_SEN46">#REF!</definedName>
    <definedName name="_SEN47" localSheetId="8">#REF!</definedName>
    <definedName name="_SEN47" localSheetId="11">#REF!</definedName>
    <definedName name="_SEN47" localSheetId="7">#REF!</definedName>
    <definedName name="_SEN47" localSheetId="10">#REF!</definedName>
    <definedName name="_SEN47" localSheetId="9">#REF!</definedName>
    <definedName name="_SEN47" localSheetId="12">#REF!</definedName>
    <definedName name="_SEN47">#REF!</definedName>
    <definedName name="_SEN48" localSheetId="8">#REF!</definedName>
    <definedName name="_SEN48" localSheetId="11">#REF!</definedName>
    <definedName name="_SEN48" localSheetId="7">#REF!</definedName>
    <definedName name="_SEN48" localSheetId="10">#REF!</definedName>
    <definedName name="_SEN48" localSheetId="9">#REF!</definedName>
    <definedName name="_SEN48" localSheetId="12">#REF!</definedName>
    <definedName name="_SEN48">#REF!</definedName>
    <definedName name="_SEN49" localSheetId="8">#REF!</definedName>
    <definedName name="_SEN49" localSheetId="11">#REF!</definedName>
    <definedName name="_SEN49" localSheetId="7">#REF!</definedName>
    <definedName name="_SEN49" localSheetId="10">#REF!</definedName>
    <definedName name="_SEN49" localSheetId="9">#REF!</definedName>
    <definedName name="_SEN49" localSheetId="12">#REF!</definedName>
    <definedName name="_SEN49">#REF!</definedName>
    <definedName name="_SEN5" localSheetId="8">#REF!</definedName>
    <definedName name="_SEN5" localSheetId="11">#REF!</definedName>
    <definedName name="_SEN5" localSheetId="7">#REF!</definedName>
    <definedName name="_SEN5" localSheetId="10">#REF!</definedName>
    <definedName name="_SEN5" localSheetId="9">#REF!</definedName>
    <definedName name="_SEN5" localSheetId="12">#REF!</definedName>
    <definedName name="_SEN5">#REF!</definedName>
    <definedName name="_SEN50" localSheetId="8">#REF!</definedName>
    <definedName name="_SEN50" localSheetId="11">#REF!</definedName>
    <definedName name="_SEN50" localSheetId="7">#REF!</definedName>
    <definedName name="_SEN50" localSheetId="10">#REF!</definedName>
    <definedName name="_SEN50" localSheetId="9">#REF!</definedName>
    <definedName name="_SEN50" localSheetId="12">#REF!</definedName>
    <definedName name="_SEN50">#REF!</definedName>
    <definedName name="_SEN51" localSheetId="8">#REF!</definedName>
    <definedName name="_SEN51" localSheetId="11">#REF!</definedName>
    <definedName name="_SEN51" localSheetId="7">#REF!</definedName>
    <definedName name="_SEN51" localSheetId="10">#REF!</definedName>
    <definedName name="_SEN51" localSheetId="9">#REF!</definedName>
    <definedName name="_SEN51" localSheetId="12">#REF!</definedName>
    <definedName name="_SEN51">#REF!</definedName>
    <definedName name="_SEN52" localSheetId="8">#REF!</definedName>
    <definedName name="_SEN52" localSheetId="11">#REF!</definedName>
    <definedName name="_SEN52" localSheetId="7">#REF!</definedName>
    <definedName name="_SEN52" localSheetId="10">#REF!</definedName>
    <definedName name="_SEN52" localSheetId="9">#REF!</definedName>
    <definedName name="_SEN52" localSheetId="12">#REF!</definedName>
    <definedName name="_SEN52">#REF!</definedName>
    <definedName name="_SEN53" localSheetId="8">#REF!</definedName>
    <definedName name="_SEN53" localSheetId="11">#REF!</definedName>
    <definedName name="_SEN53" localSheetId="7">#REF!</definedName>
    <definedName name="_SEN53" localSheetId="10">#REF!</definedName>
    <definedName name="_SEN53" localSheetId="9">#REF!</definedName>
    <definedName name="_SEN53" localSheetId="12">#REF!</definedName>
    <definedName name="_SEN53">#REF!</definedName>
    <definedName name="_SEN54" localSheetId="8">#REF!</definedName>
    <definedName name="_SEN54" localSheetId="11">#REF!</definedName>
    <definedName name="_SEN54" localSheetId="7">#REF!</definedName>
    <definedName name="_SEN54" localSheetId="10">#REF!</definedName>
    <definedName name="_SEN54" localSheetId="9">#REF!</definedName>
    <definedName name="_SEN54" localSheetId="12">#REF!</definedName>
    <definedName name="_SEN54">#REF!</definedName>
    <definedName name="_SEN55" localSheetId="8">#REF!</definedName>
    <definedName name="_SEN55" localSheetId="11">#REF!</definedName>
    <definedName name="_SEN55" localSheetId="7">#REF!</definedName>
    <definedName name="_SEN55" localSheetId="10">#REF!</definedName>
    <definedName name="_SEN55" localSheetId="9">#REF!</definedName>
    <definedName name="_SEN55" localSheetId="12">#REF!</definedName>
    <definedName name="_SEN55">#REF!</definedName>
    <definedName name="_SEN56" localSheetId="8">#REF!</definedName>
    <definedName name="_SEN56" localSheetId="11">#REF!</definedName>
    <definedName name="_SEN56" localSheetId="7">#REF!</definedName>
    <definedName name="_SEN56" localSheetId="10">#REF!</definedName>
    <definedName name="_SEN56" localSheetId="9">#REF!</definedName>
    <definedName name="_SEN56" localSheetId="12">#REF!</definedName>
    <definedName name="_SEN56">#REF!</definedName>
    <definedName name="_SEN57" localSheetId="8">#REF!</definedName>
    <definedName name="_SEN57" localSheetId="11">#REF!</definedName>
    <definedName name="_SEN57" localSheetId="7">#REF!</definedName>
    <definedName name="_SEN57" localSheetId="10">#REF!</definedName>
    <definedName name="_SEN57" localSheetId="9">#REF!</definedName>
    <definedName name="_SEN57" localSheetId="12">#REF!</definedName>
    <definedName name="_SEN57">#REF!</definedName>
    <definedName name="_SEN58" localSheetId="8">#REF!</definedName>
    <definedName name="_SEN58" localSheetId="11">#REF!</definedName>
    <definedName name="_SEN58" localSheetId="7">#REF!</definedName>
    <definedName name="_SEN58" localSheetId="10">#REF!</definedName>
    <definedName name="_SEN58" localSheetId="9">#REF!</definedName>
    <definedName name="_SEN58" localSheetId="12">#REF!</definedName>
    <definedName name="_SEN58">#REF!</definedName>
    <definedName name="_SEN59" localSheetId="8">#REF!</definedName>
    <definedName name="_SEN59" localSheetId="11">#REF!</definedName>
    <definedName name="_SEN59" localSheetId="7">#REF!</definedName>
    <definedName name="_SEN59" localSheetId="10">#REF!</definedName>
    <definedName name="_SEN59" localSheetId="9">#REF!</definedName>
    <definedName name="_SEN59" localSheetId="12">#REF!</definedName>
    <definedName name="_SEN59">#REF!</definedName>
    <definedName name="_SEN6" localSheetId="8">#REF!</definedName>
    <definedName name="_SEN6" localSheetId="11">#REF!</definedName>
    <definedName name="_SEN6" localSheetId="7">#REF!</definedName>
    <definedName name="_SEN6" localSheetId="10">#REF!</definedName>
    <definedName name="_SEN6" localSheetId="9">#REF!</definedName>
    <definedName name="_SEN6" localSheetId="12">#REF!</definedName>
    <definedName name="_SEN6">#REF!</definedName>
    <definedName name="_SEN60" localSheetId="8">#REF!</definedName>
    <definedName name="_SEN60" localSheetId="11">#REF!</definedName>
    <definedName name="_SEN60" localSheetId="7">#REF!</definedName>
    <definedName name="_SEN60" localSheetId="10">#REF!</definedName>
    <definedName name="_SEN60" localSheetId="9">#REF!</definedName>
    <definedName name="_SEN60" localSheetId="12">#REF!</definedName>
    <definedName name="_SEN60">#REF!</definedName>
    <definedName name="_SEN61" localSheetId="8">#REF!</definedName>
    <definedName name="_SEN61" localSheetId="11">#REF!</definedName>
    <definedName name="_SEN61" localSheetId="7">#REF!</definedName>
    <definedName name="_SEN61" localSheetId="10">#REF!</definedName>
    <definedName name="_SEN61" localSheetId="9">#REF!</definedName>
    <definedName name="_SEN61" localSheetId="12">#REF!</definedName>
    <definedName name="_SEN61">#REF!</definedName>
    <definedName name="_SEN62" localSheetId="8">#REF!</definedName>
    <definedName name="_SEN62" localSheetId="11">#REF!</definedName>
    <definedName name="_SEN62" localSheetId="7">#REF!</definedName>
    <definedName name="_SEN62" localSheetId="10">#REF!</definedName>
    <definedName name="_SEN62" localSheetId="9">#REF!</definedName>
    <definedName name="_SEN62" localSheetId="12">#REF!</definedName>
    <definedName name="_SEN62">#REF!</definedName>
    <definedName name="_SEN63" localSheetId="8">#REF!</definedName>
    <definedName name="_SEN63" localSheetId="11">#REF!</definedName>
    <definedName name="_SEN63" localSheetId="7">#REF!</definedName>
    <definedName name="_SEN63" localSheetId="10">#REF!</definedName>
    <definedName name="_SEN63" localSheetId="9">#REF!</definedName>
    <definedName name="_SEN63" localSheetId="12">#REF!</definedName>
    <definedName name="_SEN63">#REF!</definedName>
    <definedName name="_SEN64" localSheetId="8">#REF!</definedName>
    <definedName name="_SEN64" localSheetId="11">#REF!</definedName>
    <definedName name="_SEN64" localSheetId="7">#REF!</definedName>
    <definedName name="_SEN64" localSheetId="10">#REF!</definedName>
    <definedName name="_SEN64" localSheetId="9">#REF!</definedName>
    <definedName name="_SEN64" localSheetId="12">#REF!</definedName>
    <definedName name="_SEN64">#REF!</definedName>
    <definedName name="_SEN65" localSheetId="8">#REF!</definedName>
    <definedName name="_SEN65" localSheetId="11">#REF!</definedName>
    <definedName name="_SEN65" localSheetId="7">#REF!</definedName>
    <definedName name="_SEN65" localSheetId="10">#REF!</definedName>
    <definedName name="_SEN65" localSheetId="9">#REF!</definedName>
    <definedName name="_SEN65" localSheetId="12">#REF!</definedName>
    <definedName name="_SEN65">#REF!</definedName>
    <definedName name="_SEN66" localSheetId="8">#REF!</definedName>
    <definedName name="_SEN66" localSheetId="11">#REF!</definedName>
    <definedName name="_SEN66" localSheetId="7">#REF!</definedName>
    <definedName name="_SEN66" localSheetId="10">#REF!</definedName>
    <definedName name="_SEN66" localSheetId="9">#REF!</definedName>
    <definedName name="_SEN66" localSheetId="12">#REF!</definedName>
    <definedName name="_SEN66">#REF!</definedName>
    <definedName name="_SEN67" localSheetId="8">#REF!</definedName>
    <definedName name="_SEN67" localSheetId="11">#REF!</definedName>
    <definedName name="_SEN67" localSheetId="7">#REF!</definedName>
    <definedName name="_SEN67" localSheetId="10">#REF!</definedName>
    <definedName name="_SEN67" localSheetId="9">#REF!</definedName>
    <definedName name="_SEN67" localSheetId="12">#REF!</definedName>
    <definedName name="_SEN67">#REF!</definedName>
    <definedName name="_SEN68" localSheetId="8">#REF!</definedName>
    <definedName name="_SEN68" localSheetId="11">#REF!</definedName>
    <definedName name="_SEN68" localSheetId="7">#REF!</definedName>
    <definedName name="_SEN68" localSheetId="10">#REF!</definedName>
    <definedName name="_SEN68" localSheetId="9">#REF!</definedName>
    <definedName name="_SEN68" localSheetId="12">#REF!</definedName>
    <definedName name="_SEN68">#REF!</definedName>
    <definedName name="_SEN69" localSheetId="8">#REF!</definedName>
    <definedName name="_SEN69" localSheetId="11">#REF!</definedName>
    <definedName name="_SEN69" localSheetId="7">#REF!</definedName>
    <definedName name="_SEN69" localSheetId="10">#REF!</definedName>
    <definedName name="_SEN69" localSheetId="9">#REF!</definedName>
    <definedName name="_SEN69" localSheetId="12">#REF!</definedName>
    <definedName name="_SEN69">#REF!</definedName>
    <definedName name="_SEN7" localSheetId="8">#REF!</definedName>
    <definedName name="_SEN7" localSheetId="11">#REF!</definedName>
    <definedName name="_SEN7" localSheetId="7">#REF!</definedName>
    <definedName name="_SEN7" localSheetId="10">#REF!</definedName>
    <definedName name="_SEN7" localSheetId="9">#REF!</definedName>
    <definedName name="_SEN7" localSheetId="12">#REF!</definedName>
    <definedName name="_SEN7">#REF!</definedName>
    <definedName name="_SEN70" localSheetId="8">#REF!</definedName>
    <definedName name="_SEN70" localSheetId="11">#REF!</definedName>
    <definedName name="_SEN70" localSheetId="7">#REF!</definedName>
    <definedName name="_SEN70" localSheetId="10">#REF!</definedName>
    <definedName name="_SEN70" localSheetId="9">#REF!</definedName>
    <definedName name="_SEN70" localSheetId="12">#REF!</definedName>
    <definedName name="_SEN70">#REF!</definedName>
    <definedName name="_SEN71" localSheetId="8">#REF!</definedName>
    <definedName name="_SEN71" localSheetId="11">#REF!</definedName>
    <definedName name="_SEN71" localSheetId="7">#REF!</definedName>
    <definedName name="_SEN71" localSheetId="10">#REF!</definedName>
    <definedName name="_SEN71" localSheetId="9">#REF!</definedName>
    <definedName name="_SEN71" localSheetId="12">#REF!</definedName>
    <definedName name="_SEN71">#REF!</definedName>
    <definedName name="_SEN72" localSheetId="8">#REF!</definedName>
    <definedName name="_SEN72" localSheetId="11">#REF!</definedName>
    <definedName name="_SEN72" localSheetId="7">#REF!</definedName>
    <definedName name="_SEN72" localSheetId="10">#REF!</definedName>
    <definedName name="_SEN72" localSheetId="9">#REF!</definedName>
    <definedName name="_SEN72" localSheetId="12">#REF!</definedName>
    <definedName name="_SEN72">#REF!</definedName>
    <definedName name="_SEN73" localSheetId="8">#REF!</definedName>
    <definedName name="_SEN73" localSheetId="11">#REF!</definedName>
    <definedName name="_SEN73" localSheetId="7">#REF!</definedName>
    <definedName name="_SEN73" localSheetId="10">#REF!</definedName>
    <definedName name="_SEN73" localSheetId="9">#REF!</definedName>
    <definedName name="_SEN73" localSheetId="12">#REF!</definedName>
    <definedName name="_SEN73">#REF!</definedName>
    <definedName name="_SEN74" localSheetId="8">#REF!</definedName>
    <definedName name="_SEN74" localSheetId="11">#REF!</definedName>
    <definedName name="_SEN74" localSheetId="7">#REF!</definedName>
    <definedName name="_SEN74" localSheetId="10">#REF!</definedName>
    <definedName name="_SEN74" localSheetId="9">#REF!</definedName>
    <definedName name="_SEN74" localSheetId="12">#REF!</definedName>
    <definedName name="_SEN74">#REF!</definedName>
    <definedName name="_SEN75" localSheetId="8">#REF!</definedName>
    <definedName name="_SEN75" localSheetId="11">#REF!</definedName>
    <definedName name="_SEN75" localSheetId="7">#REF!</definedName>
    <definedName name="_SEN75" localSheetId="10">#REF!</definedName>
    <definedName name="_SEN75" localSheetId="9">#REF!</definedName>
    <definedName name="_SEN75" localSheetId="12">#REF!</definedName>
    <definedName name="_SEN75">#REF!</definedName>
    <definedName name="_SEN76" localSheetId="8">#REF!</definedName>
    <definedName name="_SEN76" localSheetId="11">#REF!</definedName>
    <definedName name="_SEN76" localSheetId="7">#REF!</definedName>
    <definedName name="_SEN76" localSheetId="10">#REF!</definedName>
    <definedName name="_SEN76" localSheetId="9">#REF!</definedName>
    <definedName name="_SEN76" localSheetId="12">#REF!</definedName>
    <definedName name="_SEN76">#REF!</definedName>
    <definedName name="_SEN77" localSheetId="8">#REF!</definedName>
    <definedName name="_SEN77" localSheetId="11">#REF!</definedName>
    <definedName name="_SEN77" localSheetId="7">#REF!</definedName>
    <definedName name="_SEN77" localSheetId="10">#REF!</definedName>
    <definedName name="_SEN77" localSheetId="9">#REF!</definedName>
    <definedName name="_SEN77" localSheetId="12">#REF!</definedName>
    <definedName name="_SEN77">#REF!</definedName>
    <definedName name="_SEN78" localSheetId="8">#REF!</definedName>
    <definedName name="_SEN78" localSheetId="11">#REF!</definedName>
    <definedName name="_SEN78" localSheetId="7">#REF!</definedName>
    <definedName name="_SEN78" localSheetId="10">#REF!</definedName>
    <definedName name="_SEN78" localSheetId="9">#REF!</definedName>
    <definedName name="_SEN78" localSheetId="12">#REF!</definedName>
    <definedName name="_SEN78">#REF!</definedName>
    <definedName name="_SEN79" localSheetId="8">#REF!</definedName>
    <definedName name="_SEN79" localSheetId="11">#REF!</definedName>
    <definedName name="_SEN79" localSheetId="7">#REF!</definedName>
    <definedName name="_SEN79" localSheetId="10">#REF!</definedName>
    <definedName name="_SEN79" localSheetId="9">#REF!</definedName>
    <definedName name="_SEN79" localSheetId="12">#REF!</definedName>
    <definedName name="_SEN79">#REF!</definedName>
    <definedName name="_SEN8" localSheetId="8">#REF!</definedName>
    <definedName name="_SEN8" localSheetId="11">#REF!</definedName>
    <definedName name="_SEN8" localSheetId="7">#REF!</definedName>
    <definedName name="_SEN8" localSheetId="10">#REF!</definedName>
    <definedName name="_SEN8" localSheetId="9">#REF!</definedName>
    <definedName name="_SEN8" localSheetId="12">#REF!</definedName>
    <definedName name="_SEN8">#REF!</definedName>
    <definedName name="_SEN80" localSheetId="8">#REF!</definedName>
    <definedName name="_SEN80" localSheetId="11">#REF!</definedName>
    <definedName name="_SEN80" localSheetId="7">#REF!</definedName>
    <definedName name="_SEN80" localSheetId="10">#REF!</definedName>
    <definedName name="_SEN80" localSheetId="9">#REF!</definedName>
    <definedName name="_SEN80" localSheetId="12">#REF!</definedName>
    <definedName name="_SEN80">#REF!</definedName>
    <definedName name="_SEN81" localSheetId="8">#REF!</definedName>
    <definedName name="_SEN81" localSheetId="11">#REF!</definedName>
    <definedName name="_SEN81" localSheetId="7">#REF!</definedName>
    <definedName name="_SEN81" localSheetId="10">#REF!</definedName>
    <definedName name="_SEN81" localSheetId="9">#REF!</definedName>
    <definedName name="_SEN81" localSheetId="12">#REF!</definedName>
    <definedName name="_SEN81">#REF!</definedName>
    <definedName name="_SEN82" localSheetId="8">#REF!</definedName>
    <definedName name="_SEN82" localSheetId="11">#REF!</definedName>
    <definedName name="_SEN82" localSheetId="7">#REF!</definedName>
    <definedName name="_SEN82" localSheetId="10">#REF!</definedName>
    <definedName name="_SEN82" localSheetId="9">#REF!</definedName>
    <definedName name="_SEN82" localSheetId="12">#REF!</definedName>
    <definedName name="_SEN82">#REF!</definedName>
    <definedName name="_SEN83" localSheetId="8">#REF!</definedName>
    <definedName name="_SEN83" localSheetId="11">#REF!</definedName>
    <definedName name="_SEN83" localSheetId="7">#REF!</definedName>
    <definedName name="_SEN83" localSheetId="10">#REF!</definedName>
    <definedName name="_SEN83" localSheetId="9">#REF!</definedName>
    <definedName name="_SEN83" localSheetId="12">#REF!</definedName>
    <definedName name="_SEN83">#REF!</definedName>
    <definedName name="_SEN84" localSheetId="8">#REF!</definedName>
    <definedName name="_SEN84" localSheetId="11">#REF!</definedName>
    <definedName name="_SEN84" localSheetId="7">#REF!</definedName>
    <definedName name="_SEN84" localSheetId="10">#REF!</definedName>
    <definedName name="_SEN84" localSheetId="9">#REF!</definedName>
    <definedName name="_SEN84" localSheetId="12">#REF!</definedName>
    <definedName name="_SEN84">#REF!</definedName>
    <definedName name="_SEN85" localSheetId="8">#REF!</definedName>
    <definedName name="_SEN85" localSheetId="11">#REF!</definedName>
    <definedName name="_SEN85" localSheetId="7">#REF!</definedName>
    <definedName name="_SEN85" localSheetId="10">#REF!</definedName>
    <definedName name="_SEN85" localSheetId="9">#REF!</definedName>
    <definedName name="_SEN85" localSheetId="12">#REF!</definedName>
    <definedName name="_SEN85">#REF!</definedName>
    <definedName name="_SEN86" localSheetId="8">#REF!</definedName>
    <definedName name="_SEN86" localSheetId="11">#REF!</definedName>
    <definedName name="_SEN86" localSheetId="7">#REF!</definedName>
    <definedName name="_SEN86" localSheetId="10">#REF!</definedName>
    <definedName name="_SEN86" localSheetId="9">#REF!</definedName>
    <definedName name="_SEN86" localSheetId="12">#REF!</definedName>
    <definedName name="_SEN86">#REF!</definedName>
    <definedName name="_SEN87" localSheetId="8">#REF!</definedName>
    <definedName name="_SEN87" localSheetId="11">#REF!</definedName>
    <definedName name="_SEN87" localSheetId="7">#REF!</definedName>
    <definedName name="_SEN87" localSheetId="10">#REF!</definedName>
    <definedName name="_SEN87" localSheetId="9">#REF!</definedName>
    <definedName name="_SEN87" localSheetId="12">#REF!</definedName>
    <definedName name="_SEN87">#REF!</definedName>
    <definedName name="_SEN88" localSheetId="8">#REF!</definedName>
    <definedName name="_SEN88" localSheetId="11">#REF!</definedName>
    <definedName name="_SEN88" localSheetId="7">#REF!</definedName>
    <definedName name="_SEN88" localSheetId="10">#REF!</definedName>
    <definedName name="_SEN88" localSheetId="9">#REF!</definedName>
    <definedName name="_SEN88" localSheetId="12">#REF!</definedName>
    <definedName name="_SEN88">#REF!</definedName>
    <definedName name="_SEN89" localSheetId="8">#REF!</definedName>
    <definedName name="_SEN89" localSheetId="11">#REF!</definedName>
    <definedName name="_SEN89" localSheetId="7">#REF!</definedName>
    <definedName name="_SEN89" localSheetId="10">#REF!</definedName>
    <definedName name="_SEN89" localSheetId="9">#REF!</definedName>
    <definedName name="_SEN89" localSheetId="12">#REF!</definedName>
    <definedName name="_SEN89">#REF!</definedName>
    <definedName name="_SEN9" localSheetId="8">#REF!</definedName>
    <definedName name="_SEN9" localSheetId="11">#REF!</definedName>
    <definedName name="_SEN9" localSheetId="7">#REF!</definedName>
    <definedName name="_SEN9" localSheetId="10">#REF!</definedName>
    <definedName name="_SEN9" localSheetId="9">#REF!</definedName>
    <definedName name="_SEN9" localSheetId="12">#REF!</definedName>
    <definedName name="_SEN9">#REF!</definedName>
    <definedName name="_SEN90" localSheetId="8">#REF!</definedName>
    <definedName name="_SEN90" localSheetId="11">#REF!</definedName>
    <definedName name="_SEN90" localSheetId="7">#REF!</definedName>
    <definedName name="_SEN90" localSheetId="10">#REF!</definedName>
    <definedName name="_SEN90" localSheetId="9">#REF!</definedName>
    <definedName name="_SEN90" localSheetId="12">#REF!</definedName>
    <definedName name="_SEN90">#REF!</definedName>
    <definedName name="_SEN91" localSheetId="8">#REF!</definedName>
    <definedName name="_SEN91" localSheetId="11">#REF!</definedName>
    <definedName name="_SEN91" localSheetId="7">#REF!</definedName>
    <definedName name="_SEN91" localSheetId="10">#REF!</definedName>
    <definedName name="_SEN91" localSheetId="9">#REF!</definedName>
    <definedName name="_SEN91" localSheetId="12">#REF!</definedName>
    <definedName name="_SEN91">#REF!</definedName>
    <definedName name="_SEN92" localSheetId="8">#REF!</definedName>
    <definedName name="_SEN92" localSheetId="11">#REF!</definedName>
    <definedName name="_SEN92" localSheetId="7">#REF!</definedName>
    <definedName name="_SEN92" localSheetId="10">#REF!</definedName>
    <definedName name="_SEN92" localSheetId="9">#REF!</definedName>
    <definedName name="_SEN92" localSheetId="12">#REF!</definedName>
    <definedName name="_SEN92">#REF!</definedName>
    <definedName name="_SEN93" localSheetId="8">#REF!</definedName>
    <definedName name="_SEN93" localSheetId="11">#REF!</definedName>
    <definedName name="_SEN93" localSheetId="7">#REF!</definedName>
    <definedName name="_SEN93" localSheetId="10">#REF!</definedName>
    <definedName name="_SEN93" localSheetId="9">#REF!</definedName>
    <definedName name="_SEN93" localSheetId="12">#REF!</definedName>
    <definedName name="_SEN93">#REF!</definedName>
    <definedName name="_SEN94" localSheetId="8">#REF!</definedName>
    <definedName name="_SEN94" localSheetId="11">#REF!</definedName>
    <definedName name="_SEN94" localSheetId="7">#REF!</definedName>
    <definedName name="_SEN94" localSheetId="10">#REF!</definedName>
    <definedName name="_SEN94" localSheetId="9">#REF!</definedName>
    <definedName name="_SEN94" localSheetId="12">#REF!</definedName>
    <definedName name="_SEN94">#REF!</definedName>
    <definedName name="_SEN95" localSheetId="8">#REF!</definedName>
    <definedName name="_SEN95" localSheetId="11">#REF!</definedName>
    <definedName name="_SEN95" localSheetId="7">#REF!</definedName>
    <definedName name="_SEN95" localSheetId="10">#REF!</definedName>
    <definedName name="_SEN95" localSheetId="9">#REF!</definedName>
    <definedName name="_SEN95" localSheetId="12">#REF!</definedName>
    <definedName name="_SEN95">#REF!</definedName>
    <definedName name="_SEN96" localSheetId="8">#REF!</definedName>
    <definedName name="_SEN96" localSheetId="11">#REF!</definedName>
    <definedName name="_SEN96" localSheetId="7">#REF!</definedName>
    <definedName name="_SEN96" localSheetId="10">#REF!</definedName>
    <definedName name="_SEN96" localSheetId="9">#REF!</definedName>
    <definedName name="_SEN96" localSheetId="12">#REF!</definedName>
    <definedName name="_SEN96">#REF!</definedName>
    <definedName name="_SEN97" localSheetId="8">#REF!</definedName>
    <definedName name="_SEN97" localSheetId="11">#REF!</definedName>
    <definedName name="_SEN97" localSheetId="7">#REF!</definedName>
    <definedName name="_SEN97" localSheetId="10">#REF!</definedName>
    <definedName name="_SEN97" localSheetId="9">#REF!</definedName>
    <definedName name="_SEN97" localSheetId="12">#REF!</definedName>
    <definedName name="_SEN97">#REF!</definedName>
    <definedName name="_SEN98" localSheetId="8">#REF!</definedName>
    <definedName name="_SEN98" localSheetId="11">#REF!</definedName>
    <definedName name="_SEN98" localSheetId="7">#REF!</definedName>
    <definedName name="_SEN98" localSheetId="10">#REF!</definedName>
    <definedName name="_SEN98" localSheetId="9">#REF!</definedName>
    <definedName name="_SEN98" localSheetId="12">#REF!</definedName>
    <definedName name="_SEN98">#REF!</definedName>
    <definedName name="_SEN99" localSheetId="8">#REF!</definedName>
    <definedName name="_SEN99" localSheetId="11">#REF!</definedName>
    <definedName name="_SEN99" localSheetId="7">#REF!</definedName>
    <definedName name="_SEN99" localSheetId="10">#REF!</definedName>
    <definedName name="_SEN99" localSheetId="9">#REF!</definedName>
    <definedName name="_SEN99" localSheetId="12">#REF!</definedName>
    <definedName name="_SEN99">#REF!</definedName>
    <definedName name="¿Hay_Móviles?">Validacion!$AT$2:$AT$4</definedName>
    <definedName name="Abierto">Validacion!$AF$2:$AF$3</definedName>
    <definedName name="Acción_comercial">Validacion!$A$2:$A$4</definedName>
    <definedName name="ADSL_Máxima_velocidad">Perfiles_usuario!$CN$47</definedName>
    <definedName name="ADSL_ULL">Validacion!$L$2:$L$4</definedName>
    <definedName name="altaBB" localSheetId="9">#REF!</definedName>
    <definedName name="altaBB" localSheetId="12">#REF!</definedName>
    <definedName name="altaBB">#REF!</definedName>
    <definedName name="AMEMVS" localSheetId="8">#REF!</definedName>
    <definedName name="AMEMVS" localSheetId="11">#REF!</definedName>
    <definedName name="AMEMVS" localSheetId="7">#REF!</definedName>
    <definedName name="AMEMVS" localSheetId="10">#REF!</definedName>
    <definedName name="AMEMVS" localSheetId="9">#REF!</definedName>
    <definedName name="AMEMVS" localSheetId="12">#REF!</definedName>
    <definedName name="AMEMVS">#REF!</definedName>
    <definedName name="AMENA" localSheetId="8">#REF!</definedName>
    <definedName name="AMENA" localSheetId="11">#REF!</definedName>
    <definedName name="AMENA" localSheetId="7">#REF!</definedName>
    <definedName name="AMENA" localSheetId="10">#REF!</definedName>
    <definedName name="AMENA" localSheetId="9">#REF!</definedName>
    <definedName name="AMENA" localSheetId="12">#REF!</definedName>
    <definedName name="AMENA">#REF!</definedName>
    <definedName name="AMEVDF" localSheetId="8">#REF!</definedName>
    <definedName name="AMEVDF" localSheetId="11">#REF!</definedName>
    <definedName name="AMEVDF" localSheetId="7">#REF!</definedName>
    <definedName name="AMEVDF" localSheetId="10">#REF!</definedName>
    <definedName name="AMEVDF" localSheetId="9">#REF!</definedName>
    <definedName name="AMEVDF" localSheetId="12">#REF!</definedName>
    <definedName name="AMEVDF">#REF!</definedName>
    <definedName name="AÑOS" localSheetId="8">#REF!</definedName>
    <definedName name="AÑOS" localSheetId="11">#REF!</definedName>
    <definedName name="AÑOS" localSheetId="7">#REF!</definedName>
    <definedName name="AÑOS" localSheetId="10">#REF!</definedName>
    <definedName name="AÑOS" localSheetId="9">#REF!</definedName>
    <definedName name="AÑOS" localSheetId="12">#REF!</definedName>
    <definedName name="AÑOS">#REF!</definedName>
    <definedName name="APROBACION" localSheetId="8">#REF!</definedName>
    <definedName name="APROBACION" localSheetId="11">#REF!</definedName>
    <definedName name="APROBACION" localSheetId="7">#REF!</definedName>
    <definedName name="APROBACION" localSheetId="10">#REF!</definedName>
    <definedName name="APROBACION" localSheetId="9">#REF!</definedName>
    <definedName name="APROBACION" localSheetId="12">#REF!</definedName>
    <definedName name="APROBACION">#REF!</definedName>
    <definedName name="_xlnm.Print_Area" localSheetId="3">'Calculadora CP Centralita'!$B$6:$T$108</definedName>
    <definedName name="_xlnm.Print_Area" localSheetId="1">'Entrada de datos'!$C$7:$T$160</definedName>
    <definedName name="_xlnm.Print_Area" localSheetId="8">Oferta_Optima!$A$1:$V$805</definedName>
    <definedName name="_xlnm.Print_Area" localSheetId="11">Oferta_Optima_sinCP!$A$1:$V$691</definedName>
    <definedName name="_xlnm.Print_Area" localSheetId="7">Oferta_OptimaRPV!$A$1:$V$915</definedName>
    <definedName name="_xlnm.Print_Area" localSheetId="10">Oferta_OptimaRPV_sinCP!$A$1:$V$806</definedName>
    <definedName name="_xlnm.Print_Area" localSheetId="9">Oferta_Preaprobadas!$A$1:$V$753</definedName>
    <definedName name="_xlnm.Print_Area" localSheetId="12">Oferta_Preaprobadas_sinCP!$A$1:$V$654</definedName>
    <definedName name="_xlnm.Print_Area" localSheetId="0">'Seleccion de oferta'!$B$2:$L$60</definedName>
    <definedName name="AreaPremium">[1]OFERTA!$A$29:$E$41</definedName>
    <definedName name="ARPU">'[2]Tablas MOVIL'!$C$230</definedName>
    <definedName name="ARPUDATOS">'[2]Tablas MOVIL'!$C$232</definedName>
    <definedName name="ARPUTOTAL">'[2]Tablas MOVIL'!$C$232</definedName>
    <definedName name="Azul">Perfiles_usuario!$D$138</definedName>
    <definedName name="b291ç">Calculos_cuotas!$D$349</definedName>
    <definedName name="Blackberry">[1]OFERTA!$A$117:$E$126</definedName>
    <definedName name="BONOS_EUROPA">Validacion!$W$2:$W$3</definedName>
    <definedName name="BONOS_EUROPA2">Validacion!$Y$2:$Y$2</definedName>
    <definedName name="BONOS_FIJO_A_MOVIL">Validacion!$U$2:$U$5</definedName>
    <definedName name="BotiquinRenovacion">[1]OFERTA!$A$136:$C$138</definedName>
    <definedName name="Cabecera">Validacion!$J$2:$J$3</definedName>
    <definedName name="Causa_de_no_cierre_o_perdida">Validacion!$I$2:$I$8</definedName>
    <definedName name="CENTRAL">Perfiles_usuario!$CM$50:$CM$51</definedName>
    <definedName name="CENTREX">Perfiles_usuario!$CI$52:$CI$57</definedName>
    <definedName name="Cerrado">Validacion!$AI$2:$AI$6</definedName>
    <definedName name="CLIENTE" localSheetId="8">#REF!</definedName>
    <definedName name="CLIENTE" localSheetId="11">#REF!</definedName>
    <definedName name="CLIENTE" localSheetId="7">#REF!</definedName>
    <definedName name="CLIENTE" localSheetId="10">#REF!</definedName>
    <definedName name="CLIENTE" localSheetId="9">#REF!</definedName>
    <definedName name="CLIENTE" localSheetId="12">#REF!</definedName>
    <definedName name="CLIENTE">#REF!</definedName>
    <definedName name="Cliente_no_quiere_que_le_ofertemos">Validacion!$AL$2:$AL$13</definedName>
    <definedName name="CMT">'[2]Tablas MOVIL'!$C$233</definedName>
    <definedName name="CodigoOferta">[1]OFERTA!$B$11</definedName>
    <definedName name="CP_IP">Perfiles_usuario!$CI$42</definedName>
    <definedName name="CP_Voz">Perfiles_usuario!$CI$37:$CI$38</definedName>
    <definedName name="CP_Voz_Tel">Perfiles_usuario!$CI$45</definedName>
    <definedName name="DatosGPRS">[1]OFERTA!$A$110:$E$114</definedName>
    <definedName name="DECT">Perfiles_usuario!$CJ$61:$CJ$74</definedName>
    <definedName name="Descartamos_venta">Validacion!$AK$2:$AK$10</definedName>
    <definedName name="Dirección_no_válida">Validacion!$AQ$2</definedName>
    <definedName name="Empresa_cerrada">Validacion!$AP$2</definedName>
    <definedName name="Estado">[3]ACTIVIDAD!$BE$3:$BE$4</definedName>
    <definedName name="Estado_de_la_visita">Validacion!$H$2:$H$8</definedName>
    <definedName name="Factores_Externos_Impiden_Ofertar">Validacion!$AK$2:$AK$12</definedName>
    <definedName name="Fax">Validacion!$AU$2</definedName>
    <definedName name="Fibra_FTTH_propia_200M_200M">Perfiles_usuario!$CJ$47</definedName>
    <definedName name="Fibra_FTTH_propia_50M_5M">Perfiles_usuario!$CK$47</definedName>
    <definedName name="Fibra_NEBA_30M_5M">Perfiles_usuario!$CL$47</definedName>
    <definedName name="FIJOS" localSheetId="8">#REF!</definedName>
    <definedName name="FIJOS" localSheetId="11">#REF!</definedName>
    <definedName name="FIJOS" localSheetId="7">#REF!</definedName>
    <definedName name="FIJOS" localSheetId="10">#REF!</definedName>
    <definedName name="FIJOS" localSheetId="9">#REF!</definedName>
    <definedName name="FIJOS" localSheetId="12">#REF!</definedName>
    <definedName name="FIJOS">#REF!</definedName>
    <definedName name="Firmado_Centrex">Validacion!$AM$2:$AM$18</definedName>
    <definedName name="Firmado_Móvil">Validacion!$AO$2:$AO$8</definedName>
    <definedName name="Firmado_Pto_Masivo">Validacion!$AN$2:$AN$11</definedName>
    <definedName name="FTTH_200_200">Validacion!$W$3:$W$5</definedName>
    <definedName name="Ilocalizable_5_intentos">Validacion!$AV$2</definedName>
    <definedName name="Internet_Plus">Perfiles_usuario!$CJ$50</definedName>
    <definedName name="IP_Avanzado">Perfiles_usuario!$CI$61:$CI$71</definedName>
    <definedName name="IP_DECT">Perfiles_usuario!$CJ$61:$CJ$73</definedName>
    <definedName name="IP_Premium">Perfiles_usuario!$CH$61:$CH$71</definedName>
    <definedName name="IP_VPN">Perfiles_usuario!$CL$50:$CL$52</definedName>
    <definedName name="IP_VPN_CENTRAL">Perfiles_usuario!$CK$50:$CK$52</definedName>
    <definedName name="MAX_PUESTOS">Validacion!$N$2:$N$7</definedName>
    <definedName name="MBYTE" localSheetId="8">'[2]Tablas MOVIL'!#REF!</definedName>
    <definedName name="MBYTE" localSheetId="11">'[2]Tablas MOVIL'!#REF!</definedName>
    <definedName name="MBYTE" localSheetId="7">'[2]Tablas MOVIL'!#REF!</definedName>
    <definedName name="MBYTE" localSheetId="10">'[2]Tablas MOVIL'!#REF!</definedName>
    <definedName name="MBYTE" localSheetId="9">'[2]Tablas MOVIL'!#REF!</definedName>
    <definedName name="MBYTE" localSheetId="12">'[2]Tablas MOVIL'!#REF!</definedName>
    <definedName name="MBYTE">'[2]Tablas MOVIL'!#REF!</definedName>
    <definedName name="MIN_PUESTOS">Validacion!$O$2:$O$7</definedName>
    <definedName name="MixDeTerminales">[1]OFERTA!$A$129:$B$132</definedName>
    <definedName name="MODALIDAD">Validacion!$L$2:$L$7</definedName>
    <definedName name="ModeloCCM" localSheetId="8">#REF!</definedName>
    <definedName name="ModeloCCM" localSheetId="11">#REF!</definedName>
    <definedName name="ModeloCCM" localSheetId="7">#REF!</definedName>
    <definedName name="ModeloCCM" localSheetId="10">#REF!</definedName>
    <definedName name="ModeloCCM" localSheetId="9">#REF!</definedName>
    <definedName name="ModeloCCM" localSheetId="12">#REF!</definedName>
    <definedName name="ModeloCCM">#REF!</definedName>
    <definedName name="MOVORA">'[2]CALCULO movil'!$K$284</definedName>
    <definedName name="MOVVDF">'[2]CALCULO movil'!$K$280</definedName>
    <definedName name="MVSAME" localSheetId="8">#REF!</definedName>
    <definedName name="MVSAME" localSheetId="11">#REF!</definedName>
    <definedName name="MVSAME" localSheetId="7">#REF!</definedName>
    <definedName name="MVSAME" localSheetId="10">#REF!</definedName>
    <definedName name="MVSAME" localSheetId="9">#REF!</definedName>
    <definedName name="MVSAME" localSheetId="12">#REF!</definedName>
    <definedName name="MVSAME">#REF!</definedName>
    <definedName name="NO_CENTRAL">Perfiles_usuario!$CN$50</definedName>
    <definedName name="No_es_empresa">Validacion!$AR$2</definedName>
    <definedName name="NO_IP">Perfiles_usuario!$CO$50</definedName>
    <definedName name="NombreCliente">[1]OFERTA!$B$8</definedName>
    <definedName name="Número_de_teléfono_no_válido">Validacion!$AS$2</definedName>
    <definedName name="NumeroLineas">[1]OFERTA!$B$10</definedName>
    <definedName name="Oficina_Centrex">Validacion!$AD$2:$AD$3</definedName>
    <definedName name="ONNET" localSheetId="8">#REF!</definedName>
    <definedName name="ONNET" localSheetId="11">#REF!</definedName>
    <definedName name="ONNET" localSheetId="7">#REF!</definedName>
    <definedName name="ONNET" localSheetId="10">#REF!</definedName>
    <definedName name="ONNET" localSheetId="9">#REF!</definedName>
    <definedName name="ONNET" localSheetId="12">#REF!</definedName>
    <definedName name="ONNET">#REF!</definedName>
    <definedName name="Operador_Fijo_Actual">Validacion!$F$2:$F$11</definedName>
    <definedName name="Operador_Movil_Actual">Validacion!$G$2:$G$11</definedName>
    <definedName name="ORAMVS">'[2]CALCULO movil'!$M$284</definedName>
    <definedName name="ORAVDF">'[2]CALCULO movil'!$M$286</definedName>
    <definedName name="Otra">Validacion!$E$2</definedName>
    <definedName name="OTROS" localSheetId="8">#REF!</definedName>
    <definedName name="OTROS" localSheetId="11">#REF!</definedName>
    <definedName name="OTROS" localSheetId="7">#REF!</definedName>
    <definedName name="OTROS" localSheetId="10">#REF!</definedName>
    <definedName name="OTROS" localSheetId="9">#REF!</definedName>
    <definedName name="OTROS" localSheetId="12">#REF!</definedName>
    <definedName name="Otros" localSheetId="4">Validacion!$AA$2:$AA$6</definedName>
    <definedName name="OTROS">#REF!</definedName>
    <definedName name="OtrosConceptos">[1]OFERTA!$A$87:$E$98</definedName>
    <definedName name="Pack_Empresa">Validacion!$AC$2:$AC$3</definedName>
    <definedName name="PAYBACK">'[2]Tablas MOVIL'!$C$237</definedName>
    <definedName name="Pendiente_Contacto">Validacion!$AG$2:$AG$4</definedName>
    <definedName name="Pendiente_Respuesta">Validacion!$AH$2:$AH$3</definedName>
    <definedName name="PercEnlaces">'[4]Hoja para Cálculos'!$C$62</definedName>
    <definedName name="PercLineas">'[4]Hoja para Cálculos'!$C$61</definedName>
    <definedName name="PlanDePrecios" localSheetId="8">#REF!</definedName>
    <definedName name="PlanDePrecios" localSheetId="11">#REF!</definedName>
    <definedName name="PlanDePrecios" localSheetId="7">#REF!</definedName>
    <definedName name="PlanDePrecios" localSheetId="10">#REF!</definedName>
    <definedName name="PlanDePrecios" localSheetId="9">#REF!</definedName>
    <definedName name="PlanDePrecios" localSheetId="12">#REF!</definedName>
    <definedName name="PlanDePrecios">#REF!</definedName>
    <definedName name="PlataformaCCM" localSheetId="8">#REF!</definedName>
    <definedName name="PlataformaCCM" localSheetId="11">#REF!</definedName>
    <definedName name="PlataformaCCM" localSheetId="7">#REF!</definedName>
    <definedName name="PlataformaCCM" localSheetId="10">#REF!</definedName>
    <definedName name="PlataformaCCM" localSheetId="9">#REF!</definedName>
    <definedName name="PlataformaCCM" localSheetId="12">#REF!</definedName>
    <definedName name="PlataformaCCM">#REF!</definedName>
    <definedName name="PMM">'[2]Tablas MOVIL'!$C$228</definedName>
    <definedName name="Polígonos">Validacion!$B$2:$B$8</definedName>
    <definedName name="PORTFOLIO_CP">Perfiles_usuario!$CH$36:$CH$54</definedName>
    <definedName name="PremiumRPV">[1]OFERTA!$A$15:$E$25</definedName>
    <definedName name="proveedor" localSheetId="8">#REF!</definedName>
    <definedName name="proveedor" localSheetId="11">#REF!</definedName>
    <definedName name="proveedor" localSheetId="7">#REF!</definedName>
    <definedName name="proveedor" localSheetId="10">#REF!</definedName>
    <definedName name="proveedor" localSheetId="9">#REF!</definedName>
    <definedName name="proveedor" localSheetId="12">#REF!</definedName>
    <definedName name="proveedor">#REF!</definedName>
    <definedName name="Pto_Masivo">Validacion!$AE$2:$AE$3</definedName>
    <definedName name="Rechazado_por_Cliente">Validacion!$AL$2:$AL$14</definedName>
    <definedName name="Registro_no_válido">Validacion!$AA$2:$AA$7</definedName>
    <definedName name="Registro_válido">Validacion!$AB$2:$AB$4</definedName>
    <definedName name="RENOVAC1" localSheetId="8">#REF!</definedName>
    <definedName name="RENOVAC1" localSheetId="11">#REF!</definedName>
    <definedName name="RENOVAC1" localSheetId="7">#REF!</definedName>
    <definedName name="RENOVAC1" localSheetId="10">#REF!</definedName>
    <definedName name="RENOVAC1" localSheetId="9">#REF!</definedName>
    <definedName name="RENOVAC1" localSheetId="12">#REF!</definedName>
    <definedName name="RENOVAC1">#REF!</definedName>
    <definedName name="RENOVAC2" localSheetId="8">#REF!</definedName>
    <definedName name="RENOVAC2" localSheetId="11">#REF!</definedName>
    <definedName name="RENOVAC2" localSheetId="7">#REF!</definedName>
    <definedName name="RENOVAC2" localSheetId="10">#REF!</definedName>
    <definedName name="RENOVAC2" localSheetId="9">#REF!</definedName>
    <definedName name="RENOVAC2" localSheetId="12">#REF!</definedName>
    <definedName name="RENOVAC2">#REF!</definedName>
    <definedName name="RENOVAC3" localSheetId="8">#REF!</definedName>
    <definedName name="RENOVAC3" localSheetId="11">#REF!</definedName>
    <definedName name="RENOVAC3" localSheetId="7">#REF!</definedName>
    <definedName name="RENOVAC3" localSheetId="10">#REF!</definedName>
    <definedName name="RENOVAC3" localSheetId="9">#REF!</definedName>
    <definedName name="RENOVAC3" localSheetId="12">#REF!</definedName>
    <definedName name="RENOVAC3">#REF!</definedName>
    <definedName name="RENOVAC4" localSheetId="8">#REF!</definedName>
    <definedName name="RENOVAC4" localSheetId="11">#REF!</definedName>
    <definedName name="RENOVAC4" localSheetId="7">#REF!</definedName>
    <definedName name="RENOVAC4" localSheetId="10">#REF!</definedName>
    <definedName name="RENOVAC4" localSheetId="9">#REF!</definedName>
    <definedName name="RENOVAC4" localSheetId="12">#REF!</definedName>
    <definedName name="RENOVAC4">#REF!</definedName>
    <definedName name="RENOVAC5" localSheetId="8">#REF!</definedName>
    <definedName name="RENOVAC5" localSheetId="11">#REF!</definedName>
    <definedName name="RENOVAC5" localSheetId="7">#REF!</definedName>
    <definedName name="RENOVAC5" localSheetId="10">#REF!</definedName>
    <definedName name="RENOVAC5" localSheetId="9">#REF!</definedName>
    <definedName name="RENOVAC5" localSheetId="12">#REF!</definedName>
    <definedName name="RENOVAC5">#REF!</definedName>
    <definedName name="resp" localSheetId="8">#REF!</definedName>
    <definedName name="resp" localSheetId="11">#REF!</definedName>
    <definedName name="resp" localSheetId="7">#REF!</definedName>
    <definedName name="resp" localSheetId="10">#REF!</definedName>
    <definedName name="resp" localSheetId="9">#REF!</definedName>
    <definedName name="resp" localSheetId="12">#REF!</definedName>
    <definedName name="resp">#REF!</definedName>
    <definedName name="RoamingRealizado">[1]OFERTA!$A$77:$C$83</definedName>
    <definedName name="Rosa">Perfiles_usuario!$D$138</definedName>
    <definedName name="ROSA_5">Perfiles_usuario!$D$138</definedName>
    <definedName name="SERVICIO">Perfiles_usuario!$CN$38:$CN$39</definedName>
    <definedName name="SI_IP">Perfiles_usuario!$CP$50:$CP$52</definedName>
    <definedName name="SinIVA">[1]OFERTA!$B$9</definedName>
    <definedName name="Subcampaña">[5]!Tabla3[[#Headers],[Polígono]]</definedName>
    <definedName name="TarifaInternacional">[1]OFERTA!$A$45:$E$73</definedName>
    <definedName name="TarifaMensajeria">[1]OFERTA!$A$101:$D$106</definedName>
    <definedName name="Teleconcertación">Validacion!$D$2</definedName>
    <definedName name="Terminales">Validacion!$Q$2:$Q$9</definedName>
    <definedName name="TIPO_ACCESO">Perfiles_usuario!$CJ$38:$CJ$42</definedName>
    <definedName name="TIPO_INTERNET_VPN">Perfiles_usuario!$CL$38:$CL$41</definedName>
    <definedName name="TIPO_IP_FIJA">Perfiles_usuario!$CM$38:$CM$40</definedName>
    <definedName name="Trafico">[1]OFERTA!$A$142:$C$147</definedName>
    <definedName name="TTPP_FIJO">Validacion!$S$2:$S$5</definedName>
    <definedName name="Validación_de_registro">Validacion!$C$2:$C$3</definedName>
    <definedName name="VAN">'[2]Tablas MOVIL'!$C$236</definedName>
    <definedName name="VDFAME" localSheetId="8">#REF!</definedName>
    <definedName name="VDFAME" localSheetId="11">#REF!</definedName>
    <definedName name="VDFAME" localSheetId="7">#REF!</definedName>
    <definedName name="VDFAME" localSheetId="10">#REF!</definedName>
    <definedName name="VDFAME" localSheetId="9">#REF!</definedName>
    <definedName name="VDFAME" localSheetId="12">#REF!</definedName>
    <definedName name="VDFAME">#REF!</definedName>
    <definedName name="VDFMOV">'[2]CALCULO movil'!$L$280</definedName>
    <definedName name="VDFORA">'[2]CALCULO movil'!$L$286</definedName>
    <definedName name="VersionCCM" localSheetId="8">#REF!</definedName>
    <definedName name="VersionCCM" localSheetId="11">#REF!</definedName>
    <definedName name="VersionCCM" localSheetId="7">#REF!</definedName>
    <definedName name="VersionCCM" localSheetId="10">#REF!</definedName>
    <definedName name="VersionCCM" localSheetId="9">#REF!</definedName>
    <definedName name="VersionCCM" localSheetId="12">#REF!</definedName>
    <definedName name="VersionCCM">#REF!</definedName>
  </definedNames>
  <calcPr calcId="152511" concurrentCalc="0"/>
</workbook>
</file>

<file path=xl/calcChain.xml><?xml version="1.0" encoding="utf-8"?>
<calcChain xmlns="http://schemas.openxmlformats.org/spreadsheetml/2006/main">
  <c r="E16" i="70" l="1"/>
  <c r="E19" i="70"/>
  <c r="E25" i="70"/>
  <c r="E27" i="70"/>
  <c r="E29" i="70"/>
  <c r="E16" i="68"/>
  <c r="E19" i="68"/>
  <c r="E25" i="68"/>
  <c r="E27" i="68"/>
  <c r="E29" i="68"/>
  <c r="E16" i="66"/>
  <c r="E19" i="66"/>
  <c r="E25" i="66"/>
  <c r="E27" i="66"/>
  <c r="E29" i="66"/>
  <c r="E16" i="69"/>
  <c r="E19" i="69"/>
  <c r="E25" i="69"/>
  <c r="E27" i="69"/>
  <c r="E29" i="69"/>
  <c r="E16" i="67"/>
  <c r="E19" i="67"/>
  <c r="E25" i="67"/>
  <c r="E29" i="67"/>
  <c r="E31" i="67"/>
  <c r="E16" i="56"/>
  <c r="E19" i="56"/>
  <c r="E27" i="56"/>
  <c r="E32" i="56"/>
  <c r="E39" i="56"/>
  <c r="B197" i="55"/>
  <c r="A1187" i="55"/>
  <c r="A1186" i="55"/>
  <c r="A1185" i="55"/>
  <c r="A1184" i="55"/>
  <c r="A1183" i="55"/>
  <c r="A1182" i="55"/>
  <c r="A1181" i="55"/>
  <c r="A1180" i="55"/>
  <c r="A1179" i="55"/>
  <c r="A1178" i="55"/>
  <c r="A1177" i="55"/>
  <c r="Z140" i="54"/>
  <c r="Z142" i="54"/>
  <c r="Z144" i="54"/>
  <c r="Z146" i="54"/>
  <c r="Z148" i="54"/>
  <c r="Z150" i="54"/>
  <c r="Z152" i="54"/>
  <c r="Z154" i="54"/>
  <c r="Z156" i="54"/>
  <c r="Z158" i="54"/>
  <c r="Z160" i="54"/>
  <c r="Z162" i="54"/>
  <c r="Z164" i="54"/>
  <c r="Z166" i="54"/>
  <c r="Z138" i="54"/>
  <c r="AG132" i="55"/>
  <c r="AH132" i="55"/>
  <c r="AI132" i="55"/>
  <c r="AJ132" i="55"/>
  <c r="AK132" i="55"/>
  <c r="AL132" i="55"/>
  <c r="AM132" i="55"/>
  <c r="AN132" i="55"/>
  <c r="AO132" i="55"/>
  <c r="AP132" i="55"/>
  <c r="AQ132" i="55"/>
  <c r="AR132" i="55"/>
  <c r="AR141" i="55"/>
  <c r="AS132" i="55"/>
  <c r="AT132" i="55"/>
  <c r="AU132" i="55"/>
  <c r="AV132" i="55"/>
  <c r="AV141" i="55"/>
  <c r="AW132" i="55"/>
  <c r="AX132" i="55"/>
  <c r="AF132" i="55"/>
  <c r="Z168" i="54"/>
  <c r="AK97" i="55"/>
  <c r="AK95" i="55"/>
  <c r="AK93" i="55"/>
  <c r="AK91" i="55"/>
  <c r="AK89" i="55"/>
  <c r="AK87" i="55"/>
  <c r="AK85" i="55"/>
  <c r="AK83" i="55"/>
  <c r="AK81" i="55"/>
  <c r="AK79" i="55"/>
  <c r="AK77" i="55"/>
  <c r="AK75" i="55"/>
  <c r="AK73" i="55"/>
  <c r="AK71" i="55"/>
  <c r="AI97" i="55"/>
  <c r="AH97" i="55"/>
  <c r="AJ97" i="55"/>
  <c r="AI95" i="55"/>
  <c r="AH95" i="55"/>
  <c r="AI93" i="55"/>
  <c r="AH93" i="55"/>
  <c r="AJ93" i="55"/>
  <c r="AI91" i="55"/>
  <c r="AH91" i="55"/>
  <c r="AI89" i="55"/>
  <c r="AH89" i="55"/>
  <c r="AI87" i="55"/>
  <c r="AH87" i="55"/>
  <c r="AI85" i="55"/>
  <c r="AH85" i="55"/>
  <c r="AJ85" i="55"/>
  <c r="AI83" i="55"/>
  <c r="AH83" i="55"/>
  <c r="AI81" i="55"/>
  <c r="AH81" i="55"/>
  <c r="AJ81" i="55"/>
  <c r="AI79" i="55"/>
  <c r="AH79" i="55"/>
  <c r="AI77" i="55"/>
  <c r="AH77" i="55"/>
  <c r="AJ77" i="55"/>
  <c r="AI75" i="55"/>
  <c r="AH75" i="55"/>
  <c r="AI73" i="55"/>
  <c r="AH73" i="55"/>
  <c r="AJ73" i="55"/>
  <c r="AI71" i="55"/>
  <c r="AH71" i="55"/>
  <c r="AK69" i="55"/>
  <c r="AI69" i="55"/>
  <c r="AH69" i="55"/>
  <c r="AH99" i="55"/>
  <c r="H345" i="68"/>
  <c r="H346" i="68"/>
  <c r="H347" i="68"/>
  <c r="H348" i="68"/>
  <c r="H349" i="68"/>
  <c r="H350" i="68"/>
  <c r="H351" i="68"/>
  <c r="H352" i="68"/>
  <c r="H353" i="68"/>
  <c r="H354" i="68"/>
  <c r="H344" i="68"/>
  <c r="H453" i="66"/>
  <c r="H454" i="66"/>
  <c r="H455" i="66"/>
  <c r="H456" i="66"/>
  <c r="H457" i="66"/>
  <c r="H458" i="66"/>
  <c r="H459" i="66"/>
  <c r="H460" i="66"/>
  <c r="H461" i="66"/>
  <c r="H462" i="66"/>
  <c r="H452" i="66"/>
  <c r="H404" i="67"/>
  <c r="H405" i="67"/>
  <c r="H406" i="67"/>
  <c r="H407" i="67"/>
  <c r="H408" i="67"/>
  <c r="H409" i="67"/>
  <c r="H410" i="67"/>
  <c r="H411" i="67"/>
  <c r="H412" i="67"/>
  <c r="H413" i="67"/>
  <c r="H403" i="67"/>
  <c r="K516" i="56"/>
  <c r="M516" i="56"/>
  <c r="M456" i="66"/>
  <c r="M515" i="56"/>
  <c r="K514" i="56"/>
  <c r="M514" i="56"/>
  <c r="K513" i="56"/>
  <c r="K404" i="67"/>
  <c r="K515" i="56"/>
  <c r="M353" i="68"/>
  <c r="M354" i="68"/>
  <c r="M461" i="66"/>
  <c r="M462" i="66"/>
  <c r="M412" i="67"/>
  <c r="M413" i="67"/>
  <c r="K520" i="56"/>
  <c r="K352" i="68"/>
  <c r="K521" i="56"/>
  <c r="K522" i="56"/>
  <c r="M513" i="56"/>
  <c r="M517" i="56"/>
  <c r="M457" i="66"/>
  <c r="M518" i="56"/>
  <c r="M519" i="56"/>
  <c r="M520" i="56"/>
  <c r="M512" i="56"/>
  <c r="M344" i="68"/>
  <c r="K517" i="56"/>
  <c r="K518" i="56"/>
  <c r="K519" i="56"/>
  <c r="K512" i="56"/>
  <c r="K344" i="68"/>
  <c r="K348" i="68"/>
  <c r="K456" i="66"/>
  <c r="K407" i="67"/>
  <c r="M403" i="67"/>
  <c r="M408" i="67"/>
  <c r="M453" i="66"/>
  <c r="M345" i="68"/>
  <c r="M404" i="67"/>
  <c r="K410" i="67"/>
  <c r="K459" i="66"/>
  <c r="K351" i="68"/>
  <c r="K406" i="67"/>
  <c r="K455" i="66"/>
  <c r="K347" i="68"/>
  <c r="M352" i="68"/>
  <c r="M411" i="67"/>
  <c r="M460" i="66"/>
  <c r="K462" i="66"/>
  <c r="K413" i="67"/>
  <c r="K354" i="68"/>
  <c r="K458" i="66"/>
  <c r="K350" i="68"/>
  <c r="K409" i="67"/>
  <c r="K454" i="66"/>
  <c r="K346" i="68"/>
  <c r="K405" i="67"/>
  <c r="M351" i="68"/>
  <c r="M410" i="67"/>
  <c r="M459" i="66"/>
  <c r="M347" i="68"/>
  <c r="M406" i="67"/>
  <c r="M455" i="66"/>
  <c r="K353" i="68"/>
  <c r="K412" i="67"/>
  <c r="K461" i="66"/>
  <c r="K349" i="68"/>
  <c r="K408" i="67"/>
  <c r="K457" i="66"/>
  <c r="M458" i="66"/>
  <c r="M350" i="68"/>
  <c r="M409" i="67"/>
  <c r="M454" i="66"/>
  <c r="M346" i="68"/>
  <c r="M405" i="67"/>
  <c r="K411" i="67"/>
  <c r="AQ141" i="55"/>
  <c r="AS141" i="55"/>
  <c r="AT141" i="55"/>
  <c r="AU141" i="55"/>
  <c r="AW141" i="55"/>
  <c r="AX141" i="55"/>
  <c r="AY141" i="55"/>
  <c r="AZ141" i="55"/>
  <c r="BA141" i="55"/>
  <c r="BB141" i="55"/>
  <c r="BC141" i="55"/>
  <c r="BD141" i="55"/>
  <c r="AB97" i="55"/>
  <c r="AB95" i="55"/>
  <c r="AB93" i="55"/>
  <c r="AB91" i="55"/>
  <c r="AB89" i="55"/>
  <c r="AB87" i="55"/>
  <c r="AB85" i="55"/>
  <c r="AB83" i="55"/>
  <c r="AB81" i="55"/>
  <c r="AB79" i="55"/>
  <c r="AB77" i="55"/>
  <c r="AB75" i="55"/>
  <c r="AB73" i="55"/>
  <c r="AB71" i="55"/>
  <c r="AB69" i="55"/>
  <c r="V97" i="55"/>
  <c r="V95" i="55"/>
  <c r="V93" i="55"/>
  <c r="V91" i="55"/>
  <c r="V89" i="55"/>
  <c r="V87" i="55"/>
  <c r="V85" i="55"/>
  <c r="V83" i="55"/>
  <c r="V81" i="55"/>
  <c r="V79" i="55"/>
  <c r="V77" i="55"/>
  <c r="V75" i="55"/>
  <c r="V73" i="55"/>
  <c r="V71" i="55"/>
  <c r="V69" i="55"/>
  <c r="V99" i="55"/>
  <c r="M97" i="55"/>
  <c r="M95" i="55"/>
  <c r="M93" i="55"/>
  <c r="M91" i="55"/>
  <c r="M89" i="55"/>
  <c r="M87" i="55"/>
  <c r="M85" i="55"/>
  <c r="M83" i="55"/>
  <c r="M81" i="55"/>
  <c r="M79" i="55"/>
  <c r="M77" i="55"/>
  <c r="M75" i="55"/>
  <c r="M73" i="55"/>
  <c r="M71" i="55"/>
  <c r="M69" i="55"/>
  <c r="AI141" i="55"/>
  <c r="AJ141" i="55"/>
  <c r="AK141" i="55"/>
  <c r="AL141" i="55"/>
  <c r="AM141" i="55"/>
  <c r="AN141" i="55"/>
  <c r="AO141" i="55"/>
  <c r="AP141" i="55"/>
  <c r="AH141" i="55"/>
  <c r="L14" i="55"/>
  <c r="M99" i="55"/>
  <c r="AH137" i="55"/>
  <c r="AH139" i="55"/>
  <c r="L13" i="55"/>
  <c r="O231" i="70"/>
  <c r="O273" i="69"/>
  <c r="O230" i="68"/>
  <c r="O235" i="66"/>
  <c r="O286" i="67"/>
  <c r="O289" i="56"/>
  <c r="H3" i="1"/>
  <c r="G3" i="74"/>
  <c r="AK99" i="55"/>
  <c r="AJ95" i="55"/>
  <c r="AJ89" i="55"/>
  <c r="AJ91" i="55"/>
  <c r="AJ87" i="55"/>
  <c r="AJ83" i="55"/>
  <c r="AJ79" i="55"/>
  <c r="AJ75" i="55"/>
  <c r="AJ71" i="55"/>
  <c r="D121" i="54"/>
  <c r="D119" i="54"/>
  <c r="D117" i="54"/>
  <c r="D123" i="54"/>
  <c r="T266" i="54"/>
  <c r="F262" i="54"/>
  <c r="J613" i="69"/>
  <c r="M613" i="69"/>
  <c r="U613" i="69"/>
  <c r="U626" i="69"/>
  <c r="Q625" i="69"/>
  <c r="J663" i="67"/>
  <c r="M663" i="67"/>
  <c r="U663" i="67"/>
  <c r="Q675" i="67"/>
  <c r="T778" i="56"/>
  <c r="T624" i="69"/>
  <c r="S778" i="56"/>
  <c r="S624" i="69"/>
  <c r="R778" i="56"/>
  <c r="R674" i="67"/>
  <c r="Q778" i="56"/>
  <c r="Q674" i="67"/>
  <c r="P778" i="56"/>
  <c r="P624" i="69"/>
  <c r="O778" i="56"/>
  <c r="O624" i="69"/>
  <c r="N778" i="56"/>
  <c r="N624" i="69"/>
  <c r="L778" i="56"/>
  <c r="L624" i="69"/>
  <c r="K778" i="56"/>
  <c r="K624" i="69"/>
  <c r="I778" i="56"/>
  <c r="I674" i="67"/>
  <c r="H778" i="56"/>
  <c r="H624" i="69"/>
  <c r="G778" i="56"/>
  <c r="G624" i="69"/>
  <c r="T777" i="56"/>
  <c r="T673" i="67"/>
  <c r="S777" i="56"/>
  <c r="S673" i="67"/>
  <c r="R777" i="56"/>
  <c r="R623" i="69"/>
  <c r="Q777" i="56"/>
  <c r="Q623" i="69"/>
  <c r="P777" i="56"/>
  <c r="P673" i="67"/>
  <c r="O777" i="56"/>
  <c r="O673" i="67"/>
  <c r="N777" i="56"/>
  <c r="N623" i="69"/>
  <c r="L777" i="56"/>
  <c r="L673" i="67"/>
  <c r="K777" i="56"/>
  <c r="K673" i="67"/>
  <c r="I777" i="56"/>
  <c r="I623" i="69"/>
  <c r="H777" i="56"/>
  <c r="H673" i="67"/>
  <c r="G777" i="56"/>
  <c r="G673" i="67"/>
  <c r="T776" i="56"/>
  <c r="T622" i="69"/>
  <c r="S776" i="56"/>
  <c r="S622" i="69"/>
  <c r="R776" i="56"/>
  <c r="R672" i="67"/>
  <c r="Q776" i="56"/>
  <c r="Q672" i="67"/>
  <c r="P776" i="56"/>
  <c r="P622" i="69"/>
  <c r="O776" i="56"/>
  <c r="O622" i="69"/>
  <c r="N776" i="56"/>
  <c r="N672" i="67"/>
  <c r="L776" i="56"/>
  <c r="L622" i="69"/>
  <c r="K776" i="56"/>
  <c r="K622" i="69"/>
  <c r="I776" i="56"/>
  <c r="I672" i="67"/>
  <c r="H776" i="56"/>
  <c r="H622" i="69"/>
  <c r="G776" i="56"/>
  <c r="G622" i="69"/>
  <c r="T775" i="56"/>
  <c r="T671" i="67"/>
  <c r="S775" i="56"/>
  <c r="S671" i="67"/>
  <c r="R775" i="56"/>
  <c r="R621" i="69"/>
  <c r="Q775" i="56"/>
  <c r="Q621" i="69"/>
  <c r="P775" i="56"/>
  <c r="P671" i="67"/>
  <c r="O775" i="56"/>
  <c r="O671" i="67"/>
  <c r="N775" i="56"/>
  <c r="N621" i="69"/>
  <c r="L775" i="56"/>
  <c r="L671" i="67"/>
  <c r="K775" i="56"/>
  <c r="K671" i="67"/>
  <c r="I775" i="56"/>
  <c r="I621" i="69"/>
  <c r="H775" i="56"/>
  <c r="H671" i="67"/>
  <c r="G775" i="56"/>
  <c r="G671" i="67"/>
  <c r="T774" i="56"/>
  <c r="T620" i="69"/>
  <c r="S774" i="56"/>
  <c r="S620" i="69"/>
  <c r="R774" i="56"/>
  <c r="R670" i="67"/>
  <c r="Q774" i="56"/>
  <c r="Q670" i="67"/>
  <c r="P774" i="56"/>
  <c r="P620" i="69"/>
  <c r="O774" i="56"/>
  <c r="O620" i="69"/>
  <c r="N774" i="56"/>
  <c r="N670" i="67"/>
  <c r="L774" i="56"/>
  <c r="L620" i="69"/>
  <c r="K774" i="56"/>
  <c r="K620" i="69"/>
  <c r="I774" i="56"/>
  <c r="I670" i="67"/>
  <c r="H774" i="56"/>
  <c r="H620" i="69"/>
  <c r="G774" i="56"/>
  <c r="G620" i="69"/>
  <c r="T773" i="56"/>
  <c r="T669" i="67"/>
  <c r="S773" i="56"/>
  <c r="S669" i="67"/>
  <c r="R773" i="56"/>
  <c r="R619" i="69"/>
  <c r="Q773" i="56"/>
  <c r="Q619" i="69"/>
  <c r="P773" i="56"/>
  <c r="P669" i="67"/>
  <c r="O773" i="56"/>
  <c r="O669" i="67"/>
  <c r="N773" i="56"/>
  <c r="N619" i="69"/>
  <c r="L773" i="56"/>
  <c r="L669" i="67"/>
  <c r="K773" i="56"/>
  <c r="K669" i="67"/>
  <c r="I773" i="56"/>
  <c r="I619" i="69"/>
  <c r="H773" i="56"/>
  <c r="H669" i="67"/>
  <c r="G773" i="56"/>
  <c r="G669" i="67"/>
  <c r="T772" i="56"/>
  <c r="T618" i="69"/>
  <c r="S772" i="56"/>
  <c r="S618" i="69"/>
  <c r="R772" i="56"/>
  <c r="R668" i="67"/>
  <c r="Q772" i="56"/>
  <c r="Q668" i="67"/>
  <c r="P772" i="56"/>
  <c r="P618" i="69"/>
  <c r="O772" i="56"/>
  <c r="O618" i="69"/>
  <c r="N772" i="56"/>
  <c r="N668" i="67"/>
  <c r="L772" i="56"/>
  <c r="L618" i="69"/>
  <c r="K772" i="56"/>
  <c r="K618" i="69"/>
  <c r="I772" i="56"/>
  <c r="I668" i="67"/>
  <c r="H772" i="56"/>
  <c r="H618" i="69"/>
  <c r="G772" i="56"/>
  <c r="G618" i="69"/>
  <c r="T771" i="56"/>
  <c r="T667" i="67"/>
  <c r="S771" i="56"/>
  <c r="S667" i="67"/>
  <c r="R771" i="56"/>
  <c r="R617" i="69"/>
  <c r="Q771" i="56"/>
  <c r="Q617" i="69"/>
  <c r="P771" i="56"/>
  <c r="P667" i="67"/>
  <c r="O771" i="56"/>
  <c r="O667" i="67"/>
  <c r="N771" i="56"/>
  <c r="N617" i="69"/>
  <c r="L771" i="56"/>
  <c r="L667" i="67"/>
  <c r="K771" i="56"/>
  <c r="K667" i="67"/>
  <c r="I771" i="56"/>
  <c r="I617" i="69"/>
  <c r="H771" i="56"/>
  <c r="H667" i="67"/>
  <c r="G771" i="56"/>
  <c r="G667" i="67"/>
  <c r="T770" i="56"/>
  <c r="T616" i="69"/>
  <c r="S770" i="56"/>
  <c r="S616" i="69"/>
  <c r="R770" i="56"/>
  <c r="R666" i="67"/>
  <c r="Q770" i="56"/>
  <c r="Q666" i="67"/>
  <c r="P770" i="56"/>
  <c r="P616" i="69"/>
  <c r="O770" i="56"/>
  <c r="O616" i="69"/>
  <c r="N770" i="56"/>
  <c r="N666" i="67"/>
  <c r="L770" i="56"/>
  <c r="L616" i="69"/>
  <c r="K770" i="56"/>
  <c r="K616" i="69"/>
  <c r="I770" i="56"/>
  <c r="I666" i="67"/>
  <c r="H770" i="56"/>
  <c r="H616" i="69"/>
  <c r="G770" i="56"/>
  <c r="G616" i="69"/>
  <c r="T769" i="56"/>
  <c r="T665" i="67"/>
  <c r="S769" i="56"/>
  <c r="S665" i="67"/>
  <c r="R769" i="56"/>
  <c r="R615" i="69"/>
  <c r="Q769" i="56"/>
  <c r="Q615" i="69"/>
  <c r="P769" i="56"/>
  <c r="P665" i="67"/>
  <c r="O769" i="56"/>
  <c r="O665" i="67"/>
  <c r="N769" i="56"/>
  <c r="N615" i="69"/>
  <c r="L769" i="56"/>
  <c r="L665" i="67"/>
  <c r="K769" i="56"/>
  <c r="K665" i="67"/>
  <c r="I769" i="56"/>
  <c r="I615" i="69"/>
  <c r="H769" i="56"/>
  <c r="H665" i="67"/>
  <c r="G769" i="56"/>
  <c r="G665" i="67"/>
  <c r="E778" i="56"/>
  <c r="E624" i="69"/>
  <c r="E777" i="56"/>
  <c r="E623" i="69"/>
  <c r="E776" i="56"/>
  <c r="E622" i="69"/>
  <c r="E774" i="56"/>
  <c r="E620" i="69"/>
  <c r="E775" i="56"/>
  <c r="E621" i="69"/>
  <c r="E769" i="56"/>
  <c r="E665" i="67"/>
  <c r="E615" i="69"/>
  <c r="E770" i="56"/>
  <c r="E616" i="69"/>
  <c r="E771" i="56"/>
  <c r="E617" i="69"/>
  <c r="E772" i="56"/>
  <c r="E618" i="69"/>
  <c r="E773" i="56"/>
  <c r="E669" i="67"/>
  <c r="D778" i="56"/>
  <c r="D624" i="69"/>
  <c r="D777" i="56"/>
  <c r="D623" i="69"/>
  <c r="D776" i="56"/>
  <c r="D672" i="67"/>
  <c r="D774" i="56"/>
  <c r="D775" i="56"/>
  <c r="D621" i="69"/>
  <c r="D769" i="56"/>
  <c r="D615" i="69"/>
  <c r="D770" i="56"/>
  <c r="D666" i="67"/>
  <c r="D771" i="56"/>
  <c r="J774" i="56"/>
  <c r="J670" i="67"/>
  <c r="D772" i="56"/>
  <c r="M776" i="56"/>
  <c r="D773" i="56"/>
  <c r="D619" i="69"/>
  <c r="B778" i="56"/>
  <c r="B624" i="69"/>
  <c r="B777" i="56"/>
  <c r="B623" i="69"/>
  <c r="B775" i="56"/>
  <c r="B621" i="69"/>
  <c r="B776" i="56"/>
  <c r="B622" i="69"/>
  <c r="B774" i="56"/>
  <c r="B670" i="67"/>
  <c r="B770" i="56"/>
  <c r="B616" i="69"/>
  <c r="B771" i="56"/>
  <c r="B617" i="69"/>
  <c r="B772" i="56"/>
  <c r="B618" i="69"/>
  <c r="B773" i="56"/>
  <c r="B619" i="69"/>
  <c r="B769" i="56"/>
  <c r="B615" i="69"/>
  <c r="T768" i="56"/>
  <c r="T614" i="69"/>
  <c r="S768" i="56"/>
  <c r="S614" i="69"/>
  <c r="R768" i="56"/>
  <c r="R614" i="69"/>
  <c r="Q768" i="56"/>
  <c r="Q614" i="69"/>
  <c r="O768" i="56"/>
  <c r="O664" i="67"/>
  <c r="P768" i="56"/>
  <c r="P614" i="69"/>
  <c r="N768" i="56"/>
  <c r="N614" i="69"/>
  <c r="L768" i="56"/>
  <c r="L664" i="67"/>
  <c r="K768" i="56"/>
  <c r="K614" i="69"/>
  <c r="I768" i="56"/>
  <c r="I614" i="69"/>
  <c r="H768" i="56"/>
  <c r="H614" i="69"/>
  <c r="G768" i="56"/>
  <c r="G614" i="69"/>
  <c r="E768" i="56"/>
  <c r="E614" i="69"/>
  <c r="D768" i="56"/>
  <c r="M768" i="56"/>
  <c r="B768" i="56"/>
  <c r="B614" i="69"/>
  <c r="S767" i="56"/>
  <c r="S663" i="67"/>
  <c r="T767" i="56"/>
  <c r="T663" i="67"/>
  <c r="P767" i="56"/>
  <c r="P613" i="69"/>
  <c r="Q767" i="56"/>
  <c r="Q613" i="69"/>
  <c r="R767" i="56"/>
  <c r="R613" i="69"/>
  <c r="H767" i="56"/>
  <c r="H663" i="67"/>
  <c r="I767" i="56"/>
  <c r="I613" i="69"/>
  <c r="K767" i="56"/>
  <c r="K663" i="67"/>
  <c r="L767" i="56"/>
  <c r="L613" i="69"/>
  <c r="N767" i="56"/>
  <c r="N663" i="67"/>
  <c r="O767" i="56"/>
  <c r="O613" i="69"/>
  <c r="G767" i="56"/>
  <c r="G663" i="67"/>
  <c r="E767" i="56"/>
  <c r="E613" i="69"/>
  <c r="D767" i="56"/>
  <c r="D613" i="69"/>
  <c r="B767" i="56"/>
  <c r="B613" i="69"/>
  <c r="Q779" i="56"/>
  <c r="J773" i="56"/>
  <c r="J619" i="69"/>
  <c r="J771" i="56"/>
  <c r="J617" i="69"/>
  <c r="J769" i="56"/>
  <c r="J615" i="69"/>
  <c r="M778" i="56"/>
  <c r="M674" i="67"/>
  <c r="M770" i="56"/>
  <c r="M666" i="67"/>
  <c r="K670" i="67"/>
  <c r="D673" i="67"/>
  <c r="N618" i="69"/>
  <c r="P674" i="67"/>
  <c r="E672" i="67"/>
  <c r="L668" i="67"/>
  <c r="O614" i="69"/>
  <c r="P664" i="67"/>
  <c r="K666" i="67"/>
  <c r="N613" i="69"/>
  <c r="Q622" i="69"/>
  <c r="B671" i="67"/>
  <c r="N673" i="67"/>
  <c r="R620" i="69"/>
  <c r="B668" i="67"/>
  <c r="D669" i="67"/>
  <c r="E668" i="67"/>
  <c r="K674" i="67"/>
  <c r="L672" i="67"/>
  <c r="H670" i="67"/>
  <c r="G668" i="67"/>
  <c r="H666" i="67"/>
  <c r="R624" i="69"/>
  <c r="N622" i="69"/>
  <c r="K619" i="69"/>
  <c r="L617" i="69"/>
  <c r="K615" i="69"/>
  <c r="B620" i="69"/>
  <c r="P663" i="67"/>
  <c r="I664" i="67"/>
  <c r="B667" i="67"/>
  <c r="E667" i="67"/>
  <c r="H674" i="67"/>
  <c r="G672" i="67"/>
  <c r="Q669" i="67"/>
  <c r="R667" i="67"/>
  <c r="Q665" i="67"/>
  <c r="K623" i="69"/>
  <c r="L621" i="69"/>
  <c r="H619" i="69"/>
  <c r="G617" i="69"/>
  <c r="H615" i="69"/>
  <c r="O663" i="67"/>
  <c r="T664" i="67"/>
  <c r="B672" i="67"/>
  <c r="D674" i="67"/>
  <c r="D665" i="67"/>
  <c r="T674" i="67"/>
  <c r="Q673" i="67"/>
  <c r="R671" i="67"/>
  <c r="N669" i="67"/>
  <c r="J667" i="67"/>
  <c r="N665" i="67"/>
  <c r="H623" i="69"/>
  <c r="G621" i="69"/>
  <c r="Q618" i="69"/>
  <c r="R616" i="69"/>
  <c r="H664" i="67"/>
  <c r="E671" i="67"/>
  <c r="S674" i="67"/>
  <c r="T672" i="67"/>
  <c r="P670" i="67"/>
  <c r="L614" i="69"/>
  <c r="T621" i="69"/>
  <c r="P619" i="69"/>
  <c r="D622" i="69"/>
  <c r="R663" i="67"/>
  <c r="S664" i="67"/>
  <c r="K664" i="67"/>
  <c r="B674" i="67"/>
  <c r="B666" i="67"/>
  <c r="D668" i="67"/>
  <c r="E674" i="67"/>
  <c r="E670" i="67"/>
  <c r="E666" i="67"/>
  <c r="N674" i="67"/>
  <c r="G674" i="67"/>
  <c r="S672" i="67"/>
  <c r="K672" i="67"/>
  <c r="Q671" i="67"/>
  <c r="I671" i="67"/>
  <c r="O670" i="67"/>
  <c r="G670" i="67"/>
  <c r="S668" i="67"/>
  <c r="K668" i="67"/>
  <c r="Q667" i="67"/>
  <c r="I667" i="67"/>
  <c r="O666" i="67"/>
  <c r="G666" i="67"/>
  <c r="S613" i="69"/>
  <c r="Q624" i="69"/>
  <c r="I624" i="69"/>
  <c r="O623" i="69"/>
  <c r="G623" i="69"/>
  <c r="S621" i="69"/>
  <c r="K621" i="69"/>
  <c r="Q620" i="69"/>
  <c r="I620" i="69"/>
  <c r="O619" i="69"/>
  <c r="G619" i="69"/>
  <c r="S617" i="69"/>
  <c r="K617" i="69"/>
  <c r="Q616" i="69"/>
  <c r="I616" i="69"/>
  <c r="O615" i="69"/>
  <c r="G615" i="69"/>
  <c r="J775" i="56"/>
  <c r="D620" i="69"/>
  <c r="L663" i="67"/>
  <c r="G664" i="67"/>
  <c r="Q664" i="67"/>
  <c r="D670" i="67"/>
  <c r="I673" i="67"/>
  <c r="O672" i="67"/>
  <c r="S670" i="67"/>
  <c r="I669" i="67"/>
  <c r="O668" i="67"/>
  <c r="S666" i="67"/>
  <c r="I665" i="67"/>
  <c r="S623" i="69"/>
  <c r="I622" i="69"/>
  <c r="O621" i="69"/>
  <c r="S619" i="69"/>
  <c r="I618" i="69"/>
  <c r="O617" i="69"/>
  <c r="S615" i="69"/>
  <c r="D617" i="69"/>
  <c r="M772" i="56"/>
  <c r="M668" i="67"/>
  <c r="D616" i="69"/>
  <c r="E663" i="67"/>
  <c r="O674" i="67"/>
  <c r="T668" i="67"/>
  <c r="P666" i="67"/>
  <c r="P623" i="69"/>
  <c r="J620" i="69"/>
  <c r="T617" i="69"/>
  <c r="P615" i="69"/>
  <c r="E619" i="69"/>
  <c r="B663" i="67"/>
  <c r="I663" i="67"/>
  <c r="E664" i="67"/>
  <c r="R664" i="67"/>
  <c r="N664" i="67"/>
  <c r="B673" i="67"/>
  <c r="B669" i="67"/>
  <c r="B665" i="67"/>
  <c r="D667" i="67"/>
  <c r="E673" i="67"/>
  <c r="L674" i="67"/>
  <c r="R673" i="67"/>
  <c r="P672" i="67"/>
  <c r="H672" i="67"/>
  <c r="N671" i="67"/>
  <c r="T670" i="67"/>
  <c r="L670" i="67"/>
  <c r="R669" i="67"/>
  <c r="J669" i="67"/>
  <c r="P668" i="67"/>
  <c r="H668" i="67"/>
  <c r="N667" i="67"/>
  <c r="T666" i="67"/>
  <c r="L666" i="67"/>
  <c r="R665" i="67"/>
  <c r="J665" i="67"/>
  <c r="T623" i="69"/>
  <c r="L623" i="69"/>
  <c r="R622" i="69"/>
  <c r="P621" i="69"/>
  <c r="H621" i="69"/>
  <c r="N620" i="69"/>
  <c r="T619" i="69"/>
  <c r="L619" i="69"/>
  <c r="R618" i="69"/>
  <c r="P617" i="69"/>
  <c r="H617" i="69"/>
  <c r="N616" i="69"/>
  <c r="T615" i="69"/>
  <c r="L615" i="69"/>
  <c r="D618" i="69"/>
  <c r="M774" i="56"/>
  <c r="M620" i="69"/>
  <c r="J770" i="56"/>
  <c r="J666" i="67"/>
  <c r="J772" i="56"/>
  <c r="J618" i="69"/>
  <c r="J776" i="56"/>
  <c r="J778" i="56"/>
  <c r="J624" i="69"/>
  <c r="M769" i="56"/>
  <c r="M771" i="56"/>
  <c r="M617" i="69"/>
  <c r="M773" i="56"/>
  <c r="M669" i="67"/>
  <c r="M775" i="56"/>
  <c r="M616" i="69"/>
  <c r="M624" i="69"/>
  <c r="M615" i="69"/>
  <c r="M665" i="67"/>
  <c r="J674" i="67"/>
  <c r="M619" i="69"/>
  <c r="J672" i="67"/>
  <c r="J622" i="69"/>
  <c r="M670" i="67"/>
  <c r="M621" i="69"/>
  <c r="M671" i="67"/>
  <c r="J621" i="69"/>
  <c r="J671" i="67"/>
  <c r="J668" i="67"/>
  <c r="N1174" i="55"/>
  <c r="N1187" i="55"/>
  <c r="M1174" i="55"/>
  <c r="M1187" i="55"/>
  <c r="L1174" i="55"/>
  <c r="L1187" i="55"/>
  <c r="K1174" i="55"/>
  <c r="K1187" i="55"/>
  <c r="J1174" i="55"/>
  <c r="J1187" i="55"/>
  <c r="I1174" i="55"/>
  <c r="I1187" i="55"/>
  <c r="H1174" i="55"/>
  <c r="H1187" i="55"/>
  <c r="G1174" i="55"/>
  <c r="G1187" i="55"/>
  <c r="F1174" i="55"/>
  <c r="F1187" i="55"/>
  <c r="E1174" i="55"/>
  <c r="E1187" i="55"/>
  <c r="D1174" i="55"/>
  <c r="D1187" i="55"/>
  <c r="C1174" i="55"/>
  <c r="C1187" i="55"/>
  <c r="B1174" i="55"/>
  <c r="A1174" i="55"/>
  <c r="B1187" i="55"/>
  <c r="O1187" i="55"/>
  <c r="N1173" i="55"/>
  <c r="N1186" i="55"/>
  <c r="M1173" i="55"/>
  <c r="M1186" i="55"/>
  <c r="L1173" i="55"/>
  <c r="L1186" i="55"/>
  <c r="K1173" i="55"/>
  <c r="K1186" i="55"/>
  <c r="J1173" i="55"/>
  <c r="J1186" i="55"/>
  <c r="I1173" i="55"/>
  <c r="I1186" i="55"/>
  <c r="H1173" i="55"/>
  <c r="H1186" i="55"/>
  <c r="G1173" i="55"/>
  <c r="G1186" i="55"/>
  <c r="F1173" i="55"/>
  <c r="E1173" i="55"/>
  <c r="E1186" i="55"/>
  <c r="D1173" i="55"/>
  <c r="D1186" i="55"/>
  <c r="C1173" i="55"/>
  <c r="C1186" i="55"/>
  <c r="B1173" i="55"/>
  <c r="A1173" i="55"/>
  <c r="N1172" i="55"/>
  <c r="N1185" i="55"/>
  <c r="M1172" i="55"/>
  <c r="M1185" i="55"/>
  <c r="L1172" i="55"/>
  <c r="L1185" i="55"/>
  <c r="K1172" i="55"/>
  <c r="K1185" i="55"/>
  <c r="J1172" i="55"/>
  <c r="J1185" i="55"/>
  <c r="I1172" i="55"/>
  <c r="I1185" i="55"/>
  <c r="H1172" i="55"/>
  <c r="H1185" i="55"/>
  <c r="G1172" i="55"/>
  <c r="G1185" i="55"/>
  <c r="F1172" i="55"/>
  <c r="F1185" i="55"/>
  <c r="E1172" i="55"/>
  <c r="E1185" i="55"/>
  <c r="D1172" i="55"/>
  <c r="C1172" i="55"/>
  <c r="C1185" i="55"/>
  <c r="B1172" i="55"/>
  <c r="A1172" i="55"/>
  <c r="N1171" i="55"/>
  <c r="N1184" i="55"/>
  <c r="M1171" i="55"/>
  <c r="M1184" i="55"/>
  <c r="L1171" i="55"/>
  <c r="L1184" i="55"/>
  <c r="K1171" i="55"/>
  <c r="K1184" i="55"/>
  <c r="J1171" i="55"/>
  <c r="J1184" i="55"/>
  <c r="I1171" i="55"/>
  <c r="I1184" i="55"/>
  <c r="H1171" i="55"/>
  <c r="H1184" i="55"/>
  <c r="G1171" i="55"/>
  <c r="G1184" i="55"/>
  <c r="F1171" i="55"/>
  <c r="E1171" i="55"/>
  <c r="E1184" i="55"/>
  <c r="D1171" i="55"/>
  <c r="D1184" i="55"/>
  <c r="C1171" i="55"/>
  <c r="C1184" i="55"/>
  <c r="B1171" i="55"/>
  <c r="A1171" i="55"/>
  <c r="B1184" i="55"/>
  <c r="O1184" i="55"/>
  <c r="N1170" i="55"/>
  <c r="N1183" i="55"/>
  <c r="M1170" i="55"/>
  <c r="M1183" i="55"/>
  <c r="L1170" i="55"/>
  <c r="L1183" i="55"/>
  <c r="K1170" i="55"/>
  <c r="K1183" i="55"/>
  <c r="J1170" i="55"/>
  <c r="J1183" i="55"/>
  <c r="I1170" i="55"/>
  <c r="I1183" i="55"/>
  <c r="H1170" i="55"/>
  <c r="H1183" i="55"/>
  <c r="G1170" i="55"/>
  <c r="G1183" i="55"/>
  <c r="F1170" i="55"/>
  <c r="F1183" i="55"/>
  <c r="E1170" i="55"/>
  <c r="E1183" i="55"/>
  <c r="D1170" i="55"/>
  <c r="D1183" i="55"/>
  <c r="C1170" i="55"/>
  <c r="C1183" i="55"/>
  <c r="B1170" i="55"/>
  <c r="A1170" i="55"/>
  <c r="N1169" i="55"/>
  <c r="N1182" i="55"/>
  <c r="M1169" i="55"/>
  <c r="M1182" i="55"/>
  <c r="L1169" i="55"/>
  <c r="L1182" i="55"/>
  <c r="K1169" i="55"/>
  <c r="K1182" i="55"/>
  <c r="J1169" i="55"/>
  <c r="J1182" i="55"/>
  <c r="I1169" i="55"/>
  <c r="I1182" i="55"/>
  <c r="H1169" i="55"/>
  <c r="H1182" i="55"/>
  <c r="G1169" i="55"/>
  <c r="G1182" i="55"/>
  <c r="F1169" i="55"/>
  <c r="E1169" i="55"/>
  <c r="E1182" i="55"/>
  <c r="D1169" i="55"/>
  <c r="D1182" i="55"/>
  <c r="C1169" i="55"/>
  <c r="C1182" i="55"/>
  <c r="B1169" i="55"/>
  <c r="A1169" i="55"/>
  <c r="N1168" i="55"/>
  <c r="N1181" i="55"/>
  <c r="M1168" i="55"/>
  <c r="M1181" i="55"/>
  <c r="L1168" i="55"/>
  <c r="L1181" i="55"/>
  <c r="K1168" i="55"/>
  <c r="K1181" i="55"/>
  <c r="J1168" i="55"/>
  <c r="J1181" i="55"/>
  <c r="I1168" i="55"/>
  <c r="I1181" i="55"/>
  <c r="H1168" i="55"/>
  <c r="H1181" i="55"/>
  <c r="G1168" i="55"/>
  <c r="G1181" i="55"/>
  <c r="F1168" i="55"/>
  <c r="E1168" i="55"/>
  <c r="E1181" i="55"/>
  <c r="D1168" i="55"/>
  <c r="D1181" i="55"/>
  <c r="C1168" i="55"/>
  <c r="B1168" i="55"/>
  <c r="A1168" i="55"/>
  <c r="N1167" i="55"/>
  <c r="N1180" i="55"/>
  <c r="M1167" i="55"/>
  <c r="M1180" i="55"/>
  <c r="L1167" i="55"/>
  <c r="L1180" i="55"/>
  <c r="K1167" i="55"/>
  <c r="K1180" i="55"/>
  <c r="J1167" i="55"/>
  <c r="J1180" i="55"/>
  <c r="I1167" i="55"/>
  <c r="I1180" i="55"/>
  <c r="H1167" i="55"/>
  <c r="H1180" i="55"/>
  <c r="G1167" i="55"/>
  <c r="G1180" i="55"/>
  <c r="F1167" i="55"/>
  <c r="E1167" i="55"/>
  <c r="E1180" i="55"/>
  <c r="D1167" i="55"/>
  <c r="D1180" i="55"/>
  <c r="C1167" i="55"/>
  <c r="C1180" i="55"/>
  <c r="B1167" i="55"/>
  <c r="A1167" i="55"/>
  <c r="N1166" i="55"/>
  <c r="N1179" i="55"/>
  <c r="M1166" i="55"/>
  <c r="M1179" i="55"/>
  <c r="L1166" i="55"/>
  <c r="L1179" i="55"/>
  <c r="K1166" i="55"/>
  <c r="K1179" i="55"/>
  <c r="J1166" i="55"/>
  <c r="J1179" i="55"/>
  <c r="I1166" i="55"/>
  <c r="I1179" i="55"/>
  <c r="H1166" i="55"/>
  <c r="H1179" i="55"/>
  <c r="G1166" i="55"/>
  <c r="G1179" i="55"/>
  <c r="F1166" i="55"/>
  <c r="F1179" i="55"/>
  <c r="E1166" i="55"/>
  <c r="D1166" i="55"/>
  <c r="D1179" i="55"/>
  <c r="C1166" i="55"/>
  <c r="C1179" i="55"/>
  <c r="B1166" i="55"/>
  <c r="A1166" i="55"/>
  <c r="N1165" i="55"/>
  <c r="N1178" i="55"/>
  <c r="M1165" i="55"/>
  <c r="M1178" i="55"/>
  <c r="L1165" i="55"/>
  <c r="L1178" i="55"/>
  <c r="K1165" i="55"/>
  <c r="K1178" i="55"/>
  <c r="J1165" i="55"/>
  <c r="J1178" i="55"/>
  <c r="I1165" i="55"/>
  <c r="I1178" i="55"/>
  <c r="H1165" i="55"/>
  <c r="H1178" i="55"/>
  <c r="G1165" i="55"/>
  <c r="G1178" i="55"/>
  <c r="F1165" i="55"/>
  <c r="E1165" i="55"/>
  <c r="E1178" i="55"/>
  <c r="D1165" i="55"/>
  <c r="D1178" i="55"/>
  <c r="C1165" i="55"/>
  <c r="B1165" i="55"/>
  <c r="A1165" i="55"/>
  <c r="N1164" i="55"/>
  <c r="N1177" i="55"/>
  <c r="M1164" i="55"/>
  <c r="M1177" i="55"/>
  <c r="L1164" i="55"/>
  <c r="L1177" i="55"/>
  <c r="K1164" i="55"/>
  <c r="J1164" i="55"/>
  <c r="J1177" i="55"/>
  <c r="I1164" i="55"/>
  <c r="I1177" i="55"/>
  <c r="H1164" i="55"/>
  <c r="H1177" i="55"/>
  <c r="G1164" i="55"/>
  <c r="G1177" i="55"/>
  <c r="F1164" i="55"/>
  <c r="E1164" i="55"/>
  <c r="E1177" i="55"/>
  <c r="D1164" i="55"/>
  <c r="D1177" i="55"/>
  <c r="C1164" i="55"/>
  <c r="C1177" i="55"/>
  <c r="B1164" i="55"/>
  <c r="A1164" i="55"/>
  <c r="B1177" i="55"/>
  <c r="C1161" i="55"/>
  <c r="C1160" i="55"/>
  <c r="N1159" i="55"/>
  <c r="M1159" i="55"/>
  <c r="C1159" i="55"/>
  <c r="N1158" i="55"/>
  <c r="M1158" i="55"/>
  <c r="L1158" i="55"/>
  <c r="E1158" i="55"/>
  <c r="C1158" i="55"/>
  <c r="N1157" i="55"/>
  <c r="M1157" i="55"/>
  <c r="L1157" i="55"/>
  <c r="E1157" i="55"/>
  <c r="N1156" i="55"/>
  <c r="M1156" i="55"/>
  <c r="L1156" i="55"/>
  <c r="K1156" i="55"/>
  <c r="E1156" i="55"/>
  <c r="D1156" i="55"/>
  <c r="K1154" i="55"/>
  <c r="J1154" i="55"/>
  <c r="I1154" i="55"/>
  <c r="H1154" i="55"/>
  <c r="D1154" i="55"/>
  <c r="C1154" i="55"/>
  <c r="K1153" i="55"/>
  <c r="J1153" i="55"/>
  <c r="I1153" i="55"/>
  <c r="H1153" i="55"/>
  <c r="D1153" i="55"/>
  <c r="C1153" i="55"/>
  <c r="N1152" i="55"/>
  <c r="M1152" i="55"/>
  <c r="K1152" i="55"/>
  <c r="J1152" i="55"/>
  <c r="I1152" i="55"/>
  <c r="H1152" i="55"/>
  <c r="D1152" i="55"/>
  <c r="C1152" i="55"/>
  <c r="N1151" i="55"/>
  <c r="M1151" i="55"/>
  <c r="L1151" i="55"/>
  <c r="K1151" i="55"/>
  <c r="J1151" i="55"/>
  <c r="I1151" i="55"/>
  <c r="H1151" i="55"/>
  <c r="D1151" i="55"/>
  <c r="C1151" i="55"/>
  <c r="N1150" i="55"/>
  <c r="M1150" i="55"/>
  <c r="L1150" i="55"/>
  <c r="K1150" i="55"/>
  <c r="J1150" i="55"/>
  <c r="I1150" i="55"/>
  <c r="H1150" i="55"/>
  <c r="D1150" i="55"/>
  <c r="D1185" i="55"/>
  <c r="F1182" i="55"/>
  <c r="K1177" i="55"/>
  <c r="C1181" i="55"/>
  <c r="E1179" i="55"/>
  <c r="B1179" i="55"/>
  <c r="O1179" i="55"/>
  <c r="B1181" i="55"/>
  <c r="B1183" i="55"/>
  <c r="O1183" i="55"/>
  <c r="B1185" i="55"/>
  <c r="O1185" i="55"/>
  <c r="B1178" i="55"/>
  <c r="F1178" i="55"/>
  <c r="B1180" i="55"/>
  <c r="B1182" i="55"/>
  <c r="O1182" i="55"/>
  <c r="B1186" i="55"/>
  <c r="F1177" i="55"/>
  <c r="F1180" i="55"/>
  <c r="F1181" i="55"/>
  <c r="F1184" i="55"/>
  <c r="F1186" i="55"/>
  <c r="C1178" i="55"/>
  <c r="D129" i="74"/>
  <c r="D128" i="74"/>
  <c r="D127" i="74"/>
  <c r="D126" i="74"/>
  <c r="D124" i="74"/>
  <c r="D123" i="74"/>
  <c r="D122" i="74"/>
  <c r="D125" i="74"/>
  <c r="D121" i="74"/>
  <c r="D120" i="74"/>
  <c r="D119" i="74"/>
  <c r="D118" i="74"/>
  <c r="D117" i="74"/>
  <c r="D116" i="74"/>
  <c r="D115" i="74"/>
  <c r="D114" i="74"/>
  <c r="D113" i="74"/>
  <c r="D112" i="74"/>
  <c r="O1178" i="55"/>
  <c r="AF215" i="54"/>
  <c r="U769" i="56"/>
  <c r="O1180" i="55"/>
  <c r="O1181" i="55"/>
  <c r="AF221" i="54"/>
  <c r="U772" i="56"/>
  <c r="U618" i="69"/>
  <c r="O1186" i="55"/>
  <c r="AF227" i="54"/>
  <c r="U775" i="56"/>
  <c r="U621" i="69"/>
  <c r="AF229" i="54"/>
  <c r="U776" i="56"/>
  <c r="U672" i="67"/>
  <c r="AF225" i="54"/>
  <c r="U774" i="56"/>
  <c r="U670" i="67"/>
  <c r="AF223" i="54"/>
  <c r="U773" i="56"/>
  <c r="AF217" i="54"/>
  <c r="U770" i="56"/>
  <c r="U666" i="67"/>
  <c r="AF233" i="54"/>
  <c r="U778" i="56"/>
  <c r="U674" i="67"/>
  <c r="AF231" i="54"/>
  <c r="U777" i="56"/>
  <c r="U673" i="67"/>
  <c r="AF219" i="54"/>
  <c r="U771" i="56"/>
  <c r="G50" i="74"/>
  <c r="D100" i="74"/>
  <c r="D99" i="74"/>
  <c r="R94" i="74"/>
  <c r="O94" i="74"/>
  <c r="L94" i="74"/>
  <c r="H94" i="74"/>
  <c r="R93" i="74"/>
  <c r="O93" i="74"/>
  <c r="L93" i="74"/>
  <c r="H93" i="74"/>
  <c r="R92" i="74"/>
  <c r="O92" i="74"/>
  <c r="L92" i="74"/>
  <c r="H92" i="74"/>
  <c r="R91" i="74"/>
  <c r="O91" i="74"/>
  <c r="L91" i="74"/>
  <c r="H91" i="74"/>
  <c r="R90" i="74"/>
  <c r="O90" i="74"/>
  <c r="L90" i="74"/>
  <c r="H90" i="74"/>
  <c r="R89" i="74"/>
  <c r="O89" i="74"/>
  <c r="L89" i="74"/>
  <c r="H89" i="74"/>
  <c r="R88" i="74"/>
  <c r="O88" i="74"/>
  <c r="L88" i="74"/>
  <c r="H88" i="74"/>
  <c r="R87" i="74"/>
  <c r="O87" i="74"/>
  <c r="L87" i="74"/>
  <c r="H87" i="74"/>
  <c r="R86" i="74"/>
  <c r="O86" i="74"/>
  <c r="L86" i="74"/>
  <c r="H86" i="74"/>
  <c r="R85" i="74"/>
  <c r="O85" i="74"/>
  <c r="L85" i="74"/>
  <c r="H85" i="74"/>
  <c r="R84" i="74"/>
  <c r="O84" i="74"/>
  <c r="L84" i="74"/>
  <c r="H84" i="74"/>
  <c r="R83" i="74"/>
  <c r="O83" i="74"/>
  <c r="L83" i="74"/>
  <c r="H83" i="74"/>
  <c r="R82" i="74"/>
  <c r="O82" i="74"/>
  <c r="L82" i="74"/>
  <c r="H82" i="74"/>
  <c r="R81" i="74"/>
  <c r="O81" i="74"/>
  <c r="L81" i="74"/>
  <c r="H81" i="74"/>
  <c r="R80" i="74"/>
  <c r="O80" i="74"/>
  <c r="L80" i="74"/>
  <c r="H80" i="74"/>
  <c r="R79" i="74"/>
  <c r="O79" i="74"/>
  <c r="L79" i="74"/>
  <c r="H79" i="74"/>
  <c r="R78" i="74"/>
  <c r="O78" i="74"/>
  <c r="L78" i="74"/>
  <c r="H78" i="74"/>
  <c r="R77" i="74"/>
  <c r="O77" i="74"/>
  <c r="L77" i="74"/>
  <c r="H77" i="74"/>
  <c r="R76" i="74"/>
  <c r="O76" i="74"/>
  <c r="L76" i="74"/>
  <c r="H76" i="74"/>
  <c r="R75" i="74"/>
  <c r="O75" i="74"/>
  <c r="L75" i="74"/>
  <c r="H75" i="74"/>
  <c r="R74" i="74"/>
  <c r="O74" i="74"/>
  <c r="L74" i="74"/>
  <c r="H74" i="74"/>
  <c r="R73" i="74"/>
  <c r="O73" i="74"/>
  <c r="L73" i="74"/>
  <c r="H73" i="74"/>
  <c r="R72" i="74"/>
  <c r="O72" i="74"/>
  <c r="L72" i="74"/>
  <c r="H72" i="74"/>
  <c r="R71" i="74"/>
  <c r="O71" i="74"/>
  <c r="L71" i="74"/>
  <c r="H71" i="74"/>
  <c r="R70" i="74"/>
  <c r="O70" i="74"/>
  <c r="L70" i="74"/>
  <c r="H70" i="74"/>
  <c r="R69" i="74"/>
  <c r="O69" i="74"/>
  <c r="L69" i="74"/>
  <c r="H69" i="74"/>
  <c r="R68" i="74"/>
  <c r="O68" i="74"/>
  <c r="L68" i="74"/>
  <c r="H68" i="74"/>
  <c r="R67" i="74"/>
  <c r="O67" i="74"/>
  <c r="L67" i="74"/>
  <c r="H67" i="74"/>
  <c r="R66" i="74"/>
  <c r="O66" i="74"/>
  <c r="L66" i="74"/>
  <c r="H66" i="74"/>
  <c r="R65" i="74"/>
  <c r="O65" i="74"/>
  <c r="L65" i="74"/>
  <c r="H65" i="74"/>
  <c r="R64" i="74"/>
  <c r="O64" i="74"/>
  <c r="L64" i="74"/>
  <c r="H64" i="74"/>
  <c r="R63" i="74"/>
  <c r="O63" i="74"/>
  <c r="L63" i="74"/>
  <c r="H63" i="74"/>
  <c r="R62" i="74"/>
  <c r="O62" i="74"/>
  <c r="L62" i="74"/>
  <c r="H62" i="74"/>
  <c r="R61" i="74"/>
  <c r="O61" i="74"/>
  <c r="L61" i="74"/>
  <c r="H61" i="74"/>
  <c r="R60" i="74"/>
  <c r="O60" i="74"/>
  <c r="L60" i="74"/>
  <c r="H60" i="74"/>
  <c r="R59" i="74"/>
  <c r="O59" i="74"/>
  <c r="L59" i="74"/>
  <c r="H59" i="74"/>
  <c r="R58" i="74"/>
  <c r="O58" i="74"/>
  <c r="L58" i="74"/>
  <c r="H58" i="74"/>
  <c r="R57" i="74"/>
  <c r="O57" i="74"/>
  <c r="L57" i="74"/>
  <c r="H57" i="74"/>
  <c r="R56" i="74"/>
  <c r="O56" i="74"/>
  <c r="L56" i="74"/>
  <c r="H56" i="74"/>
  <c r="R55" i="74"/>
  <c r="O55" i="74"/>
  <c r="L55" i="74"/>
  <c r="H55" i="74"/>
  <c r="R54" i="74"/>
  <c r="O54" i="74"/>
  <c r="L54" i="74"/>
  <c r="H54" i="74"/>
  <c r="R53" i="74"/>
  <c r="O53" i="74"/>
  <c r="L53" i="74"/>
  <c r="H53" i="74"/>
  <c r="R52" i="74"/>
  <c r="O52" i="74"/>
  <c r="L52" i="74"/>
  <c r="H52" i="74"/>
  <c r="R51" i="74"/>
  <c r="O51" i="74"/>
  <c r="L51" i="74"/>
  <c r="H51" i="74"/>
  <c r="R50" i="74"/>
  <c r="O50" i="74"/>
  <c r="L50" i="74"/>
  <c r="H50" i="74"/>
  <c r="I35" i="74"/>
  <c r="K35" i="74"/>
  <c r="P27" i="74"/>
  <c r="N27" i="74"/>
  <c r="I27" i="74"/>
  <c r="G104" i="74"/>
  <c r="G103" i="74"/>
  <c r="G100" i="74"/>
  <c r="G99" i="74"/>
  <c r="G94" i="74"/>
  <c r="G93" i="74"/>
  <c r="G92" i="74"/>
  <c r="G91" i="74"/>
  <c r="G90" i="74"/>
  <c r="G89" i="74"/>
  <c r="G88" i="74"/>
  <c r="G87" i="74"/>
  <c r="G86" i="74"/>
  <c r="G85" i="74"/>
  <c r="G84" i="74"/>
  <c r="G83" i="74"/>
  <c r="G82" i="74"/>
  <c r="G81" i="74"/>
  <c r="G80" i="74"/>
  <c r="G79" i="74"/>
  <c r="G78" i="74"/>
  <c r="G77" i="74"/>
  <c r="G76" i="74"/>
  <c r="G75" i="74"/>
  <c r="G74" i="74"/>
  <c r="G73" i="74"/>
  <c r="G72" i="74"/>
  <c r="G71" i="74"/>
  <c r="G70" i="74"/>
  <c r="G69" i="74"/>
  <c r="G68" i="74"/>
  <c r="G67" i="74"/>
  <c r="G66" i="74"/>
  <c r="G65" i="74"/>
  <c r="G64" i="74"/>
  <c r="G63" i="74"/>
  <c r="G62" i="74"/>
  <c r="G61" i="74"/>
  <c r="G60" i="74"/>
  <c r="G59" i="74"/>
  <c r="G58" i="74"/>
  <c r="G57" i="74"/>
  <c r="G56" i="74"/>
  <c r="G55" i="74"/>
  <c r="G54" i="74"/>
  <c r="I54" i="74"/>
  <c r="G53" i="74"/>
  <c r="I53" i="74"/>
  <c r="G52" i="74"/>
  <c r="G51"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H44" i="74"/>
  <c r="I44" i="74"/>
  <c r="F44" i="74"/>
  <c r="H43" i="74"/>
  <c r="I43" i="74"/>
  <c r="F43" i="74"/>
  <c r="H42" i="74"/>
  <c r="I42" i="74"/>
  <c r="K42" i="74"/>
  <c r="F42" i="74"/>
  <c r="C42" i="74"/>
  <c r="C43" i="74"/>
  <c r="C44" i="74"/>
  <c r="H41" i="74"/>
  <c r="I41" i="74"/>
  <c r="F41" i="74"/>
  <c r="G35" i="74"/>
  <c r="G34" i="74"/>
  <c r="I34" i="74"/>
  <c r="K34" i="74"/>
  <c r="G33" i="74"/>
  <c r="I33" i="74"/>
  <c r="K33" i="74"/>
  <c r="G32" i="74"/>
  <c r="I32" i="74"/>
  <c r="K32" i="74"/>
  <c r="H27" i="74"/>
  <c r="U671" i="67"/>
  <c r="U622" i="69"/>
  <c r="U620" i="69"/>
  <c r="U616" i="69"/>
  <c r="U668" i="67"/>
  <c r="U624" i="69"/>
  <c r="U623" i="69"/>
  <c r="G105" i="74"/>
  <c r="H105" i="74"/>
  <c r="I105" i="74"/>
  <c r="K27" i="74"/>
  <c r="K29" i="74"/>
  <c r="Q32" i="74"/>
  <c r="G101" i="74"/>
  <c r="H101" i="74"/>
  <c r="I101" i="74"/>
  <c r="I51" i="74"/>
  <c r="T51" i="74"/>
  <c r="I50" i="74"/>
  <c r="T50" i="74"/>
  <c r="K43" i="74"/>
  <c r="I58" i="74"/>
  <c r="T58" i="74"/>
  <c r="I62" i="74"/>
  <c r="T62" i="74"/>
  <c r="I70" i="74"/>
  <c r="T70" i="74"/>
  <c r="I78" i="74"/>
  <c r="T78" i="74"/>
  <c r="I86" i="74"/>
  <c r="T86" i="74"/>
  <c r="I55" i="74"/>
  <c r="T55" i="74"/>
  <c r="I59" i="74"/>
  <c r="T59" i="74"/>
  <c r="I63" i="74"/>
  <c r="T63" i="74"/>
  <c r="I67" i="74"/>
  <c r="T67" i="74"/>
  <c r="I71" i="74"/>
  <c r="T71" i="74"/>
  <c r="I75" i="74"/>
  <c r="T75" i="74"/>
  <c r="I79" i="74"/>
  <c r="T79" i="74"/>
  <c r="I83" i="74"/>
  <c r="T83" i="74"/>
  <c r="I87" i="74"/>
  <c r="T87" i="74"/>
  <c r="K41" i="74"/>
  <c r="T53" i="74"/>
  <c r="I56" i="74"/>
  <c r="T56" i="74"/>
  <c r="I60" i="74"/>
  <c r="T60" i="74"/>
  <c r="I64" i="74"/>
  <c r="T64" i="74"/>
  <c r="I68" i="74"/>
  <c r="T68" i="74"/>
  <c r="I72" i="74"/>
  <c r="T72" i="74"/>
  <c r="I76" i="74"/>
  <c r="T76" i="74"/>
  <c r="I80" i="74"/>
  <c r="T80" i="74"/>
  <c r="I84" i="74"/>
  <c r="T84" i="74"/>
  <c r="D101" i="74"/>
  <c r="H100" i="74"/>
  <c r="I100" i="74"/>
  <c r="H99" i="74"/>
  <c r="I99" i="74"/>
  <c r="I66" i="74"/>
  <c r="T66" i="74"/>
  <c r="I74" i="74"/>
  <c r="T74" i="74"/>
  <c r="I82" i="74"/>
  <c r="T82" i="74"/>
  <c r="I52" i="74"/>
  <c r="T52" i="74"/>
  <c r="T54" i="74"/>
  <c r="I57" i="74"/>
  <c r="T57" i="74"/>
  <c r="I61" i="74"/>
  <c r="T61" i="74"/>
  <c r="I65" i="74"/>
  <c r="T65" i="74"/>
  <c r="I69" i="74"/>
  <c r="T69" i="74"/>
  <c r="I73" i="74"/>
  <c r="T73" i="74"/>
  <c r="I77" i="74"/>
  <c r="T77" i="74"/>
  <c r="I81" i="74"/>
  <c r="T81" i="74"/>
  <c r="I85" i="74"/>
  <c r="T85" i="74"/>
  <c r="I88" i="74"/>
  <c r="T88" i="74"/>
  <c r="I89" i="74"/>
  <c r="T89" i="74"/>
  <c r="I90" i="74"/>
  <c r="T90" i="74"/>
  <c r="I91" i="74"/>
  <c r="T91" i="74"/>
  <c r="I92" i="74"/>
  <c r="T92" i="74"/>
  <c r="I93" i="74"/>
  <c r="T93" i="74"/>
  <c r="I94" i="74"/>
  <c r="T94" i="74"/>
  <c r="U121" i="55"/>
  <c r="M22" i="54"/>
  <c r="M23" i="54"/>
  <c r="M24" i="54"/>
  <c r="M25" i="54"/>
  <c r="M21" i="54"/>
  <c r="M26" i="54"/>
  <c r="M27" i="54"/>
  <c r="M28" i="54"/>
  <c r="M29" i="54"/>
  <c r="M30" i="54"/>
  <c r="M31" i="54"/>
  <c r="L32" i="54"/>
  <c r="M32" i="54"/>
  <c r="M33" i="54"/>
  <c r="L33" i="54"/>
  <c r="Q22" i="54"/>
  <c r="Q23" i="54"/>
  <c r="Q24" i="54"/>
  <c r="Q25" i="54"/>
  <c r="Q21" i="54"/>
  <c r="Q26" i="54"/>
  <c r="P26" i="54"/>
  <c r="C27" i="54"/>
  <c r="D27" i="54"/>
  <c r="C25" i="54"/>
  <c r="C26" i="54"/>
  <c r="C24" i="54"/>
  <c r="C23" i="54"/>
  <c r="AG9" i="54"/>
  <c r="S9" i="54"/>
  <c r="J9" i="54"/>
  <c r="C9" i="54"/>
  <c r="T7" i="54"/>
  <c r="C7" i="54"/>
  <c r="F181" i="55"/>
  <c r="E181" i="55"/>
  <c r="D181" i="55"/>
  <c r="C181" i="55"/>
  <c r="F182" i="55"/>
  <c r="F197" i="55"/>
  <c r="E182" i="55"/>
  <c r="E197" i="55"/>
  <c r="D182" i="55"/>
  <c r="D197" i="55"/>
  <c r="C182" i="55"/>
  <c r="C197" i="55"/>
  <c r="V47" i="55"/>
  <c r="V43" i="55"/>
  <c r="X35" i="55"/>
  <c r="X36" i="55"/>
  <c r="X37" i="55"/>
  <c r="X38" i="55"/>
  <c r="X34" i="55"/>
  <c r="W35" i="55"/>
  <c r="Y35" i="55"/>
  <c r="W36" i="55"/>
  <c r="W37" i="55"/>
  <c r="Y37" i="55"/>
  <c r="J503" i="56"/>
  <c r="J443" i="66"/>
  <c r="Y38" i="55"/>
  <c r="W34" i="55"/>
  <c r="Y34" i="55"/>
  <c r="V74" i="54"/>
  <c r="V72" i="54"/>
  <c r="V70" i="54"/>
  <c r="V68" i="54"/>
  <c r="V66" i="54"/>
  <c r="V63" i="54"/>
  <c r="V60" i="54"/>
  <c r="V57" i="54"/>
  <c r="V54" i="54"/>
  <c r="V51" i="54"/>
  <c r="W47" i="55"/>
  <c r="V48" i="54"/>
  <c r="Y36" i="55"/>
  <c r="J502" i="56"/>
  <c r="J442" i="66"/>
  <c r="L392" i="67"/>
  <c r="L336" i="68"/>
  <c r="V45" i="54"/>
  <c r="L491" i="56"/>
  <c r="L431" i="66"/>
  <c r="J500" i="56"/>
  <c r="J440" i="66"/>
  <c r="J499" i="56"/>
  <c r="J439" i="66"/>
  <c r="J501" i="56"/>
  <c r="J441" i="66"/>
  <c r="V42" i="54"/>
  <c r="V39" i="54"/>
  <c r="V76" i="54"/>
  <c r="U609" i="67"/>
  <c r="U560" i="69"/>
  <c r="U569" i="67"/>
  <c r="U520" i="69"/>
  <c r="T569" i="67"/>
  <c r="T520" i="69"/>
  <c r="R569" i="67"/>
  <c r="R520" i="69"/>
  <c r="P569" i="67"/>
  <c r="P520" i="69"/>
  <c r="N569" i="67"/>
  <c r="N520" i="69"/>
  <c r="L569" i="67"/>
  <c r="L520" i="69"/>
  <c r="J569" i="67"/>
  <c r="J520" i="69"/>
  <c r="I569" i="67"/>
  <c r="I520" i="69"/>
  <c r="H569" i="67"/>
  <c r="H520" i="69"/>
  <c r="F569" i="67"/>
  <c r="F520" i="69"/>
  <c r="D569" i="67"/>
  <c r="D520" i="69"/>
  <c r="B569" i="67"/>
  <c r="B520" i="69"/>
  <c r="B726" i="56"/>
  <c r="B624" i="67"/>
  <c r="B575" i="69"/>
  <c r="C726" i="56"/>
  <c r="C624" i="67"/>
  <c r="C575" i="69"/>
  <c r="D726" i="56"/>
  <c r="D624" i="67"/>
  <c r="D575" i="69"/>
  <c r="E726" i="56"/>
  <c r="E624" i="67"/>
  <c r="E575" i="69"/>
  <c r="F726" i="56"/>
  <c r="F624" i="67"/>
  <c r="F575" i="69"/>
  <c r="G726" i="56"/>
  <c r="G624" i="67"/>
  <c r="G575" i="69"/>
  <c r="H726" i="56"/>
  <c r="H624" i="67"/>
  <c r="H575" i="69"/>
  <c r="I726" i="56"/>
  <c r="I624" i="67"/>
  <c r="I575" i="69"/>
  <c r="J726" i="56"/>
  <c r="J624" i="67"/>
  <c r="J575" i="69"/>
  <c r="K726" i="56"/>
  <c r="K624" i="67"/>
  <c r="K575" i="69"/>
  <c r="L726" i="56"/>
  <c r="L624" i="67"/>
  <c r="L575" i="69"/>
  <c r="M726" i="56"/>
  <c r="M624" i="67"/>
  <c r="M575" i="69"/>
  <c r="N726" i="56"/>
  <c r="N624" i="67"/>
  <c r="N575" i="69"/>
  <c r="O726" i="56"/>
  <c r="O624" i="67"/>
  <c r="O575" i="69"/>
  <c r="P726" i="56"/>
  <c r="P624" i="67"/>
  <c r="P575" i="69"/>
  <c r="Q726" i="56"/>
  <c r="Q624" i="67"/>
  <c r="Q575" i="69"/>
  <c r="R726" i="56"/>
  <c r="R624" i="67"/>
  <c r="R575" i="69"/>
  <c r="S726" i="56"/>
  <c r="S624" i="67"/>
  <c r="S575" i="69"/>
  <c r="T726" i="56"/>
  <c r="T624" i="67"/>
  <c r="T575" i="69"/>
  <c r="B725" i="56"/>
  <c r="B623" i="67"/>
  <c r="B574" i="69"/>
  <c r="C725" i="56"/>
  <c r="C623" i="67"/>
  <c r="C574" i="69"/>
  <c r="D725" i="56"/>
  <c r="D623" i="67"/>
  <c r="D574" i="69"/>
  <c r="E725" i="56"/>
  <c r="E623" i="67"/>
  <c r="E574" i="69"/>
  <c r="F725" i="56"/>
  <c r="F623" i="67"/>
  <c r="F574" i="69"/>
  <c r="G725" i="56"/>
  <c r="G623" i="67"/>
  <c r="G574" i="69"/>
  <c r="H725" i="56"/>
  <c r="H623" i="67"/>
  <c r="H574" i="69"/>
  <c r="I725" i="56"/>
  <c r="I623" i="67"/>
  <c r="I574" i="69"/>
  <c r="J725" i="56"/>
  <c r="J623" i="67"/>
  <c r="J574" i="69"/>
  <c r="K725" i="56"/>
  <c r="K623" i="67"/>
  <c r="K574" i="69"/>
  <c r="L725" i="56"/>
  <c r="L623" i="67"/>
  <c r="L574" i="69"/>
  <c r="M725" i="56"/>
  <c r="M623" i="67"/>
  <c r="M574" i="69"/>
  <c r="N725" i="56"/>
  <c r="N623" i="67"/>
  <c r="N574" i="69"/>
  <c r="O725" i="56"/>
  <c r="O623" i="67"/>
  <c r="O574" i="69"/>
  <c r="P725" i="56"/>
  <c r="P623" i="67"/>
  <c r="P574" i="69"/>
  <c r="Q725" i="56"/>
  <c r="Q623" i="67"/>
  <c r="Q574" i="69"/>
  <c r="R725" i="56"/>
  <c r="R623" i="67"/>
  <c r="R574" i="69"/>
  <c r="S725" i="56"/>
  <c r="S623" i="67"/>
  <c r="S574" i="69"/>
  <c r="T725" i="56"/>
  <c r="T623" i="67"/>
  <c r="T574" i="69"/>
  <c r="B724" i="56"/>
  <c r="B622" i="67"/>
  <c r="B573" i="69"/>
  <c r="C724" i="56"/>
  <c r="C622" i="67"/>
  <c r="C573" i="69"/>
  <c r="D724" i="56"/>
  <c r="D622" i="67"/>
  <c r="D573" i="69"/>
  <c r="E724" i="56"/>
  <c r="E622" i="67"/>
  <c r="E573" i="69"/>
  <c r="F724" i="56"/>
  <c r="F622" i="67"/>
  <c r="F573" i="69"/>
  <c r="G724" i="56"/>
  <c r="G622" i="67"/>
  <c r="G573" i="69"/>
  <c r="H724" i="56"/>
  <c r="H622" i="67"/>
  <c r="H573" i="69"/>
  <c r="I724" i="56"/>
  <c r="I622" i="67"/>
  <c r="I573" i="69"/>
  <c r="J724" i="56"/>
  <c r="J622" i="67"/>
  <c r="J573" i="69"/>
  <c r="K724" i="56"/>
  <c r="K622" i="67"/>
  <c r="K573" i="69"/>
  <c r="L724" i="56"/>
  <c r="L622" i="67"/>
  <c r="L573" i="69"/>
  <c r="M724" i="56"/>
  <c r="M622" i="67"/>
  <c r="M573" i="69"/>
  <c r="N724" i="56"/>
  <c r="N622" i="67"/>
  <c r="N573" i="69"/>
  <c r="O724" i="56"/>
  <c r="O622" i="67"/>
  <c r="O573" i="69"/>
  <c r="P724" i="56"/>
  <c r="P622" i="67"/>
  <c r="P573" i="69"/>
  <c r="Q724" i="56"/>
  <c r="Q622" i="67"/>
  <c r="Q573" i="69"/>
  <c r="R724" i="56"/>
  <c r="R622" i="67"/>
  <c r="R573" i="69"/>
  <c r="S724" i="56"/>
  <c r="S622" i="67"/>
  <c r="S573" i="69"/>
  <c r="T724" i="56"/>
  <c r="T622" i="67"/>
  <c r="T573" i="69"/>
  <c r="B723" i="56"/>
  <c r="B621" i="67"/>
  <c r="B572" i="69"/>
  <c r="C723" i="56"/>
  <c r="C621" i="67"/>
  <c r="C572" i="69"/>
  <c r="D723" i="56"/>
  <c r="D621" i="67"/>
  <c r="D572" i="69"/>
  <c r="E723" i="56"/>
  <c r="E621" i="67"/>
  <c r="E572" i="69"/>
  <c r="F723" i="56"/>
  <c r="F621" i="67"/>
  <c r="F572" i="69"/>
  <c r="G723" i="56"/>
  <c r="G621" i="67"/>
  <c r="G572" i="69"/>
  <c r="H723" i="56"/>
  <c r="H621" i="67"/>
  <c r="H572" i="69"/>
  <c r="I723" i="56"/>
  <c r="I621" i="67"/>
  <c r="I572" i="69"/>
  <c r="J723" i="56"/>
  <c r="J621" i="67"/>
  <c r="J572" i="69"/>
  <c r="K723" i="56"/>
  <c r="K621" i="67"/>
  <c r="K572" i="69"/>
  <c r="L723" i="56"/>
  <c r="L621" i="67"/>
  <c r="L572" i="69"/>
  <c r="M723" i="56"/>
  <c r="M621" i="67"/>
  <c r="M572" i="69"/>
  <c r="N723" i="56"/>
  <c r="N621" i="67"/>
  <c r="N572" i="69"/>
  <c r="O723" i="56"/>
  <c r="O621" i="67"/>
  <c r="O572" i="69"/>
  <c r="P723" i="56"/>
  <c r="P621" i="67"/>
  <c r="P572" i="69"/>
  <c r="Q723" i="56"/>
  <c r="Q621" i="67"/>
  <c r="Q572" i="69"/>
  <c r="R723" i="56"/>
  <c r="R621" i="67"/>
  <c r="R572" i="69"/>
  <c r="S723" i="56"/>
  <c r="S621" i="67"/>
  <c r="S572" i="69"/>
  <c r="T723" i="56"/>
  <c r="T621" i="67"/>
  <c r="T572" i="69"/>
  <c r="B722" i="56"/>
  <c r="B620" i="67"/>
  <c r="B571" i="69"/>
  <c r="C722" i="56"/>
  <c r="C620" i="67"/>
  <c r="C571" i="69"/>
  <c r="D722" i="56"/>
  <c r="D620" i="67"/>
  <c r="D571" i="69"/>
  <c r="E722" i="56"/>
  <c r="E620" i="67"/>
  <c r="E571" i="69"/>
  <c r="F722" i="56"/>
  <c r="F620" i="67"/>
  <c r="F571" i="69"/>
  <c r="G722" i="56"/>
  <c r="G620" i="67"/>
  <c r="G571" i="69"/>
  <c r="H722" i="56"/>
  <c r="H620" i="67"/>
  <c r="H571" i="69"/>
  <c r="I722" i="56"/>
  <c r="I620" i="67"/>
  <c r="I571" i="69"/>
  <c r="J722" i="56"/>
  <c r="J620" i="67"/>
  <c r="J571" i="69"/>
  <c r="K722" i="56"/>
  <c r="K620" i="67"/>
  <c r="K571" i="69"/>
  <c r="L722" i="56"/>
  <c r="L620" i="67"/>
  <c r="L571" i="69"/>
  <c r="M722" i="56"/>
  <c r="M620" i="67"/>
  <c r="M571" i="69"/>
  <c r="N722" i="56"/>
  <c r="N620" i="67"/>
  <c r="N571" i="69"/>
  <c r="O722" i="56"/>
  <c r="O620" i="67"/>
  <c r="O571" i="69"/>
  <c r="P722" i="56"/>
  <c r="P620" i="67"/>
  <c r="P571" i="69"/>
  <c r="Q722" i="56"/>
  <c r="Q620" i="67"/>
  <c r="Q571" i="69"/>
  <c r="R722" i="56"/>
  <c r="R620" i="67"/>
  <c r="R571" i="69"/>
  <c r="S722" i="56"/>
  <c r="S620" i="67"/>
  <c r="S571" i="69"/>
  <c r="T722" i="56"/>
  <c r="T620" i="67"/>
  <c r="T571" i="69"/>
  <c r="B721" i="56"/>
  <c r="B619" i="67"/>
  <c r="B570" i="69"/>
  <c r="C721" i="56"/>
  <c r="C619" i="67"/>
  <c r="C570" i="69"/>
  <c r="D721" i="56"/>
  <c r="D619" i="67"/>
  <c r="D570" i="69"/>
  <c r="E721" i="56"/>
  <c r="E619" i="67"/>
  <c r="E570" i="69"/>
  <c r="F721" i="56"/>
  <c r="F619" i="67"/>
  <c r="F570" i="69"/>
  <c r="G721" i="56"/>
  <c r="G619" i="67"/>
  <c r="G570" i="69"/>
  <c r="H721" i="56"/>
  <c r="H619" i="67"/>
  <c r="H570" i="69"/>
  <c r="I721" i="56"/>
  <c r="I619" i="67"/>
  <c r="I570" i="69"/>
  <c r="J721" i="56"/>
  <c r="J619" i="67"/>
  <c r="J570" i="69"/>
  <c r="K721" i="56"/>
  <c r="K619" i="67"/>
  <c r="K570" i="69"/>
  <c r="L721" i="56"/>
  <c r="L619" i="67"/>
  <c r="L570" i="69"/>
  <c r="M721" i="56"/>
  <c r="M619" i="67"/>
  <c r="M570" i="69"/>
  <c r="N721" i="56"/>
  <c r="N619" i="67"/>
  <c r="N570" i="69"/>
  <c r="O721" i="56"/>
  <c r="O619" i="67"/>
  <c r="O570" i="69"/>
  <c r="P721" i="56"/>
  <c r="P619" i="67"/>
  <c r="P570" i="69"/>
  <c r="Q721" i="56"/>
  <c r="Q619" i="67"/>
  <c r="Q570" i="69"/>
  <c r="R721" i="56"/>
  <c r="R619" i="67"/>
  <c r="R570" i="69"/>
  <c r="S721" i="56"/>
  <c r="S619" i="67"/>
  <c r="S570" i="69"/>
  <c r="T721" i="56"/>
  <c r="T619" i="67"/>
  <c r="T570" i="69"/>
  <c r="B720" i="56"/>
  <c r="B618" i="67"/>
  <c r="B569" i="69"/>
  <c r="C720" i="56"/>
  <c r="C618" i="67"/>
  <c r="C569" i="69"/>
  <c r="D720" i="56"/>
  <c r="D618" i="67"/>
  <c r="D569" i="69"/>
  <c r="E720" i="56"/>
  <c r="E618" i="67"/>
  <c r="E569" i="69"/>
  <c r="F720" i="56"/>
  <c r="F618" i="67"/>
  <c r="F569" i="69"/>
  <c r="G720" i="56"/>
  <c r="G618" i="67"/>
  <c r="G569" i="69"/>
  <c r="H720" i="56"/>
  <c r="H618" i="67"/>
  <c r="H569" i="69"/>
  <c r="I720" i="56"/>
  <c r="I618" i="67"/>
  <c r="I569" i="69"/>
  <c r="J720" i="56"/>
  <c r="J618" i="67"/>
  <c r="J569" i="69"/>
  <c r="K720" i="56"/>
  <c r="K618" i="67"/>
  <c r="K569" i="69"/>
  <c r="L720" i="56"/>
  <c r="L618" i="67"/>
  <c r="L569" i="69"/>
  <c r="M720" i="56"/>
  <c r="M618" i="67"/>
  <c r="M569" i="69"/>
  <c r="N720" i="56"/>
  <c r="N618" i="67"/>
  <c r="N569" i="69"/>
  <c r="O720" i="56"/>
  <c r="O618" i="67"/>
  <c r="O569" i="69"/>
  <c r="P720" i="56"/>
  <c r="P618" i="67"/>
  <c r="P569" i="69"/>
  <c r="Q720" i="56"/>
  <c r="Q618" i="67"/>
  <c r="Q569" i="69"/>
  <c r="R720" i="56"/>
  <c r="R618" i="67"/>
  <c r="R569" i="69"/>
  <c r="S720" i="56"/>
  <c r="S618" i="67"/>
  <c r="S569" i="69"/>
  <c r="T720" i="56"/>
  <c r="T618" i="67"/>
  <c r="T569" i="69"/>
  <c r="B719" i="56"/>
  <c r="B617" i="67"/>
  <c r="B568" i="69"/>
  <c r="C719" i="56"/>
  <c r="C617" i="67"/>
  <c r="C568" i="69"/>
  <c r="D719" i="56"/>
  <c r="D617" i="67"/>
  <c r="D568" i="69"/>
  <c r="E719" i="56"/>
  <c r="E617" i="67"/>
  <c r="E568" i="69"/>
  <c r="F719" i="56"/>
  <c r="F617" i="67"/>
  <c r="F568" i="69"/>
  <c r="G719" i="56"/>
  <c r="G617" i="67"/>
  <c r="G568" i="69"/>
  <c r="H719" i="56"/>
  <c r="H617" i="67"/>
  <c r="H568" i="69"/>
  <c r="I719" i="56"/>
  <c r="I617" i="67"/>
  <c r="I568" i="69"/>
  <c r="J719" i="56"/>
  <c r="J617" i="67"/>
  <c r="J568" i="69"/>
  <c r="K719" i="56"/>
  <c r="K617" i="67"/>
  <c r="K568" i="69"/>
  <c r="L719" i="56"/>
  <c r="L617" i="67"/>
  <c r="L568" i="69"/>
  <c r="M719" i="56"/>
  <c r="M617" i="67"/>
  <c r="M568" i="69"/>
  <c r="N719" i="56"/>
  <c r="N617" i="67"/>
  <c r="N568" i="69"/>
  <c r="O719" i="56"/>
  <c r="O617" i="67"/>
  <c r="O568" i="69"/>
  <c r="P719" i="56"/>
  <c r="P617" i="67"/>
  <c r="P568" i="69"/>
  <c r="Q719" i="56"/>
  <c r="Q617" i="67"/>
  <c r="Q568" i="69"/>
  <c r="R719" i="56"/>
  <c r="R617" i="67"/>
  <c r="R568" i="69"/>
  <c r="S719" i="56"/>
  <c r="S617" i="67"/>
  <c r="S568" i="69"/>
  <c r="T719" i="56"/>
  <c r="T617" i="67"/>
  <c r="T568" i="69"/>
  <c r="B718" i="56"/>
  <c r="B616" i="67"/>
  <c r="B567" i="69"/>
  <c r="C718" i="56"/>
  <c r="C616" i="67"/>
  <c r="C567" i="69"/>
  <c r="D718" i="56"/>
  <c r="D616" i="67"/>
  <c r="D567" i="69"/>
  <c r="E718" i="56"/>
  <c r="E616" i="67"/>
  <c r="E567" i="69"/>
  <c r="F718" i="56"/>
  <c r="F616" i="67"/>
  <c r="F567" i="69"/>
  <c r="G718" i="56"/>
  <c r="G616" i="67"/>
  <c r="G567" i="69"/>
  <c r="H718" i="56"/>
  <c r="H616" i="67"/>
  <c r="H567" i="69"/>
  <c r="I718" i="56"/>
  <c r="I616" i="67"/>
  <c r="I567" i="69"/>
  <c r="J718" i="56"/>
  <c r="J616" i="67"/>
  <c r="J567" i="69"/>
  <c r="K718" i="56"/>
  <c r="K616" i="67"/>
  <c r="K567" i="69"/>
  <c r="L718" i="56"/>
  <c r="L616" i="67"/>
  <c r="L567" i="69"/>
  <c r="M718" i="56"/>
  <c r="M616" i="67"/>
  <c r="M567" i="69"/>
  <c r="N718" i="56"/>
  <c r="N616" i="67"/>
  <c r="N567" i="69"/>
  <c r="O718" i="56"/>
  <c r="O616" i="67"/>
  <c r="O567" i="69"/>
  <c r="P718" i="56"/>
  <c r="P616" i="67"/>
  <c r="P567" i="69"/>
  <c r="Q718" i="56"/>
  <c r="Q616" i="67"/>
  <c r="Q567" i="69"/>
  <c r="R718" i="56"/>
  <c r="R616" i="67"/>
  <c r="R567" i="69"/>
  <c r="S718" i="56"/>
  <c r="S616" i="67"/>
  <c r="S567" i="69"/>
  <c r="T718" i="56"/>
  <c r="T616" i="67"/>
  <c r="T567" i="69"/>
  <c r="B717" i="56"/>
  <c r="B615" i="67"/>
  <c r="B566" i="69"/>
  <c r="C717" i="56"/>
  <c r="C615" i="67"/>
  <c r="C566" i="69"/>
  <c r="D717" i="56"/>
  <c r="D615" i="67"/>
  <c r="D566" i="69"/>
  <c r="E717" i="56"/>
  <c r="E615" i="67"/>
  <c r="E566" i="69"/>
  <c r="F717" i="56"/>
  <c r="F615" i="67"/>
  <c r="F566" i="69"/>
  <c r="G717" i="56"/>
  <c r="G615" i="67"/>
  <c r="G566" i="69"/>
  <c r="H717" i="56"/>
  <c r="H615" i="67"/>
  <c r="H566" i="69"/>
  <c r="I717" i="56"/>
  <c r="I615" i="67"/>
  <c r="I566" i="69"/>
  <c r="J717" i="56"/>
  <c r="J615" i="67"/>
  <c r="J566" i="69"/>
  <c r="K717" i="56"/>
  <c r="K615" i="67"/>
  <c r="K566" i="69"/>
  <c r="L717" i="56"/>
  <c r="L615" i="67"/>
  <c r="L566" i="69"/>
  <c r="M717" i="56"/>
  <c r="M615" i="67"/>
  <c r="M566" i="69"/>
  <c r="N717" i="56"/>
  <c r="N615" i="67"/>
  <c r="N566" i="69"/>
  <c r="O717" i="56"/>
  <c r="O615" i="67"/>
  <c r="O566" i="69"/>
  <c r="P717" i="56"/>
  <c r="P615" i="67"/>
  <c r="P566" i="69"/>
  <c r="Q717" i="56"/>
  <c r="Q615" i="67"/>
  <c r="Q566" i="69"/>
  <c r="R717" i="56"/>
  <c r="R615" i="67"/>
  <c r="R566" i="69"/>
  <c r="S717" i="56"/>
  <c r="S615" i="67"/>
  <c r="S566" i="69"/>
  <c r="T717" i="56"/>
  <c r="T615" i="67"/>
  <c r="T566" i="69"/>
  <c r="B716" i="56"/>
  <c r="B614" i="67"/>
  <c r="B565" i="69"/>
  <c r="C716" i="56"/>
  <c r="C614" i="67"/>
  <c r="C565" i="69"/>
  <c r="D716" i="56"/>
  <c r="D614" i="67"/>
  <c r="D565" i="69"/>
  <c r="E716" i="56"/>
  <c r="E614" i="67"/>
  <c r="E565" i="69"/>
  <c r="F716" i="56"/>
  <c r="F614" i="67"/>
  <c r="F565" i="69"/>
  <c r="G716" i="56"/>
  <c r="G614" i="67"/>
  <c r="G565" i="69"/>
  <c r="H716" i="56"/>
  <c r="H614" i="67"/>
  <c r="H565" i="69"/>
  <c r="I716" i="56"/>
  <c r="I614" i="67"/>
  <c r="I565" i="69"/>
  <c r="J716" i="56"/>
  <c r="J614" i="67"/>
  <c r="J565" i="69"/>
  <c r="K716" i="56"/>
  <c r="K614" i="67"/>
  <c r="K565" i="69"/>
  <c r="L716" i="56"/>
  <c r="L614" i="67"/>
  <c r="L565" i="69"/>
  <c r="M716" i="56"/>
  <c r="M614" i="67"/>
  <c r="M565" i="69"/>
  <c r="N716" i="56"/>
  <c r="N614" i="67"/>
  <c r="N565" i="69"/>
  <c r="O716" i="56"/>
  <c r="O614" i="67"/>
  <c r="O565" i="69"/>
  <c r="P716" i="56"/>
  <c r="P614" i="67"/>
  <c r="P565" i="69"/>
  <c r="Q716" i="56"/>
  <c r="Q614" i="67"/>
  <c r="Q565" i="69"/>
  <c r="R716" i="56"/>
  <c r="R614" i="67"/>
  <c r="R565" i="69"/>
  <c r="S716" i="56"/>
  <c r="S614" i="67"/>
  <c r="S565" i="69"/>
  <c r="T716" i="56"/>
  <c r="T614" i="67"/>
  <c r="T565" i="69"/>
  <c r="B715" i="56"/>
  <c r="B613" i="67"/>
  <c r="B564" i="69"/>
  <c r="C715" i="56"/>
  <c r="C613" i="67"/>
  <c r="C564" i="69"/>
  <c r="D715" i="56"/>
  <c r="D613" i="67"/>
  <c r="D564" i="69"/>
  <c r="E715" i="56"/>
  <c r="E613" i="67"/>
  <c r="E564" i="69"/>
  <c r="F715" i="56"/>
  <c r="F613" i="67"/>
  <c r="F564" i="69"/>
  <c r="G715" i="56"/>
  <c r="G613" i="67"/>
  <c r="G564" i="69"/>
  <c r="H715" i="56"/>
  <c r="H613" i="67"/>
  <c r="H564" i="69"/>
  <c r="I715" i="56"/>
  <c r="I613" i="67"/>
  <c r="I564" i="69"/>
  <c r="J715" i="56"/>
  <c r="J613" i="67"/>
  <c r="J564" i="69"/>
  <c r="K715" i="56"/>
  <c r="K613" i="67"/>
  <c r="K564" i="69"/>
  <c r="L715" i="56"/>
  <c r="L613" i="67"/>
  <c r="L564" i="69"/>
  <c r="M715" i="56"/>
  <c r="M613" i="67"/>
  <c r="M564" i="69"/>
  <c r="N715" i="56"/>
  <c r="N613" i="67"/>
  <c r="N564" i="69"/>
  <c r="O715" i="56"/>
  <c r="O613" i="67"/>
  <c r="O564" i="69"/>
  <c r="P715" i="56"/>
  <c r="P613" i="67"/>
  <c r="P564" i="69"/>
  <c r="Q715" i="56"/>
  <c r="Q613" i="67"/>
  <c r="Q564" i="69"/>
  <c r="R715" i="56"/>
  <c r="R613" i="67"/>
  <c r="R564" i="69"/>
  <c r="S715" i="56"/>
  <c r="S613" i="67"/>
  <c r="S564" i="69"/>
  <c r="T715" i="56"/>
  <c r="T613" i="67"/>
  <c r="T564" i="69"/>
  <c r="B714" i="56"/>
  <c r="B612" i="67"/>
  <c r="B563" i="69"/>
  <c r="C714" i="56"/>
  <c r="C612" i="67"/>
  <c r="C563" i="69"/>
  <c r="D714" i="56"/>
  <c r="D612" i="67"/>
  <c r="D563" i="69"/>
  <c r="E714" i="56"/>
  <c r="E612" i="67"/>
  <c r="E563" i="69"/>
  <c r="F714" i="56"/>
  <c r="F612" i="67"/>
  <c r="F563" i="69"/>
  <c r="G714" i="56"/>
  <c r="G612" i="67"/>
  <c r="G563" i="69"/>
  <c r="H714" i="56"/>
  <c r="H612" i="67"/>
  <c r="H563" i="69"/>
  <c r="I714" i="56"/>
  <c r="I612" i="67"/>
  <c r="I563" i="69"/>
  <c r="J714" i="56"/>
  <c r="J612" i="67"/>
  <c r="J563" i="69"/>
  <c r="K714" i="56"/>
  <c r="K612" i="67"/>
  <c r="K563" i="69"/>
  <c r="L714" i="56"/>
  <c r="L612" i="67"/>
  <c r="L563" i="69"/>
  <c r="M714" i="56"/>
  <c r="M612" i="67"/>
  <c r="M563" i="69"/>
  <c r="N714" i="56"/>
  <c r="N612" i="67"/>
  <c r="N563" i="69"/>
  <c r="O714" i="56"/>
  <c r="O612" i="67"/>
  <c r="O563" i="69"/>
  <c r="P714" i="56"/>
  <c r="P612" i="67"/>
  <c r="P563" i="69"/>
  <c r="Q714" i="56"/>
  <c r="Q612" i="67"/>
  <c r="Q563" i="69"/>
  <c r="R714" i="56"/>
  <c r="R612" i="67"/>
  <c r="R563" i="69"/>
  <c r="S714" i="56"/>
  <c r="S612" i="67"/>
  <c r="S563" i="69"/>
  <c r="T714" i="56"/>
  <c r="T612" i="67"/>
  <c r="T563" i="69"/>
  <c r="B713" i="56"/>
  <c r="B611" i="67"/>
  <c r="B562" i="69"/>
  <c r="C713" i="56"/>
  <c r="C611" i="67"/>
  <c r="C562" i="69"/>
  <c r="D713" i="56"/>
  <c r="D611" i="67"/>
  <c r="D562" i="69"/>
  <c r="E713" i="56"/>
  <c r="E611" i="67"/>
  <c r="E562" i="69"/>
  <c r="F713" i="56"/>
  <c r="F611" i="67"/>
  <c r="F562" i="69"/>
  <c r="G713" i="56"/>
  <c r="G611" i="67"/>
  <c r="G562" i="69"/>
  <c r="H713" i="56"/>
  <c r="H611" i="67"/>
  <c r="H562" i="69"/>
  <c r="I713" i="56"/>
  <c r="I611" i="67"/>
  <c r="I562" i="69"/>
  <c r="J713" i="56"/>
  <c r="J611" i="67"/>
  <c r="J562" i="69"/>
  <c r="K713" i="56"/>
  <c r="K611" i="67"/>
  <c r="K562" i="69"/>
  <c r="L713" i="56"/>
  <c r="L611" i="67"/>
  <c r="L562" i="69"/>
  <c r="M713" i="56"/>
  <c r="M611" i="67"/>
  <c r="M562" i="69"/>
  <c r="N713" i="56"/>
  <c r="N611" i="67"/>
  <c r="N562" i="69"/>
  <c r="O713" i="56"/>
  <c r="O611" i="67"/>
  <c r="O562" i="69"/>
  <c r="P713" i="56"/>
  <c r="P611" i="67"/>
  <c r="P562" i="69"/>
  <c r="Q713" i="56"/>
  <c r="Q611" i="67"/>
  <c r="Q562" i="69"/>
  <c r="R713" i="56"/>
  <c r="R611" i="67"/>
  <c r="R562" i="69"/>
  <c r="S713" i="56"/>
  <c r="S611" i="67"/>
  <c r="S562" i="69"/>
  <c r="T713" i="56"/>
  <c r="T611" i="67"/>
  <c r="T562" i="69"/>
  <c r="T712" i="56"/>
  <c r="T610" i="67"/>
  <c r="T561" i="69"/>
  <c r="S712" i="56"/>
  <c r="S610" i="67"/>
  <c r="S561" i="69"/>
  <c r="R712" i="56"/>
  <c r="R610" i="67"/>
  <c r="R561" i="69"/>
  <c r="P712" i="56"/>
  <c r="P610" i="67"/>
  <c r="P561" i="69"/>
  <c r="Q712" i="56"/>
  <c r="Q610" i="67"/>
  <c r="Q561" i="69"/>
  <c r="K712" i="56"/>
  <c r="K610" i="67"/>
  <c r="K561" i="69"/>
  <c r="L712" i="56"/>
  <c r="L610" i="67"/>
  <c r="L561" i="69"/>
  <c r="M712" i="56"/>
  <c r="M610" i="67"/>
  <c r="M561" i="69"/>
  <c r="N712" i="56"/>
  <c r="N610" i="67"/>
  <c r="N561" i="69"/>
  <c r="O712" i="56"/>
  <c r="O610" i="67"/>
  <c r="O561" i="69"/>
  <c r="C712" i="56"/>
  <c r="C610" i="67"/>
  <c r="C561" i="69"/>
  <c r="D712" i="56"/>
  <c r="D610" i="67"/>
  <c r="D561" i="69"/>
  <c r="E712" i="56"/>
  <c r="E610" i="67"/>
  <c r="E561" i="69"/>
  <c r="F712" i="56"/>
  <c r="F610" i="67"/>
  <c r="F561" i="69"/>
  <c r="G712" i="56"/>
  <c r="G610" i="67"/>
  <c r="G561" i="69"/>
  <c r="H712" i="56"/>
  <c r="H610" i="67"/>
  <c r="H561" i="69"/>
  <c r="I712" i="56"/>
  <c r="I610" i="67"/>
  <c r="I561" i="69"/>
  <c r="J712" i="56"/>
  <c r="J610" i="67"/>
  <c r="J561" i="69"/>
  <c r="B712" i="56"/>
  <c r="B610" i="67"/>
  <c r="B561" i="69"/>
  <c r="T711" i="56"/>
  <c r="T609" i="67"/>
  <c r="T560" i="69"/>
  <c r="S711" i="56"/>
  <c r="S609" i="67"/>
  <c r="S560" i="69"/>
  <c r="R711" i="56"/>
  <c r="R609" i="67"/>
  <c r="R560" i="69"/>
  <c r="Q711" i="56"/>
  <c r="Q609" i="67"/>
  <c r="Q560" i="69"/>
  <c r="O711" i="56"/>
  <c r="O609" i="67"/>
  <c r="O560" i="69"/>
  <c r="P711" i="56"/>
  <c r="P609" i="67"/>
  <c r="P560" i="69"/>
  <c r="K711" i="56"/>
  <c r="K609" i="67"/>
  <c r="K560" i="69"/>
  <c r="L711" i="56"/>
  <c r="L609" i="67"/>
  <c r="L560" i="69"/>
  <c r="M711" i="56"/>
  <c r="M609" i="67"/>
  <c r="M560" i="69"/>
  <c r="N711" i="56"/>
  <c r="N609" i="67"/>
  <c r="N560" i="69"/>
  <c r="C711" i="56"/>
  <c r="C609" i="67"/>
  <c r="C560" i="69"/>
  <c r="D711" i="56"/>
  <c r="D609" i="67"/>
  <c r="D560" i="69"/>
  <c r="E711" i="56"/>
  <c r="E609" i="67"/>
  <c r="E560" i="69"/>
  <c r="F711" i="56"/>
  <c r="F609" i="67"/>
  <c r="F560" i="69"/>
  <c r="G711" i="56"/>
  <c r="G609" i="67"/>
  <c r="G560" i="69"/>
  <c r="H711" i="56"/>
  <c r="H609" i="67"/>
  <c r="H560" i="69"/>
  <c r="I711" i="56"/>
  <c r="I609" i="67"/>
  <c r="I560" i="69"/>
  <c r="J711" i="56"/>
  <c r="J609" i="67"/>
  <c r="J560" i="69"/>
  <c r="B711" i="56"/>
  <c r="B609" i="67"/>
  <c r="B560" i="69"/>
  <c r="B686" i="56"/>
  <c r="B583" i="67"/>
  <c r="B534" i="69"/>
  <c r="D686" i="56"/>
  <c r="D583" i="67"/>
  <c r="D534" i="69"/>
  <c r="F686" i="56"/>
  <c r="F583" i="67"/>
  <c r="F534" i="69"/>
  <c r="H686" i="56"/>
  <c r="H583" i="67"/>
  <c r="H534" i="69"/>
  <c r="I686" i="56"/>
  <c r="I583" i="67"/>
  <c r="I534" i="69"/>
  <c r="J686" i="56"/>
  <c r="J583" i="67"/>
  <c r="J534" i="69"/>
  <c r="L686" i="56"/>
  <c r="L583" i="67"/>
  <c r="L534" i="69"/>
  <c r="N686" i="56"/>
  <c r="N583" i="67"/>
  <c r="N534" i="69"/>
  <c r="P686" i="56"/>
  <c r="P583" i="67"/>
  <c r="P534" i="69"/>
  <c r="R686" i="56"/>
  <c r="R583" i="67"/>
  <c r="R534" i="69"/>
  <c r="B687" i="56"/>
  <c r="B584" i="67"/>
  <c r="B535" i="69"/>
  <c r="D687" i="56"/>
  <c r="D584" i="67"/>
  <c r="D535" i="69"/>
  <c r="F687" i="56"/>
  <c r="F584" i="67"/>
  <c r="F535" i="69"/>
  <c r="H687" i="56"/>
  <c r="H584" i="67"/>
  <c r="H535" i="69"/>
  <c r="I687" i="56"/>
  <c r="I584" i="67"/>
  <c r="I535" i="69"/>
  <c r="J687" i="56"/>
  <c r="J584" i="67"/>
  <c r="J535" i="69"/>
  <c r="L687" i="56"/>
  <c r="L584" i="67"/>
  <c r="L535" i="69"/>
  <c r="N687" i="56"/>
  <c r="N584" i="67"/>
  <c r="N535" i="69"/>
  <c r="P687" i="56"/>
  <c r="P584" i="67"/>
  <c r="P535" i="69"/>
  <c r="R687" i="56"/>
  <c r="R584" i="67"/>
  <c r="R535" i="69"/>
  <c r="B682" i="56"/>
  <c r="B579" i="67"/>
  <c r="B530" i="69"/>
  <c r="D682" i="56"/>
  <c r="D579" i="67"/>
  <c r="D530" i="69"/>
  <c r="F682" i="56"/>
  <c r="F579" i="67"/>
  <c r="F530" i="69"/>
  <c r="H682" i="56"/>
  <c r="H579" i="67"/>
  <c r="H530" i="69"/>
  <c r="I682" i="56"/>
  <c r="I579" i="67"/>
  <c r="I530" i="69"/>
  <c r="J682" i="56"/>
  <c r="J579" i="67"/>
  <c r="J530" i="69"/>
  <c r="L682" i="56"/>
  <c r="L579" i="67"/>
  <c r="L530" i="69"/>
  <c r="N682" i="56"/>
  <c r="N579" i="67"/>
  <c r="N530" i="69"/>
  <c r="P682" i="56"/>
  <c r="P579" i="67"/>
  <c r="P530" i="69"/>
  <c r="R682" i="56"/>
  <c r="R579" i="67"/>
  <c r="R530" i="69"/>
  <c r="B683" i="56"/>
  <c r="B580" i="67"/>
  <c r="B531" i="69"/>
  <c r="D683" i="56"/>
  <c r="D580" i="67"/>
  <c r="D531" i="69"/>
  <c r="F683" i="56"/>
  <c r="F580" i="67"/>
  <c r="F531" i="69"/>
  <c r="H683" i="56"/>
  <c r="H580" i="67"/>
  <c r="H531" i="69"/>
  <c r="I683" i="56"/>
  <c r="I580" i="67"/>
  <c r="I531" i="69"/>
  <c r="J683" i="56"/>
  <c r="J580" i="67"/>
  <c r="J531" i="69"/>
  <c r="L683" i="56"/>
  <c r="L580" i="67"/>
  <c r="L531" i="69"/>
  <c r="N683" i="56"/>
  <c r="N580" i="67"/>
  <c r="N531" i="69"/>
  <c r="P683" i="56"/>
  <c r="P580" i="67"/>
  <c r="P531" i="69"/>
  <c r="R683" i="56"/>
  <c r="R580" i="67"/>
  <c r="R531" i="69"/>
  <c r="B684" i="56"/>
  <c r="B581" i="67"/>
  <c r="B532" i="69"/>
  <c r="D684" i="56"/>
  <c r="D581" i="67"/>
  <c r="D532" i="69"/>
  <c r="F684" i="56"/>
  <c r="F581" i="67"/>
  <c r="F532" i="69"/>
  <c r="H684" i="56"/>
  <c r="H581" i="67"/>
  <c r="H532" i="69"/>
  <c r="I684" i="56"/>
  <c r="I581" i="67"/>
  <c r="I532" i="69"/>
  <c r="J684" i="56"/>
  <c r="J581" i="67"/>
  <c r="J532" i="69"/>
  <c r="L684" i="56"/>
  <c r="L581" i="67"/>
  <c r="L532" i="69"/>
  <c r="N684" i="56"/>
  <c r="N581" i="67"/>
  <c r="N532" i="69"/>
  <c r="P684" i="56"/>
  <c r="P581" i="67"/>
  <c r="P532" i="69"/>
  <c r="R684" i="56"/>
  <c r="R581" i="67"/>
  <c r="R532" i="69"/>
  <c r="B685" i="56"/>
  <c r="B582" i="67"/>
  <c r="B533" i="69"/>
  <c r="D685" i="56"/>
  <c r="D582" i="67"/>
  <c r="D533" i="69"/>
  <c r="F685" i="56"/>
  <c r="F582" i="67"/>
  <c r="F533" i="69"/>
  <c r="H685" i="56"/>
  <c r="H582" i="67"/>
  <c r="H533" i="69"/>
  <c r="I685" i="56"/>
  <c r="I582" i="67"/>
  <c r="I533" i="69"/>
  <c r="J685" i="56"/>
  <c r="J582" i="67"/>
  <c r="J533" i="69"/>
  <c r="L685" i="56"/>
  <c r="L582" i="67"/>
  <c r="L533" i="69"/>
  <c r="N685" i="56"/>
  <c r="N582" i="67"/>
  <c r="N533" i="69"/>
  <c r="P685" i="56"/>
  <c r="P582" i="67"/>
  <c r="P533" i="69"/>
  <c r="R685" i="56"/>
  <c r="R582" i="67"/>
  <c r="R533" i="69"/>
  <c r="B678" i="56"/>
  <c r="B575" i="67"/>
  <c r="B526" i="69"/>
  <c r="D678" i="56"/>
  <c r="D575" i="67"/>
  <c r="D526" i="69"/>
  <c r="F678" i="56"/>
  <c r="F575" i="67"/>
  <c r="F526" i="69"/>
  <c r="H678" i="56"/>
  <c r="H575" i="67"/>
  <c r="H526" i="69"/>
  <c r="I678" i="56"/>
  <c r="I575" i="67"/>
  <c r="I526" i="69"/>
  <c r="J678" i="56"/>
  <c r="J575" i="67"/>
  <c r="J526" i="69"/>
  <c r="L678" i="56"/>
  <c r="L575" i="67"/>
  <c r="L526" i="69"/>
  <c r="N678" i="56"/>
  <c r="N575" i="67"/>
  <c r="N526" i="69"/>
  <c r="P678" i="56"/>
  <c r="P575" i="67"/>
  <c r="P526" i="69"/>
  <c r="R678" i="56"/>
  <c r="R575" i="67"/>
  <c r="R526" i="69"/>
  <c r="B677" i="56"/>
  <c r="B574" i="67"/>
  <c r="B525" i="69"/>
  <c r="D677" i="56"/>
  <c r="D574" i="67"/>
  <c r="D525" i="69"/>
  <c r="F677" i="56"/>
  <c r="F574" i="67"/>
  <c r="F525" i="69"/>
  <c r="H677" i="56"/>
  <c r="H574" i="67"/>
  <c r="H525" i="69"/>
  <c r="I677" i="56"/>
  <c r="I574" i="67"/>
  <c r="I525" i="69"/>
  <c r="J677" i="56"/>
  <c r="J574" i="67"/>
  <c r="J525" i="69"/>
  <c r="L677" i="56"/>
  <c r="L574" i="67"/>
  <c r="L525" i="69"/>
  <c r="N677" i="56"/>
  <c r="N574" i="67"/>
  <c r="N525" i="69"/>
  <c r="P677" i="56"/>
  <c r="P574" i="67"/>
  <c r="P525" i="69"/>
  <c r="R677" i="56"/>
  <c r="R574" i="67"/>
  <c r="R525" i="69"/>
  <c r="B679" i="56"/>
  <c r="B576" i="67"/>
  <c r="B527" i="69"/>
  <c r="D679" i="56"/>
  <c r="D576" i="67"/>
  <c r="D527" i="69"/>
  <c r="F679" i="56"/>
  <c r="F576" i="67"/>
  <c r="F527" i="69"/>
  <c r="H679" i="56"/>
  <c r="H576" i="67"/>
  <c r="H527" i="69"/>
  <c r="I679" i="56"/>
  <c r="I576" i="67"/>
  <c r="I527" i="69"/>
  <c r="J679" i="56"/>
  <c r="J576" i="67"/>
  <c r="J527" i="69"/>
  <c r="L679" i="56"/>
  <c r="L576" i="67"/>
  <c r="L527" i="69"/>
  <c r="N679" i="56"/>
  <c r="N576" i="67"/>
  <c r="N527" i="69"/>
  <c r="P679" i="56"/>
  <c r="P576" i="67"/>
  <c r="P527" i="69"/>
  <c r="R679" i="56"/>
  <c r="R576" i="67"/>
  <c r="R527" i="69"/>
  <c r="B680" i="56"/>
  <c r="B577" i="67"/>
  <c r="B528" i="69"/>
  <c r="D680" i="56"/>
  <c r="D577" i="67"/>
  <c r="D528" i="69"/>
  <c r="F680" i="56"/>
  <c r="F577" i="67"/>
  <c r="F528" i="69"/>
  <c r="H680" i="56"/>
  <c r="H577" i="67"/>
  <c r="H528" i="69"/>
  <c r="I680" i="56"/>
  <c r="I577" i="67"/>
  <c r="I528" i="69"/>
  <c r="J680" i="56"/>
  <c r="J577" i="67"/>
  <c r="J528" i="69"/>
  <c r="L680" i="56"/>
  <c r="L577" i="67"/>
  <c r="L528" i="69"/>
  <c r="N680" i="56"/>
  <c r="N577" i="67"/>
  <c r="N528" i="69"/>
  <c r="P680" i="56"/>
  <c r="P577" i="67"/>
  <c r="P528" i="69"/>
  <c r="R680" i="56"/>
  <c r="R577" i="67"/>
  <c r="R528" i="69"/>
  <c r="B681" i="56"/>
  <c r="B578" i="67"/>
  <c r="B529" i="69"/>
  <c r="D681" i="56"/>
  <c r="D578" i="67"/>
  <c r="D529" i="69"/>
  <c r="F681" i="56"/>
  <c r="F578" i="67"/>
  <c r="F529" i="69"/>
  <c r="H681" i="56"/>
  <c r="H578" i="67"/>
  <c r="H529" i="69"/>
  <c r="I681" i="56"/>
  <c r="I578" i="67"/>
  <c r="I529" i="69"/>
  <c r="J681" i="56"/>
  <c r="J578" i="67"/>
  <c r="J529" i="69"/>
  <c r="L681" i="56"/>
  <c r="L578" i="67"/>
  <c r="L529" i="69"/>
  <c r="N681" i="56"/>
  <c r="N578" i="67"/>
  <c r="N529" i="69"/>
  <c r="P681" i="56"/>
  <c r="P578" i="67"/>
  <c r="P529" i="69"/>
  <c r="R681" i="56"/>
  <c r="R578" i="67"/>
  <c r="R529" i="69"/>
  <c r="B674" i="56"/>
  <c r="B571" i="67"/>
  <c r="B522" i="69"/>
  <c r="D674" i="56"/>
  <c r="D571" i="67"/>
  <c r="D522" i="69"/>
  <c r="F674" i="56"/>
  <c r="F571" i="67"/>
  <c r="F522" i="69"/>
  <c r="H674" i="56"/>
  <c r="H571" i="67"/>
  <c r="H522" i="69"/>
  <c r="I674" i="56"/>
  <c r="I571" i="67"/>
  <c r="I522" i="69"/>
  <c r="J674" i="56"/>
  <c r="J571" i="67"/>
  <c r="J522" i="69"/>
  <c r="L674" i="56"/>
  <c r="L571" i="67"/>
  <c r="L522" i="69"/>
  <c r="N674" i="56"/>
  <c r="N571" i="67"/>
  <c r="N522" i="69"/>
  <c r="P674" i="56"/>
  <c r="P571" i="67"/>
  <c r="P522" i="69"/>
  <c r="R674" i="56"/>
  <c r="R571" i="67"/>
  <c r="R522" i="69"/>
  <c r="B675" i="56"/>
  <c r="B572" i="67"/>
  <c r="B523" i="69"/>
  <c r="D675" i="56"/>
  <c r="D572" i="67"/>
  <c r="D523" i="69"/>
  <c r="F675" i="56"/>
  <c r="F572" i="67"/>
  <c r="F523" i="69"/>
  <c r="H675" i="56"/>
  <c r="H572" i="67"/>
  <c r="H523" i="69"/>
  <c r="I675" i="56"/>
  <c r="I572" i="67"/>
  <c r="I523" i="69"/>
  <c r="J675" i="56"/>
  <c r="J572" i="67"/>
  <c r="J523" i="69"/>
  <c r="L675" i="56"/>
  <c r="L572" i="67"/>
  <c r="L523" i="69"/>
  <c r="N675" i="56"/>
  <c r="N572" i="67"/>
  <c r="N523" i="69"/>
  <c r="P675" i="56"/>
  <c r="P572" i="67"/>
  <c r="P523" i="69"/>
  <c r="R675" i="56"/>
  <c r="R572" i="67"/>
  <c r="R523" i="69"/>
  <c r="B676" i="56"/>
  <c r="B573" i="67"/>
  <c r="B524" i="69"/>
  <c r="D676" i="56"/>
  <c r="D573" i="67"/>
  <c r="D524" i="69"/>
  <c r="F676" i="56"/>
  <c r="F573" i="67"/>
  <c r="F524" i="69"/>
  <c r="H676" i="56"/>
  <c r="H573" i="67"/>
  <c r="H524" i="69"/>
  <c r="I676" i="56"/>
  <c r="I573" i="67"/>
  <c r="I524" i="69"/>
  <c r="J676" i="56"/>
  <c r="J573" i="67"/>
  <c r="J524" i="69"/>
  <c r="L676" i="56"/>
  <c r="L573" i="67"/>
  <c r="L524" i="69"/>
  <c r="N676" i="56"/>
  <c r="N573" i="67"/>
  <c r="N524" i="69"/>
  <c r="P676" i="56"/>
  <c r="P573" i="67"/>
  <c r="P524" i="69"/>
  <c r="R676" i="56"/>
  <c r="R573" i="67"/>
  <c r="R524" i="69"/>
  <c r="R673" i="56"/>
  <c r="R570" i="67"/>
  <c r="R521" i="69"/>
  <c r="P673" i="56"/>
  <c r="P570" i="67"/>
  <c r="P521" i="69"/>
  <c r="N673" i="56"/>
  <c r="N570" i="67"/>
  <c r="N521" i="69"/>
  <c r="L673" i="56"/>
  <c r="L570" i="67"/>
  <c r="L521" i="69"/>
  <c r="J673" i="56"/>
  <c r="J570" i="67"/>
  <c r="J521" i="69"/>
  <c r="I673" i="56"/>
  <c r="I570" i="67"/>
  <c r="I521" i="69"/>
  <c r="H673" i="56"/>
  <c r="H570" i="67"/>
  <c r="H521" i="69"/>
  <c r="F673" i="56"/>
  <c r="F570" i="67"/>
  <c r="F521" i="69"/>
  <c r="CK63" i="54"/>
  <c r="CK64" i="54"/>
  <c r="CK65" i="54"/>
  <c r="CK66" i="54"/>
  <c r="CK67" i="54"/>
  <c r="CK68" i="54"/>
  <c r="CK69" i="54"/>
  <c r="CK70" i="54"/>
  <c r="CK71" i="54"/>
  <c r="CK72" i="54"/>
  <c r="CK73" i="54"/>
  <c r="CK74" i="54"/>
  <c r="CK75" i="54"/>
  <c r="CK76" i="54"/>
  <c r="CK77" i="54"/>
  <c r="CK78" i="54"/>
  <c r="CK79" i="54"/>
  <c r="CK80" i="54"/>
  <c r="CK81" i="54"/>
  <c r="CK82" i="54"/>
  <c r="CK83" i="54"/>
  <c r="CK84" i="54"/>
  <c r="CK85" i="54"/>
  <c r="CK86" i="54"/>
  <c r="CK87" i="54"/>
  <c r="CK88" i="54"/>
  <c r="CK89" i="54"/>
  <c r="CK90" i="54"/>
  <c r="CK91" i="54"/>
  <c r="CK92" i="54"/>
  <c r="CK93" i="54"/>
  <c r="CK94" i="54"/>
  <c r="CK95" i="54"/>
  <c r="CK96" i="54"/>
  <c r="CK97" i="54"/>
  <c r="CK98" i="54"/>
  <c r="CK99" i="54"/>
  <c r="CK100" i="54"/>
  <c r="CK101" i="54"/>
  <c r="CK102" i="54"/>
  <c r="CK103" i="54"/>
  <c r="CK104" i="54"/>
  <c r="CK105" i="54"/>
  <c r="CK106" i="54"/>
  <c r="B1302" i="55"/>
  <c r="B1320" i="55"/>
  <c r="C1302" i="55"/>
  <c r="C1320" i="55"/>
  <c r="D1302" i="55"/>
  <c r="D1320" i="55"/>
  <c r="E1302" i="55"/>
  <c r="E1320" i="55"/>
  <c r="F1302" i="55"/>
  <c r="F1320" i="55"/>
  <c r="G1302" i="55"/>
  <c r="G1320" i="55"/>
  <c r="H1302" i="55"/>
  <c r="A1310" i="55"/>
  <c r="B1310" i="55"/>
  <c r="B1328" i="55"/>
  <c r="C1310" i="55"/>
  <c r="C1328" i="55"/>
  <c r="D1310" i="55"/>
  <c r="D1328" i="55"/>
  <c r="E1310" i="55"/>
  <c r="E1328" i="55"/>
  <c r="F1310" i="55"/>
  <c r="F1328" i="55"/>
  <c r="G1310" i="55"/>
  <c r="G1328" i="55"/>
  <c r="H1310" i="55"/>
  <c r="I1310" i="55"/>
  <c r="J1310" i="55"/>
  <c r="J1328" i="55"/>
  <c r="K1310" i="55"/>
  <c r="K1328" i="55"/>
  <c r="L1310" i="55"/>
  <c r="L1328" i="55"/>
  <c r="M1310" i="55"/>
  <c r="M1328" i="55"/>
  <c r="N1310" i="55"/>
  <c r="N1328" i="55"/>
  <c r="O1310" i="55"/>
  <c r="O1328" i="55"/>
  <c r="P1310" i="55"/>
  <c r="P1328" i="55"/>
  <c r="Q1310" i="55"/>
  <c r="Q1328" i="55"/>
  <c r="R1310" i="55"/>
  <c r="R1328" i="55"/>
  <c r="S1310" i="55"/>
  <c r="S1328" i="55"/>
  <c r="A1311" i="55"/>
  <c r="B1311" i="55"/>
  <c r="B1329" i="55"/>
  <c r="C1311" i="55"/>
  <c r="C1329" i="55"/>
  <c r="D1311" i="55"/>
  <c r="D1329" i="55"/>
  <c r="E1311" i="55"/>
  <c r="E1329" i="55"/>
  <c r="F1311" i="55"/>
  <c r="F1329" i="55"/>
  <c r="G1311" i="55"/>
  <c r="G1329" i="55"/>
  <c r="H1311" i="55"/>
  <c r="I1311" i="55"/>
  <c r="J1311" i="55"/>
  <c r="J1329" i="55"/>
  <c r="K1311" i="55"/>
  <c r="K1329" i="55"/>
  <c r="L1311" i="55"/>
  <c r="L1329" i="55"/>
  <c r="M1311" i="55"/>
  <c r="M1329" i="55"/>
  <c r="N1311" i="55"/>
  <c r="N1329" i="55"/>
  <c r="O1311" i="55"/>
  <c r="O1329" i="55"/>
  <c r="P1311" i="55"/>
  <c r="P1329" i="55"/>
  <c r="Q1311" i="55"/>
  <c r="Q1329" i="55"/>
  <c r="R1311" i="55"/>
  <c r="R1329" i="55"/>
  <c r="S1311" i="55"/>
  <c r="S1329" i="55"/>
  <c r="A1312" i="55"/>
  <c r="B1312" i="55"/>
  <c r="B1330" i="55"/>
  <c r="C1312" i="55"/>
  <c r="C1330" i="55"/>
  <c r="D1312" i="55"/>
  <c r="D1330" i="55"/>
  <c r="E1312" i="55"/>
  <c r="E1330" i="55"/>
  <c r="F1312" i="55"/>
  <c r="F1330" i="55"/>
  <c r="G1312" i="55"/>
  <c r="G1330" i="55"/>
  <c r="H1312" i="55"/>
  <c r="I1312" i="55"/>
  <c r="J1312" i="55"/>
  <c r="J1330" i="55"/>
  <c r="K1312" i="55"/>
  <c r="K1330" i="55"/>
  <c r="L1312" i="55"/>
  <c r="L1330" i="55"/>
  <c r="M1312" i="55"/>
  <c r="M1330" i="55"/>
  <c r="N1312" i="55"/>
  <c r="N1330" i="55"/>
  <c r="O1312" i="55"/>
  <c r="O1330" i="55"/>
  <c r="P1312" i="55"/>
  <c r="P1330" i="55"/>
  <c r="Q1312" i="55"/>
  <c r="Q1330" i="55"/>
  <c r="R1312" i="55"/>
  <c r="R1330" i="55"/>
  <c r="S1312" i="55"/>
  <c r="S1330" i="55"/>
  <c r="A1313" i="55"/>
  <c r="B1313" i="55"/>
  <c r="B1331" i="55"/>
  <c r="C1313" i="55"/>
  <c r="C1331" i="55"/>
  <c r="D1313" i="55"/>
  <c r="D1331" i="55"/>
  <c r="E1313" i="55"/>
  <c r="E1331" i="55"/>
  <c r="F1313" i="55"/>
  <c r="F1331" i="55"/>
  <c r="G1313" i="55"/>
  <c r="G1331" i="55"/>
  <c r="H1313" i="55"/>
  <c r="I1313" i="55"/>
  <c r="J1313" i="55"/>
  <c r="J1331" i="55"/>
  <c r="K1313" i="55"/>
  <c r="K1331" i="55"/>
  <c r="L1313" i="55"/>
  <c r="L1331" i="55"/>
  <c r="M1313" i="55"/>
  <c r="M1331" i="55"/>
  <c r="N1313" i="55"/>
  <c r="N1331" i="55"/>
  <c r="O1313" i="55"/>
  <c r="O1331" i="55"/>
  <c r="P1313" i="55"/>
  <c r="P1331" i="55"/>
  <c r="Q1313" i="55"/>
  <c r="Q1331" i="55"/>
  <c r="R1313" i="55"/>
  <c r="R1331" i="55"/>
  <c r="S1313" i="55"/>
  <c r="S1331" i="55"/>
  <c r="A1314" i="55"/>
  <c r="B1314" i="55"/>
  <c r="B1332" i="55"/>
  <c r="C1314" i="55"/>
  <c r="C1332" i="55"/>
  <c r="D1314" i="55"/>
  <c r="D1332" i="55"/>
  <c r="E1314" i="55"/>
  <c r="E1332" i="55"/>
  <c r="F1314" i="55"/>
  <c r="F1332" i="55"/>
  <c r="G1314" i="55"/>
  <c r="G1332" i="55"/>
  <c r="H1314" i="55"/>
  <c r="I1314" i="55"/>
  <c r="J1314" i="55"/>
  <c r="J1332" i="55"/>
  <c r="K1314" i="55"/>
  <c r="K1332" i="55"/>
  <c r="L1314" i="55"/>
  <c r="L1332" i="55"/>
  <c r="M1314" i="55"/>
  <c r="M1332" i="55"/>
  <c r="N1314" i="55"/>
  <c r="N1332" i="55"/>
  <c r="O1314" i="55"/>
  <c r="O1332" i="55"/>
  <c r="P1314" i="55"/>
  <c r="P1332" i="55"/>
  <c r="Q1314" i="55"/>
  <c r="Q1332" i="55"/>
  <c r="R1314" i="55"/>
  <c r="R1332" i="55"/>
  <c r="S1314" i="55"/>
  <c r="S1332" i="55"/>
  <c r="A1315" i="55"/>
  <c r="B1315" i="55"/>
  <c r="B1333" i="55"/>
  <c r="C1315" i="55"/>
  <c r="C1333" i="55"/>
  <c r="D1315" i="55"/>
  <c r="D1333" i="55"/>
  <c r="E1315" i="55"/>
  <c r="E1333" i="55"/>
  <c r="F1315" i="55"/>
  <c r="F1333" i="55"/>
  <c r="G1315" i="55"/>
  <c r="G1333" i="55"/>
  <c r="H1315" i="55"/>
  <c r="I1315" i="55"/>
  <c r="J1315" i="55"/>
  <c r="J1333" i="55"/>
  <c r="K1315" i="55"/>
  <c r="K1333" i="55"/>
  <c r="L1315" i="55"/>
  <c r="L1333" i="55"/>
  <c r="M1315" i="55"/>
  <c r="M1333" i="55"/>
  <c r="N1315" i="55"/>
  <c r="N1333" i="55"/>
  <c r="O1315" i="55"/>
  <c r="O1333" i="55"/>
  <c r="P1315" i="55"/>
  <c r="P1333" i="55"/>
  <c r="Q1315" i="55"/>
  <c r="Q1333" i="55"/>
  <c r="R1315" i="55"/>
  <c r="R1333" i="55"/>
  <c r="S1315" i="55"/>
  <c r="S1333" i="55"/>
  <c r="A1316" i="55"/>
  <c r="B1316" i="55"/>
  <c r="B1334" i="55"/>
  <c r="C1316" i="55"/>
  <c r="C1334" i="55"/>
  <c r="D1316" i="55"/>
  <c r="D1334" i="55"/>
  <c r="E1316" i="55"/>
  <c r="E1334" i="55"/>
  <c r="F1316" i="55"/>
  <c r="F1334" i="55"/>
  <c r="G1316" i="55"/>
  <c r="G1334" i="55"/>
  <c r="H1316" i="55"/>
  <c r="I1316" i="55"/>
  <c r="J1316" i="55"/>
  <c r="J1334" i="55"/>
  <c r="K1316" i="55"/>
  <c r="K1334" i="55"/>
  <c r="L1316" i="55"/>
  <c r="L1334" i="55"/>
  <c r="M1316" i="55"/>
  <c r="M1334" i="55"/>
  <c r="N1316" i="55"/>
  <c r="N1334" i="55"/>
  <c r="O1316" i="55"/>
  <c r="O1334" i="55"/>
  <c r="P1316" i="55"/>
  <c r="P1334" i="55"/>
  <c r="Q1316" i="55"/>
  <c r="Q1334" i="55"/>
  <c r="R1316" i="55"/>
  <c r="R1334" i="55"/>
  <c r="S1316" i="55"/>
  <c r="S1334" i="55"/>
  <c r="A1304" i="55"/>
  <c r="B1304" i="55"/>
  <c r="B1322" i="55"/>
  <c r="C1304" i="55"/>
  <c r="C1322" i="55"/>
  <c r="D1304" i="55"/>
  <c r="D1322" i="55"/>
  <c r="E1304" i="55"/>
  <c r="E1322" i="55"/>
  <c r="F1304" i="55"/>
  <c r="F1322" i="55"/>
  <c r="G1304" i="55"/>
  <c r="G1322" i="55"/>
  <c r="H1304" i="55"/>
  <c r="I1304" i="55"/>
  <c r="J1304" i="55"/>
  <c r="J1322" i="55"/>
  <c r="K1304" i="55"/>
  <c r="K1322" i="55"/>
  <c r="L1304" i="55"/>
  <c r="L1322" i="55"/>
  <c r="M1304" i="55"/>
  <c r="M1322" i="55"/>
  <c r="N1304" i="55"/>
  <c r="N1322" i="55"/>
  <c r="O1304" i="55"/>
  <c r="O1322" i="55"/>
  <c r="P1304" i="55"/>
  <c r="P1322" i="55"/>
  <c r="Q1304" i="55"/>
  <c r="Q1322" i="55"/>
  <c r="R1304" i="55"/>
  <c r="R1322" i="55"/>
  <c r="S1304" i="55"/>
  <c r="S1322" i="55"/>
  <c r="A1305" i="55"/>
  <c r="B1305" i="55"/>
  <c r="B1323" i="55"/>
  <c r="C1305" i="55"/>
  <c r="C1323" i="55"/>
  <c r="D1305" i="55"/>
  <c r="D1323" i="55"/>
  <c r="E1305" i="55"/>
  <c r="E1323" i="55"/>
  <c r="F1305" i="55"/>
  <c r="F1323" i="55"/>
  <c r="G1305" i="55"/>
  <c r="G1323" i="55"/>
  <c r="H1305" i="55"/>
  <c r="I1305" i="55"/>
  <c r="J1305" i="55"/>
  <c r="J1323" i="55"/>
  <c r="K1305" i="55"/>
  <c r="K1323" i="55"/>
  <c r="L1305" i="55"/>
  <c r="L1323" i="55"/>
  <c r="M1305" i="55"/>
  <c r="M1323" i="55"/>
  <c r="N1305" i="55"/>
  <c r="N1323" i="55"/>
  <c r="O1305" i="55"/>
  <c r="O1323" i="55"/>
  <c r="P1305" i="55"/>
  <c r="P1323" i="55"/>
  <c r="Q1305" i="55"/>
  <c r="Q1323" i="55"/>
  <c r="R1305" i="55"/>
  <c r="R1323" i="55"/>
  <c r="S1305" i="55"/>
  <c r="S1323" i="55"/>
  <c r="A1306" i="55"/>
  <c r="B1306" i="55"/>
  <c r="B1324" i="55"/>
  <c r="C1306" i="55"/>
  <c r="C1324" i="55"/>
  <c r="D1306" i="55"/>
  <c r="D1324" i="55"/>
  <c r="E1306" i="55"/>
  <c r="E1324" i="55"/>
  <c r="F1306" i="55"/>
  <c r="F1324" i="55"/>
  <c r="G1306" i="55"/>
  <c r="G1324" i="55"/>
  <c r="H1306" i="55"/>
  <c r="I1306" i="55"/>
  <c r="J1306" i="55"/>
  <c r="J1324" i="55"/>
  <c r="K1306" i="55"/>
  <c r="K1324" i="55"/>
  <c r="L1306" i="55"/>
  <c r="L1324" i="55"/>
  <c r="M1306" i="55"/>
  <c r="M1324" i="55"/>
  <c r="N1306" i="55"/>
  <c r="N1324" i="55"/>
  <c r="O1306" i="55"/>
  <c r="O1324" i="55"/>
  <c r="P1306" i="55"/>
  <c r="P1324" i="55"/>
  <c r="Q1306" i="55"/>
  <c r="Q1324" i="55"/>
  <c r="R1306" i="55"/>
  <c r="R1324" i="55"/>
  <c r="S1306" i="55"/>
  <c r="S1324" i="55"/>
  <c r="A1307" i="55"/>
  <c r="B1307" i="55"/>
  <c r="B1325" i="55"/>
  <c r="C1307" i="55"/>
  <c r="C1325" i="55"/>
  <c r="D1307" i="55"/>
  <c r="D1325" i="55"/>
  <c r="E1307" i="55"/>
  <c r="E1325" i="55"/>
  <c r="F1307" i="55"/>
  <c r="F1325" i="55"/>
  <c r="G1307" i="55"/>
  <c r="G1325" i="55"/>
  <c r="H1307" i="55"/>
  <c r="I1307" i="55"/>
  <c r="J1307" i="55"/>
  <c r="J1325" i="55"/>
  <c r="K1307" i="55"/>
  <c r="K1325" i="55"/>
  <c r="L1307" i="55"/>
  <c r="L1325" i="55"/>
  <c r="M1307" i="55"/>
  <c r="M1325" i="55"/>
  <c r="N1307" i="55"/>
  <c r="N1325" i="55"/>
  <c r="O1307" i="55"/>
  <c r="O1325" i="55"/>
  <c r="P1307" i="55"/>
  <c r="P1325" i="55"/>
  <c r="Q1307" i="55"/>
  <c r="Q1325" i="55"/>
  <c r="R1307" i="55"/>
  <c r="R1325" i="55"/>
  <c r="S1307" i="55"/>
  <c r="S1325" i="55"/>
  <c r="A1308" i="55"/>
  <c r="B1308" i="55"/>
  <c r="B1326" i="55"/>
  <c r="C1308" i="55"/>
  <c r="C1326" i="55"/>
  <c r="D1308" i="55"/>
  <c r="D1326" i="55"/>
  <c r="E1308" i="55"/>
  <c r="E1326" i="55"/>
  <c r="F1308" i="55"/>
  <c r="F1326" i="55"/>
  <c r="G1308" i="55"/>
  <c r="G1326" i="55"/>
  <c r="H1308" i="55"/>
  <c r="I1308" i="55"/>
  <c r="J1308" i="55"/>
  <c r="J1326" i="55"/>
  <c r="K1308" i="55"/>
  <c r="K1326" i="55"/>
  <c r="L1308" i="55"/>
  <c r="L1326" i="55"/>
  <c r="M1308" i="55"/>
  <c r="M1326" i="55"/>
  <c r="N1308" i="55"/>
  <c r="N1326" i="55"/>
  <c r="O1308" i="55"/>
  <c r="O1326" i="55"/>
  <c r="P1308" i="55"/>
  <c r="P1326" i="55"/>
  <c r="Q1308" i="55"/>
  <c r="Q1326" i="55"/>
  <c r="R1308" i="55"/>
  <c r="R1326" i="55"/>
  <c r="S1308" i="55"/>
  <c r="S1326" i="55"/>
  <c r="A1309" i="55"/>
  <c r="B1309" i="55"/>
  <c r="B1327" i="55"/>
  <c r="C1309" i="55"/>
  <c r="C1327" i="55"/>
  <c r="D1309" i="55"/>
  <c r="D1327" i="55"/>
  <c r="E1309" i="55"/>
  <c r="E1327" i="55"/>
  <c r="F1309" i="55"/>
  <c r="F1327" i="55"/>
  <c r="G1309" i="55"/>
  <c r="G1327" i="55"/>
  <c r="H1309" i="55"/>
  <c r="I1309" i="55"/>
  <c r="J1309" i="55"/>
  <c r="J1327" i="55"/>
  <c r="K1309" i="55"/>
  <c r="K1327" i="55"/>
  <c r="L1309" i="55"/>
  <c r="L1327" i="55"/>
  <c r="M1309" i="55"/>
  <c r="M1327" i="55"/>
  <c r="N1309" i="55"/>
  <c r="N1327" i="55"/>
  <c r="O1309" i="55"/>
  <c r="O1327" i="55"/>
  <c r="P1309" i="55"/>
  <c r="P1327" i="55"/>
  <c r="Q1309" i="55"/>
  <c r="Q1327" i="55"/>
  <c r="R1309" i="55"/>
  <c r="R1327" i="55"/>
  <c r="S1309" i="55"/>
  <c r="S1327" i="55"/>
  <c r="A1303" i="55"/>
  <c r="B1303" i="55"/>
  <c r="B1321" i="55"/>
  <c r="C1303" i="55"/>
  <c r="C1321" i="55"/>
  <c r="D1303" i="55"/>
  <c r="D1321" i="55"/>
  <c r="E1303" i="55"/>
  <c r="E1321" i="55"/>
  <c r="F1303" i="55"/>
  <c r="F1321" i="55"/>
  <c r="G1303" i="55"/>
  <c r="G1321" i="55"/>
  <c r="H1303" i="55"/>
  <c r="I1303" i="55"/>
  <c r="J1303" i="55"/>
  <c r="J1321" i="55"/>
  <c r="K1303" i="55"/>
  <c r="K1321" i="55"/>
  <c r="L1303" i="55"/>
  <c r="L1321" i="55"/>
  <c r="M1303" i="55"/>
  <c r="M1321" i="55"/>
  <c r="N1303" i="55"/>
  <c r="N1321" i="55"/>
  <c r="O1303" i="55"/>
  <c r="O1321" i="55"/>
  <c r="P1303" i="55"/>
  <c r="P1321" i="55"/>
  <c r="Q1303" i="55"/>
  <c r="Q1321" i="55"/>
  <c r="R1303" i="55"/>
  <c r="R1321" i="55"/>
  <c r="S1303" i="55"/>
  <c r="S1321" i="55"/>
  <c r="S1302" i="55"/>
  <c r="S1320" i="55"/>
  <c r="R1302" i="55"/>
  <c r="R1320" i="55"/>
  <c r="Q1302" i="55"/>
  <c r="Q1320" i="55"/>
  <c r="P1302" i="55"/>
  <c r="P1320" i="55"/>
  <c r="O1302" i="55"/>
  <c r="O1320" i="55"/>
  <c r="N1302" i="55"/>
  <c r="N1320" i="55"/>
  <c r="M1302" i="55"/>
  <c r="M1320" i="55"/>
  <c r="L1302" i="55"/>
  <c r="L1320" i="55"/>
  <c r="K1302" i="55"/>
  <c r="K1320" i="55"/>
  <c r="J1302" i="55"/>
  <c r="J1320" i="55"/>
  <c r="I1302" i="55"/>
  <c r="A1302" i="55"/>
  <c r="B1274" i="55"/>
  <c r="B1275" i="55"/>
  <c r="B1276" i="55"/>
  <c r="B1277" i="55"/>
  <c r="B1278" i="55"/>
  <c r="B1279" i="55"/>
  <c r="A1275" i="55"/>
  <c r="A1276" i="55"/>
  <c r="A1277" i="55"/>
  <c r="A1278" i="55"/>
  <c r="A1279" i="55"/>
  <c r="A1274" i="55"/>
  <c r="H1320" i="55"/>
  <c r="AZ137" i="55"/>
  <c r="AZ139" i="55"/>
  <c r="BD137" i="55"/>
  <c r="BD139" i="55"/>
  <c r="BA137" i="55"/>
  <c r="BA139" i="55"/>
  <c r="AY137" i="55"/>
  <c r="BB137" i="55"/>
  <c r="BB139" i="55"/>
  <c r="BC137" i="55"/>
  <c r="BC139" i="55"/>
  <c r="D1295" i="55"/>
  <c r="I1329" i="55"/>
  <c r="H1329" i="55"/>
  <c r="I1325" i="55"/>
  <c r="H1325" i="55"/>
  <c r="I1334" i="55"/>
  <c r="H1334" i="55"/>
  <c r="I1330" i="55"/>
  <c r="H1330" i="55"/>
  <c r="V1321" i="55"/>
  <c r="I1321" i="55"/>
  <c r="H1321" i="55"/>
  <c r="H1333" i="55"/>
  <c r="I1333" i="55"/>
  <c r="I1326" i="55"/>
  <c r="H1326" i="55"/>
  <c r="I1322" i="55"/>
  <c r="H1322" i="55"/>
  <c r="H1331" i="55"/>
  <c r="I1331" i="55"/>
  <c r="H1324" i="55"/>
  <c r="I1324" i="55"/>
  <c r="A1320" i="55"/>
  <c r="I1320" i="55"/>
  <c r="H1327" i="55"/>
  <c r="I1327" i="55"/>
  <c r="H1323" i="55"/>
  <c r="I1323" i="55"/>
  <c r="H1332" i="55"/>
  <c r="I1332" i="55"/>
  <c r="H1328" i="55"/>
  <c r="I1328" i="55"/>
  <c r="V1329" i="55"/>
  <c r="V1325" i="55"/>
  <c r="V1334" i="55"/>
  <c r="V1330" i="55"/>
  <c r="V1320" i="55"/>
  <c r="V1326" i="55"/>
  <c r="V1322" i="55"/>
  <c r="V1331" i="55"/>
  <c r="V1324" i="55"/>
  <c r="V1333" i="55"/>
  <c r="U1338" i="55"/>
  <c r="T2" i="55"/>
  <c r="V1327" i="55"/>
  <c r="V1323" i="55"/>
  <c r="V1332" i="55"/>
  <c r="V1328" i="55"/>
  <c r="V1316" i="55"/>
  <c r="E204" i="54"/>
  <c r="T1316" i="55"/>
  <c r="AR205" i="54"/>
  <c r="U1316" i="55"/>
  <c r="D204" i="54"/>
  <c r="A1334" i="55"/>
  <c r="V1312" i="55"/>
  <c r="E196" i="54"/>
  <c r="T1312" i="55"/>
  <c r="AR197" i="54"/>
  <c r="U1312" i="55"/>
  <c r="D196" i="54"/>
  <c r="A1330" i="55"/>
  <c r="V1308" i="55"/>
  <c r="E188" i="54"/>
  <c r="T1308" i="55"/>
  <c r="AR189" i="54"/>
  <c r="U1308" i="55"/>
  <c r="D188" i="54"/>
  <c r="A1326" i="55"/>
  <c r="V1304" i="55"/>
  <c r="E180" i="54"/>
  <c r="T1304" i="55"/>
  <c r="AR181" i="54"/>
  <c r="U1304" i="55"/>
  <c r="D180" i="54"/>
  <c r="A1322" i="55"/>
  <c r="V1313" i="55"/>
  <c r="E198" i="54"/>
  <c r="T1313" i="55"/>
  <c r="AR199" i="54"/>
  <c r="U1313" i="55"/>
  <c r="D198" i="54"/>
  <c r="A1331" i="55"/>
  <c r="U1310" i="55"/>
  <c r="D192" i="54"/>
  <c r="V1310" i="55"/>
  <c r="E192" i="54"/>
  <c r="T1310" i="55"/>
  <c r="AR193" i="54"/>
  <c r="A1328" i="55"/>
  <c r="U1307" i="55"/>
  <c r="D186" i="54"/>
  <c r="V1307" i="55"/>
  <c r="E186" i="54"/>
  <c r="T1307" i="55"/>
  <c r="AR187" i="54"/>
  <c r="A1325" i="55"/>
  <c r="V1309" i="55"/>
  <c r="E190" i="54"/>
  <c r="T1309" i="55"/>
  <c r="AR191" i="54"/>
  <c r="U1309" i="55"/>
  <c r="D190" i="54"/>
  <c r="A1327" i="55"/>
  <c r="V1305" i="55"/>
  <c r="E182" i="54"/>
  <c r="T1305" i="55"/>
  <c r="AR183" i="54"/>
  <c r="U1305" i="55"/>
  <c r="D182" i="54"/>
  <c r="A1323" i="55"/>
  <c r="U1314" i="55"/>
  <c r="D200" i="54"/>
  <c r="V1314" i="55"/>
  <c r="E200" i="54"/>
  <c r="T1314" i="55"/>
  <c r="AR201" i="54"/>
  <c r="A1332" i="55"/>
  <c r="U1303" i="55"/>
  <c r="D178" i="54"/>
  <c r="U1306" i="55"/>
  <c r="D184" i="54"/>
  <c r="U1311" i="55"/>
  <c r="D194" i="54"/>
  <c r="U1315" i="55"/>
  <c r="D202" i="54"/>
  <c r="I126" i="55"/>
  <c r="V1303" i="55"/>
  <c r="E178" i="54"/>
  <c r="T1303" i="55"/>
  <c r="AR179" i="54"/>
  <c r="A1321" i="55"/>
  <c r="T1321" i="55"/>
  <c r="V1306" i="55"/>
  <c r="E184" i="54"/>
  <c r="T1306" i="55"/>
  <c r="AR185" i="54"/>
  <c r="A1324" i="55"/>
  <c r="V1315" i="55"/>
  <c r="E202" i="54"/>
  <c r="T1315" i="55"/>
  <c r="AR203" i="54"/>
  <c r="A1333" i="55"/>
  <c r="T1311" i="55"/>
  <c r="AR195" i="54"/>
  <c r="V1311" i="55"/>
  <c r="E194" i="54"/>
  <c r="A1329" i="55"/>
  <c r="V1302" i="55"/>
  <c r="E176" i="54"/>
  <c r="T1302" i="55"/>
  <c r="AR177" i="54"/>
  <c r="U1302" i="55"/>
  <c r="D176" i="54"/>
  <c r="N166" i="54"/>
  <c r="E166" i="54"/>
  <c r="D165" i="54"/>
  <c r="O166" i="54"/>
  <c r="N164" i="54"/>
  <c r="E164" i="54"/>
  <c r="D163" i="54"/>
  <c r="O164" i="54"/>
  <c r="N162" i="54"/>
  <c r="E162" i="54"/>
  <c r="D161" i="54"/>
  <c r="O162" i="54"/>
  <c r="N160" i="54"/>
  <c r="E160" i="54"/>
  <c r="D159" i="54"/>
  <c r="O160" i="54"/>
  <c r="N158" i="54"/>
  <c r="E158" i="54"/>
  <c r="D157" i="54"/>
  <c r="O158" i="54"/>
  <c r="N156" i="54"/>
  <c r="E156" i="54"/>
  <c r="D155" i="54"/>
  <c r="O156" i="54"/>
  <c r="N154" i="54"/>
  <c r="E154" i="54"/>
  <c r="D153" i="54"/>
  <c r="O154" i="54"/>
  <c r="N152" i="54"/>
  <c r="E152" i="54"/>
  <c r="D151" i="54"/>
  <c r="O152" i="54"/>
  <c r="N150" i="54"/>
  <c r="E150" i="54"/>
  <c r="D149" i="54"/>
  <c r="O150" i="54"/>
  <c r="N148" i="54"/>
  <c r="E148" i="54"/>
  <c r="D147" i="54"/>
  <c r="N146" i="54"/>
  <c r="E146" i="54"/>
  <c r="D145" i="54"/>
  <c r="O146" i="54"/>
  <c r="N144" i="54"/>
  <c r="E144" i="54"/>
  <c r="D143" i="54"/>
  <c r="O144" i="54"/>
  <c r="N142" i="54"/>
  <c r="E142" i="54"/>
  <c r="D141" i="54"/>
  <c r="O142" i="54"/>
  <c r="N140" i="54"/>
  <c r="E140" i="54"/>
  <c r="D139" i="54"/>
  <c r="I109" i="55"/>
  <c r="U1329" i="55"/>
  <c r="U1333" i="55"/>
  <c r="U1332" i="55"/>
  <c r="U1327" i="55"/>
  <c r="U1325" i="55"/>
  <c r="U1328" i="55"/>
  <c r="T1328" i="55"/>
  <c r="U1331" i="55"/>
  <c r="U1326" i="55"/>
  <c r="T1326" i="55"/>
  <c r="U1330" i="55"/>
  <c r="U1334" i="55"/>
  <c r="T1334" i="55"/>
  <c r="U1324" i="55"/>
  <c r="U1323" i="55"/>
  <c r="T1323" i="55"/>
  <c r="U1322" i="55"/>
  <c r="U1320" i="55"/>
  <c r="T1320" i="55"/>
  <c r="AP177" i="54"/>
  <c r="U1321" i="55"/>
  <c r="AY139" i="55"/>
  <c r="O140" i="54"/>
  <c r="I116" i="55"/>
  <c r="J116" i="55"/>
  <c r="I107" i="55"/>
  <c r="J107" i="55"/>
  <c r="I122" i="55"/>
  <c r="J122" i="55"/>
  <c r="I125" i="55"/>
  <c r="I129" i="55"/>
  <c r="I128" i="55"/>
  <c r="I124" i="55"/>
  <c r="I127" i="55"/>
  <c r="O148" i="54"/>
  <c r="I113" i="55"/>
  <c r="I118" i="55"/>
  <c r="J118" i="55"/>
  <c r="I123" i="55"/>
  <c r="I115" i="55"/>
  <c r="I108" i="55"/>
  <c r="I117" i="55"/>
  <c r="I121" i="55"/>
  <c r="I110" i="55"/>
  <c r="I114" i="55"/>
  <c r="I119" i="55"/>
  <c r="J119" i="55"/>
  <c r="I105" i="55"/>
  <c r="I111" i="55"/>
  <c r="I120" i="55"/>
  <c r="I112" i="55"/>
  <c r="J112" i="55"/>
  <c r="X146" i="54"/>
  <c r="U677" i="56"/>
  <c r="U574" i="67"/>
  <c r="U525" i="69"/>
  <c r="T677" i="56"/>
  <c r="T574" i="67"/>
  <c r="T525" i="69"/>
  <c r="V1335" i="55"/>
  <c r="X144" i="54"/>
  <c r="U676" i="56"/>
  <c r="U573" i="67"/>
  <c r="U524" i="69"/>
  <c r="T676" i="56"/>
  <c r="T573" i="67"/>
  <c r="T524" i="69"/>
  <c r="X142" i="54"/>
  <c r="U675" i="56"/>
  <c r="U572" i="67"/>
  <c r="U523" i="69"/>
  <c r="T675" i="56"/>
  <c r="T572" i="67"/>
  <c r="T523" i="69"/>
  <c r="X140" i="54"/>
  <c r="U674" i="56"/>
  <c r="U571" i="67"/>
  <c r="U522" i="69"/>
  <c r="T674" i="56"/>
  <c r="T571" i="67"/>
  <c r="T522" i="69"/>
  <c r="X158" i="54"/>
  <c r="U683" i="56"/>
  <c r="U580" i="67"/>
  <c r="U531" i="69"/>
  <c r="T683" i="56"/>
  <c r="T580" i="67"/>
  <c r="T531" i="69"/>
  <c r="X166" i="54"/>
  <c r="U687" i="56"/>
  <c r="U584" i="67"/>
  <c r="U535" i="69"/>
  <c r="T687" i="56"/>
  <c r="T584" i="67"/>
  <c r="T535" i="69"/>
  <c r="X148" i="54"/>
  <c r="U678" i="56"/>
  <c r="U575" i="67"/>
  <c r="U526" i="69"/>
  <c r="T678" i="56"/>
  <c r="T575" i="67"/>
  <c r="T526" i="69"/>
  <c r="X156" i="54"/>
  <c r="U682" i="56"/>
  <c r="U579" i="67"/>
  <c r="U530" i="69"/>
  <c r="T682" i="56"/>
  <c r="T579" i="67"/>
  <c r="T530" i="69"/>
  <c r="X164" i="54"/>
  <c r="U686" i="56"/>
  <c r="U583" i="67"/>
  <c r="U534" i="69"/>
  <c r="T686" i="56"/>
  <c r="T583" i="67"/>
  <c r="T534" i="69"/>
  <c r="X150" i="54"/>
  <c r="U679" i="56"/>
  <c r="U576" i="67"/>
  <c r="U527" i="69"/>
  <c r="T679" i="56"/>
  <c r="T576" i="67"/>
  <c r="T527" i="69"/>
  <c r="X154" i="54"/>
  <c r="U681" i="56"/>
  <c r="U578" i="67"/>
  <c r="U529" i="69"/>
  <c r="T681" i="56"/>
  <c r="T578" i="67"/>
  <c r="T529" i="69"/>
  <c r="X162" i="54"/>
  <c r="U685" i="56"/>
  <c r="U582" i="67"/>
  <c r="U533" i="69"/>
  <c r="T685" i="56"/>
  <c r="T582" i="67"/>
  <c r="T533" i="69"/>
  <c r="X152" i="54"/>
  <c r="U680" i="56"/>
  <c r="U577" i="67"/>
  <c r="U528" i="69"/>
  <c r="T680" i="56"/>
  <c r="T577" i="67"/>
  <c r="T528" i="69"/>
  <c r="X160" i="54"/>
  <c r="U684" i="56"/>
  <c r="U581" i="67"/>
  <c r="U532" i="69"/>
  <c r="T684" i="56"/>
  <c r="T581" i="67"/>
  <c r="T532" i="69"/>
  <c r="AP193" i="54"/>
  <c r="U720" i="56"/>
  <c r="U618" i="67"/>
  <c r="U569" i="69"/>
  <c r="AP205" i="54"/>
  <c r="U726" i="56"/>
  <c r="U624" i="67"/>
  <c r="U575" i="69"/>
  <c r="AP189" i="54"/>
  <c r="U718" i="56"/>
  <c r="U616" i="67"/>
  <c r="U567" i="69"/>
  <c r="AP183" i="54"/>
  <c r="U715" i="56"/>
  <c r="U613" i="67"/>
  <c r="U564" i="69"/>
  <c r="N138" i="54"/>
  <c r="U1335" i="55"/>
  <c r="B343" i="55"/>
  <c r="G343" i="55"/>
  <c r="X138" i="54"/>
  <c r="U673" i="56"/>
  <c r="U570" i="67"/>
  <c r="U521" i="69"/>
  <c r="T673" i="56"/>
  <c r="T570" i="67"/>
  <c r="T521" i="69"/>
  <c r="AP179" i="54"/>
  <c r="D137" i="54"/>
  <c r="O138" i="54"/>
  <c r="U713" i="56"/>
  <c r="U611" i="67"/>
  <c r="U562" i="69"/>
  <c r="L79" i="55"/>
  <c r="N79" i="55"/>
  <c r="O79" i="55"/>
  <c r="P79" i="55"/>
  <c r="Q79" i="55"/>
  <c r="R79" i="55"/>
  <c r="S79" i="55"/>
  <c r="T79" i="55"/>
  <c r="U79" i="55"/>
  <c r="W79" i="55"/>
  <c r="X79" i="55"/>
  <c r="Y79" i="55"/>
  <c r="Z79" i="55"/>
  <c r="AA79" i="55"/>
  <c r="AC79" i="55"/>
  <c r="L81" i="55"/>
  <c r="N81" i="55"/>
  <c r="O81" i="55"/>
  <c r="P81" i="55"/>
  <c r="Q81" i="55"/>
  <c r="R81" i="55"/>
  <c r="S81" i="55"/>
  <c r="T81" i="55"/>
  <c r="U81" i="55"/>
  <c r="W81" i="55"/>
  <c r="X81" i="55"/>
  <c r="Y81" i="55"/>
  <c r="Z81" i="55"/>
  <c r="AA81" i="55"/>
  <c r="AC81" i="55"/>
  <c r="L83" i="55"/>
  <c r="N83" i="55"/>
  <c r="O83" i="55"/>
  <c r="P83" i="55"/>
  <c r="Q83" i="55"/>
  <c r="R83" i="55"/>
  <c r="S83" i="55"/>
  <c r="T83" i="55"/>
  <c r="U83" i="55"/>
  <c r="W83" i="55"/>
  <c r="X83" i="55"/>
  <c r="Y83" i="55"/>
  <c r="Z83" i="55"/>
  <c r="AA83" i="55"/>
  <c r="AC83" i="55"/>
  <c r="L85" i="55"/>
  <c r="N85" i="55"/>
  <c r="O85" i="55"/>
  <c r="P85" i="55"/>
  <c r="Q85" i="55"/>
  <c r="R85" i="55"/>
  <c r="S85" i="55"/>
  <c r="T85" i="55"/>
  <c r="U85" i="55"/>
  <c r="W85" i="55"/>
  <c r="X85" i="55"/>
  <c r="Y85" i="55"/>
  <c r="Z85" i="55"/>
  <c r="AA85" i="55"/>
  <c r="AC85" i="55"/>
  <c r="L87" i="55"/>
  <c r="N87" i="55"/>
  <c r="O87" i="55"/>
  <c r="P87" i="55"/>
  <c r="Q87" i="55"/>
  <c r="R87" i="55"/>
  <c r="S87" i="55"/>
  <c r="T87" i="55"/>
  <c r="U87" i="55"/>
  <c r="W87" i="55"/>
  <c r="X87" i="55"/>
  <c r="Y87" i="55"/>
  <c r="Z87" i="55"/>
  <c r="AA87" i="55"/>
  <c r="AC87" i="55"/>
  <c r="L89" i="55"/>
  <c r="N89" i="55"/>
  <c r="O89" i="55"/>
  <c r="P89" i="55"/>
  <c r="Q89" i="55"/>
  <c r="R89" i="55"/>
  <c r="S89" i="55"/>
  <c r="T89" i="55"/>
  <c r="U89" i="55"/>
  <c r="W89" i="55"/>
  <c r="X89" i="55"/>
  <c r="Y89" i="55"/>
  <c r="Z89" i="55"/>
  <c r="AA89" i="55"/>
  <c r="AC89" i="55"/>
  <c r="L91" i="55"/>
  <c r="N91" i="55"/>
  <c r="O91" i="55"/>
  <c r="P91" i="55"/>
  <c r="Q91" i="55"/>
  <c r="R91" i="55"/>
  <c r="S91" i="55"/>
  <c r="T91" i="55"/>
  <c r="U91" i="55"/>
  <c r="W91" i="55"/>
  <c r="X91" i="55"/>
  <c r="Y91" i="55"/>
  <c r="Z91" i="55"/>
  <c r="AA91" i="55"/>
  <c r="AC91" i="55"/>
  <c r="L93" i="55"/>
  <c r="N93" i="55"/>
  <c r="O93" i="55"/>
  <c r="P93" i="55"/>
  <c r="Q93" i="55"/>
  <c r="R93" i="55"/>
  <c r="S93" i="55"/>
  <c r="T93" i="55"/>
  <c r="U93" i="55"/>
  <c r="W93" i="55"/>
  <c r="X93" i="55"/>
  <c r="Y93" i="55"/>
  <c r="Z93" i="55"/>
  <c r="AA93" i="55"/>
  <c r="AC93" i="55"/>
  <c r="L95" i="55"/>
  <c r="N95" i="55"/>
  <c r="O95" i="55"/>
  <c r="P95" i="55"/>
  <c r="Q95" i="55"/>
  <c r="R95" i="55"/>
  <c r="S95" i="55"/>
  <c r="T95" i="55"/>
  <c r="U95" i="55"/>
  <c r="W95" i="55"/>
  <c r="X95" i="55"/>
  <c r="Y95" i="55"/>
  <c r="Z95" i="55"/>
  <c r="AA95" i="55"/>
  <c r="AC95" i="55"/>
  <c r="L97" i="55"/>
  <c r="N97" i="55"/>
  <c r="O97" i="55"/>
  <c r="P97" i="55"/>
  <c r="Q97" i="55"/>
  <c r="R97" i="55"/>
  <c r="S97" i="55"/>
  <c r="T97" i="55"/>
  <c r="U97" i="55"/>
  <c r="W97" i="55"/>
  <c r="X97" i="55"/>
  <c r="Y97" i="55"/>
  <c r="Z97" i="55"/>
  <c r="AA97" i="55"/>
  <c r="AC97" i="55"/>
  <c r="K79" i="55"/>
  <c r="K81" i="55"/>
  <c r="K83" i="55"/>
  <c r="K85" i="55"/>
  <c r="K87" i="55"/>
  <c r="K89" i="55"/>
  <c r="K91" i="55"/>
  <c r="K93" i="55"/>
  <c r="K95" i="55"/>
  <c r="P163" i="54"/>
  <c r="K97" i="55"/>
  <c r="E138" i="54"/>
  <c r="B113" i="55"/>
  <c r="P165" i="54"/>
  <c r="P157" i="54"/>
  <c r="P155" i="54"/>
  <c r="P147" i="54"/>
  <c r="P149" i="54"/>
  <c r="P159" i="54"/>
  <c r="P151" i="54"/>
  <c r="P161" i="54"/>
  <c r="P153" i="54"/>
  <c r="U106" i="55"/>
  <c r="Y69" i="55"/>
  <c r="Y71" i="55"/>
  <c r="Y73" i="55"/>
  <c r="Y75" i="55"/>
  <c r="Y77" i="55"/>
  <c r="Q69" i="55"/>
  <c r="Q71" i="55"/>
  <c r="Q73" i="55"/>
  <c r="Q75" i="55"/>
  <c r="Q77" i="55"/>
  <c r="Q99" i="55"/>
  <c r="R69" i="55"/>
  <c r="S69" i="55"/>
  <c r="T69" i="55"/>
  <c r="U69" i="55"/>
  <c r="W69" i="55"/>
  <c r="X69" i="55"/>
  <c r="Z69" i="55"/>
  <c r="AA69" i="55"/>
  <c r="AC69" i="55"/>
  <c r="R71" i="55"/>
  <c r="S71" i="55"/>
  <c r="T71" i="55"/>
  <c r="U71" i="55"/>
  <c r="W71" i="55"/>
  <c r="X71" i="55"/>
  <c r="Z71" i="55"/>
  <c r="AA71" i="55"/>
  <c r="AC71" i="55"/>
  <c r="R73" i="55"/>
  <c r="S73" i="55"/>
  <c r="T73" i="55"/>
  <c r="U73" i="55"/>
  <c r="W73" i="55"/>
  <c r="X73" i="55"/>
  <c r="Z73" i="55"/>
  <c r="AA73" i="55"/>
  <c r="AC73" i="55"/>
  <c r="R75" i="55"/>
  <c r="S75" i="55"/>
  <c r="T75" i="55"/>
  <c r="U75" i="55"/>
  <c r="W75" i="55"/>
  <c r="X75" i="55"/>
  <c r="X77" i="55"/>
  <c r="X99" i="55"/>
  <c r="Z75" i="55"/>
  <c r="AA75" i="55"/>
  <c r="AC75" i="55"/>
  <c r="AC77" i="55"/>
  <c r="AC99" i="55"/>
  <c r="R77" i="55"/>
  <c r="S77" i="55"/>
  <c r="T77" i="55"/>
  <c r="T99" i="55"/>
  <c r="U77" i="55"/>
  <c r="W77" i="55"/>
  <c r="Z77" i="55"/>
  <c r="AA77" i="55"/>
  <c r="AA99" i="55"/>
  <c r="S99" i="55"/>
  <c r="R99" i="55"/>
  <c r="U99" i="55"/>
  <c r="AP137" i="55"/>
  <c r="AP139" i="55"/>
  <c r="W99" i="55"/>
  <c r="Y99" i="55"/>
  <c r="B338" i="55"/>
  <c r="G338" i="55"/>
  <c r="Z99" i="55"/>
  <c r="AU137" i="55"/>
  <c r="AU139" i="55"/>
  <c r="AR137" i="55"/>
  <c r="AR139" i="55"/>
  <c r="B336" i="55"/>
  <c r="G336" i="55"/>
  <c r="AM137" i="55"/>
  <c r="AM139" i="55"/>
  <c r="B331" i="55"/>
  <c r="G331" i="55"/>
  <c r="AN137" i="55"/>
  <c r="B332" i="55"/>
  <c r="G332" i="55"/>
  <c r="AT137" i="55"/>
  <c r="AT139" i="55"/>
  <c r="O69" i="55"/>
  <c r="P69" i="55"/>
  <c r="P71" i="55"/>
  <c r="P73" i="55"/>
  <c r="P75" i="55"/>
  <c r="P77" i="55"/>
  <c r="P99" i="55"/>
  <c r="O71" i="55"/>
  <c r="O73" i="55"/>
  <c r="O75" i="55"/>
  <c r="O77" i="55"/>
  <c r="J127" i="55"/>
  <c r="J128" i="55"/>
  <c r="J129" i="55"/>
  <c r="J124" i="55"/>
  <c r="J125" i="55"/>
  <c r="J126" i="55"/>
  <c r="J120" i="55"/>
  <c r="J121" i="55"/>
  <c r="J123" i="55"/>
  <c r="D414" i="70"/>
  <c r="E412" i="70"/>
  <c r="D412" i="70"/>
  <c r="B412" i="70"/>
  <c r="E411" i="70"/>
  <c r="D411" i="70"/>
  <c r="B411" i="70"/>
  <c r="D460" i="69"/>
  <c r="E458" i="69"/>
  <c r="D458" i="69"/>
  <c r="B458" i="69"/>
  <c r="E457" i="69"/>
  <c r="D457" i="69"/>
  <c r="B457" i="69"/>
  <c r="D446" i="68"/>
  <c r="E444" i="68"/>
  <c r="D444" i="68"/>
  <c r="B444" i="68"/>
  <c r="E443" i="68"/>
  <c r="D443" i="68"/>
  <c r="B443" i="68"/>
  <c r="D511" i="67"/>
  <c r="E509" i="67"/>
  <c r="D509" i="67"/>
  <c r="B509" i="67"/>
  <c r="E508" i="67"/>
  <c r="D508" i="67"/>
  <c r="B508" i="67"/>
  <c r="D553" i="66"/>
  <c r="E551" i="66"/>
  <c r="D551" i="66"/>
  <c r="B551" i="66"/>
  <c r="E550" i="66"/>
  <c r="D550" i="66"/>
  <c r="B550" i="66"/>
  <c r="D613" i="56"/>
  <c r="E611" i="56"/>
  <c r="D611" i="56"/>
  <c r="B611" i="56"/>
  <c r="E610" i="56"/>
  <c r="D610" i="56"/>
  <c r="B610" i="56"/>
  <c r="D101" i="54"/>
  <c r="D111" i="54"/>
  <c r="H71" i="55"/>
  <c r="H69" i="55"/>
  <c r="G71" i="55"/>
  <c r="G69" i="55"/>
  <c r="AG141" i="55"/>
  <c r="AF141" i="55"/>
  <c r="E286" i="55"/>
  <c r="C291" i="55"/>
  <c r="P99" i="54"/>
  <c r="P97" i="54"/>
  <c r="P95" i="54"/>
  <c r="P93" i="54"/>
  <c r="P91" i="54"/>
  <c r="U111" i="55"/>
  <c r="U110" i="55"/>
  <c r="E23" i="56"/>
  <c r="E22" i="56"/>
  <c r="F77" i="54"/>
  <c r="U112" i="55"/>
  <c r="C300" i="55"/>
  <c r="C295" i="55"/>
  <c r="C296" i="55"/>
  <c r="C297" i="55"/>
  <c r="C298" i="55"/>
  <c r="C299" i="55"/>
  <c r="C294" i="55"/>
  <c r="O689" i="56"/>
  <c r="O586" i="67"/>
  <c r="O537" i="69"/>
  <c r="D673" i="56"/>
  <c r="D570" i="67"/>
  <c r="D521" i="69"/>
  <c r="AN139" i="55"/>
  <c r="B673" i="56"/>
  <c r="B570" i="67"/>
  <c r="B521" i="69"/>
  <c r="S827" i="56"/>
  <c r="R827" i="56"/>
  <c r="Q827" i="56"/>
  <c r="P827" i="56"/>
  <c r="L826" i="56"/>
  <c r="S826" i="56"/>
  <c r="R826" i="56"/>
  <c r="Q826" i="56"/>
  <c r="P826" i="56"/>
  <c r="E826" i="56"/>
  <c r="C826" i="56"/>
  <c r="L815" i="56"/>
  <c r="L814" i="56"/>
  <c r="L813" i="56"/>
  <c r="L812" i="56"/>
  <c r="L811" i="56"/>
  <c r="C815" i="56"/>
  <c r="C814" i="56"/>
  <c r="C813" i="56"/>
  <c r="C812" i="56"/>
  <c r="C811" i="56"/>
  <c r="C557" i="70"/>
  <c r="C705" i="67"/>
  <c r="C657" i="69"/>
  <c r="C592" i="68"/>
  <c r="C659" i="69"/>
  <c r="C594" i="68"/>
  <c r="C707" i="67"/>
  <c r="C559" i="70"/>
  <c r="C706" i="66"/>
  <c r="C661" i="69"/>
  <c r="C596" i="68"/>
  <c r="C709" i="67"/>
  <c r="C561" i="70"/>
  <c r="C708" i="66"/>
  <c r="L558" i="70"/>
  <c r="L658" i="69"/>
  <c r="L593" i="68"/>
  <c r="L706" i="67"/>
  <c r="L705" i="66"/>
  <c r="L560" i="70"/>
  <c r="L660" i="69"/>
  <c r="L595" i="68"/>
  <c r="L708" i="67"/>
  <c r="L707" i="66"/>
  <c r="C608" i="68"/>
  <c r="C720" i="67"/>
  <c r="C572" i="70"/>
  <c r="C671" i="69"/>
  <c r="C720" i="66"/>
  <c r="H572" i="70"/>
  <c r="H671" i="69"/>
  <c r="H608" i="68"/>
  <c r="H720" i="67"/>
  <c r="H720" i="66"/>
  <c r="Q572" i="70"/>
  <c r="Q671" i="69"/>
  <c r="Q608" i="68"/>
  <c r="Q720" i="67"/>
  <c r="Q720" i="66"/>
  <c r="S572" i="70"/>
  <c r="S671" i="69"/>
  <c r="S608" i="68"/>
  <c r="S720" i="67"/>
  <c r="S720" i="66"/>
  <c r="P721" i="67"/>
  <c r="P573" i="70"/>
  <c r="P672" i="69"/>
  <c r="P609" i="68"/>
  <c r="P721" i="66"/>
  <c r="R672" i="69"/>
  <c r="R721" i="67"/>
  <c r="R573" i="70"/>
  <c r="R609" i="68"/>
  <c r="R721" i="66"/>
  <c r="C558" i="70"/>
  <c r="C705" i="66"/>
  <c r="C658" i="69"/>
  <c r="C593" i="68"/>
  <c r="C706" i="67"/>
  <c r="C560" i="70"/>
  <c r="C707" i="66"/>
  <c r="C660" i="69"/>
  <c r="C595" i="68"/>
  <c r="C708" i="67"/>
  <c r="L557" i="70"/>
  <c r="L657" i="69"/>
  <c r="L592" i="68"/>
  <c r="L705" i="67"/>
  <c r="L704" i="66"/>
  <c r="L707" i="67"/>
  <c r="L706" i="66"/>
  <c r="L559" i="70"/>
  <c r="L659" i="69"/>
  <c r="L594" i="68"/>
  <c r="L709" i="67"/>
  <c r="L708" i="66"/>
  <c r="L561" i="70"/>
  <c r="L661" i="69"/>
  <c r="L596" i="68"/>
  <c r="E572" i="70"/>
  <c r="E671" i="69"/>
  <c r="E720" i="66"/>
  <c r="E608" i="68"/>
  <c r="E720" i="67"/>
  <c r="P720" i="67"/>
  <c r="P720" i="66"/>
  <c r="P572" i="70"/>
  <c r="P671" i="69"/>
  <c r="P608" i="68"/>
  <c r="R720" i="67"/>
  <c r="R720" i="66"/>
  <c r="R572" i="70"/>
  <c r="R671" i="69"/>
  <c r="R608" i="68"/>
  <c r="L720" i="67"/>
  <c r="L720" i="66"/>
  <c r="L572" i="70"/>
  <c r="L671" i="69"/>
  <c r="L608" i="68"/>
  <c r="Q573" i="70"/>
  <c r="Q609" i="68"/>
  <c r="Q721" i="66"/>
  <c r="Q672" i="69"/>
  <c r="Q721" i="67"/>
  <c r="S573" i="70"/>
  <c r="S672" i="69"/>
  <c r="S609" i="68"/>
  <c r="S721" i="66"/>
  <c r="S721" i="67"/>
  <c r="J815" i="56"/>
  <c r="I815" i="56"/>
  <c r="J814" i="56"/>
  <c r="I814" i="56"/>
  <c r="J813" i="56"/>
  <c r="I813" i="56"/>
  <c r="J812" i="56"/>
  <c r="I812" i="56"/>
  <c r="S262" i="54"/>
  <c r="D250" i="54"/>
  <c r="D248" i="54"/>
  <c r="H248" i="54"/>
  <c r="D246" i="54"/>
  <c r="D244" i="54"/>
  <c r="D242" i="54"/>
  <c r="H811" i="56"/>
  <c r="J826" i="56"/>
  <c r="H244" i="54"/>
  <c r="N812" i="56"/>
  <c r="H812" i="56"/>
  <c r="H814" i="56"/>
  <c r="H242" i="54"/>
  <c r="N811" i="56"/>
  <c r="H246" i="54"/>
  <c r="N813" i="56"/>
  <c r="H813" i="56"/>
  <c r="H250" i="54"/>
  <c r="N815" i="56"/>
  <c r="N561" i="70"/>
  <c r="H815" i="56"/>
  <c r="N661" i="69"/>
  <c r="N596" i="68"/>
  <c r="N559" i="70"/>
  <c r="N659" i="69"/>
  <c r="N594" i="68"/>
  <c r="N707" i="67"/>
  <c r="N706" i="66"/>
  <c r="N706" i="67"/>
  <c r="N558" i="70"/>
  <c r="N658" i="69"/>
  <c r="N593" i="68"/>
  <c r="N705" i="66"/>
  <c r="J572" i="70"/>
  <c r="J608" i="68"/>
  <c r="J720" i="67"/>
  <c r="J671" i="69"/>
  <c r="J720" i="66"/>
  <c r="H561" i="70"/>
  <c r="H661" i="69"/>
  <c r="H596" i="68"/>
  <c r="H709" i="67"/>
  <c r="H708" i="66"/>
  <c r="H559" i="70"/>
  <c r="H659" i="69"/>
  <c r="H594" i="68"/>
  <c r="H706" i="66"/>
  <c r="H707" i="67"/>
  <c r="H560" i="70"/>
  <c r="H660" i="69"/>
  <c r="H595" i="68"/>
  <c r="H707" i="66"/>
  <c r="H708" i="67"/>
  <c r="H706" i="67"/>
  <c r="H558" i="70"/>
  <c r="H658" i="69"/>
  <c r="H593" i="68"/>
  <c r="H705" i="66"/>
  <c r="D78" i="54"/>
  <c r="Z34" i="55"/>
  <c r="N499" i="56"/>
  <c r="N439" i="66"/>
  <c r="F77" i="55"/>
  <c r="F75" i="55"/>
  <c r="F73" i="55"/>
  <c r="F69" i="55"/>
  <c r="F71" i="55"/>
  <c r="F79" i="55"/>
  <c r="AD137" i="55"/>
  <c r="B263" i="55"/>
  <c r="E263" i="55"/>
  <c r="F263" i="55"/>
  <c r="AD133" i="55"/>
  <c r="AD134" i="55"/>
  <c r="D263" i="55"/>
  <c r="C263" i="55"/>
  <c r="J117" i="55"/>
  <c r="AD135" i="55"/>
  <c r="P101" i="54"/>
  <c r="F270" i="54"/>
  <c r="L119" i="55"/>
  <c r="K71" i="55"/>
  <c r="K73" i="55"/>
  <c r="K77" i="55"/>
  <c r="K75" i="55"/>
  <c r="K69" i="55"/>
  <c r="K99" i="55"/>
  <c r="J105" i="55"/>
  <c r="AC127" i="55"/>
  <c r="AA127" i="55"/>
  <c r="AB127" i="55"/>
  <c r="L10" i="55"/>
  <c r="B259" i="55"/>
  <c r="B262" i="55"/>
  <c r="Q63" i="55"/>
  <c r="Q61" i="55"/>
  <c r="Q59" i="55"/>
  <c r="Q57" i="55"/>
  <c r="Q55" i="55"/>
  <c r="Q53" i="55"/>
  <c r="Q50" i="55"/>
  <c r="Q47" i="55"/>
  <c r="Q44" i="55"/>
  <c r="Q41" i="55"/>
  <c r="Q38" i="55"/>
  <c r="Q35" i="55"/>
  <c r="Q32" i="55"/>
  <c r="Q29" i="55"/>
  <c r="Q26" i="55"/>
  <c r="E262" i="55"/>
  <c r="F262" i="55"/>
  <c r="AE133" i="55"/>
  <c r="D262" i="55"/>
  <c r="C262" i="55"/>
  <c r="N77" i="55"/>
  <c r="L77" i="55"/>
  <c r="P145" i="54"/>
  <c r="N75" i="55"/>
  <c r="L75" i="55"/>
  <c r="N73" i="55"/>
  <c r="L73" i="55"/>
  <c r="N71" i="55"/>
  <c r="L71" i="55"/>
  <c r="P139" i="54"/>
  <c r="N69" i="55"/>
  <c r="N99" i="55"/>
  <c r="L69" i="55"/>
  <c r="P143" i="54"/>
  <c r="P141" i="54"/>
  <c r="L99" i="55"/>
  <c r="AG137" i="55"/>
  <c r="AG139" i="55"/>
  <c r="B325" i="55"/>
  <c r="G325" i="55"/>
  <c r="V100" i="55"/>
  <c r="W100" i="55"/>
  <c r="O99" i="55"/>
  <c r="AB99" i="55"/>
  <c r="AD99" i="55"/>
  <c r="Y100" i="55"/>
  <c r="R100" i="55"/>
  <c r="S100" i="55"/>
  <c r="L100" i="55"/>
  <c r="Q20" i="7"/>
  <c r="P20" i="7"/>
  <c r="O20" i="7"/>
  <c r="F58" i="1"/>
  <c r="L190" i="7"/>
  <c r="J192" i="7"/>
  <c r="J193" i="7"/>
  <c r="J194" i="7"/>
  <c r="J195" i="7"/>
  <c r="J196" i="7"/>
  <c r="J197" i="7"/>
  <c r="L192" i="7"/>
  <c r="L193" i="7"/>
  <c r="L194" i="7"/>
  <c r="L195" i="7"/>
  <c r="L197" i="7"/>
  <c r="J191" i="7"/>
  <c r="L191" i="7"/>
  <c r="J189" i="7"/>
  <c r="L189" i="7"/>
  <c r="L196" i="7"/>
  <c r="O66" i="1"/>
  <c r="F226" i="55"/>
  <c r="F228" i="55"/>
  <c r="F211" i="55"/>
  <c r="F213" i="55"/>
  <c r="F183" i="55"/>
  <c r="F184" i="55"/>
  <c r="F185" i="55"/>
  <c r="F186" i="55"/>
  <c r="F187" i="55"/>
  <c r="F188" i="55"/>
  <c r="F190" i="55"/>
  <c r="F191" i="55"/>
  <c r="F192" i="55"/>
  <c r="F193" i="55"/>
  <c r="O435" i="67"/>
  <c r="O477" i="66"/>
  <c r="O476" i="66"/>
  <c r="E71" i="55"/>
  <c r="E73" i="55"/>
  <c r="E75" i="55"/>
  <c r="E77" i="55"/>
  <c r="E69" i="55"/>
  <c r="C81" i="54"/>
  <c r="C79" i="54"/>
  <c r="B233" i="55"/>
  <c r="B218" i="55"/>
  <c r="C188" i="55"/>
  <c r="D188" i="55"/>
  <c r="E188" i="55"/>
  <c r="D377" i="70"/>
  <c r="E375" i="70"/>
  <c r="D375" i="70"/>
  <c r="B375" i="70"/>
  <c r="E374" i="70"/>
  <c r="D374" i="70"/>
  <c r="B374" i="70"/>
  <c r="E373" i="70"/>
  <c r="D373" i="70"/>
  <c r="B373" i="70"/>
  <c r="E372" i="70"/>
  <c r="D372" i="70"/>
  <c r="B372" i="70"/>
  <c r="E371" i="70"/>
  <c r="D371" i="70"/>
  <c r="B371" i="70"/>
  <c r="E353" i="70"/>
  <c r="D353" i="70"/>
  <c r="E352" i="70"/>
  <c r="D352" i="70"/>
  <c r="L350" i="70"/>
  <c r="K350" i="70"/>
  <c r="I350" i="70"/>
  <c r="F350" i="70"/>
  <c r="E350" i="70"/>
  <c r="D350" i="70"/>
  <c r="B350" i="70"/>
  <c r="H350" i="70"/>
  <c r="N349" i="70"/>
  <c r="M349" i="70"/>
  <c r="L349" i="70"/>
  <c r="K349" i="70"/>
  <c r="I349" i="70"/>
  <c r="F349" i="70"/>
  <c r="E349" i="70"/>
  <c r="D349" i="70"/>
  <c r="B349" i="70"/>
  <c r="H349" i="70"/>
  <c r="N348" i="70"/>
  <c r="M348" i="70"/>
  <c r="L348" i="70"/>
  <c r="K348" i="70"/>
  <c r="I348" i="70"/>
  <c r="F348" i="70"/>
  <c r="E348" i="70"/>
  <c r="D348" i="70"/>
  <c r="B348" i="70"/>
  <c r="H348" i="70"/>
  <c r="L347" i="70"/>
  <c r="K347" i="70"/>
  <c r="I347" i="70"/>
  <c r="F347" i="70"/>
  <c r="E347" i="70"/>
  <c r="D347" i="70"/>
  <c r="B347" i="70"/>
  <c r="H347" i="70"/>
  <c r="N346" i="70"/>
  <c r="M346" i="70"/>
  <c r="L346" i="70"/>
  <c r="K346" i="70"/>
  <c r="I346" i="70"/>
  <c r="F346" i="70"/>
  <c r="E346" i="70"/>
  <c r="D346" i="70"/>
  <c r="B346" i="70"/>
  <c r="H346" i="70"/>
  <c r="N345" i="70"/>
  <c r="M345" i="70"/>
  <c r="L345" i="70"/>
  <c r="K345" i="70"/>
  <c r="I345" i="70"/>
  <c r="F345" i="70"/>
  <c r="E345" i="70"/>
  <c r="D345" i="70"/>
  <c r="B345" i="70"/>
  <c r="H345" i="70"/>
  <c r="N344" i="70"/>
  <c r="M344" i="70"/>
  <c r="L344" i="70"/>
  <c r="K344" i="70"/>
  <c r="I344" i="70"/>
  <c r="F344" i="70"/>
  <c r="E344" i="70"/>
  <c r="D344" i="70"/>
  <c r="B344" i="70"/>
  <c r="H344" i="70"/>
  <c r="L343" i="70"/>
  <c r="K343" i="70"/>
  <c r="I343" i="70"/>
  <c r="F343" i="70"/>
  <c r="E343" i="70"/>
  <c r="D343" i="70"/>
  <c r="B343" i="70"/>
  <c r="H343" i="70"/>
  <c r="L342" i="70"/>
  <c r="K342" i="70"/>
  <c r="I342" i="70"/>
  <c r="F342" i="70"/>
  <c r="E342" i="70"/>
  <c r="D342" i="70"/>
  <c r="B342" i="70"/>
  <c r="H342" i="70"/>
  <c r="L341" i="70"/>
  <c r="K341" i="70"/>
  <c r="I341" i="70"/>
  <c r="F341" i="70"/>
  <c r="E341" i="70"/>
  <c r="D341" i="70"/>
  <c r="B341" i="70"/>
  <c r="H341" i="70"/>
  <c r="L340" i="70"/>
  <c r="K340" i="70"/>
  <c r="I340" i="70"/>
  <c r="F340" i="70"/>
  <c r="E340" i="70"/>
  <c r="D340" i="70"/>
  <c r="B340" i="70"/>
  <c r="H340" i="70"/>
  <c r="L339" i="70"/>
  <c r="K339" i="70"/>
  <c r="I339" i="70"/>
  <c r="F339" i="70"/>
  <c r="E339" i="70"/>
  <c r="D339" i="70"/>
  <c r="B339" i="70"/>
  <c r="H339" i="70"/>
  <c r="L338" i="70"/>
  <c r="K338" i="70"/>
  <c r="I338" i="70"/>
  <c r="F338" i="70"/>
  <c r="E338" i="70"/>
  <c r="D338" i="70"/>
  <c r="B338" i="70"/>
  <c r="H338" i="70"/>
  <c r="L337" i="70"/>
  <c r="K337" i="70"/>
  <c r="I337" i="70"/>
  <c r="F337" i="70"/>
  <c r="E337" i="70"/>
  <c r="D337" i="70"/>
  <c r="B337" i="70"/>
  <c r="H337" i="70"/>
  <c r="L336" i="70"/>
  <c r="K336" i="70"/>
  <c r="I336" i="70"/>
  <c r="F336" i="70"/>
  <c r="E336" i="70"/>
  <c r="D336" i="70"/>
  <c r="B336" i="70"/>
  <c r="H336" i="70"/>
  <c r="J231" i="70"/>
  <c r="I231" i="70"/>
  <c r="H231" i="70"/>
  <c r="G231" i="70"/>
  <c r="F231" i="70"/>
  <c r="E231" i="70"/>
  <c r="E28" i="70"/>
  <c r="E24" i="70"/>
  <c r="E23" i="70"/>
  <c r="E21" i="70"/>
  <c r="E20" i="70"/>
  <c r="E18" i="70"/>
  <c r="E17" i="70"/>
  <c r="B11" i="70"/>
  <c r="L401" i="70"/>
  <c r="D423" i="69"/>
  <c r="E421" i="69"/>
  <c r="D421" i="69"/>
  <c r="B421" i="69"/>
  <c r="E420" i="69"/>
  <c r="D420" i="69"/>
  <c r="B420" i="69"/>
  <c r="E419" i="69"/>
  <c r="D419" i="69"/>
  <c r="B419" i="69"/>
  <c r="E418" i="69"/>
  <c r="D418" i="69"/>
  <c r="B418" i="69"/>
  <c r="E417" i="69"/>
  <c r="D417" i="69"/>
  <c r="B417" i="69"/>
  <c r="E399" i="69"/>
  <c r="D399" i="69"/>
  <c r="E398" i="69"/>
  <c r="D398" i="69"/>
  <c r="L396" i="69"/>
  <c r="K396" i="69"/>
  <c r="I396" i="69"/>
  <c r="F396" i="69"/>
  <c r="E396" i="69"/>
  <c r="D396" i="69"/>
  <c r="B396" i="69"/>
  <c r="H396" i="69"/>
  <c r="N395" i="69"/>
  <c r="M395" i="69"/>
  <c r="L395" i="69"/>
  <c r="K395" i="69"/>
  <c r="I395" i="69"/>
  <c r="F395" i="69"/>
  <c r="E395" i="69"/>
  <c r="D395" i="69"/>
  <c r="B395" i="69"/>
  <c r="H395" i="69"/>
  <c r="N394" i="69"/>
  <c r="M394" i="69"/>
  <c r="L394" i="69"/>
  <c r="K394" i="69"/>
  <c r="I394" i="69"/>
  <c r="F394" i="69"/>
  <c r="E394" i="69"/>
  <c r="D394" i="69"/>
  <c r="B394" i="69"/>
  <c r="H394" i="69"/>
  <c r="L393" i="69"/>
  <c r="K393" i="69"/>
  <c r="I393" i="69"/>
  <c r="F393" i="69"/>
  <c r="E393" i="69"/>
  <c r="D393" i="69"/>
  <c r="B393" i="69"/>
  <c r="H393" i="69"/>
  <c r="N392" i="69"/>
  <c r="M392" i="69"/>
  <c r="L392" i="69"/>
  <c r="K392" i="69"/>
  <c r="I392" i="69"/>
  <c r="F392" i="69"/>
  <c r="E392" i="69"/>
  <c r="D392" i="69"/>
  <c r="B392" i="69"/>
  <c r="H392" i="69"/>
  <c r="N391" i="69"/>
  <c r="M391" i="69"/>
  <c r="L391" i="69"/>
  <c r="K391" i="69"/>
  <c r="I391" i="69"/>
  <c r="F391" i="69"/>
  <c r="E391" i="69"/>
  <c r="D391" i="69"/>
  <c r="B391" i="69"/>
  <c r="H391" i="69"/>
  <c r="N390" i="69"/>
  <c r="M390" i="69"/>
  <c r="L390" i="69"/>
  <c r="K390" i="69"/>
  <c r="I390" i="69"/>
  <c r="F390" i="69"/>
  <c r="E390" i="69"/>
  <c r="D390" i="69"/>
  <c r="B390" i="69"/>
  <c r="H390" i="69"/>
  <c r="L389" i="69"/>
  <c r="K389" i="69"/>
  <c r="I389" i="69"/>
  <c r="F389" i="69"/>
  <c r="E389" i="69"/>
  <c r="D389" i="69"/>
  <c r="B389" i="69"/>
  <c r="H389" i="69"/>
  <c r="L388" i="69"/>
  <c r="K388" i="69"/>
  <c r="I388" i="69"/>
  <c r="F388" i="69"/>
  <c r="E388" i="69"/>
  <c r="D388" i="69"/>
  <c r="B388" i="69"/>
  <c r="H388" i="69"/>
  <c r="L387" i="69"/>
  <c r="K387" i="69"/>
  <c r="I387" i="69"/>
  <c r="F387" i="69"/>
  <c r="E387" i="69"/>
  <c r="D387" i="69"/>
  <c r="B387" i="69"/>
  <c r="H387" i="69"/>
  <c r="L386" i="69"/>
  <c r="K386" i="69"/>
  <c r="I386" i="69"/>
  <c r="F386" i="69"/>
  <c r="E386" i="69"/>
  <c r="D386" i="69"/>
  <c r="B386" i="69"/>
  <c r="H386" i="69"/>
  <c r="L385" i="69"/>
  <c r="K385" i="69"/>
  <c r="I385" i="69"/>
  <c r="F385" i="69"/>
  <c r="E385" i="69"/>
  <c r="D385" i="69"/>
  <c r="B385" i="69"/>
  <c r="H385" i="69"/>
  <c r="L384" i="69"/>
  <c r="K384" i="69"/>
  <c r="I384" i="69"/>
  <c r="F384" i="69"/>
  <c r="E384" i="69"/>
  <c r="D384" i="69"/>
  <c r="B384" i="69"/>
  <c r="H384" i="69"/>
  <c r="L383" i="69"/>
  <c r="K383" i="69"/>
  <c r="I383" i="69"/>
  <c r="F383" i="69"/>
  <c r="E383" i="69"/>
  <c r="D383" i="69"/>
  <c r="B383" i="69"/>
  <c r="H383" i="69"/>
  <c r="L382" i="69"/>
  <c r="K382" i="69"/>
  <c r="I382" i="69"/>
  <c r="F382" i="69"/>
  <c r="E382" i="69"/>
  <c r="D382" i="69"/>
  <c r="B382" i="69"/>
  <c r="H382" i="69"/>
  <c r="J273" i="69"/>
  <c r="I273" i="69"/>
  <c r="H273" i="69"/>
  <c r="G273" i="69"/>
  <c r="F273" i="69"/>
  <c r="E273" i="69"/>
  <c r="E28" i="69"/>
  <c r="E24" i="69"/>
  <c r="E23" i="69"/>
  <c r="E21" i="69"/>
  <c r="E20" i="69"/>
  <c r="E18" i="69"/>
  <c r="E17" i="69"/>
  <c r="B11" i="69"/>
  <c r="L582" i="69"/>
  <c r="B11" i="68"/>
  <c r="L528" i="68"/>
  <c r="E17" i="68"/>
  <c r="E18" i="68"/>
  <c r="E20" i="68"/>
  <c r="E21" i="68"/>
  <c r="E23" i="68"/>
  <c r="E24" i="68"/>
  <c r="E28" i="68"/>
  <c r="E230" i="68"/>
  <c r="F230" i="68"/>
  <c r="G230" i="68"/>
  <c r="H230" i="68"/>
  <c r="I230" i="68"/>
  <c r="J230" i="68"/>
  <c r="B368" i="68"/>
  <c r="H368" i="68"/>
  <c r="D368" i="68"/>
  <c r="E368" i="68"/>
  <c r="F368" i="68"/>
  <c r="G368" i="68"/>
  <c r="I368" i="68"/>
  <c r="K368" i="68"/>
  <c r="L368" i="68"/>
  <c r="B369" i="68"/>
  <c r="H369" i="68"/>
  <c r="D369" i="68"/>
  <c r="E369" i="68"/>
  <c r="F369" i="68"/>
  <c r="G369" i="68"/>
  <c r="I369" i="68"/>
  <c r="K369" i="68"/>
  <c r="L369" i="68"/>
  <c r="B370" i="68"/>
  <c r="H370" i="68"/>
  <c r="D370" i="68"/>
  <c r="E370" i="68"/>
  <c r="F370" i="68"/>
  <c r="G370" i="68"/>
  <c r="I370" i="68"/>
  <c r="K370" i="68"/>
  <c r="L370" i="68"/>
  <c r="B371" i="68"/>
  <c r="H371" i="68"/>
  <c r="D371" i="68"/>
  <c r="E371" i="68"/>
  <c r="F371" i="68"/>
  <c r="G371" i="68"/>
  <c r="I371" i="68"/>
  <c r="K371" i="68"/>
  <c r="L371" i="68"/>
  <c r="B372" i="68"/>
  <c r="H372" i="68"/>
  <c r="D372" i="68"/>
  <c r="E372" i="68"/>
  <c r="F372" i="68"/>
  <c r="G372" i="68"/>
  <c r="I372" i="68"/>
  <c r="K372" i="68"/>
  <c r="L372" i="68"/>
  <c r="B373" i="68"/>
  <c r="H373" i="68"/>
  <c r="D373" i="68"/>
  <c r="E373" i="68"/>
  <c r="F373" i="68"/>
  <c r="G373" i="68"/>
  <c r="I373" i="68"/>
  <c r="K373" i="68"/>
  <c r="L373" i="68"/>
  <c r="B374" i="68"/>
  <c r="H374" i="68"/>
  <c r="D374" i="68"/>
  <c r="E374" i="68"/>
  <c r="F374" i="68"/>
  <c r="G374" i="68"/>
  <c r="I374" i="68"/>
  <c r="K374" i="68"/>
  <c r="L374" i="68"/>
  <c r="B375" i="68"/>
  <c r="H375" i="68"/>
  <c r="D375" i="68"/>
  <c r="E375" i="68"/>
  <c r="F375" i="68"/>
  <c r="G375" i="68"/>
  <c r="I375" i="68"/>
  <c r="K375" i="68"/>
  <c r="L375" i="68"/>
  <c r="B376" i="68"/>
  <c r="H376" i="68"/>
  <c r="D376" i="68"/>
  <c r="E376" i="68"/>
  <c r="F376" i="68"/>
  <c r="G376" i="68"/>
  <c r="I376" i="68"/>
  <c r="K376" i="68"/>
  <c r="L376" i="68"/>
  <c r="M376" i="68"/>
  <c r="N376" i="68"/>
  <c r="B377" i="68"/>
  <c r="H377" i="68"/>
  <c r="D377" i="68"/>
  <c r="E377" i="68"/>
  <c r="F377" i="68"/>
  <c r="G377" i="68"/>
  <c r="I377" i="68"/>
  <c r="K377" i="68"/>
  <c r="L377" i="68"/>
  <c r="M377" i="68"/>
  <c r="N377" i="68"/>
  <c r="B378" i="68"/>
  <c r="H378" i="68"/>
  <c r="D378" i="68"/>
  <c r="E378" i="68"/>
  <c r="F378" i="68"/>
  <c r="G378" i="68"/>
  <c r="I378" i="68"/>
  <c r="K378" i="68"/>
  <c r="L378" i="68"/>
  <c r="M378" i="68"/>
  <c r="N378" i="68"/>
  <c r="B379" i="68"/>
  <c r="H379" i="68"/>
  <c r="D379" i="68"/>
  <c r="E379" i="68"/>
  <c r="F379" i="68"/>
  <c r="G379" i="68"/>
  <c r="I379" i="68"/>
  <c r="K379" i="68"/>
  <c r="L379" i="68"/>
  <c r="B380" i="68"/>
  <c r="H380" i="68"/>
  <c r="D380" i="68"/>
  <c r="E380" i="68"/>
  <c r="F380" i="68"/>
  <c r="G380" i="68"/>
  <c r="I380" i="68"/>
  <c r="K380" i="68"/>
  <c r="L380" i="68"/>
  <c r="M380" i="68"/>
  <c r="N380" i="68"/>
  <c r="B381" i="68"/>
  <c r="H381" i="68"/>
  <c r="D381" i="68"/>
  <c r="E381" i="68"/>
  <c r="F381" i="68"/>
  <c r="G381" i="68"/>
  <c r="I381" i="68"/>
  <c r="K381" i="68"/>
  <c r="L381" i="68"/>
  <c r="M381" i="68"/>
  <c r="N381" i="68"/>
  <c r="B382" i="68"/>
  <c r="H382" i="68"/>
  <c r="D382" i="68"/>
  <c r="E382" i="68"/>
  <c r="F382" i="68"/>
  <c r="G382" i="68"/>
  <c r="I382" i="68"/>
  <c r="K382" i="68"/>
  <c r="L382" i="68"/>
  <c r="D384" i="68"/>
  <c r="E384" i="68"/>
  <c r="D385" i="68"/>
  <c r="E385" i="68"/>
  <c r="B402" i="68"/>
  <c r="D402" i="68"/>
  <c r="E402" i="68"/>
  <c r="B403" i="68"/>
  <c r="D403" i="68"/>
  <c r="E403" i="68"/>
  <c r="B404" i="68"/>
  <c r="D404" i="68"/>
  <c r="E404" i="68"/>
  <c r="B405" i="68"/>
  <c r="D405" i="68"/>
  <c r="E405" i="68"/>
  <c r="B406" i="68"/>
  <c r="D406" i="68"/>
  <c r="E406" i="68"/>
  <c r="D408" i="68"/>
  <c r="B11" i="67"/>
  <c r="L632" i="67"/>
  <c r="E17" i="67"/>
  <c r="E18" i="67"/>
  <c r="E20" i="67"/>
  <c r="E21" i="67"/>
  <c r="E23" i="67"/>
  <c r="E24" i="67"/>
  <c r="E30" i="67"/>
  <c r="E286" i="67"/>
  <c r="F286" i="67"/>
  <c r="G286" i="67"/>
  <c r="H286" i="67"/>
  <c r="I286" i="67"/>
  <c r="J286" i="67"/>
  <c r="B433" i="67"/>
  <c r="H433" i="67"/>
  <c r="D433" i="67"/>
  <c r="E433" i="67"/>
  <c r="F433" i="67"/>
  <c r="G433" i="67"/>
  <c r="I433" i="67"/>
  <c r="K433" i="67"/>
  <c r="L433" i="67"/>
  <c r="B434" i="67"/>
  <c r="H434" i="67"/>
  <c r="D434" i="67"/>
  <c r="E434" i="67"/>
  <c r="F434" i="67"/>
  <c r="G434" i="67"/>
  <c r="I434" i="67"/>
  <c r="K434" i="67"/>
  <c r="L434" i="67"/>
  <c r="B435" i="67"/>
  <c r="H435" i="67"/>
  <c r="D435" i="67"/>
  <c r="E435" i="67"/>
  <c r="F435" i="67"/>
  <c r="G435" i="67"/>
  <c r="I435" i="67"/>
  <c r="K435" i="67"/>
  <c r="L435" i="67"/>
  <c r="B436" i="67"/>
  <c r="H436" i="67"/>
  <c r="D436" i="67"/>
  <c r="E436" i="67"/>
  <c r="F436" i="67"/>
  <c r="G436" i="67"/>
  <c r="I436" i="67"/>
  <c r="K436" i="67"/>
  <c r="L436" i="67"/>
  <c r="B437" i="67"/>
  <c r="H437" i="67"/>
  <c r="D437" i="67"/>
  <c r="E437" i="67"/>
  <c r="F437" i="67"/>
  <c r="G437" i="67"/>
  <c r="I437" i="67"/>
  <c r="K437" i="67"/>
  <c r="L437" i="67"/>
  <c r="B438" i="67"/>
  <c r="H438" i="67"/>
  <c r="D438" i="67"/>
  <c r="E438" i="67"/>
  <c r="F438" i="67"/>
  <c r="G438" i="67"/>
  <c r="I438" i="67"/>
  <c r="K438" i="67"/>
  <c r="L438" i="67"/>
  <c r="B439" i="67"/>
  <c r="H439" i="67"/>
  <c r="D439" i="67"/>
  <c r="E439" i="67"/>
  <c r="F439" i="67"/>
  <c r="G439" i="67"/>
  <c r="I439" i="67"/>
  <c r="K439" i="67"/>
  <c r="L439" i="67"/>
  <c r="B440" i="67"/>
  <c r="H440" i="67"/>
  <c r="D440" i="67"/>
  <c r="E440" i="67"/>
  <c r="F440" i="67"/>
  <c r="G440" i="67"/>
  <c r="I440" i="67"/>
  <c r="K440" i="67"/>
  <c r="L440" i="67"/>
  <c r="B441" i="67"/>
  <c r="H441" i="67"/>
  <c r="D441" i="67"/>
  <c r="E441" i="67"/>
  <c r="F441" i="67"/>
  <c r="G441" i="67"/>
  <c r="I441" i="67"/>
  <c r="K441" i="67"/>
  <c r="L441" i="67"/>
  <c r="M441" i="67"/>
  <c r="N441" i="67"/>
  <c r="B442" i="67"/>
  <c r="H442" i="67"/>
  <c r="D442" i="67"/>
  <c r="E442" i="67"/>
  <c r="F442" i="67"/>
  <c r="G442" i="67"/>
  <c r="I442" i="67"/>
  <c r="K442" i="67"/>
  <c r="L442" i="67"/>
  <c r="M442" i="67"/>
  <c r="N442" i="67"/>
  <c r="B443" i="67"/>
  <c r="H443" i="67"/>
  <c r="D443" i="67"/>
  <c r="E443" i="67"/>
  <c r="F443" i="67"/>
  <c r="G443" i="67"/>
  <c r="I443" i="67"/>
  <c r="K443" i="67"/>
  <c r="L443" i="67"/>
  <c r="M443" i="67"/>
  <c r="N443" i="67"/>
  <c r="B444" i="67"/>
  <c r="H444" i="67"/>
  <c r="D444" i="67"/>
  <c r="E444" i="67"/>
  <c r="F444" i="67"/>
  <c r="G444" i="67"/>
  <c r="I444" i="67"/>
  <c r="K444" i="67"/>
  <c r="L444" i="67"/>
  <c r="B445" i="67"/>
  <c r="H445" i="67"/>
  <c r="D445" i="67"/>
  <c r="E445" i="67"/>
  <c r="F445" i="67"/>
  <c r="G445" i="67"/>
  <c r="I445" i="67"/>
  <c r="K445" i="67"/>
  <c r="L445" i="67"/>
  <c r="M445" i="67"/>
  <c r="N445" i="67"/>
  <c r="B446" i="67"/>
  <c r="H446" i="67"/>
  <c r="D446" i="67"/>
  <c r="E446" i="67"/>
  <c r="F446" i="67"/>
  <c r="G446" i="67"/>
  <c r="I446" i="67"/>
  <c r="K446" i="67"/>
  <c r="L446" i="67"/>
  <c r="M446" i="67"/>
  <c r="N446" i="67"/>
  <c r="B447" i="67"/>
  <c r="H447" i="67"/>
  <c r="D447" i="67"/>
  <c r="E447" i="67"/>
  <c r="F447" i="67"/>
  <c r="G447" i="67"/>
  <c r="I447" i="67"/>
  <c r="K447" i="67"/>
  <c r="L447" i="67"/>
  <c r="D449" i="67"/>
  <c r="E449" i="67"/>
  <c r="D450" i="67"/>
  <c r="E450" i="67"/>
  <c r="L457" i="67"/>
  <c r="B467" i="67"/>
  <c r="D467" i="67"/>
  <c r="E467" i="67"/>
  <c r="B468" i="67"/>
  <c r="D468" i="67"/>
  <c r="E468" i="67"/>
  <c r="B469" i="67"/>
  <c r="D469" i="67"/>
  <c r="E469" i="67"/>
  <c r="B470" i="67"/>
  <c r="D470" i="67"/>
  <c r="E470" i="67"/>
  <c r="B471" i="67"/>
  <c r="D471" i="67"/>
  <c r="E471" i="67"/>
  <c r="D473" i="67"/>
  <c r="B11" i="66"/>
  <c r="L632" i="66"/>
  <c r="E17" i="66"/>
  <c r="E18" i="66"/>
  <c r="E20" i="66"/>
  <c r="E21" i="66"/>
  <c r="E23" i="66"/>
  <c r="E24" i="66"/>
  <c r="E28" i="66"/>
  <c r="E235" i="66"/>
  <c r="F235" i="66"/>
  <c r="G235" i="66"/>
  <c r="H235" i="66"/>
  <c r="I235" i="66"/>
  <c r="J235" i="66"/>
  <c r="B476" i="66"/>
  <c r="D476" i="66"/>
  <c r="E476" i="66"/>
  <c r="F476" i="66"/>
  <c r="G476" i="66"/>
  <c r="H476" i="66"/>
  <c r="I476" i="66"/>
  <c r="K476" i="66"/>
  <c r="L476" i="66"/>
  <c r="B477" i="66"/>
  <c r="D477" i="66"/>
  <c r="E477" i="66"/>
  <c r="F477" i="66"/>
  <c r="G477" i="66"/>
  <c r="H477" i="66"/>
  <c r="I477" i="66"/>
  <c r="K477" i="66"/>
  <c r="L477" i="66"/>
  <c r="B478" i="66"/>
  <c r="D478" i="66"/>
  <c r="E478" i="66"/>
  <c r="F478" i="66"/>
  <c r="G478" i="66"/>
  <c r="H478" i="66"/>
  <c r="I478" i="66"/>
  <c r="K478" i="66"/>
  <c r="L478" i="66"/>
  <c r="B479" i="66"/>
  <c r="D479" i="66"/>
  <c r="E479" i="66"/>
  <c r="F479" i="66"/>
  <c r="G479" i="66"/>
  <c r="H479" i="66"/>
  <c r="I479" i="66"/>
  <c r="K479" i="66"/>
  <c r="L479" i="66"/>
  <c r="B480" i="66"/>
  <c r="D480" i="66"/>
  <c r="E480" i="66"/>
  <c r="F480" i="66"/>
  <c r="G480" i="66"/>
  <c r="H480" i="66"/>
  <c r="I480" i="66"/>
  <c r="K480" i="66"/>
  <c r="L480" i="66"/>
  <c r="B481" i="66"/>
  <c r="D481" i="66"/>
  <c r="E481" i="66"/>
  <c r="F481" i="66"/>
  <c r="G481" i="66"/>
  <c r="H481" i="66"/>
  <c r="I481" i="66"/>
  <c r="K481" i="66"/>
  <c r="L481" i="66"/>
  <c r="B482" i="66"/>
  <c r="D482" i="66"/>
  <c r="E482" i="66"/>
  <c r="F482" i="66"/>
  <c r="G482" i="66"/>
  <c r="H482" i="66"/>
  <c r="I482" i="66"/>
  <c r="K482" i="66"/>
  <c r="L482" i="66"/>
  <c r="B483" i="66"/>
  <c r="D483" i="66"/>
  <c r="E483" i="66"/>
  <c r="F483" i="66"/>
  <c r="G483" i="66"/>
  <c r="H483" i="66"/>
  <c r="I483" i="66"/>
  <c r="K483" i="66"/>
  <c r="L483" i="66"/>
  <c r="B484" i="66"/>
  <c r="D484" i="66"/>
  <c r="E484" i="66"/>
  <c r="F484" i="66"/>
  <c r="G484" i="66"/>
  <c r="H484" i="66"/>
  <c r="I484" i="66"/>
  <c r="K484" i="66"/>
  <c r="L484" i="66"/>
  <c r="M484" i="66"/>
  <c r="N484" i="66"/>
  <c r="B485" i="66"/>
  <c r="D485" i="66"/>
  <c r="E485" i="66"/>
  <c r="F485" i="66"/>
  <c r="G485" i="66"/>
  <c r="H485" i="66"/>
  <c r="I485" i="66"/>
  <c r="K485" i="66"/>
  <c r="L485" i="66"/>
  <c r="M485" i="66"/>
  <c r="N485" i="66"/>
  <c r="B486" i="66"/>
  <c r="D486" i="66"/>
  <c r="E486" i="66"/>
  <c r="F486" i="66"/>
  <c r="G486" i="66"/>
  <c r="H486" i="66"/>
  <c r="I486" i="66"/>
  <c r="K486" i="66"/>
  <c r="L486" i="66"/>
  <c r="M486" i="66"/>
  <c r="N486" i="66"/>
  <c r="B487" i="66"/>
  <c r="D487" i="66"/>
  <c r="E487" i="66"/>
  <c r="F487" i="66"/>
  <c r="G487" i="66"/>
  <c r="H487" i="66"/>
  <c r="I487" i="66"/>
  <c r="K487" i="66"/>
  <c r="L487" i="66"/>
  <c r="B488" i="66"/>
  <c r="D488" i="66"/>
  <c r="E488" i="66"/>
  <c r="F488" i="66"/>
  <c r="G488" i="66"/>
  <c r="H488" i="66"/>
  <c r="I488" i="66"/>
  <c r="K488" i="66"/>
  <c r="L488" i="66"/>
  <c r="M488" i="66"/>
  <c r="N488" i="66"/>
  <c r="B489" i="66"/>
  <c r="D489" i="66"/>
  <c r="E489" i="66"/>
  <c r="F489" i="66"/>
  <c r="G489" i="66"/>
  <c r="H489" i="66"/>
  <c r="I489" i="66"/>
  <c r="K489" i="66"/>
  <c r="L489" i="66"/>
  <c r="M489" i="66"/>
  <c r="N489" i="66"/>
  <c r="B490" i="66"/>
  <c r="D490" i="66"/>
  <c r="E490" i="66"/>
  <c r="F490" i="66"/>
  <c r="G490" i="66"/>
  <c r="H490" i="66"/>
  <c r="I490" i="66"/>
  <c r="K490" i="66"/>
  <c r="L490" i="66"/>
  <c r="D492" i="66"/>
  <c r="E492" i="66"/>
  <c r="D493" i="66"/>
  <c r="E493" i="66"/>
  <c r="B510" i="66"/>
  <c r="D510" i="66"/>
  <c r="E510" i="66"/>
  <c r="B511" i="66"/>
  <c r="D511" i="66"/>
  <c r="E511" i="66"/>
  <c r="B512" i="66"/>
  <c r="D512" i="66"/>
  <c r="E512" i="66"/>
  <c r="B513" i="66"/>
  <c r="D513" i="66"/>
  <c r="E513" i="66"/>
  <c r="B514" i="66"/>
  <c r="D514" i="66"/>
  <c r="E514" i="66"/>
  <c r="D516" i="66"/>
  <c r="B11" i="56"/>
  <c r="L210" i="56"/>
  <c r="E17" i="56"/>
  <c r="E18" i="56"/>
  <c r="E20" i="56"/>
  <c r="E21" i="56"/>
  <c r="E25" i="56"/>
  <c r="E26" i="56"/>
  <c r="E33" i="56"/>
  <c r="E289" i="56"/>
  <c r="F289" i="56"/>
  <c r="G289" i="56"/>
  <c r="H289" i="56"/>
  <c r="I289" i="56"/>
  <c r="J289" i="56"/>
  <c r="B536" i="56"/>
  <c r="D536" i="56"/>
  <c r="E536" i="56"/>
  <c r="F536" i="56"/>
  <c r="G536" i="56"/>
  <c r="H536" i="56"/>
  <c r="I536" i="56"/>
  <c r="K536" i="56"/>
  <c r="L536" i="56"/>
  <c r="B537" i="56"/>
  <c r="D537" i="56"/>
  <c r="E537" i="56"/>
  <c r="F537" i="56"/>
  <c r="G537" i="56"/>
  <c r="H537" i="56"/>
  <c r="I537" i="56"/>
  <c r="K537" i="56"/>
  <c r="L537" i="56"/>
  <c r="B538" i="56"/>
  <c r="D538" i="56"/>
  <c r="E538" i="56"/>
  <c r="F538" i="56"/>
  <c r="G538" i="56"/>
  <c r="H538" i="56"/>
  <c r="I538" i="56"/>
  <c r="K538" i="56"/>
  <c r="L538" i="56"/>
  <c r="B539" i="56"/>
  <c r="D539" i="56"/>
  <c r="E539" i="56"/>
  <c r="F539" i="56"/>
  <c r="G539" i="56"/>
  <c r="H539" i="56"/>
  <c r="I539" i="56"/>
  <c r="K539" i="56"/>
  <c r="L539" i="56"/>
  <c r="B540" i="56"/>
  <c r="D540" i="56"/>
  <c r="E540" i="56"/>
  <c r="F540" i="56"/>
  <c r="G540" i="56"/>
  <c r="H540" i="56"/>
  <c r="I540" i="56"/>
  <c r="K540" i="56"/>
  <c r="L540" i="56"/>
  <c r="B541" i="56"/>
  <c r="D541" i="56"/>
  <c r="E541" i="56"/>
  <c r="F541" i="56"/>
  <c r="G541" i="56"/>
  <c r="H541" i="56"/>
  <c r="I541" i="56"/>
  <c r="K541" i="56"/>
  <c r="L541" i="56"/>
  <c r="B542" i="56"/>
  <c r="D542" i="56"/>
  <c r="E542" i="56"/>
  <c r="F542" i="56"/>
  <c r="G542" i="56"/>
  <c r="H542" i="56"/>
  <c r="I542" i="56"/>
  <c r="K542" i="56"/>
  <c r="L542" i="56"/>
  <c r="B543" i="56"/>
  <c r="D543" i="56"/>
  <c r="E543" i="56"/>
  <c r="F543" i="56"/>
  <c r="G543" i="56"/>
  <c r="H543" i="56"/>
  <c r="I543" i="56"/>
  <c r="K543" i="56"/>
  <c r="L543" i="56"/>
  <c r="B544" i="56"/>
  <c r="D544" i="56"/>
  <c r="E544" i="56"/>
  <c r="F544" i="56"/>
  <c r="G544" i="56"/>
  <c r="H544" i="56"/>
  <c r="I544" i="56"/>
  <c r="K544" i="56"/>
  <c r="L544" i="56"/>
  <c r="M544" i="56"/>
  <c r="N544" i="56"/>
  <c r="B545" i="56"/>
  <c r="D545" i="56"/>
  <c r="E545" i="56"/>
  <c r="F545" i="56"/>
  <c r="G545" i="56"/>
  <c r="H545" i="56"/>
  <c r="I545" i="56"/>
  <c r="K545" i="56"/>
  <c r="L545" i="56"/>
  <c r="M545" i="56"/>
  <c r="N545" i="56"/>
  <c r="B546" i="56"/>
  <c r="D546" i="56"/>
  <c r="E546" i="56"/>
  <c r="F546" i="56"/>
  <c r="G546" i="56"/>
  <c r="H546" i="56"/>
  <c r="I546" i="56"/>
  <c r="K546" i="56"/>
  <c r="L546" i="56"/>
  <c r="M546" i="56"/>
  <c r="N546" i="56"/>
  <c r="B547" i="56"/>
  <c r="D547" i="56"/>
  <c r="E547" i="56"/>
  <c r="F547" i="56"/>
  <c r="G547" i="56"/>
  <c r="H547" i="56"/>
  <c r="I547" i="56"/>
  <c r="K547" i="56"/>
  <c r="L547" i="56"/>
  <c r="B548" i="56"/>
  <c r="D548" i="56"/>
  <c r="E548" i="56"/>
  <c r="F548" i="56"/>
  <c r="G548" i="56"/>
  <c r="H548" i="56"/>
  <c r="I548" i="56"/>
  <c r="K548" i="56"/>
  <c r="L548" i="56"/>
  <c r="M548" i="56"/>
  <c r="N548" i="56"/>
  <c r="B549" i="56"/>
  <c r="D549" i="56"/>
  <c r="E549" i="56"/>
  <c r="F549" i="56"/>
  <c r="G549" i="56"/>
  <c r="H549" i="56"/>
  <c r="I549" i="56"/>
  <c r="K549" i="56"/>
  <c r="L549" i="56"/>
  <c r="M549" i="56"/>
  <c r="N549" i="56"/>
  <c r="B550" i="56"/>
  <c r="D550" i="56"/>
  <c r="E550" i="56"/>
  <c r="F550" i="56"/>
  <c r="G550" i="56"/>
  <c r="H550" i="56"/>
  <c r="I550" i="56"/>
  <c r="K550" i="56"/>
  <c r="L550" i="56"/>
  <c r="D552" i="56"/>
  <c r="E552" i="56"/>
  <c r="D553" i="56"/>
  <c r="E553" i="56"/>
  <c r="B570" i="56"/>
  <c r="D570" i="56"/>
  <c r="E570" i="56"/>
  <c r="B571" i="56"/>
  <c r="D571" i="56"/>
  <c r="E571" i="56"/>
  <c r="B572" i="56"/>
  <c r="D572" i="56"/>
  <c r="E572" i="56"/>
  <c r="B573" i="56"/>
  <c r="D573" i="56"/>
  <c r="E573" i="56"/>
  <c r="B574" i="56"/>
  <c r="D574" i="56"/>
  <c r="E574" i="56"/>
  <c r="D576" i="56"/>
  <c r="D3" i="55"/>
  <c r="K3" i="55"/>
  <c r="C18" i="55"/>
  <c r="A26" i="55"/>
  <c r="B26" i="55"/>
  <c r="C26" i="55"/>
  <c r="D26" i="55"/>
  <c r="E26" i="55"/>
  <c r="F26" i="55"/>
  <c r="G26" i="55"/>
  <c r="H26" i="55"/>
  <c r="I26" i="55"/>
  <c r="J26" i="55"/>
  <c r="K26" i="55"/>
  <c r="L26" i="55"/>
  <c r="M26" i="55"/>
  <c r="N26" i="55"/>
  <c r="O26" i="55"/>
  <c r="P26" i="55"/>
  <c r="A29" i="55"/>
  <c r="B29" i="55"/>
  <c r="C29" i="55"/>
  <c r="D29" i="55"/>
  <c r="E29" i="55"/>
  <c r="F29" i="55"/>
  <c r="G29" i="55"/>
  <c r="H29" i="55"/>
  <c r="I29" i="55"/>
  <c r="J29" i="55"/>
  <c r="K29" i="55"/>
  <c r="L29" i="55"/>
  <c r="M29" i="55"/>
  <c r="N29" i="55"/>
  <c r="O29" i="55"/>
  <c r="P29" i="55"/>
  <c r="A32" i="55"/>
  <c r="B32" i="55"/>
  <c r="C32" i="55"/>
  <c r="D32" i="55"/>
  <c r="E32" i="55"/>
  <c r="F32" i="55"/>
  <c r="G32" i="55"/>
  <c r="H32" i="55"/>
  <c r="I32" i="55"/>
  <c r="J32" i="55"/>
  <c r="K32" i="55"/>
  <c r="L32" i="55"/>
  <c r="M32" i="55"/>
  <c r="N32" i="55"/>
  <c r="O32" i="55"/>
  <c r="P32" i="55"/>
  <c r="A35" i="55"/>
  <c r="B35" i="55"/>
  <c r="C35" i="55"/>
  <c r="D35" i="55"/>
  <c r="E35" i="55"/>
  <c r="F35" i="55"/>
  <c r="G35" i="55"/>
  <c r="H35" i="55"/>
  <c r="I35" i="55"/>
  <c r="J35" i="55"/>
  <c r="K35" i="55"/>
  <c r="L35" i="55"/>
  <c r="M35" i="55"/>
  <c r="N35" i="55"/>
  <c r="O35" i="55"/>
  <c r="P35" i="55"/>
  <c r="A38" i="55"/>
  <c r="B38" i="55"/>
  <c r="C38" i="55"/>
  <c r="D38" i="55"/>
  <c r="E38" i="55"/>
  <c r="F38" i="55"/>
  <c r="G38" i="55"/>
  <c r="H38" i="55"/>
  <c r="I38" i="55"/>
  <c r="J38" i="55"/>
  <c r="K38" i="55"/>
  <c r="L38" i="55"/>
  <c r="M38" i="55"/>
  <c r="N38" i="55"/>
  <c r="O38" i="55"/>
  <c r="P38" i="55"/>
  <c r="A41" i="55"/>
  <c r="B41" i="55"/>
  <c r="C41" i="55"/>
  <c r="D41" i="55"/>
  <c r="E41" i="55"/>
  <c r="F41" i="55"/>
  <c r="G41" i="55"/>
  <c r="H41" i="55"/>
  <c r="I41" i="55"/>
  <c r="J41" i="55"/>
  <c r="K41" i="55"/>
  <c r="L41" i="55"/>
  <c r="M41" i="55"/>
  <c r="N41" i="55"/>
  <c r="O41" i="55"/>
  <c r="P41" i="55"/>
  <c r="A44" i="55"/>
  <c r="B44" i="55"/>
  <c r="C44" i="55"/>
  <c r="D44" i="55"/>
  <c r="E44" i="55"/>
  <c r="F44" i="55"/>
  <c r="G44" i="55"/>
  <c r="H44" i="55"/>
  <c r="I44" i="55"/>
  <c r="J44" i="55"/>
  <c r="K44" i="55"/>
  <c r="L44" i="55"/>
  <c r="M44" i="55"/>
  <c r="N44" i="55"/>
  <c r="O44" i="55"/>
  <c r="P44" i="55"/>
  <c r="A47" i="55"/>
  <c r="B47" i="55"/>
  <c r="C47" i="55"/>
  <c r="D47" i="55"/>
  <c r="E47" i="55"/>
  <c r="F47" i="55"/>
  <c r="G47" i="55"/>
  <c r="H47" i="55"/>
  <c r="I47" i="55"/>
  <c r="J47" i="55"/>
  <c r="K47" i="55"/>
  <c r="L47" i="55"/>
  <c r="M47" i="55"/>
  <c r="N47" i="55"/>
  <c r="O47" i="55"/>
  <c r="P47" i="55"/>
  <c r="A50" i="55"/>
  <c r="B50" i="55"/>
  <c r="C50" i="55"/>
  <c r="D50" i="55"/>
  <c r="E50" i="55"/>
  <c r="F50" i="55"/>
  <c r="G50" i="55"/>
  <c r="H50" i="55"/>
  <c r="I50" i="55"/>
  <c r="J50" i="55"/>
  <c r="K50" i="55"/>
  <c r="L50" i="55"/>
  <c r="M50" i="55"/>
  <c r="N50" i="55"/>
  <c r="O50" i="55"/>
  <c r="P50" i="55"/>
  <c r="A53" i="55"/>
  <c r="B53" i="55"/>
  <c r="C53" i="55"/>
  <c r="D53" i="55"/>
  <c r="E53" i="55"/>
  <c r="F53" i="55"/>
  <c r="G53" i="55"/>
  <c r="H53" i="55"/>
  <c r="I53" i="55"/>
  <c r="J53" i="55"/>
  <c r="K53" i="55"/>
  <c r="L53" i="55"/>
  <c r="M53" i="55"/>
  <c r="N53" i="55"/>
  <c r="O53" i="55"/>
  <c r="P53" i="55"/>
  <c r="A55" i="55"/>
  <c r="B55" i="55"/>
  <c r="C55" i="55"/>
  <c r="D55" i="55"/>
  <c r="E55" i="55"/>
  <c r="F55" i="55"/>
  <c r="G55" i="55"/>
  <c r="H55" i="55"/>
  <c r="I55" i="55"/>
  <c r="J55" i="55"/>
  <c r="K55" i="55"/>
  <c r="L55" i="55"/>
  <c r="M55" i="55"/>
  <c r="N55" i="55"/>
  <c r="O55" i="55"/>
  <c r="P55" i="55"/>
  <c r="A57" i="55"/>
  <c r="B57" i="55"/>
  <c r="C57" i="55"/>
  <c r="D57" i="55"/>
  <c r="E57" i="55"/>
  <c r="F57" i="55"/>
  <c r="G57" i="55"/>
  <c r="H57" i="55"/>
  <c r="I57" i="55"/>
  <c r="J57" i="55"/>
  <c r="K57" i="55"/>
  <c r="L57" i="55"/>
  <c r="M57" i="55"/>
  <c r="N57" i="55"/>
  <c r="O57" i="55"/>
  <c r="P57" i="55"/>
  <c r="A59" i="55"/>
  <c r="B59" i="55"/>
  <c r="C59" i="55"/>
  <c r="D59" i="55"/>
  <c r="E59" i="55"/>
  <c r="F59" i="55"/>
  <c r="G59" i="55"/>
  <c r="H59" i="55"/>
  <c r="I59" i="55"/>
  <c r="J59" i="55"/>
  <c r="K59" i="55"/>
  <c r="L59" i="55"/>
  <c r="M59" i="55"/>
  <c r="N59" i="55"/>
  <c r="O59" i="55"/>
  <c r="P59" i="55"/>
  <c r="A61" i="55"/>
  <c r="B61" i="55"/>
  <c r="C61" i="55"/>
  <c r="D61" i="55"/>
  <c r="E61" i="55"/>
  <c r="F61" i="55"/>
  <c r="G61" i="55"/>
  <c r="H61" i="55"/>
  <c r="I61" i="55"/>
  <c r="J61" i="55"/>
  <c r="K61" i="55"/>
  <c r="L61" i="55"/>
  <c r="M61" i="55"/>
  <c r="N61" i="55"/>
  <c r="O61" i="55"/>
  <c r="P61" i="55"/>
  <c r="A63" i="55"/>
  <c r="B63" i="55"/>
  <c r="C63" i="55"/>
  <c r="D63" i="55"/>
  <c r="E63" i="55"/>
  <c r="F63" i="55"/>
  <c r="G63" i="55"/>
  <c r="H63" i="55"/>
  <c r="I63" i="55"/>
  <c r="J63" i="55"/>
  <c r="K63" i="55"/>
  <c r="L63" i="55"/>
  <c r="M63" i="55"/>
  <c r="N63" i="55"/>
  <c r="O63" i="55"/>
  <c r="P63" i="55"/>
  <c r="A69" i="55"/>
  <c r="B69" i="55"/>
  <c r="C69" i="55"/>
  <c r="D69" i="55"/>
  <c r="I69" i="55"/>
  <c r="A71" i="55"/>
  <c r="B71" i="55"/>
  <c r="C71" i="55"/>
  <c r="D71" i="55"/>
  <c r="I71" i="55"/>
  <c r="A73" i="55"/>
  <c r="B73" i="55"/>
  <c r="C73" i="55"/>
  <c r="D73" i="55"/>
  <c r="I73" i="55"/>
  <c r="A75" i="55"/>
  <c r="B75" i="55"/>
  <c r="C75" i="55"/>
  <c r="D75" i="55"/>
  <c r="I75" i="55"/>
  <c r="A77" i="55"/>
  <c r="B77" i="55"/>
  <c r="C77" i="55"/>
  <c r="D77" i="55"/>
  <c r="I77" i="55"/>
  <c r="J108" i="55"/>
  <c r="J109" i="55"/>
  <c r="J110" i="55"/>
  <c r="J111" i="55"/>
  <c r="J113" i="55"/>
  <c r="J114" i="55"/>
  <c r="J115" i="55"/>
  <c r="AC139" i="55"/>
  <c r="C183" i="55"/>
  <c r="D183" i="55"/>
  <c r="E183" i="55"/>
  <c r="C184" i="55"/>
  <c r="D184" i="55"/>
  <c r="E184" i="55"/>
  <c r="C185" i="55"/>
  <c r="D185" i="55"/>
  <c r="E185" i="55"/>
  <c r="C186" i="55"/>
  <c r="D186" i="55"/>
  <c r="E186" i="55"/>
  <c r="C187" i="55"/>
  <c r="D187" i="55"/>
  <c r="E187" i="55"/>
  <c r="B189" i="55"/>
  <c r="F189" i="55"/>
  <c r="C190" i="55"/>
  <c r="D190" i="55"/>
  <c r="E190" i="55"/>
  <c r="C191" i="55"/>
  <c r="D191" i="55"/>
  <c r="E191" i="55"/>
  <c r="C192" i="55"/>
  <c r="D192" i="55"/>
  <c r="E192" i="55"/>
  <c r="C193" i="55"/>
  <c r="D193" i="55"/>
  <c r="E193" i="55"/>
  <c r="B194" i="55"/>
  <c r="C211" i="55"/>
  <c r="C213" i="55"/>
  <c r="C218" i="55"/>
  <c r="D211" i="55"/>
  <c r="D218" i="55"/>
  <c r="E211" i="55"/>
  <c r="E218" i="55"/>
  <c r="B213" i="55"/>
  <c r="B214" i="55"/>
  <c r="B215" i="55"/>
  <c r="B216" i="55"/>
  <c r="B217" i="55"/>
  <c r="B220" i="55"/>
  <c r="B221" i="55"/>
  <c r="B222" i="55"/>
  <c r="B223" i="55"/>
  <c r="C226" i="55"/>
  <c r="C233" i="55"/>
  <c r="D226" i="55"/>
  <c r="D229" i="55"/>
  <c r="E226" i="55"/>
  <c r="E233" i="55"/>
  <c r="B228" i="55"/>
  <c r="B229" i="55"/>
  <c r="B230" i="55"/>
  <c r="B231" i="55"/>
  <c r="B232" i="55"/>
  <c r="B235" i="55"/>
  <c r="B236" i="55"/>
  <c r="B237" i="55"/>
  <c r="B238" i="55"/>
  <c r="J6" i="7"/>
  <c r="G76" i="1"/>
  <c r="G88" i="1"/>
  <c r="K7" i="7"/>
  <c r="K9" i="7"/>
  <c r="K13" i="7"/>
  <c r="D9" i="7"/>
  <c r="J9" i="7"/>
  <c r="D10" i="7"/>
  <c r="P10" i="7"/>
  <c r="Q10" i="7"/>
  <c r="T12" i="7"/>
  <c r="T13" i="7"/>
  <c r="C14" i="7"/>
  <c r="T20" i="7"/>
  <c r="U20" i="7"/>
  <c r="T21" i="7"/>
  <c r="U21" i="7"/>
  <c r="V46" i="7"/>
  <c r="T22" i="7"/>
  <c r="U22" i="7"/>
  <c r="V47" i="7"/>
  <c r="O23" i="7"/>
  <c r="P23" i="7"/>
  <c r="T23" i="7"/>
  <c r="Q23" i="7"/>
  <c r="U23" i="7"/>
  <c r="O24" i="7"/>
  <c r="P24" i="7"/>
  <c r="T24" i="7"/>
  <c r="Q24" i="7"/>
  <c r="U24" i="7"/>
  <c r="O25" i="7"/>
  <c r="P25" i="7"/>
  <c r="T25" i="7"/>
  <c r="Q25" i="7"/>
  <c r="U25" i="7"/>
  <c r="O26" i="7"/>
  <c r="P26" i="7"/>
  <c r="T26" i="7"/>
  <c r="Q26" i="7"/>
  <c r="U26" i="7"/>
  <c r="O27" i="7"/>
  <c r="P27" i="7"/>
  <c r="T27" i="7"/>
  <c r="Q27" i="7"/>
  <c r="U27" i="7"/>
  <c r="G29" i="7"/>
  <c r="G30" i="7"/>
  <c r="G31" i="7"/>
  <c r="K32" i="7"/>
  <c r="K33" i="7"/>
  <c r="K34" i="7"/>
  <c r="K35" i="7"/>
  <c r="K36" i="7"/>
  <c r="V39" i="7"/>
  <c r="G41" i="7"/>
  <c r="P88" i="7"/>
  <c r="H41" i="7"/>
  <c r="Q88" i="7"/>
  <c r="K41" i="7"/>
  <c r="G42" i="7"/>
  <c r="P89" i="7"/>
  <c r="H42" i="7"/>
  <c r="Q89" i="7"/>
  <c r="K42" i="7"/>
  <c r="Q42" i="7"/>
  <c r="G43" i="7"/>
  <c r="H43" i="7"/>
  <c r="Q90" i="7"/>
  <c r="Q43" i="7"/>
  <c r="Q44" i="7"/>
  <c r="Q45" i="7"/>
  <c r="R45" i="7"/>
  <c r="U45" i="7"/>
  <c r="R46" i="7"/>
  <c r="U46" i="7"/>
  <c r="S46" i="7"/>
  <c r="R47" i="7"/>
  <c r="U47" i="7"/>
  <c r="C48" i="7"/>
  <c r="K48" i="7"/>
  <c r="M48" i="7"/>
  <c r="N48" i="7"/>
  <c r="Q48" i="7"/>
  <c r="Q47" i="7"/>
  <c r="Q49" i="7"/>
  <c r="N51" i="7"/>
  <c r="N52" i="7"/>
  <c r="K54" i="7"/>
  <c r="L50" i="7"/>
  <c r="G55" i="7"/>
  <c r="K57" i="7"/>
  <c r="F28" i="1"/>
  <c r="M57" i="7"/>
  <c r="G58" i="7"/>
  <c r="K58" i="7"/>
  <c r="F29" i="1"/>
  <c r="N58" i="7"/>
  <c r="K59" i="7"/>
  <c r="F31" i="1"/>
  <c r="N59" i="7"/>
  <c r="E60" i="7"/>
  <c r="E61" i="7"/>
  <c r="E62" i="7"/>
  <c r="K60" i="7"/>
  <c r="F33" i="1"/>
  <c r="N60" i="7"/>
  <c r="K61" i="7"/>
  <c r="F32" i="1"/>
  <c r="K62" i="7"/>
  <c r="F34" i="1"/>
  <c r="K63" i="7"/>
  <c r="K64" i="7"/>
  <c r="F73" i="1"/>
  <c r="K65" i="7"/>
  <c r="F35" i="1"/>
  <c r="H71" i="7"/>
  <c r="M71" i="7"/>
  <c r="N71" i="7"/>
  <c r="M73" i="7"/>
  <c r="N73" i="7"/>
  <c r="M75" i="7"/>
  <c r="N75" i="7"/>
  <c r="N76" i="7"/>
  <c r="T84" i="7"/>
  <c r="T85" i="7"/>
  <c r="T86" i="7"/>
  <c r="T87" i="7"/>
  <c r="D93" i="7"/>
  <c r="D94" i="7"/>
  <c r="F93" i="7"/>
  <c r="J93" i="7"/>
  <c r="N93" i="7"/>
  <c r="H93" i="7"/>
  <c r="G95" i="7"/>
  <c r="J94" i="7"/>
  <c r="J95" i="7"/>
  <c r="E100" i="7"/>
  <c r="E101" i="7"/>
  <c r="E102" i="7"/>
  <c r="E103" i="7"/>
  <c r="C106" i="7"/>
  <c r="C83" i="7"/>
  <c r="M83" i="7"/>
  <c r="G36" i="7"/>
  <c r="T37" i="54"/>
  <c r="Z37" i="54"/>
  <c r="AB37" i="54"/>
  <c r="CE38" i="54"/>
  <c r="P39" i="54"/>
  <c r="CE39" i="54"/>
  <c r="P42" i="54"/>
  <c r="P45" i="54"/>
  <c r="P48" i="54"/>
  <c r="M385" i="69"/>
  <c r="P51" i="54"/>
  <c r="M437" i="67"/>
  <c r="O540" i="56"/>
  <c r="P54" i="54"/>
  <c r="P57" i="54"/>
  <c r="O542" i="56"/>
  <c r="P60" i="54"/>
  <c r="P63" i="54"/>
  <c r="O544" i="56"/>
  <c r="P66" i="54"/>
  <c r="P68" i="54"/>
  <c r="O546" i="56"/>
  <c r="P70" i="54"/>
  <c r="P72" i="54"/>
  <c r="O548" i="56"/>
  <c r="P74" i="54"/>
  <c r="P76" i="54"/>
  <c r="O550" i="56"/>
  <c r="F78" i="54"/>
  <c r="V106" i="55"/>
  <c r="U114" i="55"/>
  <c r="R80" i="54"/>
  <c r="T80" i="54"/>
  <c r="AH80" i="54"/>
  <c r="V82" i="54"/>
  <c r="B280" i="54"/>
  <c r="B282" i="54"/>
  <c r="O28" i="1"/>
  <c r="T28" i="1"/>
  <c r="O29" i="1"/>
  <c r="T29" i="1"/>
  <c r="AD29" i="1"/>
  <c r="AE29" i="1"/>
  <c r="AF29" i="1"/>
  <c r="O31" i="1"/>
  <c r="T31" i="1"/>
  <c r="X31" i="1"/>
  <c r="Y31" i="1"/>
  <c r="Z31" i="1"/>
  <c r="AD31" i="1"/>
  <c r="AE31" i="1"/>
  <c r="AF31" i="1"/>
  <c r="O32" i="1"/>
  <c r="T32" i="1"/>
  <c r="AD32" i="1"/>
  <c r="AE32" i="1"/>
  <c r="AF32" i="1"/>
  <c r="O33" i="1"/>
  <c r="T33" i="1"/>
  <c r="X33" i="1"/>
  <c r="Y33" i="1"/>
  <c r="Z33" i="1"/>
  <c r="O34" i="1"/>
  <c r="T34" i="1"/>
  <c r="X34" i="1"/>
  <c r="Y34" i="1"/>
  <c r="Z34" i="1"/>
  <c r="AD34" i="1"/>
  <c r="AE34" i="1"/>
  <c r="AF34" i="1"/>
  <c r="O35" i="1"/>
  <c r="T35" i="1"/>
  <c r="T58" i="1"/>
  <c r="O67" i="1"/>
  <c r="F59" i="1"/>
  <c r="O73" i="1"/>
  <c r="T73" i="1"/>
  <c r="O74" i="1"/>
  <c r="T74" i="1"/>
  <c r="H88" i="1"/>
  <c r="R28" i="1"/>
  <c r="O93" i="1"/>
  <c r="T93" i="1"/>
  <c r="O94" i="1"/>
  <c r="T94" i="1"/>
  <c r="O95" i="1"/>
  <c r="T95" i="1"/>
  <c r="O96" i="1"/>
  <c r="T96" i="1"/>
  <c r="O97" i="1"/>
  <c r="T97" i="1"/>
  <c r="O98" i="1"/>
  <c r="T98" i="1"/>
  <c r="H100" i="1"/>
  <c r="Q94" i="1"/>
  <c r="F115" i="1"/>
  <c r="H132" i="1"/>
  <c r="H133" i="1"/>
  <c r="H134" i="1"/>
  <c r="E135" i="1"/>
  <c r="H145" i="1"/>
  <c r="H146" i="1"/>
  <c r="H147" i="1"/>
  <c r="H148" i="1"/>
  <c r="H149" i="1"/>
  <c r="K151" i="1"/>
  <c r="E149" i="1"/>
  <c r="H176" i="1"/>
  <c r="H177" i="1"/>
  <c r="H178" i="1"/>
  <c r="H179" i="1"/>
  <c r="H180" i="1"/>
  <c r="K187" i="1"/>
  <c r="T83" i="7"/>
  <c r="K188" i="1"/>
  <c r="K189" i="1"/>
  <c r="T91" i="7"/>
  <c r="K194" i="1"/>
  <c r="T88" i="7"/>
  <c r="F196" i="1"/>
  <c r="E209" i="1"/>
  <c r="J209" i="1"/>
  <c r="K209" i="1"/>
  <c r="E219" i="1"/>
  <c r="E226" i="1"/>
  <c r="E230" i="1"/>
  <c r="E232" i="1"/>
  <c r="S381" i="68"/>
  <c r="S446" i="67"/>
  <c r="S489" i="66"/>
  <c r="S380" i="68"/>
  <c r="S445" i="67"/>
  <c r="S488" i="66"/>
  <c r="S378" i="68"/>
  <c r="S443" i="67"/>
  <c r="S486" i="66"/>
  <c r="S377" i="68"/>
  <c r="S442" i="67"/>
  <c r="S485" i="66"/>
  <c r="S376" i="68"/>
  <c r="S441" i="67"/>
  <c r="S484" i="66"/>
  <c r="S548" i="56"/>
  <c r="S546" i="56"/>
  <c r="S544" i="56"/>
  <c r="O382" i="68"/>
  <c r="O447" i="67"/>
  <c r="O490" i="66"/>
  <c r="O381" i="68"/>
  <c r="O446" i="67"/>
  <c r="O489" i="66"/>
  <c r="O380" i="68"/>
  <c r="O445" i="67"/>
  <c r="O488" i="66"/>
  <c r="O379" i="68"/>
  <c r="O444" i="67"/>
  <c r="O487" i="66"/>
  <c r="O378" i="68"/>
  <c r="O443" i="67"/>
  <c r="O486" i="66"/>
  <c r="O377" i="68"/>
  <c r="O442" i="67"/>
  <c r="O485" i="66"/>
  <c r="O376" i="68"/>
  <c r="O441" i="67"/>
  <c r="O484" i="66"/>
  <c r="O375" i="68"/>
  <c r="O440" i="67"/>
  <c r="O483" i="66"/>
  <c r="O374" i="68"/>
  <c r="O439" i="67"/>
  <c r="O482" i="66"/>
  <c r="O373" i="68"/>
  <c r="O438" i="67"/>
  <c r="O481" i="66"/>
  <c r="O372" i="68"/>
  <c r="O437" i="67"/>
  <c r="O480" i="66"/>
  <c r="O478" i="66"/>
  <c r="S549" i="56"/>
  <c r="O549" i="56"/>
  <c r="O547" i="56"/>
  <c r="S545" i="56"/>
  <c r="O545" i="56"/>
  <c r="O543" i="56"/>
  <c r="O541" i="56"/>
  <c r="O539" i="56"/>
  <c r="P489" i="66"/>
  <c r="P549" i="56"/>
  <c r="P381" i="68"/>
  <c r="P446" i="67"/>
  <c r="P445" i="67"/>
  <c r="P548" i="56"/>
  <c r="P488" i="66"/>
  <c r="P380" i="68"/>
  <c r="P441" i="67"/>
  <c r="P544" i="56"/>
  <c r="P484" i="66"/>
  <c r="P376" i="68"/>
  <c r="P485" i="66"/>
  <c r="P545" i="56"/>
  <c r="P377" i="68"/>
  <c r="P442" i="67"/>
  <c r="P443" i="67"/>
  <c r="P546" i="56"/>
  <c r="P486" i="66"/>
  <c r="P378" i="68"/>
  <c r="O392" i="69"/>
  <c r="Q546" i="56"/>
  <c r="Q378" i="68"/>
  <c r="Q443" i="67"/>
  <c r="O346" i="70"/>
  <c r="Q486" i="66"/>
  <c r="Q377" i="68"/>
  <c r="O391" i="69"/>
  <c r="Q485" i="66"/>
  <c r="Q545" i="56"/>
  <c r="Q442" i="67"/>
  <c r="O345" i="70"/>
  <c r="Q390" i="69"/>
  <c r="T441" i="67"/>
  <c r="T544" i="56"/>
  <c r="T484" i="66"/>
  <c r="Q344" i="70"/>
  <c r="T376" i="68"/>
  <c r="Q445" i="67"/>
  <c r="Q380" i="68"/>
  <c r="Q548" i="56"/>
  <c r="O348" i="70"/>
  <c r="O394" i="69"/>
  <c r="Q488" i="66"/>
  <c r="T381" i="68"/>
  <c r="Q395" i="69"/>
  <c r="T446" i="67"/>
  <c r="Q349" i="70"/>
  <c r="T489" i="66"/>
  <c r="T549" i="56"/>
  <c r="Q392" i="69"/>
  <c r="T546" i="56"/>
  <c r="T486" i="66"/>
  <c r="Q346" i="70"/>
  <c r="T378" i="68"/>
  <c r="T443" i="67"/>
  <c r="Q345" i="70"/>
  <c r="T485" i="66"/>
  <c r="T545" i="56"/>
  <c r="T377" i="68"/>
  <c r="Q391" i="69"/>
  <c r="T442" i="67"/>
  <c r="Q544" i="56"/>
  <c r="Q376" i="68"/>
  <c r="O390" i="69"/>
  <c r="Q484" i="66"/>
  <c r="O344" i="70"/>
  <c r="Q441" i="67"/>
  <c r="T488" i="66"/>
  <c r="Q348" i="70"/>
  <c r="T380" i="68"/>
  <c r="Q394" i="69"/>
  <c r="T445" i="67"/>
  <c r="T548" i="56"/>
  <c r="Q489" i="66"/>
  <c r="Q446" i="67"/>
  <c r="Q381" i="68"/>
  <c r="O349" i="70"/>
  <c r="O395" i="69"/>
  <c r="Q549" i="56"/>
  <c r="P349" i="70"/>
  <c r="R489" i="66"/>
  <c r="R446" i="67"/>
  <c r="R381" i="68"/>
  <c r="P395" i="69"/>
  <c r="R549" i="56"/>
  <c r="S394" i="69"/>
  <c r="U548" i="56"/>
  <c r="S348" i="70"/>
  <c r="U445" i="67"/>
  <c r="U380" i="68"/>
  <c r="U488" i="66"/>
  <c r="S392" i="69"/>
  <c r="U546" i="56"/>
  <c r="U486" i="66"/>
  <c r="U443" i="67"/>
  <c r="S346" i="70"/>
  <c r="U378" i="68"/>
  <c r="U446" i="67"/>
  <c r="S349" i="70"/>
  <c r="S395" i="69"/>
  <c r="U381" i="68"/>
  <c r="U549" i="56"/>
  <c r="U489" i="66"/>
  <c r="R484" i="66"/>
  <c r="P344" i="70"/>
  <c r="R544" i="56"/>
  <c r="P390" i="69"/>
  <c r="R441" i="67"/>
  <c r="R376" i="68"/>
  <c r="S345" i="70"/>
  <c r="U545" i="56"/>
  <c r="U485" i="66"/>
  <c r="U442" i="67"/>
  <c r="U377" i="68"/>
  <c r="S391" i="69"/>
  <c r="R488" i="66"/>
  <c r="P348" i="70"/>
  <c r="R548" i="56"/>
  <c r="P394" i="69"/>
  <c r="R445" i="67"/>
  <c r="R380" i="68"/>
  <c r="U441" i="67"/>
  <c r="U376" i="68"/>
  <c r="U484" i="66"/>
  <c r="S390" i="69"/>
  <c r="U544" i="56"/>
  <c r="S344" i="70"/>
  <c r="P391" i="69"/>
  <c r="R545" i="56"/>
  <c r="R377" i="68"/>
  <c r="R442" i="67"/>
  <c r="P345" i="70"/>
  <c r="R485" i="66"/>
  <c r="R486" i="66"/>
  <c r="P346" i="70"/>
  <c r="R546" i="56"/>
  <c r="R443" i="67"/>
  <c r="P392" i="69"/>
  <c r="R378" i="68"/>
  <c r="M542" i="56"/>
  <c r="N482" i="66"/>
  <c r="M439" i="67"/>
  <c r="M374" i="68"/>
  <c r="N388" i="69"/>
  <c r="N342" i="70"/>
  <c r="N542" i="56"/>
  <c r="M482" i="66"/>
  <c r="N439" i="67"/>
  <c r="N374" i="68"/>
  <c r="M388" i="69"/>
  <c r="M342" i="70"/>
  <c r="M541" i="56"/>
  <c r="M481" i="66"/>
  <c r="M438" i="67"/>
  <c r="M373" i="68"/>
  <c r="M387" i="69"/>
  <c r="M341" i="70"/>
  <c r="N541" i="56"/>
  <c r="N481" i="66"/>
  <c r="N438" i="67"/>
  <c r="N373" i="68"/>
  <c r="N387" i="69"/>
  <c r="N341" i="70"/>
  <c r="S439" i="67"/>
  <c r="S542" i="56"/>
  <c r="S374" i="68"/>
  <c r="S482" i="66"/>
  <c r="S373" i="68"/>
  <c r="S481" i="66"/>
  <c r="S438" i="67"/>
  <c r="S541" i="56"/>
  <c r="P374" i="68"/>
  <c r="P439" i="67"/>
  <c r="P482" i="66"/>
  <c r="P542" i="56"/>
  <c r="P373" i="68"/>
  <c r="P541" i="56"/>
  <c r="P438" i="67"/>
  <c r="P481" i="66"/>
  <c r="Q439" i="67"/>
  <c r="Q482" i="66"/>
  <c r="Q542" i="56"/>
  <c r="O342" i="70"/>
  <c r="O388" i="69"/>
  <c r="Q374" i="68"/>
  <c r="Q342" i="70"/>
  <c r="Q388" i="69"/>
  <c r="T374" i="68"/>
  <c r="T439" i="67"/>
  <c r="T482" i="66"/>
  <c r="T542" i="56"/>
  <c r="Q387" i="69"/>
  <c r="T481" i="66"/>
  <c r="T438" i="67"/>
  <c r="T373" i="68"/>
  <c r="T541" i="56"/>
  <c r="Q341" i="70"/>
  <c r="Q438" i="67"/>
  <c r="O341" i="70"/>
  <c r="Q541" i="56"/>
  <c r="Q481" i="66"/>
  <c r="Q373" i="68"/>
  <c r="O387" i="69"/>
  <c r="U439" i="67"/>
  <c r="U374" i="68"/>
  <c r="U542" i="56"/>
  <c r="S342" i="70"/>
  <c r="S388" i="69"/>
  <c r="U482" i="66"/>
  <c r="P388" i="69"/>
  <c r="R374" i="68"/>
  <c r="P342" i="70"/>
  <c r="R439" i="67"/>
  <c r="R482" i="66"/>
  <c r="R542" i="56"/>
  <c r="R541" i="56"/>
  <c r="R438" i="67"/>
  <c r="R481" i="66"/>
  <c r="P387" i="69"/>
  <c r="R373" i="68"/>
  <c r="P341" i="70"/>
  <c r="U373" i="68"/>
  <c r="S341" i="70"/>
  <c r="U481" i="66"/>
  <c r="U438" i="67"/>
  <c r="S387" i="69"/>
  <c r="U541" i="56"/>
  <c r="F74" i="1"/>
  <c r="D90" i="7"/>
  <c r="N90" i="7"/>
  <c r="D82" i="7"/>
  <c r="N82" i="7"/>
  <c r="H35" i="7"/>
  <c r="Q82" i="7"/>
  <c r="M51" i="7"/>
  <c r="L53" i="7"/>
  <c r="N54" i="7"/>
  <c r="L51" i="7"/>
  <c r="L54" i="7"/>
  <c r="D83" i="7"/>
  <c r="S83" i="7"/>
  <c r="M52" i="7"/>
  <c r="M50" i="7"/>
  <c r="G97" i="7"/>
  <c r="G65" i="7"/>
  <c r="G66" i="7"/>
  <c r="N500" i="56"/>
  <c r="N440" i="66"/>
  <c r="N503" i="56"/>
  <c r="N443" i="66"/>
  <c r="V36" i="55"/>
  <c r="Z36" i="55"/>
  <c r="N501" i="56"/>
  <c r="N441" i="66"/>
  <c r="N502" i="56"/>
  <c r="N442" i="66"/>
  <c r="L120" i="56"/>
  <c r="L735" i="56"/>
  <c r="L540" i="66"/>
  <c r="N61" i="7"/>
  <c r="M61" i="7"/>
  <c r="G63" i="7"/>
  <c r="D233" i="55"/>
  <c r="M58" i="7"/>
  <c r="S47" i="7"/>
  <c r="L653" i="68"/>
  <c r="L874" i="56"/>
  <c r="R72" i="54"/>
  <c r="W72" i="54"/>
  <c r="R66" i="54"/>
  <c r="W66" i="54"/>
  <c r="R70" i="54"/>
  <c r="W70" i="54"/>
  <c r="R57" i="54"/>
  <c r="W57" i="54"/>
  <c r="R68" i="54"/>
  <c r="W68" i="54"/>
  <c r="R60" i="54"/>
  <c r="W60" i="54"/>
  <c r="R63" i="54"/>
  <c r="W63" i="54"/>
  <c r="R54" i="54"/>
  <c r="W54" i="54"/>
  <c r="C228" i="55"/>
  <c r="M480" i="66"/>
  <c r="M540" i="56"/>
  <c r="O371" i="68"/>
  <c r="O436" i="67"/>
  <c r="M340" i="70"/>
  <c r="M372" i="68"/>
  <c r="M386" i="69"/>
  <c r="R51" i="54"/>
  <c r="W51" i="54"/>
  <c r="L489" i="69"/>
  <c r="L498" i="67"/>
  <c r="L592" i="67"/>
  <c r="L538" i="67"/>
  <c r="L600" i="56"/>
  <c r="L694" i="56"/>
  <c r="C214" i="55"/>
  <c r="D216" i="55"/>
  <c r="B234" i="55"/>
  <c r="E189" i="55"/>
  <c r="E216" i="55"/>
  <c r="F235" i="55"/>
  <c r="F231" i="55"/>
  <c r="E221" i="55"/>
  <c r="F94" i="7"/>
  <c r="H181" i="1"/>
  <c r="D231" i="55"/>
  <c r="M15" i="7"/>
  <c r="P12" i="7"/>
  <c r="Q12" i="7"/>
  <c r="C222" i="55"/>
  <c r="G68" i="7"/>
  <c r="D238" i="55"/>
  <c r="D235" i="55"/>
  <c r="C217" i="55"/>
  <c r="D215" i="55"/>
  <c r="C216" i="55"/>
  <c r="S82" i="7"/>
  <c r="D230" i="55"/>
  <c r="C221" i="55"/>
  <c r="L327" i="68"/>
  <c r="L361" i="70"/>
  <c r="E194" i="55"/>
  <c r="F220" i="55"/>
  <c r="L393" i="56"/>
  <c r="L567" i="68"/>
  <c r="L433" i="68"/>
  <c r="L684" i="67"/>
  <c r="E214" i="55"/>
  <c r="O369" i="68"/>
  <c r="F5" i="55"/>
  <c r="L361" i="68"/>
  <c r="L671" i="66"/>
  <c r="C194" i="55"/>
  <c r="L312" i="67"/>
  <c r="L202" i="68"/>
  <c r="L582" i="66"/>
  <c r="L724" i="66"/>
  <c r="L768" i="66"/>
  <c r="C237" i="55"/>
  <c r="E236" i="55"/>
  <c r="D234" i="55"/>
  <c r="D220" i="55"/>
  <c r="D219" i="55"/>
  <c r="F216" i="55"/>
  <c r="L640" i="56"/>
  <c r="L788" i="56"/>
  <c r="F3" i="55"/>
  <c r="AC140" i="55"/>
  <c r="R76" i="54"/>
  <c r="W76" i="54"/>
  <c r="R74" i="54"/>
  <c r="C236" i="55"/>
  <c r="C232" i="55"/>
  <c r="E231" i="55"/>
  <c r="D223" i="55"/>
  <c r="B219" i="55"/>
  <c r="D194" i="55"/>
  <c r="F222" i="55"/>
  <c r="F218" i="55"/>
  <c r="F214" i="55"/>
  <c r="F237" i="55"/>
  <c r="F233" i="55"/>
  <c r="F229" i="55"/>
  <c r="C238" i="55"/>
  <c r="D237" i="55"/>
  <c r="D239" i="55"/>
  <c r="B239" i="55"/>
  <c r="D236" i="55"/>
  <c r="C235" i="55"/>
  <c r="E234" i="55"/>
  <c r="C234" i="55"/>
  <c r="D232" i="55"/>
  <c r="C231" i="55"/>
  <c r="E230" i="55"/>
  <c r="C230" i="55"/>
  <c r="C229" i="55"/>
  <c r="D228" i="55"/>
  <c r="C223" i="55"/>
  <c r="C224" i="55"/>
  <c r="D222" i="55"/>
  <c r="B224" i="55"/>
  <c r="D221" i="55"/>
  <c r="C220" i="55"/>
  <c r="E219" i="55"/>
  <c r="C219" i="55"/>
  <c r="D217" i="55"/>
  <c r="C215" i="55"/>
  <c r="D214" i="55"/>
  <c r="D213" i="55"/>
  <c r="D189" i="55"/>
  <c r="R48" i="54"/>
  <c r="W48" i="54"/>
  <c r="N539" i="56"/>
  <c r="L422" i="66"/>
  <c r="O433" i="67"/>
  <c r="O538" i="56"/>
  <c r="O434" i="67"/>
  <c r="C189" i="55"/>
  <c r="R45" i="54"/>
  <c r="R42" i="54"/>
  <c r="R39" i="54"/>
  <c r="M383" i="69"/>
  <c r="M539" i="56"/>
  <c r="O536" i="56"/>
  <c r="O368" i="68"/>
  <c r="M436" i="67"/>
  <c r="O370" i="68"/>
  <c r="M339" i="70"/>
  <c r="M371" i="68"/>
  <c r="M479" i="66"/>
  <c r="M477" i="66"/>
  <c r="M336" i="70"/>
  <c r="M369" i="68"/>
  <c r="M433" i="67"/>
  <c r="M368" i="68"/>
  <c r="M537" i="56"/>
  <c r="M337" i="70"/>
  <c r="M434" i="67"/>
  <c r="M370" i="68"/>
  <c r="M435" i="67"/>
  <c r="M384" i="69"/>
  <c r="M538" i="56"/>
  <c r="M338" i="70"/>
  <c r="M478" i="66"/>
  <c r="M382" i="69"/>
  <c r="M476" i="66"/>
  <c r="M536" i="56"/>
  <c r="L114" i="66"/>
  <c r="L256" i="68"/>
  <c r="L476" i="68"/>
  <c r="L261" i="66"/>
  <c r="L107" i="69"/>
  <c r="L612" i="68"/>
  <c r="O537" i="56"/>
  <c r="O479" i="66"/>
  <c r="L616" i="70"/>
  <c r="L303" i="69"/>
  <c r="L152" i="68"/>
  <c r="L392" i="68"/>
  <c r="L208" i="67"/>
  <c r="L724" i="67"/>
  <c r="L426" i="67"/>
  <c r="L383" i="67"/>
  <c r="L162" i="67"/>
  <c r="L258" i="67"/>
  <c r="L763" i="67"/>
  <c r="L106" i="68"/>
  <c r="L50" i="68"/>
  <c r="L119" i="67"/>
  <c r="L62" i="67"/>
  <c r="L333" i="66"/>
  <c r="L208" i="66"/>
  <c r="L500" i="66"/>
  <c r="L158" i="66"/>
  <c r="L58" i="66"/>
  <c r="T28" i="7"/>
  <c r="V21" i="7"/>
  <c r="P90" i="7"/>
  <c r="K15" i="7"/>
  <c r="P9" i="7"/>
  <c r="Q9" i="7"/>
  <c r="F4" i="55"/>
  <c r="J15" i="7"/>
  <c r="R32" i="1"/>
  <c r="R34" i="1"/>
  <c r="R31" i="1"/>
  <c r="H89" i="1"/>
  <c r="L163" i="56"/>
  <c r="L63" i="56"/>
  <c r="D87" i="7"/>
  <c r="C86" i="7"/>
  <c r="M86" i="7"/>
  <c r="G39" i="7"/>
  <c r="P86" i="7"/>
  <c r="R29" i="1"/>
  <c r="R33" i="1"/>
  <c r="R74" i="1"/>
  <c r="R73" i="1"/>
  <c r="R35" i="1"/>
  <c r="F86" i="1"/>
  <c r="K190" i="1"/>
  <c r="E234" i="1"/>
  <c r="E158" i="1"/>
  <c r="E159" i="1"/>
  <c r="H135" i="1"/>
  <c r="H137" i="1"/>
  <c r="K153" i="1"/>
  <c r="C90" i="7"/>
  <c r="M90" i="7"/>
  <c r="D85" i="7"/>
  <c r="N85" i="7"/>
  <c r="H38" i="7"/>
  <c r="D91" i="7"/>
  <c r="S91" i="7"/>
  <c r="C88" i="7"/>
  <c r="M88" i="7"/>
  <c r="C84" i="7"/>
  <c r="M84" i="7"/>
  <c r="G37" i="7"/>
  <c r="P84" i="7"/>
  <c r="M60" i="7"/>
  <c r="G62" i="7"/>
  <c r="O100" i="1"/>
  <c r="S28" i="1"/>
  <c r="P28" i="7"/>
  <c r="Q28" i="7"/>
  <c r="C32" i="7"/>
  <c r="D89" i="7"/>
  <c r="S89" i="7"/>
  <c r="C82" i="7"/>
  <c r="M82" i="7"/>
  <c r="G35" i="7"/>
  <c r="D84" i="7"/>
  <c r="D86" i="7"/>
  <c r="D88" i="7"/>
  <c r="C91" i="7"/>
  <c r="M91" i="7"/>
  <c r="G44" i="7"/>
  <c r="P91" i="7"/>
  <c r="C89" i="7"/>
  <c r="M89" i="7"/>
  <c r="C87" i="7"/>
  <c r="M87" i="7"/>
  <c r="G40" i="7"/>
  <c r="P87" i="7"/>
  <c r="C85" i="7"/>
  <c r="M85" i="7"/>
  <c r="G38" i="7"/>
  <c r="P85" i="7"/>
  <c r="C33" i="7"/>
  <c r="G103" i="7"/>
  <c r="H102" i="7"/>
  <c r="G101" i="7"/>
  <c r="H100" i="7"/>
  <c r="G99" i="7"/>
  <c r="Q97" i="1"/>
  <c r="Q95" i="1"/>
  <c r="Q93" i="1"/>
  <c r="O88" i="1"/>
  <c r="Q98" i="1"/>
  <c r="Q96" i="1"/>
  <c r="G104" i="7"/>
  <c r="G98" i="7"/>
  <c r="G96" i="7"/>
  <c r="H95" i="7"/>
  <c r="M59" i="7"/>
  <c r="G61" i="7"/>
  <c r="U28" i="7"/>
  <c r="W22" i="7"/>
  <c r="F88" i="1"/>
  <c r="Q50" i="7"/>
  <c r="V40" i="7"/>
  <c r="V41" i="7"/>
  <c r="P83" i="7"/>
  <c r="H104" i="7"/>
  <c r="H103" i="7"/>
  <c r="G102" i="7"/>
  <c r="H101" i="7"/>
  <c r="G100" i="7"/>
  <c r="H99" i="7"/>
  <c r="H98" i="7"/>
  <c r="H97" i="7"/>
  <c r="H96" i="7"/>
  <c r="G60" i="7"/>
  <c r="L560" i="56"/>
  <c r="Q32" i="1"/>
  <c r="Q74" i="1"/>
  <c r="Q33" i="1"/>
  <c r="Q73" i="1"/>
  <c r="Q35" i="1"/>
  <c r="Q34" i="1"/>
  <c r="Q29" i="1"/>
  <c r="Q28" i="1"/>
  <c r="Q31" i="1"/>
  <c r="L150" i="69"/>
  <c r="L196" i="69"/>
  <c r="L260" i="56"/>
  <c r="L437" i="56"/>
  <c r="L320" i="56"/>
  <c r="L529" i="56"/>
  <c r="L830" i="56"/>
  <c r="L482" i="56"/>
  <c r="I79" i="55"/>
  <c r="G65" i="55"/>
  <c r="V137" i="55"/>
  <c r="D387" i="68"/>
  <c r="E65" i="55"/>
  <c r="E79" i="55"/>
  <c r="AE137" i="55"/>
  <c r="D65" i="55"/>
  <c r="H79" i="55"/>
  <c r="D79" i="55"/>
  <c r="A79" i="55"/>
  <c r="B79" i="55"/>
  <c r="C79" i="55"/>
  <c r="B264" i="55"/>
  <c r="L65" i="55"/>
  <c r="E555" i="56"/>
  <c r="E387" i="68"/>
  <c r="E401" i="69"/>
  <c r="D355" i="70"/>
  <c r="G79" i="55"/>
  <c r="O65" i="55"/>
  <c r="A65" i="55"/>
  <c r="S39" i="7"/>
  <c r="S40" i="7"/>
  <c r="S41" i="7"/>
  <c r="E495" i="66"/>
  <c r="E452" i="67"/>
  <c r="D452" i="67"/>
  <c r="E355" i="70"/>
  <c r="D401" i="69"/>
  <c r="F194" i="55"/>
  <c r="AB137" i="55"/>
  <c r="L469" i="66"/>
  <c r="N550" i="56"/>
  <c r="N490" i="66"/>
  <c r="N447" i="67"/>
  <c r="M382" i="68"/>
  <c r="N396" i="69"/>
  <c r="M350" i="70"/>
  <c r="P65" i="55"/>
  <c r="M550" i="56"/>
  <c r="M490" i="66"/>
  <c r="M447" i="67"/>
  <c r="N382" i="68"/>
  <c r="M396" i="69"/>
  <c r="M547" i="56"/>
  <c r="M487" i="66"/>
  <c r="N444" i="67"/>
  <c r="M379" i="68"/>
  <c r="M393" i="69"/>
  <c r="N347" i="70"/>
  <c r="N547" i="56"/>
  <c r="N487" i="66"/>
  <c r="M444" i="67"/>
  <c r="N379" i="68"/>
  <c r="N393" i="69"/>
  <c r="M347" i="70"/>
  <c r="M543" i="56"/>
  <c r="M483" i="66"/>
  <c r="N440" i="67"/>
  <c r="M375" i="68"/>
  <c r="M389" i="69"/>
  <c r="N343" i="70"/>
  <c r="N543" i="56"/>
  <c r="N483" i="66"/>
  <c r="M440" i="67"/>
  <c r="N375" i="68"/>
  <c r="N389" i="69"/>
  <c r="M343" i="70"/>
  <c r="K65" i="55"/>
  <c r="Z137" i="55"/>
  <c r="L377" i="66"/>
  <c r="F238" i="55"/>
  <c r="F236" i="55"/>
  <c r="F234" i="55"/>
  <c r="F232" i="55"/>
  <c r="F230" i="55"/>
  <c r="F223" i="55"/>
  <c r="F224" i="55"/>
  <c r="F221" i="55"/>
  <c r="F219" i="55"/>
  <c r="F217" i="55"/>
  <c r="F215" i="55"/>
  <c r="E238" i="55"/>
  <c r="E237" i="55"/>
  <c r="E239" i="55"/>
  <c r="E235" i="55"/>
  <c r="E232" i="55"/>
  <c r="E229" i="55"/>
  <c r="E228" i="55"/>
  <c r="E223" i="55"/>
  <c r="E222" i="55"/>
  <c r="E224" i="55"/>
  <c r="E220" i="55"/>
  <c r="E217" i="55"/>
  <c r="E215" i="55"/>
  <c r="E213" i="55"/>
  <c r="M65" i="55"/>
  <c r="I65" i="55"/>
  <c r="X137" i="55"/>
  <c r="Q65" i="55"/>
  <c r="C143" i="55"/>
  <c r="H65" i="55"/>
  <c r="W137" i="55"/>
  <c r="N83" i="7"/>
  <c r="H36" i="7"/>
  <c r="N84" i="7"/>
  <c r="H37" i="7"/>
  <c r="N86" i="7"/>
  <c r="H39" i="7"/>
  <c r="N87" i="7"/>
  <c r="H40" i="7"/>
  <c r="G45" i="7"/>
  <c r="G70" i="7"/>
  <c r="Q83" i="7"/>
  <c r="S31" i="1"/>
  <c r="S33" i="1"/>
  <c r="S32" i="1"/>
  <c r="S74" i="1"/>
  <c r="M54" i="7"/>
  <c r="N385" i="69"/>
  <c r="C26" i="7"/>
  <c r="G323" i="55"/>
  <c r="S29" i="1"/>
  <c r="S35" i="1"/>
  <c r="S34" i="1"/>
  <c r="S94" i="1"/>
  <c r="S98" i="1"/>
  <c r="S95" i="1"/>
  <c r="S93" i="1"/>
  <c r="S96" i="1"/>
  <c r="S73" i="1"/>
  <c r="S97" i="1"/>
  <c r="N540" i="56"/>
  <c r="N386" i="69"/>
  <c r="N437" i="67"/>
  <c r="N480" i="66"/>
  <c r="N340" i="70"/>
  <c r="N372" i="68"/>
  <c r="N339" i="70"/>
  <c r="N479" i="66"/>
  <c r="N436" i="67"/>
  <c r="B270" i="55"/>
  <c r="F239" i="55"/>
  <c r="D224" i="55"/>
  <c r="C239" i="55"/>
  <c r="W74" i="54"/>
  <c r="N350" i="70"/>
  <c r="N382" i="69"/>
  <c r="C253" i="55"/>
  <c r="D253" i="55"/>
  <c r="N371" i="68"/>
  <c r="N337" i="70"/>
  <c r="W39" i="54"/>
  <c r="N383" i="69"/>
  <c r="W45" i="54"/>
  <c r="N476" i="66"/>
  <c r="N537" i="56"/>
  <c r="N477" i="66"/>
  <c r="N435" i="67"/>
  <c r="N338" i="70"/>
  <c r="N536" i="56"/>
  <c r="N433" i="67"/>
  <c r="N368" i="68"/>
  <c r="N336" i="70"/>
  <c r="N434" i="67"/>
  <c r="W42" i="54"/>
  <c r="N369" i="68"/>
  <c r="N478" i="66"/>
  <c r="N384" i="69"/>
  <c r="N370" i="68"/>
  <c r="N538" i="56"/>
  <c r="O133" i="55"/>
  <c r="T133" i="55"/>
  <c r="V27" i="7"/>
  <c r="V23" i="7"/>
  <c r="C250" i="55"/>
  <c r="D250" i="55"/>
  <c r="W26" i="7"/>
  <c r="C30" i="7"/>
  <c r="S87" i="7"/>
  <c r="N89" i="7"/>
  <c r="S88" i="7"/>
  <c r="N88" i="7"/>
  <c r="S84" i="7"/>
  <c r="Q84" i="7"/>
  <c r="S86" i="7"/>
  <c r="C29" i="7"/>
  <c r="C92" i="7"/>
  <c r="M92" i="7"/>
  <c r="W21" i="7"/>
  <c r="O102" i="1"/>
  <c r="F120" i="1"/>
  <c r="F117" i="1"/>
  <c r="T88" i="1"/>
  <c r="B143" i="55"/>
  <c r="P133" i="55"/>
  <c r="J99" i="54"/>
  <c r="K421" i="69"/>
  <c r="J97" i="54"/>
  <c r="J91" i="54"/>
  <c r="J93" i="54"/>
  <c r="J95" i="54"/>
  <c r="J107" i="54"/>
  <c r="J109" i="54"/>
  <c r="K406" i="68"/>
  <c r="V45" i="7"/>
  <c r="S45" i="7"/>
  <c r="Q86" i="7"/>
  <c r="F121" i="1"/>
  <c r="O109" i="1"/>
  <c r="F118" i="1"/>
  <c r="S440" i="67"/>
  <c r="S375" i="68"/>
  <c r="S483" i="66"/>
  <c r="S543" i="56"/>
  <c r="S382" i="68"/>
  <c r="S490" i="66"/>
  <c r="S550" i="56"/>
  <c r="S447" i="67"/>
  <c r="S444" i="67"/>
  <c r="S379" i="68"/>
  <c r="S487" i="66"/>
  <c r="S547" i="56"/>
  <c r="P447" i="67"/>
  <c r="P490" i="66"/>
  <c r="P550" i="56"/>
  <c r="P382" i="68"/>
  <c r="P487" i="66"/>
  <c r="P379" i="68"/>
  <c r="P547" i="56"/>
  <c r="P444" i="67"/>
  <c r="P483" i="66"/>
  <c r="P375" i="68"/>
  <c r="P543" i="56"/>
  <c r="P440" i="67"/>
  <c r="K375" i="70"/>
  <c r="K471" i="67"/>
  <c r="K514" i="66"/>
  <c r="K574" i="56"/>
  <c r="K458" i="69"/>
  <c r="K444" i="68"/>
  <c r="K509" i="67"/>
  <c r="K412" i="70"/>
  <c r="K551" i="66"/>
  <c r="K611" i="56"/>
  <c r="K457" i="69"/>
  <c r="K443" i="68"/>
  <c r="K508" i="67"/>
  <c r="K411" i="70"/>
  <c r="K550" i="66"/>
  <c r="K610" i="56"/>
  <c r="N99" i="54"/>
  <c r="K513" i="66"/>
  <c r="K405" i="68"/>
  <c r="K420" i="69"/>
  <c r="K374" i="70"/>
  <c r="K573" i="56"/>
  <c r="K470" i="67"/>
  <c r="K404" i="68"/>
  <c r="K419" i="69"/>
  <c r="K373" i="70"/>
  <c r="K469" i="67"/>
  <c r="K512" i="66"/>
  <c r="K572" i="56"/>
  <c r="K417" i="69"/>
  <c r="K510" i="66"/>
  <c r="K402" i="68"/>
  <c r="K467" i="67"/>
  <c r="K570" i="56"/>
  <c r="K371" i="70"/>
  <c r="K403" i="68"/>
  <c r="K418" i="69"/>
  <c r="K372" i="70"/>
  <c r="K511" i="66"/>
  <c r="K571" i="56"/>
  <c r="K468" i="67"/>
  <c r="S350" i="70"/>
  <c r="S396" i="69"/>
  <c r="U490" i="66"/>
  <c r="U447" i="67"/>
  <c r="U382" i="68"/>
  <c r="U550" i="56"/>
  <c r="R447" i="67"/>
  <c r="R490" i="66"/>
  <c r="R550" i="56"/>
  <c r="P396" i="69"/>
  <c r="R382" i="68"/>
  <c r="P350" i="70"/>
  <c r="O350" i="70"/>
  <c r="O396" i="69"/>
  <c r="Q382" i="68"/>
  <c r="Q447" i="67"/>
  <c r="Q490" i="66"/>
  <c r="Q550" i="56"/>
  <c r="Q396" i="69"/>
  <c r="T550" i="56"/>
  <c r="T382" i="68"/>
  <c r="T490" i="66"/>
  <c r="T447" i="67"/>
  <c r="Q350" i="70"/>
  <c r="Q379" i="68"/>
  <c r="Q444" i="67"/>
  <c r="Q487" i="66"/>
  <c r="Q547" i="56"/>
  <c r="O347" i="70"/>
  <c r="O393" i="69"/>
  <c r="T379" i="68"/>
  <c r="T444" i="67"/>
  <c r="T487" i="66"/>
  <c r="Q393" i="69"/>
  <c r="Q347" i="70"/>
  <c r="T547" i="56"/>
  <c r="S343" i="70"/>
  <c r="U375" i="68"/>
  <c r="S389" i="69"/>
  <c r="U543" i="56"/>
  <c r="U440" i="67"/>
  <c r="U483" i="66"/>
  <c r="Q343" i="70"/>
  <c r="T543" i="56"/>
  <c r="Q389" i="69"/>
  <c r="T483" i="66"/>
  <c r="T375" i="68"/>
  <c r="T440" i="67"/>
  <c r="O343" i="70"/>
  <c r="O389" i="69"/>
  <c r="Q543" i="56"/>
  <c r="Q483" i="66"/>
  <c r="Q375" i="68"/>
  <c r="Q440" i="67"/>
  <c r="R444" i="67"/>
  <c r="R487" i="66"/>
  <c r="R547" i="56"/>
  <c r="P347" i="70"/>
  <c r="P393" i="69"/>
  <c r="R379" i="68"/>
  <c r="S347" i="70"/>
  <c r="U379" i="68"/>
  <c r="S393" i="69"/>
  <c r="U547" i="56"/>
  <c r="U444" i="67"/>
  <c r="U487" i="66"/>
  <c r="P389" i="69"/>
  <c r="R375" i="68"/>
  <c r="P343" i="70"/>
  <c r="R543" i="56"/>
  <c r="R440" i="67"/>
  <c r="R483" i="66"/>
  <c r="N91" i="54"/>
  <c r="M375" i="70"/>
  <c r="M574" i="56"/>
  <c r="M471" i="67"/>
  <c r="M421" i="69"/>
  <c r="M406" i="68"/>
  <c r="M514" i="66"/>
  <c r="N97" i="54"/>
  <c r="M513" i="66"/>
  <c r="M420" i="69"/>
  <c r="M374" i="70"/>
  <c r="M470" i="67"/>
  <c r="M573" i="56"/>
  <c r="M405" i="68"/>
  <c r="N95" i="54"/>
  <c r="M404" i="68"/>
  <c r="M469" i="67"/>
  <c r="M419" i="69"/>
  <c r="M373" i="70"/>
  <c r="M512" i="66"/>
  <c r="M572" i="56"/>
  <c r="M412" i="70"/>
  <c r="M458" i="69"/>
  <c r="M509" i="67"/>
  <c r="M444" i="68"/>
  <c r="M551" i="66"/>
  <c r="M611" i="56"/>
  <c r="M443" i="68"/>
  <c r="M508" i="67"/>
  <c r="M411" i="70"/>
  <c r="M457" i="69"/>
  <c r="M550" i="66"/>
  <c r="M610" i="56"/>
  <c r="N93" i="54"/>
  <c r="M403" i="68"/>
  <c r="M372" i="70"/>
  <c r="M571" i="56"/>
  <c r="M511" i="66"/>
  <c r="M468" i="67"/>
  <c r="M418" i="69"/>
  <c r="M417" i="69"/>
  <c r="M467" i="67"/>
  <c r="M371" i="70"/>
  <c r="M570" i="56"/>
  <c r="M510" i="66"/>
  <c r="M402" i="68"/>
  <c r="L119" i="54"/>
  <c r="Q133" i="55"/>
  <c r="R133" i="55"/>
  <c r="J65" i="55"/>
  <c r="Y137" i="55"/>
  <c r="T134" i="55"/>
  <c r="T135" i="55"/>
  <c r="V35" i="55"/>
  <c r="Z35" i="55"/>
  <c r="J262" i="54"/>
  <c r="T262" i="54"/>
  <c r="N826" i="56"/>
  <c r="N720" i="66"/>
  <c r="T826" i="56"/>
  <c r="T671" i="69"/>
  <c r="E323" i="55"/>
  <c r="E324" i="55"/>
  <c r="E346" i="55"/>
  <c r="B324" i="55"/>
  <c r="F324" i="55"/>
  <c r="G324" i="55"/>
  <c r="H324" i="55"/>
  <c r="E325" i="55"/>
  <c r="F325" i="55"/>
  <c r="H325" i="55"/>
  <c r="E326" i="55"/>
  <c r="B326" i="55"/>
  <c r="F326" i="55"/>
  <c r="G326" i="55"/>
  <c r="H326" i="55"/>
  <c r="E327" i="55"/>
  <c r="B327" i="55"/>
  <c r="F327" i="55"/>
  <c r="G327" i="55"/>
  <c r="H327" i="55"/>
  <c r="E328" i="55"/>
  <c r="B328" i="55"/>
  <c r="F328" i="55"/>
  <c r="G328" i="55"/>
  <c r="H328" i="55"/>
  <c r="E329" i="55"/>
  <c r="B329" i="55"/>
  <c r="F329" i="55"/>
  <c r="G329" i="55"/>
  <c r="H329" i="55"/>
  <c r="E330" i="55"/>
  <c r="B330" i="55"/>
  <c r="F330" i="55"/>
  <c r="G330" i="55"/>
  <c r="H330" i="55"/>
  <c r="E331" i="55"/>
  <c r="F331" i="55"/>
  <c r="H331" i="55"/>
  <c r="E332" i="55"/>
  <c r="F332" i="55"/>
  <c r="H332" i="55"/>
  <c r="E333" i="55"/>
  <c r="B333" i="55"/>
  <c r="F333" i="55"/>
  <c r="G333" i="55"/>
  <c r="H333" i="55"/>
  <c r="E334" i="55"/>
  <c r="B334" i="55"/>
  <c r="F334" i="55"/>
  <c r="G334" i="55"/>
  <c r="H334" i="55"/>
  <c r="E335" i="55"/>
  <c r="B335" i="55"/>
  <c r="F335" i="55"/>
  <c r="G335" i="55"/>
  <c r="H335" i="55"/>
  <c r="E336" i="55"/>
  <c r="F336" i="55"/>
  <c r="H336" i="55"/>
  <c r="E337" i="55"/>
  <c r="B337" i="55"/>
  <c r="F337" i="55"/>
  <c r="G337" i="55"/>
  <c r="H337" i="55"/>
  <c r="E338" i="55"/>
  <c r="F338" i="55"/>
  <c r="H338" i="55"/>
  <c r="E339" i="55"/>
  <c r="B339" i="55"/>
  <c r="F339" i="55"/>
  <c r="G339" i="55"/>
  <c r="H339" i="55"/>
  <c r="E340" i="55"/>
  <c r="B340" i="55"/>
  <c r="F340" i="55"/>
  <c r="G340" i="55"/>
  <c r="H340" i="55"/>
  <c r="E341" i="55"/>
  <c r="B341" i="55"/>
  <c r="F341" i="55"/>
  <c r="G341" i="55"/>
  <c r="H341" i="55"/>
  <c r="E342" i="55"/>
  <c r="B342" i="55"/>
  <c r="F342" i="55"/>
  <c r="G342" i="55"/>
  <c r="H342" i="55"/>
  <c r="E343" i="55"/>
  <c r="F343" i="55"/>
  <c r="H343" i="55"/>
  <c r="E344" i="55"/>
  <c r="F344" i="55"/>
  <c r="H344" i="55"/>
  <c r="E345" i="55"/>
  <c r="F345" i="55"/>
  <c r="H345" i="55"/>
  <c r="H346" i="55"/>
  <c r="H347" i="55"/>
  <c r="T43" i="55"/>
  <c r="W43" i="55"/>
  <c r="AD51" i="54"/>
  <c r="S540" i="56"/>
  <c r="S480" i="66"/>
  <c r="S372" i="68"/>
  <c r="S437" i="67"/>
  <c r="AD42" i="54"/>
  <c r="S434" i="67"/>
  <c r="S369" i="68"/>
  <c r="S537" i="56"/>
  <c r="S477" i="66"/>
  <c r="AD48" i="54"/>
  <c r="S436" i="67"/>
  <c r="S479" i="66"/>
  <c r="S371" i="68"/>
  <c r="S539" i="56"/>
  <c r="AD45" i="54"/>
  <c r="S538" i="56"/>
  <c r="S370" i="68"/>
  <c r="S435" i="67"/>
  <c r="S478" i="66"/>
  <c r="C251" i="55"/>
  <c r="C252" i="55"/>
  <c r="D252" i="55"/>
  <c r="U665" i="67"/>
  <c r="U615" i="69"/>
  <c r="J616" i="69"/>
  <c r="O1177" i="55"/>
  <c r="AF213" i="54"/>
  <c r="U768" i="56"/>
  <c r="J768" i="56"/>
  <c r="D614" i="69"/>
  <c r="D664" i="67"/>
  <c r="AF137" i="55"/>
  <c r="AF139" i="55"/>
  <c r="K100" i="55"/>
  <c r="AL137" i="55"/>
  <c r="AL139" i="55"/>
  <c r="Q100" i="55"/>
  <c r="AK137" i="55"/>
  <c r="AK139" i="55"/>
  <c r="P100" i="55"/>
  <c r="U100" i="55"/>
  <c r="AJ69" i="55"/>
  <c r="AJ99" i="55"/>
  <c r="Z100" i="55"/>
  <c r="AB100" i="55"/>
  <c r="E238" i="1"/>
  <c r="E236" i="1"/>
  <c r="G34" i="7"/>
  <c r="P82" i="7"/>
  <c r="P92" i="7"/>
  <c r="C28" i="7"/>
  <c r="Q85" i="7"/>
  <c r="Q87" i="7"/>
  <c r="N91" i="7"/>
  <c r="H44" i="7"/>
  <c r="Q91" i="7"/>
  <c r="Q92" i="7"/>
  <c r="C52" i="7"/>
  <c r="G69" i="7"/>
  <c r="C65" i="55"/>
  <c r="V78" i="54"/>
  <c r="L198" i="7"/>
  <c r="L204" i="7"/>
  <c r="L205" i="7"/>
  <c r="N657" i="69"/>
  <c r="N592" i="68"/>
  <c r="N705" i="67"/>
  <c r="N704" i="66"/>
  <c r="N557" i="70"/>
  <c r="AV137" i="55"/>
  <c r="AV139" i="55"/>
  <c r="AA100" i="55"/>
  <c r="AS137" i="55"/>
  <c r="AS139" i="55"/>
  <c r="X100" i="55"/>
  <c r="N720" i="67"/>
  <c r="D92" i="7"/>
  <c r="N92" i="7"/>
  <c r="P11" i="7"/>
  <c r="Q11" i="7"/>
  <c r="P13" i="7"/>
  <c r="V20" i="7"/>
  <c r="V25" i="7"/>
  <c r="AE135" i="55"/>
  <c r="AE134" i="55"/>
  <c r="AO137" i="55"/>
  <c r="AO139" i="55"/>
  <c r="T100" i="55"/>
  <c r="AX137" i="55"/>
  <c r="AX139" i="55"/>
  <c r="AC100" i="55"/>
  <c r="T608" i="68"/>
  <c r="N572" i="70"/>
  <c r="T720" i="66"/>
  <c r="N671" i="69"/>
  <c r="T720" i="67"/>
  <c r="N608" i="68"/>
  <c r="H72" i="7"/>
  <c r="H73" i="7"/>
  <c r="W25" i="7"/>
  <c r="W20" i="7"/>
  <c r="W28" i="7"/>
  <c r="V22" i="7"/>
  <c r="S85" i="7"/>
  <c r="V28" i="7"/>
  <c r="AE99" i="55"/>
  <c r="S2" i="55"/>
  <c r="AI137" i="55"/>
  <c r="AI139" i="55"/>
  <c r="N100" i="55"/>
  <c r="N814" i="56"/>
  <c r="H252" i="54"/>
  <c r="U712" i="56"/>
  <c r="U610" i="67"/>
  <c r="U561" i="69"/>
  <c r="T572" i="70"/>
  <c r="W23" i="7"/>
  <c r="W24" i="7"/>
  <c r="W27" i="7"/>
  <c r="V26" i="7"/>
  <c r="V24" i="7"/>
  <c r="AA137" i="55"/>
  <c r="S90" i="7"/>
  <c r="H557" i="70"/>
  <c r="H705" i="67"/>
  <c r="H657" i="69"/>
  <c r="H592" i="68"/>
  <c r="H704" i="66"/>
  <c r="O100" i="55"/>
  <c r="AJ137" i="55"/>
  <c r="AJ139" i="55"/>
  <c r="P137" i="54"/>
  <c r="AB133" i="55"/>
  <c r="N708" i="66"/>
  <c r="C704" i="66"/>
  <c r="W113" i="55"/>
  <c r="T1331" i="55"/>
  <c r="AP199" i="54"/>
  <c r="U723" i="56"/>
  <c r="U621" i="67"/>
  <c r="U572" i="69"/>
  <c r="N65" i="55"/>
  <c r="F65" i="55"/>
  <c r="B65" i="55"/>
  <c r="D555" i="56"/>
  <c r="D495" i="66"/>
  <c r="T1322" i="55"/>
  <c r="T1329" i="55"/>
  <c r="AP195" i="54"/>
  <c r="U721" i="56"/>
  <c r="U619" i="67"/>
  <c r="U570" i="69"/>
  <c r="T1327" i="55"/>
  <c r="AP191" i="54"/>
  <c r="U719" i="56"/>
  <c r="U617" i="67"/>
  <c r="U568" i="69"/>
  <c r="T1325" i="55"/>
  <c r="AP187" i="54"/>
  <c r="U717" i="56"/>
  <c r="U615" i="67"/>
  <c r="U566" i="69"/>
  <c r="T1332" i="55"/>
  <c r="AP201" i="54"/>
  <c r="U724" i="56"/>
  <c r="U622" i="67"/>
  <c r="U573" i="69"/>
  <c r="N709" i="67"/>
  <c r="T1324" i="55"/>
  <c r="AP185" i="54"/>
  <c r="U716" i="56"/>
  <c r="U614" i="67"/>
  <c r="U565" i="69"/>
  <c r="T1333" i="55"/>
  <c r="AP203" i="54"/>
  <c r="U725" i="56"/>
  <c r="U623" i="67"/>
  <c r="U574" i="69"/>
  <c r="T1330" i="55"/>
  <c r="AP197" i="54"/>
  <c r="U722" i="56"/>
  <c r="U620" i="67"/>
  <c r="U571" i="69"/>
  <c r="I106" i="55"/>
  <c r="J106" i="55"/>
  <c r="L124" i="55"/>
  <c r="T96" i="74"/>
  <c r="Q34" i="74"/>
  <c r="K37" i="74"/>
  <c r="Q33" i="74"/>
  <c r="K44" i="74"/>
  <c r="K46" i="74"/>
  <c r="Q38" i="74"/>
  <c r="M672" i="67"/>
  <c r="M622" i="69"/>
  <c r="U617" i="69"/>
  <c r="U667" i="67"/>
  <c r="U669" i="67"/>
  <c r="U619" i="69"/>
  <c r="AQ137" i="55"/>
  <c r="AQ139" i="55"/>
  <c r="AW137" i="55"/>
  <c r="AW139" i="55"/>
  <c r="M614" i="69"/>
  <c r="M664" i="67"/>
  <c r="D671" i="67"/>
  <c r="Q663" i="67"/>
  <c r="B664" i="67"/>
  <c r="D663" i="67"/>
  <c r="G613" i="69"/>
  <c r="K613" i="69"/>
  <c r="H613" i="69"/>
  <c r="T613" i="69"/>
  <c r="J777" i="56"/>
  <c r="K345" i="68"/>
  <c r="M348" i="68"/>
  <c r="M452" i="66"/>
  <c r="K452" i="66"/>
  <c r="M618" i="69"/>
  <c r="M667" i="67"/>
  <c r="M777" i="56"/>
  <c r="K460" i="66"/>
  <c r="K453" i="66"/>
  <c r="M407" i="67"/>
  <c r="M349" i="68"/>
  <c r="K403" i="67"/>
  <c r="Q2" i="55"/>
  <c r="D143" i="55"/>
  <c r="E143" i="55"/>
  <c r="U118" i="55"/>
  <c r="V38" i="55"/>
  <c r="Z38" i="55"/>
  <c r="D251" i="55"/>
  <c r="D254" i="55"/>
  <c r="N79" i="54"/>
  <c r="U115" i="55"/>
  <c r="B135" i="55"/>
  <c r="J12" i="55"/>
  <c r="P2" i="55"/>
  <c r="U117" i="55"/>
  <c r="C505" i="56"/>
  <c r="C445" i="66"/>
  <c r="V37" i="55"/>
  <c r="Z37" i="55"/>
  <c r="N101" i="54"/>
  <c r="S557" i="56"/>
  <c r="S259" i="66"/>
  <c r="S683" i="67"/>
  <c r="S495" i="67"/>
  <c r="S762" i="67"/>
  <c r="S380" i="67"/>
  <c r="S160" i="67"/>
  <c r="S536" i="67"/>
  <c r="S423" i="67"/>
  <c r="S454" i="67"/>
  <c r="S256" i="67"/>
  <c r="S590" i="67"/>
  <c r="S723" i="67"/>
  <c r="S805" i="67"/>
  <c r="S310" i="67"/>
  <c r="S630" i="67"/>
  <c r="S116" i="67"/>
  <c r="S205" i="67"/>
  <c r="S541" i="69"/>
  <c r="S674" i="69"/>
  <c r="S301" i="69"/>
  <c r="S104" i="69"/>
  <c r="S243" i="69"/>
  <c r="S580" i="69"/>
  <c r="S148" i="69"/>
  <c r="S445" i="69"/>
  <c r="S371" i="69"/>
  <c r="S404" i="69"/>
  <c r="S487" i="69"/>
  <c r="S713" i="69"/>
  <c r="S753" i="69"/>
  <c r="S633" i="69"/>
  <c r="S193" i="69"/>
  <c r="S614" i="70"/>
  <c r="S201" i="70"/>
  <c r="S441" i="70"/>
  <c r="S151" i="70"/>
  <c r="S534" i="70"/>
  <c r="S575" i="70"/>
  <c r="S108" i="70"/>
  <c r="S325" i="70"/>
  <c r="S255" i="70"/>
  <c r="S653" i="70"/>
  <c r="S399" i="70"/>
  <c r="S494" i="70"/>
  <c r="S358" i="70"/>
  <c r="S670" i="66"/>
  <c r="S805" i="66"/>
  <c r="S330" i="66"/>
  <c r="S723" i="66"/>
  <c r="S111" i="66"/>
  <c r="S695" i="66"/>
  <c r="S580" i="66"/>
  <c r="S466" i="66"/>
  <c r="S631" i="66"/>
  <c r="S611" i="68"/>
  <c r="S430" i="68"/>
  <c r="S200" i="68"/>
  <c r="S104" i="68"/>
  <c r="S389" i="68"/>
  <c r="S473" i="68"/>
  <c r="S324" i="68"/>
  <c r="S691" i="68"/>
  <c r="S651" i="68"/>
  <c r="S566" i="68"/>
  <c r="S526" i="68"/>
  <c r="S254" i="68"/>
  <c r="S149" i="68"/>
  <c r="S358" i="68"/>
  <c r="L714" i="69"/>
  <c r="L675" i="69"/>
  <c r="L154" i="70"/>
  <c r="L203" i="70"/>
  <c r="L543" i="69"/>
  <c r="L375" i="69"/>
  <c r="L329" i="70"/>
  <c r="L257" i="70"/>
  <c r="L634" i="69"/>
  <c r="L447" i="69"/>
  <c r="L496" i="70"/>
  <c r="L407" i="69"/>
  <c r="L245" i="69"/>
  <c r="L51" i="69"/>
  <c r="L442" i="70"/>
  <c r="L576" i="70"/>
  <c r="L55" i="70"/>
  <c r="L535" i="70"/>
  <c r="L109" i="70"/>
  <c r="AF235" i="54"/>
  <c r="U780" i="56"/>
  <c r="U676" i="67"/>
  <c r="J664" i="67"/>
  <c r="J614" i="69"/>
  <c r="U614" i="69"/>
  <c r="U664" i="67"/>
  <c r="AW140" i="55"/>
  <c r="AT140" i="55"/>
  <c r="W110" i="55"/>
  <c r="R2" i="55"/>
  <c r="M100" i="55"/>
  <c r="AD100" i="55"/>
  <c r="V168" i="54"/>
  <c r="AQ140" i="55"/>
  <c r="Q36" i="74"/>
  <c r="AB135" i="55"/>
  <c r="AB134" i="55"/>
  <c r="AJ140" i="55"/>
  <c r="N660" i="69"/>
  <c r="N595" i="68"/>
  <c r="N707" i="66"/>
  <c r="N560" i="70"/>
  <c r="N708" i="67"/>
  <c r="BA140" i="55"/>
  <c r="AR140" i="55"/>
  <c r="AN140" i="55"/>
  <c r="AG140" i="55"/>
  <c r="AX140" i="55"/>
  <c r="C31" i="7"/>
  <c r="I15" i="7"/>
  <c r="AS140" i="55"/>
  <c r="AV140" i="55"/>
  <c r="D53" i="7"/>
  <c r="E53" i="7"/>
  <c r="C53" i="7"/>
  <c r="AH140" i="55"/>
  <c r="BD140" i="55"/>
  <c r="AY140" i="55"/>
  <c r="C127" i="69"/>
  <c r="C139" i="67"/>
  <c r="C140" i="56"/>
  <c r="W47" i="7"/>
  <c r="W45" i="7"/>
  <c r="T46" i="7"/>
  <c r="W46" i="7"/>
  <c r="T47" i="7"/>
  <c r="T45" i="7"/>
  <c r="T49" i="7"/>
  <c r="H34" i="7"/>
  <c r="C50" i="7"/>
  <c r="C51" i="7"/>
  <c r="J623" i="69"/>
  <c r="J673" i="67"/>
  <c r="AP181" i="54"/>
  <c r="T1335" i="55"/>
  <c r="BB140" i="55"/>
  <c r="AP140" i="55"/>
  <c r="AF140" i="55"/>
  <c r="AZ140" i="55"/>
  <c r="AI140" i="55"/>
  <c r="AO140" i="55"/>
  <c r="C42" i="7"/>
  <c r="D52" i="7"/>
  <c r="M623" i="69"/>
  <c r="M673" i="67"/>
  <c r="AL140" i="55"/>
  <c r="AK140" i="55"/>
  <c r="N563" i="70"/>
  <c r="N817" i="56"/>
  <c r="D274" i="54"/>
  <c r="B345" i="55"/>
  <c r="G345" i="55"/>
  <c r="BC140" i="55"/>
  <c r="AM140" i="55"/>
  <c r="AU140" i="55"/>
  <c r="W112" i="55"/>
  <c r="U113" i="55"/>
  <c r="J10" i="55"/>
  <c r="J9" i="55"/>
  <c r="J11" i="55"/>
  <c r="C124" i="69"/>
  <c r="C136" i="67"/>
  <c r="C137" i="56"/>
  <c r="S434" i="56"/>
  <c r="S526" i="56"/>
  <c r="S915" i="56"/>
  <c r="S117" i="56"/>
  <c r="S829" i="56"/>
  <c r="S390" i="56"/>
  <c r="S161" i="56"/>
  <c r="S318" i="56"/>
  <c r="S207" i="56"/>
  <c r="S497" i="66"/>
  <c r="S374" i="66"/>
  <c r="S420" i="66"/>
  <c r="S206" i="66"/>
  <c r="S693" i="56"/>
  <c r="S480" i="56"/>
  <c r="S732" i="56"/>
  <c r="S258" i="56"/>
  <c r="S638" i="56"/>
  <c r="S538" i="66"/>
  <c r="S155" i="66"/>
  <c r="S766" i="66"/>
  <c r="S787" i="56"/>
  <c r="S873" i="56"/>
  <c r="S598" i="56"/>
  <c r="B344" i="55"/>
  <c r="G344" i="55"/>
  <c r="G346" i="55"/>
  <c r="X168" i="54"/>
  <c r="U691" i="56"/>
  <c r="U588" i="67"/>
  <c r="U539" i="69"/>
  <c r="U689" i="56"/>
  <c r="U586" i="67"/>
  <c r="U537" i="69"/>
  <c r="W140" i="55"/>
  <c r="U714" i="56"/>
  <c r="U612" i="67"/>
  <c r="U563" i="69"/>
  <c r="AP207" i="54"/>
  <c r="U728" i="56"/>
  <c r="U626" i="67"/>
  <c r="U577" i="69"/>
  <c r="W49" i="7"/>
  <c r="C143" i="67"/>
  <c r="C142" i="67"/>
  <c r="C142" i="56"/>
  <c r="C129" i="69"/>
  <c r="C143" i="56"/>
  <c r="C130" i="69"/>
  <c r="O4" i="55"/>
  <c r="S15" i="7"/>
  <c r="R78" i="54"/>
  <c r="T15" i="7"/>
  <c r="L15" i="7"/>
  <c r="N598" i="68"/>
  <c r="N710" i="66"/>
  <c r="N711" i="67"/>
  <c r="N663" i="69"/>
  <c r="O3" i="55"/>
  <c r="T78" i="54"/>
  <c r="I4" i="55"/>
  <c r="N449" i="67"/>
  <c r="N492" i="66"/>
  <c r="N384" i="68"/>
  <c r="N352" i="70"/>
  <c r="N398" i="69"/>
  <c r="N552" i="56"/>
  <c r="D270" i="54"/>
  <c r="F323" i="55"/>
  <c r="H323" i="55"/>
  <c r="F346" i="55"/>
  <c r="B196" i="55"/>
  <c r="AD57" i="54"/>
  <c r="AD70" i="54"/>
  <c r="AD74" i="54"/>
  <c r="AD63" i="54"/>
  <c r="AD66" i="54"/>
  <c r="AD54" i="54"/>
  <c r="AD76" i="54"/>
  <c r="AD60" i="54"/>
  <c r="AD78" i="54"/>
  <c r="AD72" i="54"/>
  <c r="AD68" i="54"/>
  <c r="AD39" i="54"/>
  <c r="F196" i="55"/>
  <c r="B200" i="55"/>
  <c r="B199" i="55"/>
  <c r="B202" i="55"/>
  <c r="C196" i="55"/>
  <c r="D196" i="55"/>
  <c r="B207" i="55"/>
  <c r="B203" i="55"/>
  <c r="B201" i="55"/>
  <c r="B198" i="55"/>
  <c r="E196" i="55"/>
  <c r="B206" i="55"/>
  <c r="B205" i="55"/>
  <c r="B204" i="55"/>
  <c r="B208" i="55"/>
  <c r="S368" i="68"/>
  <c r="S476" i="66"/>
  <c r="S536" i="56"/>
  <c r="S433" i="67"/>
  <c r="E199" i="55"/>
  <c r="E204" i="55"/>
  <c r="E205" i="55"/>
  <c r="E200" i="55"/>
  <c r="E201" i="55"/>
  <c r="E202" i="55"/>
  <c r="E206" i="55"/>
  <c r="E203" i="55"/>
  <c r="E207" i="55"/>
  <c r="E198" i="55"/>
  <c r="E208" i="55"/>
  <c r="B209" i="55"/>
  <c r="S494" i="66"/>
  <c r="S554" i="56"/>
  <c r="S386" i="68"/>
  <c r="S451" i="67"/>
  <c r="D199" i="55"/>
  <c r="D203" i="55"/>
  <c r="D204" i="55"/>
  <c r="D202" i="55"/>
  <c r="D208" i="55"/>
  <c r="D207" i="55"/>
  <c r="D198" i="55"/>
  <c r="D201" i="55"/>
  <c r="D205" i="55"/>
  <c r="D206" i="55"/>
  <c r="D200" i="55"/>
  <c r="C204" i="55"/>
  <c r="C199" i="55"/>
  <c r="C207" i="55"/>
  <c r="C205" i="55"/>
  <c r="C200" i="55"/>
  <c r="C206" i="55"/>
  <c r="C203" i="55"/>
  <c r="C208" i="55"/>
  <c r="C198" i="55"/>
  <c r="C202" i="55"/>
  <c r="C201" i="55"/>
  <c r="F206" i="55"/>
  <c r="F203" i="55"/>
  <c r="F208" i="55"/>
  <c r="F202" i="55"/>
  <c r="F201" i="55"/>
  <c r="F205" i="55"/>
  <c r="F207" i="55"/>
  <c r="F209" i="55"/>
  <c r="F200" i="55"/>
  <c r="F199" i="55"/>
  <c r="F198" i="55"/>
  <c r="F204" i="55"/>
  <c r="E209" i="55"/>
  <c r="C209" i="55"/>
  <c r="D209" i="55"/>
  <c r="V140" i="55"/>
  <c r="V139" i="55"/>
  <c r="V141" i="55"/>
  <c r="V142" i="55"/>
  <c r="D77" i="54"/>
  <c r="R82" i="54"/>
  <c r="L107" i="54"/>
  <c r="L109" i="54"/>
  <c r="L111" i="54"/>
  <c r="X39" i="54"/>
  <c r="AF39" i="54"/>
  <c r="AH39" i="54"/>
  <c r="X42" i="54"/>
  <c r="AF42" i="54"/>
  <c r="AH42" i="54"/>
  <c r="X45" i="54"/>
  <c r="AF45" i="54"/>
  <c r="AH45" i="54"/>
  <c r="X48" i="54"/>
  <c r="AF48" i="54"/>
  <c r="AH48" i="54"/>
  <c r="X51" i="54"/>
  <c r="AF51" i="54"/>
  <c r="AH51" i="54"/>
  <c r="X54" i="54"/>
  <c r="AF54" i="54"/>
  <c r="AH54" i="54"/>
  <c r="X57" i="54"/>
  <c r="AF57" i="54"/>
  <c r="AH57" i="54"/>
  <c r="X60" i="54"/>
  <c r="AF60" i="54"/>
  <c r="AH60" i="54"/>
  <c r="X63" i="54"/>
  <c r="AF63" i="54"/>
  <c r="AH63" i="54"/>
  <c r="X66" i="54"/>
  <c r="AF66" i="54"/>
  <c r="AH66" i="54"/>
  <c r="X68" i="54"/>
  <c r="AF68" i="54"/>
  <c r="AH68" i="54"/>
  <c r="X70" i="54"/>
  <c r="AF70" i="54"/>
  <c r="AH70" i="54"/>
  <c r="X72" i="54"/>
  <c r="AF72" i="54"/>
  <c r="AH72" i="54"/>
  <c r="X74" i="54"/>
  <c r="AF74" i="54"/>
  <c r="AH74" i="54"/>
  <c r="X76" i="54"/>
  <c r="AF76" i="54"/>
  <c r="AH76" i="54"/>
  <c r="X78" i="54"/>
  <c r="AH78" i="54"/>
  <c r="AH82" i="54"/>
  <c r="F117" i="54"/>
  <c r="B132" i="55"/>
  <c r="L91" i="54"/>
  <c r="L93" i="54"/>
  <c r="L95" i="54"/>
  <c r="L97" i="54"/>
  <c r="L99" i="54"/>
  <c r="L101" i="54"/>
  <c r="F119" i="54"/>
  <c r="B133" i="55"/>
  <c r="B134" i="55"/>
  <c r="B136" i="55"/>
  <c r="B137" i="55"/>
  <c r="B146" i="55"/>
  <c r="C146" i="55"/>
  <c r="D146" i="55"/>
  <c r="E146" i="55"/>
  <c r="B138" i="55"/>
  <c r="B139" i="55"/>
  <c r="F121" i="54"/>
  <c r="F123" i="54"/>
  <c r="H5" i="55"/>
  <c r="D272" i="54"/>
  <c r="D276" i="54"/>
  <c r="H3" i="55"/>
  <c r="O2" i="55"/>
  <c r="O5" i="55"/>
  <c r="K133" i="67"/>
  <c r="K134" i="56"/>
  <c r="K121" i="69"/>
  <c r="U554" i="56"/>
  <c r="S354" i="70"/>
  <c r="U451" i="67"/>
  <c r="S400" i="69"/>
  <c r="U494" i="66"/>
  <c r="U386" i="68"/>
  <c r="U536" i="56"/>
  <c r="S382" i="69"/>
  <c r="U433" i="67"/>
  <c r="S336" i="70"/>
  <c r="U476" i="66"/>
  <c r="U368" i="68"/>
  <c r="Q336" i="70"/>
  <c r="T368" i="68"/>
  <c r="T536" i="56"/>
  <c r="T433" i="67"/>
  <c r="T476" i="66"/>
  <c r="Q382" i="69"/>
  <c r="Z39" i="54"/>
  <c r="AB39" i="54"/>
  <c r="Z42" i="54"/>
  <c r="AB42" i="54"/>
  <c r="Z45" i="54"/>
  <c r="AB45" i="54"/>
  <c r="Z48" i="54"/>
  <c r="AB48" i="54"/>
  <c r="Z51" i="54"/>
  <c r="AB51" i="54"/>
  <c r="Z54" i="54"/>
  <c r="AB54" i="54"/>
  <c r="Z57" i="54"/>
  <c r="AB57" i="54"/>
  <c r="Z60" i="54"/>
  <c r="AB60" i="54"/>
  <c r="Z63" i="54"/>
  <c r="AB63" i="54"/>
  <c r="Z66" i="54"/>
  <c r="AB66" i="54"/>
  <c r="Z68" i="54"/>
  <c r="AB68" i="54"/>
  <c r="Z70" i="54"/>
  <c r="AB70" i="54"/>
  <c r="Z72" i="54"/>
  <c r="AB72" i="54"/>
  <c r="Z74" i="54"/>
  <c r="AB74" i="54"/>
  <c r="Z76" i="54"/>
  <c r="AB76" i="54"/>
  <c r="AB78" i="54"/>
  <c r="AB82" i="54"/>
  <c r="R554" i="56"/>
  <c r="P400" i="69"/>
  <c r="R386" i="68"/>
  <c r="R494" i="66"/>
  <c r="P354" i="70"/>
  <c r="R451" i="67"/>
  <c r="R536" i="56"/>
  <c r="P336" i="70"/>
  <c r="R476" i="66"/>
  <c r="R433" i="67"/>
  <c r="R368" i="68"/>
  <c r="P382" i="69"/>
  <c r="H4" i="55"/>
  <c r="Q476" i="66"/>
  <c r="Q536" i="56"/>
  <c r="O382" i="69"/>
  <c r="Q368" i="68"/>
  <c r="Q433" i="67"/>
  <c r="O336" i="70"/>
  <c r="P494" i="66"/>
  <c r="P386" i="68"/>
  <c r="P451" i="67"/>
  <c r="P554" i="56"/>
  <c r="M423" i="69"/>
  <c r="M473" i="67"/>
  <c r="L118" i="54"/>
  <c r="M576" i="56"/>
  <c r="M377" i="70"/>
  <c r="M408" i="68"/>
  <c r="M516" i="66"/>
  <c r="M460" i="69"/>
  <c r="M553" i="66"/>
  <c r="M446" i="68"/>
  <c r="M613" i="56"/>
  <c r="M511" i="67"/>
  <c r="M414" i="70"/>
  <c r="R83" i="54"/>
  <c r="N495" i="66"/>
  <c r="N452" i="67"/>
  <c r="N401" i="69"/>
  <c r="AJ83" i="54"/>
  <c r="N355" i="70"/>
  <c r="N387" i="68"/>
  <c r="N555" i="56"/>
  <c r="P433" i="67"/>
  <c r="P368" i="68"/>
  <c r="P536" i="56"/>
  <c r="P476" i="66"/>
  <c r="R282" i="54"/>
  <c r="B684" i="68"/>
  <c r="B683" i="68"/>
  <c r="B742" i="69"/>
  <c r="B681" i="68"/>
  <c r="B905" i="56"/>
  <c r="B743" i="69"/>
  <c r="B909" i="56"/>
  <c r="B906" i="56"/>
  <c r="B747" i="69"/>
  <c r="B642" i="70"/>
  <c r="B798" i="67"/>
  <c r="B908" i="56"/>
  <c r="B797" i="66"/>
  <c r="B746" i="69"/>
  <c r="B643" i="70"/>
  <c r="B904" i="56"/>
  <c r="B645" i="70"/>
  <c r="B744" i="69"/>
  <c r="B795" i="67"/>
  <c r="B794" i="66"/>
  <c r="B796" i="67"/>
  <c r="B646" i="70"/>
  <c r="B793" i="66"/>
  <c r="B799" i="67"/>
  <c r="B680" i="68"/>
  <c r="B907" i="56"/>
  <c r="B795" i="66"/>
  <c r="B797" i="67"/>
  <c r="B682" i="68"/>
  <c r="B796" i="66"/>
  <c r="B745" i="69"/>
  <c r="B644" i="70"/>
  <c r="N554" i="56"/>
  <c r="N386" i="68"/>
  <c r="B176" i="55"/>
  <c r="B177" i="55"/>
  <c r="N494" i="66"/>
  <c r="N354" i="70"/>
  <c r="N400" i="69"/>
  <c r="N451" i="67"/>
  <c r="S82" i="54"/>
  <c r="B794" i="67"/>
  <c r="V84" i="54"/>
  <c r="U434" i="67"/>
  <c r="U537" i="56"/>
  <c r="U477" i="66"/>
  <c r="U369" i="68"/>
  <c r="S383" i="69"/>
  <c r="U371" i="68"/>
  <c r="U479" i="66"/>
  <c r="S339" i="70"/>
  <c r="U539" i="56"/>
  <c r="S337" i="70"/>
  <c r="Q383" i="69"/>
  <c r="Q337" i="70"/>
  <c r="U436" i="67"/>
  <c r="T369" i="68"/>
  <c r="T434" i="67"/>
  <c r="T537" i="56"/>
  <c r="U478" i="66"/>
  <c r="S338" i="70"/>
  <c r="U370" i="68"/>
  <c r="U435" i="67"/>
  <c r="U538" i="56"/>
  <c r="S384" i="69"/>
  <c r="U437" i="67"/>
  <c r="S340" i="70"/>
  <c r="U480" i="66"/>
  <c r="U540" i="56"/>
  <c r="U372" i="68"/>
  <c r="S386" i="69"/>
  <c r="T480" i="66"/>
  <c r="S385" i="69"/>
  <c r="T437" i="67"/>
  <c r="Q386" i="69"/>
  <c r="T436" i="67"/>
  <c r="T479" i="66"/>
  <c r="T540" i="56"/>
  <c r="Q340" i="70"/>
  <c r="T539" i="56"/>
  <c r="T372" i="68"/>
  <c r="Q385" i="69"/>
  <c r="Q339" i="70"/>
  <c r="T477" i="66"/>
  <c r="T435" i="67"/>
  <c r="Q384" i="69"/>
  <c r="T478" i="66"/>
  <c r="T538" i="56"/>
  <c r="T370" i="68"/>
  <c r="Q338" i="70"/>
  <c r="T371" i="68"/>
  <c r="R435" i="67"/>
  <c r="R370" i="68"/>
  <c r="P338" i="70"/>
  <c r="R538" i="56"/>
  <c r="P384" i="69"/>
  <c r="R478" i="66"/>
  <c r="R477" i="66"/>
  <c r="P337" i="70"/>
  <c r="R369" i="68"/>
  <c r="P383" i="69"/>
  <c r="R434" i="67"/>
  <c r="R537" i="56"/>
  <c r="P385" i="69"/>
  <c r="R436" i="67"/>
  <c r="R371" i="68"/>
  <c r="R539" i="56"/>
  <c r="R479" i="66"/>
  <c r="P339" i="70"/>
  <c r="P340" i="70"/>
  <c r="R540" i="56"/>
  <c r="R480" i="66"/>
  <c r="R372" i="68"/>
  <c r="R437" i="67"/>
  <c r="P386" i="69"/>
  <c r="Q434" i="67"/>
  <c r="Q477" i="66"/>
  <c r="Q537" i="56"/>
  <c r="Q369" i="68"/>
  <c r="O383" i="69"/>
  <c r="O337" i="70"/>
  <c r="Q478" i="66"/>
  <c r="Q538" i="56"/>
  <c r="O384" i="69"/>
  <c r="O338" i="70"/>
  <c r="Q435" i="67"/>
  <c r="Q370" i="68"/>
  <c r="Q539" i="56"/>
  <c r="Q479" i="66"/>
  <c r="O385" i="69"/>
  <c r="O339" i="70"/>
  <c r="Q436" i="67"/>
  <c r="Q371" i="68"/>
  <c r="Q437" i="67"/>
  <c r="O340" i="70"/>
  <c r="Q480" i="66"/>
  <c r="Q540" i="56"/>
  <c r="Q372" i="68"/>
  <c r="O386" i="69"/>
  <c r="P434" i="67"/>
  <c r="P477" i="66"/>
  <c r="P369" i="68"/>
  <c r="P537" i="56"/>
  <c r="P435" i="67"/>
  <c r="P370" i="68"/>
  <c r="P538" i="56"/>
  <c r="P478" i="66"/>
  <c r="P436" i="67"/>
  <c r="P371" i="68"/>
  <c r="P479" i="66"/>
  <c r="P539" i="56"/>
  <c r="P372" i="68"/>
  <c r="P540" i="56"/>
  <c r="P480" i="66"/>
  <c r="P437" i="67"/>
</calcChain>
</file>

<file path=xl/comments1.xml><?xml version="1.0" encoding="utf-8"?>
<comments xmlns="http://schemas.openxmlformats.org/spreadsheetml/2006/main">
  <authors>
    <author>ALONSO SASTRE, Araceli</author>
    <author>Juan Miguel Lopez</author>
  </authors>
  <commentList>
    <comment ref="K48" authorId="0" shapeId="0">
      <text>
        <r>
          <rPr>
            <b/>
            <sz val="9"/>
            <color indexed="81"/>
            <rFont val="Tahoma"/>
            <family val="2"/>
          </rPr>
          <t>Zona Travel semanal:</t>
        </r>
        <r>
          <rPr>
            <sz val="9"/>
            <color indexed="81"/>
            <rFont val="Tahoma"/>
            <family val="2"/>
          </rPr>
          <t xml:space="preserve">
Argentina, Australia, Bolivia, Brasil, Canadá, Chile, Colombia, Ecuador, El Salvador, Guatemala, Honduras, Hong Kong, India, Japón, México, Marruecos, Nicaragua, Nigeria, Paraguay, Perú, Qatar, Rep. Dominicana, Rusia, Singapur, Sudáfrica, Tailandia, Túnez,  Turquía, Venezuela
</t>
        </r>
      </text>
    </comment>
    <comment ref="N48" authorId="0" shapeId="0">
      <text>
        <r>
          <rPr>
            <b/>
            <sz val="9"/>
            <color indexed="81"/>
            <rFont val="Tahoma"/>
            <family val="2"/>
          </rPr>
          <t xml:space="preserve">Zona Travel semanal:
</t>
        </r>
        <r>
          <rPr>
            <sz val="9"/>
            <color indexed="81"/>
            <rFont val="Tahoma"/>
            <family val="2"/>
          </rPr>
          <t>Argentina, Australia, Bolivia, Brasil, Canadá, Chile, Colombia, Ecuador, El Salvador, Guatemala, Honduras, Hong Kong, India, Japón, México, Marruecos, Nicaragua, Nigeria, Paraguay, Perú, Qatar, Rep. Dominicana, Rusia, Singapur, Sudáfrica, Tailandia, Túnez,  Turquía, Venezuela</t>
        </r>
      </text>
    </comment>
    <comment ref="N50" authorId="0" shapeId="0">
      <text>
        <r>
          <rPr>
            <b/>
            <sz val="9"/>
            <color indexed="81"/>
            <rFont val="Tahoma"/>
            <family val="2"/>
          </rPr>
          <t xml:space="preserve">Europa Plus: 
</t>
        </r>
        <r>
          <rPr>
            <sz val="9"/>
            <color indexed="81"/>
            <rFont val="Tahoma"/>
            <family val="2"/>
          </rPr>
          <t>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Noruega, Polonia, Portugal, Reino Unido, República Checa, Isla Reunión, Rumanía, San Marino, Suecia, Suiza, Ciudad del Vaticano</t>
        </r>
      </text>
    </comment>
    <comment ref="N51" authorId="0" shapeId="0">
      <text>
        <r>
          <rPr>
            <b/>
            <sz val="9"/>
            <color indexed="81"/>
            <rFont val="Tahoma"/>
            <family val="2"/>
          </rPr>
          <t xml:space="preserve">Europa Plus:
</t>
        </r>
        <r>
          <rPr>
            <sz val="9"/>
            <color indexed="81"/>
            <rFont val="Tahoma"/>
            <family val="2"/>
          </rPr>
          <t xml:space="preserve">
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Noruega, Polonia, Portugal, Reino Unido, República Checa, Isla Reunión, Rumanía, San Marino, Suecia, Suiza, Ciudad del Vaticano</t>
        </r>
      </text>
    </comment>
    <comment ref="D52" authorId="0" shapeId="0">
      <text>
        <r>
          <rPr>
            <sz val="9"/>
            <color indexed="81"/>
            <rFont val="Tahoma"/>
            <family val="2"/>
          </rPr>
          <t xml:space="preserve">
Alemania, Austria, Bélgica, Chipre, Dinamarca, Eslovaquia, Eslovenia, Estonia, Finlandia, Francia, Gibraltar, Grecia, Guernsey, Hungría, Isla de Man, Irlanda, Islandia, Italia, Jersey, Letonia, Liechtenstein, Lituania, Luxemburgo, Malta, Noruega, Países Bajos, Polonia, Portugal, Reino Unido, República Checa, San Marino, Suecia, Suiza, Vaticano       </t>
        </r>
      </text>
    </comment>
    <comment ref="N52" authorId="0" shapeId="0">
      <text>
        <r>
          <rPr>
            <b/>
            <sz val="9"/>
            <color indexed="81"/>
            <rFont val="Tahoma"/>
            <family val="2"/>
          </rPr>
          <t xml:space="preserve">
Resto del mundo excluido Europa Plus</t>
        </r>
      </text>
    </comment>
    <comment ref="D53" authorId="1" shapeId="0">
      <text>
        <r>
          <rPr>
            <sz val="8"/>
            <color indexed="81"/>
            <rFont val="Tahoma"/>
            <family val="2"/>
          </rPr>
          <t>Albania, Argelia, Bielorrusia, Bosnia, Bulgaria, Croacia, Islas Feroe, Libia, Macedonia, Marruecos, Moldavia, Montenegro, Rumanía, Rusia, Sáhara Occidental, Serbia, Túnez, Turquía, Ucrania</t>
        </r>
      </text>
    </comment>
    <comment ref="N53" authorId="0" shapeId="0">
      <text>
        <r>
          <rPr>
            <b/>
            <sz val="9"/>
            <color indexed="81"/>
            <rFont val="Tahoma"/>
            <family val="2"/>
          </rPr>
          <t xml:space="preserve">
Resto del mundo excluido Europa Plus</t>
        </r>
      </text>
    </comment>
    <comment ref="D54" authorId="1" shapeId="0">
      <text>
        <r>
          <rPr>
            <sz val="8"/>
            <color indexed="81"/>
            <rFont val="Tahoma"/>
            <family val="2"/>
          </rPr>
          <t>Alaska, Anguila, Antigua y Barbuda, Bahamas, Barbados, Bermudas, Caimanes, Canadá,  Granada, Hawai, Islas Vírgenes Británicas, Islas Vírgenes Americanas, Jamaica, Monserrat, Puerto Rico, Rep. Dominicana, San Cristobal y Nieves, Santa Lucía, San Vicente y las Granadinas, Trinidad y Tobago, Turks y Caicos</t>
        </r>
      </text>
    </comment>
    <comment ref="D55" authorId="1" shapeId="0">
      <text>
        <r>
          <rPr>
            <sz val="8"/>
            <color indexed="81"/>
            <rFont val="Tahoma"/>
            <family val="2"/>
          </rPr>
          <t>Antillas Holandesas, Argentina, Aruba, Belice, Bolivia, Brasil, Chile, Colombia, Costa Rica, Cuba, Ecuador, El Salvador, Groenlandia, Guadalupe, Guatemala, Guayana, Guayana Francesa, Guinea Ecuatorial, Haití, Honduras, Malvinas, Martinica, México, Nicaragua, Panama, Paraguay, Peru, San Pedro y Miquelón, Surinam, Uruguay, Venezuela</t>
        </r>
      </text>
    </comment>
    <comment ref="D56" authorId="1" shapeId="0">
      <text>
        <r>
          <rPr>
            <sz val="8"/>
            <color indexed="81"/>
            <rFont val="Tahoma"/>
            <family val="2"/>
          </rPr>
          <t>Australia, Corea del Norte, Corea del Sur, Egipto, Filipinas, Honk Kong, India, Israel, Japón, Malasia, Mauritania, Nueva Zelanda, Singapur, Tailandia, Taiwan</t>
        </r>
      </text>
    </comment>
    <comment ref="D57" authorId="1" shapeId="0">
      <text>
        <r>
          <rPr>
            <sz val="8"/>
            <color indexed="81"/>
            <rFont val="Tahoma"/>
            <family val="2"/>
          </rPr>
          <t>Afganistán, Angola, Arabia Saudita, Armenia, Ascensión, Azerbaiyan, Bahrein, Bangladesh, Benin, Bhutan, Botswana, Brunei, Burkina Faso, Burundi, Cabo Verde, Camboya, Camerun, Comores Mayotte, Costa de Marfil, Chad, China, Diego García, Emiratos Árabes Unidos, Eritrea, Etiopía, Fiyi, Gabon, Gambia, Georgia, Ghana, Guam, Guinea, Guinea Bissau, Indonesia, Irán, Iraq, Islas Cook, Islas Marianas, Islas Marsall, Islas Mauricio, Islas Midway, Islas Salomón, Jordania, Kazaj Kirguizistán, Kazajistán, Kenia, Kiribati, Kuwait, Laos, Lesotho, Líbano, Liberia, Macao, Madagascar, Malawi, Maldivas, Mali, Micronesia, Mongolia, Mozambique, Myanmar, Namibia, Nauru, Nepal, Níger, Nigeria, Niue, Nueva Caledonia, Omán, Pakistán, Palau, Papua Nueva Guinea, Polinesia Francesa, Qatar, Rep. Centroafricana, Rep. Popular Congo, Reunión, Ruanda, Samoa Americana, Samoa Occidental, Santa Elena, Santo Tomé, Senegal, Seychelles, Sierra Leona, Siria, Somalia, Sri Lanka, Sudáfrica, Sudan, Swazilandia, Tadjikistán, Tanzania, Togo, Tokelau, Tonga, Turkmenistán, Tuvalu, Uganda, Uzbekistán, Vanuatu, Vietnam, Wallis y Futuna, Yemen, Yibuti, Zaire, Zambia, Zimbaue</t>
        </r>
      </text>
    </comment>
    <comment ref="K63" authorId="0" shapeId="0">
      <text>
        <r>
          <rPr>
            <sz val="9"/>
            <color indexed="81"/>
            <rFont val="Tahoma"/>
            <family val="2"/>
          </rPr>
          <t xml:space="preserve">
Alemania, Austria, Bélgica, Bulgaria, Chipre, Croacia, Dinamarca, Eslovaquia, Eslovenia, España(destino), Estonia, Finlandia, Francia, Gibraltar, Grecia, Isla de Guadalupe, Guayana Francesa, Holanda, Hungría, Irlanda, Islandia, Italia, Letonia, Liechtenstein, Lituania, Luxemburgo, Malta, Isla de Martinica, Noruega, Polonia, Portugal, Reino Unido, República Checa, Isla de Reunión, Rumanía, San Marino, Suecia, Vaticano </t>
        </r>
      </text>
    </comment>
    <comment ref="K64" authorId="1" shapeId="0">
      <text>
        <r>
          <rPr>
            <sz val="8"/>
            <color indexed="81"/>
            <rFont val="Tahoma"/>
            <family val="2"/>
          </rPr>
          <t>Alaska, Albania, Andorra, Argelia, Bermuda, Bosnia, Canadá, Guernsey, Islandia, Islas Feroe, Isla de Man, Jersey, Liechtenstein, Noruega, Macedonia, Marruecos, Montenegro, Serbia, Túnez, Turquía</t>
        </r>
      </text>
    </comment>
    <comment ref="K65"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List>
</comments>
</file>

<file path=xl/comments2.xml><?xml version="1.0" encoding="utf-8"?>
<comments xmlns="http://schemas.openxmlformats.org/spreadsheetml/2006/main">
  <authors>
    <author>LOPEZ DE FRANCISCO, Juan Miguel</author>
    <author>ALONSO SASTRE, Araceli</author>
    <author>Juan Miguel López</author>
  </authors>
  <commentList>
    <comment ref="P78" authorId="0" shapeId="0">
      <text>
        <r>
          <rPr>
            <sz val="9"/>
            <color indexed="81"/>
            <rFont val="Tahoma"/>
            <family val="2"/>
          </rPr>
          <t xml:space="preserve">La estimación no incluye la aplicación de descuento en líneas sin terminal subvencionado al estar agregado el tráfico; ese descuento se aplicará si se realiza el roaming en líneas sin terminal subvencionado. 
</t>
        </r>
      </text>
    </comment>
    <comment ref="AH78" authorId="1" shapeId="0">
      <text>
        <r>
          <rPr>
            <sz val="9"/>
            <color indexed="81"/>
            <rFont val="Tahoma"/>
            <family val="2"/>
          </rPr>
          <t xml:space="preserve">
Las cuotas generadas por Travel semanal no reciben descuentos. El resto de productos de roaming sí se benefician del descuento. </t>
        </r>
      </text>
    </comment>
    <comment ref="Z175" authorId="2" shapeId="0">
      <text>
        <r>
          <rPr>
            <sz val="8"/>
            <color indexed="81"/>
            <rFont val="Calibri"/>
            <family val="2"/>
            <scheme val="minor"/>
          </rPr>
          <t>Único Terminal para Redes internas Giga y Caudal de FTTH 200/200 (el resto de terminales para red LAN 10/100 Mbps)</t>
        </r>
      </text>
    </comment>
  </commentList>
</comments>
</file>

<file path=xl/comments3.xml><?xml version="1.0" encoding="utf-8"?>
<comments xmlns="http://schemas.openxmlformats.org/spreadsheetml/2006/main">
  <authors>
    <author>Joaquín Collado</author>
  </authors>
  <commentList>
    <comment ref="D40" authorId="0" shapeId="0">
      <text>
        <r>
          <rPr>
            <sz val="9"/>
            <color indexed="81"/>
            <rFont val="Tahoma"/>
            <family val="2"/>
          </rPr>
          <t>Si hay cabeceras, cumplimentar primero la fila 1, luego la 2 y luego la 3, eligiendo número nuevo o portado. Si no hay cabeceras, dejar en blanco las tres filas.</t>
        </r>
      </text>
    </comment>
  </commentList>
</comments>
</file>

<file path=xl/comments4.xml><?xml version="1.0" encoding="utf-8"?>
<comments xmlns="http://schemas.openxmlformats.org/spreadsheetml/2006/main">
  <authors>
    <author>LOPEZ DE FRANCISCO, Juan Miguel</author>
    <author>Juan Miguel López</author>
    <author>ALONSO SASTRE, Araceli</author>
  </authors>
  <commentList>
    <comment ref="J9" authorId="0" shapeId="0">
      <text>
        <r>
          <rPr>
            <b/>
            <sz val="9"/>
            <color indexed="81"/>
            <rFont val="Tahoma"/>
            <family val="2"/>
          </rPr>
          <t>Las cuotas de TT incluyen "preaprobada" porque se activa automáticamente en función de total de productos Tranquilidad activados</t>
        </r>
        <r>
          <rPr>
            <sz val="9"/>
            <color indexed="81"/>
            <rFont val="Tahoma"/>
            <family val="2"/>
          </rPr>
          <t xml:space="preserve">
</t>
        </r>
      </text>
    </comment>
    <comment ref="J10" authorId="0" shapeId="0">
      <text>
        <r>
          <rPr>
            <b/>
            <sz val="9"/>
            <color indexed="81"/>
            <rFont val="Tahoma"/>
            <family val="2"/>
          </rPr>
          <t>Las cuotas de TT incluyen "preaprobada" porque se activa automáticamente en función de total de productos Tranquilidad activados</t>
        </r>
      </text>
    </comment>
    <comment ref="J11" authorId="0" shapeId="0">
      <text>
        <r>
          <rPr>
            <b/>
            <sz val="9"/>
            <color indexed="81"/>
            <rFont val="Tahoma"/>
            <family val="2"/>
          </rPr>
          <t>Las cuotas de TT incluyen "preaprobada" porque se activa automáticamente en función de total de productos Tranquilidad activados</t>
        </r>
        <r>
          <rPr>
            <sz val="9"/>
            <color indexed="81"/>
            <rFont val="Tahoma"/>
            <family val="2"/>
          </rPr>
          <t xml:space="preserve">
</t>
        </r>
      </text>
    </comment>
    <comment ref="AD100" authorId="1" shapeId="0">
      <text>
        <r>
          <rPr>
            <sz val="9"/>
            <color indexed="81"/>
            <rFont val="Tahoma"/>
            <family val="2"/>
          </rPr>
          <t>El primer Cpyme activado no lleva descuento. No se sabe cuál se activará primero. Para estimar el descuento total por multisede, no sumamos el mayor descuento de entre todos los que haya. Así, la factura real del cliente será igual o mejor que lo presentado en esta oferta</t>
        </r>
      </text>
    </comment>
    <comment ref="AG132" authorId="2" shapeId="0">
      <text>
        <r>
          <rPr>
            <b/>
            <sz val="9"/>
            <color indexed="81"/>
            <rFont val="Tahoma"/>
            <family val="2"/>
          </rPr>
          <t>ALONSO SASTRE, Araceli:</t>
        </r>
        <r>
          <rPr>
            <sz val="9"/>
            <color indexed="81"/>
            <rFont val="Tahoma"/>
            <family val="2"/>
          </rPr>
          <t xml:space="preserve">
cambiamos abono de 120 a 80 pq es el doble de la cuota (antes la cuota era 60 y en agosto-2015 baja a 40)</t>
        </r>
      </text>
    </comment>
  </commentList>
</comments>
</file>

<file path=xl/comments5.xml><?xml version="1.0" encoding="utf-8"?>
<comments xmlns="http://schemas.openxmlformats.org/spreadsheetml/2006/main">
  <authors>
    <author>AAlonsoS</author>
    <author>Juan Miguel Lopez</author>
    <author>ALONSO SASTRE, Araceli</author>
    <author>jmlopezf</author>
    <author>LOPEZ DE FRANCISCO, Juan Miguel</author>
    <author>Cesar Augusto Carabali</author>
  </authors>
  <commentList>
    <comment ref="E14" authorId="0" shapeId="0">
      <text>
        <r>
          <rPr>
            <b/>
            <sz val="10"/>
            <color indexed="81"/>
            <rFont val="Tahoma"/>
            <family val="2"/>
          </rPr>
          <t>Modificado 1/7/2013</t>
        </r>
      </text>
    </comment>
    <comment ref="K15" authorId="1" shapeId="0">
      <text>
        <r>
          <rPr>
            <b/>
            <sz val="8"/>
            <color indexed="81"/>
            <rFont val="Tahoma"/>
            <family val="2"/>
          </rPr>
          <t>Juan Miguel Lopez:</t>
        </r>
        <r>
          <rPr>
            <sz val="8"/>
            <color indexed="81"/>
            <rFont val="Tahoma"/>
            <family val="2"/>
          </rPr>
          <t xml:space="preserve">
Para el tráfico en zona 1 computo los minutos que exceden el primero. Una forma de hacerlo es quitando a los minutos el total de llamadas (1min/llamada&gt;el número de minutos a quitar es el mismo que el número de llamadas que haya)
</t>
        </r>
      </text>
    </comment>
    <comment ref="L20"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I22"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I23"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K23" authorId="2" shapeId="0">
      <text>
        <r>
          <rPr>
            <b/>
            <sz val="9"/>
            <color indexed="81"/>
            <rFont val="Tahoma"/>
            <family val="2"/>
          </rPr>
          <t>ALONSO SASTRE, Araceli:</t>
        </r>
        <r>
          <rPr>
            <sz val="9"/>
            <color indexed="81"/>
            <rFont val="Tahoma"/>
            <family val="2"/>
          </rPr>
          <t xml:space="preserve">
subida de precios oct2014 iniciativas de ingresos</t>
        </r>
      </text>
    </comment>
    <comment ref="L23" authorId="1" shapeId="0">
      <text>
        <r>
          <rPr>
            <sz val="8"/>
            <color indexed="81"/>
            <rFont val="Tahoma"/>
            <family val="2"/>
          </rPr>
          <t>Albania, Argelia, Bielorrusia, Bosnia, Bulgaria, Croacia, Islas Feroe, Libia, Macedonia, Marruecos, Moldavia, Montenegro, Rumanía, Rusia, Sáhara Occidental, Serbia, Túnez, Turquía, Ucrania</t>
        </r>
      </text>
    </comment>
    <comment ref="I24"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L24" authorId="1" shapeId="0">
      <text>
        <r>
          <rPr>
            <sz val="8"/>
            <color indexed="81"/>
            <rFont val="Tahoma"/>
            <family val="2"/>
          </rPr>
          <t>Alaska, Anguila, Antigua y Barbuda, Bahamas, Barbados, Bermudas, Caimanes, Canadá, 
 Granada, Hawai, Islas Vírgenes Británicas, Islas Vírgenes Americanas, Jamaica, Monserrat, Puerto Rico, Rep. Dominicana, San Cristobal y Nieves, Santa Lucía, San Vicente y las Granadinas, Trinidad y Tobago, Turks y Caicos</t>
        </r>
      </text>
    </comment>
    <comment ref="L25" authorId="1" shapeId="0">
      <text>
        <r>
          <rPr>
            <sz val="8"/>
            <color indexed="81"/>
            <rFont val="Tahoma"/>
            <family val="2"/>
          </rPr>
          <t>Antillas Holandesas, Argentina, Aruba, Belice, Bolivia, Brasil, Chile, Colombia, Costa Rica, Cuba, Ecuador, El Salvador, Groenlandia, Guadalupe, Guatemala, Guayana, Guayana Francesa, Guinea Ecuatorial, Haití, Honduras, Malvinas, Martinica, México, Nicaragua, Panama, Paraguay, Peru, San Pedro y Miquelón, Surinam, Uruguay, Venezuela</t>
        </r>
      </text>
    </comment>
    <comment ref="L26" authorId="1" shapeId="0">
      <text>
        <r>
          <rPr>
            <sz val="8"/>
            <color indexed="81"/>
            <rFont val="Tahoma"/>
            <family val="2"/>
          </rPr>
          <t>Australia, Corea del Norte, Corea del Sur, Egipto, Filipinas, Honk Kong, India, Israel, Japón, Malasia, Mauritania, Nueva Zelanda, Singapur, Tailandia, Taiwan</t>
        </r>
      </text>
    </comment>
    <comment ref="L27" authorId="1" shapeId="0">
      <text>
        <r>
          <rPr>
            <sz val="8"/>
            <color indexed="81"/>
            <rFont val="Tahoma"/>
            <family val="2"/>
          </rPr>
          <t>Afganistán, Angola, Arabia Saudita, Armenia, Ascensión, Azerbaiyan, Bahrein, Bangladesh, Benin, Bhutan, Botswana, Brunei, Burkina Faso, Burundi, Cabo Verde, Camboya, Camerun, Comores Mayotte, Costa de Marfil, Chad, China, Diego García, Emiratos Árabes Unidos, Eritrea, Etiopía, Fiyi, Gabon, Gambia, Georgia, Ghana, Guam, Guinea, Guinea Bissau, Indonesia, Irán, Iraq, Islas Cook, Islas Marianas, Islas Marsall, Islas Mauricio, Islas Midway, Islas Salomón, Jordania, Kazaj Kirguizistán, Kazajistán, Kenia, Kiribati, Kuwait, Laos, Lesotho, Líbano, Liberia, Macao, Madagascar, Malawi, Maldivas, Mali, Micronesia, Mongolia, Mozambique, Myanmar, Namibia, Nauru, Nepal, Níger, Nigeria, Niue, Nueva Caledonia, Omán, Pakistán, Palau, Papua Nueva Guinea, Polinesia Francesa, Qatar, Rep. Centroafricana, Rep. Popular Congo, Reunión, Ruanda, Samoa Americana, Samoa Occidental, Santa Elena, Santo Tomé, Senegal, Seychelles, Sierra Leona, Siria, Somalia, Sri Lanka, Sudáfrica, Sudan, Swazilandia, Tadjikistán, Tanzania, Togo, Tokelau, Tonga, Turkmenistán, Tuvalu, Uganda, Uzbekistán, Vanuatu, Vietnam, Wallis y Futuna, Yemen, Yibuti, Zaire, Zambia, Zimbaue</t>
        </r>
      </text>
    </comment>
    <comment ref="I28"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K28" authorId="1" shapeId="0">
      <text>
        <r>
          <rPr>
            <b/>
            <sz val="8"/>
            <color indexed="81"/>
            <rFont val="Tahoma"/>
            <family val="2"/>
          </rPr>
          <t>Juan Miguel Lopez:</t>
        </r>
        <r>
          <rPr>
            <sz val="8"/>
            <color indexed="81"/>
            <rFont val="Tahoma"/>
            <family val="2"/>
          </rPr>
          <t xml:space="preserve">
Facturación por segundos y nueva tarifa desde Julio 2010</t>
        </r>
      </text>
    </comment>
    <comment ref="I29"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K29" authorId="2" shapeId="0">
      <text>
        <r>
          <rPr>
            <b/>
            <sz val="9"/>
            <color indexed="81"/>
            <rFont val="Tahoma"/>
            <family val="2"/>
          </rPr>
          <t>ALONSO SASTRE, Araceli:</t>
        </r>
        <r>
          <rPr>
            <sz val="9"/>
            <color indexed="81"/>
            <rFont val="Tahoma"/>
            <family val="2"/>
          </rPr>
          <t xml:space="preserve">
subida de precios oct2014 iniciativas de ingresos</t>
        </r>
      </text>
    </comment>
    <comment ref="L29"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I30"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F31" authorId="3" shapeId="0">
      <text>
        <r>
          <rPr>
            <b/>
            <sz val="8"/>
            <color indexed="81"/>
            <rFont val="Tahoma"/>
            <family val="2"/>
          </rPr>
          <t>jmlopezf:</t>
        </r>
        <r>
          <rPr>
            <sz val="8"/>
            <color indexed="81"/>
            <rFont val="Tahoma"/>
            <family val="2"/>
          </rPr>
          <t xml:space="preserve">
Este dato es el equivalente a las líneas móviles que el cliente inicialmente tiene: las de fijo que convierte a móvil (y cuyo MoU va a contar para situarle en la matriz de preaprobadas) y las de móvil.
Las nuevas, que son las que reducirían el MoU son las que incrementalmente contrate</t>
        </r>
      </text>
    </comment>
    <comment ref="K31" authorId="4" shapeId="0">
      <text>
        <r>
          <rPr>
            <sz val="9"/>
            <color indexed="81"/>
            <rFont val="Tahoma"/>
            <family val="2"/>
          </rPr>
          <t>Al coste de MTC que pasa regulación le sumo el de internacional pues en realidad ese coste ese existe aunque no esté contemplado en el MTC</t>
        </r>
      </text>
    </comment>
    <comment ref="I32"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K32" authorId="5" shapeId="0">
      <text>
        <r>
          <rPr>
            <sz val="8"/>
            <color indexed="81"/>
            <rFont val="Tahoma"/>
            <family val="2"/>
          </rPr>
          <t xml:space="preserve">ACTUALIZADOS SEPT 2013
</t>
        </r>
      </text>
    </comment>
    <comment ref="L32" authorId="1" shapeId="0">
      <text>
        <r>
          <rPr>
            <sz val="8"/>
            <color indexed="81"/>
            <rFont val="Tahoma"/>
            <family val="2"/>
          </rPr>
          <t>Albania, Argelia, Bielorrusia, Bosnia, Bulgaria, Croacia, Islas Feroe, Libia, Macedonia, Marruecos, Moldavia, Montenegro, Rumanía, Rusia, Sáhara Occidental, Serbia, Túnez, Turquía, Ucrania</t>
        </r>
      </text>
    </comment>
    <comment ref="L33" authorId="1" shapeId="0">
      <text>
        <r>
          <rPr>
            <sz val="8"/>
            <color indexed="81"/>
            <rFont val="Tahoma"/>
            <family val="2"/>
          </rPr>
          <t>Alaska, Anguila, Antigua y Barbuda, Bahamas, Barbados, Bermudas, Caimanes, Canadá, 
 Granada, Hawai, Islas Vírgenes Británicas, Islas Vírgenes Americanas, Jamaica, Monserrat, Puerto Rico, Rep. Dominicana, San Cristobal y Nieves, Santa Lucía, San Vicente y las Granadinas, Trinidad y Tobago, Turks y Caicos</t>
        </r>
      </text>
    </comment>
    <comment ref="L34" authorId="1" shapeId="0">
      <text>
        <r>
          <rPr>
            <sz val="8"/>
            <color indexed="81"/>
            <rFont val="Tahoma"/>
            <family val="2"/>
          </rPr>
          <t>Antillas Holandesas, Argentina, Aruba, Belice, Bolivia, Brasil, Chile, Colombia, Costa Rica, Cuba, Ecuador, El Salvador, Groenlandia, Guadalupe, Guatemala, Guayana, Guayana Francesa, Guinea Ecuatorial, Haití, Honduras, Malvinas, Martinica, México, Nicaragua, Panama, Paraguay, Peru, San Pedro y Miquelón, Surinam, Uruguay, Venezuela</t>
        </r>
      </text>
    </comment>
    <comment ref="I35"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L35" authorId="1" shapeId="0">
      <text>
        <r>
          <rPr>
            <sz val="8"/>
            <color indexed="81"/>
            <rFont val="Tahoma"/>
            <family val="2"/>
          </rPr>
          <t>Australia, Corea del Norte, Corea del Sur, Egipto, Filipinas, Honk Kong, India, Israel, Japón, Malasia, Mauritania, Nueva Zelanda, Singapur, Tailandia, Taiwan</t>
        </r>
      </text>
    </comment>
    <comment ref="I36"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L36" authorId="1" shapeId="0">
      <text>
        <r>
          <rPr>
            <sz val="8"/>
            <color indexed="81"/>
            <rFont val="Tahoma"/>
            <family val="2"/>
          </rPr>
          <t>Afganistán, Angola, Arabia Saudita, Armenia, Ascensión, Azerbaiyan, Bahrein, Bangladesh, Benin, Bhutan, Botswana, Brunei, Burkina Faso, Burundi, Cabo Verde, Camboya, Camerun, Comores Mayotte, Costa de Marfil, Chad, China, Diego García, Emiratos Árabes Unidos, Eritrea, Etiopía, Fiyi, Gabon, Gambia, Georgia, Ghana, Guam, Guinea, Guinea Bissau, Indonesia, Irán, Iraq, Islas Cook, Islas Marianas, Islas Marsall, Islas Mauricio, Islas Midway, Islas Salomón, Jordania, Kazaj Kirguizistán, Kazajistán, Kenia, Kiribati, Kuwait, Laos, Lesotho, Líbano, Liberia, Macao, Madagascar, Malawi, Maldivas, Mali, Micronesia, Mongolia, Mozambique, Myanmar, Namibia, Nauru, Nepal, Níger, Nigeria, Niue, Nueva Caledonia, Omán, Pakistán, Palau, Papua Nueva Guinea, Polinesia Francesa, Qatar, Rep. Centroafricana, Rep. Popular Congo, Reunión, Ruanda, Samoa Americana, Samoa Occidental, Santa Elena, Santo Tomé, Senegal, Seychelles, Sierra Leona, Siria, Somalia, Sri Lanka, Sudáfrica, Sudan, Swazilandia, Tadjikistán, Tanzania, Togo, Tokelau, Tonga, Turkmenistán, Tuvalu, Uganda, Uzbekistán, Vanuatu, Vietnam, Wallis y Futuna, Yemen, Yibuti, Zaire, Zambia, Zimbaue</t>
        </r>
      </text>
    </comment>
    <comment ref="I38" authorId="1" shapeId="0">
      <text>
        <r>
          <rPr>
            <sz val="8"/>
            <color indexed="81"/>
            <rFont val="Tahoma"/>
            <family val="2"/>
          </rPr>
          <t xml:space="preserve">Alemania, Austria, Bélgica, Bulgaria, Chipre, Dinamarca, Eslovaquia, Eslovenia, España (como destino), Estonia, Filandia, Francia, Gibraltar (como destino), Grecia, Isla de Guadalupe, Guayana Francesa, Hungría, Irlanda, Italia, Letonia, Lituania, Luxemburgo, Malta, Isla de Martinica, Mónaco (bajo cobertura de operadores franceses), Países Bajos, Polonia, Portugal, República Checa, Reino Unido, Isla de Reunión, Rumanía, San Marino (bajo cobertura de operadores italianos), Suecia y Vaticano (bajo cobertura de operadores italianos).
</t>
        </r>
      </text>
    </comment>
    <comment ref="K38" authorId="1" shapeId="0">
      <text>
        <r>
          <rPr>
            <sz val="8"/>
            <color indexed="81"/>
            <rFont val="Tahoma"/>
            <family val="2"/>
          </rPr>
          <t>ACTUALIZADOS SEPT 2013. 
Coste regulado</t>
        </r>
      </text>
    </comment>
    <comment ref="L39"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I41" authorId="1" shapeId="0">
      <text>
        <r>
          <rPr>
            <sz val="8"/>
            <color indexed="81"/>
            <rFont val="Tahoma"/>
            <family val="2"/>
          </rPr>
          <t>Alaska, Albania, Andorra, Argelia, Bermuda, Bosnia, Canadá, Croacia,  Guernsey, Islandia, Islas Feroe, Isla de Man, Jersey, Liechtenstein, Noruega, Macedonia, Marruecos, Montenegro, Serbia, Suiza, Túnez, Turquía</t>
        </r>
      </text>
    </comment>
    <comment ref="I42" authorId="1" shapeId="0">
      <text>
        <r>
          <rPr>
            <sz val="8"/>
            <color indexed="81"/>
            <rFont val="Tahoma"/>
            <family val="2"/>
          </rPr>
          <t>Afganistán, Anguila, Antigua y Barbuda, Antillas Holandesas (Sint Maarten / San Martín), Arabia Saudí, Argentina, Aruba, Australia, Azerbaiyan, Bahrein, Bangladesh, Barbados (Islas), Belice, Bielorrusia, Bolivia, Botsuana, Brasil, Burundi,  Cabo Verde, Camboya, Camerún, Caimán (Islas), Chile, Colombia, Congo, República Democrática del Congo, Corea del Sur, Costa de Marfil, Costa Rica, Cuba, Ecuador, Egipto, El Salvador, Emiratos Árabes, Filipinas, Georgia, Granada, Guadalupe (Antillas Fr.), Guatemala, Guayana Francesa (Antillas Fr.), Guinea Ecuatorial, Honduras, Hong Kong, Indonesia, Irak, Israel, Jamaica, Japón, Jordania, Kazajstán, Kenia, Kirzgistán, Kuwait, La India, Líbano, Macao, Madagascar, Malasia, Malawi, Mali, Martinica (Antillas Fr.), Mauricio (Isla), Mauritania, México, Moldavia, Mozambique, Namibia, Nigeria, Nueva Zelanda, Omán, Pakistán, Palestina, Panamá, Paraguay, Perú, Puerto Rico, República Dominicana, Reunión (Isla), Rusia, San Cristóbal y Nevis, San Martín (Antillas Fr.), San Vicente y las Granadinas, Santa Lucía, Senegal, Seychelles (Islas), Singapur, Siria, Sri Lanka, Suráfrica, Tailandia, Taiwán, Tayikistán, Tanzania,Trinidad y Tobago,  Ucrania, Uganda, Uruguay, Uzbekistán,  Venezuela, Vietnám, Yemen, Zimbaue</t>
        </r>
      </text>
    </comment>
    <comment ref="I44"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K44" authorId="4" shapeId="0">
      <text>
        <r>
          <rPr>
            <sz val="9"/>
            <color indexed="81"/>
            <rFont val="Tahoma"/>
            <family val="2"/>
          </rPr>
          <t>Modificado 1/7/2013</t>
        </r>
      </text>
    </comment>
    <comment ref="L44" authorId="1" shapeId="0">
      <text>
        <r>
          <rPr>
            <sz val="8"/>
            <color indexed="81"/>
            <rFont val="Tahoma"/>
            <family val="2"/>
          </rPr>
          <t>Alemania, Austria, Bélgica, Chipre, Dinamarca, Eslovenia, Estonia, Finlandia, Francia, Gibraltar, Grecia, Hungría, Irlanda, Islandia, Italia, Letonia, Liechtenstein, Lituania, Luxemburgo, Malta, Mónaco, Noruega, Países Bajos, Polonia, Portugal, Reino Unido, República Checa, República Eslovaca, San Marino, Suecia, Suiza, Vaticano</t>
        </r>
      </text>
    </comment>
    <comment ref="M44" authorId="4" shapeId="0">
      <text>
        <r>
          <rPr>
            <b/>
            <sz val="9"/>
            <color indexed="81"/>
            <rFont val="Tahoma"/>
            <family val="2"/>
          </rPr>
          <t xml:space="preserve">Modificado 1/7/2014
</t>
        </r>
        <r>
          <rPr>
            <sz val="9"/>
            <color indexed="81"/>
            <rFont val="Tahoma"/>
            <family val="2"/>
          </rPr>
          <t xml:space="preserve">
</t>
        </r>
      </text>
    </comment>
    <comment ref="N44" authorId="4" shapeId="0">
      <text>
        <r>
          <rPr>
            <b/>
            <sz val="9"/>
            <color indexed="81"/>
            <rFont val="Tahoma"/>
            <family val="2"/>
          </rPr>
          <t xml:space="preserve">Modificado 1/7/2014
</t>
        </r>
        <r>
          <rPr>
            <sz val="9"/>
            <color indexed="81"/>
            <rFont val="Tahoma"/>
            <family val="2"/>
          </rPr>
          <t xml:space="preserve">
</t>
        </r>
      </text>
    </comment>
    <comment ref="K45" authorId="4" shapeId="0">
      <text>
        <r>
          <rPr>
            <sz val="9"/>
            <color indexed="81"/>
            <rFont val="Tahoma"/>
            <family val="2"/>
          </rPr>
          <t>Modificado 1/7/2013</t>
        </r>
      </text>
    </comment>
    <comment ref="M45" authorId="4" shapeId="0">
      <text>
        <r>
          <rPr>
            <b/>
            <sz val="9"/>
            <color indexed="81"/>
            <rFont val="Tahoma"/>
            <family val="2"/>
          </rPr>
          <t>Modificado 1/7/2013</t>
        </r>
        <r>
          <rPr>
            <sz val="9"/>
            <color indexed="81"/>
            <rFont val="Tahoma"/>
            <family val="2"/>
          </rPr>
          <t xml:space="preserve">
</t>
        </r>
      </text>
    </comment>
    <comment ref="N45" authorId="4" shapeId="0">
      <text>
        <r>
          <rPr>
            <b/>
            <sz val="9"/>
            <color indexed="81"/>
            <rFont val="Tahoma"/>
            <family val="2"/>
          </rPr>
          <t>Modificado 1/7/2013</t>
        </r>
        <r>
          <rPr>
            <sz val="9"/>
            <color indexed="81"/>
            <rFont val="Tahoma"/>
            <family val="2"/>
          </rPr>
          <t xml:space="preserve">
</t>
        </r>
      </text>
    </comment>
    <comment ref="B53" authorId="3" shapeId="0">
      <text>
        <r>
          <rPr>
            <b/>
            <sz val="8"/>
            <color indexed="81"/>
            <rFont val="Tahoma"/>
            <family val="2"/>
          </rPr>
          <t>jmlopezf:</t>
        </r>
        <r>
          <rPr>
            <sz val="8"/>
            <color indexed="81"/>
            <rFont val="Tahoma"/>
            <family val="2"/>
          </rPr>
          <t xml:space="preserve">
De acuerdo con CdG y según se hace en la Ptool no se imputan ingresos de icx en roaming e internacional</t>
        </r>
      </text>
    </comment>
    <comment ref="D83" authorId="3" shapeId="0">
      <text>
        <r>
          <rPr>
            <b/>
            <sz val="8"/>
            <color indexed="81"/>
            <rFont val="Tahoma"/>
            <family val="2"/>
          </rPr>
          <t>jmlopezf:</t>
        </r>
        <r>
          <rPr>
            <sz val="8"/>
            <color indexed="81"/>
            <rFont val="Tahoma"/>
            <family val="2"/>
          </rPr>
          <t xml:space="preserve">
Cuando hay oficina vodafone, estimo cuánto del tráfico a fijos tiene su origen en extensiones fijas y se lo asocio a las extensiones fijas, no a los móviles
</t>
        </r>
      </text>
    </comment>
    <comment ref="I189" authorId="2" shapeId="0">
      <text>
        <r>
          <rPr>
            <b/>
            <sz val="9"/>
            <color indexed="81"/>
            <rFont val="Tahoma"/>
            <family val="2"/>
          </rPr>
          <t>Zona Travel semanal:</t>
        </r>
        <r>
          <rPr>
            <sz val="9"/>
            <color indexed="81"/>
            <rFont val="Tahoma"/>
            <family val="2"/>
          </rPr>
          <t xml:space="preserve">
Argentina, Australia, Bolivia, Brasil, Canadá, Chile, Colombia, Ecuador, El Salvador, Guatemala, Honduras, Hong Kong, India, Japón, México, Marruecos, Nicaragua, Nigeria, Paraguay, Perú, Qatar, Rep. Dominicana, Rusia, Singapur, Sudáfrica, Tailandia, Túnez,  Turquía, Venezuela
</t>
        </r>
      </text>
    </comment>
    <comment ref="I191" authorId="2" shapeId="0">
      <text>
        <r>
          <rPr>
            <b/>
            <sz val="9"/>
            <color indexed="81"/>
            <rFont val="Tahoma"/>
            <family val="2"/>
          </rPr>
          <t xml:space="preserve">Zona Travel semanal:
</t>
        </r>
        <r>
          <rPr>
            <sz val="9"/>
            <color indexed="81"/>
            <rFont val="Tahoma"/>
            <family val="2"/>
          </rPr>
          <t>Argentina, Australia, Bolivia, Brasil, Canadá, Chile, Colombia, Ecuador, El Salvador, Guatemala, Honduras, Hong Kong, India, Japón, México, Marruecos, Nicaragua, Nigeria, Paraguay, Perú, Qatar, Rep. Dominicana, Rusia, Singapur, Sudáfrica, Tailandia, Túnez,  Turquía, Venezuela</t>
        </r>
      </text>
    </comment>
    <comment ref="I192" authorId="2" shapeId="0">
      <text>
        <r>
          <rPr>
            <b/>
            <sz val="9"/>
            <color indexed="81"/>
            <rFont val="Tahoma"/>
            <family val="2"/>
          </rPr>
          <t xml:space="preserve">Europa Plus: 
</t>
        </r>
        <r>
          <rPr>
            <sz val="9"/>
            <color indexed="81"/>
            <rFont val="Tahoma"/>
            <family val="2"/>
          </rPr>
          <t>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Mónaco, Noruega, Polonia, Portugal, Reino Unido, República Checa, Isla Reunión, Rumanía, San Marino, Suecia, Suiza, Ciudad del Vaticano</t>
        </r>
      </text>
    </comment>
    <comment ref="I193" authorId="2" shapeId="0">
      <text>
        <r>
          <rPr>
            <b/>
            <sz val="9"/>
            <color indexed="81"/>
            <rFont val="Tahoma"/>
            <family val="2"/>
          </rPr>
          <t xml:space="preserve">Europa Plus:
</t>
        </r>
        <r>
          <rPr>
            <sz val="9"/>
            <color indexed="81"/>
            <rFont val="Tahoma"/>
            <family val="2"/>
          </rPr>
          <t xml:space="preserve">
Alemania, Austria, Bélgica, Bulgaria, China, Chipre, Croacia, Dinamarca, Eslovaquia, Eslovenia, España (roaming hacia España desde otro país de la zona), Estados Unidos, Estonia, Finlandia, Francia, Gibraltar, Grecia, Guadalupe, Guayana Francesa, Guernsey, Holanda, Hungría, Irlanda, Islandia, Italia, Islas Feroe, Islas Aland, Isla de Man, Isla de Jersey, Letonia, Liechtenstein, Lituania, Luxemburgo, Madeira, Malta, Martinica, Mónaco, Noruega, Polonia, Portugal, Reino Unido, República Checa, Isla Reunión, Rumanía, San Marino, Suecia, Suiza, Ciudad del Vaticano</t>
        </r>
      </text>
    </comment>
    <comment ref="I194" authorId="2" shapeId="0">
      <text>
        <r>
          <rPr>
            <b/>
            <sz val="9"/>
            <color indexed="81"/>
            <rFont val="Tahoma"/>
            <family val="2"/>
          </rPr>
          <t xml:space="preserve">
Resto del mundo excluido Europa Plus</t>
        </r>
      </text>
    </comment>
    <comment ref="I195" authorId="2" shapeId="0">
      <text>
        <r>
          <rPr>
            <b/>
            <sz val="9"/>
            <color indexed="81"/>
            <rFont val="Tahoma"/>
            <family val="2"/>
          </rPr>
          <t xml:space="preserve">
Resto del mundo excluido Europa Plus</t>
        </r>
      </text>
    </comment>
  </commentList>
</comments>
</file>

<file path=xl/sharedStrings.xml><?xml version="1.0" encoding="utf-8"?>
<sst xmlns="http://schemas.openxmlformats.org/spreadsheetml/2006/main" count="7775" uniqueCount="2085">
  <si>
    <t>Resto de Europa, Magreb y Canadá</t>
  </si>
  <si>
    <t>Número medio de días al mes que hacen roaming:</t>
  </si>
  <si>
    <t>Tarifas estándares internacional</t>
  </si>
  <si>
    <t>Tarifas estándares roaming recibido</t>
  </si>
  <si>
    <t>Tarifas estándares roaming realizado</t>
  </si>
  <si>
    <t>Media uso roaming</t>
  </si>
  <si>
    <t>minutos/mes</t>
  </si>
  <si>
    <t>días/mes</t>
  </si>
  <si>
    <t>Medias de uso para la estimación de pagos en roaming si el usuario no introduce datos en la hoja de "Entrada de datos":</t>
  </si>
  <si>
    <t>Usuarios que hacen roaming</t>
  </si>
  <si>
    <t>Teórico</t>
  </si>
  <si>
    <t>Real</t>
  </si>
  <si>
    <t>Días con roaming</t>
  </si>
  <si>
    <t>En caso de desconocerse el dato, la herramienta asumirá la media de mercado, 3 días/mes</t>
  </si>
  <si>
    <t>Uso diario (min/usuario)</t>
  </si>
  <si>
    <t>Cuota bono</t>
  </si>
  <si>
    <t>Número de bonos por día</t>
  </si>
  <si>
    <t>Pago en bonos roaming</t>
  </si>
  <si>
    <t>Accesibilidad a RfB a medida</t>
  </si>
  <si>
    <t>Criterios</t>
  </si>
  <si>
    <t>Facturación roam out zonas no Travel Pyme &gt;=</t>
  </si>
  <si>
    <t>Facturación total con Orange&gt;=</t>
  </si>
  <si>
    <t>Peso fact roam out zonas no Travel s/total &gt;=</t>
  </si>
  <si>
    <t>Caso cliente</t>
  </si>
  <si>
    <t>Facturación roam out zonas no Travel Pyme</t>
  </si>
  <si>
    <t>¿cumple?</t>
  </si>
  <si>
    <t>real</t>
  </si>
  <si>
    <t>Peso fact roam out zonas no Travel s/total</t>
  </si>
  <si>
    <t>Posibilidad de oferta a medida</t>
  </si>
  <si>
    <t>Facturación total con Orange (preaprobadas)</t>
  </si>
  <si>
    <t>Mínimo tamaño de cliente (líneas)</t>
  </si>
  <si>
    <t>Mínimo tamaño de cliente (líneas)&gt;=</t>
  </si>
  <si>
    <t>Extensiones</t>
  </si>
  <si>
    <t>Tráfico medio</t>
  </si>
  <si>
    <t>Móviles consolidados</t>
  </si>
  <si>
    <t>Los módulos para líneas con movilidad no tienen porqué ser "extensiones convertidas a líneas móviles consolidadadas", pueden sumar más si lo ponen en líneas móviles puras</t>
  </si>
  <si>
    <t>Por tanto, no hay forma de saber cuántos móviles suman el tráfico de origen fijo y móvil</t>
  </si>
  <si>
    <t>Asumo que cada TP global absorbe la suma de una línea móvil y una extensión. Por tanto, es un caso en el que con menos TPGlobales de las que pueden ser necesarias se absorberá todo el tráfico.</t>
  </si>
  <si>
    <t>Tráfico por línea móvil+fijo</t>
  </si>
  <si>
    <t>Minutos con origen móvil</t>
  </si>
  <si>
    <t>Llamadas con origen móvil</t>
  </si>
  <si>
    <t>Llamadas con origen fijo</t>
  </si>
  <si>
    <t>Llamadas totales</t>
  </si>
  <si>
    <t>Minutos totales</t>
  </si>
  <si>
    <t>Núm líneas voz móviles totales</t>
  </si>
  <si>
    <t>RESUMEN: Perfil de consumo de telefonía fija del cliente</t>
  </si>
  <si>
    <t>Número de accesos fijos</t>
  </si>
  <si>
    <t>Coste total</t>
  </si>
  <si>
    <t>Coste medio por línea</t>
  </si>
  <si>
    <t>Número de usuarios de sólo fijo</t>
  </si>
  <si>
    <t>Penalización</t>
  </si>
  <si>
    <t>Total cuotas</t>
  </si>
  <si>
    <t>Coste medio por usuario de sólo fijo</t>
  </si>
  <si>
    <t>Internacional-Voz</t>
  </si>
  <si>
    <t>Roaming Recibido-Voz</t>
  </si>
  <si>
    <t>Roaming Realizado-Voz</t>
  </si>
  <si>
    <t>desde fijo a 902</t>
  </si>
  <si>
    <t>mvs a 902</t>
  </si>
  <si>
    <t>orange a 902</t>
  </si>
  <si>
    <t>nivel 1</t>
  </si>
  <si>
    <t>nivel 2</t>
  </si>
  <si>
    <t>cálculo del diferencial de precio en el cobro de llamadas a números especiales entre hacerlo desde el fijo y desde el móvil</t>
  </si>
  <si>
    <t xml:space="preserve">  Otros Operadores</t>
  </si>
  <si>
    <t>Oficina Vodafone</t>
  </si>
  <si>
    <t>Líneas de perfil fijo</t>
  </si>
  <si>
    <t>Sí: puede poner un terminal fijo a quien no tenía. ES UN CASO TÍPICO DE OFICINA VODAFONE!!!!!!!!!</t>
  </si>
  <si>
    <t>Asumo que no, que es tráfico que antes se hacía desde el móvil o desde otra extensión fija. SÍ METO EL DE OFICINA VODAFONE</t>
  </si>
  <si>
    <t>Facturación del tráfico final con su actual operador</t>
  </si>
  <si>
    <t>Móvil</t>
  </si>
  <si>
    <t>Fijo (es el que tuviera en origen, no varía con el número de extensiones)</t>
  </si>
  <si>
    <t>Distribuidor</t>
  </si>
  <si>
    <t>Teléfono</t>
  </si>
  <si>
    <t>% Tráfico fijo</t>
  </si>
  <si>
    <t>INDICAR EL % DEL TOTAL DE TRÁFICO FIJO QUE ES REALIZADO POR ESTAS LÍNEAS</t>
  </si>
  <si>
    <t>TARIFAS BASE INTERNACIONAL</t>
  </si>
  <si>
    <t>Apoderado</t>
  </si>
  <si>
    <t>CÁLCULO DE TRÁFICOS</t>
  </si>
  <si>
    <t>Hasta la versión 3.0. las portadas absorbían todo el tráfico (supongo que si no porta alguna es porque es inactiva en origen). Desde la 3.0. lo cambio y lo hago proporcional, para evitar subidas artificiales de MoU metiendo menos de las que va a portar y poniéndolas como nuevas (en tal caso, sumamos más tráfico)</t>
  </si>
  <si>
    <t>Tráfico móvil portado</t>
  </si>
  <si>
    <t>Tráfico móvil incremental (nuevas líneas de móvil)</t>
  </si>
  <si>
    <t>¿Considero el total en origen o lo saco por línea y considero el número de líneas portadas por el tráfico por línea (por si no porta todas)?</t>
  </si>
  <si>
    <t>ARPU portadas</t>
  </si>
  <si>
    <t>ARPU promedio</t>
  </si>
  <si>
    <t>%portadas</t>
  </si>
  <si>
    <t>%altas nuevas</t>
  </si>
  <si>
    <t>ARPU altas nuevas</t>
  </si>
  <si>
    <t>AN/Porta</t>
  </si>
  <si>
    <t>MoU AN / MoU porta</t>
  </si>
  <si>
    <t>Líneas portadas móviles</t>
  </si>
  <si>
    <t>MoU líneas portadas</t>
  </si>
  <si>
    <t>MoU líneas nuevas</t>
  </si>
  <si>
    <t>Líneas nuevas</t>
  </si>
  <si>
    <t>Llamadas totales en origen</t>
  </si>
  <si>
    <t>Minutos totales en origen</t>
  </si>
  <si>
    <t>Extensiones iniciales</t>
  </si>
  <si>
    <t>Tráfico por cada extensión fija inicial</t>
  </si>
  <si>
    <t>Extensiones finales</t>
  </si>
  <si>
    <t>Llamadas totales en extensiones finales</t>
  </si>
  <si>
    <t>Minutos totales en extensiones finales</t>
  </si>
  <si>
    <t>¿¿¿Puede tener más extensiones finales de las que inicialmente tenía, asumiendo que las de palo van a otra celda???</t>
  </si>
  <si>
    <t>La cuestión entonces es: ¿harán tales extensiones tráfico incremental como estoy asumiendo en móvil?</t>
  </si>
  <si>
    <t>Limito el tráfico al existente en la entrada de datos</t>
  </si>
  <si>
    <t>Si tiene menos extensiones significa que parte es absorbido por las líneas móviles</t>
  </si>
  <si>
    <t>Si tiene las mismas significa que nada es absorbido por las líneas móviles</t>
  </si>
  <si>
    <t>Total de tráfico</t>
  </si>
  <si>
    <t>Tráfico de fijo que se suma al de las líneas móviles portadas</t>
  </si>
  <si>
    <t>Líneas móviles totales</t>
  </si>
  <si>
    <t>Estimación original</t>
  </si>
  <si>
    <t>Si parametriza distinto número de módulos en preaprobadas y Optima, es un problema irresoluble: ¿qué tráfico absorben los módulos? El tráfico es único independientemente de lo que ofertemos. Asumo que no será habitual y, si lo es, el riesgo está limitado por la validación del máximo de módulos igual al número de extensiones. Cojo el máximo como solución de compromiso</t>
  </si>
  <si>
    <t>Numeración ("DDIs" en fijo o Vodafone Fijo en O. Vodafone)</t>
  </si>
  <si>
    <t>TPCI Media capacidad</t>
  </si>
  <si>
    <t>TPCI Baja capacidad</t>
  </si>
  <si>
    <t>MoU nacional</t>
  </si>
  <si>
    <t>Gcu real del cliente</t>
  </si>
  <si>
    <t>Gcu que asumimos como máximo</t>
  </si>
  <si>
    <t>Si el cliente tiene menos de un 30% de GCU asumimos el real</t>
  </si>
  <si>
    <t>Si el cliente tiene más de un 30% de GCU asumimos que hace un 27%</t>
  </si>
  <si>
    <t>Ratio líneas portadas respecto a líneas origen en el operador</t>
  </si>
  <si>
    <t>Puede ser div0 en caso de que no haya líneas de origen, cliente nuevo o sin histórico</t>
  </si>
  <si>
    <t>Línea analógica</t>
  </si>
  <si>
    <t>Acceso Básico RDSI</t>
  </si>
  <si>
    <t>Acceso Primario RDSI</t>
  </si>
  <si>
    <t>Tráfico total y coste del mismo</t>
  </si>
  <si>
    <t>Mantenimiento de líneas</t>
  </si>
  <si>
    <t>Cargos por accesos y numeración</t>
  </si>
  <si>
    <t>Alquiler centralita</t>
  </si>
  <si>
    <t>Mantenimiento centralita</t>
  </si>
  <si>
    <t>Equipamiento y servicios de valor añadido de voz</t>
  </si>
  <si>
    <t>Alquiler/Mantenimiento terminales</t>
  </si>
  <si>
    <t>Servicios de centralita</t>
  </si>
  <si>
    <t>Importe mensual</t>
  </si>
  <si>
    <t>Servicios de red (suplementarios)</t>
  </si>
  <si>
    <t>ENTRADA DE DATOS: Consumos actuales del cliente en telefonía fija o en Servicios de centralita de Oficina Vodafone</t>
  </si>
  <si>
    <t>Módulos a fijos preap</t>
  </si>
  <si>
    <t>Módulos a fijos optima</t>
  </si>
  <si>
    <t>Tráfico de fijo que pasa a las extensiones fijas: con la apertura de los módulos es el que absorben los módulos de fijos nacionales</t>
  </si>
  <si>
    <t>Líneas móviles que tienen su origen en extensiones fijas y líneas móviles que ya tiene</t>
  </si>
  <si>
    <t>Estados Unidos</t>
  </si>
  <si>
    <t>Minutos</t>
  </si>
  <si>
    <t>Nacional Movil</t>
  </si>
  <si>
    <t>Nacional Fijo</t>
  </si>
  <si>
    <t>GCU</t>
  </si>
  <si>
    <t>Orange</t>
  </si>
  <si>
    <t>Internacional</t>
  </si>
  <si>
    <t>Roaming Realizado</t>
  </si>
  <si>
    <t>Roaming Recibido</t>
  </si>
  <si>
    <t>Cuota GCU</t>
  </si>
  <si>
    <t>Fijos Nacionales</t>
  </si>
  <si>
    <t>Vodafone</t>
  </si>
  <si>
    <t>Movistar</t>
  </si>
  <si>
    <t>SMS Orange</t>
  </si>
  <si>
    <t>SMS No Orange</t>
  </si>
  <si>
    <t>MMS</t>
  </si>
  <si>
    <t>Compromiso de consumo consolidable</t>
  </si>
  <si>
    <t>Cargo por inactividad</t>
  </si>
  <si>
    <t xml:space="preserve">  Orange</t>
  </si>
  <si>
    <t xml:space="preserve">  Vodafone</t>
  </si>
  <si>
    <t xml:space="preserve">  Movistar</t>
  </si>
  <si>
    <t>TOTAL</t>
  </si>
  <si>
    <t>Datos del cliente</t>
  </si>
  <si>
    <t>Datos del comercial Orange</t>
  </si>
  <si>
    <t>Nombre de la empresa</t>
  </si>
  <si>
    <t>Cálculo del coste con Orange</t>
  </si>
  <si>
    <t>El tráfico de las líneas portadas se reduce si no porta todas: se considera el proporcional</t>
  </si>
  <si>
    <t>Minutos con origen fijo</t>
  </si>
  <si>
    <t>COMPLETAR SI SE OFERTA CON OFICINA PLUS</t>
  </si>
  <si>
    <t>COMPLETAR SI SE OFERTA CON CONECTA PYMES</t>
  </si>
  <si>
    <t>Europa Occidental Móviles</t>
  </si>
  <si>
    <t>Europa Oriental e Israel</t>
  </si>
  <si>
    <t>Norte de África</t>
  </si>
  <si>
    <t>Caribe</t>
  </si>
  <si>
    <t>Latinoamérica</t>
  </si>
  <si>
    <t>Extremo Oriente y Oceanía</t>
  </si>
  <si>
    <t>Resto del mundo</t>
  </si>
  <si>
    <t>Servicios fijos</t>
  </si>
  <si>
    <t>Líneas para fax</t>
  </si>
  <si>
    <t>DDI</t>
  </si>
  <si>
    <t>Servicio de datos</t>
  </si>
  <si>
    <t>IPs fijas y otros servicios de valor añadido</t>
  </si>
  <si>
    <t>IP fija</t>
  </si>
  <si>
    <t>TP fijo movil 250</t>
  </si>
  <si>
    <t>TP fijo movil 600</t>
  </si>
  <si>
    <t>Total margen</t>
  </si>
  <si>
    <t>Europa Occidental y Norteamérica Fijos</t>
  </si>
  <si>
    <t>Acceso a Internet (ADSL)</t>
  </si>
  <si>
    <t>Línea acceso a Internet</t>
  </si>
  <si>
    <t>CIF</t>
  </si>
  <si>
    <t>Dirección</t>
  </si>
  <si>
    <t>Ciudad</t>
  </si>
  <si>
    <t>Provincia</t>
  </si>
  <si>
    <t>Teléfono de contacto</t>
  </si>
  <si>
    <t>Nombre y apellidos</t>
  </si>
  <si>
    <t>Operador actual</t>
  </si>
  <si>
    <t>Número de líneas</t>
  </si>
  <si>
    <t>Núm líneas de voz</t>
  </si>
  <si>
    <t>% Llamadas</t>
  </si>
  <si>
    <t>% Minutos</t>
  </si>
  <si>
    <t>% Importe</t>
  </si>
  <si>
    <t>Importe (€)</t>
  </si>
  <si>
    <t>Tráfico Voz Movil (Mensual)</t>
  </si>
  <si>
    <t>GCU (on-net)</t>
  </si>
  <si>
    <t>Tráfico Internacional</t>
  </si>
  <si>
    <t>% Mensajes</t>
  </si>
  <si>
    <t>SMS</t>
  </si>
  <si>
    <t>Al mismo operador</t>
  </si>
  <si>
    <t>Otros operadores</t>
  </si>
  <si>
    <t>Roaming</t>
  </si>
  <si>
    <t>Importe Total Mensual (Euros)</t>
  </si>
  <si>
    <t>Total Voz Móvil</t>
  </si>
  <si>
    <t>Total Mensajes</t>
  </si>
  <si>
    <t>Sector/Zona</t>
  </si>
  <si>
    <t>Cantidad</t>
  </si>
  <si>
    <t>Número de líneas de voz</t>
  </si>
  <si>
    <t>Servicios de voz móvil</t>
  </si>
  <si>
    <t>Núm SMS</t>
  </si>
  <si>
    <t>Núm Llam</t>
  </si>
  <si>
    <t>Tráfico nacional</t>
  </si>
  <si>
    <t>Cuota de alta</t>
  </si>
  <si>
    <t>Tarifa Estándar (Euros)</t>
  </si>
  <si>
    <t>Establecimiento de llamada</t>
  </si>
  <si>
    <t>Descuento</t>
  </si>
  <si>
    <t>SMS Internacional</t>
  </si>
  <si>
    <t>Yoigo</t>
  </si>
  <si>
    <t>Roaming recibido</t>
  </si>
  <si>
    <t>Minutos incluidos en Cuota GCU</t>
  </si>
  <si>
    <t>Minutos totales GCU</t>
  </si>
  <si>
    <t>Móviles Orange (off-net)</t>
  </si>
  <si>
    <t>Móviles Vodafone</t>
  </si>
  <si>
    <t>Móviles Movistar</t>
  </si>
  <si>
    <t>Móviles Yoigo</t>
  </si>
  <si>
    <t>Internacionales</t>
  </si>
  <si>
    <t>Números especiales</t>
  </si>
  <si>
    <t>SMS mismo operador</t>
  </si>
  <si>
    <t>SMS otros operadores</t>
  </si>
  <si>
    <t>SMS internacionales</t>
  </si>
  <si>
    <t>SMS roaming</t>
  </si>
  <si>
    <t>SMS a Movistar</t>
  </si>
  <si>
    <t>SMS a Vodafone</t>
  </si>
  <si>
    <t>SMS a Orange</t>
  </si>
  <si>
    <t>SMS a Yoigo</t>
  </si>
  <si>
    <t>Recibido</t>
  </si>
  <si>
    <t>P.M.M. (€)</t>
  </si>
  <si>
    <t>Importe</t>
  </si>
  <si>
    <t>Otros (Yoigo, Euskaltel…)</t>
  </si>
  <si>
    <t>Especiales</t>
  </si>
  <si>
    <t>Duraciones Medias</t>
  </si>
  <si>
    <t>Tráfico total revisado</t>
  </si>
  <si>
    <t>Descenso de mensajes</t>
  </si>
  <si>
    <t>Llamadas</t>
  </si>
  <si>
    <t>Roaming emitido o realizado</t>
  </si>
  <si>
    <t>Importe tráfico</t>
  </si>
  <si>
    <t>Descuento tráfico</t>
  </si>
  <si>
    <t>Cuota</t>
  </si>
  <si>
    <t>Descuento cuota</t>
  </si>
  <si>
    <t>Descuento consumo mínimo</t>
  </si>
  <si>
    <t>Cargos globales</t>
  </si>
  <si>
    <t>Consumo mínimo por línea de voz</t>
  </si>
  <si>
    <t>Cuota por línea de voz</t>
  </si>
  <si>
    <t>Otros cargos</t>
  </si>
  <si>
    <t>Importe bruto</t>
  </si>
  <si>
    <t>Coste medio total por línea (€)</t>
  </si>
  <si>
    <t>Fijos</t>
  </si>
  <si>
    <t>llamadas</t>
  </si>
  <si>
    <t>minutos</t>
  </si>
  <si>
    <t>importe</t>
  </si>
  <si>
    <t>fact movistar-concepto "Nacional Otros operadores"</t>
  </si>
  <si>
    <t>Móviles Otros</t>
  </si>
  <si>
    <t>sin Movistar</t>
  </si>
  <si>
    <t>sin Vodafone</t>
  </si>
  <si>
    <t>sin Vodafone y sin fijos</t>
  </si>
  <si>
    <t>fact vodafone-concepto "Móvil no Vodafone"</t>
  </si>
  <si>
    <t>Otros</t>
  </si>
  <si>
    <t>Mix Operadores para distribuir SMS</t>
  </si>
  <si>
    <t>Distribución de tráfico en clientes de 20 a 80 líneas</t>
  </si>
  <si>
    <t>Cálculo Roaming e Internacional</t>
  </si>
  <si>
    <t>SOPORTE PARA CÁLCULO DE DISTRIBUCIÓN DE TRÁFICOS NO DETALLADOS EN FACTURAS</t>
  </si>
  <si>
    <t>SMS Roaming</t>
  </si>
  <si>
    <t>Tráfico Voz Fija (Mensual)</t>
  </si>
  <si>
    <t>SMS Especiales</t>
  </si>
  <si>
    <t>CELL</t>
  </si>
  <si>
    <t>Fecha de la oferta</t>
  </si>
  <si>
    <t>Validez hasta…</t>
  </si>
  <si>
    <t>Descuento promocional fin de factura</t>
  </si>
  <si>
    <t>Duración del descuento en meses</t>
  </si>
  <si>
    <t>Importe Total en Periodo Promocional (Euros)</t>
  </si>
  <si>
    <t>Coste medio en tráfico nacional por línea (€)</t>
  </si>
  <si>
    <t>En periodo promocional</t>
  </si>
  <si>
    <t>Tras periodo promocional</t>
  </si>
  <si>
    <t>SFID del comercial</t>
  </si>
  <si>
    <t>RESUMEN: Perfil de consumo de telefonía móvil del cliente</t>
  </si>
  <si>
    <t>ENTRADA DE DATOS: Consumos actuales del cliente en datos móviles</t>
  </si>
  <si>
    <t>Internet móvil</t>
  </si>
  <si>
    <t>Producto</t>
  </si>
  <si>
    <t>Cuota mensual</t>
  </si>
  <si>
    <t>Descuento  c. mensual</t>
  </si>
  <si>
    <t>Total</t>
  </si>
  <si>
    <t>Correo móvil</t>
  </si>
  <si>
    <t>Importe total mensual (Euros)</t>
  </si>
  <si>
    <t>Total Internet móvil</t>
  </si>
  <si>
    <t>Total correo móvil</t>
  </si>
  <si>
    <t>Descuento promocional o de retención</t>
  </si>
  <si>
    <t>RESUMEN: Perfil de consumo de datos móviles del cliente</t>
  </si>
  <si>
    <t>Productos de datos</t>
  </si>
  <si>
    <t>Número total de productos</t>
  </si>
  <si>
    <t>Coste medio total por producto (€)</t>
  </si>
  <si>
    <t>Tráfico Mensajes (Mensual)</t>
  </si>
  <si>
    <t>Blackberry Corporativo</t>
  </si>
  <si>
    <t>Cliente</t>
  </si>
  <si>
    <t>Comercial</t>
  </si>
  <si>
    <t>Nacional otros operadores</t>
  </si>
  <si>
    <t>Móvil no Vodafone</t>
  </si>
  <si>
    <t>Zona 1</t>
  </si>
  <si>
    <t>Zona 2</t>
  </si>
  <si>
    <t>Tarifa</t>
  </si>
  <si>
    <t>Realizado</t>
  </si>
  <si>
    <t>SMS nacionales totales</t>
  </si>
  <si>
    <t>Distribución del tráfico por zonas</t>
  </si>
  <si>
    <t>%</t>
  </si>
  <si>
    <t>Resto de Europa y Magreb</t>
  </si>
  <si>
    <t>UE y Europa Occidental</t>
  </si>
  <si>
    <t>Resto de América (incl. Sudamérica)</t>
  </si>
  <si>
    <t>Japón, Australia, India, Corea,…</t>
  </si>
  <si>
    <t>Resto del Mundo</t>
  </si>
  <si>
    <t>Total intnal + roam</t>
  </si>
  <si>
    <t>Total/línea</t>
  </si>
  <si>
    <t>MTC</t>
  </si>
  <si>
    <t>MOC</t>
  </si>
  <si>
    <t>Zona 3</t>
  </si>
  <si>
    <t>Roaming realizado</t>
  </si>
  <si>
    <t>Segmento de valor del cliente:</t>
  </si>
  <si>
    <t>Por minuto</t>
  </si>
  <si>
    <t>SFID distribuidor</t>
  </si>
  <si>
    <t>Razón social distribuidor</t>
  </si>
  <si>
    <t>ZONA 1</t>
  </si>
  <si>
    <t>RESTO</t>
  </si>
  <si>
    <t>Coste</t>
  </si>
  <si>
    <t>% Entrante/Saliente</t>
  </si>
  <si>
    <t>Ingreso mensual por entrante</t>
  </si>
  <si>
    <t>Número de extensiones fijas</t>
  </si>
  <si>
    <t>Fijo en el móvil</t>
  </si>
  <si>
    <t>% Entrante con ingreso para Orange</t>
  </si>
  <si>
    <t>%Entrante con ingreso/saliente</t>
  </si>
  <si>
    <t>SFID del Supervisor</t>
  </si>
  <si>
    <t>Centro</t>
  </si>
  <si>
    <t>Levante</t>
  </si>
  <si>
    <t>Sur</t>
  </si>
  <si>
    <t>Tarifa plana ilimitada/premium (10 GB)</t>
  </si>
  <si>
    <t>Tarifa plana uso intensivo (4-5GB)</t>
  </si>
  <si>
    <t>Tarifa plana uso reducido (1GB)</t>
  </si>
  <si>
    <t>Tarifa Plana Iphone</t>
  </si>
  <si>
    <t>MMS Internacional</t>
  </si>
  <si>
    <t>ARPU Nacional entrante</t>
  </si>
  <si>
    <t>Ingreso por minuto entrante tráfico nacional</t>
  </si>
  <si>
    <t>Tarifa plana correo e internet premium Blackberry</t>
  </si>
  <si>
    <t>Tarifa plana correo e internet plus Blackberry</t>
  </si>
  <si>
    <t>Tarifa plana correo e internet Blackberry</t>
  </si>
  <si>
    <t>Taifa plana correo e internet premium</t>
  </si>
  <si>
    <t>Taifa plana correo e internet plus</t>
  </si>
  <si>
    <t>Tarifa plana correo e internet</t>
  </si>
  <si>
    <t>Costes correo y navegación</t>
  </si>
  <si>
    <t>30% altas FFCC de Correo y Navegación en BB</t>
  </si>
  <si>
    <t>Coste promedio en base a lo contratado</t>
  </si>
  <si>
    <t xml:space="preserve"> </t>
  </si>
  <si>
    <t>China</t>
  </si>
  <si>
    <t xml:space="preserve"> Canadá y Caribe</t>
  </si>
  <si>
    <t>Canadá y Caribe</t>
  </si>
  <si>
    <t>Nº de extensiones que realizan tráfico intnal:</t>
  </si>
  <si>
    <t>Tráfico itl absorbido por TP Global</t>
  </si>
  <si>
    <t>Tráfico total móvil en zona UE+</t>
  </si>
  <si>
    <t>Líneas que lo hacen</t>
  </si>
  <si>
    <t>Tráfico por línea</t>
  </si>
  <si>
    <t>TPGlobal contratadas</t>
  </si>
  <si>
    <t>Optimas</t>
  </si>
  <si>
    <t>Tráfico absorbido</t>
  </si>
  <si>
    <t>Tráfico a facturar por minuto</t>
  </si>
  <si>
    <t>Facturado antes de descuentos por el tráfico en exceso</t>
  </si>
  <si>
    <t>Minutos por zona</t>
  </si>
  <si>
    <t>Llamadas por zona</t>
  </si>
  <si>
    <t>Preaprobadas</t>
  </si>
  <si>
    <t>Tráfico total fijo en zona UE+</t>
  </si>
  <si>
    <t>Extensiones que lo hacen</t>
  </si>
  <si>
    <t>Tráfico por extensión</t>
  </si>
  <si>
    <t>Móviles</t>
  </si>
  <si>
    <t>TP 24 Global</t>
  </si>
  <si>
    <t>TP 24 Nacional</t>
  </si>
  <si>
    <t>Fijo en el Móvil</t>
  </si>
  <si>
    <t>1000 minutos</t>
  </si>
  <si>
    <t>300 minutos</t>
  </si>
  <si>
    <t>150 minutos</t>
  </si>
  <si>
    <t>Cuota mensual por usuario</t>
  </si>
  <si>
    <t>Base</t>
  </si>
  <si>
    <t>Medium</t>
  </si>
  <si>
    <t>Top</t>
  </si>
  <si>
    <t>Tranquilidad</t>
  </si>
  <si>
    <t>Óptima</t>
  </si>
  <si>
    <t>Óptima RPV</t>
  </si>
  <si>
    <t>Descuento por valor</t>
  </si>
  <si>
    <t>Margen total</t>
  </si>
  <si>
    <t>Costes vigentes desde Julio 2013</t>
  </si>
  <si>
    <t>Navega Plus 10GB</t>
  </si>
  <si>
    <t>IOT Estimados 2013</t>
  </si>
  <si>
    <t>GPRS</t>
  </si>
  <si>
    <t>Maritimo</t>
  </si>
  <si>
    <t>Total general</t>
  </si>
  <si>
    <t>IEW Pro 10GB</t>
  </si>
  <si>
    <t>Fijos nacionales</t>
  </si>
  <si>
    <t>Usuarios o tipos de usuario</t>
  </si>
  <si>
    <t>Líneas de voz y voz+datos</t>
  </si>
  <si>
    <t>Líneas de sólo datos</t>
  </si>
  <si>
    <t>Total productos</t>
  </si>
  <si>
    <t>Sin tarifa plana (50-100 min)</t>
  </si>
  <si>
    <t>50-100 minutos</t>
  </si>
  <si>
    <t>Sin tarifa plana (0-50 min)</t>
  </si>
  <si>
    <t>0-50 minutos</t>
  </si>
  <si>
    <t>Tarifa:</t>
  </si>
  <si>
    <t>Estimado en internacional y roaming</t>
  </si>
  <si>
    <t>CAMBIADO EL ORIGEN EN LA HERRAMIENTA POR PERFILES</t>
  </si>
  <si>
    <t>Las cuotas de TT incluyen "preaprobada" porque se activa automáticamente en función de total de productos Tranquilidad activados</t>
  </si>
  <si>
    <t>Líneas de voz / voz+datos</t>
  </si>
  <si>
    <t>Sede</t>
  </si>
  <si>
    <t>Pack Conecta Pymes</t>
  </si>
  <si>
    <t>DDIs</t>
  </si>
  <si>
    <t>IPs fijas</t>
  </si>
  <si>
    <t>Líneas para fax (AMLT)</t>
  </si>
  <si>
    <t>Líneas dedicadas Internet (ADSL sólo datos)</t>
  </si>
  <si>
    <t>Conecta 2A</t>
  </si>
  <si>
    <t>Conecta 4A</t>
  </si>
  <si>
    <t>Conecta 2D</t>
  </si>
  <si>
    <t>Conecta 4D</t>
  </si>
  <si>
    <t>Conecta 6D</t>
  </si>
  <si>
    <t>Conecta 8D</t>
  </si>
  <si>
    <t>Fijo+Móvil</t>
  </si>
  <si>
    <t>Servicios móviles</t>
  </si>
  <si>
    <t>Facturación v+d</t>
  </si>
  <si>
    <t>Facturación datos</t>
  </si>
  <si>
    <t>Interconexión</t>
  </si>
  <si>
    <t>Margen unitario v+d</t>
  </si>
  <si>
    <t>Extensión fija</t>
  </si>
  <si>
    <t>Margen por línea móvil</t>
  </si>
  <si>
    <t>Margen por línea ext fija</t>
  </si>
  <si>
    <t>Margen medio por línea</t>
  </si>
  <si>
    <t>Penalización: número de veces el margen</t>
  </si>
  <si>
    <t>¿Cumple política?</t>
  </si>
  <si>
    <t>Total abono máximo</t>
  </si>
  <si>
    <t>¿Extensión fija?</t>
  </si>
  <si>
    <t>Total facturado antes de descuentos en UE+</t>
  </si>
  <si>
    <t>Productos y servicios ofertados</t>
  </si>
  <si>
    <r>
      <t xml:space="preserve">ARPU </t>
    </r>
    <r>
      <rPr>
        <b/>
        <u/>
        <sz val="10"/>
        <color indexed="22"/>
        <rFont val="Arial"/>
        <family val="2"/>
      </rPr>
      <t>nacional</t>
    </r>
    <r>
      <rPr>
        <sz val="10"/>
        <color indexed="22"/>
        <rFont val="Arial"/>
        <family val="2"/>
      </rPr>
      <t xml:space="preserve"> tarificado sin GCU</t>
    </r>
  </si>
  <si>
    <r>
      <t xml:space="preserve">ARPU </t>
    </r>
    <r>
      <rPr>
        <b/>
        <u/>
        <sz val="10"/>
        <color indexed="22"/>
        <rFont val="Arial"/>
        <family val="2"/>
      </rPr>
      <t>nacional</t>
    </r>
    <r>
      <rPr>
        <sz val="10"/>
        <color indexed="22"/>
        <rFont val="Arial"/>
        <family val="2"/>
      </rPr>
      <t xml:space="preserve"> tarificado con GCU</t>
    </r>
  </si>
  <si>
    <t>Líneas IEW Pro</t>
  </si>
  <si>
    <t>Tarifas posibles</t>
  </si>
  <si>
    <t>Productos que solicita</t>
  </si>
  <si>
    <t>Conecta Pymes</t>
  </si>
  <si>
    <t>Consumos</t>
  </si>
  <si>
    <t>Voz+ datos</t>
  </si>
  <si>
    <t>Sólo datos</t>
  </si>
  <si>
    <t>Datos de la hoja de perfiles, aquí centralizados para que la macro de reporte tire todo de aquí</t>
  </si>
  <si>
    <t>Líneas</t>
  </si>
  <si>
    <t>Margen promedio estimado en Bus Case</t>
  </si>
  <si>
    <t>Criterio ext fija: lo indica así en la hoja de perfiles + no tiene TP24 Global + no tiene correo y navegación</t>
  </si>
  <si>
    <t>Acceso penalizaciones</t>
  </si>
  <si>
    <t>Bienvenido a Orange</t>
  </si>
  <si>
    <t>Usuario o tipos de usuario</t>
  </si>
  <si>
    <t>Nº líneas</t>
  </si>
  <si>
    <t>Nº líneas de otro operador</t>
  </si>
  <si>
    <t>SMS nacionales</t>
  </si>
  <si>
    <t>Para las líneas en que sólo necesite una tarifa plana de datos:</t>
  </si>
  <si>
    <t>Cuota mensual por línea</t>
  </si>
  <si>
    <t>Llamadas internas</t>
  </si>
  <si>
    <t>tarifa para llamadas internas:</t>
  </si>
  <si>
    <t>0 €/min</t>
  </si>
  <si>
    <t>establecimiento de llamada interna:</t>
  </si>
  <si>
    <t>límite/línea/mes:</t>
  </si>
  <si>
    <t>sin límite</t>
  </si>
  <si>
    <t>tarifa para llamadas nacionales:</t>
  </si>
  <si>
    <t>0,07 €/min</t>
  </si>
  <si>
    <t>establecimiento de llamada nacional:</t>
  </si>
  <si>
    <t>Si algún mes sobrepasa los límites de las tarifas planas de voz que tenga contratadas, esta es la tarifa que aplicará sobre el tráfico en exceso.</t>
  </si>
  <si>
    <t>coste SMS nacional:</t>
  </si>
  <si>
    <t>0 €/SMS</t>
  </si>
  <si>
    <t>1.000 SMS</t>
  </si>
  <si>
    <t>Si algún mes sobrepasa el límite de SMS incluidos, los SMS nacionales en exceso se tarificarán a 0,15€/SMS</t>
  </si>
  <si>
    <t>coste MMS nacional:</t>
  </si>
  <si>
    <t>Compromisos de consumo</t>
  </si>
  <si>
    <t>Asociado a esta oferta existe un compromiso de consumo mensual</t>
  </si>
  <si>
    <t>mínimo consumo por línea:</t>
  </si>
  <si>
    <t>mínimo consumo global de cliente*:</t>
  </si>
  <si>
    <t>10€ x núm. de líneas</t>
  </si>
  <si>
    <t>con un mínimo de 100€</t>
  </si>
  <si>
    <t xml:space="preserve">Este consumo es individual en cada una de las líneas. En caso de no alcanzarlo, se facturará la diferencia.  </t>
  </si>
  <si>
    <t>Este consumo es compensable entre todas sus líneas. En caso de no alcanzarlo, se facturará la diferencia.</t>
  </si>
  <si>
    <t>Cuota mensual/línea:</t>
  </si>
  <si>
    <t>Para hablar con otros países</t>
  </si>
  <si>
    <t>Para comunicarse desde el extranjero</t>
  </si>
  <si>
    <t>Llamadas internacionales</t>
  </si>
  <si>
    <t>Llamadas recibidas en roaming</t>
  </si>
  <si>
    <t>Zona 4</t>
  </si>
  <si>
    <t xml:space="preserve">Zona 5 </t>
  </si>
  <si>
    <t>Zona 6</t>
  </si>
  <si>
    <t>estab. de llamada</t>
  </si>
  <si>
    <t>coste por minuto</t>
  </si>
  <si>
    <t>Llamadas emitidas en roaming</t>
  </si>
  <si>
    <t>origen de la llamada</t>
  </si>
  <si>
    <t>estab. llamada</t>
  </si>
  <si>
    <t>coste SMS internacional:</t>
  </si>
  <si>
    <t>0,33 €/SMS</t>
  </si>
  <si>
    <t>destino de la llamada</t>
  </si>
  <si>
    <t>SMS emitidos en roaming</t>
  </si>
  <si>
    <t>origen del SMS</t>
  </si>
  <si>
    <t>destino del SMS</t>
  </si>
  <si>
    <t>La recepción de SMS en roaming no conlleva ningún coste</t>
  </si>
  <si>
    <t>Descuento en líneas sin terminal:</t>
  </si>
  <si>
    <t>Gestiona tu red Óptima</t>
  </si>
  <si>
    <t>Conecta PYMES</t>
  </si>
  <si>
    <t>Su oferta con Conecta PYMES incluye:</t>
  </si>
  <si>
    <t>Zona 5</t>
  </si>
  <si>
    <t>Alemania</t>
  </si>
  <si>
    <t>Albania</t>
  </si>
  <si>
    <t>Alaska</t>
  </si>
  <si>
    <t>Antillas Holandesas</t>
  </si>
  <si>
    <t>Australia</t>
  </si>
  <si>
    <t>Resto</t>
  </si>
  <si>
    <t>Austria</t>
  </si>
  <si>
    <t>Argelia</t>
  </si>
  <si>
    <t>Anguila</t>
  </si>
  <si>
    <t>Argentina</t>
  </si>
  <si>
    <t>Corea del Sur</t>
  </si>
  <si>
    <t>del Mundo</t>
  </si>
  <si>
    <t>Andorra</t>
  </si>
  <si>
    <t>Bélgica</t>
  </si>
  <si>
    <t>Bielorrusia</t>
  </si>
  <si>
    <t>Antigua y Barbuda</t>
  </si>
  <si>
    <t>Aruba</t>
  </si>
  <si>
    <t>Egipto</t>
  </si>
  <si>
    <t>Chipre</t>
  </si>
  <si>
    <t>Bosnia</t>
  </si>
  <si>
    <t>Bahamas</t>
  </si>
  <si>
    <t>Belice</t>
  </si>
  <si>
    <t>Filipinas</t>
  </si>
  <si>
    <t>Bulgaria</t>
  </si>
  <si>
    <t>Bermuda</t>
  </si>
  <si>
    <t>Dinamarca</t>
  </si>
  <si>
    <t>Barbados</t>
  </si>
  <si>
    <t>Bolivia</t>
  </si>
  <si>
    <t>Honk Kong</t>
  </si>
  <si>
    <t>Eslovaquia</t>
  </si>
  <si>
    <t>Croacia</t>
  </si>
  <si>
    <t>Bermudas</t>
  </si>
  <si>
    <t>Brasil</t>
  </si>
  <si>
    <t>India</t>
  </si>
  <si>
    <t>Canadá</t>
  </si>
  <si>
    <t>Eslovenia</t>
  </si>
  <si>
    <t>Islas Feroe</t>
  </si>
  <si>
    <t>Caimanes</t>
  </si>
  <si>
    <t>Chile</t>
  </si>
  <si>
    <t>Israel</t>
  </si>
  <si>
    <t>Estonia</t>
  </si>
  <si>
    <t>Libia</t>
  </si>
  <si>
    <t>Colombia</t>
  </si>
  <si>
    <t>Japón</t>
  </si>
  <si>
    <t>Isla de Guernsey</t>
  </si>
  <si>
    <t>Finlandia</t>
  </si>
  <si>
    <t>Macedonia</t>
  </si>
  <si>
    <t>Costa Rica</t>
  </si>
  <si>
    <t>Malasia</t>
  </si>
  <si>
    <t>Isla de Jersey</t>
  </si>
  <si>
    <t>Francia</t>
  </si>
  <si>
    <t>Marruecos</t>
  </si>
  <si>
    <t>Granada</t>
  </si>
  <si>
    <t>Cuba</t>
  </si>
  <si>
    <t>Mauritania</t>
  </si>
  <si>
    <t>Isla de Man</t>
  </si>
  <si>
    <t>Gibraltar</t>
  </si>
  <si>
    <t>Moldavia</t>
  </si>
  <si>
    <t>Hawaii/Wake</t>
  </si>
  <si>
    <t>Ecuador</t>
  </si>
  <si>
    <t>Nueva Zelanda</t>
  </si>
  <si>
    <t>Grecia</t>
  </si>
  <si>
    <t>Montenegro</t>
  </si>
  <si>
    <t>Isla Dominica</t>
  </si>
  <si>
    <t>El Salvador</t>
  </si>
  <si>
    <t>Singapur</t>
  </si>
  <si>
    <t>Guernsey</t>
  </si>
  <si>
    <t>Rumanía</t>
  </si>
  <si>
    <t>Islas Vígenes Británicas</t>
  </si>
  <si>
    <t>Groenlandia</t>
  </si>
  <si>
    <t>Tailandia</t>
  </si>
  <si>
    <t>Hungría</t>
  </si>
  <si>
    <t>Rusia</t>
  </si>
  <si>
    <t>Islas Vírgenes Americanas</t>
  </si>
  <si>
    <t>Guadalupe</t>
  </si>
  <si>
    <t>Taiwan</t>
  </si>
  <si>
    <t>Serbia</t>
  </si>
  <si>
    <t>Sáhara Occidental</t>
  </si>
  <si>
    <t>Jamaica</t>
  </si>
  <si>
    <t>Guatemala</t>
  </si>
  <si>
    <t>Túnez</t>
  </si>
  <si>
    <t>Irlanda</t>
  </si>
  <si>
    <t>Monserrat</t>
  </si>
  <si>
    <t>Guayana</t>
  </si>
  <si>
    <t>Turquía</t>
  </si>
  <si>
    <t>Islandia</t>
  </si>
  <si>
    <t>Puerto Rico</t>
  </si>
  <si>
    <t>Guayana Francesa</t>
  </si>
  <si>
    <t>Italia</t>
  </si>
  <si>
    <t>República Dominicana</t>
  </si>
  <si>
    <t>Guinea Ecuatorial</t>
  </si>
  <si>
    <t>Jersey</t>
  </si>
  <si>
    <t>Ucrania</t>
  </si>
  <si>
    <t>San Cristóbal y Nieves</t>
  </si>
  <si>
    <t>Haití</t>
  </si>
  <si>
    <t>Letonia</t>
  </si>
  <si>
    <t>Santa Lucía</t>
  </si>
  <si>
    <t>Honduras</t>
  </si>
  <si>
    <t>Liechtenstein</t>
  </si>
  <si>
    <t>San Vicente y las Granadinas</t>
  </si>
  <si>
    <t>Malvinas</t>
  </si>
  <si>
    <t>Lituania</t>
  </si>
  <si>
    <t>Trinidad y Tobago</t>
  </si>
  <si>
    <t>Martinica</t>
  </si>
  <si>
    <t>Luxemburgo</t>
  </si>
  <si>
    <t>Turks y Caicos</t>
  </si>
  <si>
    <t>México</t>
  </si>
  <si>
    <t>Malta</t>
  </si>
  <si>
    <t>Nicaragua</t>
  </si>
  <si>
    <t>Mónaco</t>
  </si>
  <si>
    <t>Panamá</t>
  </si>
  <si>
    <t>Noruega</t>
  </si>
  <si>
    <t>Paraguay</t>
  </si>
  <si>
    <t>Países Bajos</t>
  </si>
  <si>
    <t>Perú</t>
  </si>
  <si>
    <t>Polonia</t>
  </si>
  <si>
    <t>San Pedro y Miquelón</t>
  </si>
  <si>
    <t>Portugal</t>
  </si>
  <si>
    <t>Surinam</t>
  </si>
  <si>
    <t>Reino Unido</t>
  </si>
  <si>
    <t>Uruguay</t>
  </si>
  <si>
    <t>República Checa</t>
  </si>
  <si>
    <t>Venezuela</t>
  </si>
  <si>
    <t>San Marino</t>
  </si>
  <si>
    <t>Suecia</t>
  </si>
  <si>
    <t>Suiza</t>
  </si>
  <si>
    <t>Vaticano</t>
  </si>
  <si>
    <t>*Andorra (0,32c€/min)</t>
  </si>
  <si>
    <t>Apoderado:</t>
  </si>
  <si>
    <t>Tlfno. Contacto:</t>
  </si>
  <si>
    <t xml:space="preserve">Ciudad: </t>
  </si>
  <si>
    <t>Provincia:</t>
  </si>
  <si>
    <t>CIF:</t>
  </si>
  <si>
    <t>Comercial Orange:</t>
  </si>
  <si>
    <t>Distribuidor autorizado:</t>
  </si>
  <si>
    <t>Cuota por usuario*</t>
  </si>
  <si>
    <t>Las llamadas internacionales se tarificarán con el precio estándar según el destino (consultar en www.orange.es). Sobre este precio se aplicará un 45% de descuento implícito a la tarifa (aplica sobre llamada y establecimiento); el precio especificado en la propuesta es el neto tras la aplicación de estos descuentos.</t>
  </si>
  <si>
    <t>Las llamadas recibidas en roaming se tarificarán con el precio estándar según el origen y destino (consultar en www.orange.es). Sobre este precio se aplicará un 45% de descuento implícito a la tarifa (aplica sobre llamada y establecimiento); el precio especificado en la propuesta es el neto tras la aplicación de estos descuentos.</t>
  </si>
  <si>
    <t>Las llamadas emitidas en roaming se tarificarán con el precio estándar según el origen y destino (consultar en www.orange.es). Sobre este precio se aplicará un 10% de descuento implícito a la tarifa (aplica sobre llamada y establecimiento); el precio especificado en la propuesta es el neto tras la aplicación de estos descuentos.</t>
  </si>
  <si>
    <t>Los SMS en roaming se tarificarán con el precio estándar según el origen y destino (consultar en www.orange.es). Sobre este precio se aplicará un 10% de descuento implícito a la tarifa; el precio especificado en la propuesta es el neto tras la aplicación de este descuento.</t>
  </si>
  <si>
    <t>Las llamadas a destinos 901 y 902 se tarificarán con el precio estándar según el tipo de destino (consultar en www.orange.es).  Sobre este precio se aplicará un 10% de descuento implícito a la tarifa; el precio especificado en la propuesta es el neto tras la aplicación de este descuento.</t>
  </si>
  <si>
    <t>Cada línea deberá alcanzar un consumo mínimo individual de 5€ después de descuentos implícitos a la tarifa. En caso de no alcanzar el mismo, se cargará en factura la diferencia hasta llegar a este valor, en concepto de cargo por inactividad.</t>
  </si>
  <si>
    <t xml:space="preserve">La contratación de la Tarifa Óptima RPV implica un compromiso de consumo mínimo después de descuentos. El consumo mínimo que será de aplicación será el mayor valor resultante entre la franquicia (100€) y el resultante de multiplicar el número de líneas móviles de voz en la tarifa por el consumo mínimo consolidable a nivel de línea (10€). Los consumos que computan en el cálculo de consumo mínimo son los consumos correspondientes a tráficos de voz después de descuentos implícitos a la tarifa, a destinos nacionales, internacionales y en roaming. También computan las cuotas netas(después de descuentos implícitos a la tarifa) de los módulos de tráfico opcionales, tanto de voz como de datos, y de servicios adicionales que la línea tenga activados. Para este cálculo podrán compensar los consumos de todas las líneas con la Tarifa Óptima RPV activadas en el cliente. En caso de no alcanzar una facturación mensual después de descuentos igual al consumo mínimo, se efecuará un cargo en factura por el valor de la diferencia hasta el mismo. </t>
  </si>
  <si>
    <t>Condiciones legales de los módulos compatibles con Tarifa Óptima RPV</t>
  </si>
  <si>
    <t>Condiciones legales de la Tarifa Óptima RPV</t>
  </si>
  <si>
    <t>EEUU</t>
  </si>
  <si>
    <t>Islas Aland</t>
  </si>
  <si>
    <t xml:space="preserve">Isla Reunión </t>
  </si>
  <si>
    <t>Consultar condiciones detalladas en página de legales (al final de la propuesta)</t>
  </si>
  <si>
    <t>Ahora su teléfono fijo irá donde usted vaya. Reciba en su móvil todas las llamadas que se realicen a su teléfono fijo, sin necesidad de tener una línea fija.</t>
  </si>
  <si>
    <t>5€/línea/mes</t>
  </si>
  <si>
    <t xml:space="preserve">Propuesta comercial de Orange </t>
  </si>
  <si>
    <t>Fecha:</t>
  </si>
  <si>
    <t>Fecha de la oferta:</t>
  </si>
  <si>
    <t>Validez hasta:</t>
  </si>
  <si>
    <t xml:space="preserve">Consultar condiciones detalladas en página de legales (al final de la propuesta). </t>
  </si>
  <si>
    <t>Los MMS nacionales se tarificarán con el precio estándar (consultar en www.orange.es) . Sobre este precio se aplicará un 55% de descuento implícito a la tarifa; el precio especificado en la propuesta es el neto tras la aplicación de este descuento.</t>
  </si>
  <si>
    <t>Módulo fijo en el móvil: Cuota 5€/línea/mes. Las llamadas efectuadas siempre mostrarán el número móvil. Admite numeración fija nueva o portada. En caso de portabilidad de numero fijo perteneciente a un grupo (por ejemplo, en líneas RDSI), sólo se activa el número fijo solicitado, perdiendo el resto de la numeración del grupo al que pertenezca si el operador de origen porta todo el grupo al que pertenezca el número solicitado. Implica la pérdida por parte del cliente de cualquier servicio asociado a la línea fija (ADSL, fax, datafonos o TPV, alarma, servicios de tele asistencia, etc.)</t>
  </si>
  <si>
    <t>Condiciones legales aplicables a productos ofertados (1/2)</t>
  </si>
  <si>
    <t>Condiciones legales aplicables a productos ofertados (2/2)</t>
  </si>
  <si>
    <t>Aceptación de propuesta comercial a medida</t>
  </si>
  <si>
    <t>El Cliente, mediante la persona facultada al efecto, conoce y acepta las tarifas y condiciones descritas en la presente propuesta personalizada de servicios de comunicaciones, de las cuáles ha tenido conocimiento previamente, y firmará el correspondiente Contrato empresa de telefonía móvil o servicios de Orange al cuál se adjuntan.</t>
  </si>
  <si>
    <t>Nombre y DNI del apoderado firmante
Firma y sello del cliente</t>
  </si>
  <si>
    <t>Total líneas</t>
  </si>
  <si>
    <t>Tráfico estimado en internacional y roaming:</t>
  </si>
  <si>
    <t>Por ejemplo, una llamada de 4 minutos de duración, le costará 0,35€.</t>
  </si>
  <si>
    <t xml:space="preserve">Para alcanzar los compromisos de consumo mínimo computan los consumos de voz y SMS tarificados, después de descuentos implícitos a la tarifa. También computan las cuotas de módulos de tarifa plana de voz, correo y navegación, módulo fijo en el móvil, Tranqulidad Total, Tarjeta ECO y Smartsim, después de descuentos implícitos a la tarifa.   
*Ejemplo de aplicación: si tiene 6 líneas, su consumo mínimo será de 6x10€, con un mínimo de 100€. Es decir, su mínimo consumo por cliente será de 100€. Si tiene 15 líneas, su consumo mínimo será de 15x10€, con un mínimo de 100€. Es decir, su mínimo consumo por cliente es 150€. </t>
  </si>
  <si>
    <t xml:space="preserve">Total líneas </t>
  </si>
  <si>
    <t>En Orange, empresa líder en telecomunicaciones, trabajamos con empresas como la suya. Queremos colaborar con usted y hacer más grande su negocio. Sabemos que cada empresa es diferente, por eso le ofrecemos un asesoramiento personalizado y una tarifa diseñada especialmente para su empresa.</t>
  </si>
  <si>
    <t>7€ x núm. de líneas</t>
  </si>
  <si>
    <t>con un mínimo de 50€</t>
  </si>
  <si>
    <t xml:space="preserve">La contratación de la Tarifa Óptima implica un compromiso de consumo mínimo después de descuentos. El consumo mínimo que será de aplicación será el mayor valor resultante entre la franquicia (50€) y el resultante de multiplicar el número de líneas móviles de voz en la tarifa por el consumo mínimo consolidable a nivel de línea (7€). Los consumos que computan en el cálculo de consumo mínimo son los consumos correspondientes a tráficos de voz después de descuentos implícitos a la tarifa, a destinos nacionales, internacionales y en roaming. También computan las cuotas netas(después de descuentos implícitos a la tarifa) de los módulos de tráfico opcionales, tanto de voz como de datos, y de servicios adicionales que la línea tenga activados. Para este cálculo podrán compensar los consumos de todas las líneas con la Tarifa Óptima activadas en el cliente. En caso de no alcanzar una facturación mensual después de descuentos igual al consumo mínimo, se efecuará un cargo en factura por el valor de la diferencia hasta el mismo. </t>
  </si>
  <si>
    <t>Condiciones legales Conecta PYME</t>
  </si>
  <si>
    <t>Los SMS internacionales se tarificarán con el precio estándar según el destino (consultar en www.orange.es). Sobre este precio se aplicará un 45% de descuento implícito a la tarifa; el precio especificado en la propuesta es el neto tras la aplicación de este descuento.</t>
  </si>
  <si>
    <t>propuesta comercial a medida para</t>
  </si>
  <si>
    <t xml:space="preserve"> propuesta comercial a medida para</t>
  </si>
  <si>
    <t>Código de oferta:</t>
  </si>
  <si>
    <t>Servicio RPV</t>
  </si>
  <si>
    <t>Descuento por no subvención de terminal</t>
  </si>
  <si>
    <t>Aquí comprobamos con la pwd y con el hecho de ser nuevo cliente</t>
  </si>
  <si>
    <t>de comunicaciones a medida para:</t>
  </si>
  <si>
    <t>Mediante el uso de esta aplicación podrá definir, en cada momento, el tipo de uso que pueden hacer sus empleados de las líneas móviles. Podrá:</t>
  </si>
  <si>
    <t>La ofrecemos una tarifa y un servicio únicamente disponibles para empresas. Con su tarifa Óptima RPV dispondrá de una herramienta de control online del uso de sus comunicaciones</t>
  </si>
  <si>
    <t>Consultar condiciones detalladas en página de legales</t>
  </si>
  <si>
    <t>Descripción de su oferta de telefonía móvil: Tarifa Óptima RPV. Productos y tarifas para tráfico internacional y en roaming</t>
  </si>
  <si>
    <t>Centralita virtual</t>
  </si>
  <si>
    <t>Mediante la gama de módulos de centralita virtual, puede hacer que sus empleados dispongan de servicios de centralita prestados mediante la red de Orange, sin necesidad de una centralita física en sus oficinas y con toda la gama de servicios que necesita:</t>
  </si>
  <si>
    <t>La centralita virtual se configura mediante 3 módulos:</t>
  </si>
  <si>
    <t>Requiere una línea dedicada que se activará con la tarifa Óptima RPV y este módulo para disfrutar de un grupo de salto que le permita gestionar las llamadas recibidas y distribuirlas en un grupo de empleados según sus necesidades</t>
  </si>
  <si>
    <t>Cada empleado que vaya a hacer uso de servicios de centralita deberá activar este módulo: miembro de un grupo de salto, usuario que vaya a gestionar el puesto de operadora, usuario de la funcionalidad Jefe-Secretaria, etc.</t>
  </si>
  <si>
    <t>Toda la configuración de su centralita, definiendo los miembros de un Grupo de Salto, cómo deben transferirse las llamadas, etc, podrá hacerla online desde la misma web ("Gestiona tu red Óptima") donde controla qué tipo de llamadas puede hacer cada usuario:</t>
  </si>
  <si>
    <t>Requiere una línea dedicada que se activará con la tarifa Óptima RPV y este módulo para disfrutar de un puesto de operadora que le permita recibir, gestionar y transferir llamadas</t>
  </si>
  <si>
    <t>Descuento en líneas sin terminal subvencionado</t>
  </si>
  <si>
    <t>Descuento por ser cliente de valor</t>
  </si>
  <si>
    <t>Tramo de facturación mensual</t>
  </si>
  <si>
    <t xml:space="preserve">De acuerdo a sus necesidades, le proponemos la siguiente personalización de la oferta, con los siguientes productos para cada uno de los perfiles de su compañía: </t>
  </si>
  <si>
    <t>Líneas de sólo voz y de voz+datos</t>
  </si>
  <si>
    <t>Oficina Plus</t>
  </si>
  <si>
    <t>Descuento por valor*</t>
  </si>
  <si>
    <t>Cuota por usuario tras descuentos*</t>
  </si>
  <si>
    <t>Máximo por línea portada</t>
  </si>
  <si>
    <t>70€ de margen por línea</t>
  </si>
  <si>
    <t>Nuevo en la versión 2.0</t>
  </si>
  <si>
    <t>Fijo en el Móvil + CV</t>
  </si>
  <si>
    <t>Agente Centralita Virtual</t>
  </si>
  <si>
    <t>Cabeceras de operadora</t>
  </si>
  <si>
    <t>Cabeceras de grupo de salto</t>
  </si>
  <si>
    <t>Líneas voz portadas (sin cabeceras)</t>
  </si>
  <si>
    <t>Líneas voz nuevas (sin cabeceras)</t>
  </si>
  <si>
    <t>Seleccione el tipo de documento a imprimir</t>
  </si>
  <si>
    <t>Condiciones con Conecta Pymes</t>
  </si>
  <si>
    <t>Condiciones sin Conecta Pymes</t>
  </si>
  <si>
    <t>Descripción de su oferta de telefonía móvil: Tarifa Óptima. Productos y tarifas para tráfico internacional y en roaming</t>
  </si>
  <si>
    <t>Condiciones legales de la Tarifa Óptima</t>
  </si>
  <si>
    <t>Condiciones legales de los módulos compatibles con Tarifa Óptima</t>
  </si>
  <si>
    <t>Los SMS internacionales se tarificarán con el precio estándar según el destino (consultar en www.orange.es).</t>
  </si>
  <si>
    <t>Los SMS en roaming se tarificarán con el precio estándar según el origen y destino (consultar en www.orange.es).</t>
  </si>
  <si>
    <t>Las llamadas a destinos 901 y 902 se tarificarán con el precio estándar según el tipo de destino (consultar en www.orange.es).</t>
  </si>
  <si>
    <t>Módulo agente de centralita virtual: Cuota 5€/línea/mes. Incluye en la línea en la que se active el módulo, la configuración y el uso ilimitado de los servicios de la centralita virtual disponibles en Oficina Plus
Módulo cabecera de puesto de operadora: Cuota 0€/línea/mes. Permite la configuración del servicio puesto de operadora
Módulo cabecera de grupo de salto: Cuota 0€/línea/mes. Permite la configuración de un grupo de salto</t>
  </si>
  <si>
    <t>Cabeceras</t>
  </si>
  <si>
    <t>TP24 básica</t>
  </si>
  <si>
    <t>En las líneas de Tarifa Óptima RPV en las que, en el momento del alta, escoja abonar una cuota mensual por el terminal, o bien no necesite subvención de terminal, disfrutará de un descuento mensual, a aplicar sobre el total facturado de esa línea.</t>
  </si>
  <si>
    <t>En las líneas de Tarifa Óptima en las que, en el momento del alta, escoja abonar una cuota mensual por el terminal, o bien no necesite subvención de terminal, disfrutará de un descuento mensual, a aplicar sobre el total facturado de esa línea.</t>
  </si>
  <si>
    <t>6000 minutos
(nacional+intnal UE-EEUU-China)</t>
  </si>
  <si>
    <t>ITL+roam</t>
  </si>
  <si>
    <t>Descripción de su oferta integrada de comunicaciones fijas y móviles: Pack Pymes</t>
  </si>
  <si>
    <t>Con Pack Pymes le ofrecemos un servicio convergente para ahorrar, uniendo todas sus comunicaciones fijas y móviles, compuesto de:</t>
  </si>
  <si>
    <t>Pack Pymes</t>
  </si>
  <si>
    <t>Con los productos contratados, le ofrecemos</t>
  </si>
  <si>
    <t>Cuotas en móvil</t>
  </si>
  <si>
    <t>Cuotas Conecta</t>
  </si>
  <si>
    <t>que incluye:</t>
  </si>
  <si>
    <t>GB</t>
  </si>
  <si>
    <t>Sedes Conecta</t>
  </si>
  <si>
    <t>Líneas fijas totales</t>
  </si>
  <si>
    <t>Telefonía e Internet móviles</t>
  </si>
  <si>
    <t>Telefonía e Internet fijos</t>
  </si>
  <si>
    <t>Oferta fijo y móvil para Pymes</t>
  </si>
  <si>
    <t>Conecta 2A centralita</t>
  </si>
  <si>
    <t>Conecta 3A centralita</t>
  </si>
  <si>
    <t>Conecta 4A centralita</t>
  </si>
  <si>
    <t>Internet Móvil Pro 3GB</t>
  </si>
  <si>
    <t>La contratación de la Tarifa Óptima RPV implica un compromiso de permanencia en tarifa de 12 meses. En caso de no cumplirse este compromiso, se deberá abonar un cargo de 80€ por cada línea.</t>
  </si>
  <si>
    <t>Internet Móvil Pro 10GB</t>
  </si>
  <si>
    <t>Condiciones legales Internet Móvil Pro</t>
  </si>
  <si>
    <t>6000'+3GB</t>
  </si>
  <si>
    <t>6000'+1GB</t>
  </si>
  <si>
    <t>Voz y Voz+datos</t>
  </si>
  <si>
    <t>Sí</t>
  </si>
  <si>
    <t>Descuento a aplicar</t>
  </si>
  <si>
    <t>Conectas que contrata</t>
  </si>
  <si>
    <t>Tráfico total a destinos internacionales</t>
  </si>
  <si>
    <t>Tipo de cliente:</t>
  </si>
  <si>
    <t>No cuentan las líneas de cabecera</t>
  </si>
  <si>
    <t>Líneas totales de voz (sin cabeceras)</t>
  </si>
  <si>
    <t>Líneas totales</t>
  </si>
  <si>
    <t>Umbral mínimo</t>
  </si>
  <si>
    <t>Cumple?</t>
  </si>
  <si>
    <t>valor máximo a abonar:</t>
  </si>
  <si>
    <t>Importe de abono:</t>
  </si>
  <si>
    <t>Umbral líneas</t>
  </si>
  <si>
    <t>Tramo de la operación</t>
  </si>
  <si>
    <t>Productos</t>
  </si>
  <si>
    <t>Abono máximo de penalización de la operación con nueva política</t>
  </si>
  <si>
    <t>DE MANTENER ESTA POLÍTICA EMPEORAMOS CONDICIONES PORQUE EL DESCUENTO DE CONECTA LE BAJA LA FACTURACIÓN DE MÓVIL</t>
  </si>
  <si>
    <t>ADEMÁS, NI COSTE NI INGRESO POR ROAMING EN EUROPA PLUS</t>
  </si>
  <si>
    <t>HABRÍA QUE RETOCAR ALGO…</t>
  </si>
  <si>
    <t>Cuota mensual/línea (antes de descuentos):</t>
  </si>
  <si>
    <t>Para necesidades básicas de comunicación de datos: lectura de correo, acceso Internet, descargas esporádicas de ficheros, etc.</t>
  </si>
  <si>
    <t>Consultar condiciones detalladasde los productos, así como países incluidos en los productos que incluyen comunicaciones internacionales y roaming en la página de legales</t>
  </si>
  <si>
    <t>Para necesidades elevadas de comunicación de datos: descargas habituales de ficheros de gran tamaño, uso intensivo de correo, uso de aplicaciones de empresa en movilidad, acceso a servidores remotos, compartición de la capacidad de datos de la tarifa entre varios dispositivos, etc.
y/o
Para comunicaciones internacionales y en roaming sin sorpresas, con tarifa plana, en Europa, EEUU y China</t>
  </si>
  <si>
    <t>Tarifa base para todas sus líneas: Tarifa Óptima RPV</t>
  </si>
  <si>
    <t>Tarifa Óptima RPV. Precios base</t>
  </si>
  <si>
    <t>En caso de que en alguna línea no requiera una tarifa plana de voz y datos o que en alguna de las líneas con esas tarifas planas, exceda los límites de tráfico de voz incluidos, se le aplicarán los siguientes precios:</t>
  </si>
  <si>
    <t>sin límite para llamadas nacionales</t>
  </si>
  <si>
    <t>Llamadas internas en España y Europa</t>
  </si>
  <si>
    <t>En caso de que alguna línea realice tráfico internacional o en roaming y no tenga contratada una de las tarifas planas que incluyen estos tráficos, o bien, con el producto contratado, exceda los límites de tráfico incluidos en el mismo, se le aplicarán las siguientes tarifas:</t>
  </si>
  <si>
    <t>Zonas de tarificación de tráfico internacional y en roaming</t>
  </si>
  <si>
    <t>En aquellas líneas donde no se activen las tarifas planas que inclyen tráfico internacional, o cuando en una línea se excedan los minutos incluidos, o cuando se realice una llamada a un país no incluido en el producto, se aplicarán las siguientes zonas de tarificación:</t>
  </si>
  <si>
    <t>Oficina Plus sobre Tarifa Óptima RPV</t>
  </si>
  <si>
    <t>Tarifa Óptima RPV. Descuentos especiales</t>
  </si>
  <si>
    <t>En todas las líneas con Tarifa Óptima RPV podrá acceder a descuentos especiales, de los cuales se benefician tanto el tráfico facturado como las tarifas planas de voz y datos y los productos de Oficina Plus que tengan activados las líneas</t>
  </si>
  <si>
    <t xml:space="preserve">El descuento aplicará sobre el tráfico de voz nacional, internacional y en roaming tarificado en la línea sin subvención en el alta con Tarifa Óptima RPV, así como sobre las cuotas de productos de voz y datos contratadas en esa línea. Este descuento está condicionado a la permanencia en tarifa y a la no modificación de las condiciones de las líneas "sin terminal". </t>
  </si>
  <si>
    <t>Para recompensar su consumo, le ofrecemos una serie de descuentos a aplicar en cada factura mensual en función del consumo alcanzado en el total de sus líneas con la Tarifa Óptima RPV en el mes facturado:</t>
  </si>
  <si>
    <t>Cuota neta tras todos los descuentos</t>
  </si>
  <si>
    <t>Total tras descuentos</t>
  </si>
  <si>
    <t>Total antes de descuentos</t>
  </si>
  <si>
    <t>Descuento estimado por facturación</t>
  </si>
  <si>
    <t>Subtotal</t>
  </si>
  <si>
    <t>Total neto</t>
  </si>
  <si>
    <t>Total tras dtos por valor y no subvención</t>
  </si>
  <si>
    <t>Cuota neta tras dtos valor y no subvención</t>
  </si>
  <si>
    <t>Oferta personalizada de telefonía móvil</t>
  </si>
  <si>
    <t xml:space="preserve">*En caso de no escoger tarifa plana de voz los importes en las columnas "cuota" representan una estimación de coste correspondiente al rango de minutos indicado para estos perfiles. El descuento de valor mostrado corresponde a la estimación de facturación mensual con los productos y servicios indicados. En función de la facturación de cada mes, este descuento puede variar, según la tabla descrita en las condiciones de la oferta. El descuento por Conecta Pymes sólo aplica si al emitir la factura del servicio móvil, tiene activo en Orange el producto Conecta Pymes de mayor valor indicado en la presente oferta. Consultar condiciones detalladas en página de legales. </t>
  </si>
  <si>
    <t xml:space="preserve">Tarifa Plana fijos nacionales incluye llamadas a 0€, CELL incluido, a todos los destinos fijos nacionales, con un límite de 1.000 minutos/línea/mes. </t>
  </si>
  <si>
    <t>Descuento Conecta Pymes</t>
  </si>
  <si>
    <t>Descuento por Conecta Pymes</t>
  </si>
  <si>
    <t>Descuento por Conecta Pymes ACTIVO</t>
  </si>
  <si>
    <t>Tarifa Óptima. Precios base</t>
  </si>
  <si>
    <t xml:space="preserve">Para alcanzar los compromisos de consumo mínimo computan los consumos de voz y SMS tarificados, después de descuentos implícitos a la tarifa. También computan las cuotas de módulos de tarifa plana de voz, correo y navegación, módulo fijo en el móvil, Tranqulidad Total, Tarjeta ECO y Smartsim, después de descuentos implícitos a la tarifa.   
*Ejemplo de aplicación: si tiene 6 líneas, su consumo mínimo será de 6x7€, con un mínimo de 42€. Es decir, su mínimo consumo por cliente será de 50€. Si tiene 20 líneas, su consumo mínimo será de 20x7€, con un mínimo de 50€. Es decir, su mínimo consumo por cliente es 140€. </t>
  </si>
  <si>
    <t>Tarifa Óptima. Descuentos especiales</t>
  </si>
  <si>
    <t xml:space="preserve">El descuento aplicará sobre el tráfico de voz nacional, internacional y en roaming tarificado en la línea sin subvención en el alta con Tarifa Óptima, así como sobre las cuotas de productos de voz y datos contratadas en esa línea. Este descuento está condicionado a la permanencia en tarifa y a la no modificación de las condiciones de las líneas "sin terminal". </t>
  </si>
  <si>
    <t>No</t>
  </si>
  <si>
    <t>La contratación de la Tarifa Óptima implica un compromiso de permanencia en tarifa de 12 meses. En caso de no cumplirse este compromiso, se deberá abonar un cargo de 80€ por cada línea.</t>
  </si>
  <si>
    <t xml:space="preserve">*En caso de no escoger tarifa plana de voz los importes en las columnas "cuota" representan una estimación de coste correspondiente al rango de minutos indicado para estos perfiles. El descuento por Conecta Pymes sólo aplica si al emitir la factura del servicio móvil, tiene activo en Orange el producto Conecta Pymes de mayor valor indicado en la presente oferta. Consultar condiciones detalladas en página de legales. </t>
  </si>
  <si>
    <t xml:space="preserve">Las cuotas mensuales netas finales de la propuesta comercial son el resultado tras la aplicación de descuentos en líneas sin terminal y por tener activo el servicio Conecta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6 de la presente propuesta. </t>
  </si>
  <si>
    <t xml:space="preserve">Las cuotas mensuales netas finales de la propuesta comercial son el resultado tras la aplicación de descuentos en líneas sin terminal,  por valor y por tener activo el servicio Conecta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8 de la presente propuesta. </t>
  </si>
  <si>
    <t>Líneas portadas</t>
  </si>
  <si>
    <t>Conecta Pymes 3A, 4A, 4D</t>
  </si>
  <si>
    <t>offset de columna</t>
  </si>
  <si>
    <t>facturación antes de desuentos</t>
  </si>
  <si>
    <t>Facturación roam out zonas no Europa Plus</t>
  </si>
  <si>
    <t>umbrales</t>
  </si>
  <si>
    <t>offset</t>
  </si>
  <si>
    <t>Soluciones Personalizadas RPV. Precios base</t>
  </si>
  <si>
    <t xml:space="preserve">
</t>
  </si>
  <si>
    <t>0,15 €/min</t>
  </si>
  <si>
    <t xml:space="preserve">descuento: </t>
  </si>
  <si>
    <t>Por ejemplo, una llamada de 4 minutos de duración, le costará 0,21€.</t>
  </si>
  <si>
    <t xml:space="preserve">Los SMS nacionales a destinos móviles de cualquier operador tienen el siguiente coste:
</t>
  </si>
  <si>
    <t>0,15 €/SMS</t>
  </si>
  <si>
    <t>descuento:</t>
  </si>
  <si>
    <t xml:space="preserve">Los MMS nacionales a destinos móviles de cualquier operador tienen el siguiente coste:
</t>
  </si>
  <si>
    <t>Para alcanzar los compromisos de consumo mínimo computan los consumos de voz y SMS tarificados, después de descuentos implícitos a la tarifa. También computan las cuotas de módulos de tarifa plana de voz, voz y datos, módulo fijo en el móvil.</t>
  </si>
  <si>
    <t>Descripción de su oferta de telefonía móvil: Soluciones Personalizadas RPV. Productos y tarifas para tráfico internacional y en roaming</t>
  </si>
  <si>
    <t>Cuota de lista por usuario*</t>
  </si>
  <si>
    <t>Total con cuotas personalizadas</t>
  </si>
  <si>
    <t>Total con cuotas personalizadas y Conecta Pymes activo</t>
  </si>
  <si>
    <t>Total antes de personalización</t>
  </si>
  <si>
    <t>Cuota personalizada*</t>
  </si>
  <si>
    <t>Cuota personalizada si activa Conecta Pymes indicado(s) en la propuesta**</t>
  </si>
  <si>
    <t>Personalización*</t>
  </si>
  <si>
    <t>Personalización con Conecta Pymes activo**</t>
  </si>
  <si>
    <t>*Las cuotas de lista serán personalizadas con el precio indicado. La personalización se ha efectuado en base al volumen total de líneas y a los productos aquí indicados</t>
  </si>
  <si>
    <t>** La mejora de cuotas con Conecta Pymes se producirá una vez se active el producto de mayor valor Conecta Pymes indicado en la presente propuesta. Hasta dicha activación, las condiciones aplicadas serán las cuotas personalizadas sin esta mejora adicional. Las nuevas cuotas serán aplicadas en el primer o segundo ciclo de facturación de Soluciones Personalizadas RPV posterior a la activación de Conecta Pymes</t>
  </si>
  <si>
    <t>Cuota mensual por línea personalizada</t>
  </si>
  <si>
    <t>Total cuotas personalizadas</t>
  </si>
  <si>
    <t>Condiciones legales de la Tarifa Soluciones Personalizadas RPV</t>
  </si>
  <si>
    <t>Las llamadas emitidas en roaming se tarificarán con el precio estándar según el origen y destino (consultar en www.orange.es).</t>
  </si>
  <si>
    <t>Cada línea deberá alcanzar un consumo mínimo individual de 3€ después de descuentos implícitos a la tarifa. En caso de no alcanzar el mismo, se cargará en factura la diferencia hasta llegar a este valor, en concepto de cargo por inactividad.</t>
  </si>
  <si>
    <t>Condiciones legales de los módulos compatibles con Soluciones Personalizadas RPV</t>
  </si>
  <si>
    <t>Cálculo abono penalización ANTIGUO</t>
  </si>
  <si>
    <t>Fuera de zona 1</t>
  </si>
  <si>
    <t>Fuera de Zona 1</t>
  </si>
  <si>
    <t xml:space="preserve">La contratación de la Tarifa Soluciones Personalizadas RPV implica un compromiso de consumo mínimo después de descuentos. El consumo mínimo que será de aplicación será el resultante de multiplicar el número de líneas móviles de voz en la tarifa por el consumo mínimo consolidable a nivel de línea (10€). Los consumos que computan en el cálculo de consumo mínimo son los consumos correspondientes a tráficos de voz después de descuentos implícitos a la tarifa, a destinos nacionales, internacionales y en roaming. También computan las cuotas netas (después de descuentos implícitos a la tarifa) de los módulos de tráfico opcionales, tanto de voz como de datos, y de servicios adicionales que la línea tenga activados. Para este cálculo podrán compensar los consumos de todas las líneas con la Tarifa Soluciones Personalizadas RPV activadas en el cliente. En caso de no alcanzar una facturación mensual después de descuentos igual al consumo mínimo, se efecuará un cargo en factura por el valor de la diferencia hasta el mismo. </t>
  </si>
  <si>
    <t>65% (Orange, Movistar, Vodafone, Yoigo, operadores fijos)</t>
  </si>
  <si>
    <t>Guideline FFCC</t>
  </si>
  <si>
    <t>Preaprobada</t>
  </si>
  <si>
    <t>15-49</t>
  </si>
  <si>
    <t>50-99</t>
  </si>
  <si>
    <t>1 GB</t>
  </si>
  <si>
    <t>3 GB</t>
  </si>
  <si>
    <t>5 GB</t>
  </si>
  <si>
    <t>10 GB</t>
  </si>
  <si>
    <t>10-14</t>
  </si>
  <si>
    <t>Consultar condiciones detalladasde los productos, así como países incluidos en los productos que incluyen comunicaciones internacionales y roaming en la página de legales.</t>
  </si>
  <si>
    <t xml:space="preserve">Módulo Tarifa Plana 24 Global incluye llamadas a todos los destinos fijos y móviles nacionales e internacionales a los países de la zona Europa Plus las 24h, todos los días de la semana, con un límite de 6.000 minutos y 300 destinos diferentes por línea y mes. No comprende llamadas a números en tarificación especial, números cortos o numeración premium. </t>
  </si>
  <si>
    <t>Datos para uso en movilidad</t>
  </si>
  <si>
    <t>Datos para uso en oficina</t>
  </si>
  <si>
    <t>Tarifa Internet Móvil Pro o Internet 4G Pro</t>
  </si>
  <si>
    <t>Oferta personalizada de productos de datos móviles o datos para su oficina</t>
  </si>
  <si>
    <t>Las llamadas recibidas en roaming se tarificarán con el precio estándar según el origen y destino (consultar en www.orange.es). Sobre este precio se aplicará un 45% de descuento  (aplica sobre llamada y establecimiento); el precio especificado en la propuesta es el neto tras la aplicación de estos descuentos.</t>
  </si>
  <si>
    <t>Conecta Pymes 6D, 8D</t>
  </si>
  <si>
    <t>Teléfono IP Premium (21,95€)</t>
  </si>
  <si>
    <t>Teléfono IP Avanzado (15,95€)</t>
  </si>
  <si>
    <t>Teléfono DECT (5,95€)</t>
  </si>
  <si>
    <t>Terminales fijos</t>
  </si>
  <si>
    <t>0,7066 €/MMS</t>
  </si>
  <si>
    <t>1,57€/MMS</t>
  </si>
  <si>
    <t>Servicios exclusivos para PYMEs</t>
  </si>
  <si>
    <t>Atención personalizada</t>
  </si>
  <si>
    <t>Ponemos a su disposición servicios de atención exclusiva para que su negocio nunca pare</t>
  </si>
  <si>
    <t>Gestor Personal</t>
  </si>
  <si>
    <t>Asesor Comercial especializado</t>
  </si>
  <si>
    <t>Servicio diferencial de Atención al Cliente</t>
  </si>
  <si>
    <t>TARIFAS BASE ROAMING voz</t>
  </si>
  <si>
    <t>zona 1</t>
  </si>
  <si>
    <t>Tarifas planas de roaming</t>
  </si>
  <si>
    <t xml:space="preserve">Tráfico Internacional </t>
  </si>
  <si>
    <t>Tráfico en roaming</t>
  </si>
  <si>
    <t>Introduce el número de bonos totales a consumir en un mes promedio</t>
  </si>
  <si>
    <t>Travel voz diario</t>
  </si>
  <si>
    <t>Travel voz semanal
(30€/100min/7días)</t>
  </si>
  <si>
    <t>Travel data semanal
(10€/100MB/7días)</t>
  </si>
  <si>
    <t>Travel data diario estándar Eu+
(1€/10MB/día)</t>
  </si>
  <si>
    <t>Travel data diario intensivo Eu+
(4,5€/50MB/día)</t>
  </si>
  <si>
    <t>Travel data diario estándar RoW
(8€/10MB/día)</t>
  </si>
  <si>
    <t>Travel data diario intensivo RoW
(30€/50MB/día)</t>
  </si>
  <si>
    <t>Tráfico en roaming VOZ adicional al incluido en tarifas planas</t>
  </si>
  <si>
    <r>
      <t>Descuentos por volumen automáticos</t>
    </r>
    <r>
      <rPr>
        <sz val="7"/>
        <color rgb="FF333333"/>
        <rFont val="Arial"/>
        <family val="2"/>
      </rPr>
      <t>, en función del número de líneas totales del cliente (a nivel Large Account) que han hecho consumo en el mes y tienen activado algún módulo:</t>
    </r>
  </si>
  <si>
    <t>10 y 29</t>
  </si>
  <si>
    <t>30 y 49</t>
  </si>
  <si>
    <t>50 o más</t>
  </si>
  <si>
    <t>Total bonos Travel data diario</t>
  </si>
  <si>
    <t>Travel data semanal</t>
  </si>
  <si>
    <t>Travel data diario ya con descuento</t>
  </si>
  <si>
    <t>Condiciones servicios exclusivos para PYMES</t>
  </si>
  <si>
    <t>Compromiso Orange</t>
  </si>
  <si>
    <t>Para que cuente siempre con todas las garantías ante cualquier imprevisto</t>
  </si>
  <si>
    <t>servicio postventa a domicilio</t>
  </si>
  <si>
    <t>garantías de servicio por contrato</t>
  </si>
  <si>
    <t>Seguro móvil</t>
  </si>
  <si>
    <t>Protección de su dispositivo ante cualquier imprevisto</t>
  </si>
  <si>
    <t>Su smartphone y tablet con la merjor garantía para continuar con su día a día, ante cualquier imprevisto:</t>
  </si>
  <si>
    <t>en caso de avería</t>
  </si>
  <si>
    <t>en caso de robo o hurto</t>
  </si>
  <si>
    <t>app Seguro móvil</t>
  </si>
  <si>
    <t>Descárguesela ya desde Google Play</t>
  </si>
  <si>
    <t>servicio renovación de terminales</t>
  </si>
  <si>
    <t>Zona Travel semanal: países incluidos en las tarifas planas Travel voz semanal y Travel data semanal</t>
  </si>
  <si>
    <t>Hong Kong</t>
  </si>
  <si>
    <t>Nigeria</t>
  </si>
  <si>
    <t>Qatar</t>
  </si>
  <si>
    <t>Rep. Dominicana</t>
  </si>
  <si>
    <t>Sudáfrica</t>
  </si>
  <si>
    <t>Zonas de tarificación de tráfico internacional:
para llamadas desde móviles de España al extranjero</t>
  </si>
  <si>
    <t>Zonas de tarificación de roaming de voz y datos: 
para comunicaciones desde el extranjero</t>
  </si>
  <si>
    <t>Travel voz semanal</t>
  </si>
  <si>
    <t>Cuota por línea</t>
  </si>
  <si>
    <t>+ 100 minutos de llamadas recibidas o emitidas hacia España o un país de la zona Travel semanal a 0€, establecimiento incluido. 24h
+ pago por uso; sólo si se hace roaming de voz en los países incluidos
+ 7 días para consumir el bono 
+ autorrenovable (máximo 5 renovaciones por línea y mes)</t>
  </si>
  <si>
    <t>Zona Travel semanal</t>
  </si>
  <si>
    <t>+ 100 MBs de datos móviles desde un país de la zona Travel semanal a 0€, 24h
+ pago por uso; sólo si se hace roaming de datos en los países incluidos
+ 7 días para consumir el bono 
+ autorrenovable (máximo 5 renovaciones por línea y mes)</t>
  </si>
  <si>
    <t xml:space="preserve">estab. </t>
  </si>
  <si>
    <t>coste por min</t>
  </si>
  <si>
    <t>Total cuotas solo roaming</t>
  </si>
  <si>
    <t xml:space="preserve">Los descuentos de valor, conecta y sin terminal de Óptima </t>
  </si>
  <si>
    <t>aplican sólo a cuotas TRAVEL DATA DIARIO</t>
  </si>
  <si>
    <t>no al TRAVEL DATA/TRAVEL VOZ SEMANALES</t>
  </si>
  <si>
    <t>TDR con descuento</t>
  </si>
  <si>
    <t>Tsem</t>
  </si>
  <si>
    <t>total</t>
  </si>
  <si>
    <t>preciomin y TDR</t>
  </si>
  <si>
    <t>Semanal</t>
  </si>
  <si>
    <t>Condiciones legales productos de internacional y roaming</t>
  </si>
  <si>
    <t>Llamadas desde España hacia destinos fijos o móviles de operadores extranjeros</t>
  </si>
  <si>
    <t>Llamadas emitidas y recibidas, y conexiones de datos móviles en una línea de Orange España cuando viaja al extranjero</t>
  </si>
  <si>
    <t xml:space="preserve">Total a pagar en precio min </t>
  </si>
  <si>
    <t>Travel voz semanal: Cuota 30€, incluye un bono de 100 minutos a 0€ para llamadas recibidas y/o emitidas en roaming desde y hacia uno de los países de la zona “Travel semanal” o hacia España. El bono puede consumirse durante los 7 días siguientes al primer uso (día n), hasta las 23:59 (hora peninsular) del día n+7. Si se supera el límite del bono antes de los 7 días, se renovará automáticamente, activándose un nuevo bono con las mismas características. Máximo 5 bonos por ciclo de facturación; una vez consumido el quinto bono del ciclo, se pasará a la tarifa por defecto.</t>
  </si>
  <si>
    <t>Travel data semanal: Cuota 10€, incluye un bono de datos móviles de 100 MBs en roaming a 0€ desde uno de los países de la zona “Travel semanal”. El bono puede consumirse durante los 7 días siguientes al primer uso (día n), hasta las 23:59 (hora peninsular) del día n+7. Si se supera el límite del bono antes de los 7 días, se renovará automáticamente, activándose un nuevo bono con las mismas características. Máximo 5 bonos por ciclo de facturación; una vez consumido el quinto bono del ciclo, se pasará a la tarifa por defecto.</t>
  </si>
  <si>
    <t>La zona Travel semanal comprende los siguientes países: Argentina, Australia, Bolivia, Brasil, Canadá, Chile, Colombia, Ecuador, El Salvador, Guatemala, Honduras, Hong Kong, India, Japón, México, Marruecos, Nicaragua, Nigeria, Paraguay, Perú, Qatar, Rep. Dominicana, Rusia, Singapur, Sudáfrica, Tailandia, Túnez,  Turquía, Venezuela</t>
  </si>
  <si>
    <t>Tarifas planas semanales para los viajes fuera de Europa</t>
  </si>
  <si>
    <t>5€/500KB</t>
  </si>
  <si>
    <t>lineas con datos 2GB o superior</t>
  </si>
  <si>
    <t>Servicio seguro móvil para clientes particulares o empresas de tarifas móvil postpago de Orange. Póliza de Seguro N EA14LY1002 suscrita por el cliente de Orange, como Tomador, con AIG EUROPE LIMITED y PLUS ULTRA, SEGUROS GENERALES Y VIDA, S.A., DE SEGUROS Y REASEGUROS y con la mediación de SPB Ibérica, correduría de seguros. El seguro Móvil de Orange tiene una vigencia anual y un fraccionamiento de pago mensual que se paga por adelantado en la factura de Orange, pudiendo el cliente rescindir la póliza una vez transcurridos los 6 primeros meses desde la contratación del Seguro. Las primas del seguro varían en función del valor del terminal. Consulta primas, coberturas y condiciones en www.orange.es o en tu tienda Orange. En caso de siniestro, el equipo asegurado será sustituido por un Equipo de Reemplazo puesto a nuevo. Se aplicará una franquicia en la gestión de cada expediente de reemplazo que variará en función del seguro y que oscila entre los 20€ y los 60€. La entrega de los terminales de reemplazo se realizará en un plazo de 24 h laborables siempre y cuando el expediente se tramite antes de las 17 h en día laborable y solo para las entregas en Península.</t>
  </si>
  <si>
    <t>estándar (10MB/día)</t>
  </si>
  <si>
    <t>intensivo (50MB/día)</t>
  </si>
  <si>
    <r>
      <t xml:space="preserve">Un </t>
    </r>
    <r>
      <rPr>
        <b/>
        <sz val="18"/>
        <color rgb="FFFF6600"/>
        <rFont val="Helvetica 55 Roman"/>
        <family val="2"/>
      </rPr>
      <t xml:space="preserve">Asesor Comercial </t>
    </r>
    <r>
      <rPr>
        <sz val="18"/>
        <rFont val="Helvetica 55 Roman"/>
        <family val="2"/>
      </rPr>
      <t>estará a su disposición 
para todo lo que necesite, y le ayudará a sacar el máximo rendimiento a las comunicaciones de su empresa, de forma totalmente personalizada</t>
    </r>
  </si>
  <si>
    <r>
      <t xml:space="preserve">Para la tramitación y seguimiento telefónico de cualquier petición o incidencia, ponemos a su disposición un </t>
    </r>
    <r>
      <rPr>
        <b/>
        <sz val="18"/>
        <color rgb="FFFF6600"/>
        <rFont val="Helvetica 55 Roman"/>
        <family val="2"/>
      </rPr>
      <t>Gestor Personal</t>
    </r>
    <r>
      <rPr>
        <sz val="18"/>
        <rFont val="Helvetica 55 Roman"/>
        <family val="2"/>
      </rPr>
      <t xml:space="preserve"> dedicado a su empresa. Siempre con el mismo interlocutor y sin esperas. Además le ayudará a configurar sus servicios y gestionará la renovación de terminales. </t>
    </r>
  </si>
  <si>
    <r>
      <t>Y siempre podrá contar con un</t>
    </r>
    <r>
      <rPr>
        <b/>
        <sz val="18"/>
        <color rgb="FFFF6600"/>
        <rFont val="Helvetica 55 Roman"/>
        <family val="2"/>
      </rPr>
      <t xml:space="preserve"> servicio de atención diferencial</t>
    </r>
    <r>
      <rPr>
        <sz val="18"/>
        <rFont val="Helvetica 55 Roman"/>
        <family val="2"/>
      </rPr>
      <t xml:space="preserve"> de lunes a domingo de 8:00h a 22:00h, a través del teléfono gratuito 1471.</t>
    </r>
  </si>
  <si>
    <r>
      <t xml:space="preserve">En caso de </t>
    </r>
    <r>
      <rPr>
        <b/>
        <sz val="18"/>
        <color rgb="FFFF6600"/>
        <rFont val="Helvetica 55 Roman"/>
        <family val="2"/>
      </rPr>
      <t>avería de su terminal</t>
    </r>
    <r>
      <rPr>
        <sz val="18"/>
        <rFont val="Helvetica 55 Roman"/>
        <family val="2"/>
      </rPr>
      <t xml:space="preserve">, se lo recogemos en su oficina o domicilio y </t>
    </r>
    <r>
      <rPr>
        <b/>
        <sz val="18"/>
        <color rgb="FFFF6600"/>
        <rFont val="Helvetica 55 Roman"/>
        <family val="2"/>
      </rPr>
      <t>le dejamos uno de préstamo</t>
    </r>
    <r>
      <rPr>
        <sz val="18"/>
        <rFont val="Helvetica 55 Roman"/>
        <family val="2"/>
      </rPr>
      <t>. Ademas, estamos a su disposición para solucionar cualquier incidencia con su SIM</t>
    </r>
  </si>
  <si>
    <r>
      <t xml:space="preserve">Renovar sus comunicaciones será muy sencillo. Canjee los </t>
    </r>
    <r>
      <rPr>
        <b/>
        <sz val="18"/>
        <color rgb="FFFF6600"/>
        <rFont val="Helvetica 55 Roman"/>
        <family val="2"/>
      </rPr>
      <t>puntos Orange</t>
    </r>
    <r>
      <rPr>
        <sz val="18"/>
        <rFont val="Helvetica 55 Roman"/>
        <family val="2"/>
      </rPr>
      <t xml:space="preserve"> que acumule por lo último en tecnología desde 0€. O si lo prefiere, podrá renovar con la v</t>
    </r>
    <r>
      <rPr>
        <b/>
        <sz val="18"/>
        <color rgb="FFFF6600"/>
        <rFont val="Helvetica 55 Roman"/>
        <family val="2"/>
      </rPr>
      <t>enta a plazos</t>
    </r>
    <r>
      <rPr>
        <sz val="18"/>
        <rFont val="Helvetica 55 Roman"/>
        <family val="2"/>
      </rPr>
      <t xml:space="preserve"> de Orange, en cómodas cuotas mensuales.</t>
    </r>
  </si>
  <si>
    <r>
      <t xml:space="preserve">Le </t>
    </r>
    <r>
      <rPr>
        <b/>
        <sz val="18"/>
        <color rgb="FFFF6600"/>
        <rFont val="Helvetica 55 Roman"/>
        <family val="2"/>
      </rPr>
      <t>garantizamos un buen funcionamiento</t>
    </r>
    <r>
      <rPr>
        <sz val="18"/>
        <rFont val="Helvetica 55 Roman"/>
        <family val="2"/>
      </rPr>
      <t xml:space="preserve"> de los servicios contratados y </t>
    </r>
    <r>
      <rPr>
        <b/>
        <sz val="18"/>
        <color rgb="FFFF6600"/>
        <rFont val="Helvetica 55 Roman"/>
        <family val="2"/>
      </rPr>
      <t xml:space="preserve">nos comprometemos </t>
    </r>
    <r>
      <rPr>
        <sz val="18"/>
        <rFont val="Helvetica 55 Roman"/>
        <family val="2"/>
      </rPr>
      <t>a abonarle una compensación en caso de incumplimiento.</t>
    </r>
  </si>
  <si>
    <r>
      <t xml:space="preserve">Le </t>
    </r>
    <r>
      <rPr>
        <b/>
        <sz val="18"/>
        <color rgb="FFFF6600"/>
        <rFont val="Helvetica 55 Roman"/>
        <family val="2"/>
      </rPr>
      <t xml:space="preserve">prestamos un dispositivo idéntico al suyo </t>
    </r>
    <r>
      <rPr>
        <sz val="18"/>
        <rFont val="Helvetica 55 Roman"/>
        <family val="2"/>
      </rPr>
      <t>mientras se lo reparamos, y se lo enviamos a la dirección que nos indique, en un plazo máximo de</t>
    </r>
    <r>
      <rPr>
        <b/>
        <sz val="18"/>
        <color rgb="FFFF6600"/>
        <rFont val="Helvetica 55 Roman"/>
        <family val="2"/>
      </rPr>
      <t xml:space="preserve"> 1 día laborable</t>
    </r>
  </si>
  <si>
    <r>
      <t xml:space="preserve">Le </t>
    </r>
    <r>
      <rPr>
        <b/>
        <sz val="18"/>
        <color rgb="FFFF6600"/>
        <rFont val="Helvetica 55 Roman"/>
        <family val="2"/>
      </rPr>
      <t>enviamos un dispositivo igual al suyo</t>
    </r>
    <r>
      <rPr>
        <sz val="18"/>
        <rFont val="Helvetica 55 Roman"/>
        <family val="2"/>
      </rPr>
      <t xml:space="preserve"> en un plazo de </t>
    </r>
    <r>
      <rPr>
        <b/>
        <sz val="18"/>
        <color rgb="FFFF6600"/>
        <rFont val="Helvetica 55 Roman"/>
        <family val="2"/>
      </rPr>
      <t>1 día laborable</t>
    </r>
    <r>
      <rPr>
        <sz val="18"/>
        <rFont val="Helvetica 55 Roman"/>
        <family val="2"/>
      </rPr>
      <t>, y le damos una cobertura de h</t>
    </r>
    <r>
      <rPr>
        <b/>
        <sz val="18"/>
        <color rgb="FFFF6600"/>
        <rFont val="Helvetica 55 Roman"/>
        <family val="2"/>
      </rPr>
      <t>asta 1.500€ por uso fraudulento.</t>
    </r>
  </si>
  <si>
    <r>
      <t xml:space="preserve">Y disfrute de la </t>
    </r>
    <r>
      <rPr>
        <b/>
        <sz val="18"/>
        <color rgb="FFFF6600"/>
        <rFont val="Helvetica 55 Roman"/>
        <family val="2"/>
      </rPr>
      <t>app Seguro Móvil</t>
    </r>
    <r>
      <rPr>
        <sz val="18"/>
        <rFont val="Helvetica 55 Roman"/>
        <family val="2"/>
      </rPr>
      <t>, que le permitirá: 
   ·</t>
    </r>
    <r>
      <rPr>
        <b/>
        <sz val="18"/>
        <color rgb="FFFF6600"/>
        <rFont val="Helvetica 55 Roman"/>
        <family val="2"/>
      </rPr>
      <t>localizar su móvil</t>
    </r>
    <r>
      <rPr>
        <sz val="18"/>
        <rFont val="Helvetica 55 Roman"/>
        <family val="2"/>
      </rPr>
      <t xml:space="preserve">
   ·</t>
    </r>
    <r>
      <rPr>
        <b/>
        <sz val="18"/>
        <color rgb="FFFF6600"/>
        <rFont val="Helvetica 55 Roman"/>
        <family val="2"/>
      </rPr>
      <t>bloquearlo</t>
    </r>
    <r>
      <rPr>
        <sz val="18"/>
        <rFont val="Helvetica 55 Roman"/>
        <family val="2"/>
      </rPr>
      <t xml:space="preserve"> y hacer sonar una alarma
   ·</t>
    </r>
    <r>
      <rPr>
        <b/>
        <sz val="18"/>
        <color rgb="FFFF6600"/>
        <rFont val="Helvetica 55 Roman"/>
        <family val="2"/>
      </rPr>
      <t>borrar el contenido</t>
    </r>
    <r>
      <rPr>
        <sz val="18"/>
        <rFont val="Helvetica 55 Roman"/>
        <family val="2"/>
      </rPr>
      <t xml:space="preserve"> del móvil robado o perdido y 
    recuperarlo en el nuevo móvil
</t>
    </r>
  </si>
  <si>
    <r>
      <t xml:space="preserve">Además disfrute de </t>
    </r>
    <r>
      <rPr>
        <b/>
        <sz val="18"/>
        <color rgb="FFFF6600"/>
        <rFont val="Helvetica 55 Roman"/>
        <family val="2"/>
      </rPr>
      <t xml:space="preserve">descuentos exclusivos </t>
    </r>
    <r>
      <rPr>
        <sz val="18"/>
        <rFont val="Helvetica 55 Roman"/>
        <family val="2"/>
      </rPr>
      <t>en sus cuotas de Seguro Móvil de hasta un 30%:</t>
    </r>
  </si>
  <si>
    <r>
      <rPr>
        <b/>
        <sz val="18"/>
        <rFont val="Helvetica 55 Roman"/>
        <family val="2"/>
      </rPr>
      <t>15%</t>
    </r>
    <r>
      <rPr>
        <sz val="18"/>
        <rFont val="Helvetica 55 Roman"/>
        <family val="2"/>
      </rPr>
      <t xml:space="preserve">
de 3 a 5 líneas</t>
    </r>
  </si>
  <si>
    <r>
      <rPr>
        <b/>
        <sz val="18"/>
        <rFont val="Helvetica 55 Roman"/>
        <family val="2"/>
      </rPr>
      <t>20%</t>
    </r>
    <r>
      <rPr>
        <sz val="18"/>
        <rFont val="Helvetica 55 Roman"/>
        <family val="2"/>
      </rPr>
      <t xml:space="preserve">
de 6 a 10 líneas</t>
    </r>
  </si>
  <si>
    <r>
      <rPr>
        <b/>
        <sz val="18"/>
        <rFont val="Helvetica 55 Roman"/>
        <family val="2"/>
      </rPr>
      <t>25%</t>
    </r>
    <r>
      <rPr>
        <sz val="18"/>
        <rFont val="Helvetica 55 Roman"/>
        <family val="2"/>
      </rPr>
      <t xml:space="preserve">
de 11 a 20 líneas</t>
    </r>
  </si>
  <si>
    <r>
      <rPr>
        <b/>
        <sz val="18"/>
        <rFont val="Helvetica 55 Roman"/>
        <family val="2"/>
      </rPr>
      <t>30%</t>
    </r>
    <r>
      <rPr>
        <sz val="18"/>
        <rFont val="Helvetica 55 Roman"/>
        <family val="2"/>
      </rPr>
      <t xml:space="preserve">
más de 20 líneas</t>
    </r>
  </si>
  <si>
    <r>
      <t xml:space="preserve">Para necesidades de comunicaciones de voz muy elevadas sin necesidad de comunicaciones de datos, dispone de la Tarifa Plana Global, un producto con </t>
    </r>
    <r>
      <rPr>
        <b/>
        <sz val="18"/>
        <color indexed="53"/>
        <rFont val="Helvetica 55 Roman"/>
        <family val="2"/>
      </rPr>
      <t xml:space="preserve">6000 minutos de llamadas a destinos fijos y móviles en la zona Europa Plus (incluidos destinos nacionales). Su cuota mensual es de 30€ antes de descuentos </t>
    </r>
  </si>
  <si>
    <r>
      <t>Además, para las líneas</t>
    </r>
    <r>
      <rPr>
        <b/>
        <sz val="18"/>
        <rFont val="Helvetica 55 Roman"/>
        <family val="2"/>
      </rPr>
      <t xml:space="preserve"> en las que no tenga tarifa plana de voz</t>
    </r>
    <r>
      <rPr>
        <sz val="18"/>
        <rFont val="Helvetica 55 Roman"/>
        <family val="2"/>
      </rPr>
      <t>, le ofrecemos una única tarifa:</t>
    </r>
  </si>
  <si>
    <r>
      <t>Acceda a la gestión de estas funciones directamente desde su área de cliente en</t>
    </r>
    <r>
      <rPr>
        <b/>
        <sz val="15"/>
        <color indexed="53"/>
        <rFont val="Helvetica 55 Roman"/>
        <family val="2"/>
      </rPr>
      <t xml:space="preserve"> </t>
    </r>
    <r>
      <rPr>
        <b/>
        <u/>
        <sz val="15"/>
        <color indexed="53"/>
        <rFont val="Helvetica 55 Roman"/>
        <family val="2"/>
      </rPr>
      <t>www.orange.es</t>
    </r>
    <r>
      <rPr>
        <b/>
        <sz val="15"/>
        <color indexed="53"/>
        <rFont val="Helvetica 55 Roman"/>
        <family val="2"/>
      </rPr>
      <t>.</t>
    </r>
  </si>
  <si>
    <r>
      <t xml:space="preserve">Cabecera de puesto de operadora: </t>
    </r>
    <r>
      <rPr>
        <b/>
        <sz val="16"/>
        <color indexed="53"/>
        <rFont val="Helvetica 55 Roman"/>
        <family val="2"/>
      </rPr>
      <t>sin coste</t>
    </r>
  </si>
  <si>
    <r>
      <t xml:space="preserve">Cabecera de grupo de salto: </t>
    </r>
    <r>
      <rPr>
        <b/>
        <sz val="16"/>
        <color indexed="53"/>
        <rFont val="Helvetica 55 Roman"/>
        <family val="2"/>
      </rPr>
      <t>sin coste</t>
    </r>
  </si>
  <si>
    <r>
      <rPr>
        <b/>
        <sz val="18"/>
        <rFont val="Helvetica 55 Roman"/>
        <family val="2"/>
      </rPr>
      <t>Agente de centralita virtual</t>
    </r>
    <r>
      <rPr>
        <b/>
        <sz val="18"/>
        <color indexed="53"/>
        <rFont val="Helvetica 55 Roman"/>
        <family val="2"/>
      </rPr>
      <t>: 5€/línea/mes</t>
    </r>
  </si>
  <si>
    <r>
      <t xml:space="preserve">El tráfico que computa para alcanzar los umbrales del descuento por ser cliente de valor es el tráfico de voz nacional, internacional y en roaming tarificado en todas sus líneas con Tarifa Óptima RPV, así como las cuotas de productos de voz y datos contratados en esas líneas. 
El descuento aplicará sobre el tráfico de voz nacional, internacional y en roaming tarificado en todas sus líneas con Tarifa Óptima RPV, así como sobre las cuotas de productos de voz y datos contratadas en las mismas. </t>
    </r>
    <r>
      <rPr>
        <b/>
        <sz val="18"/>
        <rFont val="Helvetica 55 Roman"/>
        <family val="2"/>
      </rPr>
      <t>El % de descuento variará en función de su consumo mensual</t>
    </r>
    <r>
      <rPr>
        <sz val="18"/>
        <rFont val="Helvetica 55 Roman"/>
        <family val="2"/>
      </rPr>
      <t xml:space="preserve">. Este descuento está condicionado a la permanencia en tarifa. </t>
    </r>
  </si>
  <si>
    <r>
      <t>Estas son las opciones de tarifa plana de internet de alta velocidad</t>
    </r>
    <r>
      <rPr>
        <b/>
        <sz val="18"/>
        <rFont val="Helvetica 55 Roman"/>
        <family val="2"/>
      </rPr>
      <t xml:space="preserve"> </t>
    </r>
    <r>
      <rPr>
        <sz val="18"/>
        <rFont val="Helvetica 55 Roman"/>
        <family val="2"/>
      </rPr>
      <t>para efectuar tráfico de</t>
    </r>
    <r>
      <rPr>
        <b/>
        <sz val="18"/>
        <rFont val="Helvetica 55 Roman"/>
        <family val="2"/>
      </rPr>
      <t xml:space="preserve"> datos en movilidad desde un portátil o tablet:</t>
    </r>
  </si>
  <si>
    <r>
      <t xml:space="preserve">incluye </t>
    </r>
    <r>
      <rPr>
        <b/>
        <sz val="18"/>
        <rFont val="Helvetica 55 Roman"/>
        <family val="2"/>
      </rPr>
      <t>10GB</t>
    </r>
    <r>
      <rPr>
        <sz val="18"/>
        <rFont val="Helvetica 55 Roman"/>
        <family val="2"/>
      </rPr>
      <t xml:space="preserve"> de datos a máxima velocidad
compatible con </t>
    </r>
    <r>
      <rPr>
        <b/>
        <sz val="18"/>
        <color indexed="53"/>
        <rFont val="Helvetica 55 Roman"/>
        <family val="2"/>
      </rPr>
      <t>4G</t>
    </r>
  </si>
  <si>
    <r>
      <t xml:space="preserve">Para un acceso de </t>
    </r>
    <r>
      <rPr>
        <b/>
        <sz val="18"/>
        <rFont val="Helvetica 55 Roman"/>
        <family val="2"/>
      </rPr>
      <t xml:space="preserve">datos de alta velocidad desde la oficina, </t>
    </r>
    <r>
      <rPr>
        <sz val="18"/>
        <rFont val="Helvetica 55 Roman"/>
        <family val="2"/>
      </rPr>
      <t>con un router WiFi 4G, le ofrecemos:</t>
    </r>
  </si>
  <si>
    <t>Datos móviles en roaming: tarifa por defecto</t>
  </si>
  <si>
    <t>Datos móviles en roaming: Travel data diario</t>
  </si>
  <si>
    <t xml:space="preserve">coste </t>
  </si>
  <si>
    <t>Página 1 de 13</t>
  </si>
  <si>
    <t>Página 2 de 13</t>
  </si>
  <si>
    <t>Página 3 de 13</t>
  </si>
  <si>
    <t>Página 4 de 13</t>
  </si>
  <si>
    <t>Página 5 de 13</t>
  </si>
  <si>
    <t>Página 6 de 13</t>
  </si>
  <si>
    <t>Página 7 de 13</t>
  </si>
  <si>
    <t>Página 8 de 13</t>
  </si>
  <si>
    <t>Página 9 de 13</t>
  </si>
  <si>
    <t>Página 10 de 13</t>
  </si>
  <si>
    <t>Página 11 de 13</t>
  </si>
  <si>
    <t>Página 12 de 13</t>
  </si>
  <si>
    <t>Página 13 de 13</t>
  </si>
  <si>
    <r>
      <t xml:space="preserve">Para necesidades de comunicaciones de voz muy elevadas sin necesidad de comunicaciones de datos, dispone de la Tarifa Plana Global, un producto con </t>
    </r>
    <r>
      <rPr>
        <b/>
        <sz val="18"/>
        <color indexed="53"/>
        <rFont val="Helvetica 55 Roman"/>
        <family val="2"/>
      </rPr>
      <t xml:space="preserve">6000 minutos de llamadas a destinos fijos y móviles en la zona Europa Plus (incluidos destinos nacionales). Su cuota mensual es de 30€.  </t>
    </r>
  </si>
  <si>
    <r>
      <t xml:space="preserve">Y disfrute de la </t>
    </r>
    <r>
      <rPr>
        <b/>
        <sz val="18"/>
        <color rgb="FFFF6600"/>
        <rFont val="Helvetica 55 Roman"/>
        <family val="2"/>
      </rPr>
      <t>app Seguro Móvil</t>
    </r>
    <r>
      <rPr>
        <sz val="18"/>
        <rFont val="Helvetica 55 Roman"/>
        <family val="2"/>
      </rPr>
      <t>, que le permitirá: 
   ·</t>
    </r>
    <r>
      <rPr>
        <b/>
        <sz val="18"/>
        <color rgb="FFFF6600"/>
        <rFont val="Helvetica 55 Roman"/>
        <family val="2"/>
      </rPr>
      <t>localizar su móvil</t>
    </r>
    <r>
      <rPr>
        <sz val="18"/>
        <rFont val="Helvetica 55 Roman"/>
        <family val="2"/>
      </rPr>
      <t xml:space="preserve">
   ·</t>
    </r>
    <r>
      <rPr>
        <b/>
        <sz val="18"/>
        <color rgb="FFFF6600"/>
        <rFont val="Helvetica 55 Roman"/>
        <family val="2"/>
      </rPr>
      <t>bloquearlo</t>
    </r>
    <r>
      <rPr>
        <sz val="18"/>
        <rFont val="Helvetica 55 Roman"/>
        <family val="2"/>
      </rPr>
      <t xml:space="preserve"> y hacer sonar una alarma
   ·</t>
    </r>
    <r>
      <rPr>
        <b/>
        <sz val="18"/>
        <color rgb="FFFF6600"/>
        <rFont val="Helvetica 55 Roman"/>
        <family val="2"/>
      </rPr>
      <t>borrar el contenido</t>
    </r>
    <r>
      <rPr>
        <sz val="18"/>
        <rFont val="Helvetica 55 Roman"/>
        <family val="2"/>
      </rPr>
      <t xml:space="preserve"> del móvil robado o perdido y  recuperarlo en el nuevo móvil
</t>
    </r>
  </si>
  <si>
    <r>
      <t xml:space="preserve">Y disfrute de la </t>
    </r>
    <r>
      <rPr>
        <b/>
        <sz val="18"/>
        <color rgb="FFFF6600"/>
        <rFont val="Helvetica 55 Roman"/>
        <family val="2"/>
      </rPr>
      <t>app Seguro Móvil</t>
    </r>
    <r>
      <rPr>
        <sz val="18"/>
        <rFont val="Helvetica 55 Roman"/>
        <family val="2"/>
      </rPr>
      <t>, que le permitirá: 
   ·</t>
    </r>
    <r>
      <rPr>
        <b/>
        <sz val="18"/>
        <color rgb="FFFF6600"/>
        <rFont val="Helvetica 55 Roman"/>
        <family val="2"/>
      </rPr>
      <t>localizar su móvil</t>
    </r>
    <r>
      <rPr>
        <sz val="18"/>
        <rFont val="Helvetica 55 Roman"/>
        <family val="2"/>
      </rPr>
      <t xml:space="preserve">
   ·</t>
    </r>
    <r>
      <rPr>
        <b/>
        <sz val="18"/>
        <color rgb="FFFF6600"/>
        <rFont val="Helvetica 55 Roman"/>
        <family val="2"/>
      </rPr>
      <t>bloquearlo</t>
    </r>
    <r>
      <rPr>
        <sz val="18"/>
        <rFont val="Helvetica 55 Roman"/>
        <family val="2"/>
      </rPr>
      <t xml:space="preserve"> y hacer sonar una alarma
   ·</t>
    </r>
    <r>
      <rPr>
        <b/>
        <sz val="18"/>
        <color rgb="FFFF6600"/>
        <rFont val="Helvetica 55 Roman"/>
        <family val="2"/>
      </rPr>
      <t>borrar el contenido</t>
    </r>
    <r>
      <rPr>
        <sz val="18"/>
        <rFont val="Helvetica 55 Roman"/>
        <family val="2"/>
      </rPr>
      <t xml:space="preserve"> del móvil robado o perdido y recuperarlo en el nuevo móvil
</t>
    </r>
  </si>
  <si>
    <t>Descárguesela ya desde App Store</t>
  </si>
  <si>
    <t>o/w Conecta Pymes</t>
  </si>
  <si>
    <t>0,60 €/SMS</t>
  </si>
  <si>
    <t xml:space="preserve">Tráfico en internacional y roaming </t>
  </si>
  <si>
    <t>Estados Unidos, Canadá y Caribe</t>
  </si>
  <si>
    <t>Recuerda que Travel voz semanal y Travel data semanal no tienen descuentos de ningún tipo</t>
  </si>
  <si>
    <t>Total facturación estimada en móvil y en líneas de datos 4G para su oficina</t>
  </si>
  <si>
    <t>Tarifa Internet Móvil Pro o 4G en tu negocio</t>
  </si>
  <si>
    <t>total sedes</t>
  </si>
  <si>
    <t>Descuento por contratación de múltiples packs</t>
  </si>
  <si>
    <t>En caso de activación del producto Conecta PYMES con Soluciones Personalizadas RPV a partir de esta propuesta, tendrá derecho a una mejora de condiciones, según se indica en la propuesta. La mejora de condiciones se aplicará siempre que el responsable de pago de la factura de Soluciones Personalizadas RPV y Conecta PYMES sea el mismo. La mejora de condiciones está asociada a la activación y mantenimiento de los productos Conecta PYMES y Soluciones Personalizadas RPV en el cliente; en caso de baja de alguno de ellos, se perderá el descuento</t>
  </si>
  <si>
    <t>desaparece 3GB</t>
  </si>
  <si>
    <t>En IEW Pro 10GB damos 68/algo menos de doble cuota</t>
  </si>
  <si>
    <t>En IEW Pro 3GB dábamos 45/más del doble de cuota</t>
  </si>
  <si>
    <t>En nueva 5GB cambia la cuota, no sabemos margen que tendrá… damos doble de cuota</t>
  </si>
  <si>
    <t>IM pro 5GB</t>
  </si>
  <si>
    <t>producto contratado con Jazztel</t>
  </si>
  <si>
    <t>Centrex 2</t>
  </si>
  <si>
    <t>Centrex &gt; 4</t>
  </si>
  <si>
    <t>Esta en DDBB de Jazztel</t>
  </si>
  <si>
    <t>Oferta cliente cross-selling Jazztel</t>
  </si>
  <si>
    <t>Pack Empresa 3</t>
  </si>
  <si>
    <t>Pack Empresa 2/2D</t>
  </si>
  <si>
    <t>Centrex 3</t>
  </si>
  <si>
    <t>Centrex 4</t>
  </si>
  <si>
    <t>Pack Empresa 4/4D</t>
  </si>
  <si>
    <t>Pack Empresa 6/6D</t>
  </si>
  <si>
    <t>Pack Empresa 8/8D</t>
  </si>
  <si>
    <t>Rellenar sólo si el cliente tiene contratado un producto fijo para PYMES con Jazztel, y está en la base de datos de Cross-selling</t>
  </si>
  <si>
    <r>
      <rPr>
        <b/>
        <sz val="22"/>
        <color rgb="FFFF6600"/>
        <rFont val="Helvetica 55 Roman"/>
        <family val="2"/>
      </rPr>
      <t>·</t>
    </r>
    <r>
      <rPr>
        <sz val="22"/>
        <color indexed="53"/>
        <rFont val="Helvetica 55 Roman"/>
        <family val="2"/>
      </rPr>
      <t xml:space="preserve"> </t>
    </r>
    <r>
      <rPr>
        <sz val="18"/>
        <rFont val="Helvetica 55 Roman"/>
        <family val="2"/>
      </rPr>
      <t>Internet (en base al tipo de acceso):</t>
    </r>
  </si>
  <si>
    <t>· ADSL máxima velocidad 20Mbps</t>
  </si>
  <si>
    <r>
      <rPr>
        <b/>
        <sz val="22"/>
        <color rgb="FFFF6600"/>
        <rFont val="Helvetica 55 Roman"/>
        <family val="2"/>
      </rPr>
      <t>·</t>
    </r>
    <r>
      <rPr>
        <sz val="22"/>
        <color indexed="53"/>
        <rFont val="Helvetica 55 Roman"/>
        <family val="2"/>
      </rPr>
      <t xml:space="preserve"> </t>
    </r>
    <r>
      <rPr>
        <sz val="18"/>
        <rFont val="Helvetica 55 Roman"/>
        <family val="2"/>
      </rPr>
      <t>Tarifa plana 24h a fijos nacionales y móviles Orange:</t>
    </r>
  </si>
  <si>
    <r>
      <rPr>
        <b/>
        <sz val="22"/>
        <color rgb="FFFF6600"/>
        <rFont val="Helvetica 55 Roman"/>
        <family val="2"/>
      </rPr>
      <t>·</t>
    </r>
    <r>
      <rPr>
        <sz val="22"/>
        <color indexed="53"/>
        <rFont val="Helvetica 55 Roman"/>
        <family val="2"/>
      </rPr>
      <t xml:space="preserve"> </t>
    </r>
    <r>
      <rPr>
        <sz val="18"/>
        <rFont val="Helvetica 55 Roman"/>
        <family val="2"/>
      </rPr>
      <t>Instalación realizada por técnicos expertos de Orange, que verificarán con usted la correcta activación</t>
    </r>
  </si>
  <si>
    <r>
      <rPr>
        <b/>
        <sz val="22"/>
        <color rgb="FFFF6600"/>
        <rFont val="Helvetica 55 Roman"/>
        <family val="2"/>
      </rPr>
      <t>·</t>
    </r>
    <r>
      <rPr>
        <sz val="22"/>
        <color indexed="53"/>
        <rFont val="Helvetica 55 Roman"/>
        <family val="2"/>
      </rPr>
      <t xml:space="preserve"> </t>
    </r>
    <r>
      <rPr>
        <sz val="18"/>
        <rFont val="Helvetica 55 Roman"/>
        <family val="2"/>
      </rPr>
      <t>Sin coste de alta ni alquiler de línea</t>
    </r>
  </si>
  <si>
    <r>
      <rPr>
        <b/>
        <sz val="22"/>
        <color rgb="FFFF6600"/>
        <rFont val="Helvetica 55 Roman"/>
        <family val="2"/>
      </rPr>
      <t>·</t>
    </r>
    <r>
      <rPr>
        <sz val="22"/>
        <color indexed="53"/>
        <rFont val="Helvetica 55 Roman"/>
        <family val="2"/>
      </rPr>
      <t xml:space="preserve"> </t>
    </r>
    <r>
      <rPr>
        <sz val="18"/>
        <rFont val="Helvetica 55 Roman"/>
        <family val="2"/>
      </rPr>
      <t>Soporte técnico especializado 24x7, con tiempos de resolución garantizados por contrato</t>
    </r>
  </si>
  <si>
    <t>Es un servicio dirigido a empresas como la suya, que desean disfrutar de un avanzado servicio de centralita IP, puestos fijos de voz con tarifa plana a fijos y móviles, e internet, y quieran ahorrar en sus comunicaciones fijas</t>
  </si>
  <si>
    <t>Conecta Pymes IP</t>
  </si>
  <si>
    <t>Su oferta con Conecta Pymes IP incluye:</t>
  </si>
  <si>
    <r>
      <rPr>
        <b/>
        <sz val="22"/>
        <color rgb="FFFF6600"/>
        <rFont val="Helvetica 55 Roman"/>
        <family val="2"/>
      </rPr>
      <t>·</t>
    </r>
    <r>
      <rPr>
        <sz val="22"/>
        <color indexed="53"/>
        <rFont val="Helvetica 55 Roman"/>
        <family val="2"/>
      </rPr>
      <t xml:space="preserve"> </t>
    </r>
    <r>
      <rPr>
        <sz val="18"/>
        <rFont val="Helvetica 55 Roman"/>
        <family val="2"/>
      </rPr>
      <t>Telefonía fija con 4 canales de voz garantizados</t>
    </r>
  </si>
  <si>
    <r>
      <rPr>
        <b/>
        <sz val="22"/>
        <color rgb="FFFF6600"/>
        <rFont val="Helvetica 55 Roman"/>
        <family val="2"/>
      </rPr>
      <t>·</t>
    </r>
    <r>
      <rPr>
        <sz val="22"/>
        <color indexed="53"/>
        <rFont val="Helvetica 55 Roman"/>
        <family val="2"/>
      </rPr>
      <t xml:space="preserve"> </t>
    </r>
    <r>
      <rPr>
        <sz val="18"/>
        <rFont val="Helvetica 55 Roman"/>
        <family val="2"/>
      </rPr>
      <t>Telefonía fija con 2 canales de voz garantizados</t>
    </r>
  </si>
  <si>
    <r>
      <rPr>
        <b/>
        <sz val="22"/>
        <color rgb="FFFF6600"/>
        <rFont val="Helvetica 55 Roman"/>
        <family val="2"/>
      </rPr>
      <t>·</t>
    </r>
    <r>
      <rPr>
        <sz val="22"/>
        <color indexed="53"/>
        <rFont val="Helvetica 55 Roman"/>
        <family val="2"/>
      </rPr>
      <t xml:space="preserve"> </t>
    </r>
    <r>
      <rPr>
        <sz val="18"/>
        <rFont val="Helvetica 55 Roman"/>
        <family val="2"/>
      </rPr>
      <t>Tarifa plana 24h a todos los destinos nacionales, fijos y móviles de cualquier operador</t>
    </r>
  </si>
  <si>
    <r>
      <rPr>
        <b/>
        <sz val="22"/>
        <color rgb="FFFF6600"/>
        <rFont val="Helvetica 55 Roman"/>
        <family val="2"/>
      </rPr>
      <t>·</t>
    </r>
    <r>
      <rPr>
        <sz val="22"/>
        <color indexed="53"/>
        <rFont val="Helvetica 55 Roman"/>
        <family val="2"/>
      </rPr>
      <t xml:space="preserve"> </t>
    </r>
    <r>
      <rPr>
        <sz val="18"/>
        <rFont val="Helvetica 55 Roman"/>
        <family val="2"/>
      </rPr>
      <t xml:space="preserve">Funciones de centralita IP (operadora automática) </t>
    </r>
  </si>
  <si>
    <r>
      <rPr>
        <b/>
        <sz val="22"/>
        <color rgb="FFFF6600"/>
        <rFont val="Helvetica 55 Roman"/>
        <family val="2"/>
      </rPr>
      <t>·</t>
    </r>
    <r>
      <rPr>
        <sz val="22"/>
        <color indexed="53"/>
        <rFont val="Helvetica 55 Roman"/>
        <family val="2"/>
      </rPr>
      <t xml:space="preserve"> </t>
    </r>
    <r>
      <rPr>
        <sz val="18"/>
        <rFont val="Helvetica 55 Roman"/>
        <family val="2"/>
      </rPr>
      <t>Avanzados teléfonos IP</t>
    </r>
  </si>
  <si>
    <r>
      <rPr>
        <b/>
        <sz val="22"/>
        <color rgb="FFFF6600"/>
        <rFont val="Helvetica 55 Roman"/>
        <family val="2"/>
      </rPr>
      <t>·</t>
    </r>
    <r>
      <rPr>
        <sz val="22"/>
        <color indexed="53"/>
        <rFont val="Helvetica 55 Roman"/>
        <family val="2"/>
      </rPr>
      <t xml:space="preserve"> </t>
    </r>
    <r>
      <rPr>
        <sz val="18"/>
        <rFont val="Helvetica 55 Roman"/>
        <family val="2"/>
      </rPr>
      <t xml:space="preserve">Instalación realizada por técnicos expertos de Orange, que verificarán con usted la correcta activación </t>
    </r>
  </si>
  <si>
    <t xml:space="preserve">Es un servicio dirigido a empresas como la suya, con Internet y múltiples líneas de voz fija, con tarifa plana a fijos y móviles Orange y que quiera mantener sus teléfonos fijos y/o centralitas, ahorrando en sus comunicaciones fijas. </t>
  </si>
  <si>
    <r>
      <rPr>
        <sz val="18"/>
        <color indexed="53"/>
        <rFont val="Helvetica 55 Roman"/>
        <family val="2"/>
      </rPr>
      <t>·</t>
    </r>
    <r>
      <rPr>
        <sz val="18"/>
        <rFont val="Helvetica 55 Roman"/>
        <family val="2"/>
      </rPr>
      <t>restringir llamadas a determinados destinos: puede escoger si sus empleados pueden llamarse sólo entre ellos, sólo a destinos nacionales o también a destinos internacionales</t>
    </r>
  </si>
  <si>
    <r>
      <rPr>
        <sz val="18"/>
        <color indexed="53"/>
        <rFont val="Helvetica 55 Roman"/>
        <family val="2"/>
      </rPr>
      <t>·</t>
    </r>
    <r>
      <rPr>
        <sz val="18"/>
        <rFont val="Helvetica 55 Roman"/>
        <family val="2"/>
      </rPr>
      <t>restringir llamadas por franjas horarias y días de la semana</t>
    </r>
  </si>
  <si>
    <r>
      <rPr>
        <sz val="18"/>
        <color indexed="53"/>
        <rFont val="Helvetica 55 Roman"/>
        <family val="2"/>
      </rPr>
      <t>·</t>
    </r>
    <r>
      <rPr>
        <sz val="18"/>
        <rFont val="Helvetica 55 Roman"/>
        <family val="2"/>
      </rPr>
      <t>asignar números cortos a sus empleados</t>
    </r>
  </si>
  <si>
    <r>
      <rPr>
        <sz val="18"/>
        <color indexed="53"/>
        <rFont val="Helvetica 55 Roman"/>
        <family val="2"/>
      </rPr>
      <t>·</t>
    </r>
    <r>
      <rPr>
        <sz val="18"/>
        <rFont val="Helvetica 55 Roman"/>
        <family val="2"/>
      </rPr>
      <t>establecer desvíos si la línea está ocupada o no contesta</t>
    </r>
  </si>
  <si>
    <r>
      <rPr>
        <sz val="18"/>
        <color indexed="53"/>
        <rFont val="Helvetica 55 Roman"/>
        <family val="2"/>
      </rPr>
      <t>·</t>
    </r>
    <r>
      <rPr>
        <sz val="18"/>
        <rFont val="Helvetica 55 Roman"/>
        <family val="2"/>
      </rPr>
      <t>organizar sus líneas y consultar el estado en cualquier momento</t>
    </r>
  </si>
  <si>
    <r>
      <rPr>
        <sz val="18"/>
        <color indexed="53"/>
        <rFont val="Helvetica 55 Roman"/>
        <family val="2"/>
      </rPr>
      <t>·</t>
    </r>
    <r>
      <rPr>
        <sz val="18"/>
        <rFont val="Helvetica 55 Roman"/>
        <family val="2"/>
      </rPr>
      <t>Telefonía fija con múltiples líneas fijas de voz, con posibilidad de funcionalidades de Centralita y teléfonos fijos (IP o analógicos)</t>
    </r>
  </si>
  <si>
    <r>
      <rPr>
        <sz val="18"/>
        <color indexed="53"/>
        <rFont val="Helvetica 55 Roman"/>
        <family val="2"/>
      </rPr>
      <t>·</t>
    </r>
    <r>
      <rPr>
        <sz val="18"/>
        <rFont val="Helvetica 55 Roman"/>
        <family val="2"/>
      </rPr>
      <t>Atención personalizada y servicio garantizado</t>
    </r>
  </si>
  <si>
    <r>
      <rPr>
        <sz val="18"/>
        <color indexed="53"/>
        <rFont val="Helvetica 55 Roman"/>
        <family val="2"/>
      </rPr>
      <t xml:space="preserve">· </t>
    </r>
    <r>
      <rPr>
        <sz val="18"/>
        <rFont val="Helvetica 55 Roman"/>
        <family val="2"/>
      </rPr>
      <t>y todo ello, sin tener que invertir en equipamiento y sin gastos de mantenimiento.</t>
    </r>
  </si>
  <si>
    <r>
      <rPr>
        <sz val="18"/>
        <color indexed="53"/>
        <rFont val="Helvetica 55 Roman"/>
        <family val="2"/>
      </rPr>
      <t xml:space="preserve">· </t>
    </r>
    <r>
      <rPr>
        <sz val="18"/>
        <rFont val="Helvetica 55 Roman"/>
        <family val="2"/>
      </rPr>
      <t>podrá conservar su número fijo de siempre, incluso si cambia la ubicación de su oficina o solicitar nueva numeración fija si lo desea.</t>
    </r>
  </si>
  <si>
    <r>
      <rPr>
        <sz val="18"/>
        <color indexed="53"/>
        <rFont val="Helvetica 55 Roman"/>
        <family val="2"/>
      </rPr>
      <t xml:space="preserve">· </t>
    </r>
    <r>
      <rPr>
        <sz val="18"/>
        <rFont val="Helvetica 55 Roman"/>
        <family val="2"/>
      </rPr>
      <t>además, podrá decidir cuándo contestar las llamadas dirigidas a su teléfono fijo y cuando dirigirlas a su buzón de voz. De forma sencilla.</t>
    </r>
  </si>
  <si>
    <r>
      <rPr>
        <sz val="18"/>
        <color indexed="53"/>
        <rFont val="Helvetica 55 Roman"/>
        <family val="2"/>
      </rPr>
      <t xml:space="preserve">· </t>
    </r>
    <r>
      <rPr>
        <sz val="18"/>
        <rFont val="Helvetica 55 Roman"/>
        <family val="2"/>
      </rPr>
      <t>con total transparencia para sus clientes y proveedores, que seguirán llamando a un teléfono fijo, con independencia de que usted reciba la llamada en su móvil.</t>
    </r>
  </si>
  <si>
    <r>
      <rPr>
        <sz val="18"/>
        <color indexed="53"/>
        <rFont val="Helvetica 55 Roman"/>
        <family val="2"/>
      </rPr>
      <t xml:space="preserve">· </t>
    </r>
    <r>
      <rPr>
        <sz val="18"/>
        <rFont val="Helvetica 55 Roman"/>
        <family val="2"/>
      </rPr>
      <t>para los empleados que siempre estén en oficina y no necesiten movilidad podrá elegir terminales móviles de sobremesa con diseño de teléfonos fijos</t>
    </r>
  </si>
  <si>
    <r>
      <rPr>
        <sz val="18"/>
        <color indexed="53"/>
        <rFont val="Helvetica 55 Roman"/>
        <family val="2"/>
      </rPr>
      <t xml:space="preserve">· </t>
    </r>
    <r>
      <rPr>
        <sz val="18"/>
        <rFont val="Helvetica 55 Roman"/>
        <family val="2"/>
      </rPr>
      <t>podrá definir uno o varios puestos de operadora, desde los que recibir y gestionar llamadas</t>
    </r>
  </si>
  <si>
    <r>
      <rPr>
        <sz val="18"/>
        <color indexed="53"/>
        <rFont val="Helvetica 55 Roman"/>
        <family val="2"/>
      </rPr>
      <t xml:space="preserve">· </t>
    </r>
    <r>
      <rPr>
        <sz val="18"/>
        <rFont val="Helvetica 55 Roman"/>
        <family val="2"/>
      </rPr>
      <t>podrá definir grupos de salto para no perder ninguna llamada y atenderla siempre por el empleado más adecuado</t>
    </r>
  </si>
  <si>
    <r>
      <rPr>
        <sz val="18"/>
        <color indexed="53"/>
        <rFont val="Helvetica 55 Roman"/>
        <family val="2"/>
      </rPr>
      <t xml:space="preserve">· </t>
    </r>
    <r>
      <rPr>
        <sz val="18"/>
        <rFont val="Helvetica 55 Roman"/>
        <family val="2"/>
      </rPr>
      <t>dispondrá de locuciones con las que informar al llamante mientras su llamada es atendida</t>
    </r>
  </si>
  <si>
    <r>
      <rPr>
        <sz val="18"/>
        <color indexed="53"/>
        <rFont val="Helvetica 55 Roman"/>
        <family val="2"/>
      </rPr>
      <t xml:space="preserve">· </t>
    </r>
    <r>
      <rPr>
        <sz val="18"/>
        <rFont val="Helvetica 55 Roman"/>
        <family val="2"/>
      </rPr>
      <t>podrá incluir como usuarios de su centralita no sólo a sus empleados de oficina, también a quienes sólo disponen de móvil</t>
    </r>
  </si>
  <si>
    <r>
      <rPr>
        <sz val="18"/>
        <color rgb="FFFF6600"/>
        <rFont val="Helvetica 55 Roman"/>
        <family val="2"/>
      </rPr>
      <t xml:space="preserve">· </t>
    </r>
    <r>
      <rPr>
        <sz val="18"/>
        <rFont val="Helvetica 55 Roman"/>
        <family val="2"/>
      </rPr>
      <t>restringir llamadas a determinados destinos: puede escoger si sus empleados pueden llamarse sólo entre ellos, sólo a destinos nacionales o también a destinos internacionales</t>
    </r>
  </si>
  <si>
    <r>
      <rPr>
        <sz val="18"/>
        <color indexed="53"/>
        <rFont val="Helvetica 55 Roman"/>
        <family val="2"/>
      </rPr>
      <t xml:space="preserve">· </t>
    </r>
    <r>
      <rPr>
        <sz val="18"/>
        <rFont val="Helvetica 55 Roman"/>
        <family val="2"/>
      </rPr>
      <t>restringir llamadas por franjas horarias y días de la semana</t>
    </r>
  </si>
  <si>
    <r>
      <rPr>
        <sz val="18"/>
        <color indexed="53"/>
        <rFont val="Helvetica 55 Roman"/>
        <family val="2"/>
      </rPr>
      <t xml:space="preserve">· </t>
    </r>
    <r>
      <rPr>
        <sz val="18"/>
        <rFont val="Helvetica 55 Roman"/>
        <family val="2"/>
      </rPr>
      <t>asignar números cortos a sus empleados</t>
    </r>
  </si>
  <si>
    <r>
      <rPr>
        <sz val="18"/>
        <color indexed="53"/>
        <rFont val="Helvetica 55 Roman"/>
        <family val="2"/>
      </rPr>
      <t xml:space="preserve">· </t>
    </r>
    <r>
      <rPr>
        <sz val="18"/>
        <rFont val="Helvetica 55 Roman"/>
        <family val="2"/>
      </rPr>
      <t>establecer desvíos si la línea está ocupada o no contesta</t>
    </r>
  </si>
  <si>
    <r>
      <rPr>
        <sz val="18"/>
        <color indexed="53"/>
        <rFont val="Helvetica 55 Roman"/>
        <family val="2"/>
      </rPr>
      <t xml:space="preserve">· </t>
    </r>
    <r>
      <rPr>
        <sz val="18"/>
        <rFont val="Helvetica 55 Roman"/>
        <family val="2"/>
      </rPr>
      <t>organizar sus líneas y consultar el estado en cualquier momento</t>
    </r>
  </si>
  <si>
    <r>
      <rPr>
        <sz val="18"/>
        <color indexed="53"/>
        <rFont val="Helvetica 55 Roman"/>
        <family val="2"/>
      </rPr>
      <t xml:space="preserve">· </t>
    </r>
    <r>
      <rPr>
        <sz val="18"/>
        <rFont val="Helvetica 55 Roman"/>
        <family val="2"/>
      </rPr>
      <t xml:space="preserve"> y todo ello, sin tener que invertir en equipamiento y sin gastos de mantenimiento.</t>
    </r>
  </si>
  <si>
    <t>Fijo: cliente cross-selling Jazztel</t>
  </si>
  <si>
    <t>Voz HD</t>
  </si>
  <si>
    <r>
      <t xml:space="preserve">Este servicio funciona automáticamente en </t>
    </r>
    <r>
      <rPr>
        <b/>
        <sz val="18"/>
        <color rgb="FFFF6600"/>
        <rFont val="Helvetica 55 Roman"/>
        <family val="2"/>
      </rPr>
      <t xml:space="preserve">llamadas entre móviles de Orange </t>
    </r>
    <r>
      <rPr>
        <sz val="18"/>
        <rFont val="Helvetica 55 Roman"/>
        <family val="2"/>
      </rPr>
      <t xml:space="preserve">con un terminal compatible. Puede consultar los terminales compatibles en orange.es </t>
    </r>
  </si>
  <si>
    <r>
      <t xml:space="preserve">Ahora además, todas sus líneas tendrán el nuevo servicio de </t>
    </r>
    <r>
      <rPr>
        <b/>
        <sz val="18"/>
        <color rgb="FFFF6600"/>
        <rFont val="Helvetica 55 Roman"/>
        <family val="2"/>
      </rPr>
      <t>Voz HD</t>
    </r>
    <r>
      <rPr>
        <sz val="18"/>
        <rFont val="Helvetica 55 Roman"/>
        <family val="2"/>
      </rPr>
      <t xml:space="preserve">, voz en alta definición, que hace que las llamadas sean mucho más nítidas y claras, incluso con ruido de ambiente. 
Con Voz HD las conversaciones son más naturales y cercanas. 
Además la voz tiene más matices, lo que permite identificar mejor las palabras y al interlocutor.
</t>
    </r>
  </si>
  <si>
    <r>
      <rPr>
        <b/>
        <sz val="22"/>
        <color rgb="FFFF6600"/>
        <rFont val="Helvetica 55 Roman"/>
        <family val="2"/>
      </rPr>
      <t>·</t>
    </r>
    <r>
      <rPr>
        <sz val="22"/>
        <color indexed="53"/>
        <rFont val="Helvetica 55 Roman"/>
        <family val="2"/>
      </rPr>
      <t xml:space="preserve"> </t>
    </r>
    <r>
      <rPr>
        <sz val="18"/>
        <rFont val="Helvetica 55 Roman"/>
        <family val="2"/>
      </rPr>
      <t>2 puertos analógicos de voz (para conectar teléfonos analógicos y faxes)</t>
    </r>
  </si>
  <si>
    <t>Compromiso de permanencia del servicio Conecta Pymes: 18 meses. Conecta Pymes IP y Conecta Pymes fibra: 24 meses. Conecta Pymes incluye por defecto tarifa plana de voz 24h. a fijos nacionales y móviles Orange. Límite 2.000 min. por línea y mes. Conecta Pymes IP (fibra) incluye por defecto tarifa plana de voz 24h. a fijos nacionales y móviles  con un límite de 8.000 min/mes. Tarifas planas a móviles no Orange, de 250 min.: 9€/mes y 600 min.: 19€/mes. Resto de llamadas se facturarán de acuerdo al Plan Negocio. Precio de DDI (número fijo geográfico) para los paquetes para centralita de 2€/mes. Precio de IP fija: 12€/mes. Ver detalle de condiciones legales del producto en www.orange.es/legal/. Se aplica un descuento multisede para cada uno de los segundos y sucesivos Conecta Pymes activos de un mismo cliente (CIF/NIF). Este descuento será de 20€, para clientes de 2 a 4 Conecta Pymes activos, y de 30€ para 5 o más, a excepción de Conecta Pymes 2A, cuyo descuento será de 10€ en el caso de 5 o más Conecta Pymes activos. En caso de reducción del número de Conecta Pymes activos por cliente, el descuento se actualizará a su tramo correspondiente.</t>
  </si>
  <si>
    <t>4G en tu oficina</t>
  </si>
  <si>
    <t>4G en tu negocio</t>
  </si>
  <si>
    <t>Internet Móvil Pro o 
Internet 4G en tu negocio/oficina</t>
  </si>
  <si>
    <t>Ilimitada+1GB</t>
  </si>
  <si>
    <t>150'+600MB</t>
  </si>
  <si>
    <t>Voz ilimitada + 1GB</t>
  </si>
  <si>
    <t>Descripción de su oferta de telefonía móvil: Tarifas planas de voz y datos 4G</t>
  </si>
  <si>
    <t>Si excede 6000€ no sale abono</t>
  </si>
  <si>
    <t>Servicios digitales</t>
  </si>
  <si>
    <t>Servicio</t>
  </si>
  <si>
    <t>Modalidad</t>
  </si>
  <si>
    <t>Las tarifas excluyen los servicios de tarificación especial como los destinos 80x, 90X y SMS/MMS Premium. Las llamadas realizadas a numeración 902, no están incluidas dentro de las cuotas de las tarifas y tendrán un coste adicional de 0,50/minuto, con coste establ. llamada de 15 cénts € (sin iva).</t>
  </si>
  <si>
    <t>Comunica SMS</t>
  </si>
  <si>
    <t>Orange Cloud Empresas</t>
  </si>
  <si>
    <t>Toma de datos</t>
  </si>
  <si>
    <t>Localización</t>
  </si>
  <si>
    <t>Disco compartido</t>
  </si>
  <si>
    <t>Videocolaboración</t>
  </si>
  <si>
    <t>cuota mensual por licencia</t>
  </si>
  <si>
    <t>3 salas de reunión virtuales al mes</t>
  </si>
  <si>
    <t>Servicios digitales: Orange Cloud Empresas</t>
  </si>
  <si>
    <t>Servicios digitales: Comunica SMS</t>
  </si>
  <si>
    <t>cuota 
mensual/licencia</t>
  </si>
  <si>
    <t>número licencias</t>
  </si>
  <si>
    <t>Office 365 Essentials</t>
  </si>
  <si>
    <t>Office 365 Premium</t>
  </si>
  <si>
    <t>Coste mensual estimado</t>
  </si>
  <si>
    <t>personalizable por CCEE!</t>
  </si>
  <si>
    <t>mayor</t>
  </si>
  <si>
    <t>dto/vol</t>
  </si>
  <si>
    <t>Oferta personalizada de servicios digitales</t>
  </si>
  <si>
    <r>
      <rPr>
        <sz val="18"/>
        <color indexed="53"/>
        <rFont val="Helvetica 55 Roman"/>
        <family val="2"/>
      </rPr>
      <t>·</t>
    </r>
    <r>
      <rPr>
        <sz val="18"/>
        <rFont val="Helvetica 55 Roman"/>
        <family val="2"/>
      </rPr>
      <t>Telefonía y acceso de datos desde el móvil, con acceso 4G incluido en todas las líneas con datos móviles</t>
    </r>
  </si>
  <si>
    <t>Servicios opcionales</t>
  </si>
  <si>
    <t>precio</t>
  </si>
  <si>
    <t>Tabla en la que vuelca selección que ha hecho comercial en hoja perfiles</t>
  </si>
  <si>
    <t>Tabla cálculos cuota por sede</t>
  </si>
  <si>
    <t>Oferta personalizada de comunicaciones fijas: Conecta Pymes</t>
  </si>
  <si>
    <t>Una completa gama de aplicaciones y servicios en la nube, para mejorar la productividad y los procesos de su empresa</t>
  </si>
  <si>
    <t xml:space="preserve">Trabaje en equipo en cualquier momento y lugar, como si estuviese en la oficina, y con total seguridad </t>
  </si>
  <si>
    <t>+Acceso a las versiones online de las aplicaciones de Office mediante navegador web
+ Correo profesional con Outlook: buzón de 50 GB, dirección propia, calendario y contactos.
+1 TB de almacenamiento y compartición de ficheros en la nube con OneDrive para Empresas.</t>
  </si>
  <si>
    <t>Sustituya los formularios y albaranes por documentos online, para automatizar los procesos de su empresa y ganar eficiencia</t>
  </si>
  <si>
    <t>Cuota por usuario</t>
  </si>
  <si>
    <t>Supervise sus recursos en movilidad y mantenga a su red de ventas siempre localizada, para una gestión más ágil y eficiente de su empresa</t>
  </si>
  <si>
    <t>Almacene hasta 100GB en la nube, y comparta contenidos como si estuviese en la oficina, con total seguridad</t>
  </si>
  <si>
    <t>cuota mensual/licencia</t>
  </si>
  <si>
    <t>Organice reuniones remotas y comparta contenidos entre los participantes en tiempo real, como si estuviesen en la misma sala, mediante este servicio de videoconferencia</t>
  </si>
  <si>
    <t>+ Compatible con tablets y smartphones.
+ Control geográfico de teléfonos: mejora de rutas, restricción de zonas, control de visitas.
+ Creación de informes y alertas: evaluación de rendimientos y ahorro de multas.
+ Administración y gestión: configuración de teléfonos, acceso a la aplicación desde cualquier lugar.</t>
  </si>
  <si>
    <t>+ Compatible con tablets y smartphones.
+ Control y gestión eficiente de la información en cualquier momento y lugar.
+ Comunicación online entre los empleados que trabajan en movilidad y la empresa.
+ Minimice el tiempo de reacción ante cualquier incidencia</t>
  </si>
  <si>
    <t>+ Compatible con tablets y smartphones.
+ Incremento de la productividad gracias a la colaboración en movilidad
+ Complente las políticas de BYOD manteniendo la información en un entorno seguro.
+ Control y restricción de las acciones con los documentos.</t>
  </si>
  <si>
    <t>+ Ahorre tiempo y costes de desplazamiento
+ Durante una videoconferencia, puede compartir, revisar y almacenar documentos, realizar gráficos en tiempo real, navegar a cualquier de una web, elaborar sondeos y encuestas.
+ Sin necesidad de configuraciones adicionales</t>
  </si>
  <si>
    <t>Cuota mensual (3 salas de reunión virtuales con hasta 6 usuarios y 1GB por sala)</t>
  </si>
  <si>
    <t>Cuota por usuario 
con 100GB en la nube</t>
  </si>
  <si>
    <t>+Paquete Office con instalación en todos sus dispositivos (PC/ MAC/ tablet/ smartphone): Excel, Word, Powerpoint, OneNote y Publisher.
+Correo profesional con Outlook: buzón de 50 GB, dirección propia, calendario y contactos.
+1 TB de almacenamiento y compartición de ficheros en la nube con OneDrive para Empresas.
+ Reuniones online: Skype Empresarial para videoconferencias.</t>
  </si>
  <si>
    <t>Contacte con sus clientes, proveedores y empleados de una forma sencilla, económica y eficaz</t>
  </si>
  <si>
    <t>+ Envío de forma masiva de SMS personalizados desde el PC.
+ Gestión de todas las respuestas de sus clientes.
+ Sin instalación, ni integraciones.</t>
  </si>
  <si>
    <t>PRECIO A APLICAR</t>
  </si>
  <si>
    <t>Puede consultar el detalle de las condiciones legales asociadas al cada servicio en el anexo al contrato empresa de telefonía móvil: Servicio Orange Cloud Empresas; o en el anexo al contrato empresa de telefonía móvil: servicio Comunica SMS; que le serán facilitados en la firma del contrato del servicio.</t>
  </si>
  <si>
    <t>Condiciones servicios digitales para PYMES</t>
  </si>
  <si>
    <t>+Acceso a las versiones online de las aplicaciones de Office mediante navegador web
+ Correo profesional con Outlook: buzón de 50 GB, dirección propia, calendario y contactos.
+ 1 TB de almacenamiento y compartición de ficheros en la nube con OneDrive para Empresas.</t>
  </si>
  <si>
    <t>Oferta con fijo</t>
  </si>
  <si>
    <t>Oferta sin fijo</t>
  </si>
  <si>
    <r>
      <rPr>
        <sz val="18"/>
        <color indexed="53"/>
        <rFont val="Helvetica 55 Roman"/>
        <family val="2"/>
      </rPr>
      <t>·</t>
    </r>
    <r>
      <rPr>
        <sz val="18"/>
        <rFont val="Helvetica 55 Roman"/>
        <family val="2"/>
      </rPr>
      <t xml:space="preserve">Servicios digitales para ayudarle con la transformación de su empresa </t>
    </r>
  </si>
  <si>
    <t>Cuotas digitales</t>
  </si>
  <si>
    <t>Num que contrata</t>
  </si>
  <si>
    <t>total licencias que contrata</t>
  </si>
  <si>
    <t xml:space="preserve">Pack Pymes está compuesto por la tarifa móvil Óptima para Pymes, el servicio fijo Conecta Pymes, y los servicios digitales de Orange para Pymes, cuyas condiciones a continuación le detallamos. El precio total del pack Pymes que se muestra corresponde a la estimación de facturación mensual con los productos y servicios indicados, tanto en móvil como en fijo, que suponen la aplicación de descuentos que pueden variar si se modifican los productos contratados. Consultar a continuación las condiciones detalladas de precio  de fijo y móvil </t>
  </si>
  <si>
    <t>Recibirá facturas separadas, una con los servicios de telefonía móvil incluidos (tarifa Óptima y todos los servicios y productos opcionales de móvil y servicios digitales que contrate) y otra con los servicios de telefonía fija e Internet (Conecta Pymes y todos los productos opcionales que contrate)</t>
  </si>
  <si>
    <t xml:space="preserve">Pack Pymes está compuesto por la tarifa móvil Soluciones Personalizadas RPV, el servicio fijo Conecta Pymes, y los servicios digitales de Orange para Pymes, cuyas condiciones a continuación le detallamos. El precio total del pack Pymes que se muestra corresponde a la estimación de facturación mensual con los productos y servicios indicados, tanto en móvil como en fijo, que suponen la aplicación de descuentos que pueden variar si se modifican los productos contratados. Consultar a continuación las condiciones detalladas de precio  de fijo y móvil </t>
  </si>
  <si>
    <t>Recibirá facturas separadas, una con los servicios de telefonía móvil incluidos (tarifa Soluciones Personalizadas RPV y todos los servicios y productos opcionales de móvil y servicios digitales que contrate) y otra con los servicios de telefonía fija e Internet (Conecta Pymes y todos los productos opcionales que contrate)</t>
  </si>
  <si>
    <t>Página 15 de 15</t>
  </si>
  <si>
    <t>Página 14 de 15</t>
  </si>
  <si>
    <t>Página 13 de 15</t>
  </si>
  <si>
    <t>Página 12 de 15</t>
  </si>
  <si>
    <t>Página 11 de 15</t>
  </si>
  <si>
    <t>Página 10 de 15</t>
  </si>
  <si>
    <t>Página 9 de 15</t>
  </si>
  <si>
    <t>Página 8 de 15</t>
  </si>
  <si>
    <t>Página 7 de 15</t>
  </si>
  <si>
    <t>Página 6 de 15</t>
  </si>
  <si>
    <t>Página 5 de 15</t>
  </si>
  <si>
    <t>Página 4 de 15</t>
  </si>
  <si>
    <t>Página 3 de 15</t>
  </si>
  <si>
    <t>Página 2 de 15</t>
  </si>
  <si>
    <t>Página 1 de 15</t>
  </si>
  <si>
    <t>Operador de móvil</t>
  </si>
  <si>
    <t>Operador de fijo</t>
  </si>
  <si>
    <t>Promo descuento valor</t>
  </si>
  <si>
    <t>Control de promo</t>
  </si>
  <si>
    <t>Valor teórico</t>
  </si>
  <si>
    <t>Incremental abono MVS</t>
  </si>
  <si>
    <t>Operador de móvil:</t>
  </si>
  <si>
    <t>Operador de fijo:</t>
  </si>
  <si>
    <t>Operador móvil</t>
  </si>
  <si>
    <t>líneas móviles sin cabecera</t>
  </si>
  <si>
    <t>tarifa móvil</t>
  </si>
  <si>
    <t>tarifa fijo valor</t>
  </si>
  <si>
    <t>texto 1</t>
  </si>
  <si>
    <t>texto 2</t>
  </si>
  <si>
    <t>texto 3</t>
  </si>
  <si>
    <t>condición legal a mostrar</t>
  </si>
  <si>
    <t xml:space="preserve">Condiciones legales 4G en tu negocio </t>
  </si>
  <si>
    <t xml:space="preserve">Velocidad limitada a cobertura. La disponibilidad de 4G está sujeta a la cobertura, al mantenimiento de una de estas tarifas, a tener una SIM 4G y un dispositivo compatible con 4G. Compromiso de permanencia en Orange y tarifa de datos de 12 meses (para WiFi móvil) o 24 meses (para SIM tablet) sujeto a la adquisición de un terminal a precio promocional. Si el cliente adquiere un dispositivo a plazos con cualquiera de las tarifas Internet Móvil Pro, llevará asociado un compromiso de permanencia en la tarifa contratada durante el mismo plazo que número de cuotas mensuales a abonar para completar el pago del tablet. 
</t>
  </si>
  <si>
    <t>Internet móvil Pro o 4G en tu oficina</t>
  </si>
  <si>
    <t xml:space="preserve">4G en tu negocio </t>
  </si>
  <si>
    <t>Del total líneas, ¿cuántas portan el nº móvil?</t>
  </si>
  <si>
    <t>Bonos de datos consolidables</t>
  </si>
  <si>
    <t>Número de Bonos</t>
  </si>
  <si>
    <t>Tipo de Bono consolidable</t>
  </si>
  <si>
    <t>;</t>
  </si>
  <si>
    <t>Bono consolidable 50 GB</t>
  </si>
  <si>
    <t>Bonos datos consolidables</t>
  </si>
  <si>
    <t>Bono consolidable 3 GB</t>
  </si>
  <si>
    <t>Productos totales Bonos de Datos Consolidables, a partir del cual se calculan las cuotas</t>
  </si>
  <si>
    <t>Oferta personalizada de productos de datos móviles</t>
  </si>
  <si>
    <t xml:space="preserve">Total bonos </t>
  </si>
  <si>
    <t xml:space="preserve">Cada línea con acceso al bono consumirá primero los MB/GB asociados al bono de datos de la tarifa que tenga contratada (voz y datos o solo datos) y una vez consumidos esos datos empezará a usar los GB del bono compartido. Una vez se gasten todos los GB del bono se reducirá la velocidad de navegación </t>
  </si>
  <si>
    <t>Pendiente aprobación</t>
  </si>
  <si>
    <t>Bono compartido de datos</t>
  </si>
  <si>
    <t xml:space="preserve">Para asegurar la máxima velocidad de las líneas de la empresa cuando se necesite. </t>
  </si>
  <si>
    <r>
      <t xml:space="preserve">Un </t>
    </r>
    <r>
      <rPr>
        <b/>
        <sz val="18"/>
        <color rgb="FFFF6600"/>
        <rFont val="Helvetica 55 Roman"/>
        <family val="2"/>
      </rPr>
      <t>Bono compartido de datos</t>
    </r>
    <r>
      <rPr>
        <sz val="18"/>
        <rFont val="Helvetica 55 Roman"/>
        <family val="2"/>
      </rPr>
      <t xml:space="preserve"> es una solución para necesidades puntuales de disponer de más datos en las líneas y asegurar la navegación a máxima velocidad. Velocidad 4G siempre y sin sorpresas en factura. La capacidad en GB del bono se comparte entre las líneas compatibles: líneas con tarifas Óptimas, Soluciones Personalizadas y con las tarifas de solo datos de internet . Es posible contratar más de un bono y solo se puede usar con líneas que tengan contratados datos. </t>
    </r>
  </si>
  <si>
    <t>Bono compartido de datos 3GB - cuota mensual:</t>
  </si>
  <si>
    <t>Una vez contratado un bono compartido, éste se renovará automáticamente en cada ciclo de facturación a menos que se solicite la baja expresamente.</t>
  </si>
  <si>
    <t>Oferta personalizada de servicios digitales (2/2)</t>
  </si>
  <si>
    <t>Oferta personalizada de servicios digitales (1/2)</t>
  </si>
  <si>
    <t>Página 12 de 17</t>
  </si>
  <si>
    <t>Página 13 de 17</t>
  </si>
  <si>
    <t>Página 14 de 17</t>
  </si>
  <si>
    <t>Página 15 de 17</t>
  </si>
  <si>
    <t>Página 16 de 17</t>
  </si>
  <si>
    <t>Página 17 de 17</t>
  </si>
  <si>
    <t>Cuando se contrata un bono compartido, éste se renovará automáticamente en cada ciclo de facturación a menos que se solicite la baja expresamente.</t>
  </si>
  <si>
    <t>Conecta Pyme no 2A</t>
  </si>
  <si>
    <t>Total Conecta Pyme no 2A</t>
  </si>
  <si>
    <t>Portas Movist</t>
  </si>
  <si>
    <t>menor</t>
  </si>
  <si>
    <t>Internet Móvil Pro 8GB</t>
  </si>
  <si>
    <r>
      <t xml:space="preserve">incluye </t>
    </r>
    <r>
      <rPr>
        <b/>
        <sz val="18"/>
        <rFont val="Helvetica 55 Roman"/>
        <family val="2"/>
      </rPr>
      <t>8GB</t>
    </r>
    <r>
      <rPr>
        <sz val="18"/>
        <rFont val="Helvetica 55 Roman"/>
        <family val="2"/>
      </rPr>
      <t xml:space="preserve"> de datos a máxima velocidad
compatible con </t>
    </r>
    <r>
      <rPr>
        <b/>
        <sz val="18"/>
        <color indexed="53"/>
        <rFont val="Helvetica 55 Roman"/>
        <family val="2"/>
      </rPr>
      <t>4G</t>
    </r>
  </si>
  <si>
    <r>
      <t xml:space="preserve">incluye </t>
    </r>
    <r>
      <rPr>
        <b/>
        <sz val="18"/>
        <rFont val="Helvetica 55 Roman"/>
        <family val="2"/>
      </rPr>
      <t>2GB</t>
    </r>
    <r>
      <rPr>
        <sz val="18"/>
        <rFont val="Helvetica 55 Roman"/>
        <family val="2"/>
      </rPr>
      <t xml:space="preserve"> de datos a máxima velocidad
compatible con </t>
    </r>
    <r>
      <rPr>
        <b/>
        <sz val="18"/>
        <color indexed="53"/>
        <rFont val="Helvetica 55 Roman"/>
        <family val="2"/>
      </rPr>
      <t>4G</t>
    </r>
  </si>
  <si>
    <r>
      <t xml:space="preserve">incluye </t>
    </r>
    <r>
      <rPr>
        <b/>
        <sz val="18"/>
        <rFont val="Helvetica 55 Roman"/>
        <family val="2"/>
      </rPr>
      <t xml:space="preserve">2GB </t>
    </r>
    <r>
      <rPr>
        <sz val="18"/>
        <rFont val="Helvetica 55 Roman"/>
        <family val="2"/>
      </rPr>
      <t xml:space="preserve">de datos a máxima velocidad
compatible con </t>
    </r>
    <r>
      <rPr>
        <b/>
        <sz val="18"/>
        <color indexed="53"/>
        <rFont val="Helvetica 55 Roman"/>
        <family val="2"/>
      </rPr>
      <t>4G</t>
    </r>
  </si>
  <si>
    <r>
      <t>incluye</t>
    </r>
    <r>
      <rPr>
        <b/>
        <sz val="18"/>
        <rFont val="Helvetica 55 Roman"/>
        <family val="2"/>
      </rPr>
      <t xml:space="preserve"> 8GB </t>
    </r>
    <r>
      <rPr>
        <sz val="18"/>
        <rFont val="Helvetica 55 Roman"/>
        <family val="2"/>
      </rPr>
      <t xml:space="preserve">de datos a máxima velocidad
compatible con </t>
    </r>
    <r>
      <rPr>
        <b/>
        <sz val="18"/>
        <color indexed="53"/>
        <rFont val="Helvetica 55 Roman"/>
        <family val="2"/>
      </rPr>
      <t>4G</t>
    </r>
  </si>
  <si>
    <t>Conecta Pymes Centralita</t>
  </si>
  <si>
    <t>Su oferta con Conecta Pymes Centralita incluye:</t>
  </si>
  <si>
    <t>· fibra propia SIMÉTRICA 200M/200M</t>
  </si>
  <si>
    <r>
      <rPr>
        <b/>
        <sz val="18"/>
        <color rgb="FFFFC000"/>
        <rFont val="Helvetica 55 Roman"/>
        <family val="2"/>
      </rPr>
      <t xml:space="preserve">. </t>
    </r>
    <r>
      <rPr>
        <sz val="18"/>
        <rFont val="Helvetica 55 Roman"/>
        <family val="2"/>
      </rPr>
      <t>Convergente: permite incluir móviles dentro de su centralita como si fuera un puesto fijo.</t>
    </r>
  </si>
  <si>
    <t>Es un servicio dirigido a empresas como la suya, que desean disfrutar de un avanzado servicio que incluye servicio de Voz ( fija y móvil), Centralita en la nube, Internet y Terminales.</t>
  </si>
  <si>
    <r>
      <rPr>
        <b/>
        <sz val="18"/>
        <color rgb="FFFFC000"/>
        <rFont val="Helvetica 55 Roman"/>
        <family val="2"/>
      </rPr>
      <t xml:space="preserve">· </t>
    </r>
    <r>
      <rPr>
        <sz val="18"/>
        <rFont val="Helvetica 55 Roman"/>
        <family val="2"/>
      </rPr>
      <t>Centralita Virtual: Para agrupar todos los servicios de telefonía en una única plataforma virtual.</t>
    </r>
  </si>
  <si>
    <r>
      <rPr>
        <b/>
        <sz val="18"/>
        <color rgb="FFFFC000"/>
        <rFont val="Helvetica 55 Roman"/>
        <family val="2"/>
      </rPr>
      <t xml:space="preserve">. </t>
    </r>
    <r>
      <rPr>
        <sz val="18"/>
        <rFont val="Helvetica 55 Roman"/>
        <family val="2"/>
      </rPr>
      <t>Soluciones de Voz: adaptado a los distintos perfiles de usuario de su empresa y con llamadas gratis a fijos y móviles.</t>
    </r>
  </si>
  <si>
    <r>
      <rPr>
        <b/>
        <sz val="18"/>
        <color rgb="FFFFC000"/>
        <rFont val="Helvetica 55 Roman"/>
        <family val="2"/>
      </rPr>
      <t xml:space="preserve">. </t>
    </r>
    <r>
      <rPr>
        <sz val="18"/>
        <rFont val="Helvetica 55 Roman"/>
        <family val="2"/>
      </rPr>
      <t>Terminales:  En FTTH se ofrecen de 2 a 45 puestos por sede (máximo: 15 simultáneas) y en ADSL2+ se ofrecen de 2 a 25 puestos por sede (máximo: 8 llamadas simultáneas).</t>
    </r>
  </si>
  <si>
    <t>Condiciones legales Conecta Pymes y Conecta Pymes Centralita</t>
  </si>
  <si>
    <t>Conecta 2A GPON+</t>
  </si>
  <si>
    <t>Conecta 4D GPON+</t>
  </si>
  <si>
    <t>Conecta Pymes IP GPON+</t>
  </si>
  <si>
    <t>Sólo tiene en cuenta IEW en el cálculo de productos totales. No entran 4G en tu Negocio, ni 4G en tu Oficina
Para que personalice precios, la Tarifa marcada debe ser "Preaprobadas"
Las líneas de solo datos cuentan en el límite de total de líneas no superior a 100</t>
  </si>
  <si>
    <t>Guidelines Internet Móvil</t>
  </si>
  <si>
    <t>Promo capta solo si no es de cartera</t>
  </si>
  <si>
    <t>OK, introducido el control en el campo de control de aplicación de la promo (celda U85 de la hoja de Calculos_cuotas)
Tal y como está implementada solo afecta a Optima RPV. No hay extra en preaprobadas</t>
  </si>
  <si>
    <t>Productos de IEW Pro (de cada producto) a partir del cual aplican las cuotas</t>
  </si>
  <si>
    <t>Modificada la fórmula de la columna AF en la hoja de Periles_usuario. El control para moverse de tabla de preaprobadas debe ir contra Calculos_cuotasL100, no contra J100 como estaba</t>
  </si>
  <si>
    <t>Descuento total en cuotas</t>
  </si>
  <si>
    <t>PROMOS ESPECIALES PARA CAPTACIÓN H2 2016</t>
  </si>
  <si>
    <t>CÁLCULO DE DESCUENTOS MULTISEDE CONECTA PYMES</t>
  </si>
  <si>
    <t>DESCUENTO CRUZADO MÓVIL</t>
  </si>
  <si>
    <t>Precios de lista de los productos de móvil</t>
  </si>
  <si>
    <t>Mensaje de 12 telefonos máximo, pero fórmula con 14</t>
  </si>
  <si>
    <t>Extendido el suma producto para tener en cuenta la columna</t>
  </si>
  <si>
    <t>Condiciones de descuento cruzado con Conecta Pymes en la oferta no se corresponden con el descuento plano del 10%</t>
  </si>
  <si>
    <t>Formatos condicionales de servicios opcionales de Conecta Pymes funcionando de forma incorrecta</t>
  </si>
  <si>
    <t>Filas ocultas en Perfiles_usuario. 
Fórmula de aplicación de descuento cruzado en Calculos_cuotas corregida</t>
  </si>
  <si>
    <t>Eliminar botón de generación de reporte</t>
  </si>
  <si>
    <t>total líneas fijas</t>
  </si>
  <si>
    <t>Líneas fijas del producto</t>
  </si>
  <si>
    <t>Teléfono DECT</t>
  </si>
  <si>
    <t>Teléfono IP Avanzado</t>
  </si>
  <si>
    <t>Teléfono IP Premium</t>
  </si>
  <si>
    <t>Descuento multisede unitario</t>
  </si>
  <si>
    <t>En "Extras" de Conecta Pymes, lo mismo aparece un switch, que puede rellenar lo que quiera el usuario, sin ninguna validación</t>
  </si>
  <si>
    <t>Eliminado el botón, mantenimiento por el momento de la macro por si es necesario recuperarlo</t>
  </si>
  <si>
    <t>Fibra FTTH propia 200M/200M</t>
  </si>
  <si>
    <t>Fibra FTTH propia 50M/5M</t>
  </si>
  <si>
    <t>Fibra NEBA 30M/5M</t>
  </si>
  <si>
    <t xml:space="preserve">ADSL Máxima velocidad </t>
  </si>
  <si>
    <t>4G</t>
  </si>
  <si>
    <t>4G (disponibilidad Platino)</t>
  </si>
  <si>
    <t>Sin acceso a internet</t>
  </si>
  <si>
    <t>Local dedicado</t>
  </si>
  <si>
    <t>A través de sede central</t>
  </si>
  <si>
    <t>Sede central</t>
  </si>
  <si>
    <t>Sin IP fija</t>
  </si>
  <si>
    <t>1 dirección IP</t>
  </si>
  <si>
    <t>Bloque 4 IPs</t>
  </si>
  <si>
    <t>No disponible</t>
  </si>
  <si>
    <t>Internet_Plus</t>
  </si>
  <si>
    <t>IP_VPN</t>
  </si>
  <si>
    <t>Internet Plus</t>
  </si>
  <si>
    <t>IP VPN</t>
  </si>
  <si>
    <t>CENTRAL</t>
  </si>
  <si>
    <t>NO_CENTRAL</t>
  </si>
  <si>
    <t>No viable</t>
  </si>
  <si>
    <t>IP_VPN_CENTRAL</t>
  </si>
  <si>
    <t>NO_IP</t>
  </si>
  <si>
    <t>SI_IP</t>
  </si>
  <si>
    <t>Modificar toda la lógica de validación de Cpymes</t>
  </si>
  <si>
    <t>Son máximo 12 teléfonos</t>
  </si>
  <si>
    <t>WiFi</t>
  </si>
  <si>
    <t>CP_Voz</t>
  </si>
  <si>
    <t>CP_IP</t>
  </si>
  <si>
    <t>IP_Premium</t>
  </si>
  <si>
    <t>IP_Avanzado</t>
  </si>
  <si>
    <t>Crear sección Cpymes Centralita</t>
  </si>
  <si>
    <t>Integrar calculadora Cpymes Centralita</t>
  </si>
  <si>
    <t>Tarifas Planas Fijo-Móvil</t>
  </si>
  <si>
    <t xml:space="preserve"> Teléfonos IP Premium</t>
  </si>
  <si>
    <t xml:space="preserve"> Teléfonos IP Avanzados</t>
  </si>
  <si>
    <t>Teléfonos DECT</t>
  </si>
  <si>
    <t>CP_Voz_Tel</t>
  </si>
  <si>
    <t>IP_DECT</t>
  </si>
  <si>
    <t>ID_1</t>
  </si>
  <si>
    <t>ID_2</t>
  </si>
  <si>
    <t>ID_3</t>
  </si>
  <si>
    <t>ID_4</t>
  </si>
  <si>
    <t>ID_5</t>
  </si>
  <si>
    <t>ID_6</t>
  </si>
  <si>
    <t>ID_7</t>
  </si>
  <si>
    <t>ID_8</t>
  </si>
  <si>
    <t>ID_9</t>
  </si>
  <si>
    <t>ID_10</t>
  </si>
  <si>
    <t>ID_11</t>
  </si>
  <si>
    <t>ID_12</t>
  </si>
  <si>
    <t>ID_13</t>
  </si>
  <si>
    <t>ID_14</t>
  </si>
  <si>
    <t>ID_15</t>
  </si>
  <si>
    <t>ID_16</t>
  </si>
  <si>
    <t>ID_17</t>
  </si>
  <si>
    <t>ID_18</t>
  </si>
  <si>
    <t>Eliminar descuento especifico por crosselling a cartera Jazztel</t>
  </si>
  <si>
    <t>Inclusión de 15 filas para Conecta Pymes</t>
  </si>
  <si>
    <t>Cambiar oferta/condiciones al meter más filas Conecta Pymes</t>
  </si>
  <si>
    <t>Incorporar condiciones de Conecta Pymes centralita y sección con la configuración del producto en oferta/condiciones</t>
  </si>
  <si>
    <t>Modificación de la oferta de preprobadas cuando hay fijo</t>
  </si>
  <si>
    <t>Meter en la oferta de Centrex comentario sobre coste one shot de cabeceras</t>
  </si>
  <si>
    <t>No está incluyendo Conecta Pymes IP en el abono de penalizaciones (error)</t>
  </si>
  <si>
    <t>ID</t>
  </si>
  <si>
    <t>Área de cambio</t>
  </si>
  <si>
    <t>Descripción cambio</t>
  </si>
  <si>
    <t>General</t>
  </si>
  <si>
    <t>Penalizaciones</t>
  </si>
  <si>
    <t>Switch</t>
  </si>
  <si>
    <t>Líneas para fax 
(AMLT)</t>
  </si>
  <si>
    <t>Conecta Pymes Voz e IP</t>
  </si>
  <si>
    <t>Puesto Móvil</t>
  </si>
  <si>
    <t>Avanzado 
Yealink (T24G) Especial FTTH</t>
  </si>
  <si>
    <t>Avanzado 
Cisco (SPA 525)</t>
  </si>
  <si>
    <t>Básico 
Yealink (T20P)</t>
  </si>
  <si>
    <t>Básico 
Cisco (SPA 502)</t>
  </si>
  <si>
    <t>Inalámbrico Panasonic</t>
  </si>
  <si>
    <t>Fax 
(CISCO SPA 122 ó Puerto Fritz!Box)</t>
  </si>
  <si>
    <t>Fax2Mail</t>
  </si>
  <si>
    <t>Tarifa Plana Fijo 24h
3000 minutos</t>
  </si>
  <si>
    <t>Tarifa Plana Fijo 24h
4500 minutos</t>
  </si>
  <si>
    <t>Tarifa Plana Fijo 24h
6000 minutos</t>
  </si>
  <si>
    <t>Bono Fijo- Móvil
120 minutos</t>
  </si>
  <si>
    <t>Bono Fijo- Móvil
240 minutos</t>
  </si>
  <si>
    <t>Bono Fijo- Móvil
600 minutos</t>
  </si>
  <si>
    <t>Locución de bienvenida</t>
  </si>
  <si>
    <t>SVA</t>
  </si>
  <si>
    <t>Opción Premium</t>
  </si>
  <si>
    <t>Línea para datáfono / alarma</t>
  </si>
  <si>
    <t xml:space="preserve">Funcionalidades </t>
  </si>
  <si>
    <t>Puestos</t>
  </si>
  <si>
    <t>CÁLCULOS CPYMES CENTRALITA</t>
  </si>
  <si>
    <t>Pack Cpymes Centralita</t>
  </si>
  <si>
    <t>Cálculo de precios</t>
  </si>
  <si>
    <t>CP Centralita ADSL 2-3-4 puestos</t>
  </si>
  <si>
    <t>CP Centralita FTTH 2-3-4 puestos</t>
  </si>
  <si>
    <t>CP Centralita ADSL 5-6-7 puestos</t>
  </si>
  <si>
    <t>CP Centralita FTTH 5-6-7 puestos</t>
  </si>
  <si>
    <t>CP Centralita ADSL 8 ó más puestos</t>
  </si>
  <si>
    <t>CP Centralita FTTH 8 más puestos</t>
  </si>
  <si>
    <t>Mínimo puestos</t>
  </si>
  <si>
    <t>Máximo puestos</t>
  </si>
  <si>
    <t>Máximo puestos móviles</t>
  </si>
  <si>
    <t>Validaciones</t>
  </si>
  <si>
    <t>PUESTOS_CENTREX</t>
  </si>
  <si>
    <t xml:space="preserve">Pack Pymes está compuesto por la tarifa móvil Óptima para Pymes, el servicio fijo Conecta Pymes, y los servicios digitales de Orange para Pymes, cuyas condiciones a continuación le detallamos. El precio total del pack Pymes que se muestra corresponde a la estimación de facturación mensual con los productos y servicios indicados, tanto en móvil como en fijo, que suponen la aplicación de descuentos que pueden variar si se modifican los productos contratados. Consultar a continuación las condiciones detalladas de precio de fijo y móvil </t>
  </si>
  <si>
    <r>
      <rPr>
        <b/>
        <sz val="22"/>
        <color rgb="FFFF6600"/>
        <rFont val="Helvetica 55 Roman"/>
        <family val="2"/>
      </rPr>
      <t>·</t>
    </r>
    <r>
      <rPr>
        <sz val="22"/>
        <color indexed="53"/>
        <rFont val="Helvetica 55 Roman"/>
        <family val="2"/>
      </rPr>
      <t xml:space="preserve"> </t>
    </r>
    <r>
      <rPr>
        <sz val="18"/>
        <rFont val="Helvetica 55 Roman"/>
        <family val="2"/>
      </rPr>
      <t>Tarifa plana 24h a fijos nacionales y móviles Orange</t>
    </r>
  </si>
  <si>
    <t>Teléfonos IP Premium</t>
  </si>
  <si>
    <t>Teléfonos IP Avanzados</t>
  </si>
  <si>
    <t>Tarifas planas 
fijo-móvil</t>
  </si>
  <si>
    <t>Fax 
(CISCO SPA 122 o Puerto Fritz!Box)</t>
  </si>
  <si>
    <t>TP Fijo
3000 minutos</t>
  </si>
  <si>
    <t>TP Fijo
4500 minutos</t>
  </si>
  <si>
    <t>TP Fijo
6000 minutos</t>
  </si>
  <si>
    <t xml:space="preserve">Servicios opcionales de voz </t>
  </si>
  <si>
    <t>Servicios opcionales de voz</t>
  </si>
  <si>
    <t>Funcionalidades</t>
  </si>
  <si>
    <t xml:space="preserve">Es un servicio dirigido a empresas, que incluye Internet y múltiples líneas de voz fija con tarifa plana a fijos y móviles Orange, que quieran mantener sus teléfonos fijos y/o centralitas, ahorrando en sus comunicaciones fijas. </t>
  </si>
  <si>
    <r>
      <rPr>
        <b/>
        <sz val="22"/>
        <color rgb="FFFF6600"/>
        <rFont val="Helvetica 55 Roman"/>
        <family val="2"/>
      </rPr>
      <t>·</t>
    </r>
    <r>
      <rPr>
        <sz val="22"/>
        <color indexed="53"/>
        <rFont val="Helvetica 55 Roman"/>
        <family val="2"/>
      </rPr>
      <t xml:space="preserve"> </t>
    </r>
    <r>
      <rPr>
        <sz val="18"/>
        <rFont val="Helvetica 55 Roman"/>
        <family val="2"/>
      </rPr>
      <t>Telefonía fija con canales de voz garantizados</t>
    </r>
  </si>
  <si>
    <t>Es un servicio dirigido a empresas que desean disfrutar de un avanzado servicio de centralita IP, puestos fijos de voz con tarifa plana a fijos y móviles, e Internet, y quieran ahorrar en sus comunicaciones fijas</t>
  </si>
  <si>
    <t>Es un servicio dirigido a empresas que desean disfrutar de un avanzado servicio que incluye telefonía (fija y móvil), Centralita en la nube, Internet y Terminales.</t>
  </si>
  <si>
    <r>
      <rPr>
        <b/>
        <sz val="18"/>
        <color rgb="FFFFC000"/>
        <rFont val="Helvetica 55 Roman"/>
        <family val="2"/>
      </rPr>
      <t xml:space="preserve">. </t>
    </r>
    <r>
      <rPr>
        <sz val="18"/>
        <rFont val="Helvetica 55 Roman"/>
        <family val="2"/>
      </rPr>
      <t>Tráfico de Voz: adaptado a los distintos perfiles de usuario de su empresa y con llamadas gratis a fijos y móviles.</t>
    </r>
  </si>
  <si>
    <t>· Fibra propia SIMÉTRICA 200M/200M</t>
  </si>
  <si>
    <r>
      <rPr>
        <b/>
        <sz val="18"/>
        <color rgb="FFFFC000"/>
        <rFont val="Helvetica 55 Roman"/>
        <family val="2"/>
      </rPr>
      <t xml:space="preserve">. </t>
    </r>
    <r>
      <rPr>
        <sz val="18"/>
        <rFont val="Helvetica 55 Roman"/>
        <family val="2"/>
      </rPr>
      <t>Terminales:  En FTTH se ofrecen de 2 a 45 puestos por sede (máximo: 15 llamadas simultáneas) y en ADSL2+ se ofrecen de 2 a 25 puestos por sede (máximo 8 llamadas simultáneas).</t>
    </r>
  </si>
  <si>
    <t>Bonos de datos consolidables entre líneas</t>
  </si>
  <si>
    <r>
      <rPr>
        <sz val="18"/>
        <color indexed="53"/>
        <rFont val="Helvetica 55 Roman"/>
        <family val="2"/>
      </rPr>
      <t>·</t>
    </r>
    <r>
      <rPr>
        <sz val="18"/>
        <rFont val="Helvetica 55 Roman"/>
        <family val="2"/>
      </rPr>
      <t>Acceso a internet con fibra de hasta 500Mbps, o con ADSL máxima velocidad</t>
    </r>
  </si>
  <si>
    <t>Sedes</t>
  </si>
  <si>
    <t>sedes</t>
  </si>
  <si>
    <t>terminales</t>
  </si>
  <si>
    <r>
      <rPr>
        <b/>
        <sz val="18"/>
        <color rgb="FFFFC000"/>
        <rFont val="Helvetica 55 Roman"/>
        <family val="2"/>
      </rPr>
      <t xml:space="preserve">. </t>
    </r>
    <r>
      <rPr>
        <sz val="18"/>
        <rFont val="Helvetica 55 Roman"/>
        <family val="2"/>
      </rPr>
      <t>Terminales:  En FTTH se ofrecen de 2 a 45 puestos por sede (máximo: 15 llamadas simultáneas) y en ADSL2+ se ofrecen de 2 a 25 puestos por sede (máximo: 8 llamadas simultáneas).</t>
    </r>
  </si>
  <si>
    <t xml:space="preserve">Un Bono compartido de datos es una solución para necesidades puntuales de disponer de más datos en las líneas y asegurar la navegación a máxima velocidad. Velocidad 4G siempre y sin sorpresas en factura. La capacidad en GB del bono se puede compartir entre las líneas con tairfas compatibles: líneas con tarifas Óptimas, Soluciones Personalizadas e Internet Móvil Pro . Es posible contratar más de un bono y solo se puede usar con líneas que tengan contratados datos. </t>
  </si>
  <si>
    <t>Página 1 de 16</t>
  </si>
  <si>
    <t>Página 2 de 16</t>
  </si>
  <si>
    <t>Página 3 de 16</t>
  </si>
  <si>
    <t>Página 4 de 16</t>
  </si>
  <si>
    <t>Página 5 de 16</t>
  </si>
  <si>
    <t>Página 6 de 16</t>
  </si>
  <si>
    <t>Página 7 de 16</t>
  </si>
  <si>
    <t>Página 8 de 16</t>
  </si>
  <si>
    <t>Página 9 de 16</t>
  </si>
  <si>
    <t>Página 10 de 16</t>
  </si>
  <si>
    <t>Página 13 de 16</t>
  </si>
  <si>
    <t>Página 14 de 16</t>
  </si>
  <si>
    <t>Página 15 de 16</t>
  </si>
  <si>
    <t>Página 11 de 16</t>
  </si>
  <si>
    <t>Página 12 de 16</t>
  </si>
  <si>
    <t>Página 16 de 16</t>
  </si>
  <si>
    <t>Corregido, estaba el texto sin cambiar en los legales</t>
  </si>
  <si>
    <t>15 filas en formulario y cálculos. Aplica el descuento multisede con los valores por encima de 10</t>
  </si>
  <si>
    <t>La nueva validación se basa en los valores disponibles a seleccionar en los desplegables, en vez de en formatos condicionales</t>
  </si>
  <si>
    <t>Modificado el campo, ahora se refiere al switch y se calcula automáticamente</t>
  </si>
  <si>
    <t>Eliminados los formatos condicionales</t>
  </si>
  <si>
    <t>Conecta Pymes separado en dos hojas, para que quepan las potenciales 15 sedes de Cpymes y Cpymes centralita</t>
  </si>
  <si>
    <t>Creada, con la misma filosofía que el resto de Conecta Pymes</t>
  </si>
  <si>
    <t>Canales de voz</t>
  </si>
  <si>
    <t>Umbral</t>
  </si>
  <si>
    <t>Captación</t>
  </si>
  <si>
    <t>A aplicar en la oferta</t>
  </si>
  <si>
    <t>Captación (estándar)</t>
  </si>
  <si>
    <t>Promoción de captación</t>
  </si>
  <si>
    <t>Descuento extra</t>
  </si>
  <si>
    <t>Descuento cruzado de fijo</t>
  </si>
  <si>
    <t>A aplicar</t>
  </si>
  <si>
    <t>Descuentos por valor</t>
  </si>
  <si>
    <t>Incluir posibilidad de oferta para clientes de cartera, metiendo el usuario la oferta actual que el cliente tiene en móvil</t>
  </si>
  <si>
    <t>Descuento cruzado por tener fijo Pymes</t>
  </si>
  <si>
    <t>Cuotas Personalizadas que tiene el cliente</t>
  </si>
  <si>
    <t>En estas tablas no entra el cálculo de la cuota en la hoja de perfiles. Si bien la fórmula está preparada, nunca se accede al 12% ó 16% por Conecta Pymes, con lo cual no accede a estas tablas</t>
  </si>
  <si>
    <t>Vinculado a la oferta estándar de captación de Optima RPV</t>
  </si>
  <si>
    <t>Descuento (%)</t>
  </si>
  <si>
    <t>Organice reuniones remotas y comparta contenidos entre los participantes en tiempo real, como si estuviesen en la misma sala</t>
  </si>
  <si>
    <t>+ Envío de forma masiva de SMS personalizados desde el PC, con gestión de todas las respuestas de sus clientes.
+ Sin instalación, ni integraciones.</t>
  </si>
  <si>
    <t>Se da 1€ más a los digitales para que no haya varios Conecta Pymes con el mismo abono y, por tanto, al pagar sólo el mayor, si la oferta lleva ambos, generemos la vinculación del pago solo a uno de los dos</t>
  </si>
  <si>
    <t>Voz</t>
  </si>
  <si>
    <t>Datos</t>
  </si>
  <si>
    <t>Resto Europa y Magreb</t>
  </si>
  <si>
    <t>Avanzado 
Yealink (T24G)</t>
  </si>
  <si>
    <t>Básico 
Yealink (T21P)</t>
  </si>
  <si>
    <t>Avanzado Yealink (T24G)</t>
  </si>
  <si>
    <t>Básico Yealink (T21P)</t>
  </si>
  <si>
    <t>Enero</t>
  </si>
  <si>
    <t>Febrero</t>
  </si>
  <si>
    <t>Marzo</t>
  </si>
  <si>
    <t>Abril</t>
  </si>
  <si>
    <t>Mayo</t>
  </si>
  <si>
    <t>Junio</t>
  </si>
  <si>
    <t>Julio</t>
  </si>
  <si>
    <t>Agosto</t>
  </si>
  <si>
    <t>Septiembre</t>
  </si>
  <si>
    <t>Octubre</t>
  </si>
  <si>
    <t>Noviembre</t>
  </si>
  <si>
    <t>Diciembre</t>
  </si>
  <si>
    <t xml:space="preserve">Las cuotas mensuales netas finales de la propuesta comercial son el resultado tras la aplicación de descuentos en líneas sin terminal,  por valor y por tener activo el servicio de Fijo para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9 de la presente propuesta. </t>
  </si>
  <si>
    <t>En las líneas sin subvención de terminal en el momento del alta en Orange con Tarifa Óptima RPV (terminal libre o  financiado a plazos) y en las líneas procedentes de otra tarifa Orange con una venta a plazos vigente que hagan un cambio de tarifa hacia Tarifa Óptima RPV, se aplicará el descuento adicional especificado en la Página 9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</si>
  <si>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Sobre el volumen de facturación en las líneas de Tarifa Óptima RPV se aplicará un descuento adicional que variará en función del valor de la facturación mensual. Los tramos y valores de este descuento se especifican en la Página 9 de la propuesta. Para evaluar la facturación, se tendrá en cuenta el total de consumos de voz tras descuentos implícitos a la tarifa, a destinos nacionales, internacionales y en roaming, en todas las líneas del cliente con esta tarifa. También se incluyen en este cómputo las cuotas de los módulos de tráfico opcionales de voz y las de los packs de voz+datos, así como servicios adicionales que la línea tenga activados. Este descuento no aplicará sobre las cuotas generadas por los bonos Travel semanal, ni sobre las cuotas de los servicios de Orange Cloud Empresas.</t>
  </si>
  <si>
    <t xml:space="preserve">En caso de activación del producto Conecta Pymes con Tarifa Óptima RPV a partir de esta propuesta, se aplicará el descuento adicional definido en la Página 9 sobre la facturación móvil de las líneas con Tarifa Óptima RPV.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se aplicará mensualmente, si al vencimiento del ciclo de facturación el cliente tiene activados los dos productos y no tenía previamente ningún otro descuento en Conecta Pymes por ser cliente de tarifa móvil Orange. El descuento se aplicará siempre que el responsable de pago de la factura de Tarifa Óptima RPV y Conecta Pymes sea el mismo. El descuento está asociado a la activación y mantenimiento de los productos Conecta Pymes y Óptima RPV en el cliente; en caso de baja de alguno de ellos, se perderá el descuento. Este descuento no aplicará sobre las cuotas generadas por los bonos Travel semanal, ni sobre las cuotas de los servicios de Orange Cloud Empresas.                                                                                                                                                                                                                                                                                    </t>
  </si>
  <si>
    <t>En las líneas sin subvención de terminal en el momento del alta en Orange con Tarifa Óptima RPV (terminal libre o  financiado a plazos) y en las líneas procedentes de otra tarifa Orange con una venta a plazos vigente que hagan un cambio de tarifa hacia Tarifa Óptima RPV, se aplicará el descuento adicional especificado en la Página 8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</si>
  <si>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Sobre el volumen de facturación en las líneas de Tarifa Óptima RPV se aplicará un descuento adicional que variará en función del valor de la facturación mensual. Los tramos y valores de este descuento se especifican en la Página 8 de la propuesta. Para evaluar la facturación, se tendrá en cuenta el total de consumos de voz tras descuentos implícitos a la tarifa, a destinos nacionales, internacionales y en roaming, en todas las líneas del cliente con esta tarifa. También se incluyen en este cómputo las cuotas de los módulos de tráfico opcionales de voz y las de los packs de voz+datos, así como servicios adicionales que la línea tenga activados. Este descuento no aplicará sobre las cuotas generadas por los bonos Travel semanal, ni sobre las cuotas de los servicios de Orange Cloud Empresas.</t>
  </si>
  <si>
    <t xml:space="preserve">Las cuotas mensuales netas finales de la propuesta comercial son el resultado tras la aplicación de descuentos en líneas sin terminal y por tener activo el servicio Conecta Pymes de mayor valor indicado en la propuesta. Estos importes estarán condicionados a la contratación de los productos indicados; si varía la combinación de productos, el total de líneas contratadas o las características de las mismas, pueden no aplicarse tales descuentos, sino los que correspondan según lo indicado en la página 7 de la presente propuesta. </t>
  </si>
  <si>
    <t>En las líneas sin subvención de terminal en el momento del alta en Orange con Tarifa Óptima (terminal libre o  financiado a plazos) y en las líneas procedentes de otra tarifa Orange con una venta a plazos vigente que hagan un cambio de tarifa hacia Tarifa Óptima, se aplicará el descuento adicional definido en la Página 7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</si>
  <si>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 xml:space="preserve">Velocidad limitada a cobertura. La disponibilidad de 4G está sujeta a la cobertura, al mantenimiento de una de estas tarifas, a tener una SIM 4G y un dispositivo compatible con 4G. Compromiso de permanencia en Orange y tarifa de datos de 12 meses (para WiFi móvil) o 24 meses (para SIM tablet) sujeto a la adquisición de un terminal a precio promocional. Si el cliente adquiere un dispositivo a plazos con cualquiera de las tarifas Internet Móvil Pro, llevará asociado un compromiso de permanencia en la tarifa contratada durante el mismo plazo que número de cuotas mensuales a abonar para completar el pago del tablet. </t>
  </si>
  <si>
    <t>En las líneas sin subvención de terminal en el momento del alta en Orange con Tarifa Óptima (terminal libre o  financiado a plazos) y en las líneas procedentes de otra tarifa Orange con una venta a plazos vigente que hagan un cambio de tarifa hacia Tarifa Óptima, se aplicará el descuento adicional especificado en la Página 6 sobre los consumos de voz tras descuentos implícitos a la tarifa, a destinos nacionales, internacionales y en roaming. El descuento también aplicará sobre las cuotas netas (después de descuentos implícitos a la tarifa) de los módulos de tráfico opcionales, tanto de voz, como de datos, y de servicios adicionales que la línea tenga activados. Si se realiza un renove de terminal, o cambio de tarifa, se perderá el descuento. Este descuento no aplicará sobre las cuotas generadas por los bonos Travel semanal, ni sobre las cuotas de los servicios de Orange Cloud Empresas.</t>
  </si>
  <si>
    <t xml:space="preserve">En caso de activación del producto Conecta Pymes con Tarifa Óptima a partir de esta propuesta, se aplicará el descuento adicional definido en la Página 7 sobre la facturación móvil de las líneas con Tarifa Óptima.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se aplicará mensualmente, si al vencimiento del ciclo de facturación el cliente tiene activados los dos productos y no tenía previamente ningún otro descuento en Conecta Pymes por ser cliente de tarifa móvil Orange. El descuento se aplicará siempre que el responsable de pago de la factura de Tarifa Óptima y Conecta Pymes sea el mismo. El descuento está asociado a la activación y mantenimiento de los productos Conecta Pymes y Óptima en el cliente; en caso de baja de alguno de ellos, se perderá el descuento. Este descuento no aplicará sobre las cuotas generadas por los bonos Travel semanal, ni sobre las cuotas de los servicios de Orange Cloud Empresas.                                                                                                                                                                                                                                                                                    </t>
  </si>
  <si>
    <t>Página 1 de 17</t>
  </si>
  <si>
    <t>Página 2 de 17</t>
  </si>
  <si>
    <t>Página 3 de 17</t>
  </si>
  <si>
    <t>Página 4 de 17</t>
  </si>
  <si>
    <t>Página 5 de 17</t>
  </si>
  <si>
    <t>Página 6 de 17</t>
  </si>
  <si>
    <t>Página 7 de 17</t>
  </si>
  <si>
    <t>Página 8 de 17</t>
  </si>
  <si>
    <t>Página 9 de 17</t>
  </si>
  <si>
    <t>Página 10 de 17</t>
  </si>
  <si>
    <t>Página 11 de 17</t>
  </si>
  <si>
    <t>Descuentos en Optima que tiene el cliente</t>
  </si>
  <si>
    <t>Descuentos por valor que el cliente tiene en cartera (sólo Óptima RPV)</t>
  </si>
  <si>
    <t>Cuota (3 salas de reunión virtuales con hasta 6 usuarios y 1GB por sala)</t>
  </si>
  <si>
    <t>Zona 1 internacional</t>
  </si>
  <si>
    <t>CONECTA PYMES CENTRALITA</t>
  </si>
  <si>
    <t>RAZON SOCIAL / Persona Física (Autónomos)</t>
  </si>
  <si>
    <t>PERSONA DE CONTACTO</t>
  </si>
  <si>
    <t>TFNO PERSONA DE CONTACTO</t>
  </si>
  <si>
    <t>E-MAIL PERSONA DE CONTACTO</t>
  </si>
  <si>
    <t>NOMBRE CONTACTO TÉCNICO</t>
  </si>
  <si>
    <t>TFNO CONTACTO TECNICO</t>
  </si>
  <si>
    <t>E-MAIL CONTACTO TÉCNICO</t>
  </si>
  <si>
    <t>DOMICILIO DE INSTALACION</t>
  </si>
  <si>
    <t>CIUDAD</t>
  </si>
  <si>
    <t>PROV</t>
  </si>
  <si>
    <t>C.POSTAL</t>
  </si>
  <si>
    <t>Modalidad Conecta Pyme</t>
  </si>
  <si>
    <t>Tipo de Conecta Pyme Centralita</t>
  </si>
  <si>
    <t>Unidades</t>
  </si>
  <si>
    <t>Precio/mes</t>
  </si>
  <si>
    <t>Subtotal/mes</t>
  </si>
  <si>
    <t>Nº Mín. Puestos</t>
  </si>
  <si>
    <t>Nº Máx. Puestos</t>
  </si>
  <si>
    <t>Conecta Pymes Centralita ADSL, 5-6-7</t>
  </si>
  <si>
    <t>Subtotal Modalidad Conecta Pyme (€/mes):</t>
  </si>
  <si>
    <t>RESUMEN OFERTA:</t>
  </si>
  <si>
    <t>Funcionalidades Adicionales</t>
  </si>
  <si>
    <t>Funcionalidades adicionales</t>
  </si>
  <si>
    <t>Coste/No coste</t>
  </si>
  <si>
    <t>Locución de Bienvenida</t>
  </si>
  <si>
    <t>Puestos y Voz:</t>
  </si>
  <si>
    <t>Línea Datáfono Alarma</t>
  </si>
  <si>
    <t>Total Mensual</t>
  </si>
  <si>
    <t>Subtotal Funcionalidades Adicionales (€/mes):</t>
  </si>
  <si>
    <t>Pago Único Adicional 1er Mes</t>
  </si>
  <si>
    <t>Cabecera</t>
  </si>
  <si>
    <t>Descripción</t>
  </si>
  <si>
    <t>Número
(si es portado)</t>
  </si>
  <si>
    <t>Precio Unit.</t>
  </si>
  <si>
    <t>Impuestos Indirectos, no incluidos</t>
  </si>
  <si>
    <t>Núm. Nuevo</t>
  </si>
  <si>
    <t>Núm. Portado</t>
  </si>
  <si>
    <t>Resumen de Puestos: por tipo de
terminales y tarifas de voz</t>
  </si>
  <si>
    <t>Subtotal Cabeceras (€/pago único):</t>
  </si>
  <si>
    <t>Terminales</t>
  </si>
  <si>
    <t>Servicios de Voz asociados a cada puesto (especificar uno a uno)</t>
  </si>
  <si>
    <t>Numeración</t>
  </si>
  <si>
    <t>Número (si es portado)</t>
  </si>
  <si>
    <t>Modelo de Terminal</t>
  </si>
  <si>
    <t>Subtotal Term.</t>
  </si>
  <si>
    <t>Tarifa Plana Fijo 24h</t>
  </si>
  <si>
    <t>Precio</t>
  </si>
  <si>
    <t>Bono Fijo-Móvil</t>
  </si>
  <si>
    <t>Bono Fijo Europa</t>
  </si>
  <si>
    <t>Avanzado Cisco (SPA 525)</t>
  </si>
  <si>
    <t>6.000 min/mes</t>
  </si>
  <si>
    <t>600 min/mes</t>
  </si>
  <si>
    <t>1 hora/mes</t>
  </si>
  <si>
    <t>Básico Cisco (SPA 502)</t>
  </si>
  <si>
    <t>1.500 min/mes</t>
  </si>
  <si>
    <t>60 min/mes</t>
  </si>
  <si>
    <t>Inalámbrico Panasonic (KX-TGP500)</t>
  </si>
  <si>
    <t>Fax (CISCO SPA 122 ó Puerto Fritz!Box)</t>
  </si>
  <si>
    <t>No Aplica</t>
  </si>
  <si>
    <t>Subtotal Puestos y Tarifas Voz:</t>
  </si>
  <si>
    <t>Comprobación:</t>
  </si>
  <si>
    <t>Máximo Nº Puestos Totales</t>
  </si>
  <si>
    <t xml:space="preserve">Total de Puestos:   </t>
  </si>
  <si>
    <t>Máximo Nº Puestos Móviles</t>
  </si>
  <si>
    <t xml:space="preserve">Subtotal Puestos Móviles:   </t>
  </si>
  <si>
    <t xml:space="preserve">Subtotal Resto de Puestos:   </t>
  </si>
  <si>
    <t xml:space="preserve">Puestos con Numeración Nueva:   </t>
  </si>
  <si>
    <t xml:space="preserve">Puestos con Numeración Portada:   </t>
  </si>
  <si>
    <t>Acción_comercial</t>
  </si>
  <si>
    <t>Polígonos</t>
  </si>
  <si>
    <t>Validación_de_registro</t>
  </si>
  <si>
    <t>Teleconcertación</t>
  </si>
  <si>
    <t>Otra</t>
  </si>
  <si>
    <t>Operador_Fijo_Actual</t>
  </si>
  <si>
    <t>Operador_Movil_Actual</t>
  </si>
  <si>
    <t>Estado_de_la_visita</t>
  </si>
  <si>
    <t>Causa_de_no_cierre_o_perdida</t>
  </si>
  <si>
    <t>Acceso</t>
  </si>
  <si>
    <t>MODALIDAD</t>
  </si>
  <si>
    <t>PRECIO</t>
  </si>
  <si>
    <t>MAX_PUESTOS</t>
  </si>
  <si>
    <t>MIN_PUESTOS</t>
  </si>
  <si>
    <t>MAX_PPMM</t>
  </si>
  <si>
    <t>PRECIO1</t>
  </si>
  <si>
    <t>TTPP_FIJO</t>
  </si>
  <si>
    <t>PRECIO2</t>
  </si>
  <si>
    <t>BONOS_FIJO_A_MOVIL</t>
  </si>
  <si>
    <t>PRECIO3</t>
  </si>
  <si>
    <t>BONOS_EUROPA</t>
  </si>
  <si>
    <t>BONOS_EUROPA2</t>
  </si>
  <si>
    <t>PRECIO4</t>
  </si>
  <si>
    <t>Pack_Empresa</t>
  </si>
  <si>
    <t>Oficina_Centrex</t>
  </si>
  <si>
    <t>Pto_Masivo</t>
  </si>
  <si>
    <t>Abierto</t>
  </si>
  <si>
    <t>Pendiente_Contacto</t>
  </si>
  <si>
    <t>Pendiente_Respuesta</t>
  </si>
  <si>
    <t>Cerrado</t>
  </si>
  <si>
    <t>Oferta_Desestimada</t>
  </si>
  <si>
    <t>Factores_Externos_Impiden_Ofertar</t>
  </si>
  <si>
    <t>Cliente_no_quiere_que_le_ofertemos</t>
  </si>
  <si>
    <t>Firmado_Centrex</t>
  </si>
  <si>
    <t>Firmado_Pto_Masivo</t>
  </si>
  <si>
    <t>Firmado_Móvil</t>
  </si>
  <si>
    <t>Empresa_cerrada</t>
  </si>
  <si>
    <t>Dirección_no_válida</t>
  </si>
  <si>
    <t>No_es_empresa</t>
  </si>
  <si>
    <t>Número_de_teléfono_no_válido</t>
  </si>
  <si>
    <t>¿Hay_Móviles?</t>
  </si>
  <si>
    <t>Fax</t>
  </si>
  <si>
    <t>Ilocalizable_5_intentos</t>
  </si>
  <si>
    <t>TIPO_NEGOCIO</t>
  </si>
  <si>
    <t>Avilés</t>
  </si>
  <si>
    <t>Registro_válido</t>
  </si>
  <si>
    <t>n.d. tele</t>
  </si>
  <si>
    <t>n.d. otra</t>
  </si>
  <si>
    <t>No existe /cerrado</t>
  </si>
  <si>
    <t>Sede principal en otro territorio</t>
  </si>
  <si>
    <t>ADSL_ULL</t>
  </si>
  <si>
    <t>Conecta Pymes Centralita ADSL, 2-3-4</t>
  </si>
  <si>
    <t>DDIs Adicionales</t>
  </si>
  <si>
    <t>No contactado todavía</t>
  </si>
  <si>
    <t>Oferta enviada/presentada</t>
  </si>
  <si>
    <t>No mejora oferta actual</t>
  </si>
  <si>
    <t>Sin cobertura de ADSL en ULL</t>
  </si>
  <si>
    <t>Ya tiene centralita física analógica</t>
  </si>
  <si>
    <t>Centrex ADSL 2P ST</t>
  </si>
  <si>
    <t>FU s/ ADSL</t>
  </si>
  <si>
    <t>ORANGE Óptima RPV</t>
  </si>
  <si>
    <t>Comercio de Barrio: frutería..</t>
  </si>
  <si>
    <t>Castelldefels</t>
  </si>
  <si>
    <t>Registro_no_válido</t>
  </si>
  <si>
    <t>Contactado</t>
  </si>
  <si>
    <t>Empresa con gestión centralizada (GGCC) (ej Cadena /franquicia)</t>
  </si>
  <si>
    <t>FTTH_200/200</t>
  </si>
  <si>
    <t>3.000 min/mes</t>
  </si>
  <si>
    <t>120 min/mes</t>
  </si>
  <si>
    <t>El decisor no se pone al tfno</t>
  </si>
  <si>
    <t>Oferta firmada pendiente de recoger</t>
  </si>
  <si>
    <t>No acepta tanta permanencia</t>
  </si>
  <si>
    <t>Con cobertura de ADSL, pero AMLT</t>
  </si>
  <si>
    <t>Ya tiene centralita física digital</t>
  </si>
  <si>
    <t>Centrex ADSL 2P CT</t>
  </si>
  <si>
    <t>FU s/ FTTH 20/2,5</t>
  </si>
  <si>
    <t>ORANGE Óptima</t>
  </si>
  <si>
    <t>Servicios de Barrio: peluquerías..</t>
  </si>
  <si>
    <t>Gavá</t>
  </si>
  <si>
    <t>Visitado =&gt; se obtiene factura</t>
  </si>
  <si>
    <t>Cobertura movil</t>
  </si>
  <si>
    <t>Conecta Pymes Centralita ADSL, 8+</t>
  </si>
  <si>
    <t>4.500 min/mes</t>
  </si>
  <si>
    <t>240 min/mes</t>
  </si>
  <si>
    <t>Dice que volvamos a llamar</t>
  </si>
  <si>
    <t>No asumimos toda su penalización</t>
  </si>
  <si>
    <t>Con cobertura ADSL pero excesiva distancia</t>
  </si>
  <si>
    <t>Ya tiene centralita virtual</t>
  </si>
  <si>
    <t>Centrex ADSL EXTRA 2P ST</t>
  </si>
  <si>
    <t>FU s/ FTTH 50/5</t>
  </si>
  <si>
    <t>ORANGE Solución Personalizada</t>
  </si>
  <si>
    <t>n.d.</t>
  </si>
  <si>
    <t>Oficina / Despacho</t>
  </si>
  <si>
    <t>Igualada</t>
  </si>
  <si>
    <t>Ono</t>
  </si>
  <si>
    <t>Ofertado  =&gt; ponerlo en Tecnoavanza</t>
  </si>
  <si>
    <t>Conecta Pymes Centralita FTTH, 2-3-4</t>
  </si>
  <si>
    <t>Debido a los terminales (número, modelo..)</t>
  </si>
  <si>
    <t>Muxfin</t>
  </si>
  <si>
    <t>No quiere Voz IP</t>
  </si>
  <si>
    <t>Centrex ADSL EXTRA 2P CT</t>
  </si>
  <si>
    <t>FU s/ FTTH 200/200</t>
  </si>
  <si>
    <t>ORANGE Tucán Pro</t>
  </si>
  <si>
    <t>Fábrica/Industria/Taller/Almacén</t>
  </si>
  <si>
    <t>Kareaga</t>
  </si>
  <si>
    <t>Jazztel</t>
  </si>
  <si>
    <t>FIRMADO (opcional ya que  se pondrá en tecnoavanza)</t>
  </si>
  <si>
    <t>Contraoferta</t>
  </si>
  <si>
    <t>Conecta Pymes Centralita FTTH, 5-6-7</t>
  </si>
  <si>
    <t>Está contento con su operador actual</t>
  </si>
  <si>
    <t>No hay pares libres</t>
  </si>
  <si>
    <t>Por tener Permanencia en actual operador</t>
  </si>
  <si>
    <t>Centrex ADSL 3-4 CT</t>
  </si>
  <si>
    <t>Pack Ahorro sobre ADSL 100 ó similar</t>
  </si>
  <si>
    <t>ORANGE Delfín Pro</t>
  </si>
  <si>
    <t>OTROS</t>
  </si>
  <si>
    <t>Viladecans</t>
  </si>
  <si>
    <t>R</t>
  </si>
  <si>
    <t>Perdido</t>
  </si>
  <si>
    <t>Permanencia</t>
  </si>
  <si>
    <t>Conecta Pymes Centralita FTTH, 8+</t>
  </si>
  <si>
    <t>Actual Operador iguala/mejora nuestra oferta</t>
  </si>
  <si>
    <t>Canalización Obstruida</t>
  </si>
  <si>
    <t>No quiere productos con Permanencia</t>
  </si>
  <si>
    <t>Centrex ADSL 5-7 CT</t>
  </si>
  <si>
    <t>Pack Ahorro sobre ADSL Ilimitado ó similar</t>
  </si>
  <si>
    <t>JAZZTEL Móvil Pyme 10€</t>
  </si>
  <si>
    <t>No Polígono</t>
  </si>
  <si>
    <t>Esukaltel</t>
  </si>
  <si>
    <t>Aplazado =&gt;no permite ofertar y se aplaza máximo 3 meses. Si no será perdido</t>
  </si>
  <si>
    <t>Otro</t>
  </si>
  <si>
    <t>Fax2Mail (En todo FTTH, y en ADSL sólo en 2-3-4)</t>
  </si>
  <si>
    <t>Error BBDD: ya era cliente Orange</t>
  </si>
  <si>
    <t>Acaba de firmar FTTH con otro Operador</t>
  </si>
  <si>
    <t>Centrex ADSL &gt;= 8 CT</t>
  </si>
  <si>
    <t>Pack Ahorro sobre FTTH 50/5</t>
  </si>
  <si>
    <t>JAZZTEL Móvil Pyme 17,5€</t>
  </si>
  <si>
    <t>Telecable</t>
  </si>
  <si>
    <t>Error BBDD: ya era cliente Jazztel</t>
  </si>
  <si>
    <t>Centrex FTTH EXTRA 2P ST 50/50</t>
  </si>
  <si>
    <t>Pack Ahorro sobre FTTH 200/200</t>
  </si>
  <si>
    <t>Masmovil</t>
  </si>
  <si>
    <t>Cliente dice No hay cobertura móvil en su zona</t>
  </si>
  <si>
    <t>Acaba de firmar MOVIL con otro Operador</t>
  </si>
  <si>
    <t>Centrex FTTH EXTRA 2P CT 50/50</t>
  </si>
  <si>
    <t>ORANGE: Canguro ADSL</t>
  </si>
  <si>
    <t>Operador VoIP</t>
  </si>
  <si>
    <t>Scoring No Apto</t>
  </si>
  <si>
    <t>Está harto de que le llame Jazztel</t>
  </si>
  <si>
    <t>Centrex FTTH 3-4 CT 50/50</t>
  </si>
  <si>
    <t>ORANGE: Canguro FTTH</t>
  </si>
  <si>
    <t>Cliente quiere FTTH pero no hay cobertura</t>
  </si>
  <si>
    <t>Está harto de que le llamen las Operadores en general</t>
  </si>
  <si>
    <t>Centrex FTTH 5-7 CT 50/50</t>
  </si>
  <si>
    <t>Otros motivos</t>
  </si>
  <si>
    <t>Centrex FTTH &gt;= 8 CT 50/50</t>
  </si>
  <si>
    <t>Centrex FTTH EXTRA 2P ST 200/200</t>
  </si>
  <si>
    <t>Centrex FTTH EXTRA 2P CT 200/200</t>
  </si>
  <si>
    <t>Centrex FTTH 3-4 CT 200/200</t>
  </si>
  <si>
    <t>Centrex FTTH 5-7 CT 200/200</t>
  </si>
  <si>
    <t>Centrex FTTH &gt;= 8 CT 200/200</t>
  </si>
  <si>
    <t>50€ 
+ cuota terminales</t>
  </si>
  <si>
    <t>60€ 
+ cuota terminales</t>
  </si>
  <si>
    <t>65€ 
+ cuota terminales</t>
  </si>
  <si>
    <t>70€ 
+ cuota terminales</t>
  </si>
  <si>
    <t>80€ 
+ cuota terminales</t>
  </si>
  <si>
    <t>85€ 
+ cuota terminales</t>
  </si>
  <si>
    <t>INSTRUCCIONES DE CUMPLIMENTACIÓN DEL CONFIGURADOR DE OFERTAS DE CONECTA PYMES CENTRALITA</t>
  </si>
  <si>
    <t>Hacerlo por este orden para garantizar que el configurador aplica las validaciones correspondientes a cada modalidad:</t>
  </si>
  <si>
    <t>(se recomienda saltar de campo a campo ordenadamente pulsando la tecla de dirección "derecha" del teclado)</t>
  </si>
  <si>
    <t>- Seleccionar la modalidad de C.Pymes Centralita ofertada al cliente (una de las seis existentes)</t>
  </si>
  <si>
    <t>- En función de la modalidad elegida, seleccionar el número de Funcionalidades Adicionales que desea el cliente</t>
  </si>
  <si>
    <t>- Indicar si el cliente desea números cabecera. El primero es gratuito. Del segundo en adelante, tienen un coste de alta de 10 euros/unidad. Esta calculadora permite introducir un máximo de cuatro.</t>
  </si>
  <si>
    <t>- Resumen de Puestos: describir puesto a puesto, con su tipología y tarifas planas y bonos contratables.</t>
  </si>
  <si>
    <t xml:space="preserve">   En el apartado Servicios de Voz asociados a cada puesto, describir para cada puesto la Tarifa Plana Fijo-Fijo. El Bono Fijo-Móvil, y el Bono Fijo Europa. Entrar en cada uno de los</t>
  </si>
  <si>
    <t xml:space="preserve">   desplegables y marcar la opción adecuada, según las opciones que muestre cada lista desplegable.</t>
  </si>
  <si>
    <t>SERVICIOS TOTALES CONTRATADOS</t>
  </si>
  <si>
    <t>Nuevo</t>
  </si>
  <si>
    <t>Hoja específica visible para el comercial y hoja de cálculos específica (validación)</t>
  </si>
  <si>
    <t>IPVPN</t>
  </si>
  <si>
    <t>Versión 8.1</t>
  </si>
  <si>
    <t>Abono por nuevos Conecta Pymes Fibra y Conecta Pymes Centralita</t>
  </si>
  <si>
    <t>También se corrige (a la baja) el valor asociado a Conecta Pymes IP</t>
  </si>
  <si>
    <t>Calculadora Centralita</t>
  </si>
  <si>
    <t>Se corrige incidencia por la que no se presenta el desplegable de numeración en la tabla de puestos</t>
  </si>
  <si>
    <t>Versión 8.0</t>
  </si>
  <si>
    <t>Eliminación del producto hasta disponer de nuevo servicio</t>
  </si>
  <si>
    <t>Descuentos convergentes</t>
  </si>
  <si>
    <t>Nuevo descuento convergente por Servicios Digitales</t>
  </si>
  <si>
    <t>Topes de descuento convergente por servicio</t>
  </si>
  <si>
    <t>Tope</t>
  </si>
  <si>
    <t>Tope que aplica</t>
  </si>
  <si>
    <t>¿Contrata?</t>
  </si>
  <si>
    <t>SAF</t>
  </si>
  <si>
    <t>DESCUENTO CRUZADO</t>
  </si>
  <si>
    <t>Sin descuento cruzado</t>
  </si>
  <si>
    <t>Con descuento cruzado</t>
  </si>
  <si>
    <t>Igual al descuento cruzado que aplique en captación</t>
  </si>
  <si>
    <t>Descuento cruzado (Fijo, Digitales)</t>
  </si>
  <si>
    <t>Internet local dedicado</t>
  </si>
  <si>
    <t>Internet corporativo sede central</t>
  </si>
  <si>
    <t>IP pública</t>
  </si>
  <si>
    <t>Pack de 8 IPs públicas</t>
  </si>
  <si>
    <t>Pack 5 usuarios IPSEC</t>
  </si>
  <si>
    <t>Pack 10 usuarios IPSEC</t>
  </si>
  <si>
    <t>Pack 50 usuarios IPSEC</t>
  </si>
  <si>
    <t>Asimétrico</t>
  </si>
  <si>
    <t>Simétrico on net</t>
  </si>
  <si>
    <t>Simétrico off net</t>
  </si>
  <si>
    <t>Tipo de acceso</t>
  </si>
  <si>
    <t>IP-VPN</t>
  </si>
  <si>
    <t>SAF: IP VPN e Internet Plus</t>
  </si>
  <si>
    <t>Internet +</t>
  </si>
  <si>
    <t>Cambiamos los N/A por div0 para que no permita la suma si cogen opciones no compatibles</t>
  </si>
  <si>
    <t>Accesos</t>
  </si>
  <si>
    <t>Back Up</t>
  </si>
  <si>
    <t>Precio total?</t>
  </si>
  <si>
    <t>Wifi</t>
  </si>
  <si>
    <t>1 IP pública</t>
  </si>
  <si>
    <t>8 Ips públicas</t>
  </si>
  <si>
    <t>asimétrico</t>
  </si>
  <si>
    <t>simético on net</t>
  </si>
  <si>
    <t>simétrico off net</t>
  </si>
  <si>
    <t>Qos</t>
  </si>
  <si>
    <t>Portal de cliente avanzado</t>
  </si>
  <si>
    <t>depende de acceso!</t>
  </si>
  <si>
    <t>n/a</t>
  </si>
  <si>
    <t>gratis</t>
  </si>
  <si>
    <t>Ethernet 10 MB</t>
  </si>
  <si>
    <t>Ethernet 100 MB</t>
  </si>
  <si>
    <t>Móvil 4G</t>
  </si>
  <si>
    <t>Oferta personalizada de comunicaciones fijas: Servicios Avanzados de Fijo</t>
  </si>
  <si>
    <t>Su oferta de IP-VPN incluye:</t>
  </si>
  <si>
    <r>
      <rPr>
        <b/>
        <sz val="22"/>
        <color rgb="FFFF6600"/>
        <rFont val="Helvetica 55 Roman"/>
        <family val="2"/>
      </rPr>
      <t>·</t>
    </r>
    <r>
      <rPr>
        <sz val="22"/>
        <color rgb="FFFF6600"/>
        <rFont val="Helvetica 55 Roman"/>
        <family val="2"/>
      </rPr>
      <t xml:space="preserve"> </t>
    </r>
    <r>
      <rPr>
        <sz val="18"/>
        <rFont val="Helvetica 55 Roman"/>
        <family val="2"/>
      </rPr>
      <t>Acceso principal del servicio con tecnología de acceso móvil (4G) o acceso fijo (asimétrico, simétrico, ethernet)</t>
    </r>
  </si>
  <si>
    <r>
      <rPr>
        <b/>
        <sz val="22"/>
        <color rgb="FFFF6600"/>
        <rFont val="Helvetica 55 Roman"/>
        <family val="2"/>
      </rPr>
      <t>·</t>
    </r>
    <r>
      <rPr>
        <sz val="22"/>
        <color rgb="FFFF6600"/>
        <rFont val="Helvetica 55 Roman"/>
        <family val="2"/>
      </rPr>
      <t xml:space="preserve"> </t>
    </r>
    <r>
      <rPr>
        <sz val="18"/>
        <rFont val="Helvetica 55 Roman"/>
        <family val="2"/>
      </rPr>
      <t>CPE (router) de gama profesional (Cisco, Teldat o gama similar)</t>
    </r>
  </si>
  <si>
    <r>
      <rPr>
        <b/>
        <sz val="22"/>
        <color rgb="FFFF6600"/>
        <rFont val="Helvetica 55 Roman"/>
        <family val="2"/>
      </rPr>
      <t>·</t>
    </r>
    <r>
      <rPr>
        <sz val="22"/>
        <color rgb="FFFF6600"/>
        <rFont val="Helvetica 55 Roman"/>
        <family val="2"/>
      </rPr>
      <t xml:space="preserve"> </t>
    </r>
    <r>
      <rPr>
        <sz val="18"/>
        <rFont val="Helvetica 55 Roman"/>
        <family val="2"/>
      </rPr>
      <t>Portal de cliente avanzado con funciones de monitarización y estadísticas de tráfico de su red</t>
    </r>
  </si>
  <si>
    <r>
      <rPr>
        <b/>
        <sz val="22"/>
        <color rgb="FFFF6600"/>
        <rFont val="Helvetica 55 Roman"/>
        <family val="2"/>
      </rPr>
      <t>·</t>
    </r>
    <r>
      <rPr>
        <sz val="22"/>
        <color rgb="FFFF6600"/>
        <rFont val="Helvetica 55 Roman"/>
        <family val="2"/>
      </rPr>
      <t xml:space="preserve"> </t>
    </r>
    <r>
      <rPr>
        <sz val="18"/>
        <rFont val="Helvetica 55 Roman"/>
        <family val="2"/>
      </rPr>
      <t>Priorización del tráfico de datos con clases de servico (QoS)</t>
    </r>
  </si>
  <si>
    <r>
      <rPr>
        <b/>
        <sz val="22"/>
        <color rgb="FFFF6600"/>
        <rFont val="Helvetica 55 Roman"/>
        <family val="2"/>
      </rPr>
      <t>·</t>
    </r>
    <r>
      <rPr>
        <sz val="22"/>
        <color rgb="FFFF6600"/>
        <rFont val="Helvetica 55 Roman"/>
        <family val="2"/>
      </rPr>
      <t xml:space="preserve"> </t>
    </r>
    <r>
      <rPr>
        <sz val="18"/>
        <rFont val="Helvetica 55 Roman"/>
        <family val="2"/>
      </rPr>
      <t>Calidad de servicio garantizada mediantes SLAs, con penalizaciones reactivas en caso de incumplimiento de los mismos:</t>
    </r>
  </si>
  <si>
    <t>* SLA que garantiza el tiempo de instalación de su servicio</t>
  </si>
  <si>
    <t>* SLA de garantía de disponibilidad mensual de su servicio</t>
  </si>
  <si>
    <t xml:space="preserve">* SLA de tiempo de resolución de incidencias críticas </t>
  </si>
  <si>
    <t>Además podrá contratar:</t>
  </si>
  <si>
    <r>
      <rPr>
        <b/>
        <sz val="22"/>
        <color rgb="FFFF6600"/>
        <rFont val="Helvetica 55 Roman"/>
        <family val="2"/>
      </rPr>
      <t>·</t>
    </r>
    <r>
      <rPr>
        <sz val="22"/>
        <rFont val="Helvetica 55 Roman"/>
        <family val="2"/>
      </rPr>
      <t xml:space="preserve"> </t>
    </r>
    <r>
      <rPr>
        <sz val="18"/>
        <rFont val="Helvetica 55 Roman"/>
        <family val="2"/>
      </rPr>
      <t>Servicios opcionales: Acceso Wifi , acceso a internet, Ips públicas, acceso IP-Sec para usuarios remotos*</t>
    </r>
  </si>
  <si>
    <r>
      <t xml:space="preserve">· </t>
    </r>
    <r>
      <rPr>
        <sz val="18"/>
        <rFont val="Helvetica 55 Roman"/>
        <family val="2"/>
      </rPr>
      <t>Accesos de back up con tecnología de acceso móvil (4G) o acceso fijo (asimétrico, simétrico, ethernet)</t>
    </r>
  </si>
  <si>
    <t>Es nuestro servicio de acceso a internet para empresas que permite la conectividad con la red pública de Internet, aportando opciones profesionales y garantías de servicio</t>
  </si>
  <si>
    <t>Su oferta de Internet+ incluye:</t>
  </si>
  <si>
    <r>
      <rPr>
        <b/>
        <sz val="22"/>
        <color rgb="FFFF6600"/>
        <rFont val="Helvetica 55 Roman"/>
        <family val="2"/>
      </rPr>
      <t>·</t>
    </r>
    <r>
      <rPr>
        <sz val="22"/>
        <color indexed="53"/>
        <rFont val="Helvetica 55 Roman"/>
        <family val="2"/>
      </rPr>
      <t xml:space="preserve"> </t>
    </r>
    <r>
      <rPr>
        <sz val="18"/>
        <rFont val="Helvetica 55 Roman"/>
        <family val="2"/>
      </rPr>
      <t>Acceso principal del servicio con tecnología de acceso fijo (asimétrico, simétrico, ethernet)</t>
    </r>
  </si>
  <si>
    <r>
      <rPr>
        <b/>
        <sz val="22"/>
        <color rgb="FFFF6600"/>
        <rFont val="Helvetica 55 Roman"/>
        <family val="2"/>
      </rPr>
      <t>·</t>
    </r>
    <r>
      <rPr>
        <sz val="22"/>
        <color indexed="53"/>
        <rFont val="Helvetica 55 Roman"/>
        <family val="2"/>
      </rPr>
      <t xml:space="preserve"> </t>
    </r>
    <r>
      <rPr>
        <sz val="18"/>
        <rFont val="Helvetica 55 Roman"/>
        <family val="2"/>
      </rPr>
      <t>CPE (router) de gama profesional (Cisco, Teldat o gama similar)</t>
    </r>
  </si>
  <si>
    <r>
      <rPr>
        <b/>
        <sz val="22"/>
        <color rgb="FFFF6600"/>
        <rFont val="Helvetica 55 Roman"/>
        <family val="2"/>
      </rPr>
      <t>·</t>
    </r>
    <r>
      <rPr>
        <sz val="22"/>
        <color indexed="53"/>
        <rFont val="Helvetica 55 Roman"/>
        <family val="2"/>
      </rPr>
      <t xml:space="preserve"> </t>
    </r>
    <r>
      <rPr>
        <sz val="18"/>
        <rFont val="Helvetica 55 Roman"/>
        <family val="2"/>
      </rPr>
      <t>Portal de cliente avanzado con funciones de monitarización y estadísticas de tráfico de su red</t>
    </r>
  </si>
  <si>
    <r>
      <rPr>
        <b/>
        <sz val="22"/>
        <color rgb="FFFF6600"/>
        <rFont val="Helvetica 55 Roman"/>
        <family val="2"/>
      </rPr>
      <t>·</t>
    </r>
    <r>
      <rPr>
        <sz val="22"/>
        <color indexed="53"/>
        <rFont val="Helvetica 55 Roman"/>
        <family val="2"/>
      </rPr>
      <t xml:space="preserve"> </t>
    </r>
    <r>
      <rPr>
        <sz val="18"/>
        <rFont val="Helvetica 55 Roman"/>
        <family val="2"/>
      </rPr>
      <t>Priorización del tráfico de datos con clases de servico (QoS)</t>
    </r>
  </si>
  <si>
    <r>
      <rPr>
        <b/>
        <sz val="22"/>
        <color rgb="FFFF6600"/>
        <rFont val="Helvetica 55 Roman"/>
        <family val="2"/>
      </rPr>
      <t>·</t>
    </r>
    <r>
      <rPr>
        <sz val="22"/>
        <color indexed="53"/>
        <rFont val="Helvetica 55 Roman"/>
        <family val="2"/>
      </rPr>
      <t xml:space="preserve"> </t>
    </r>
    <r>
      <rPr>
        <sz val="18"/>
        <rFont val="Helvetica 55 Roman"/>
        <family val="2"/>
      </rPr>
      <t>Calidad de servicio garantizada mediantes SLAs, con penalizaciones reactivas en caso de incumplimiento de los mismos:</t>
    </r>
  </si>
  <si>
    <r>
      <rPr>
        <b/>
        <sz val="22"/>
        <color rgb="FFFF6600"/>
        <rFont val="Helvetica 55 Roman"/>
        <family val="2"/>
      </rPr>
      <t>·</t>
    </r>
    <r>
      <rPr>
        <sz val="22"/>
        <rFont val="Helvetica 55 Roman"/>
        <family val="2"/>
      </rPr>
      <t xml:space="preserve"> </t>
    </r>
    <r>
      <rPr>
        <sz val="18"/>
        <rFont val="Helvetica 55 Roman"/>
        <family val="2"/>
      </rPr>
      <t>Servicios opcionales: Acceso Wifi , Ips públicas</t>
    </r>
  </si>
  <si>
    <r>
      <t xml:space="preserve">· </t>
    </r>
    <r>
      <rPr>
        <sz val="18"/>
        <rFont val="Helvetica 55 Roman"/>
        <family val="2"/>
      </rPr>
      <t>Accesos de back up con tecnología de acceso fijo (asimétrico, simétrico, ethernet)</t>
    </r>
  </si>
  <si>
    <t>QoS</t>
  </si>
  <si>
    <t>Nuestro servicio de Red Privada Virtual (VPN) permite a su empresa la interconexión entre todas sus sedes, delegaciones y usuarios remotos empleando la infraestructura de red segura y fiable de Orange.</t>
  </si>
  <si>
    <t>Página 1 de 18</t>
  </si>
  <si>
    <t>Página 2 de 18</t>
  </si>
  <si>
    <t>Página 3 de 18</t>
  </si>
  <si>
    <t>Página 4 de 18</t>
  </si>
  <si>
    <t>Página 5 de 18</t>
  </si>
  <si>
    <t>Página 6 de 18</t>
  </si>
  <si>
    <t>Página 7 de 18</t>
  </si>
  <si>
    <t>Página 8 de 18</t>
  </si>
  <si>
    <t>Página 9 de 18</t>
  </si>
  <si>
    <t>Página 10 de 18</t>
  </si>
  <si>
    <t>Página 11 de 18</t>
  </si>
  <si>
    <t>Página 12 de 18</t>
  </si>
  <si>
    <t>Página 13 de 18</t>
  </si>
  <si>
    <t>Página 14 de 18</t>
  </si>
  <si>
    <t>Página 15 de 18</t>
  </si>
  <si>
    <t>Página 16 de 18</t>
  </si>
  <si>
    <t>Página 17 de 18</t>
  </si>
  <si>
    <t>Página 18 de 18</t>
  </si>
  <si>
    <t>Condiciones legales Servicios Avanzados de Fijo</t>
  </si>
  <si>
    <t>Puede consultar el detalle de las condiciones legales asociadas al producto tanto en la propuesta comercial y condiciones particulares del servicio VPN e internet de Orange, como en las condiciones generales de prestación de servicios de telefonía fija, datos e internet de ORANGE o, en su caso, el acuerdo marco en caso de suscribirse, que le serán facilitados en la firma del contrato del servicio.</t>
  </si>
  <si>
    <t>Página 1 de 14</t>
  </si>
  <si>
    <t>Página 2 de 14</t>
  </si>
  <si>
    <t>Página 3 de 14</t>
  </si>
  <si>
    <t>Página 4 de 14</t>
  </si>
  <si>
    <t>Página 5 de 14</t>
  </si>
  <si>
    <t>Página 6 de 14</t>
  </si>
  <si>
    <t>Página 7 de 14</t>
  </si>
  <si>
    <t>Página 8 de 14</t>
  </si>
  <si>
    <t>Página 9 de 14</t>
  </si>
  <si>
    <t>Página 10 de 14</t>
  </si>
  <si>
    <t>Página 11 de 14</t>
  </si>
  <si>
    <t>Página 12 de 14</t>
  </si>
  <si>
    <t>Página 13 de 14</t>
  </si>
  <si>
    <t>Página 14 de 14</t>
  </si>
  <si>
    <t>Inclusión de servicio SAF vigente en 2016 hasta lanzamiento del nuevo Interconecta Empresas</t>
  </si>
  <si>
    <t>Acceso web</t>
  </si>
  <si>
    <t>Acceso API</t>
  </si>
  <si>
    <t>SMS estimados</t>
  </si>
  <si>
    <t>Volumen SMS/mes estimados</t>
  </si>
  <si>
    <t>Precio SMS según volumen</t>
  </si>
  <si>
    <t>Tipo de oferta</t>
  </si>
  <si>
    <t>Oferta estándar</t>
  </si>
  <si>
    <t>Oferta a medida</t>
  </si>
  <si>
    <t>Distribución del volumen de SMS en % por tipo de destino</t>
  </si>
  <si>
    <t>Precios ofertados por tipo de destino</t>
  </si>
  <si>
    <t xml:space="preserve"> Precio SMS a Orange</t>
  </si>
  <si>
    <t>Precio SMS no Orange</t>
  </si>
  <si>
    <t>Precio SMS internacional</t>
  </si>
  <si>
    <t>Precio SMS certificado</t>
  </si>
  <si>
    <t>Modificación del producto según lanzamiento de Agosto 16 no implementado correctamente</t>
  </si>
  <si>
    <t>Descuento por ser cliente de servicios Fijos o Digitales para Pymes</t>
  </si>
  <si>
    <t>Para recompensar el hecho de ser cliente de otros productos de Orange para Pymes, le ofrecemos un descuento que aplicará en la factura mensual de Óptima RPV si tiene activo un producto de los reflejados en la siguiente tabla:</t>
  </si>
  <si>
    <t>Máximo descuento ("techo")</t>
  </si>
  <si>
    <t>Servicios Avanzados de Fijo ("SAF")</t>
  </si>
  <si>
    <t>NA</t>
  </si>
  <si>
    <t xml:space="preserve">El descuento será aplicado siempre que el responsable de pago de la factura de los servicios fijos y/o digitales y el de Óptima RPV sean el mismo.
El descuento aplicará sobre el tráfico de voz nacional, internacional y en roaming tarificado en todas sus líneas con Tarifa Óptima RPV, así como sobre las cuotas de productos de voz y datos contratadas en las mismas. Este descuento está condicionado a la permanencia en ambos productos. </t>
  </si>
  <si>
    <t>En caso de activación del producto SAF con Tarifa Óptima RPV, se aplicará un descuento adicional del 10% sobre la facturación móvil de las líneas con Tarifa Óptima RPV, con un descuento máximo de 60€.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no aplicará sobre las cuotas generadas por los bonos Travel semanal, ni sobre las cuotas de los servicios de Orange Cloud Empresas o Comunica SMS. Este descuento se aplicará mensualmente, a partir de su segunda factura cuando al vencimiento de un ciclo de su facturación tenga activados los dos productos , siempre que no tuviera previamente ningún otro descuento activo en SAF por ser cliente de tarifa móvil Orange. 
El descuento se aplicará siempre que el cliente de Tarifa Óptima RPV y SAF contrate los dos servicios bajo el mismo pagador y número de documento de identificación fiscal. El descuento está asociado a la activación y mantenimiento de los productos SAF y Óptima RPV en el cliente; en caso de baja de alguno de ellos, se perderá el descuento. El descuento sólo aplicará para nuevas contrataciones de producto SAF en cliente que no tuviera previamente el producto contratado, no aplicará a clientes existentes de SAF, ni a ampliaciones de sedes o servicios sobre estos clientes. Este descuento es incompatible con el descuento para Conecta pyme descrito en el apartado anterior, por lo cual si el cliente tuviera activo el descuento de Conecta Pyme no aplicará ningún descuento adicional por la venta de SAF. Tampoco aplicará este descuento si el cliente ya tuviera activo algún descuento de Fidelización sobre Tarifa Óptima RPV</t>
  </si>
  <si>
    <t>Bajo el concepto de servicios digitales se consideran los productos PYME Orange, Comunica SMS y servicio Orange Cloud Empresas
Puede consultar el detalle de las condiciones legales asociadas al cada servicio en el anexo al contrato empresa de telefonía móvil: Servicio Orange Cloud Empresas; o en el anexo al contrato empresa de telefonía móvil: servicio Comunica SMS; que le serán facilitados en la firma del contrato del servicio.</t>
  </si>
  <si>
    <t>Para recompensar el hecho de ser cliente de otros productos de Orange para Pymes, le ofrecemos un descuento que aplicará en la factura mensual de Óptima  si tiene activo un producto de los reflejados en la siguiente tabla:</t>
  </si>
  <si>
    <t xml:space="preserve">El descuento será aplicado siempre que el responsable de pago de la factura de los servicios fijos y/o digitales y el de Óptima sean el mismo.
El descuento aplicará sobre el tráfico de voz nacional, internacional y en roaming tarificado en todas sus líneas con Tarifa Óptima, así como sobre las cuotas de productos de voz y datos contratadas en las mismas. Este descuento está condicionado a la permanencia en ambos productos. </t>
  </si>
  <si>
    <t>En caso de activación del producto SAF con Tarifa Óptima, se aplicará un descuento adicional del 10% sobre la facturación móvil de las líneas con Tarifa Óptima, con un descuento máximo de 60€. El descuento aplicará sobre consumos de voz móvil tras descuentos implícitos de la tarifa a destinos nacionales, internacionales y en roaming. El descuento también aplicará sobre las cuotas de los módulos de voz y datos, y de servicios adicionales que la línea tenga activados. Este descuento no aplicará sobre las cuotas generadas por los bonos Travel semanal, ni sobre las cuotas de los servicios de Orange Cloud Empresas o Comunica SMS. Este descuento se aplicará mensualmente, a partir de su segunda factura cuando al vencimiento de un ciclo de su facturación tenga activados los dos productos , siempre que no tuviera previamente ningún otro descuento activo en SAF por ser cliente de tarifa móvil Orange. 
El descuento se aplicará siempre que el cliente de Tarifa Óptima y SAF contrate los dos servicios bajo el mismo pagador y número de documento de identificación fiscal. El descuento está asociado a la activación y mantenimiento de los productos SAF y Óptima en el cliente; en caso de baja de alguno de ellos, se perderá el descuento. El descuento sólo aplicará para nuevas contrataciones de producto SAF en cliente que no tuviera previamente el producto contratado, no aplicará a clientes existentes de SAF, ni a ampliaciones de sedes o servicios sobre estos clientes. Este descuento es incompatible con el descuento para Conecta pyme descrito en el apartado anterior, por lo cual si el cliente tuviera activo el descuento de Conecta Pyme no aplicará ningún descuento adicional por la venta de SAF. Tampoco aplicará este descuento si el cliente ya tuviera activo algún descuento de Fidelización sobre Tarifa Óptima</t>
  </si>
  <si>
    <t>Acceso web, API y email</t>
  </si>
  <si>
    <t>Acceso para el envío y recepción masiva de SMS personalizados</t>
  </si>
  <si>
    <t>Precio SMS Orange</t>
  </si>
  <si>
    <t xml:space="preserve">Precio SMS no Orange </t>
  </si>
  <si>
    <t>Versión 8.2</t>
  </si>
  <si>
    <t>Promo descuento</t>
  </si>
  <si>
    <t>Aplicación de promo de descuento extra Optima RPV desde 10 o más líneas y 6 o más portadas</t>
  </si>
  <si>
    <r>
      <rPr>
        <b/>
        <sz val="22"/>
        <color rgb="FFFF6600"/>
        <rFont val="Helvetica 55 Roman"/>
        <family val="2"/>
      </rPr>
      <t>·</t>
    </r>
    <r>
      <rPr>
        <sz val="22"/>
        <color indexed="53"/>
        <rFont val="Helvetica 55 Roman"/>
        <family val="2"/>
      </rPr>
      <t xml:space="preserve"> </t>
    </r>
    <r>
      <rPr>
        <sz val="18"/>
        <rFont val="Helvetica 55 Roman"/>
        <family val="2"/>
      </rPr>
      <t>Funciones de centralita IP (operadora automática) con avanzados teléfonos IP</t>
    </r>
  </si>
  <si>
    <t>Internet Móvil 2GB empresas</t>
  </si>
  <si>
    <t>Versión 8.3</t>
  </si>
  <si>
    <t>Condiciones de SVA para descuento cuando 10 o más sedes</t>
  </si>
  <si>
    <t>TP</t>
  </si>
  <si>
    <t>total IP fijas</t>
  </si>
  <si>
    <t>Total sva sedes</t>
  </si>
  <si>
    <t>IP Conecta Pymes IP</t>
  </si>
  <si>
    <t>total IP CPIP</t>
  </si>
  <si>
    <t>Se añaden condiciones de SVA para descuentos en conecta pymes cuando hay 10 o más sedes.</t>
  </si>
  <si>
    <t>+Instalación de Office en dispositivos (PC/ MAC/ tablet/ smartphone): Excel, Word, Powerpoint, OneNote y Publisher.
+Correo profesional con Outlook: buzón de 50 GB, dirección propia, calendario y contactos.
+1TB de almacenamiento y compartición de ficheros en la nube:OneDrive para Empresas.
+ Reuniones online: Skype Empresarial para videoconferencias.</t>
  </si>
  <si>
    <t>SVA 2A</t>
  </si>
  <si>
    <t>SVA 2A FIBRA</t>
  </si>
  <si>
    <t xml:space="preserve">SVA </t>
  </si>
  <si>
    <t>+ Compatible con tablets y smartphones.
+ Control geográfico de teléfonos: mejora de rutas, restricción de zonas, control de visitas.
+ Creación de informes y alertas: evaluación de rendimientos y ahorro de multas.
+ Administración: configuración de teléfonos, acceso a la aplicación desde cualquier lugar.</t>
  </si>
  <si>
    <r>
      <t xml:space="preserve">incluye </t>
    </r>
    <r>
      <rPr>
        <b/>
        <sz val="18"/>
        <rFont val="Helvetica 55 Roman"/>
      </rPr>
      <t>2GB</t>
    </r>
    <r>
      <rPr>
        <sz val="18"/>
        <rFont val="Helvetica 55 Roman"/>
        <family val="2"/>
      </rPr>
      <t xml:space="preserve"> de datos a máxima velocidad
compatible con </t>
    </r>
    <r>
      <rPr>
        <b/>
        <sz val="18"/>
        <color indexed="53"/>
        <rFont val="Helvetica 55 Roman"/>
        <family val="2"/>
      </rPr>
      <t>4G</t>
    </r>
  </si>
  <si>
    <r>
      <t>incluye</t>
    </r>
    <r>
      <rPr>
        <b/>
        <sz val="18"/>
        <rFont val="Helvetica 55 Roman"/>
      </rPr>
      <t xml:space="preserve"> 8</t>
    </r>
    <r>
      <rPr>
        <b/>
        <sz val="18"/>
        <rFont val="Helvetica 55 Roman"/>
        <family val="2"/>
      </rPr>
      <t>GB</t>
    </r>
    <r>
      <rPr>
        <sz val="18"/>
        <rFont val="Helvetica 55 Roman"/>
        <family val="2"/>
      </rPr>
      <t xml:space="preserve"> de datos a máxima velocidad
compatible con </t>
    </r>
    <r>
      <rPr>
        <b/>
        <sz val="18"/>
        <color indexed="53"/>
        <rFont val="Helvetica 55 Roman"/>
        <family val="2"/>
      </rPr>
      <t>4G</t>
    </r>
  </si>
  <si>
    <r>
      <t xml:space="preserve">incluye </t>
    </r>
    <r>
      <rPr>
        <b/>
        <sz val="18"/>
        <rFont val="Helvetica 55 Roman"/>
      </rPr>
      <t>8</t>
    </r>
    <r>
      <rPr>
        <b/>
        <sz val="18"/>
        <rFont val="Helvetica 55 Roman"/>
        <family val="2"/>
      </rPr>
      <t>GB</t>
    </r>
    <r>
      <rPr>
        <sz val="18"/>
        <rFont val="Helvetica 55 Roman"/>
        <family val="2"/>
      </rPr>
      <t xml:space="preserve"> de datos a máxima velocidad
compatible con </t>
    </r>
    <r>
      <rPr>
        <b/>
        <sz val="18"/>
        <color indexed="53"/>
        <rFont val="Helvetica 55 Roman"/>
        <family val="2"/>
      </rPr>
      <t>4G</t>
    </r>
  </si>
  <si>
    <t>Cambio de precio y nombre de Internet Móvil 2GB</t>
  </si>
  <si>
    <t>Modificación de precio y nombre en form de usuario, lógica de cálculo y todas las ofertas. Cambio de preaprobada</t>
  </si>
  <si>
    <t>IP Fjia</t>
  </si>
  <si>
    <t>Nuestro servicio de Red Privada Virtual (VPN) permite a su empresa la interconexión entre todas sus sedes, delegaciones y usuarios remotos empleando la infraestructura de red segura y fiable de Orange. Incluye:</t>
  </si>
  <si>
    <t>Es nuestro servicio de acceso a internet para empresas que permite la conectividad con la red pública de Internet, aportando opciones profesionales y garantías de servicio. Incluye:</t>
  </si>
  <si>
    <t>+ Ahorre tiempo y costes de desplazamiento
+ Durante una videoconferencia, puede compartir, revisar y almacenar documentos, realizar gráficos en tiempo real, navegar por una web, elaborar sondeos y encuestas.
+ Sin necesidad de configuraciones adicionales</t>
  </si>
  <si>
    <t>Descuentos multisede en CP</t>
  </si>
  <si>
    <t>Compromiso de permanencia del servicio Conecta Pymes Centralita: 18 meses. La tarifa plana aplica sobre las llamadas a teléfonos fijos nacionales, siempre que estos estén comprendidos dentro de las jurisdicciones metropolitana o local y nacional o interprovincial. No podrán usar estas tarifas empresas o particulares cuya actividad esté relacionado con los Servicios de telecomunicaciones (locutorios, centros de llamadas, plataformas de ventas telefónicas...).La oferta está estrictamente limitada a llamadas de voz, (no acceso a Internet o Servicios de transmisión telemática), no estando permitido el uso abusivo. La Tarifa Plana incluida por defecto en el puesto tiene un límite de 1500 minutos/mes por Puesto y se ofrece de modo gratuito. El resto de Tarifas Planas (3000 minutos/mes, 4500 minutos mes y 6000 minutos/mes) se pueden contratar en sustitución de la de 1500 minutos y tienen el precio mensual indicado en el contrato. Las Tarifas Planas son incompatibles con cualquier otro esquema de tarificación o descuentos que afecte a las mismas jurisdicciones que estas tarifas, en caso de superar el límite anteriormente expuesto se facturarán al cliente las comunicaciones realizadas conforme al plan de precios específico del servicio. La marcación de las numeraciones geográficas asociadas a los servicios 010 y 012 no está incluida dentro de las tarifas planas de voz, facturándose al precio correspondiente al servicio al que se acceda y que se encuentra publicado en la página web de Jazztel. Asimismo queda fuera de la tarifa plana la marcación del 902.BONOS. La tarificación se realiza por segundos, sin franquicia ni establecimiento. Tarificación fuera del bono de acuerdo con las tarifas estándar de ORANGE ESPAGNE SAU . El Bono Europa Fijo 1 Hora incluye 60 minutos por puesto en llamadas a fijos de la Zona 1. Se pueden consultar los países y las zonas a las que pertenecen en www.jazztel.com. PUESTO MÓVIL (y PUESTO MÓVIL CON FIJO EN EL MÓVIL). Este servicio permite al Cliente contar con una extensión corta (numeración fija) sobre la que se asocia una línea móvil e integrar dicha línea móvil en Grupos de Salto. Las condiciones de
contratación de la línea móvil se rigen por el contrato de móvil del Cliente adjunto al contrato de Conecta Pymes Centralita, siendo ambos servicios independientes y aplicándose los importes y características que se indican en cada contrato. Cada puesto móvil cuenta con una Tarifa de 1.500 minutos a Fijos Nacionales para realizar llamadas salientes. En caso de superar el límite anteriormente expuesto se facturarán al cliente las comunicaciones realizadas conforme al plan de precios del servicio con 0,017€/minuto sin establecimiento a fijos locales y 0,04 €/minutos a fijos nacionales. Cada puesto móvil cuenta con 1000 Minutos para repartir entre llamadas entrantes internas, llamadas externas a una numeración fija asociada a la extensión corta o al Grupo de Salto y llamadas a móviles que se cursarán llamando desde el móvil a un número (BW Portal). Una vez superados los 1000 minutos se pasará a facturar según el plan de precios de fijo a móvil: 0,0686 €/minuto sin establecimiento. La Línea Datáfono / Alarma supone la contratación de la línea telefónica y la prestación del Servicio telefónico disponible al público para realización de todas las llamadas telefónicas fijas nacionales a través de la Tarifa Plana Nacional de ORANGE ESPAGNE SAU y del resto de llamadas según la tarifa correspondiente</t>
  </si>
  <si>
    <t>Compromiso de permanencia del servicio Conecta Pymes: 18 meses. Conecta Pymes IP y Conecta Pymes fibra: 24 meses. Conecta Pymes incluye por defecto tarifa plana de voz 24h. a fijos nacionales y móviles Orange. Límite 2.000 min. por línea y mes. Conecta Pymes IP (fibra) incluye por defecto tarifa plana de voz 24h. a fijos nacionales y móviles con un límite de 8.000 min/mes. Tarifas planas a móviles no Orange, de 250 min.: 9€/mes y 600 min.: 19€/mes. Resto de llamadas se facturarán de acuerdo al Plan Negocio. Precio de DDI (número fijo geográfico) para los paquetes para centralita de 2€/mes. Precio de IP fija: 12€/mes. Ver detalle de condiciones legales del producto en www.orange.es/legal/. Se aplica un descuento multisede para cada uno de los segundos y sucesivos Conecta Pymes activos de un mismo cliente (CIF/NIF). Este descuento será de 20€, para clientes de 2 a 4 Conecta Pymes activos, y de 30€ para 5 o más, a excepción de Conecta Pymes 2A, cuyo descuento será de 10€ en el caso de 5 o más Conecta Pymes activos. En caso de reducción del número de Conecta Pymes activos por cliente, el descuento se actualizará a su tramo correspondiente.</t>
  </si>
  <si>
    <t>Orange Espagne SAU</t>
  </si>
  <si>
    <t>Cambio de condiciones CP Centralita</t>
  </si>
  <si>
    <t>Simplificación de condiciones de CP Centralita</t>
  </si>
  <si>
    <t>Condiciones legales de Oficina Plus</t>
  </si>
  <si>
    <t>Con Óptima RPV podrá disfrutar de Oficina Plus, la solución de Orange para ahorrar en sus comunicaciones fijas, sustituyéndolas por una solución móvil que le permite acceder a nuevos servicios, como la recepción de llamadas en su número fijo cuando se encuentre fuera de la oficina. 
Si utiliza los servicios desde su oficina, podrá disponer de equipos de sustitución fijo-móvil para mayor comodidad de uso. Si requiere alguno de estos equipos, el Servicio incluye la cesión gratuita del mismo. Cuando solicite la baja del servicio Oficina Plus, ha de devolver a Orange el equipo; en caso de no devolución Orange le podrá cobrar 100€ por el valor del equipo.
Oficina Plus se configura mediante productos opcionales en sus líneas móviles, según lo que necesite en cada una:</t>
  </si>
  <si>
    <t>Versión 8.4</t>
  </si>
  <si>
    <t>Si el Cliente ha contratado el Servicio Oficina Plus con terminal de Sustitución Fijo-Móvil, Orange cede al Cliente de forma gratuita dicho Dispositivo, todo ello conforme a lo indicado en las Condiciones Generales de los Servicios Orange. Dicha cesión tendrá la misma duración que el servicio “Oficina Plus” contratado por el Cliente. Una vez dado de baja el mencionado servicio por cualquier motivo, el Cliente se compromete a la devolución del Dispositivo a Orange con todos sus accesorios, en perfecto estado de funcionamiento y sin otro deterioro que el provocado por el transcurso del tiempo. Para proceder a su devolución, el cliente se pondrá en contacto con el Centro de Atención al Cliente de  Orange, donde le indicarán las diferentes alternativas para su devolución. En el caso de que en un plazo máximo de 15 días desde la baja del servicio “Oficina Plus”, el Cliente no hubiera procedido a la devolución del Dispositivo, Orange podrá cobrar al cliente el  coste del mismo (121€ IVA incl. (107€ IGIC incl.)), ello con independencia del pago del cargo por incumplimiento del compromiso permanencia si es que existiere.</t>
  </si>
  <si>
    <t>Condiciones sobre cesión de equipos de sustitución en Oficina Plus</t>
  </si>
  <si>
    <t>Modificación de la hoja comercial de Oficina Plus e inclusión de las condiciones legales de Oficina Plus en las ofertas que incluyen este servicio (Optima RPV)</t>
  </si>
  <si>
    <r>
      <rPr>
        <b/>
        <sz val="11"/>
        <rFont val="Helvetica 55 Roman"/>
        <family val="2"/>
      </rPr>
      <t xml:space="preserve">Impuestos indirectos no incluidos en los precios indicados. </t>
    </r>
    <r>
      <rPr>
        <sz val="11"/>
        <rFont val="Helvetica 55 Roman"/>
        <family val="2"/>
      </rPr>
      <t>Consulta precios con impuestos: Península y Baleares 21%; Canarias IGIC 7%; Ceuta IPSIC 10%; Melilla IPSIM 8%. Todas las tarifas se refieren a llamadas nacionales, son postpago, se aplican 4 decimales y se sujetan a las condiciones generales de contratación de Orange. No se incluyen números de tarificación especial. Tarificación por segundos desde el primer segundo. Tarifas de uso exclusivo clientes finales. Precios no válidos para cualquier transformación o conversión de llamadas o del tráfico, incluyendo el redireccionamiento de llamadas a destinos distintos del número llamado ya sea fijo o móvil. Estas llamadas se tarificarán fuera de los minutos gratuitos de las tarifas planas y al precio específico para llamadas redireccionadas (sin la aplicación de ningún descuento o promoción).</t>
    </r>
  </si>
  <si>
    <t>La zona Europa Plus comprende los siguientes países: Países de la UE, China, Estados Unidos, Gibraltar, Guadalupe, Guayana Francesa, Guernsey, Hungría, Irlanda, Islas Feroe, Islas Aland, Isla de Man, Isla de Jersey, Liechtenstein, Martinica, Noruega, Isla Reunión, San Marino, Suiza, Vaticano.</t>
  </si>
  <si>
    <t>Versión 8.5</t>
  </si>
  <si>
    <t>Andorra se elimina de Travel data diario resto del mundo.</t>
  </si>
  <si>
    <t>Impuesto Melilla</t>
  </si>
  <si>
    <t>El impuesto de Melilla pasa del 4% al 8%.</t>
  </si>
  <si>
    <t xml:space="preserve">Productos de voz y datos que le permiten hablar sin preocuparse por el coste, al ser tarifas planas que incluyen llamadas ilimitadas a cualquier destino nacional y en roaming dentro del EEE. Distintas capacidades de datos para que elija según las necesidades de sus empleados. Todas compatibles con la red 4G de última generación de Orange.
Además, si necesita hacer llamadas internacionales o comunicarse cuando viaja, tarifas planas que incluyen llamadas a destinos internacionales y en roaming, así como capacidad de navegación en roaming en Europa, Estados Unidos y China. </t>
  </si>
  <si>
    <r>
      <t xml:space="preserve">+ 6000 minutos de llamadas a destinos fijos y móviles nacionales y en roaming dentro del EEE a 0€, establecimiento incluido. 24h, todos los días de la semana
+ 1GB de datos en España y en roaming dentro del EEE a máxima velocidad </t>
    </r>
    <r>
      <rPr>
        <b/>
        <sz val="18"/>
        <rFont val="Helvetica 55 Roman"/>
        <family val="2"/>
      </rPr>
      <t>4G</t>
    </r>
  </si>
  <si>
    <r>
      <t xml:space="preserve">Para necesidades muy básicas de comunicaciones en movilidad, dispone de un producto con </t>
    </r>
    <r>
      <rPr>
        <b/>
        <sz val="18"/>
        <color indexed="53"/>
        <rFont val="Helvetica 55 Roman"/>
        <family val="2"/>
      </rPr>
      <t>150 minutos de llamadas a destinos fijos y móviles nacionales y en roaming dentro del EEE y 600MB de datos en España y en roaming dentro del EEE  por una cuota mensual de 15€ antes de descuentos</t>
    </r>
    <r>
      <rPr>
        <sz val="18"/>
        <rFont val="Helvetica 55 Roman"/>
        <family val="2"/>
      </rPr>
      <t xml:space="preserve">. Compatible con la red </t>
    </r>
    <r>
      <rPr>
        <b/>
        <sz val="18"/>
        <rFont val="Helvetica 55 Roman"/>
        <family val="2"/>
      </rPr>
      <t>4G</t>
    </r>
    <r>
      <rPr>
        <sz val="18"/>
        <rFont val="Helvetica 55 Roman"/>
        <family val="2"/>
      </rPr>
      <t xml:space="preserve"> de máxima velocidad</t>
    </r>
  </si>
  <si>
    <r>
      <t>Con la Tarifa Óptima RPV las llamadas entre las líneas con su tarifa serán gratuitas, incluso cuando sus empleados se encuentren fuera de España, dentro del EEE</t>
    </r>
    <r>
      <rPr>
        <sz val="18"/>
        <rFont val="Helvetica 55 Roman"/>
        <family val="2"/>
      </rPr>
      <t xml:space="preserve">
</t>
    </r>
  </si>
  <si>
    <t>y en roaming dentro del EEE</t>
  </si>
  <si>
    <t>Llamadas nacionales y en roaming dentro del EEE</t>
  </si>
  <si>
    <t xml:space="preserve">Todas las llamadas nacionales con Tarifa Óptima RPV, a destinos fijos y móviles de cualquier operador y en roaming dentro del EEE a un coste reducido y predecible. Para que pueda ver el reflejo en su factura de forma sencilla, sin descuentos ni fórmulas complejas
</t>
  </si>
  <si>
    <t>SMS nacionales y en roaming dentro del EEE</t>
  </si>
  <si>
    <t xml:space="preserve">Los SMS nacionales y en roaming dentro del EEE a destinos móviles de cualquier operador, enviados con Tarifa Óptima RPV tienen un coste:
</t>
  </si>
  <si>
    <t>MMS nacionales y en roaming dentro del EEE</t>
  </si>
  <si>
    <t xml:space="preserve">Los MMS nacionales y en roaming dentro del EEE a destinos móviles de cualquier operador, enviados con Tarifa Óptima RPV tienen un coste:
</t>
  </si>
  <si>
    <t>Zona EEE</t>
  </si>
  <si>
    <t>N/A</t>
  </si>
  <si>
    <t>nacional</t>
  </si>
  <si>
    <t>EEUU, Suiza y China</t>
  </si>
  <si>
    <t>Zona Europa Plus</t>
  </si>
  <si>
    <t>Rep. Checa</t>
  </si>
  <si>
    <t>Argleia</t>
  </si>
  <si>
    <t>Finlandia (incluidas las Islas Aland)</t>
  </si>
  <si>
    <t>Francia (incluido Martinica, Guadalupe, San Martín, Guyana francesa, Reunión y Mayotte)</t>
  </si>
  <si>
    <t>Portugal (incluido Madeira y Azores)</t>
  </si>
  <si>
    <t>Reino Unido (incluido Gibraltar)</t>
  </si>
  <si>
    <t>Las líneas de la Tarifa Óptima RPV incluyen llamadas de voz nacionales y en roaming dentro del EEE a 0€ entre las líneas de la empresa con Tarifa Óptima RPV, sin límite mensual, y SMS a 0€ a destinos nacionales y en roaming dentro del EEE , con un límite de 1.000 SMS por línea y mes; superado el límite el precio de SMS será 0,15€/SMS. No incluidos llamadas o SMS a destinos de tarificación adicional. Tarifa Óptima RPV incluye activación del servicio de Red Privada Virtual y el acceso al mismo con usuario autorizado de empresas, a través del área de clientes desde www.orange.es.</t>
  </si>
  <si>
    <t xml:space="preserve">Las llamadas nacionales y en roaming dentro del EEE se tarificarán a 0,07€/min con establecimiento de llamada 0,07€ con facturación por segundos desde el primer segundo. No incluidas llamadas a destinos de tarificación especial, numeración corta o numeración premium. </t>
  </si>
  <si>
    <t>Países incluidos en el Espacio Económico Europeo (EEE): Alemania, Austria, Bélgica, Bulgaria, Croacia, Chipre, Dinamarca, Estonia, Eslovaquia, Eslovenia, Finlandia (incluidas las Islas Aland), Francia (incluido Martinica, Guadalupe, San Martín, Guyana francesa, Reunión y Mayotte), Grecia, Hungría, Irlanda, Islandia, Italia, Letonia, Liechtenstein, Lituania, Luxemburgo, Malta, Noruega, Países Bajos, Polonia, Portugal (incluido Madeira y Azores), Reino Unido (incluido Gibraltar), República Checa, Rumanía y Suecia.</t>
  </si>
  <si>
    <t>La zona Europa Plus comprende los siguientes países: Alemania, Austria, Bélgica, Bulgaria, China, Chipre, Croacia, Dinamarca, Eslovaquia, Eslovenia, Estados Unidos, Estonia, Finlandia, Francia, Gibraltar, Grecia, Guadalupe, Guayana Francesa, Guernsey, Hungría, Irlanda, Islandia, Italia, Islas Feroe, Islas Aland, Isla de Man, Isla de Jersey, Letonia, Liechtenstein, Lituania, Luxemburgo, Malta, Martinica,Noruega, Países Bajos, Polonia, Portugal, Reino Unido, República Checa, Isla Reunión, Rumanía, San Marino, Suecia, Suiza, Vaticano.</t>
  </si>
  <si>
    <t>Tarifa Ilimitada + 1GB: incluye llamadas a 0€, CELL incluido, a todos los destinos fijos y móviles nacionales y en roaming dentro del EEE, con un límite de 6.000 minutos/línea/mes y 1GB de datos 4G en territorio nacional y en roaming dentro del EEE</t>
  </si>
  <si>
    <t xml:space="preserve">Tarifa 150min + 600MB: incluye llamadas a 0€, CELL incluido, a todos los destinos fijos y móviles nacionales y en roaming dentro del EEE, con un límite de 150 minutos/línea/mes y 600MB de datos 4G en territorio nacional y en roaming dentro del EEE  </t>
  </si>
  <si>
    <t xml:space="preserve">Internet Móvil Pro 10GB (Internet Everywhere Pro 10GB): incluye bono mensual de 10 GB/mes de tráfico de datos nacional y en roaming dentro del EEE. Superados los 10GB la velocidad de red se reduce a 64Kbps. </t>
  </si>
  <si>
    <t xml:space="preserve">Internet Móvil Pro 8GB: incluye bono mensual de 8 GB/mes de tráfico de datos nacional y en roaming dentro del EEE. Superados los 5 GB la velocidad de red se reduce a 64Kbps. </t>
  </si>
  <si>
    <t>Travel data diario: Cuota 1€/10MB Bono Diario Travel Data EEUU, Suiza y China. Cuota 8€/10MB Bono Diario Travel Data Resto del Mundo (Excepto Andorra). Cuota 4,5€/50MB Bono Diario Intensivo Travel Data EEUU, Suiza y China. Cuota 30€/50MB Bono Diario Intensivo Travel Data Resto del Mundo (Excepto Andorra). Tarificación por KB desde la primera transacción. Bonos válidos durante 24h naturales desde la primera transacción o hasta agotar el bono de datos. Una vez alcanzado el límite de datos, se activará automáticamente un nuevo bono de las mismas características de 24h naturales a contar desde el momento de renovación. El cambio de zona durante las 24h de un bono implica activación de un nuevo bono del mismo tamaño de bono en la nueva zona visitada.</t>
  </si>
  <si>
    <r>
      <t xml:space="preserve">Para necesidades muy básicas de comunicaciones en movilidad, dispone de un producto con </t>
    </r>
    <r>
      <rPr>
        <b/>
        <sz val="18"/>
        <color indexed="53"/>
        <rFont val="Helvetica 55 Roman"/>
        <family val="2"/>
      </rPr>
      <t xml:space="preserve">150 minutos de llamadas a destinos fijos y móviles nacionales </t>
    </r>
    <r>
      <rPr>
        <sz val="18"/>
        <color rgb="FFFF0000"/>
        <rFont val="Helvetica 55 Roman"/>
        <family val="2"/>
      </rPr>
      <t xml:space="preserve">y </t>
    </r>
    <r>
      <rPr>
        <b/>
        <sz val="18"/>
        <color rgb="FFFF0000"/>
        <rFont val="Helvetica 55 Roman"/>
        <family val="2"/>
      </rPr>
      <t>en roaming dentro del EEE</t>
    </r>
    <r>
      <rPr>
        <b/>
        <sz val="18"/>
        <color indexed="53"/>
        <rFont val="Helvetica 55 Roman"/>
        <family val="2"/>
      </rPr>
      <t xml:space="preserve"> y 600MB de datos en España y en roaming dentro del EEE por una cuota mensual de 15€ antes de descuentos</t>
    </r>
    <r>
      <rPr>
        <sz val="18"/>
        <rFont val="Helvetica 55 Roman"/>
        <family val="2"/>
      </rPr>
      <t xml:space="preserve">. Compatible con la red </t>
    </r>
    <r>
      <rPr>
        <b/>
        <sz val="18"/>
        <rFont val="Helvetica 55 Roman"/>
        <family val="2"/>
      </rPr>
      <t>4G</t>
    </r>
    <r>
      <rPr>
        <sz val="18"/>
        <rFont val="Helvetica 55 Roman"/>
        <family val="2"/>
      </rPr>
      <t xml:space="preserve"> de máxima velocidad</t>
    </r>
  </si>
  <si>
    <t xml:space="preserve">sin límite para llamadas nacionales </t>
  </si>
  <si>
    <t xml:space="preserve">Con la Tarifa Soluciones Personalizadas RPV las llamadas entre las líneas con su tarifa serán gratuitas, incluso cuando sus empleados se encuentren fuera de España, en la zona EEE de tarificación de roaming (ver países incluidos en Página 5):
</t>
  </si>
  <si>
    <t>MMS nacionales  y en roaming dentro del EEE</t>
  </si>
  <si>
    <t>Llamadas nacionales  y en roaming dentro del EEE</t>
  </si>
  <si>
    <t xml:space="preserve">Las líneas de la Tarifa Soluciones Personalizadas RPV incluyen llamadas de voz nacionales a 0€ entre las líneas de la empresa con esta tarifa, sin límite mensual.También incluyen llamadas emitidas y recibidas en roaming a 0€ entre las líneas de la empresa con esta tarifa, con un límite de 1.000 minutos por línea y mes, siempre que la línea origen y destino de la llamada estén en Zona EEE. Sólo aplica si en la llamada se marca la numeración larga asociada al número de destino. Consultar países incluidos en Zona EEE en la Página 5 de la propuesta </t>
  </si>
  <si>
    <t xml:space="preserve">Las llamadas nacionales y en roaming dentro del EEE se tarificarán a 0,15€/min con establecimiento de llamada 0,15€ y un descuento sobre ambos conceptos del 65%, con facturación por segundos desde el primer segundo. No incluidas llamadas a destinos de operadores móviles virtuales, destinos de tarificación especial, numeración corta o numeración premium. </t>
  </si>
  <si>
    <t>Los MMS nacionales y en roaming dentro del EEE se tarificarán con el precio estándar (consultar en www.orange.es) . Sobre este precio se aplicará un 65% de descuento.</t>
  </si>
  <si>
    <t xml:space="preserve">Internet Móvil Pro 8GB: incluye bono mensual de 8 GB/mes de tráfico de datos nacional y en roaming dentro del EEE. Superados los 8 GB la velocidad de red se reduce a 64Kbps. </t>
  </si>
  <si>
    <t xml:space="preserve">Internet Móvil 2GB empresas: incluye bono mensual de 2GB/mes de tráfico de datos nacional y en roaming dentro del EEE. Superados los 2GB la velocidad de red se reducirá a 64Kbps </t>
  </si>
  <si>
    <r>
      <rPr>
        <u/>
        <sz val="11"/>
        <rFont val="Helvetica 55 Roman"/>
        <family val="2"/>
      </rPr>
      <t>Condiciones Legales Bono compartido de datos</t>
    </r>
    <r>
      <rPr>
        <sz val="11"/>
        <rFont val="Helvetica 55 Roman"/>
        <family val="2"/>
      </rPr>
      <t xml:space="preserve"> 
A compartir entre todas las líneas móviles autorizadas del Cliente, disponible para Clientes con tarifas Óptimas, Personalizadas e IEW</t>
    </r>
    <r>
      <rPr>
        <sz val="11"/>
        <rFont val="Helvetica 55 Roman"/>
      </rPr>
      <t>. Incluye tráfico de datos en roaming dentro del EEE.Una v</t>
    </r>
    <r>
      <rPr>
        <sz val="11"/>
        <rFont val="Helvetica 55 Roman"/>
        <family val="2"/>
      </rPr>
      <t>ez finalizados los GBs incluidos en la tarifa aplicará el Bono compartido y si también consume éste, la velocidad de red se reducirá a 64 Kbps en las tarifas IEW y a 16kbps en otras tarifas (Optimas y Personalizadas).Renovable automáticamente. La baja en la tarifa de datos implica automáticamente la baja del bono contratado. Bono 3 GB: 15€/mes  (18,15 € con IVA;16,05 € con IGIC).Bono 50GB: 125 €/mes ( 151,25 € con IVA;133,75€ con IGIC)</t>
    </r>
  </si>
  <si>
    <t>Roaming like home</t>
  </si>
  <si>
    <t>A partir del 15 de junio de 2017, el Cliente en roaming en un país del Espacio Económico Europeo (EEE) se beneficiará de los usos incluidos en su Oferta (llamadas / SMS / MMS, datos móviles) en las mismas condiciones que en su tarifa nacional, dentro de los límites de un uso no abusivo.</t>
  </si>
  <si>
    <t>Versión 8.6</t>
  </si>
  <si>
    <t>Roaming UE</t>
  </si>
  <si>
    <t>Texto posterior a Voz HD</t>
  </si>
  <si>
    <t>Texto cláusula abusiva</t>
  </si>
  <si>
    <r>
      <rPr>
        <u/>
        <sz val="11"/>
        <rFont val="Helvetica 55 Roman"/>
        <family val="2"/>
      </rPr>
      <t>Condiciones legales Bono compartido de datos</t>
    </r>
    <r>
      <rPr>
        <sz val="11"/>
        <rFont val="Helvetica 55 Roman"/>
        <family val="2"/>
      </rPr>
      <t xml:space="preserve"> a compartir entre todas las líneas móviles autorizadas del Cliente, disponible para Clientes con tarifas Óptimas, Personalizadas e Internet Móvil.  Incluye tráfico de datos en roaming dentro del EEE.Una vez finalizados los GBs incluidos en la tarifa aplicará el Bono compartido y si también consume éste, la velocidad de red se reducirá a 64 Kbps en las tarifas Internet Móvil y a 16kbps en otras tarifas (Optimas y Personalizadas). Renovable automáticamente. La baja en la tarifa de datos implica automáticamente la baja del bono contratado. Bono 3 GB: 15€/mes  (18,15 € con IVA;16,05 € con IGIC).Bono 50GB: 125 €/mes ( 151,25 € con IVA;133,75€ con IGIC)</t>
    </r>
  </si>
  <si>
    <t>Se incluye un texto que indica las cláusulas abusivas.</t>
  </si>
  <si>
    <t>Se añade nuevos textos para el roaming UE y se añade zona EEE
Se elimina la zona 1 de tarificación de roaming</t>
  </si>
  <si>
    <t>Se incluye un recuadro con nuevo texto para indicar información Roam Like Home</t>
  </si>
  <si>
    <t>"Incidencia descuento cruzado ADSL-Optima"</t>
  </si>
  <si>
    <t>Se modifica el chequeo de oferta convergente para que no dé descuento si no hay servicio principal (Conecta Pymes)</t>
  </si>
  <si>
    <t>Resto  mundo (excepto Andorra)</t>
  </si>
  <si>
    <t>El Cliente en roaming en un país del Espacio Económico Europeo (Unión Europea, Islandia, Liechtenstein y Noruega) se beneficiará de los usos incluidos en su Oferta (llamadas / SMS / MMS, datos móviles) en las mismas condiciones que en su tarifa nacional, dentro de los límites de un uso no abusivo descrito en las Condiciones Generales de los Servicios de Orange o en https://ayuda.orange.es/empresas/movil/roaming-internacional/.</t>
  </si>
  <si>
    <t>Si se detecta un uso abusivo, Orange informará al Cliente a través de SMS o, en su caso, otras vías de contacto establecidas en las Condiciones Generales o Contrato del cliente, que dispondrá  de 15 días naturales para modificar sus pautas de uso y/o demostrar la existencia de vínculos estables en España. En caso de no hacerlo, ORANGE aplicará al consumo de los servicios realizados en Roaming en EEE, respecto a los cuales se haya detectado el uso abusivo, el precio detallado en las Condiciones de su tarifa, precio éste que equivaldrá, como máximo al precio aplicado según la tarifa nacional contratada más un recargo igual al precio mayorista máximo para los servicios de roaming aprobado por la normativa europea que actualmente es de: 3,2 cent€/minuto en las llamadas realizadas, 7,7€ por 1GB y 1cent€ por sms. Dicho sobrecargo se dejará de aplicar cuando Orange verifique que ha cesado efectivamente en la pauta de uso abusivo por parte del cliente tomando como referencia nuevamente un periodo mínimo de análisis de 4 meses. Todo ello sin perjuicio del resto de derechos que le puedan asistir a Orange en casos de fraude.</t>
  </si>
  <si>
    <t>Cambio precios Cpymes GPON+</t>
  </si>
  <si>
    <t>Bajada de 10€ de todos los productos GPON+</t>
  </si>
  <si>
    <r>
      <t>incluye</t>
    </r>
    <r>
      <rPr>
        <b/>
        <sz val="18"/>
        <rFont val="Helvetica 55 Roman"/>
      </rPr>
      <t xml:space="preserve"> 50</t>
    </r>
    <r>
      <rPr>
        <b/>
        <sz val="18"/>
        <rFont val="Helvetica 55 Roman"/>
        <family val="2"/>
      </rPr>
      <t>GB</t>
    </r>
    <r>
      <rPr>
        <sz val="18"/>
        <rFont val="Helvetica 55 Roman"/>
        <family val="2"/>
      </rPr>
      <t xml:space="preserve"> de datos a máxima velocidad para uso en la oficina
compatible con </t>
    </r>
    <r>
      <rPr>
        <b/>
        <sz val="18"/>
        <color indexed="53"/>
        <rFont val="Helvetica 55 Roman"/>
        <family val="2"/>
      </rPr>
      <t>4G</t>
    </r>
  </si>
  <si>
    <r>
      <t xml:space="preserve">incluye </t>
    </r>
    <r>
      <rPr>
        <b/>
        <sz val="18"/>
        <rFont val="Helvetica 55 Roman"/>
        <family val="2"/>
      </rPr>
      <t>50GB</t>
    </r>
    <r>
      <rPr>
        <sz val="18"/>
        <rFont val="Helvetica 55 Roman"/>
        <family val="2"/>
      </rPr>
      <t xml:space="preserve"> de datos a máxima velocidad para uso en la oficina
compatible con </t>
    </r>
    <r>
      <rPr>
        <b/>
        <sz val="18"/>
        <color indexed="53"/>
        <rFont val="Helvetica 55 Roman"/>
        <family val="2"/>
      </rPr>
      <t>4G</t>
    </r>
  </si>
  <si>
    <r>
      <t xml:space="preserve">incluye </t>
    </r>
    <r>
      <rPr>
        <b/>
        <sz val="18"/>
        <rFont val="Helvetica 55 Roman"/>
      </rPr>
      <t>50</t>
    </r>
    <r>
      <rPr>
        <b/>
        <sz val="18"/>
        <rFont val="Helvetica 55 Roman"/>
        <family val="2"/>
      </rPr>
      <t>GB</t>
    </r>
    <r>
      <rPr>
        <sz val="18"/>
        <rFont val="Helvetica 55 Roman"/>
        <family val="2"/>
      </rPr>
      <t xml:space="preserve"> de datos a máxima velocidad para uso en la oficina
compatible con </t>
    </r>
    <r>
      <rPr>
        <b/>
        <sz val="18"/>
        <color indexed="53"/>
        <rFont val="Helvetica 55 Roman"/>
        <family val="2"/>
      </rPr>
      <t>4G</t>
    </r>
  </si>
  <si>
    <r>
      <t xml:space="preserve">incluye </t>
    </r>
    <r>
      <rPr>
        <b/>
        <sz val="18"/>
        <rFont val="Helvetica 55 Roman"/>
        <family val="2"/>
      </rPr>
      <t>50 GB</t>
    </r>
    <r>
      <rPr>
        <sz val="18"/>
        <rFont val="Helvetica 55 Roman"/>
        <family val="2"/>
      </rPr>
      <t xml:space="preserve"> de datos a máxima velocidad para uso en la oficina
compatible con </t>
    </r>
    <r>
      <rPr>
        <b/>
        <sz val="18"/>
        <color indexed="53"/>
        <rFont val="Helvetica 55 Roman"/>
        <family val="2"/>
      </rPr>
      <t>4G</t>
    </r>
  </si>
  <si>
    <t>Cambio "4G en tu Negocio"</t>
  </si>
  <si>
    <t>Cambio "Excluido Andorra"</t>
  </si>
  <si>
    <t>Se pasa de 35 a 50 GB y el coste de 28,88 a 33,02 €</t>
  </si>
  <si>
    <r>
      <t>incluye</t>
    </r>
    <r>
      <rPr>
        <b/>
        <sz val="18"/>
        <rFont val="Helvetica 55 Roman"/>
        <family val="2"/>
      </rPr>
      <t xml:space="preserve"> 90GB </t>
    </r>
    <r>
      <rPr>
        <sz val="18"/>
        <rFont val="Helvetica 55 Roman"/>
        <family val="2"/>
      </rPr>
      <t xml:space="preserve">de datos a máxima velocidad para uso en la oficina
compatible con </t>
    </r>
    <r>
      <rPr>
        <b/>
        <sz val="18"/>
        <rFont val="Helvetica 55 Roman"/>
        <family val="2"/>
      </rPr>
      <t>4G</t>
    </r>
  </si>
  <si>
    <r>
      <t>incluye</t>
    </r>
    <r>
      <rPr>
        <b/>
        <sz val="18"/>
        <rFont val="Helvetica 55 Roman"/>
        <family val="2"/>
      </rPr>
      <t xml:space="preserve"> 90GB </t>
    </r>
    <r>
      <rPr>
        <sz val="18"/>
        <rFont val="Helvetica 55 Roman"/>
        <family val="2"/>
      </rPr>
      <t xml:space="preserve">de datos a máxima velocidad para uso en la oficina
compatible con </t>
    </r>
    <r>
      <rPr>
        <b/>
        <sz val="18"/>
        <color indexed="53"/>
        <rFont val="Helvetica 55 Roman"/>
        <family val="2"/>
      </rPr>
      <t>4G</t>
    </r>
  </si>
  <si>
    <t>Versión 8.7</t>
  </si>
  <si>
    <t>Revamp ilimitadas</t>
  </si>
  <si>
    <t>Se pasan de 10 a 20 GB, de 4 a 8 GB y de 2 a 3 GB las tarifas ilimitadas. Subida de 3 € de precio en las dos primeras</t>
  </si>
  <si>
    <t>Cambio "4G en tu oficina"</t>
  </si>
  <si>
    <t>Diferencia entre accesos Conecta Pyme fibra propia y NEBA</t>
  </si>
  <si>
    <t>Se diferencia entre accesos 2A, 4D y Conecta Pyme IP que sean fibra propia y NEBA, costando estos últimos 5 € más.</t>
  </si>
  <si>
    <t>Cambio en la descripción de capacidad de fibra NEBA</t>
  </si>
  <si>
    <t>Se indica que la fibra NEBA  es 300/300 en lugar de 25/10</t>
  </si>
  <si>
    <t>Voz ilimitada + 20GB + internacional y roaming</t>
  </si>
  <si>
    <r>
      <t xml:space="preserve">+ 6000 minutos de llamadas a destinos fijos y móviles nacionales y en roaming dentro del EEE a 0€, establecimiento incluido. 24h, todos los días de la semana
+ 20GB de navegación en España y en roaming dentro del EEE a máxima velocidad </t>
    </r>
    <r>
      <rPr>
        <b/>
        <sz val="18"/>
        <rFont val="Helvetica 55 Roman"/>
        <family val="2"/>
      </rPr>
      <t xml:space="preserve">4G </t>
    </r>
    <r>
      <rPr>
        <sz val="18"/>
        <rFont val="Helvetica 55 Roman"/>
        <family val="2"/>
      </rPr>
      <t xml:space="preserve">
+ 1000 minutos en llamadas internacionales a zona Europa Plus
+ 1000 minutos en llamadas en roaming (emitidas+recibidas) en EEUU, Suiza y China
+ 1 GB de datos en roaming en EEUU, Suiza y China</t>
    </r>
  </si>
  <si>
    <t>Voz ilimitada + 8GB + internacional y roaming</t>
  </si>
  <si>
    <r>
      <t xml:space="preserve">+ 6000 minutos de llamadas a destinos fijos y móviles nacionales y en roaming dentro del EEE  a 0€, establecimiento incluido. 24h, todos los días de la semana
+ 8GB de navegación en España y en roaming dentro del EEE  a máxima velocidad </t>
    </r>
    <r>
      <rPr>
        <b/>
        <sz val="18"/>
        <rFont val="Helvetica 55 Roman"/>
        <family val="2"/>
      </rPr>
      <t xml:space="preserve">4G </t>
    </r>
    <r>
      <rPr>
        <sz val="18"/>
        <rFont val="Helvetica 55 Roman"/>
        <family val="2"/>
      </rPr>
      <t xml:space="preserve">
+ 300 minutos en llamadas internacionales a zona Europa Plus
+ 300 minutos en llamadas en roaming (emitidas+recibidas) en EEUU, Suiza y China
+ 300 MB de datos en roaming en EEUU, Suiza y China</t>
    </r>
  </si>
  <si>
    <t>Voz ilimitada + 3GB</t>
  </si>
  <si>
    <r>
      <t xml:space="preserve">+ 6000 minutos de llamadas a destinos fijos y móviles nacionales y en roaming dentro del EEE a 0€, establecimiento incluido. 24h, todos los días de la semana.
+ 3 GB de datos en España y en roaming dentro del EEE a máxima velocidad </t>
    </r>
    <r>
      <rPr>
        <b/>
        <sz val="18"/>
        <rFont val="Helvetica 55 Roman"/>
        <family val="2"/>
      </rPr>
      <t>4G</t>
    </r>
    <r>
      <rPr>
        <sz val="18"/>
        <rFont val="Helvetica 55 Roman"/>
        <family val="2"/>
      </rPr>
      <t xml:space="preserve"> </t>
    </r>
  </si>
  <si>
    <r>
      <t xml:space="preserve">Para que sus empleados puedan también comunicarse en sus viajes al extranjero fuera del EEE. Tarifas planas adaptadas al uso, para que puedan trabajar como cuando están en España, sin </t>
    </r>
    <r>
      <rPr>
        <b/>
        <sz val="18"/>
        <rFont val="Helvetica 55 Roman"/>
      </rPr>
      <t>sorpresas en su factura</t>
    </r>
    <r>
      <rPr>
        <sz val="18"/>
        <rFont val="Helvetica 55 Roman"/>
      </rPr>
      <t>. Las tarifas planas nacionales ilimitada+8GB e ilimitada+20GB incluyen minutos y MBs a 0€ para las líneas de sus empleados que se desplacen por EEUU, Suiza y China. Para el resto de usuarios y países, le ofrecemos</t>
    </r>
    <r>
      <rPr>
        <b/>
        <sz val="18"/>
        <rFont val="Helvetica 55 Roman"/>
      </rPr>
      <t xml:space="preserve"> tarifas planas de pago por uso</t>
    </r>
    <r>
      <rPr>
        <sz val="18"/>
        <rFont val="Helvetica 55 Roman"/>
      </rPr>
      <t>, para controlar el gasto en los viajes, y que sólo pague si lo utiliza.</t>
    </r>
  </si>
  <si>
    <r>
      <t xml:space="preserve">+ 6000 minutos de llamadas a destinos fijos y móviles nacionales y en roaming dentro del EEE a 0€, establecimiento incluido. 24h, todos los días de la semana
+ 20GB de navegación en España y en roaming dentro del EEE a máxima velocidad </t>
    </r>
    <r>
      <rPr>
        <b/>
        <sz val="18"/>
        <rFont val="Helvetica 55 Roman"/>
      </rPr>
      <t>4G</t>
    </r>
    <r>
      <rPr>
        <sz val="18"/>
        <rFont val="Helvetica 55 Roman"/>
      </rPr>
      <t xml:space="preserve"> 
+ 1000 minutos en llamadas internacionales a zona Europa Plus
+ 1000 minutos en llamadas en roaming (emitidas+recibidas) en EEUU, Suiza y China
+ 1 GB de datos en roaming en EEUU, Suiza y China</t>
    </r>
  </si>
  <si>
    <r>
      <t xml:space="preserve">+ 6000 minutos de llamadas a destinos fijos y móviles nacionales y en roaming dentro del EEE a 0€, establecimiento incluido. 24h, todos los días de la semana
+ 8GB de navegación en España y en roaming dentro del EEE a máxima velocidad </t>
    </r>
    <r>
      <rPr>
        <b/>
        <sz val="18"/>
        <rFont val="Helvetica 55 Roman"/>
      </rPr>
      <t xml:space="preserve">4G </t>
    </r>
    <r>
      <rPr>
        <sz val="18"/>
        <rFont val="Helvetica 55 Roman"/>
      </rPr>
      <t xml:space="preserve">
+ 300 minutos en llamadas internacionales a zona Europa Plus
+ 300 minutos en llamadas en roaming (emitidas+recibidas) en EEUU, Suiza y China
+ 300 MB de datos en roaming en EEUU, Suiza y China</t>
    </r>
  </si>
  <si>
    <r>
      <t xml:space="preserve">Para que sus empleados puedan </t>
    </r>
    <r>
      <rPr>
        <b/>
        <sz val="18"/>
        <rFont val="Helvetica 55 Roman"/>
      </rPr>
      <t>también comunicarse en sus viajes al extranjero fuera del EEE</t>
    </r>
    <r>
      <rPr>
        <sz val="18"/>
        <rFont val="Helvetica 55 Roman"/>
      </rPr>
      <t>. Tar</t>
    </r>
    <r>
      <rPr>
        <sz val="18"/>
        <rFont val="Helvetica 55 Roman"/>
        <family val="2"/>
      </rPr>
      <t>ifas planas adaptadas al uso, para que puedan trabajar como cuando están en España</t>
    </r>
    <r>
      <rPr>
        <b/>
        <sz val="18"/>
        <rFont val="Helvetica 55 Roman"/>
        <family val="2"/>
      </rPr>
      <t xml:space="preserve">, sin sorpresas en su factura. </t>
    </r>
    <r>
      <rPr>
        <sz val="18"/>
        <rFont val="Helvetica 55 Roman"/>
        <family val="2"/>
      </rPr>
      <t>Las tarifas planas nacionales ilimitada+8GB e ilimitada+20GB incluyen minutos y MBs a 0€ para las líneas de sus empleados que se desplacen p</t>
    </r>
    <r>
      <rPr>
        <sz val="18"/>
        <rFont val="Helvetica 55 Roman"/>
      </rPr>
      <t xml:space="preserve">or </t>
    </r>
    <r>
      <rPr>
        <b/>
        <sz val="18"/>
        <rFont val="Helvetica 55 Roman"/>
      </rPr>
      <t>EEUU, Suiza y China</t>
    </r>
    <r>
      <rPr>
        <sz val="18"/>
        <rFont val="Helvetica 55 Roman"/>
        <family val="2"/>
      </rPr>
      <t>. Para el resto de usuarios y países, le ofrecemos</t>
    </r>
    <r>
      <rPr>
        <b/>
        <sz val="18"/>
        <rFont val="Helvetica 55 Roman"/>
        <family val="2"/>
      </rPr>
      <t xml:space="preserve"> tarifas planas de pago por uso</t>
    </r>
    <r>
      <rPr>
        <sz val="18"/>
        <rFont val="Helvetica 55 Roman"/>
        <family val="2"/>
      </rPr>
      <t>, para controlar el gasto en los viajes, y que sólo pague si lo utiliza.</t>
    </r>
  </si>
  <si>
    <t>Ilimitada+20GB</t>
  </si>
  <si>
    <t>Ilimitada+8GB</t>
  </si>
  <si>
    <t>Ilimitada+3GB</t>
  </si>
  <si>
    <t>· fibra indirecta 300M/300M</t>
  </si>
  <si>
    <t>· Fibra indirecta 300M/300M</t>
  </si>
  <si>
    <t>Conecta 2A fibra propia</t>
  </si>
  <si>
    <t>Conecta 2A fibra NEBA</t>
  </si>
  <si>
    <t>Conecta 4D fibra propia</t>
  </si>
  <si>
    <t>Conecta 4D fibra NEBA</t>
  </si>
  <si>
    <t>Conecta Pymes IP fibra propia</t>
  </si>
  <si>
    <t>Conecta Pymes IP fibra NEBA</t>
  </si>
  <si>
    <t>6000'+8GB</t>
  </si>
  <si>
    <t>6000'+20GB</t>
  </si>
  <si>
    <t>Fact móvil antes descuentos</t>
  </si>
  <si>
    <t>Conecta Pyme Centralita</t>
  </si>
  <si>
    <t>Conecta Pymes 2A</t>
  </si>
  <si>
    <t>Conecta Pymes 2D</t>
  </si>
  <si>
    <t>Conecta Pymes 4D</t>
  </si>
  <si>
    <t>Conecta Pymes 6D</t>
  </si>
  <si>
    <t>Conecta Pymes 8D</t>
  </si>
  <si>
    <t>Resto Conecta Pymes 2A y 3A</t>
  </si>
  <si>
    <t>Conecta Pymes 4A</t>
  </si>
  <si>
    <t>Nuevos descuentos por valor</t>
  </si>
  <si>
    <t>Se cambian los valores de los tramos superiores, no se tocan los umbrales donde cambia el descuento</t>
  </si>
  <si>
    <t>Eliminación promo extra captación</t>
  </si>
  <si>
    <t>Se elimina el 10% extra al cambiarse los descuentos por valor</t>
  </si>
  <si>
    <t>Nuevos techos por descuento convergente</t>
  </si>
  <si>
    <t>Se implementa un techo asociado al valor de cada producto, excepto los Servicios Digitales, que quedan sin techo</t>
  </si>
  <si>
    <t>Se pasa de 60 GB a 90 GB y el coste de 49,5 a 53,64 €</t>
  </si>
  <si>
    <t>· Fibra propia SIMÉTRICA de 500M/500M</t>
  </si>
  <si>
    <t>· fibra propia SIMÉTRICA de 500M/500M</t>
  </si>
  <si>
    <r>
      <t xml:space="preserve">Para las líneas que hagan roaming en Suiza, EEUU y China te recomendamos las tarifas planas ilimitada+8GB e ilimitada+20GB, puedes incluirlas en la oferta por perfiles directamente.
En este apartado debes incluir </t>
    </r>
    <r>
      <rPr>
        <b/>
        <sz val="14"/>
        <rFont val="Helvetica 55 Roman"/>
        <family val="2"/>
      </rPr>
      <t>sólo el tráfico internacional y en roaming no incluido en los productos de cuota.</t>
    </r>
  </si>
  <si>
    <t xml:space="preserve">Internet Móvil  2GB empresas: incluye bono mensual de 2GB/mes de tráfico de datos nacional y en roaming dentro del EEE. Superados los 2GB la velocidad de red se reducirá a 64Kbps </t>
  </si>
  <si>
    <t>Conecta 2A fibra propia simétrica 500/500</t>
  </si>
  <si>
    <t>Conecta 4D fibra propia simétrica 500/500</t>
  </si>
  <si>
    <t>Conecta Pymes IP fibra propia simétrica 500/500</t>
  </si>
  <si>
    <r>
      <rPr>
        <b/>
        <u/>
        <sz val="12"/>
        <rFont val="Helvetica 55 Roman"/>
      </rPr>
      <t>En cualquier modalidad de Conecta Pymes IP hay que contratar al menos 2 puestos (IP+DECT)</t>
    </r>
    <r>
      <rPr>
        <b/>
        <sz val="12"/>
        <rFont val="Helvetica 55 Roman"/>
        <family val="2"/>
      </rPr>
      <t>. Además:
- El número total de puestos por sede es 12. 
- El número máximo de puestos IP por sede es 10
- Si los puestos IP por sede son 5 o más, se añade un switch de VoIP a la oferta (+5€)</t>
    </r>
  </si>
  <si>
    <t>Mínimo 2 extensiones (terminales) en Cpymes IP</t>
  </si>
  <si>
    <t>No se puede imprimir la oferta con servicios fijos si ésta incluye Cpymes IP con menos de 2 terminales en alguna sede</t>
  </si>
  <si>
    <t>Producto Cpymes fibra propia 500/500</t>
  </si>
  <si>
    <t>Se fusionan los productos de fibra propia y GPON+, al tener todos 500Mbps simétricos</t>
  </si>
  <si>
    <t>Versión 8.7.1</t>
  </si>
  <si>
    <t>Incidencia CP Centralita</t>
  </si>
  <si>
    <t>No calcula los precios y no da descuento convergente</t>
  </si>
  <si>
    <t>Incidencia SAF</t>
  </si>
  <si>
    <t>No calcula bien los precios, desplegables con origen modificado</t>
  </si>
  <si>
    <t>Versión 8.8</t>
  </si>
  <si>
    <t>Umbral descuento valor</t>
  </si>
  <si>
    <t>Se cambia el umbral de 300€ a 250€ para aplicar el 26% de descuento</t>
  </si>
  <si>
    <t>a</t>
  </si>
  <si>
    <t>Versión 8.9</t>
  </si>
  <si>
    <t>Límite plazo abono penalizaciones</t>
  </si>
  <si>
    <t>Se indica que el límite de plazo de abono de penalizaciones son 6 meses</t>
  </si>
  <si>
    <t>Eliminación de condiciones temporales de Julio</t>
  </si>
  <si>
    <t>Se elimina la temporalidad de Julio en las diferentes tarifas ilimitadas y 4G en tu Negocio y Oficina</t>
  </si>
  <si>
    <t>4G de Orange en tu negocio: incluye bono mensual de 50 GB/mes de tráfico de datos nacional. Superados los 50GB la velocidad de red se reduce a 64kbps. Servicio para uso exclusivamente en un solo domicilio o sede del Cliente en España; en caso de incumplimiento del Cliente, Orange podrá suspender o cancelar el servicio. Incluye cesión gratuita del Router Wifi 4G. Cuando el cliente solicite la baja del servicio ha de devolver a Orange el router Wifi 4G; en caso de no devolución Orange le podrá cobrar 50€ por el valor del equipo. Compromiso de permanencia en tarifa de datos de 12 meses. Velocidad limitada a cobertura. La disponibilidad de 4G está sujeta a la cobertura, al mantenimiento de esta tarifa, a tener una SIM 4G y un dispositivo compatible con 4G
Tarifa 4G en tu Negocio dispondrá de 50GB por 33,02 €/mes ii no incluido (39,95€/mes con Iva ).</t>
  </si>
  <si>
    <t>Tarifas ilimitada + 20GB, ilimitada + 8GB,  ilimitada + 3GB, ilimitada + 1GB, 150min + 600MB, Tarifa Plana 24 global y Tarifa plana fijos nacionales: Módulos incompatibles entre sí sobre la misma línea, solamente es posible tener uno de ellos activado simultáneamente. Los bonos de llamadas de voz a 0€ tienen un límite de minutos y un límite de 300 destinos diferentes/línea/mes. Superado el límite de minutos o destinos se facturará con la tarifa contratada. Los precios no son válidos para transformación o conversión de llamadas o del tráfico, incluido el redireccionamiento de tráfico a destinos diferentes del número llamado, en cuyo caso, dichas llamadas se tarificarán fuera de los minutos gratuitos dentro de tarifa plana y al precio específico para las llamadas redireccionadas, sin la aplicación de descuentos o promociones. Los módulos no comprenden llamadas a números en tarificación especial, números cortos o numeración premium</t>
  </si>
  <si>
    <t>Tarifas ilimitada + 20GB, ilimitada + 8GB,  ilimitada + 3GB, Ilimitada + 1GB  y 150min + 600MB: Velocidad de datos limitada a cobertura. Incluyen tráfico ilimitado de correo y navegación WAP e Internet. Una vez superada la capacidad incluida a máxima velocidad, se reducirá por defecto la velocidad de la red a 16kbps y el tráfico adicional será gratuito. 
Compromiso de permanencia en tarifa de datos de 24 meses, asociado a la adquisición de un terminal a precio promocional o con venta a plazos de Orange. La disponibilidad de 4G está sujeta a la cobertura, al mantenimiento de una de estas tarifas, a tener una SIM 4G y un dispositivo compatible con 4G.</t>
  </si>
  <si>
    <t>Tarifa Ilimitada + 20 GB: incluye llamadas a 0€, CELL incluido, a todos los destinos fijos y móviles nacionales y en roaming desde el EEE, con un límite de 6.000 minutos/línea/mes y 20GB de datos 4G en territorio nacional y en el EEE.  Llamadas a 0€, CELL incluido, a destinos internacionales fijos y móviles de la zona Europa Plus, con un límite de 1.000 minutos/línea/mes. Llamadas en roaming a 0€, CELL incluido, desde EEUU, Suiza y China hacia el EEE, EEUU, Suiza y China con un límite de 1.000minutos/línea/mes y 1GB de navegación en EEUU, Suiza y China.</t>
  </si>
  <si>
    <t>Tarifa Ilimitada + 8 GB: incluye llamadas a 0€, CELL incluido, a todos los destinos fijos y móviles nacionales y en roaming desde el EEE, con un límite de 6.000 minutos/línea/mes y 8GB de datos 4G en territorio nacional y en el EEE.  Llamadas a 0€, CELL incluido, a destinos internacionales fijos y móviles de la zona Europa Plus, con un límite de 300 minutos/línea/mes. Llamadas en roaming a 0€, CELL incluido, desde EEUU, Suiza y China hacia el EEE, EEUU, Suiza y China con un límite de 300minutos/línea/mes y 300MB de navegación en EEUU, Suiza y China.</t>
  </si>
  <si>
    <t>Tarifa Ilimitada + 3 GB: incluye llamadas a 0€, CELL incluido, a todos los destinos fijos y móviles nacionales y en roaming desde el EEE, con un límite de 6.000 minutos/línea/mes y 3GB de datos 4G en territorio nacional y en el EEE.</t>
  </si>
  <si>
    <t>4G en tu oficina: incluye bono mensual de 90GB/mes de tráfico de datos nacional. Superados los 90GB la velocidad de red se reduce a 64kbps.</t>
  </si>
  <si>
    <t xml:space="preserve">Tarifa Ilimitada + 8 GB: incluye llamadas a 0€, CELL incluido, a todos los destinos fijos y móviles nacionales y en roaming desde el EEE, con un límite de 6.000 minutos/línea/mes y 8GB de datos 4G en territorio nacional y en el EEE.  Llamadas a 0€, CELL incluido, a destinos internacionales fijos y móviles de la zona Europa Plus, con un límite de 300 minutos/línea/mes. Llamadas en roaming a 0€, CELL incluido, desde EEUU, Suiza y China hacia el EEE, EEUU, Suiza y China con un límite de 300minutos/línea/mes y 300MB de navegación en EEUU, Suiza y China. </t>
  </si>
  <si>
    <t xml:space="preserve">Tarifa Ilimitada + 3 GB: incluye llamadas a 0€, CELL incluido, a todos los destinos fijos y móviles nacionales y en roaming desde el EEE, con un límite de 6.000 minutos/línea/mes y 3GB de datos 4G en territorio nacional y en el EEE. </t>
  </si>
  <si>
    <t>Tarifas ilimitada + 20GB, ilimitada + 8GB ,  ilimitada + 3GB, ilimitada + 1GB, 150min + 600MB, Tarifa Plana 24 global y Tarifa plana fijos nacionales: Módulos incompatibles entre sí sobre la misma línea, solamente es posible tener uno de ellos activado simultáneamente. Los bonos de llamadas de voz a 0€ tienen un límite de minutos y un límite de 300 destinos diferentes/línea/mes. Superado el límite de minutos o destinos se facturará con la tarifa contratada. Los precios no son válidos para transformación o conversión de llamadas o del tráfico, incluido el redireccionamiento de tráfico a destinos diferentes del número llamado, en cuyo caso, dichas llamadas se tarificarán fuera de los minutos gratuitos dentro de tarifa plana y al precio específico para las llamadas redireccionadas, sin la aplicación de descuentos o promociones. Los módulos no comprenden llamadas a números en tarificación especial, números cortos o numeración premium</t>
  </si>
  <si>
    <t xml:space="preserve">4G de Orange en tu negocio: incluye bono mensual de 50 GB/mes de tráfico de datos nacional. Superados los 50GB la velocidad de red se reduce a 64kbps. Servicio para uso exclusivamente en un solo domicilio o sede del Cliente en España; en caso de incumplimiento del Cliente, Orange podrá suspender o cancelar el servicio. Incluye cesión gratuita del Router Wifi 4G. Cuando el cliente solicite la baja del servicio ha de devolver a Orange el router Wifi 4G; en caso de no devolución Orange le podrá cobrar 50€ por el valor del equipo. Compromiso de permanencia en tarifa de datos de 12 meses. Velocidad limitada a cobertura. La disponibilidad de 4G está sujeta a la cobertura, al mantenimiento de esta tarifa, a tener una SIM 4G y un dispositivo compatible con 4G
Tarifa 4G en tu Negocio dispondrá de 50GB por 33,02 €/mes ii no incluido (39,95€/mes con Iva ).
</t>
  </si>
  <si>
    <t xml:space="preserve">4G de Orange en tu negocio: incluye bono mensual de 50 GB/mes de tráfico de datos nacional. Superados los 50 GB la velocidad de red se reduce a 64kbps. Servicio para uso exclusivamente en un solo domicilio o sede del Cliente en España; en caso de incumplimiento del Cliente, Orange podrá suspender o cancelar el servicio. Incluye cesión gratuita del Router Wifi 4G. Cuando el cliente solicite la baja del servicio ha de devolver a Orange el router Wifi 4G; en caso de no devolución Orange le podrá cobrar 50€ por el valor del equipo. Compromiso de permanencia en tarifa de datos de 12 meses. Velocidad limitada a cobertura. La disponibilidad de 4G está sujeta a la cobertura, al mantenimiento de esta tarifa, a tener una SIM 4G y un dispositivo compatible con 4G
Tarifa 4G en tu Negocio dispondrá de 50GB por 33,02 €/mes ii no incluido (39,95€/mes con Iva ).
</t>
  </si>
  <si>
    <t>SIN límites 9.0</t>
  </si>
  <si>
    <t>Versión 9.0</t>
  </si>
  <si>
    <t>Cambio precios Conecta 2A</t>
  </si>
  <si>
    <t>Se pasa el precio de Conecta 2A de 39,95 € a 44,95 € ( + IVA)</t>
  </si>
  <si>
    <t xml:space="preserve">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 </t>
  </si>
  <si>
    <t>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t>
  </si>
  <si>
    <t>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t>
  </si>
  <si>
    <t xml:space="preserve">Bajo el concepto de servicios digitales se consideran los productos PYME Orange, Comunica SMS y servicio Orange Cloud Empresas. Puede consultar el detalle de las condiciones legales asociadas a cada servicio en el anexo al contrato empresa de telefonía móvil: Servicio Orange Cloud Empresas; o en el anexo al contrato empresa de telefonía móvil: servicio Comunica SMS; que le serán facilitados en la firma del contrato del servicio. </t>
  </si>
  <si>
    <t>Descuento convergente Digitales</t>
  </si>
  <si>
    <t>Se elimina el 5%. Se deja la lógica pero con valor 0% y se quitan las condiciones legales de las ofertas</t>
  </si>
  <si>
    <t>JOSE LUIS PARRA</t>
  </si>
  <si>
    <t>SERENDIPIA</t>
  </si>
  <si>
    <t>GRUPO PROMOVIL</t>
  </si>
  <si>
    <t>CADIZ</t>
  </si>
  <si>
    <t>INMOBILIARIA SERVIGESTION</t>
  </si>
  <si>
    <t>B11412343</t>
  </si>
  <si>
    <t>PLAZA ESPAÑA Nº1, EDIFICIO ESPAÑA PLANTA 1º OFICINA 2</t>
  </si>
  <si>
    <t>CHICLANA</t>
  </si>
  <si>
    <t>MANUEL</t>
  </si>
  <si>
    <t>LINEA JEFE</t>
  </si>
  <si>
    <t>ILIMITADA</t>
  </si>
  <si>
    <t>ILIMITADA CV</t>
  </si>
  <si>
    <t>OFICINA</t>
  </si>
  <si>
    <t>1 NUEVA</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</si>
</sst>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0\ &quot;€&quot;;[Red]\-#,##0\ &quot;€&quot;"/>
    <numFmt numFmtId="164" formatCode="&quot;€&quot;#,##0_);[Red]\(&quot;€&quot;#,##0\)"/>
    <numFmt numFmtId="165" formatCode="&quot;€&quot;#,##0.00_);\(&quot;€&quot;#,##0.00\)"/>
    <numFmt numFmtId="166" formatCode="_(&quot;€&quot;* #,##0.00_);_(&quot;€&quot;* \(#,##0.00\);_(&quot;€&quot;* &quot;-&quot;??_);_(@_)"/>
    <numFmt numFmtId="167" formatCode="_(* #,##0.00_);_(* \(#,##0.00\);_(* &quot;-&quot;??_);_(@_)"/>
    <numFmt numFmtId="168" formatCode="#,##0.0000\ &quot;€&quot;"/>
    <numFmt numFmtId="169" formatCode="#,##0\ &quot;€&quot;"/>
    <numFmt numFmtId="170" formatCode="0.0000"/>
    <numFmt numFmtId="171" formatCode="0.000"/>
    <numFmt numFmtId="172" formatCode="0.0"/>
    <numFmt numFmtId="173" formatCode="0.0%"/>
    <numFmt numFmtId="174" formatCode="_-* #,##0\ _€_-;\-* #,##0\ _€_-;_-* &quot;-&quot;??\ _€_-;_-@_-"/>
    <numFmt numFmtId="175" formatCode="#,##0.0\ &quot;€&quot;"/>
    <numFmt numFmtId="176" formatCode="#,##0.00\ &quot;€&quot;"/>
    <numFmt numFmtId="177" formatCode="#,##0.000\ &quot;€&quot;"/>
    <numFmt numFmtId="178" formatCode="[$-C0A]d\-mmm\-yy;@"/>
    <numFmt numFmtId="179" formatCode="#,##0\ [$€-1];[Red]\-#,##0\ [$€-1]"/>
    <numFmt numFmtId="180" formatCode="#,##0.00\ [$€-1];[Red]\-#,##0.00\ [$€-1]"/>
    <numFmt numFmtId="181" formatCode="_-* #,##0.00\ [$€-1]_-;\-* #,##0.00\ [$€-1]_-;_-* &quot;-&quot;??\ [$€-1]_-"/>
    <numFmt numFmtId="182" formatCode="[&gt;999999]0.0,,&quot; Mbps&quot;;0.0,&quot; Kbps&quot;"/>
    <numFmt numFmtId="183" formatCode="_-* #,##0.00\ [$€-C0A]_-;\-* #,##0.00\ [$€-C0A]_-;_-* &quot;-&quot;??\ [$€-C0A]_-;_-@_-"/>
    <numFmt numFmtId="184" formatCode="#,##0.00\ [$€-C0A];\-#,##0.00\ [$€-C0A]"/>
    <numFmt numFmtId="185" formatCode="#,##0\ [$€-C0A];\-#,##0\ [$€-C0A]"/>
    <numFmt numFmtId="186" formatCode="_-* #,##0.000\ [$€-C0A]_-;\-* #,##0.000\ [$€-C0A]_-;_-* &quot;-&quot;??\ [$€-C0A]_-;_-@_-"/>
    <numFmt numFmtId="187" formatCode="#,##0.00\ [$€-1]"/>
    <numFmt numFmtId="188" formatCode="_-* #,##0.0000\ &quot;€&quot;_-;\-* #,##0.0000\ &quot;€&quot;_-;_-* &quot;-&quot;??\ &quot;€&quot;_-;_-@_-"/>
    <numFmt numFmtId="189" formatCode="#,##0.0\ [$€-1]"/>
    <numFmt numFmtId="190" formatCode="#,##0\ [$€-1]"/>
    <numFmt numFmtId="191" formatCode="_-* #,##0.0\ [$€-C0A]_-;\-* #,##0.0\ [$€-C0A]_-;_-* &quot;-&quot;??\ [$€-C0A]_-;_-@_-"/>
    <numFmt numFmtId="192" formatCode="_-* #,##0.0000\ [$€-C0A]_-;\-* #,##0.0000\ [$€-C0A]_-;_-* &quot;-&quot;??\ [$€-C0A]_-;_-@_-"/>
    <numFmt numFmtId="193" formatCode="#,##0.0000\ [$€-1];[Red]\-#,##0.0000\ [$€-1]"/>
    <numFmt numFmtId="194" formatCode="[$-F800]dddd\,\ mmmm\ dd\,\ yyyy"/>
    <numFmt numFmtId="195" formatCode="#,##0\ [$€-47E]"/>
    <numFmt numFmtId="196" formatCode="_-* #,##0\ [$€-C0A]_-;\-* #,##0\ [$€-C0A]_-;_-* &quot;-&quot;??\ [$€-C0A]_-;_-@_-"/>
    <numFmt numFmtId="197" formatCode="#,##0.00\ [$€-41B]"/>
    <numFmt numFmtId="198" formatCode="#,##0.00\ [$€-403]"/>
    <numFmt numFmtId="199" formatCode="#,##0.0\ [$€-403]"/>
    <numFmt numFmtId="200" formatCode="#,##0\ [$€-403]"/>
    <numFmt numFmtId="201" formatCode="&quot;€&quot;#,##0.0"/>
    <numFmt numFmtId="202" formatCode="_-* #,##0.0000\ [$€-C0A]_-;\-* #,##0.0000\ [$€-C0A]_-;_-* &quot;-&quot;????\ [$€-C0A]_-;_-@_-"/>
    <numFmt numFmtId="203" formatCode="&quot;€&quot;#,##0.00"/>
    <numFmt numFmtId="204" formatCode="#,##0.0\ [$€-1];[Red]\-#,##0.0\ [$€-1]"/>
    <numFmt numFmtId="205" formatCode="#,##0.0\ [$€-C0A];\-#,##0.0\ [$€-C0A]"/>
    <numFmt numFmtId="206" formatCode="#,##0_ ;[Red]\-#,##0\ "/>
    <numFmt numFmtId="207" formatCode="0;\-0\:;@"/>
    <numFmt numFmtId="208" formatCode="0.00;\-0.00\:;@"/>
    <numFmt numFmtId="209" formatCode="0;_0;;@"/>
  </numFmts>
  <fonts count="216">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b/>
      <sz val="10"/>
      <color indexed="9"/>
      <name val="Arial"/>
      <family val="2"/>
    </font>
    <font>
      <sz val="8"/>
      <name val="Arial"/>
      <family val="2"/>
    </font>
    <font>
      <sz val="10"/>
      <name val="Arial"/>
      <family val="2"/>
    </font>
    <font>
      <b/>
      <sz val="12"/>
      <name val="Arial"/>
      <family val="2"/>
    </font>
    <font>
      <sz val="10"/>
      <color indexed="9"/>
      <name val="Arial"/>
      <family val="2"/>
    </font>
    <font>
      <sz val="10"/>
      <color indexed="9"/>
      <name val="Arial"/>
      <family val="2"/>
    </font>
    <font>
      <b/>
      <sz val="11"/>
      <name val="Arial"/>
      <family val="2"/>
    </font>
    <font>
      <b/>
      <sz val="10"/>
      <color indexed="53"/>
      <name val="Arial"/>
      <family val="2"/>
    </font>
    <font>
      <sz val="10"/>
      <color indexed="22"/>
      <name val="Arial"/>
      <family val="2"/>
    </font>
    <font>
      <b/>
      <sz val="11"/>
      <color indexed="53"/>
      <name val="Arial"/>
      <family val="2"/>
    </font>
    <font>
      <sz val="8"/>
      <color indexed="9"/>
      <name val="Arial"/>
      <family val="2"/>
    </font>
    <font>
      <sz val="8"/>
      <color indexed="81"/>
      <name val="Tahoma"/>
      <family val="2"/>
    </font>
    <font>
      <b/>
      <sz val="8"/>
      <color indexed="81"/>
      <name val="Tahoma"/>
      <family val="2"/>
    </font>
    <font>
      <sz val="10"/>
      <color indexed="22"/>
      <name val="Arial"/>
      <family val="2"/>
    </font>
    <font>
      <sz val="10"/>
      <color indexed="21"/>
      <name val="Arial"/>
      <family val="2"/>
    </font>
    <font>
      <sz val="10"/>
      <color indexed="10"/>
      <name val="Arial"/>
      <family val="2"/>
    </font>
    <font>
      <sz val="8"/>
      <color indexed="12"/>
      <name val="Arial"/>
      <family val="2"/>
    </font>
    <font>
      <sz val="8"/>
      <color indexed="12"/>
      <name val="Tahoma"/>
      <family val="2"/>
    </font>
    <font>
      <i/>
      <sz val="10"/>
      <color indexed="22"/>
      <name val="Arial"/>
      <family val="2"/>
    </font>
    <font>
      <sz val="11"/>
      <name val="Arial"/>
      <family val="2"/>
    </font>
    <font>
      <sz val="10"/>
      <color indexed="53"/>
      <name val="Arial"/>
      <family val="2"/>
    </font>
    <font>
      <sz val="12"/>
      <name val="Times New Roman"/>
      <family val="1"/>
    </font>
    <font>
      <b/>
      <sz val="10"/>
      <color indexed="12"/>
      <name val="Arial"/>
      <family val="2"/>
    </font>
    <font>
      <b/>
      <sz val="10"/>
      <color indexed="14"/>
      <name val="Arial"/>
      <family val="2"/>
    </font>
    <font>
      <b/>
      <sz val="10"/>
      <color indexed="81"/>
      <name val="Tahoma"/>
      <family val="2"/>
    </font>
    <font>
      <sz val="9"/>
      <color indexed="81"/>
      <name val="Tahoma"/>
      <family val="2"/>
    </font>
    <font>
      <b/>
      <sz val="9"/>
      <color indexed="81"/>
      <name val="Tahoma"/>
      <family val="2"/>
    </font>
    <font>
      <sz val="10"/>
      <color indexed="9"/>
      <name val="Arial"/>
      <family val="2"/>
    </font>
    <font>
      <sz val="12"/>
      <name val="Arial"/>
      <family val="2"/>
    </font>
    <font>
      <sz val="10"/>
      <name val="Arial"/>
      <family val="2"/>
    </font>
    <font>
      <b/>
      <u/>
      <sz val="10"/>
      <color indexed="22"/>
      <name val="Arial"/>
      <family val="2"/>
    </font>
    <font>
      <sz val="10"/>
      <color rgb="FFFF0066"/>
      <name val="Arial"/>
      <family val="2"/>
    </font>
    <font>
      <sz val="10"/>
      <color theme="0"/>
      <name val="Arial"/>
      <family val="2"/>
    </font>
    <font>
      <b/>
      <sz val="10"/>
      <color theme="0"/>
      <name val="Arial"/>
      <family val="2"/>
    </font>
    <font>
      <sz val="11"/>
      <color theme="0"/>
      <name val="Arial"/>
      <family val="2"/>
    </font>
    <font>
      <sz val="10"/>
      <color theme="0" tint="-4.9989318521683403E-2"/>
      <name val="Arial"/>
      <family val="2"/>
    </font>
    <font>
      <b/>
      <sz val="10"/>
      <color theme="0" tint="-4.9989318521683403E-2"/>
      <name val="Arial"/>
      <family val="2"/>
    </font>
    <font>
      <sz val="9"/>
      <color theme="0" tint="-4.9989318521683403E-2"/>
      <name val="Arial"/>
      <family val="2"/>
    </font>
    <font>
      <sz val="8"/>
      <color theme="0" tint="-4.9989318521683403E-2"/>
      <name val="Arial"/>
      <family val="2"/>
    </font>
    <font>
      <sz val="8"/>
      <color theme="0" tint="-4.9989318521683403E-2"/>
      <name val="Tahoma"/>
      <family val="2"/>
    </font>
    <font>
      <b/>
      <sz val="10"/>
      <color theme="0" tint="-4.9989318521683403E-2"/>
      <name val="ITC Officina Sans Book"/>
      <family val="2"/>
    </font>
    <font>
      <b/>
      <sz val="10"/>
      <color theme="0" tint="-4.9989318521683403E-2"/>
      <name val="ITC Officina Sans Book"/>
    </font>
    <font>
      <b/>
      <u/>
      <sz val="16"/>
      <color rgb="FFFF0000"/>
      <name val="Arial"/>
      <family val="2"/>
    </font>
    <font>
      <b/>
      <u/>
      <sz val="14"/>
      <color rgb="FFFF3300"/>
      <name val="Arial"/>
      <family val="2"/>
    </font>
    <font>
      <b/>
      <u/>
      <sz val="12"/>
      <color rgb="FFFF3300"/>
      <name val="Arial"/>
      <family val="2"/>
    </font>
    <font>
      <b/>
      <sz val="11"/>
      <color theme="0"/>
      <name val="Arial"/>
      <family val="2"/>
    </font>
    <font>
      <sz val="11"/>
      <color rgb="FFFF0000"/>
      <name val="Arial"/>
      <family val="2"/>
    </font>
    <font>
      <sz val="11"/>
      <color rgb="FFFF66CC"/>
      <name val="Arial"/>
      <family val="2"/>
    </font>
    <font>
      <b/>
      <sz val="11"/>
      <color rgb="FFFF66CC"/>
      <name val="Arial"/>
      <family val="2"/>
    </font>
    <font>
      <sz val="11"/>
      <color theme="0" tint="-0.249977111117893"/>
      <name val="Arial"/>
      <family val="2"/>
    </font>
    <font>
      <b/>
      <sz val="11"/>
      <color theme="0" tint="-0.249977111117893"/>
      <name val="Arial"/>
      <family val="2"/>
    </font>
    <font>
      <sz val="11"/>
      <color rgb="FFFFFF00"/>
      <name val="Arial"/>
      <family val="2"/>
    </font>
    <font>
      <b/>
      <sz val="10"/>
      <color theme="0" tint="-0.249977111117893"/>
      <name val="Arial"/>
      <family val="2"/>
    </font>
    <font>
      <sz val="10"/>
      <color theme="0" tint="-0.249977111117893"/>
      <name val="Arial"/>
      <family val="2"/>
    </font>
    <font>
      <sz val="10"/>
      <color theme="0" tint="-0.249977111117893"/>
      <name val="Tahoma"/>
      <family val="2"/>
    </font>
    <font>
      <b/>
      <u/>
      <sz val="10"/>
      <color theme="0" tint="-0.249977111117893"/>
      <name val="Arial"/>
      <family val="2"/>
    </font>
    <font>
      <i/>
      <sz val="10"/>
      <color theme="0" tint="-0.249977111117893"/>
      <name val="Arial"/>
      <family val="2"/>
    </font>
    <font>
      <sz val="11"/>
      <name val="Calibri"/>
      <family val="2"/>
      <scheme val="minor"/>
    </font>
    <font>
      <sz val="10"/>
      <color rgb="FFFFFF00"/>
      <name val="Arial"/>
      <family val="2"/>
    </font>
    <font>
      <sz val="11"/>
      <color theme="9" tint="-0.249977111117893"/>
      <name val="Arial"/>
      <family val="2"/>
    </font>
    <font>
      <sz val="11"/>
      <color rgb="FFFF0066"/>
      <name val="Arial"/>
      <family val="2"/>
    </font>
    <font>
      <b/>
      <sz val="11"/>
      <color rgb="FFFF0066"/>
      <name val="Arial"/>
      <family val="2"/>
    </font>
    <font>
      <b/>
      <sz val="10"/>
      <color rgb="FFFF66CC"/>
      <name val="Arial"/>
      <family val="2"/>
    </font>
    <font>
      <sz val="7"/>
      <color rgb="FF333333"/>
      <name val="Arial"/>
      <family val="2"/>
    </font>
    <font>
      <b/>
      <sz val="7"/>
      <color rgb="FF444444"/>
      <name val="Arial"/>
      <family val="2"/>
    </font>
    <font>
      <u/>
      <sz val="10"/>
      <color theme="10"/>
      <name val="Arial"/>
      <family val="2"/>
    </font>
    <font>
      <i/>
      <sz val="10"/>
      <color theme="0" tint="-0.34998626667073579"/>
      <name val="Arial"/>
      <family val="2"/>
    </font>
    <font>
      <sz val="10"/>
      <color theme="0" tint="-0.34998626667073579"/>
      <name val="Arial"/>
      <family val="2"/>
    </font>
    <font>
      <b/>
      <sz val="10"/>
      <color rgb="FFFF0066"/>
      <name val="Arial"/>
      <family val="2"/>
    </font>
    <font>
      <sz val="10"/>
      <color theme="0" tint="-0.499984740745262"/>
      <name val="Arial"/>
      <family val="2"/>
    </font>
    <font>
      <sz val="10"/>
      <name val="Helvetica 55 Roman"/>
      <family val="2"/>
    </font>
    <font>
      <sz val="28"/>
      <color rgb="FFFF6600"/>
      <name val="Helvetica 55 Roman"/>
      <family val="2"/>
    </font>
    <font>
      <sz val="28"/>
      <name val="Helvetica 55 Roman"/>
      <family val="2"/>
    </font>
    <font>
      <b/>
      <sz val="16"/>
      <name val="Helvetica 55 Roman"/>
      <family val="2"/>
    </font>
    <font>
      <sz val="16"/>
      <name val="Helvetica 55 Roman"/>
      <family val="2"/>
    </font>
    <font>
      <sz val="10"/>
      <color rgb="FFFF6600"/>
      <name val="Helvetica 55 Roman"/>
      <family val="2"/>
    </font>
    <font>
      <b/>
      <sz val="16"/>
      <color rgb="FFFF6600"/>
      <name val="Helvetica 55 Roman"/>
      <family val="2"/>
    </font>
    <font>
      <b/>
      <sz val="20"/>
      <color rgb="FFFF6600"/>
      <name val="Helvetica 55 Roman"/>
      <family val="2"/>
    </font>
    <font>
      <b/>
      <sz val="18"/>
      <color rgb="FFFF6600"/>
      <name val="Helvetica 55 Roman"/>
      <family val="2"/>
    </font>
    <font>
      <sz val="18"/>
      <name val="Helvetica 55 Roman"/>
      <family val="2"/>
    </font>
    <font>
      <sz val="14"/>
      <name val="Helvetica 55 Roman"/>
      <family val="2"/>
    </font>
    <font>
      <sz val="10"/>
      <color indexed="53"/>
      <name val="Helvetica 55 Roman"/>
      <family val="2"/>
    </font>
    <font>
      <b/>
      <sz val="24"/>
      <name val="Helvetica 55 Roman"/>
      <family val="2"/>
    </font>
    <font>
      <u/>
      <sz val="16"/>
      <color theme="10"/>
      <name val="Helvetica 55 Roman"/>
      <family val="2"/>
    </font>
    <font>
      <b/>
      <sz val="18"/>
      <name val="Helvetica 55 Roman"/>
      <family val="2"/>
    </font>
    <font>
      <sz val="12"/>
      <name val="Helvetica 55 Roman"/>
      <family val="2"/>
    </font>
    <font>
      <b/>
      <sz val="12"/>
      <name val="Helvetica 55 Roman"/>
      <family val="2"/>
    </font>
    <font>
      <sz val="18"/>
      <color indexed="53"/>
      <name val="Helvetica 55 Roman"/>
      <family val="2"/>
    </font>
    <font>
      <b/>
      <sz val="20"/>
      <name val="Helvetica 55 Roman"/>
      <family val="2"/>
    </font>
    <font>
      <sz val="20"/>
      <name val="Helvetica 55 Roman"/>
      <family val="2"/>
    </font>
    <font>
      <b/>
      <sz val="18"/>
      <color theme="0"/>
      <name val="Helvetica 55 Roman"/>
      <family val="2"/>
    </font>
    <font>
      <b/>
      <sz val="20"/>
      <color theme="0"/>
      <name val="Helvetica 55 Roman"/>
      <family val="2"/>
    </font>
    <font>
      <sz val="10"/>
      <color theme="0"/>
      <name val="Helvetica 55 Roman"/>
      <family val="2"/>
    </font>
    <font>
      <sz val="18"/>
      <color theme="0"/>
      <name val="Helvetica 55 Roman"/>
      <family val="2"/>
    </font>
    <font>
      <b/>
      <sz val="22"/>
      <color theme="0"/>
      <name val="Helvetica 55 Roman"/>
      <family val="2"/>
    </font>
    <font>
      <b/>
      <u/>
      <sz val="18"/>
      <name val="Helvetica 55 Roman"/>
      <family val="2"/>
    </font>
    <font>
      <b/>
      <sz val="18"/>
      <color indexed="53"/>
      <name val="Helvetica 55 Roman"/>
      <family val="2"/>
    </font>
    <font>
      <b/>
      <sz val="16"/>
      <color theme="0"/>
      <name val="Helvetica 55 Roman"/>
      <family val="2"/>
    </font>
    <font>
      <b/>
      <sz val="15"/>
      <color theme="0"/>
      <name val="Helvetica 55 Roman"/>
      <family val="2"/>
    </font>
    <font>
      <sz val="14"/>
      <color theme="0"/>
      <name val="Helvetica 55 Roman"/>
      <family val="2"/>
    </font>
    <font>
      <sz val="12"/>
      <color theme="0"/>
      <name val="Helvetica 55 Roman"/>
      <family val="2"/>
    </font>
    <font>
      <b/>
      <sz val="15"/>
      <name val="Helvetica 55 Roman"/>
      <family val="2"/>
    </font>
    <font>
      <sz val="13"/>
      <name val="Helvetica 55 Roman"/>
      <family val="2"/>
    </font>
    <font>
      <b/>
      <sz val="14"/>
      <name val="Helvetica 55 Roman"/>
      <family val="2"/>
    </font>
    <font>
      <b/>
      <sz val="12"/>
      <color indexed="55"/>
      <name val="Helvetica 55 Roman"/>
      <family val="2"/>
    </font>
    <font>
      <b/>
      <sz val="10"/>
      <name val="Helvetica 55 Roman"/>
      <family val="2"/>
    </font>
    <font>
      <sz val="15"/>
      <name val="Helvetica 55 Roman"/>
      <family val="2"/>
    </font>
    <font>
      <sz val="24"/>
      <color rgb="FFFF6600"/>
      <name val="Helvetica 55 Roman"/>
      <family val="2"/>
    </font>
    <font>
      <sz val="11"/>
      <name val="Helvetica 55 Roman"/>
      <family val="2"/>
    </font>
    <font>
      <b/>
      <sz val="16"/>
      <color indexed="9"/>
      <name val="Helvetica 55 Roman"/>
      <family val="2"/>
    </font>
    <font>
      <b/>
      <sz val="15"/>
      <color indexed="53"/>
      <name val="Helvetica 55 Roman"/>
      <family val="2"/>
    </font>
    <font>
      <b/>
      <u/>
      <sz val="15"/>
      <color indexed="53"/>
      <name val="Helvetica 55 Roman"/>
      <family val="2"/>
    </font>
    <font>
      <b/>
      <sz val="16"/>
      <color indexed="53"/>
      <name val="Helvetica 55 Roman"/>
      <family val="2"/>
    </font>
    <font>
      <b/>
      <sz val="15"/>
      <color rgb="FFFF6600"/>
      <name val="Helvetica 55 Roman"/>
      <family val="2"/>
    </font>
    <font>
      <b/>
      <sz val="14"/>
      <color rgb="FFFF6600"/>
      <name val="Helvetica 55 Roman"/>
      <family val="2"/>
    </font>
    <font>
      <sz val="16"/>
      <color theme="0"/>
      <name val="Helvetica 55 Roman"/>
      <family val="2"/>
    </font>
    <font>
      <u/>
      <sz val="12"/>
      <name val="Helvetica 55 Roman"/>
      <family val="2"/>
    </font>
    <font>
      <b/>
      <sz val="11"/>
      <name val="Helvetica 55 Roman"/>
      <family val="2"/>
    </font>
    <font>
      <sz val="22"/>
      <name val="Helvetica 55 Roman"/>
      <family val="2"/>
    </font>
    <font>
      <sz val="11"/>
      <name val="Calibri"/>
      <family val="2"/>
    </font>
    <font>
      <sz val="11"/>
      <color theme="0"/>
      <name val="Helvetica 55 Roman"/>
      <family val="2"/>
    </font>
    <font>
      <sz val="10"/>
      <color theme="1"/>
      <name val="Helvetica 55 Roman"/>
      <family val="2"/>
    </font>
    <font>
      <b/>
      <sz val="18"/>
      <color indexed="9"/>
      <name val="Helvetica 55 Roman"/>
      <family val="2"/>
    </font>
    <font>
      <sz val="10"/>
      <color indexed="9"/>
      <name val="Helvetica 55 Roman"/>
      <family val="2"/>
    </font>
    <font>
      <b/>
      <sz val="14"/>
      <color theme="0"/>
      <name val="Helvetica 55 Roman"/>
      <family val="2"/>
    </font>
    <font>
      <sz val="12"/>
      <color indexed="9"/>
      <name val="Helvetica 55 Roman"/>
      <family val="2"/>
    </font>
    <font>
      <b/>
      <sz val="12"/>
      <color theme="0"/>
      <name val="Helvetica 55 Roman"/>
      <family val="2"/>
    </font>
    <font>
      <b/>
      <sz val="24"/>
      <color theme="0"/>
      <name val="Helvetica 55 Roman"/>
      <family val="2"/>
    </font>
    <font>
      <sz val="12"/>
      <color theme="1"/>
      <name val="Helvetica 55 Roman"/>
      <family val="2"/>
    </font>
    <font>
      <sz val="16"/>
      <color rgb="FFFFFF00"/>
      <name val="Helvetica 55 Roman"/>
      <family val="2"/>
    </font>
    <font>
      <b/>
      <sz val="22"/>
      <color rgb="FFFF6600"/>
      <name val="Helvetica 55 Roman"/>
      <family val="2"/>
    </font>
    <font>
      <sz val="22"/>
      <color indexed="53"/>
      <name val="Helvetica 55 Roman"/>
      <family val="2"/>
    </font>
    <font>
      <sz val="18"/>
      <color rgb="FFFF6600"/>
      <name val="Helvetica 55 Roman"/>
      <family val="2"/>
    </font>
    <font>
      <sz val="10"/>
      <color rgb="FFFF0000"/>
      <name val="Helvetica 55 Roman"/>
      <family val="2"/>
    </font>
    <font>
      <b/>
      <sz val="11"/>
      <color rgb="FFFF0000"/>
      <name val="Arial"/>
      <family val="2"/>
    </font>
    <font>
      <b/>
      <sz val="10"/>
      <color rgb="FFFF0000"/>
      <name val="Arial"/>
      <family val="2"/>
    </font>
    <font>
      <sz val="48"/>
      <name val="Helvetica 55 Roman"/>
      <family val="2"/>
    </font>
    <font>
      <b/>
      <sz val="24"/>
      <color indexed="53"/>
      <name val="Helvetica 55 Roman"/>
      <family val="2"/>
    </font>
    <font>
      <b/>
      <sz val="10"/>
      <color indexed="9"/>
      <name val="Helvetica 55 Roman"/>
      <family val="2"/>
    </font>
    <font>
      <b/>
      <sz val="13"/>
      <color indexed="53"/>
      <name val="Helvetica 55 Roman"/>
      <family val="2"/>
    </font>
    <font>
      <b/>
      <sz val="11"/>
      <color indexed="63"/>
      <name val="Helvetica 55 Roman"/>
      <family val="2"/>
    </font>
    <font>
      <sz val="10"/>
      <color indexed="63"/>
      <name val="Helvetica 55 Roman"/>
      <family val="2"/>
    </font>
    <font>
      <b/>
      <sz val="12"/>
      <color indexed="9"/>
      <name val="Helvetica 55 Roman"/>
      <family val="2"/>
    </font>
    <font>
      <b/>
      <sz val="10"/>
      <color theme="0"/>
      <name val="Helvetica 55 Roman"/>
      <family val="2"/>
    </font>
    <font>
      <b/>
      <sz val="11"/>
      <color theme="0"/>
      <name val="Helvetica 55 Roman"/>
      <family val="2"/>
    </font>
    <font>
      <i/>
      <sz val="10"/>
      <color theme="0" tint="-0.499984740745262"/>
      <name val="Helvetica 55 Roman"/>
      <family val="2"/>
    </font>
    <font>
      <sz val="10"/>
      <color theme="0" tint="-0.249977111117893"/>
      <name val="Helvetica 55 Roman"/>
      <family val="2"/>
    </font>
    <font>
      <i/>
      <sz val="10"/>
      <name val="Helvetica 55 Roman"/>
      <family val="2"/>
    </font>
    <font>
      <b/>
      <sz val="10"/>
      <color indexed="10"/>
      <name val="Helvetica 55 Roman"/>
      <family val="2"/>
    </font>
    <font>
      <sz val="9"/>
      <name val="Helvetica 55 Roman"/>
      <family val="2"/>
    </font>
    <font>
      <b/>
      <u/>
      <sz val="10"/>
      <name val="Helvetica 55 Roman"/>
      <family val="2"/>
    </font>
    <font>
      <b/>
      <sz val="11"/>
      <color theme="1"/>
      <name val="Calibri"/>
      <family val="2"/>
      <scheme val="minor"/>
    </font>
    <font>
      <sz val="16"/>
      <color theme="2"/>
      <name val="Helvetica 55 Roman"/>
      <family val="2"/>
    </font>
    <font>
      <u/>
      <sz val="11"/>
      <name val="Helvetica 55 Roman"/>
      <family val="2"/>
    </font>
    <font>
      <sz val="16"/>
      <name val="Arial"/>
      <family val="2"/>
    </font>
    <font>
      <sz val="12"/>
      <color theme="0"/>
      <name val="Arial"/>
      <family val="2"/>
    </font>
    <font>
      <sz val="16"/>
      <color rgb="FFFF0066"/>
      <name val="Helvetica 55 Roman"/>
      <family val="2"/>
    </font>
    <font>
      <b/>
      <sz val="18"/>
      <color rgb="FFFFC000"/>
      <name val="Helvetica 55 Roman"/>
      <family val="2"/>
    </font>
    <font>
      <sz val="10"/>
      <color rgb="FFFF0000"/>
      <name val="Arial"/>
      <family val="2"/>
    </font>
    <font>
      <sz val="10"/>
      <color theme="0"/>
      <name val="Helvetica 45 light"/>
    </font>
    <font>
      <sz val="10"/>
      <name val="Helvetica 45 light"/>
    </font>
    <font>
      <i/>
      <sz val="11"/>
      <name val="Arial"/>
      <family val="2"/>
    </font>
    <font>
      <i/>
      <sz val="10"/>
      <name val="Arial"/>
      <family val="2"/>
    </font>
    <font>
      <sz val="8"/>
      <color theme="0"/>
      <name val="Helvetica 55 Roman"/>
      <family val="2"/>
    </font>
    <font>
      <b/>
      <sz val="11"/>
      <color theme="0"/>
      <name val="Calibri"/>
      <family val="2"/>
      <scheme val="minor"/>
    </font>
    <font>
      <b/>
      <sz val="10"/>
      <name val="Helvetica 45 light"/>
    </font>
    <font>
      <b/>
      <sz val="12"/>
      <name val="Helvetica 55 Roman"/>
    </font>
    <font>
      <b/>
      <sz val="14"/>
      <name val="Helvetica 55 Roman"/>
    </font>
    <font>
      <sz val="8"/>
      <color rgb="FFFF0000"/>
      <name val="Helvetica 55 Roman"/>
      <family val="2"/>
    </font>
    <font>
      <b/>
      <sz val="10"/>
      <color rgb="FFFF0000"/>
      <name val="Helvetica 55 Roman"/>
    </font>
    <font>
      <sz val="14"/>
      <color theme="0"/>
      <name val="Helvetica 55 Roman"/>
    </font>
    <font>
      <sz val="14"/>
      <name val="Helvetica 55 Roman"/>
    </font>
    <font>
      <b/>
      <sz val="16"/>
      <color theme="0"/>
      <name val="Helvetica 55 Roman"/>
    </font>
    <font>
      <b/>
      <sz val="14"/>
      <color rgb="FFFF0000"/>
      <name val="Helvetica 55 Roman"/>
    </font>
    <font>
      <b/>
      <u/>
      <sz val="12"/>
      <name val="Helvetica 55 Roman"/>
    </font>
    <font>
      <sz val="11"/>
      <color theme="4"/>
      <name val="Arial"/>
      <family val="2"/>
    </font>
    <font>
      <b/>
      <sz val="11"/>
      <color theme="4"/>
      <name val="Arial"/>
      <family val="2"/>
    </font>
    <font>
      <b/>
      <sz val="14"/>
      <color theme="0"/>
      <name val="Helvetica 55 Roman"/>
    </font>
    <font>
      <sz val="8"/>
      <color indexed="81"/>
      <name val="Calibri"/>
      <family val="2"/>
      <scheme val="minor"/>
    </font>
    <font>
      <sz val="11"/>
      <name val="Helvetica 55 Roman"/>
    </font>
    <font>
      <b/>
      <u/>
      <sz val="16"/>
      <name val="Helvetica 55 Roman"/>
    </font>
    <font>
      <b/>
      <u/>
      <sz val="14"/>
      <name val="Helvetica 55 Roman"/>
    </font>
    <font>
      <b/>
      <sz val="20"/>
      <color theme="0"/>
      <name val="Helvetica 45 Light"/>
      <family val="2"/>
    </font>
    <font>
      <sz val="11"/>
      <color theme="1"/>
      <name val="Helvetica 45 Light"/>
      <family val="2"/>
    </font>
    <font>
      <sz val="11"/>
      <color rgb="FFFF0000"/>
      <name val="Helvetica 45 Light"/>
      <family val="2"/>
    </font>
    <font>
      <b/>
      <sz val="11"/>
      <color theme="0"/>
      <name val="Helvetica 45 Light"/>
      <family val="2"/>
    </font>
    <font>
      <b/>
      <sz val="11"/>
      <color theme="1"/>
      <name val="Helvetica 45 Light"/>
      <family val="2"/>
    </font>
    <font>
      <b/>
      <sz val="11"/>
      <color rgb="FFFF0000"/>
      <name val="Helvetica 45 Light"/>
      <family val="2"/>
    </font>
    <font>
      <sz val="12"/>
      <color theme="1"/>
      <name val="Helvetica 45 Light"/>
      <family val="2"/>
    </font>
    <font>
      <sz val="16"/>
      <name val="Helvetica 45 Light"/>
      <family val="2"/>
    </font>
    <font>
      <sz val="11"/>
      <name val="Helvetica 45 Light"/>
      <family val="2"/>
    </font>
    <font>
      <sz val="11"/>
      <name val="Helvetica 45 Light"/>
    </font>
    <font>
      <b/>
      <sz val="18"/>
      <color theme="1"/>
      <name val="Helvetica 45 Light"/>
      <family val="2"/>
    </font>
    <font>
      <b/>
      <sz val="12"/>
      <name val="Helvetica 45 Light"/>
      <family val="2"/>
    </font>
    <font>
      <b/>
      <sz val="12"/>
      <color theme="1"/>
      <name val="Helvetica 45 Light"/>
      <family val="2"/>
    </font>
    <font>
      <b/>
      <sz val="12"/>
      <color rgb="FFFF0000"/>
      <name val="Helvetica 45 Light"/>
      <family val="2"/>
    </font>
    <font>
      <sz val="11"/>
      <color theme="0"/>
      <name val="Helvetica 45 Light"/>
      <family val="2"/>
    </font>
    <font>
      <b/>
      <sz val="8"/>
      <color theme="0"/>
      <name val="Calibri"/>
      <family val="2"/>
      <scheme val="minor"/>
    </font>
    <font>
      <sz val="8"/>
      <color theme="1"/>
      <name val="Calibri"/>
      <family val="2"/>
      <scheme val="minor"/>
    </font>
    <font>
      <sz val="8"/>
      <color theme="5" tint="-0.499984740745262"/>
      <name val="Calibri"/>
      <family val="2"/>
      <scheme val="minor"/>
    </font>
    <font>
      <sz val="8"/>
      <color theme="3"/>
      <name val="Calibri"/>
      <family val="2"/>
      <scheme val="minor"/>
    </font>
    <font>
      <b/>
      <sz val="10"/>
      <color rgb="FF000000"/>
      <name val="Century Gothic"/>
      <family val="2"/>
    </font>
    <font>
      <sz val="10"/>
      <color rgb="FF000000"/>
      <name val="Arial"/>
      <family val="2"/>
    </font>
    <font>
      <sz val="22"/>
      <color rgb="FFFF6600"/>
      <name val="Helvetica 55 Roman"/>
      <family val="2"/>
    </font>
    <font>
      <b/>
      <sz val="12"/>
      <color theme="0"/>
      <name val="Helvetica 55 Roman"/>
    </font>
    <font>
      <b/>
      <sz val="18"/>
      <name val="Helvetica 55 Roman"/>
    </font>
    <font>
      <b/>
      <sz val="20"/>
      <color theme="1"/>
      <name val="Helvetica 45 Light"/>
    </font>
    <font>
      <sz val="18"/>
      <name val="Helvetica 55 Roman"/>
    </font>
    <font>
      <sz val="16"/>
      <name val="Helvetica 55 Roman"/>
    </font>
    <font>
      <sz val="18"/>
      <color rgb="FFFF0000"/>
      <name val="Helvetica 55 Roman"/>
      <family val="2"/>
    </font>
    <font>
      <b/>
      <sz val="18"/>
      <color rgb="FFFF0000"/>
      <name val="Helvetica 55 Roman"/>
      <family val="2"/>
    </font>
  </fonts>
  <fills count="44">
    <fill>
      <patternFill patternType="none"/>
    </fill>
    <fill>
      <patternFill patternType="gray125"/>
    </fill>
    <fill>
      <patternFill patternType="solid">
        <fgColor indexed="22"/>
        <bgColor indexed="64"/>
      </patternFill>
    </fill>
    <fill>
      <patternFill patternType="solid">
        <fgColor indexed="51"/>
        <bgColor indexed="64"/>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53"/>
        <bgColor indexed="64"/>
      </patternFill>
    </fill>
    <fill>
      <patternFill patternType="solid">
        <fgColor indexed="8"/>
        <bgColor indexed="64"/>
      </patternFill>
    </fill>
    <fill>
      <patternFill patternType="solid">
        <fgColor indexed="42"/>
        <bgColor indexed="64"/>
      </patternFill>
    </fill>
    <fill>
      <patternFill patternType="solid">
        <fgColor indexed="63"/>
        <bgColor indexed="64"/>
      </patternFill>
    </fill>
    <fill>
      <patternFill patternType="solid">
        <fgColor theme="0"/>
        <bgColor indexed="64"/>
      </patternFill>
    </fill>
    <fill>
      <patternFill patternType="solid">
        <fgColor rgb="FFFF6600"/>
        <bgColor indexed="64"/>
      </patternFill>
    </fill>
    <fill>
      <patternFill patternType="solid">
        <fgColor theme="1"/>
        <bgColor indexed="64"/>
      </patternFill>
    </fill>
    <fill>
      <patternFill patternType="solid">
        <fgColor theme="2"/>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bgColor indexed="64"/>
      </patternFill>
    </fill>
    <fill>
      <patternFill patternType="solid">
        <fgColor theme="0" tint="-0.249977111117893"/>
        <bgColor indexed="64"/>
      </patternFill>
    </fill>
    <fill>
      <patternFill patternType="solid">
        <fgColor rgb="FFEAEAEA"/>
        <bgColor indexed="64"/>
      </patternFill>
    </fill>
    <fill>
      <patternFill patternType="solid">
        <fgColor theme="2" tint="-9.9978637043366805E-2"/>
        <bgColor indexed="64"/>
      </patternFill>
    </fill>
    <fill>
      <patternFill patternType="solid">
        <fgColor rgb="FFFFFFFF"/>
        <bgColor rgb="FF000000"/>
      </patternFill>
    </fill>
    <fill>
      <patternFill patternType="solid">
        <fgColor theme="1" tint="0.499984740745262"/>
        <bgColor indexed="64"/>
      </patternFill>
    </fill>
    <fill>
      <patternFill patternType="solid">
        <fgColor theme="9" tint="0.39997558519241921"/>
        <bgColor indexed="64"/>
      </patternFill>
    </fill>
    <fill>
      <patternFill patternType="solid">
        <fgColor rgb="FFFFFFCC"/>
        <bgColor indexed="64"/>
      </patternFill>
    </fill>
    <fill>
      <patternFill patternType="solid">
        <fgColor rgb="FFFF0066"/>
        <bgColor indexed="64"/>
      </patternFill>
    </fill>
    <fill>
      <patternFill patternType="solid">
        <fgColor rgb="FF92D050"/>
        <bgColor indexed="64"/>
      </patternFill>
    </fill>
    <fill>
      <patternFill patternType="solid">
        <fgColor rgb="FFFFFF0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00B0F0"/>
        <bgColor indexed="64"/>
      </patternFill>
    </fill>
    <fill>
      <patternFill patternType="solid">
        <fgColor theme="0" tint="-0.249977111117893"/>
        <bgColor rgb="FF000000"/>
      </patternFill>
    </fill>
    <fill>
      <patternFill patternType="solid">
        <fgColor theme="6" tint="0.59999389629810485"/>
        <bgColor indexed="64"/>
      </patternFill>
    </fill>
    <fill>
      <patternFill patternType="solid">
        <fgColor rgb="FFFFC000"/>
        <bgColor indexed="64"/>
      </patternFill>
    </fill>
    <fill>
      <patternFill patternType="solid">
        <fgColor theme="9" tint="0.59999389629810485"/>
        <bgColor indexed="64"/>
      </patternFill>
    </fill>
    <fill>
      <patternFill patternType="solid">
        <fgColor rgb="FFE26B0A"/>
        <bgColor indexed="64"/>
      </patternFill>
    </fill>
    <fill>
      <patternFill patternType="solid">
        <fgColor theme="1" tint="0.34998626667073579"/>
        <bgColor indexed="64"/>
      </patternFill>
    </fill>
    <fill>
      <patternFill patternType="solid">
        <fgColor rgb="FFF8A15A"/>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DCE6F2"/>
        <bgColor indexed="64"/>
      </patternFill>
    </fill>
    <fill>
      <patternFill patternType="solid">
        <fgColor rgb="FF95B3D7"/>
        <bgColor indexed="64"/>
      </patternFill>
    </fill>
    <fill>
      <patternFill patternType="solid">
        <fgColor theme="3" tint="0.39997558519241921"/>
        <bgColor indexed="64"/>
      </patternFill>
    </fill>
  </fills>
  <borders count="18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right/>
      <top/>
      <bottom style="thin">
        <color indexed="64"/>
      </bottom>
      <diagonal/>
    </border>
    <border>
      <left style="medium">
        <color rgb="FFFF6600"/>
      </left>
      <right style="medium">
        <color rgb="FFFF6600"/>
      </right>
      <top style="medium">
        <color rgb="FFFF6600"/>
      </top>
      <bottom style="medium">
        <color rgb="FFFF6600"/>
      </bottom>
      <diagonal/>
    </border>
    <border>
      <left style="thin">
        <color theme="0"/>
      </left>
      <right style="thin">
        <color indexed="64"/>
      </right>
      <top style="thin">
        <color indexed="64"/>
      </top>
      <bottom style="thin">
        <color indexed="64"/>
      </bottom>
      <diagonal/>
    </border>
    <border>
      <left style="thin">
        <color theme="0"/>
      </left>
      <right/>
      <top style="thin">
        <color indexed="64"/>
      </top>
      <bottom style="thin">
        <color indexed="64"/>
      </bottom>
      <diagonal/>
    </border>
    <border>
      <left style="medium">
        <color rgb="FFFF3300"/>
      </left>
      <right/>
      <top/>
      <bottom/>
      <diagonal/>
    </border>
    <border>
      <left/>
      <right style="medium">
        <color rgb="FFFF3300"/>
      </right>
      <top/>
      <bottom/>
      <diagonal/>
    </border>
    <border>
      <left style="medium">
        <color rgb="FFFF3300"/>
      </left>
      <right/>
      <top/>
      <bottom style="medium">
        <color rgb="FFFF3300"/>
      </bottom>
      <diagonal/>
    </border>
    <border>
      <left/>
      <right/>
      <top/>
      <bottom style="medium">
        <color rgb="FFFF3300"/>
      </bottom>
      <diagonal/>
    </border>
    <border>
      <left/>
      <right style="medium">
        <color rgb="FFFF3300"/>
      </right>
      <top/>
      <bottom style="medium">
        <color rgb="FFFF3300"/>
      </bottom>
      <diagonal/>
    </border>
    <border>
      <left style="medium">
        <color rgb="FFFF3300"/>
      </left>
      <right/>
      <top style="medium">
        <color rgb="FFFF3300"/>
      </top>
      <bottom/>
      <diagonal/>
    </border>
    <border>
      <left/>
      <right/>
      <top style="medium">
        <color rgb="FFFF3300"/>
      </top>
      <bottom/>
      <diagonal/>
    </border>
    <border>
      <left/>
      <right style="medium">
        <color rgb="FFFF3300"/>
      </right>
      <top style="medium">
        <color rgb="FFFF3300"/>
      </top>
      <bottom/>
      <diagonal/>
    </border>
    <border>
      <left style="medium">
        <color rgb="FFFF3300"/>
      </left>
      <right style="thin">
        <color indexed="64"/>
      </right>
      <top style="thin">
        <color indexed="64"/>
      </top>
      <bottom style="thin">
        <color indexed="64"/>
      </bottom>
      <diagonal/>
    </border>
    <border>
      <left style="medium">
        <color rgb="FFFF3300"/>
      </left>
      <right style="thin">
        <color indexed="64"/>
      </right>
      <top style="medium">
        <color rgb="FFFF3300"/>
      </top>
      <bottom style="thin">
        <color indexed="64"/>
      </bottom>
      <diagonal/>
    </border>
    <border>
      <left style="thin">
        <color indexed="64"/>
      </left>
      <right style="thin">
        <color indexed="64"/>
      </right>
      <top style="medium">
        <color rgb="FFFF3300"/>
      </top>
      <bottom style="thin">
        <color indexed="64"/>
      </bottom>
      <diagonal/>
    </border>
    <border>
      <left style="thin">
        <color indexed="64"/>
      </left>
      <right style="medium">
        <color indexed="64"/>
      </right>
      <top style="medium">
        <color rgb="FFFF3300"/>
      </top>
      <bottom style="thin">
        <color indexed="64"/>
      </bottom>
      <diagonal/>
    </border>
    <border>
      <left style="medium">
        <color indexed="64"/>
      </left>
      <right style="thin">
        <color indexed="64"/>
      </right>
      <top style="medium">
        <color rgb="FFFF3300"/>
      </top>
      <bottom style="thin">
        <color indexed="64"/>
      </bottom>
      <diagonal/>
    </border>
    <border>
      <left style="thin">
        <color indexed="64"/>
      </left>
      <right style="medium">
        <color rgb="FFFF3300"/>
      </right>
      <top style="medium">
        <color rgb="FFFF3300"/>
      </top>
      <bottom style="thin">
        <color indexed="64"/>
      </bottom>
      <diagonal/>
    </border>
    <border>
      <left style="thin">
        <color indexed="64"/>
      </left>
      <right style="medium">
        <color rgb="FFFF3300"/>
      </right>
      <top style="thin">
        <color indexed="64"/>
      </top>
      <bottom style="thin">
        <color indexed="64"/>
      </bottom>
      <diagonal/>
    </border>
    <border>
      <left style="medium">
        <color rgb="FFFF3300"/>
      </left>
      <right style="thin">
        <color indexed="64"/>
      </right>
      <top style="thin">
        <color indexed="64"/>
      </top>
      <bottom style="medium">
        <color rgb="FFFF3300"/>
      </bottom>
      <diagonal/>
    </border>
    <border>
      <left style="thin">
        <color indexed="64"/>
      </left>
      <right style="thin">
        <color indexed="64"/>
      </right>
      <top style="thin">
        <color indexed="64"/>
      </top>
      <bottom style="medium">
        <color rgb="FFFF3300"/>
      </bottom>
      <diagonal/>
    </border>
    <border>
      <left style="thin">
        <color indexed="64"/>
      </left>
      <right style="medium">
        <color indexed="64"/>
      </right>
      <top style="thin">
        <color indexed="64"/>
      </top>
      <bottom style="medium">
        <color rgb="FFFF3300"/>
      </bottom>
      <diagonal/>
    </border>
    <border>
      <left style="medium">
        <color indexed="64"/>
      </left>
      <right style="thin">
        <color indexed="64"/>
      </right>
      <top style="thin">
        <color indexed="64"/>
      </top>
      <bottom style="medium">
        <color rgb="FFFF3300"/>
      </bottom>
      <diagonal/>
    </border>
    <border>
      <left style="thin">
        <color indexed="64"/>
      </left>
      <right style="medium">
        <color rgb="FFFF3300"/>
      </right>
      <top style="thin">
        <color indexed="64"/>
      </top>
      <bottom style="medium">
        <color rgb="FFFF3300"/>
      </bottom>
      <diagonal/>
    </border>
    <border>
      <left/>
      <right style="medium">
        <color rgb="FFFF3300"/>
      </right>
      <top style="thin">
        <color indexed="64"/>
      </top>
      <bottom style="thin">
        <color indexed="64"/>
      </bottom>
      <diagonal/>
    </border>
    <border>
      <left style="medium">
        <color rgb="FFFF3300"/>
      </left>
      <right/>
      <top style="medium">
        <color rgb="FFFF3300"/>
      </top>
      <bottom style="medium">
        <color rgb="FFFF3300"/>
      </bottom>
      <diagonal/>
    </border>
    <border>
      <left style="medium">
        <color indexed="64"/>
      </left>
      <right style="medium">
        <color rgb="FFFF3300"/>
      </right>
      <top style="medium">
        <color rgb="FFFF3300"/>
      </top>
      <bottom style="medium">
        <color rgb="FFFF3300"/>
      </bottom>
      <diagonal/>
    </border>
    <border>
      <left style="medium">
        <color rgb="FFFF6600"/>
      </left>
      <right/>
      <top style="medium">
        <color rgb="FFFF6600"/>
      </top>
      <bottom/>
      <diagonal/>
    </border>
    <border>
      <left/>
      <right/>
      <top style="medium">
        <color rgb="FFFF6600"/>
      </top>
      <bottom/>
      <diagonal/>
    </border>
    <border>
      <left/>
      <right style="medium">
        <color rgb="FFFF6600"/>
      </right>
      <top style="medium">
        <color rgb="FFFF6600"/>
      </top>
      <bottom/>
      <diagonal/>
    </border>
    <border>
      <left style="medium">
        <color rgb="FFFF6600"/>
      </left>
      <right/>
      <top/>
      <bottom/>
      <diagonal/>
    </border>
    <border>
      <left/>
      <right style="medium">
        <color rgb="FFFF6600"/>
      </right>
      <top/>
      <bottom/>
      <diagonal/>
    </border>
    <border>
      <left style="medium">
        <color rgb="FFFF6600"/>
      </left>
      <right/>
      <top/>
      <bottom style="medium">
        <color rgb="FFFF6600"/>
      </bottom>
      <diagonal/>
    </border>
    <border>
      <left/>
      <right/>
      <top/>
      <bottom style="medium">
        <color rgb="FFFF6600"/>
      </bottom>
      <diagonal/>
    </border>
    <border>
      <left/>
      <right style="medium">
        <color rgb="FFFF6600"/>
      </right>
      <top/>
      <bottom style="medium">
        <color rgb="FFFF6600"/>
      </bottom>
      <diagonal/>
    </border>
    <border>
      <left style="medium">
        <color rgb="FFFF6600"/>
      </left>
      <right/>
      <top style="medium">
        <color rgb="FFFF6600"/>
      </top>
      <bottom style="medium">
        <color rgb="FFFF6600"/>
      </bottom>
      <diagonal/>
    </border>
    <border>
      <left/>
      <right/>
      <top style="medium">
        <color rgb="FFFF6600"/>
      </top>
      <bottom style="medium">
        <color rgb="FFFF6600"/>
      </bottom>
      <diagonal/>
    </border>
    <border>
      <left/>
      <right style="medium">
        <color rgb="FFFF6600"/>
      </right>
      <top style="medium">
        <color rgb="FFFF6600"/>
      </top>
      <bottom style="medium">
        <color rgb="FFFF6600"/>
      </bottom>
      <diagonal/>
    </border>
    <border>
      <left style="medium">
        <color rgb="FFFF6600"/>
      </left>
      <right style="medium">
        <color rgb="FFFF6600"/>
      </right>
      <top/>
      <bottom/>
      <diagonal/>
    </border>
    <border>
      <left style="medium">
        <color rgb="FFFF6600"/>
      </left>
      <right style="thin">
        <color indexed="64"/>
      </right>
      <top style="thin">
        <color indexed="64"/>
      </top>
      <bottom style="thin">
        <color indexed="64"/>
      </bottom>
      <diagonal/>
    </border>
    <border>
      <left style="thin">
        <color rgb="FFFF6600"/>
      </left>
      <right/>
      <top/>
      <bottom/>
      <diagonal/>
    </border>
    <border>
      <left/>
      <right style="thin">
        <color rgb="FFFF6600"/>
      </right>
      <top/>
      <bottom/>
      <diagonal/>
    </border>
    <border>
      <left style="thin">
        <color rgb="FFFF6600"/>
      </left>
      <right/>
      <top/>
      <bottom style="thin">
        <color rgb="FFFF6600"/>
      </bottom>
      <diagonal/>
    </border>
    <border>
      <left/>
      <right/>
      <top/>
      <bottom style="thin">
        <color rgb="FFFF6600"/>
      </bottom>
      <diagonal/>
    </border>
    <border>
      <left/>
      <right style="thin">
        <color rgb="FFFF6600"/>
      </right>
      <top/>
      <bottom style="thin">
        <color rgb="FFFF6600"/>
      </bottom>
      <diagonal/>
    </border>
    <border>
      <left/>
      <right style="thin">
        <color rgb="FFFF6600"/>
      </right>
      <top style="thin">
        <color rgb="FFFF6600"/>
      </top>
      <bottom/>
      <diagonal/>
    </border>
    <border>
      <left/>
      <right/>
      <top style="thin">
        <color rgb="FFFF6600"/>
      </top>
      <bottom/>
      <diagonal/>
    </border>
    <border>
      <left/>
      <right/>
      <top style="dotted">
        <color rgb="FFFF6600"/>
      </top>
      <bottom/>
      <diagonal/>
    </border>
    <border>
      <left style="dotted">
        <color rgb="FFFF6600"/>
      </left>
      <right/>
      <top/>
      <bottom/>
      <diagonal/>
    </border>
    <border>
      <left/>
      <right style="dotted">
        <color rgb="FFFF6600"/>
      </right>
      <top/>
      <bottom/>
      <diagonal/>
    </border>
    <border>
      <left/>
      <right/>
      <top style="thin">
        <color rgb="FFFF6600"/>
      </top>
      <bottom style="thin">
        <color rgb="FFFF6600"/>
      </bottom>
      <diagonal/>
    </border>
    <border>
      <left/>
      <right/>
      <top style="thin">
        <color rgb="FFFF3300"/>
      </top>
      <bottom style="thin">
        <color rgb="FFFF3300"/>
      </bottom>
      <diagonal/>
    </border>
    <border>
      <left/>
      <right style="thin">
        <color rgb="FFFF3300"/>
      </right>
      <top style="thin">
        <color rgb="FFFF3300"/>
      </top>
      <bottom style="thin">
        <color rgb="FFFF3300"/>
      </bottom>
      <diagonal/>
    </border>
    <border>
      <left style="thin">
        <color theme="0"/>
      </left>
      <right/>
      <top/>
      <bottom/>
      <diagonal/>
    </border>
    <border>
      <left/>
      <right style="thin">
        <color theme="0"/>
      </right>
      <top/>
      <bottom/>
      <diagonal/>
    </border>
    <border>
      <left/>
      <right/>
      <top/>
      <bottom style="thin">
        <color theme="0"/>
      </bottom>
      <diagonal/>
    </border>
    <border>
      <left/>
      <right style="thin">
        <color rgb="FFFF6600"/>
      </right>
      <top style="thin">
        <color rgb="FFFF6600"/>
      </top>
      <bottom style="thin">
        <color rgb="FFFF6600"/>
      </bottom>
      <diagonal/>
    </border>
    <border>
      <left style="medium">
        <color rgb="FFFF6600"/>
      </left>
      <right style="thin">
        <color indexed="64"/>
      </right>
      <top style="medium">
        <color rgb="FFFF6600"/>
      </top>
      <bottom style="thin">
        <color indexed="64"/>
      </bottom>
      <diagonal/>
    </border>
    <border>
      <left style="thin">
        <color indexed="64"/>
      </left>
      <right style="thin">
        <color indexed="64"/>
      </right>
      <top style="medium">
        <color rgb="FFFF6600"/>
      </top>
      <bottom style="thin">
        <color indexed="64"/>
      </bottom>
      <diagonal/>
    </border>
    <border>
      <left style="thin">
        <color rgb="FFFF6600"/>
      </left>
      <right style="thin">
        <color rgb="FFFF6600"/>
      </right>
      <top style="thin">
        <color rgb="FFFF6600"/>
      </top>
      <bottom style="thin">
        <color rgb="FFFF6600"/>
      </bottom>
      <diagonal/>
    </border>
    <border>
      <left style="thin">
        <color rgb="FFFF6600"/>
      </left>
      <right/>
      <top style="thin">
        <color rgb="FFFF6600"/>
      </top>
      <bottom/>
      <diagonal/>
    </border>
    <border>
      <left style="thin">
        <color rgb="FFFF6600"/>
      </left>
      <right style="thin">
        <color rgb="FFFF6600"/>
      </right>
      <top style="thin">
        <color rgb="FFFF6600"/>
      </top>
      <bottom/>
      <diagonal/>
    </border>
    <border>
      <left style="thin">
        <color rgb="FFFF6600"/>
      </left>
      <right style="thin">
        <color rgb="FFFF6600"/>
      </right>
      <top/>
      <bottom/>
      <diagonal/>
    </border>
    <border>
      <left style="thin">
        <color rgb="FFFF6600"/>
      </left>
      <right style="thin">
        <color rgb="FFFF6600"/>
      </right>
      <top/>
      <bottom style="thin">
        <color rgb="FFFF6600"/>
      </bottom>
      <diagonal/>
    </border>
    <border>
      <left style="thin">
        <color rgb="FFFF5050"/>
      </left>
      <right style="thin">
        <color rgb="FFFF5050"/>
      </right>
      <top style="thin">
        <color rgb="FFFF5050"/>
      </top>
      <bottom style="thin">
        <color rgb="FFFF5050"/>
      </bottom>
      <diagonal/>
    </border>
    <border>
      <left style="thin">
        <color theme="0"/>
      </left>
      <right style="thin">
        <color theme="0"/>
      </right>
      <top style="thin">
        <color rgb="FFFF6600"/>
      </top>
      <bottom style="thin">
        <color rgb="FFFF6600"/>
      </bottom>
      <diagonal/>
    </border>
    <border>
      <left style="thin">
        <color theme="0"/>
      </left>
      <right style="thin">
        <color rgb="FFFF6600"/>
      </right>
      <top style="thin">
        <color rgb="FFFF6600"/>
      </top>
      <bottom style="thin">
        <color rgb="FFFF6600"/>
      </bottom>
      <diagonal/>
    </border>
    <border>
      <left/>
      <right style="thin">
        <color rgb="FFFF5050"/>
      </right>
      <top style="thin">
        <color rgb="FFFF5050"/>
      </top>
      <bottom style="thin">
        <color rgb="FFFF5050"/>
      </bottom>
      <diagonal/>
    </border>
    <border>
      <left style="thin">
        <color theme="0"/>
      </left>
      <right style="thin">
        <color theme="0"/>
      </right>
      <top style="thin">
        <color rgb="FFFF6600"/>
      </top>
      <bottom/>
      <diagonal/>
    </border>
    <border>
      <left style="medium">
        <color rgb="FFFF6600"/>
      </left>
      <right style="medium">
        <color rgb="FFFF6600"/>
      </right>
      <top/>
      <bottom style="medium">
        <color rgb="FFFF6600"/>
      </bottom>
      <diagonal/>
    </border>
    <border>
      <left/>
      <right style="thin">
        <color theme="0"/>
      </right>
      <top/>
      <bottom style="thin">
        <color indexed="64"/>
      </bottom>
      <diagonal/>
    </border>
    <border>
      <left style="thin">
        <color rgb="FFFF6600"/>
      </left>
      <right/>
      <top style="thin">
        <color rgb="FFFF6600"/>
      </top>
      <bottom style="thin">
        <color rgb="FFFF6600"/>
      </bottom>
      <diagonal/>
    </border>
    <border>
      <left style="medium">
        <color rgb="FFFF3300"/>
      </left>
      <right/>
      <top style="medium">
        <color rgb="FFFF3300"/>
      </top>
      <bottom style="thin">
        <color indexed="64"/>
      </bottom>
      <diagonal/>
    </border>
    <border>
      <left/>
      <right/>
      <top style="medium">
        <color rgb="FFFF3300"/>
      </top>
      <bottom style="thin">
        <color indexed="64"/>
      </bottom>
      <diagonal/>
    </border>
    <border>
      <left/>
      <right style="medium">
        <color indexed="64"/>
      </right>
      <top style="medium">
        <color rgb="FFFF3300"/>
      </top>
      <bottom style="thin">
        <color indexed="64"/>
      </bottom>
      <diagonal/>
    </border>
    <border>
      <left style="medium">
        <color indexed="64"/>
      </left>
      <right/>
      <top style="medium">
        <color rgb="FFFF3300"/>
      </top>
      <bottom style="thin">
        <color indexed="64"/>
      </bottom>
      <diagonal/>
    </border>
    <border>
      <left/>
      <right style="medium">
        <color rgb="FFFF3300"/>
      </right>
      <top style="medium">
        <color rgb="FFFF3300"/>
      </top>
      <bottom style="thin">
        <color indexed="64"/>
      </bottom>
      <diagonal/>
    </border>
    <border>
      <left style="thin">
        <color rgb="FFFF6600"/>
      </left>
      <right style="dotted">
        <color indexed="64"/>
      </right>
      <top/>
      <bottom style="thin">
        <color rgb="FFFF6600"/>
      </bottom>
      <diagonal/>
    </border>
    <border>
      <left style="thin">
        <color rgb="FFFF6600"/>
      </left>
      <right style="dotted">
        <color indexed="64"/>
      </right>
      <top/>
      <bottom/>
      <diagonal/>
    </border>
    <border>
      <left style="thin">
        <color rgb="FFFF6600"/>
      </left>
      <right style="thin">
        <color theme="0"/>
      </right>
      <top style="thin">
        <color rgb="FFFF6600"/>
      </top>
      <bottom style="thin">
        <color rgb="FFFF6600"/>
      </bottom>
      <diagonal/>
    </border>
    <border>
      <left style="thin">
        <color rgb="FFFF3300"/>
      </left>
      <right/>
      <top style="thin">
        <color rgb="FFFF3300"/>
      </top>
      <bottom style="thin">
        <color theme="0"/>
      </bottom>
      <diagonal/>
    </border>
    <border>
      <left/>
      <right/>
      <top style="thin">
        <color rgb="FFFF3300"/>
      </top>
      <bottom style="thin">
        <color theme="0"/>
      </bottom>
      <diagonal/>
    </border>
    <border>
      <left style="thin">
        <color rgb="FFFF3300"/>
      </left>
      <right/>
      <top/>
      <bottom style="thin">
        <color rgb="FFFF3300"/>
      </bottom>
      <diagonal/>
    </border>
    <border>
      <left/>
      <right/>
      <top/>
      <bottom style="thin">
        <color rgb="FFFF3300"/>
      </bottom>
      <diagonal/>
    </border>
    <border>
      <left/>
      <right style="thin">
        <color rgb="FFFF5050"/>
      </right>
      <top/>
      <bottom/>
      <diagonal/>
    </border>
    <border>
      <left style="thin">
        <color rgb="FFFF3300"/>
      </left>
      <right/>
      <top style="thin">
        <color rgb="FFFF3300"/>
      </top>
      <bottom style="thin">
        <color rgb="FFFF3300"/>
      </bottom>
      <diagonal/>
    </border>
    <border>
      <left style="thin">
        <color theme="0"/>
      </left>
      <right/>
      <top style="thin">
        <color rgb="FFFF6600"/>
      </top>
      <bottom style="thin">
        <color rgb="FFFF6600"/>
      </bottom>
      <diagonal/>
    </border>
    <border>
      <left/>
      <right style="thin">
        <color theme="0"/>
      </right>
      <top style="thin">
        <color rgb="FFFF6600"/>
      </top>
      <bottom style="thin">
        <color rgb="FFFF6600"/>
      </bottom>
      <diagonal/>
    </border>
    <border>
      <left style="thin">
        <color rgb="FFFF5050"/>
      </left>
      <right/>
      <top/>
      <bottom/>
      <diagonal/>
    </border>
    <border>
      <left style="thin">
        <color theme="0"/>
      </left>
      <right/>
      <top style="thin">
        <color rgb="FFFF6600"/>
      </top>
      <bottom/>
      <diagonal/>
    </border>
    <border>
      <left/>
      <right style="thin">
        <color theme="0"/>
      </right>
      <top style="thin">
        <color rgb="FFFF6600"/>
      </top>
      <bottom/>
      <diagonal/>
    </border>
    <border>
      <left style="thin">
        <color rgb="FFFF6600"/>
      </left>
      <right style="thin">
        <color theme="0"/>
      </right>
      <top style="thin">
        <color rgb="FFFF6600"/>
      </top>
      <bottom/>
      <diagonal/>
    </border>
    <border>
      <left style="thin">
        <color indexed="64"/>
      </left>
      <right/>
      <top style="thin">
        <color indexed="64"/>
      </top>
      <bottom/>
      <diagonal/>
    </border>
    <border>
      <left/>
      <right/>
      <top/>
      <bottom style="dotted">
        <color rgb="FFFF6600"/>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rgb="FFFF3300"/>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rgb="FFFF3300"/>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rgb="FFFF3300"/>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bottom style="thin">
        <color theme="0" tint="-0.14999847407452621"/>
      </bottom>
      <diagonal/>
    </border>
    <border>
      <left/>
      <right/>
      <top style="thin">
        <color rgb="FFFF6600"/>
      </top>
      <bottom style="thin">
        <color rgb="FFFF3300"/>
      </bottom>
      <diagonal/>
    </border>
    <border>
      <left style="thin">
        <color rgb="FFFF3300"/>
      </left>
      <right/>
      <top style="thin">
        <color theme="0"/>
      </top>
      <bottom style="thin">
        <color rgb="FFFF3300"/>
      </bottom>
      <diagonal/>
    </border>
    <border>
      <left/>
      <right/>
      <top style="thin">
        <color theme="0"/>
      </top>
      <bottom style="thin">
        <color rgb="FFFF3300"/>
      </bottom>
      <diagonal/>
    </border>
    <border>
      <left style="medium">
        <color rgb="FFFF6600"/>
      </left>
      <right style="medium">
        <color rgb="FFFF6600"/>
      </right>
      <top style="medium">
        <color rgb="FFFF6600"/>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rgb="FFFF6600"/>
      </right>
      <top style="medium">
        <color rgb="FFFF6600"/>
      </top>
      <bottom style="thin">
        <color indexed="64"/>
      </bottom>
      <diagonal/>
    </border>
    <border>
      <left style="thin">
        <color indexed="64"/>
      </left>
      <right style="medium">
        <color rgb="FFFF6600"/>
      </right>
      <top style="thin">
        <color indexed="64"/>
      </top>
      <bottom style="thin">
        <color indexed="64"/>
      </bottom>
      <diagonal/>
    </border>
    <border>
      <left style="thin">
        <color indexed="64"/>
      </left>
      <right style="thin">
        <color indexed="64"/>
      </right>
      <top style="medium">
        <color rgb="FFFF6600"/>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top style="thin">
        <color theme="0"/>
      </top>
      <bottom style="thin">
        <color theme="0"/>
      </bottom>
      <diagonal/>
    </border>
    <border>
      <left style="thin">
        <color theme="0"/>
      </left>
      <right/>
      <top style="thin">
        <color theme="0"/>
      </top>
      <bottom style="thin">
        <color theme="0"/>
      </bottom>
      <diagonal/>
    </border>
    <border>
      <left/>
      <right/>
      <top style="thin">
        <color theme="0"/>
      </top>
      <bottom/>
      <diagonal/>
    </border>
    <border>
      <left style="medium">
        <color rgb="FF000000"/>
      </left>
      <right style="medium">
        <color rgb="FF000000"/>
      </right>
      <top style="medium">
        <color rgb="FF000000"/>
      </top>
      <bottom style="medium">
        <color rgb="FF000000"/>
      </bottom>
      <diagonal/>
    </border>
    <border>
      <left style="medium">
        <color rgb="FFFF6600"/>
      </left>
      <right style="thin">
        <color rgb="FFFF6600"/>
      </right>
      <top style="medium">
        <color rgb="FFFF6600"/>
      </top>
      <bottom style="thin">
        <color rgb="FFFF6600"/>
      </bottom>
      <diagonal/>
    </border>
    <border>
      <left style="thin">
        <color rgb="FFFF6600"/>
      </left>
      <right style="medium">
        <color rgb="FFFF6600"/>
      </right>
      <top style="medium">
        <color rgb="FFFF6600"/>
      </top>
      <bottom style="thin">
        <color rgb="FFFF6600"/>
      </bottom>
      <diagonal/>
    </border>
    <border>
      <left style="medium">
        <color rgb="FFFF6600"/>
      </left>
      <right style="thin">
        <color rgb="FFFF6600"/>
      </right>
      <top style="thin">
        <color rgb="FFFF6600"/>
      </top>
      <bottom style="thin">
        <color rgb="FFFF6600"/>
      </bottom>
      <diagonal/>
    </border>
    <border>
      <left style="thin">
        <color rgb="FFFF6600"/>
      </left>
      <right style="medium">
        <color rgb="FFFF6600"/>
      </right>
      <top style="thin">
        <color rgb="FFFF6600"/>
      </top>
      <bottom style="thin">
        <color rgb="FFFF6600"/>
      </bottom>
      <diagonal/>
    </border>
    <border>
      <left style="medium">
        <color rgb="FFFF6600"/>
      </left>
      <right style="thin">
        <color rgb="FFFF6600"/>
      </right>
      <top style="thin">
        <color rgb="FFFF6600"/>
      </top>
      <bottom style="medium">
        <color rgb="FFFF6600"/>
      </bottom>
      <diagonal/>
    </border>
    <border>
      <left style="thin">
        <color rgb="FFFF6600"/>
      </left>
      <right style="medium">
        <color rgb="FFFF6600"/>
      </right>
      <top style="thin">
        <color rgb="FFFF6600"/>
      </top>
      <bottom style="medium">
        <color rgb="FFFF6600"/>
      </bottom>
      <diagonal/>
    </border>
    <border>
      <left style="thin">
        <color indexed="64"/>
      </left>
      <right style="medium">
        <color rgb="FFFF6600"/>
      </right>
      <top style="thin">
        <color indexed="64"/>
      </top>
      <bottom/>
      <diagonal/>
    </border>
  </borders>
  <cellStyleXfs count="23">
    <xf numFmtId="0" fontId="0" fillId="0" borderId="0" applyNumberFormat="0" applyFill="0" applyBorder="0" applyAlignment="0" applyProtection="0"/>
    <xf numFmtId="0" fontId="3" fillId="0" borderId="0"/>
    <xf numFmtId="0" fontId="26" fillId="0" borderId="0" applyBorder="0"/>
    <xf numFmtId="0" fontId="3" fillId="0" borderId="0" applyNumberFormat="0" applyFill="0" applyBorder="0" applyAlignment="0" applyProtection="0"/>
    <xf numFmtId="0" fontId="3" fillId="0" borderId="0"/>
    <xf numFmtId="0" fontId="26" fillId="0" borderId="0" applyBorder="0"/>
    <xf numFmtId="0" fontId="26" fillId="0" borderId="0" applyBorder="0"/>
    <xf numFmtId="182" fontId="3" fillId="0" borderId="0"/>
    <xf numFmtId="0" fontId="3" fillId="0" borderId="0" applyNumberFormat="0" applyFill="0" applyBorder="0" applyAlignment="0" applyProtection="0"/>
    <xf numFmtId="181" fontId="3" fillId="0" borderId="0" applyFont="0" applyFill="0" applyBorder="0" applyAlignment="0" applyProtection="0"/>
    <xf numFmtId="167" fontId="3" fillId="0" borderId="0" applyFont="0" applyFill="0" applyBorder="0" applyAlignment="0" applyProtection="0"/>
    <xf numFmtId="166" fontId="3" fillId="0" borderId="0" applyFont="0" applyFill="0" applyBorder="0" applyAlignment="0" applyProtection="0"/>
    <xf numFmtId="166" fontId="7" fillId="0" borderId="0" applyFont="0" applyFill="0" applyBorder="0" applyAlignment="0" applyProtection="0"/>
    <xf numFmtId="0" fontId="7" fillId="0" borderId="0" applyNumberFormat="0" applyFill="0" applyBorder="0" applyAlignment="0" applyProtection="0"/>
    <xf numFmtId="0" fontId="7" fillId="0" borderId="0"/>
    <xf numFmtId="0" fontId="3" fillId="0" borderId="0" applyNumberFormat="0" applyFill="0" applyBorder="0" applyAlignment="0" applyProtection="0"/>
    <xf numFmtId="0" fontId="26" fillId="0" borderId="0" applyBorder="0"/>
    <xf numFmtId="9" fontId="3" fillId="0" borderId="0" applyFont="0" applyFill="0" applyBorder="0" applyAlignment="0" applyProtection="0"/>
    <xf numFmtId="9" fontId="7" fillId="0" borderId="0" applyFont="0" applyFill="0" applyBorder="0" applyAlignment="0" applyProtection="0"/>
    <xf numFmtId="0" fontId="70" fillId="0" borderId="0" applyNumberFormat="0" applyFill="0" applyBorder="0" applyAlignment="0" applyProtection="0"/>
    <xf numFmtId="0" fontId="2" fillId="0" borderId="0"/>
    <xf numFmtId="0" fontId="1" fillId="0" borderId="0"/>
    <xf numFmtId="0" fontId="3" fillId="0" borderId="0" applyNumberFormat="0" applyFill="0" applyBorder="0" applyAlignment="0" applyProtection="0"/>
  </cellStyleXfs>
  <cellXfs count="2654">
    <xf numFmtId="0" fontId="0" fillId="0" borderId="0" xfId="0"/>
    <xf numFmtId="0" fontId="0" fillId="0" borderId="0" xfId="0" applyProtection="1">
      <protection hidden="1"/>
    </xf>
    <xf numFmtId="0" fontId="0" fillId="0" borderId="0" xfId="0" applyBorder="1" applyProtection="1">
      <protection hidden="1"/>
    </xf>
    <xf numFmtId="0" fontId="0" fillId="0" borderId="0" xfId="0" applyAlignment="1" applyProtection="1">
      <alignment horizontal="center"/>
      <protection hidden="1"/>
    </xf>
    <xf numFmtId="0" fontId="7" fillId="0" borderId="0" xfId="0" applyFont="1" applyProtection="1">
      <protection hidden="1"/>
    </xf>
    <xf numFmtId="0" fontId="0" fillId="0" borderId="1" xfId="0" applyBorder="1" applyAlignment="1" applyProtection="1">
      <alignment horizontal="center"/>
      <protection hidden="1"/>
    </xf>
    <xf numFmtId="0" fontId="0" fillId="0" borderId="0" xfId="0" applyAlignment="1" applyProtection="1">
      <alignment horizontal="right"/>
      <protection hidden="1"/>
    </xf>
    <xf numFmtId="0" fontId="0" fillId="0" borderId="0" xfId="0" applyFill="1" applyProtection="1">
      <protection hidden="1"/>
    </xf>
    <xf numFmtId="169" fontId="7" fillId="0" borderId="0" xfId="17" applyNumberFormat="1" applyFont="1" applyFill="1" applyBorder="1" applyAlignment="1" applyProtection="1">
      <alignment horizontal="center" vertical="center"/>
      <protection hidden="1"/>
    </xf>
    <xf numFmtId="169" fontId="3" fillId="0" borderId="0" xfId="0" applyNumberFormat="1" applyFont="1" applyFill="1" applyAlignment="1" applyProtection="1">
      <alignment horizontal="center"/>
      <protection hidden="1"/>
    </xf>
    <xf numFmtId="0" fontId="0" fillId="2" borderId="0" xfId="0" applyFill="1" applyProtection="1">
      <protection hidden="1"/>
    </xf>
    <xf numFmtId="0" fontId="0" fillId="0" borderId="0" xfId="0" applyFill="1" applyAlignment="1" applyProtection="1">
      <alignment horizontal="center"/>
      <protection hidden="1"/>
    </xf>
    <xf numFmtId="169" fontId="0" fillId="0" borderId="0" xfId="0" applyNumberFormat="1" applyFill="1" applyAlignment="1" applyProtection="1">
      <alignment horizontal="center"/>
      <protection hidden="1"/>
    </xf>
    <xf numFmtId="175" fontId="0" fillId="0" borderId="0" xfId="0" applyNumberFormat="1" applyFill="1" applyAlignment="1" applyProtection="1">
      <alignment horizontal="center"/>
      <protection hidden="1"/>
    </xf>
    <xf numFmtId="4" fontId="18" fillId="0" borderId="0" xfId="17" applyNumberFormat="1" applyFont="1" applyFill="1" applyBorder="1" applyAlignment="1" applyProtection="1">
      <alignment horizontal="center" vertical="center"/>
      <protection hidden="1"/>
    </xf>
    <xf numFmtId="167" fontId="13" fillId="0" borderId="0" xfId="0" applyNumberFormat="1" applyFont="1" applyFill="1" applyProtection="1">
      <protection hidden="1"/>
    </xf>
    <xf numFmtId="0" fontId="0" fillId="3" borderId="1" xfId="0" applyFill="1" applyBorder="1" applyAlignment="1" applyProtection="1">
      <alignment horizontal="center"/>
      <protection hidden="1"/>
    </xf>
    <xf numFmtId="0" fontId="4" fillId="0" borderId="0" xfId="0" applyFont="1" applyFill="1" applyAlignment="1" applyProtection="1">
      <alignment horizontal="center"/>
      <protection hidden="1"/>
    </xf>
    <xf numFmtId="176" fontId="0" fillId="0" borderId="0" xfId="0" applyNumberFormat="1" applyFill="1" applyAlignment="1" applyProtection="1">
      <alignment horizontal="center"/>
      <protection hidden="1"/>
    </xf>
    <xf numFmtId="176" fontId="19" fillId="0" borderId="0" xfId="0" applyNumberFormat="1" applyFont="1" applyFill="1" applyAlignment="1" applyProtection="1">
      <alignment horizontal="center"/>
      <protection hidden="1"/>
    </xf>
    <xf numFmtId="0" fontId="22" fillId="0" borderId="0" xfId="0" applyFont="1" applyAlignment="1">
      <alignment horizontal="center" wrapText="1"/>
    </xf>
    <xf numFmtId="0" fontId="21" fillId="0" borderId="0" xfId="0" applyFont="1" applyAlignment="1" applyProtection="1">
      <alignment horizontal="center"/>
      <protection hidden="1"/>
    </xf>
    <xf numFmtId="169" fontId="23" fillId="0" borderId="0" xfId="0" applyNumberFormat="1" applyFont="1" applyFill="1" applyAlignment="1" applyProtection="1">
      <alignment horizontal="center"/>
      <protection hidden="1"/>
    </xf>
    <xf numFmtId="0" fontId="0" fillId="0" borderId="0" xfId="0" quotePrefix="1" applyProtection="1">
      <protection hidden="1"/>
    </xf>
    <xf numFmtId="0" fontId="4" fillId="4" borderId="0" xfId="0" applyFont="1" applyFill="1" applyAlignment="1" applyProtection="1">
      <alignment horizontal="right"/>
      <protection hidden="1"/>
    </xf>
    <xf numFmtId="169" fontId="0" fillId="0" borderId="0" xfId="0" applyNumberFormat="1" applyFill="1" applyProtection="1">
      <protection hidden="1"/>
    </xf>
    <xf numFmtId="169" fontId="4" fillId="0" borderId="0" xfId="0" applyNumberFormat="1" applyFont="1" applyFill="1" applyAlignment="1" applyProtection="1">
      <alignment horizontal="center"/>
      <protection hidden="1"/>
    </xf>
    <xf numFmtId="0" fontId="7" fillId="2" borderId="0" xfId="0" applyFont="1" applyFill="1" applyProtection="1">
      <protection hidden="1"/>
    </xf>
    <xf numFmtId="0" fontId="7" fillId="2" borderId="0" xfId="0" applyFont="1" applyFill="1" applyAlignment="1" applyProtection="1">
      <alignment horizontal="center"/>
      <protection hidden="1"/>
    </xf>
    <xf numFmtId="3" fontId="3" fillId="5" borderId="1" xfId="0" applyNumberFormat="1" applyFont="1" applyFill="1" applyBorder="1" applyAlignment="1" applyProtection="1">
      <alignment horizontal="center"/>
      <protection locked="0"/>
    </xf>
    <xf numFmtId="0" fontId="18" fillId="0" borderId="0" xfId="0" applyFont="1" applyFill="1" applyProtection="1">
      <protection hidden="1"/>
    </xf>
    <xf numFmtId="0" fontId="27" fillId="4" borderId="0" xfId="0" applyFont="1" applyFill="1" applyAlignment="1" applyProtection="1">
      <alignment horizontal="center"/>
      <protection hidden="1"/>
    </xf>
    <xf numFmtId="0" fontId="21" fillId="0" borderId="0" xfId="0" applyFont="1" applyFill="1" applyAlignment="1" applyProtection="1">
      <alignment horizontal="center"/>
      <protection hidden="1"/>
    </xf>
    <xf numFmtId="0" fontId="22" fillId="0" borderId="0" xfId="0" applyFont="1" applyFill="1" applyAlignment="1">
      <alignment horizontal="center" wrapText="1"/>
    </xf>
    <xf numFmtId="175" fontId="20" fillId="0" borderId="0" xfId="0" applyNumberFormat="1" applyFont="1" applyFill="1" applyAlignment="1" applyProtection="1">
      <alignment horizontal="center"/>
      <protection hidden="1"/>
    </xf>
    <xf numFmtId="175" fontId="10" fillId="0" borderId="0" xfId="0" applyNumberFormat="1" applyFont="1" applyFill="1" applyAlignment="1" applyProtection="1">
      <alignment horizontal="center"/>
      <protection hidden="1"/>
    </xf>
    <xf numFmtId="0" fontId="0" fillId="3" borderId="2" xfId="0" applyFill="1" applyBorder="1" applyProtection="1">
      <protection hidden="1"/>
    </xf>
    <xf numFmtId="0" fontId="0" fillId="0" borderId="2" xfId="0" applyBorder="1" applyProtection="1">
      <protection hidden="1"/>
    </xf>
    <xf numFmtId="0" fontId="7" fillId="3" borderId="1" xfId="0" applyFont="1" applyFill="1" applyBorder="1" applyAlignment="1" applyProtection="1">
      <alignment horizontal="center"/>
      <protection hidden="1"/>
    </xf>
    <xf numFmtId="0" fontId="7" fillId="3" borderId="3" xfId="0" applyFont="1" applyFill="1" applyBorder="1" applyAlignment="1" applyProtection="1">
      <alignment horizontal="center"/>
      <protection hidden="1"/>
    </xf>
    <xf numFmtId="0" fontId="7" fillId="0" borderId="2" xfId="0" applyFont="1" applyBorder="1" applyProtection="1">
      <protection hidden="1"/>
    </xf>
    <xf numFmtId="0" fontId="7" fillId="0" borderId="1" xfId="0" applyFont="1" applyBorder="1" applyAlignment="1" applyProtection="1">
      <alignment horizontal="center"/>
      <protection hidden="1"/>
    </xf>
    <xf numFmtId="0" fontId="7" fillId="0" borderId="3" xfId="0" applyFont="1" applyBorder="1" applyAlignment="1" applyProtection="1">
      <alignment horizontal="center"/>
      <protection hidden="1"/>
    </xf>
    <xf numFmtId="9" fontId="7" fillId="11" borderId="0" xfId="0" applyNumberFormat="1" applyFont="1" applyFill="1" applyBorder="1" applyAlignment="1">
      <alignment horizontal="center"/>
    </xf>
    <xf numFmtId="0" fontId="36" fillId="0" borderId="3" xfId="0" applyFont="1" applyBorder="1" applyAlignment="1">
      <alignment horizontal="center"/>
    </xf>
    <xf numFmtId="0" fontId="36" fillId="0" borderId="1" xfId="0" applyFont="1" applyBorder="1" applyAlignment="1" applyProtection="1">
      <alignment horizontal="center"/>
      <protection hidden="1"/>
    </xf>
    <xf numFmtId="0" fontId="0" fillId="11" borderId="0" xfId="0" applyFill="1" applyBorder="1" applyProtection="1">
      <protection hidden="1"/>
    </xf>
    <xf numFmtId="0" fontId="37" fillId="11" borderId="0" xfId="0" applyFont="1" applyFill="1" applyProtection="1">
      <protection hidden="1"/>
    </xf>
    <xf numFmtId="0" fontId="37" fillId="11" borderId="0" xfId="0" applyFont="1" applyFill="1" applyBorder="1" applyProtection="1">
      <protection hidden="1"/>
    </xf>
    <xf numFmtId="0" fontId="0" fillId="11" borderId="0" xfId="0" applyFill="1" applyBorder="1" applyAlignment="1" applyProtection="1">
      <alignment horizontal="center"/>
      <protection hidden="1"/>
    </xf>
    <xf numFmtId="0" fontId="39" fillId="11" borderId="0" xfId="0" applyFont="1" applyFill="1" applyAlignment="1" applyProtection="1">
      <alignment vertical="center"/>
      <protection hidden="1"/>
    </xf>
    <xf numFmtId="0" fontId="7" fillId="11" borderId="0" xfId="0" applyFont="1" applyFill="1" applyProtection="1">
      <protection hidden="1"/>
    </xf>
    <xf numFmtId="0" fontId="7" fillId="11" borderId="0" xfId="0" applyFont="1" applyFill="1" applyBorder="1" applyAlignment="1" applyProtection="1">
      <alignment horizontal="center"/>
      <protection hidden="1"/>
    </xf>
    <xf numFmtId="0" fontId="7" fillId="11" borderId="0" xfId="0" applyFont="1" applyFill="1" applyBorder="1" applyProtection="1">
      <protection hidden="1"/>
    </xf>
    <xf numFmtId="0" fontId="7" fillId="11" borderId="35" xfId="0" applyFont="1" applyFill="1" applyBorder="1" applyProtection="1">
      <protection hidden="1"/>
    </xf>
    <xf numFmtId="0" fontId="25" fillId="11" borderId="0" xfId="0" applyFont="1" applyFill="1" applyBorder="1" applyAlignment="1" applyProtection="1">
      <alignment horizontal="center"/>
      <protection hidden="1"/>
    </xf>
    <xf numFmtId="0" fontId="7" fillId="11" borderId="36" xfId="0" applyFont="1" applyFill="1" applyBorder="1" applyProtection="1">
      <protection hidden="1"/>
    </xf>
    <xf numFmtId="0" fontId="14" fillId="11" borderId="0" xfId="0" applyFont="1" applyFill="1" applyBorder="1" applyProtection="1">
      <protection hidden="1"/>
    </xf>
    <xf numFmtId="0" fontId="12" fillId="11" borderId="0" xfId="0" applyFont="1" applyFill="1" applyBorder="1" applyProtection="1">
      <protection hidden="1"/>
    </xf>
    <xf numFmtId="0" fontId="11" fillId="11" borderId="0" xfId="0" applyFont="1" applyFill="1" applyBorder="1" applyProtection="1">
      <protection hidden="1"/>
    </xf>
    <xf numFmtId="0" fontId="5" fillId="11" borderId="36" xfId="0" applyFont="1" applyFill="1" applyBorder="1" applyAlignment="1" applyProtection="1">
      <alignment horizontal="center"/>
      <protection hidden="1"/>
    </xf>
    <xf numFmtId="0" fontId="7" fillId="11" borderId="37" xfId="0" applyFont="1" applyFill="1" applyBorder="1" applyProtection="1">
      <protection hidden="1"/>
    </xf>
    <xf numFmtId="0" fontId="7" fillId="11" borderId="38" xfId="0" applyFont="1" applyFill="1" applyBorder="1" applyAlignment="1" applyProtection="1">
      <alignment horizontal="left"/>
      <protection hidden="1"/>
    </xf>
    <xf numFmtId="0" fontId="7" fillId="11" borderId="38" xfId="0" applyFont="1" applyFill="1" applyBorder="1" applyProtection="1">
      <protection hidden="1"/>
    </xf>
    <xf numFmtId="0" fontId="5" fillId="11" borderId="38" xfId="0" applyFont="1" applyFill="1" applyBorder="1" applyAlignment="1" applyProtection="1">
      <alignment horizontal="center"/>
      <protection hidden="1"/>
    </xf>
    <xf numFmtId="0" fontId="5" fillId="11" borderId="39" xfId="0" applyFont="1" applyFill="1" applyBorder="1" applyAlignment="1" applyProtection="1">
      <alignment horizontal="center"/>
      <protection hidden="1"/>
    </xf>
    <xf numFmtId="0" fontId="7" fillId="13" borderId="0" xfId="0" applyFont="1" applyFill="1" applyProtection="1">
      <protection hidden="1"/>
    </xf>
    <xf numFmtId="17" fontId="15" fillId="13" borderId="0" xfId="0" quotePrefix="1" applyNumberFormat="1" applyFont="1" applyFill="1" applyAlignment="1" applyProtection="1">
      <alignment horizontal="left"/>
      <protection hidden="1"/>
    </xf>
    <xf numFmtId="0" fontId="9" fillId="13" borderId="0" xfId="0" applyFont="1" applyFill="1" applyAlignment="1" applyProtection="1">
      <alignment horizontal="right"/>
      <protection hidden="1"/>
    </xf>
    <xf numFmtId="0" fontId="5" fillId="13" borderId="0" xfId="0" applyFont="1" applyFill="1" applyBorder="1" applyAlignment="1" applyProtection="1">
      <alignment horizontal="center"/>
      <protection hidden="1"/>
    </xf>
    <xf numFmtId="0" fontId="5" fillId="13" borderId="0" xfId="0" applyFont="1" applyFill="1" applyAlignment="1" applyProtection="1">
      <alignment horizontal="center"/>
      <protection hidden="1"/>
    </xf>
    <xf numFmtId="0" fontId="9" fillId="13" borderId="0" xfId="0" applyFont="1" applyFill="1" applyProtection="1">
      <protection hidden="1"/>
    </xf>
    <xf numFmtId="0" fontId="7" fillId="13" borderId="0" xfId="0" applyFont="1" applyFill="1" applyAlignment="1" applyProtection="1">
      <alignment horizontal="center"/>
      <protection hidden="1"/>
    </xf>
    <xf numFmtId="0" fontId="7" fillId="13" borderId="0" xfId="0" applyFont="1" applyFill="1" applyBorder="1" applyProtection="1">
      <protection hidden="1"/>
    </xf>
    <xf numFmtId="0" fontId="4" fillId="13" borderId="0" xfId="0" applyFont="1" applyFill="1" applyAlignment="1" applyProtection="1">
      <alignment horizontal="center"/>
      <protection hidden="1"/>
    </xf>
    <xf numFmtId="0" fontId="7" fillId="11" borderId="40" xfId="0" applyFont="1" applyFill="1" applyBorder="1" applyProtection="1">
      <protection hidden="1"/>
    </xf>
    <xf numFmtId="0" fontId="7" fillId="11" borderId="41" xfId="0" applyFont="1" applyFill="1" applyBorder="1" applyProtection="1">
      <protection hidden="1"/>
    </xf>
    <xf numFmtId="0" fontId="7" fillId="11" borderId="41" xfId="0" applyFont="1" applyFill="1" applyBorder="1" applyAlignment="1" applyProtection="1">
      <alignment horizontal="center"/>
      <protection hidden="1"/>
    </xf>
    <xf numFmtId="0" fontId="7" fillId="11" borderId="42" xfId="0" applyFont="1" applyFill="1" applyBorder="1" applyProtection="1">
      <protection hidden="1"/>
    </xf>
    <xf numFmtId="0" fontId="40" fillId="0" borderId="0" xfId="0" applyFont="1" applyProtection="1">
      <protection hidden="1"/>
    </xf>
    <xf numFmtId="0" fontId="40" fillId="0" borderId="0" xfId="0" applyFont="1" applyFill="1" applyProtection="1">
      <protection hidden="1"/>
    </xf>
    <xf numFmtId="9" fontId="40" fillId="0" borderId="0" xfId="0" applyNumberFormat="1" applyFont="1" applyFill="1" applyAlignment="1" applyProtection="1">
      <alignment horizontal="center"/>
      <protection hidden="1"/>
    </xf>
    <xf numFmtId="0" fontId="40" fillId="0" borderId="0" xfId="0" applyFont="1" applyAlignment="1" applyProtection="1">
      <alignment horizontal="center"/>
      <protection hidden="1"/>
    </xf>
    <xf numFmtId="2" fontId="40" fillId="0" borderId="0" xfId="0" applyNumberFormat="1" applyFont="1" applyFill="1" applyAlignment="1" applyProtection="1">
      <alignment horizontal="center"/>
      <protection hidden="1"/>
    </xf>
    <xf numFmtId="0" fontId="40" fillId="0" borderId="0" xfId="0" applyFont="1" applyFill="1" applyAlignment="1" applyProtection="1">
      <alignment horizontal="center"/>
      <protection hidden="1"/>
    </xf>
    <xf numFmtId="0" fontId="40" fillId="11" borderId="0" xfId="0" applyFont="1" applyFill="1" applyAlignment="1" applyProtection="1">
      <alignment horizontal="right"/>
      <protection hidden="1"/>
    </xf>
    <xf numFmtId="0" fontId="40" fillId="11" borderId="0" xfId="0" applyFont="1" applyFill="1" applyProtection="1">
      <protection hidden="1"/>
    </xf>
    <xf numFmtId="0" fontId="40" fillId="11" borderId="0" xfId="0" applyFont="1" applyFill="1" applyAlignment="1" applyProtection="1">
      <alignment horizontal="center"/>
      <protection hidden="1"/>
    </xf>
    <xf numFmtId="0" fontId="41" fillId="11" borderId="0" xfId="0" applyFont="1" applyFill="1" applyProtection="1">
      <protection hidden="1"/>
    </xf>
    <xf numFmtId="0" fontId="41" fillId="11" borderId="0" xfId="0" applyFont="1" applyFill="1" applyAlignment="1" applyProtection="1">
      <alignment horizontal="center"/>
      <protection hidden="1"/>
    </xf>
    <xf numFmtId="0" fontId="41" fillId="11" borderId="0" xfId="0" applyFont="1" applyFill="1" applyAlignment="1" applyProtection="1">
      <protection hidden="1"/>
    </xf>
    <xf numFmtId="0" fontId="42" fillId="11" borderId="0" xfId="0" applyFont="1" applyFill="1" applyBorder="1" applyAlignment="1" applyProtection="1">
      <alignment horizontal="right" vertical="center"/>
      <protection hidden="1"/>
    </xf>
    <xf numFmtId="168" fontId="42" fillId="11" borderId="0" xfId="0" applyNumberFormat="1" applyFont="1" applyFill="1" applyBorder="1" applyAlignment="1" applyProtection="1">
      <alignment horizontal="center"/>
      <protection hidden="1"/>
    </xf>
    <xf numFmtId="0" fontId="43" fillId="11" borderId="0" xfId="0" applyFont="1" applyFill="1" applyProtection="1">
      <protection hidden="1"/>
    </xf>
    <xf numFmtId="3" fontId="40" fillId="11" borderId="0" xfId="0" applyNumberFormat="1" applyFont="1" applyFill="1" applyAlignment="1" applyProtection="1">
      <alignment horizontal="center"/>
      <protection hidden="1"/>
    </xf>
    <xf numFmtId="0" fontId="43" fillId="11" borderId="0" xfId="0" applyFont="1" applyFill="1" applyAlignment="1" applyProtection="1">
      <alignment horizontal="left"/>
      <protection hidden="1"/>
    </xf>
    <xf numFmtId="0" fontId="43" fillId="11" borderId="0" xfId="0" applyFont="1" applyFill="1" applyAlignment="1" applyProtection="1">
      <alignment horizontal="center"/>
      <protection hidden="1"/>
    </xf>
    <xf numFmtId="0" fontId="44" fillId="11" borderId="0" xfId="0" applyFont="1" applyFill="1" applyAlignment="1">
      <alignment horizontal="center" wrapText="1"/>
    </xf>
    <xf numFmtId="0" fontId="42" fillId="11" borderId="0" xfId="0" applyFont="1" applyFill="1" applyAlignment="1" applyProtection="1">
      <alignment horizontal="center"/>
      <protection hidden="1"/>
    </xf>
    <xf numFmtId="167" fontId="40" fillId="11" borderId="0" xfId="10" applyNumberFormat="1" applyFont="1" applyFill="1" applyAlignment="1" applyProtection="1">
      <alignment horizontal="center"/>
      <protection hidden="1"/>
    </xf>
    <xf numFmtId="167" fontId="40" fillId="11" borderId="0" xfId="10" applyFont="1" applyFill="1" applyAlignment="1" applyProtection="1">
      <alignment horizontal="center"/>
      <protection hidden="1"/>
    </xf>
    <xf numFmtId="164" fontId="42" fillId="11" borderId="0" xfId="0" applyNumberFormat="1" applyFont="1" applyFill="1" applyBorder="1" applyAlignment="1" applyProtection="1">
      <alignment horizontal="center"/>
      <protection hidden="1"/>
    </xf>
    <xf numFmtId="174" fontId="40" fillId="11" borderId="0" xfId="10" applyNumberFormat="1" applyFont="1" applyFill="1" applyAlignment="1" applyProtection="1">
      <alignment horizontal="center"/>
      <protection hidden="1"/>
    </xf>
    <xf numFmtId="168" fontId="40" fillId="11" borderId="0" xfId="0" applyNumberFormat="1" applyFont="1" applyFill="1" applyAlignment="1" applyProtection="1">
      <alignment horizontal="center"/>
      <protection hidden="1"/>
    </xf>
    <xf numFmtId="176" fontId="40" fillId="11" borderId="0" xfId="0" applyNumberFormat="1" applyFont="1" applyFill="1" applyAlignment="1" applyProtection="1">
      <alignment horizontal="center"/>
      <protection hidden="1"/>
    </xf>
    <xf numFmtId="9" fontId="40" fillId="11" borderId="0" xfId="17" applyFont="1" applyFill="1" applyAlignment="1" applyProtection="1">
      <alignment horizontal="center"/>
      <protection hidden="1"/>
    </xf>
    <xf numFmtId="1" fontId="40" fillId="11" borderId="0" xfId="0" applyNumberFormat="1" applyFont="1" applyFill="1" applyAlignment="1" applyProtection="1">
      <alignment horizontal="center"/>
      <protection hidden="1"/>
    </xf>
    <xf numFmtId="174" fontId="40" fillId="11" borderId="0" xfId="0" applyNumberFormat="1" applyFont="1" applyFill="1" applyAlignment="1" applyProtection="1">
      <alignment horizontal="center"/>
      <protection hidden="1"/>
    </xf>
    <xf numFmtId="4" fontId="40" fillId="11" borderId="0" xfId="17" applyNumberFormat="1" applyFont="1" applyFill="1" applyBorder="1" applyAlignment="1" applyProtection="1">
      <alignment horizontal="center" vertical="center"/>
      <protection hidden="1"/>
    </xf>
    <xf numFmtId="175" fontId="40" fillId="11" borderId="0" xfId="0" applyNumberFormat="1" applyFont="1" applyFill="1" applyAlignment="1" applyProtection="1">
      <alignment horizontal="center"/>
      <protection hidden="1"/>
    </xf>
    <xf numFmtId="9" fontId="40" fillId="11" borderId="0" xfId="0" applyNumberFormat="1" applyFont="1" applyFill="1" applyAlignment="1" applyProtection="1">
      <alignment horizontal="center"/>
      <protection hidden="1"/>
    </xf>
    <xf numFmtId="9" fontId="40" fillId="11" borderId="0" xfId="17" applyFont="1" applyFill="1" applyProtection="1">
      <protection hidden="1"/>
    </xf>
    <xf numFmtId="9" fontId="40" fillId="11" borderId="0" xfId="0" applyNumberFormat="1" applyFont="1" applyFill="1" applyProtection="1">
      <protection hidden="1"/>
    </xf>
    <xf numFmtId="175" fontId="40" fillId="11" borderId="0" xfId="17" applyNumberFormat="1" applyFont="1" applyFill="1" applyBorder="1" applyAlignment="1" applyProtection="1">
      <alignment horizontal="center" vertical="center"/>
      <protection hidden="1"/>
    </xf>
    <xf numFmtId="188" fontId="40" fillId="11" borderId="0" xfId="11" applyNumberFormat="1" applyFont="1" applyFill="1" applyBorder="1" applyAlignment="1">
      <alignment horizontal="center"/>
    </xf>
    <xf numFmtId="0" fontId="40" fillId="11" borderId="0" xfId="0" applyFont="1" applyFill="1" applyBorder="1" applyProtection="1">
      <protection hidden="1"/>
    </xf>
    <xf numFmtId="0" fontId="45" fillId="11" borderId="0" xfId="0" applyFont="1" applyFill="1" applyBorder="1" applyAlignment="1">
      <alignment horizontal="center"/>
    </xf>
    <xf numFmtId="0" fontId="46" fillId="11" borderId="0" xfId="0" applyFont="1" applyFill="1" applyBorder="1" applyAlignment="1">
      <alignment horizontal="center"/>
    </xf>
    <xf numFmtId="0" fontId="40" fillId="11" borderId="0" xfId="0" applyFont="1" applyFill="1" applyBorder="1" applyAlignment="1" applyProtection="1">
      <alignment horizontal="center"/>
      <protection hidden="1"/>
    </xf>
    <xf numFmtId="0" fontId="41" fillId="11" borderId="0" xfId="0" applyFont="1" applyFill="1" applyBorder="1" applyProtection="1">
      <protection hidden="1"/>
    </xf>
    <xf numFmtId="1" fontId="40" fillId="11" borderId="0" xfId="0" applyNumberFormat="1" applyFont="1" applyFill="1" applyBorder="1" applyAlignment="1" applyProtection="1">
      <alignment horizontal="center"/>
      <protection hidden="1"/>
    </xf>
    <xf numFmtId="0" fontId="0" fillId="0" borderId="36" xfId="0" applyBorder="1" applyProtection="1">
      <protection hidden="1"/>
    </xf>
    <xf numFmtId="0" fontId="0" fillId="0" borderId="43" xfId="0" applyBorder="1" applyProtection="1">
      <protection hidden="1"/>
    </xf>
    <xf numFmtId="0" fontId="40" fillId="11" borderId="0" xfId="0" applyFont="1" applyFill="1" applyBorder="1" applyAlignment="1" applyProtection="1">
      <alignment horizontal="right"/>
      <protection hidden="1"/>
    </xf>
    <xf numFmtId="9" fontId="40" fillId="11" borderId="0" xfId="17" applyFont="1" applyFill="1" applyBorder="1" applyAlignment="1" applyProtection="1">
      <alignment horizontal="center"/>
      <protection hidden="1"/>
    </xf>
    <xf numFmtId="175" fontId="40" fillId="11" borderId="0" xfId="0" applyNumberFormat="1" applyFont="1" applyFill="1" applyBorder="1" applyAlignment="1" applyProtection="1">
      <alignment horizontal="center"/>
      <protection hidden="1"/>
    </xf>
    <xf numFmtId="3" fontId="40" fillId="11" borderId="0" xfId="0" applyNumberFormat="1" applyFont="1" applyFill="1" applyBorder="1" applyAlignment="1" applyProtection="1">
      <alignment horizontal="center"/>
      <protection hidden="1"/>
    </xf>
    <xf numFmtId="9" fontId="40" fillId="11" borderId="0" xfId="0" applyNumberFormat="1" applyFont="1" applyFill="1" applyBorder="1" applyAlignment="1" applyProtection="1">
      <alignment horizontal="center"/>
      <protection hidden="1"/>
    </xf>
    <xf numFmtId="176" fontId="40" fillId="11" borderId="0" xfId="0" applyNumberFormat="1" applyFont="1" applyFill="1" applyBorder="1" applyAlignment="1" applyProtection="1">
      <alignment horizontal="center"/>
      <protection hidden="1"/>
    </xf>
    <xf numFmtId="175" fontId="40" fillId="11" borderId="0" xfId="0" applyNumberFormat="1" applyFont="1" applyFill="1" applyBorder="1" applyProtection="1">
      <protection hidden="1"/>
    </xf>
    <xf numFmtId="0" fontId="41" fillId="11" borderId="0" xfId="0" applyFont="1" applyFill="1" applyBorder="1" applyAlignment="1" applyProtection="1">
      <alignment horizontal="right"/>
      <protection hidden="1"/>
    </xf>
    <xf numFmtId="175" fontId="41" fillId="11" borderId="0" xfId="0" applyNumberFormat="1" applyFont="1" applyFill="1" applyBorder="1" applyAlignment="1" applyProtection="1">
      <alignment horizontal="center"/>
      <protection hidden="1"/>
    </xf>
    <xf numFmtId="170" fontId="40" fillId="11" borderId="0" xfId="0" applyNumberFormat="1" applyFont="1" applyFill="1" applyBorder="1" applyAlignment="1" applyProtection="1">
      <alignment horizontal="center"/>
      <protection hidden="1"/>
    </xf>
    <xf numFmtId="168" fontId="40" fillId="11" borderId="0" xfId="0" applyNumberFormat="1" applyFont="1" applyFill="1" applyBorder="1" applyAlignment="1" applyProtection="1">
      <alignment horizontal="center"/>
      <protection hidden="1"/>
    </xf>
    <xf numFmtId="168" fontId="40" fillId="11" borderId="0" xfId="0" applyNumberFormat="1" applyFont="1" applyFill="1" applyBorder="1" applyProtection="1">
      <protection hidden="1"/>
    </xf>
    <xf numFmtId="172" fontId="40" fillId="11" borderId="0" xfId="0" applyNumberFormat="1" applyFont="1" applyFill="1" applyBorder="1" applyAlignment="1" applyProtection="1">
      <alignment horizontal="center"/>
      <protection hidden="1"/>
    </xf>
    <xf numFmtId="176" fontId="41" fillId="11" borderId="0" xfId="0" applyNumberFormat="1" applyFont="1" applyFill="1" applyBorder="1" applyAlignment="1" applyProtection="1">
      <alignment horizontal="center"/>
      <protection hidden="1"/>
    </xf>
    <xf numFmtId="169" fontId="40" fillId="11" borderId="0" xfId="0" applyNumberFormat="1" applyFont="1" applyFill="1" applyBorder="1" applyAlignment="1" applyProtection="1">
      <alignment horizontal="center"/>
      <protection hidden="1"/>
    </xf>
    <xf numFmtId="0" fontId="40" fillId="11" borderId="0" xfId="0" applyFont="1" applyFill="1" applyBorder="1" applyAlignment="1" applyProtection="1">
      <alignment horizontal="left"/>
      <protection hidden="1"/>
    </xf>
    <xf numFmtId="9" fontId="40" fillId="11" borderId="0" xfId="0" applyNumberFormat="1" applyFont="1" applyFill="1" applyBorder="1" applyProtection="1">
      <protection hidden="1"/>
    </xf>
    <xf numFmtId="9" fontId="41" fillId="11" borderId="0" xfId="11" applyNumberFormat="1" applyFont="1" applyFill="1" applyBorder="1" applyProtection="1">
      <protection hidden="1"/>
    </xf>
    <xf numFmtId="0" fontId="41" fillId="11" borderId="0" xfId="0" applyFont="1" applyFill="1" applyBorder="1" applyAlignment="1" applyProtection="1">
      <alignment horizontal="center"/>
      <protection hidden="1"/>
    </xf>
    <xf numFmtId="3" fontId="41" fillId="11" borderId="0" xfId="0" applyNumberFormat="1" applyFont="1" applyFill="1" applyBorder="1" applyAlignment="1" applyProtection="1">
      <alignment horizontal="center"/>
      <protection hidden="1"/>
    </xf>
    <xf numFmtId="3" fontId="40" fillId="11" borderId="0" xfId="0" applyNumberFormat="1" applyFont="1" applyFill="1" applyBorder="1" applyProtection="1">
      <protection hidden="1"/>
    </xf>
    <xf numFmtId="0" fontId="40" fillId="11" borderId="0" xfId="0" applyNumberFormat="1" applyFont="1" applyFill="1" applyBorder="1" applyProtection="1">
      <protection hidden="1"/>
    </xf>
    <xf numFmtId="0" fontId="40" fillId="11" borderId="0" xfId="0" applyNumberFormat="1" applyFont="1" applyFill="1" applyBorder="1" applyAlignment="1" applyProtection="1">
      <alignment horizontal="center"/>
      <protection hidden="1"/>
    </xf>
    <xf numFmtId="1" fontId="40" fillId="11" borderId="0" xfId="0" applyNumberFormat="1" applyFont="1" applyFill="1" applyBorder="1" applyProtection="1">
      <protection hidden="1"/>
    </xf>
    <xf numFmtId="165" fontId="40" fillId="11" borderId="0" xfId="11" applyNumberFormat="1" applyFont="1" applyFill="1" applyBorder="1" applyAlignment="1" applyProtection="1">
      <alignment horizontal="center"/>
      <protection hidden="1"/>
    </xf>
    <xf numFmtId="0" fontId="43" fillId="11" borderId="0" xfId="0" applyFont="1" applyFill="1" applyBorder="1" applyAlignment="1" applyProtection="1">
      <alignment horizontal="center"/>
      <protection hidden="1"/>
    </xf>
    <xf numFmtId="0" fontId="44" fillId="11" borderId="0" xfId="0" applyFont="1" applyFill="1" applyBorder="1" applyAlignment="1">
      <alignment horizontal="center" wrapText="1"/>
    </xf>
    <xf numFmtId="0" fontId="0" fillId="0" borderId="44" xfId="0" applyBorder="1" applyProtection="1">
      <protection hidden="1"/>
    </xf>
    <xf numFmtId="0" fontId="0" fillId="0" borderId="45" xfId="0" applyBorder="1" applyAlignment="1" applyProtection="1">
      <alignment horizontal="center"/>
      <protection hidden="1"/>
    </xf>
    <xf numFmtId="0" fontId="7" fillId="0" borderId="46" xfId="0" applyFont="1" applyBorder="1" applyAlignment="1">
      <alignment horizontal="center"/>
    </xf>
    <xf numFmtId="0" fontId="0" fillId="0" borderId="47" xfId="0" applyBorder="1" applyProtection="1">
      <protection hidden="1"/>
    </xf>
    <xf numFmtId="0" fontId="7" fillId="0" borderId="48" xfId="0" applyFont="1" applyBorder="1" applyAlignment="1">
      <alignment horizontal="center"/>
    </xf>
    <xf numFmtId="0" fontId="36" fillId="0" borderId="49" xfId="0" applyFont="1" applyBorder="1" applyAlignment="1">
      <alignment horizontal="center"/>
    </xf>
    <xf numFmtId="0" fontId="0" fillId="0" borderId="50" xfId="0" applyBorder="1" applyProtection="1">
      <protection hidden="1"/>
    </xf>
    <xf numFmtId="0" fontId="0" fillId="0" borderId="51" xfId="0" applyBorder="1" applyAlignment="1" applyProtection="1">
      <alignment horizontal="center"/>
      <protection hidden="1"/>
    </xf>
    <xf numFmtId="0" fontId="7" fillId="0" borderId="52" xfId="0" applyFont="1" applyBorder="1" applyAlignment="1">
      <alignment horizontal="center"/>
    </xf>
    <xf numFmtId="0" fontId="0" fillId="0" borderId="53" xfId="0" applyBorder="1" applyProtection="1">
      <protection hidden="1"/>
    </xf>
    <xf numFmtId="0" fontId="7" fillId="0" borderId="54" xfId="0" applyFont="1" applyBorder="1" applyAlignment="1">
      <alignment horizontal="center"/>
    </xf>
    <xf numFmtId="0" fontId="32" fillId="8" borderId="14" xfId="0" applyFont="1" applyFill="1" applyBorder="1" applyProtection="1">
      <protection hidden="1"/>
    </xf>
    <xf numFmtId="0" fontId="32" fillId="8" borderId="0" xfId="0" applyFont="1" applyFill="1" applyBorder="1" applyProtection="1">
      <protection hidden="1"/>
    </xf>
    <xf numFmtId="0" fontId="32" fillId="8" borderId="4" xfId="0" applyFont="1" applyFill="1" applyBorder="1" applyProtection="1">
      <protection hidden="1"/>
    </xf>
    <xf numFmtId="0" fontId="0" fillId="3" borderId="43" xfId="0" applyFill="1" applyBorder="1" applyProtection="1">
      <protection hidden="1"/>
    </xf>
    <xf numFmtId="0" fontId="0" fillId="3" borderId="49" xfId="0" applyFill="1" applyBorder="1" applyAlignment="1" applyProtection="1">
      <alignment horizontal="center"/>
      <protection hidden="1"/>
    </xf>
    <xf numFmtId="0" fontId="7" fillId="0" borderId="49" xfId="0" applyFont="1" applyBorder="1" applyAlignment="1">
      <alignment horizontal="center"/>
    </xf>
    <xf numFmtId="0" fontId="0" fillId="0" borderId="38" xfId="0" applyBorder="1" applyProtection="1">
      <protection hidden="1"/>
    </xf>
    <xf numFmtId="0" fontId="0" fillId="0" borderId="39" xfId="0" applyBorder="1" applyProtection="1">
      <protection hidden="1"/>
    </xf>
    <xf numFmtId="9" fontId="47" fillId="11" borderId="42" xfId="0" applyNumberFormat="1" applyFont="1" applyFill="1" applyBorder="1" applyAlignment="1">
      <alignment horizontal="center"/>
    </xf>
    <xf numFmtId="9" fontId="47" fillId="11" borderId="36" xfId="0" applyNumberFormat="1" applyFont="1" applyFill="1" applyBorder="1" applyAlignment="1">
      <alignment horizontal="center"/>
    </xf>
    <xf numFmtId="0" fontId="48" fillId="4" borderId="40" xfId="0" applyFont="1" applyFill="1" applyBorder="1" applyProtection="1">
      <protection hidden="1"/>
    </xf>
    <xf numFmtId="3" fontId="48" fillId="4" borderId="41" xfId="0" applyNumberFormat="1" applyFont="1" applyFill="1" applyBorder="1" applyAlignment="1" applyProtection="1">
      <alignment horizontal="center"/>
      <protection hidden="1"/>
    </xf>
    <xf numFmtId="0" fontId="48" fillId="4" borderId="35" xfId="0" applyFont="1" applyFill="1" applyBorder="1" applyProtection="1">
      <protection hidden="1"/>
    </xf>
    <xf numFmtId="3" fontId="48" fillId="4" borderId="0" xfId="0" applyNumberFormat="1" applyFont="1" applyFill="1" applyBorder="1" applyAlignment="1" applyProtection="1">
      <alignment horizontal="center"/>
      <protection hidden="1"/>
    </xf>
    <xf numFmtId="0" fontId="48" fillId="4" borderId="37" xfId="0" applyFont="1" applyFill="1" applyBorder="1" applyProtection="1">
      <protection hidden="1"/>
    </xf>
    <xf numFmtId="3" fontId="48" fillId="4" borderId="38" xfId="0" applyNumberFormat="1" applyFont="1" applyFill="1" applyBorder="1" applyAlignment="1" applyProtection="1">
      <alignment horizontal="center"/>
      <protection hidden="1"/>
    </xf>
    <xf numFmtId="3" fontId="48" fillId="4" borderId="39" xfId="0" applyNumberFormat="1" applyFont="1" applyFill="1" applyBorder="1" applyAlignment="1" applyProtection="1">
      <alignment horizontal="center"/>
      <protection hidden="1"/>
    </xf>
    <xf numFmtId="0" fontId="0" fillId="4" borderId="40" xfId="0" applyFill="1" applyBorder="1" applyAlignment="1" applyProtection="1">
      <alignment horizontal="right"/>
      <protection hidden="1"/>
    </xf>
    <xf numFmtId="175" fontId="49" fillId="4" borderId="42" xfId="17" applyNumberFormat="1" applyFont="1" applyFill="1" applyBorder="1" applyAlignment="1" applyProtection="1">
      <alignment horizontal="center" vertical="center"/>
      <protection hidden="1"/>
    </xf>
    <xf numFmtId="0" fontId="0" fillId="4" borderId="35" xfId="0" applyFill="1" applyBorder="1" applyAlignment="1" applyProtection="1">
      <alignment horizontal="right"/>
      <protection hidden="1"/>
    </xf>
    <xf numFmtId="175" fontId="49" fillId="4" borderId="36" xfId="17" applyNumberFormat="1" applyFont="1" applyFill="1" applyBorder="1" applyAlignment="1" applyProtection="1">
      <alignment horizontal="center" vertical="center"/>
      <protection hidden="1"/>
    </xf>
    <xf numFmtId="0" fontId="0" fillId="4" borderId="37" xfId="0" applyFill="1" applyBorder="1" applyAlignment="1" applyProtection="1">
      <alignment horizontal="right"/>
      <protection hidden="1"/>
    </xf>
    <xf numFmtId="175" fontId="49" fillId="4" borderId="39" xfId="17" applyNumberFormat="1" applyFont="1" applyFill="1" applyBorder="1" applyAlignment="1" applyProtection="1">
      <alignment horizontal="center" vertical="center"/>
      <protection hidden="1"/>
    </xf>
    <xf numFmtId="0" fontId="0" fillId="4" borderId="56" xfId="0" applyFill="1" applyBorder="1" applyAlignment="1" applyProtection="1">
      <alignment horizontal="right"/>
      <protection hidden="1"/>
    </xf>
    <xf numFmtId="176" fontId="48" fillId="4" borderId="57" xfId="0" applyNumberFormat="1" applyFont="1" applyFill="1" applyBorder="1" applyAlignment="1" applyProtection="1">
      <alignment horizontal="center"/>
      <protection hidden="1"/>
    </xf>
    <xf numFmtId="176" fontId="47" fillId="9" borderId="39" xfId="0" applyNumberFormat="1" applyFont="1" applyFill="1" applyBorder="1" applyAlignment="1">
      <alignment horizontal="center"/>
    </xf>
    <xf numFmtId="0" fontId="33" fillId="0" borderId="40" xfId="15" applyFont="1" applyFill="1" applyBorder="1" applyAlignment="1" applyProtection="1">
      <alignment horizontal="right" vertical="center"/>
      <protection hidden="1"/>
    </xf>
    <xf numFmtId="0" fontId="33" fillId="0" borderId="35" xfId="15" applyFont="1" applyFill="1" applyBorder="1" applyAlignment="1" applyProtection="1">
      <alignment horizontal="right" vertical="center"/>
      <protection hidden="1"/>
    </xf>
    <xf numFmtId="0" fontId="4" fillId="13" borderId="0" xfId="0" applyFont="1" applyFill="1" applyBorder="1" applyAlignment="1" applyProtection="1">
      <alignment horizontal="center"/>
      <protection hidden="1"/>
    </xf>
    <xf numFmtId="0" fontId="8" fillId="13" borderId="0" xfId="0" applyFont="1" applyFill="1" applyBorder="1" applyAlignment="1" applyProtection="1">
      <alignment horizontal="center"/>
      <protection hidden="1"/>
    </xf>
    <xf numFmtId="9" fontId="7" fillId="13" borderId="0" xfId="17" applyNumberFormat="1" applyFont="1" applyFill="1" applyBorder="1" applyAlignment="1" applyProtection="1">
      <alignment horizontal="center"/>
      <protection hidden="1"/>
    </xf>
    <xf numFmtId="0" fontId="4" fillId="13" borderId="0" xfId="0" applyFont="1" applyFill="1" applyBorder="1" applyProtection="1">
      <protection hidden="1"/>
    </xf>
    <xf numFmtId="0" fontId="7" fillId="13" borderId="0" xfId="0" applyFont="1" applyFill="1" applyBorder="1" applyAlignment="1" applyProtection="1">
      <alignment horizontal="center"/>
      <protection hidden="1"/>
    </xf>
    <xf numFmtId="171" fontId="7" fillId="13" borderId="0" xfId="0" applyNumberFormat="1" applyFont="1" applyFill="1" applyBorder="1" applyAlignment="1" applyProtection="1">
      <alignment horizontal="center"/>
      <protection hidden="1"/>
    </xf>
    <xf numFmtId="168" fontId="7" fillId="13" borderId="0" xfId="0" applyNumberFormat="1" applyFont="1" applyFill="1" applyBorder="1" applyAlignment="1" applyProtection="1">
      <alignment horizontal="center"/>
      <protection hidden="1"/>
    </xf>
    <xf numFmtId="3" fontId="7" fillId="13" borderId="0" xfId="0" applyNumberFormat="1" applyFont="1" applyFill="1" applyBorder="1" applyAlignment="1" applyProtection="1">
      <alignment horizontal="center"/>
      <protection locked="0"/>
    </xf>
    <xf numFmtId="169" fontId="7" fillId="13" borderId="0" xfId="0" applyNumberFormat="1" applyFont="1" applyFill="1" applyBorder="1" applyAlignment="1" applyProtection="1">
      <alignment horizontal="center"/>
      <protection locked="0"/>
    </xf>
    <xf numFmtId="9" fontId="7" fillId="13" borderId="0" xfId="0" applyNumberFormat="1" applyFont="1" applyFill="1" applyBorder="1" applyAlignment="1" applyProtection="1">
      <alignment horizontal="center"/>
      <protection hidden="1"/>
    </xf>
    <xf numFmtId="3" fontId="7" fillId="13" borderId="0" xfId="0" applyNumberFormat="1" applyFont="1" applyFill="1" applyBorder="1" applyAlignment="1" applyProtection="1">
      <alignment horizontal="center"/>
      <protection hidden="1"/>
    </xf>
    <xf numFmtId="169" fontId="7" fillId="13" borderId="0" xfId="0" applyNumberFormat="1" applyFont="1" applyFill="1" applyBorder="1" applyAlignment="1" applyProtection="1">
      <alignment horizontal="center"/>
      <protection hidden="1"/>
    </xf>
    <xf numFmtId="9" fontId="7" fillId="13" borderId="0" xfId="0" applyNumberFormat="1" applyFont="1" applyFill="1" applyBorder="1" applyProtection="1">
      <protection hidden="1"/>
    </xf>
    <xf numFmtId="1" fontId="7" fillId="13" borderId="0" xfId="0" applyNumberFormat="1" applyFont="1" applyFill="1" applyBorder="1" applyAlignment="1" applyProtection="1">
      <alignment horizontal="center"/>
      <protection hidden="1"/>
    </xf>
    <xf numFmtId="171" fontId="24" fillId="13" borderId="0" xfId="0" applyNumberFormat="1" applyFont="1" applyFill="1" applyBorder="1" applyAlignment="1" applyProtection="1">
      <alignment horizontal="center" vertical="center"/>
      <protection hidden="1"/>
    </xf>
    <xf numFmtId="168" fontId="24" fillId="13" borderId="0" xfId="0" applyNumberFormat="1" applyFont="1" applyFill="1" applyBorder="1" applyAlignment="1" applyProtection="1">
      <alignment horizontal="center" vertical="center"/>
      <protection hidden="1"/>
    </xf>
    <xf numFmtId="0" fontId="24" fillId="13" borderId="0" xfId="0" applyFont="1" applyFill="1" applyAlignment="1" applyProtection="1">
      <alignment vertical="center"/>
      <protection hidden="1"/>
    </xf>
    <xf numFmtId="177" fontId="7" fillId="13" borderId="0" xfId="0" applyNumberFormat="1" applyFont="1" applyFill="1" applyProtection="1">
      <protection hidden="1"/>
    </xf>
    <xf numFmtId="170" fontId="7" fillId="13" borderId="0" xfId="0" applyNumberFormat="1" applyFont="1" applyFill="1" applyBorder="1" applyAlignment="1" applyProtection="1">
      <alignment horizontal="center"/>
      <protection hidden="1"/>
    </xf>
    <xf numFmtId="9" fontId="7" fillId="13" borderId="0" xfId="17" applyFont="1" applyFill="1" applyBorder="1" applyAlignment="1" applyProtection="1">
      <alignment horizontal="center"/>
      <protection hidden="1"/>
    </xf>
    <xf numFmtId="0" fontId="0" fillId="11" borderId="58" xfId="0" applyFill="1" applyBorder="1" applyProtection="1">
      <protection hidden="1"/>
    </xf>
    <xf numFmtId="0" fontId="0" fillId="11" borderId="59" xfId="0" applyFill="1" applyBorder="1" applyProtection="1">
      <protection hidden="1"/>
    </xf>
    <xf numFmtId="0" fontId="0" fillId="11" borderId="59" xfId="0" applyFill="1" applyBorder="1" applyAlignment="1" applyProtection="1">
      <alignment horizontal="center"/>
      <protection hidden="1"/>
    </xf>
    <xf numFmtId="0" fontId="0" fillId="11" borderId="60" xfId="0" applyFill="1" applyBorder="1" applyProtection="1">
      <protection hidden="1"/>
    </xf>
    <xf numFmtId="0" fontId="0" fillId="11" borderId="61" xfId="0" applyFill="1" applyBorder="1" applyProtection="1">
      <protection hidden="1"/>
    </xf>
    <xf numFmtId="0" fontId="0" fillId="11" borderId="62" xfId="0" applyFill="1" applyBorder="1" applyProtection="1">
      <protection hidden="1"/>
    </xf>
    <xf numFmtId="0" fontId="37" fillId="11" borderId="61" xfId="0" applyFont="1" applyFill="1" applyBorder="1" applyProtection="1">
      <protection hidden="1"/>
    </xf>
    <xf numFmtId="0" fontId="37" fillId="11" borderId="62" xfId="0" applyFont="1" applyFill="1" applyBorder="1" applyProtection="1">
      <protection hidden="1"/>
    </xf>
    <xf numFmtId="0" fontId="38" fillId="11" borderId="62" xfId="0" applyFont="1" applyFill="1" applyBorder="1" applyAlignment="1" applyProtection="1">
      <alignment horizontal="center"/>
      <protection hidden="1"/>
    </xf>
    <xf numFmtId="171" fontId="37" fillId="11" borderId="62" xfId="0" applyNumberFormat="1" applyFont="1" applyFill="1" applyBorder="1" applyAlignment="1" applyProtection="1">
      <alignment horizontal="center"/>
      <protection hidden="1"/>
    </xf>
    <xf numFmtId="9" fontId="37" fillId="11" borderId="62" xfId="17" applyFont="1" applyFill="1" applyBorder="1" applyAlignment="1" applyProtection="1">
      <alignment horizontal="center"/>
      <protection hidden="1"/>
    </xf>
    <xf numFmtId="9" fontId="37" fillId="11" borderId="62" xfId="17" applyNumberFormat="1" applyFont="1" applyFill="1" applyBorder="1" applyAlignment="1" applyProtection="1">
      <alignment horizontal="center"/>
      <protection hidden="1"/>
    </xf>
    <xf numFmtId="0" fontId="24" fillId="11" borderId="61" xfId="0" applyFont="1" applyFill="1" applyBorder="1" applyAlignment="1" applyProtection="1">
      <alignment vertical="center"/>
      <protection hidden="1"/>
    </xf>
    <xf numFmtId="9" fontId="39" fillId="11" borderId="62" xfId="17" applyNumberFormat="1" applyFont="1" applyFill="1" applyBorder="1" applyAlignment="1" applyProtection="1">
      <alignment horizontal="center" vertical="center"/>
      <protection hidden="1"/>
    </xf>
    <xf numFmtId="9" fontId="34" fillId="11" borderId="62" xfId="17" applyNumberFormat="1" applyFont="1" applyFill="1" applyBorder="1" applyAlignment="1" applyProtection="1">
      <alignment horizontal="center"/>
      <protection hidden="1"/>
    </xf>
    <xf numFmtId="0" fontId="37" fillId="11" borderId="63" xfId="0" applyFont="1" applyFill="1" applyBorder="1" applyProtection="1">
      <protection hidden="1"/>
    </xf>
    <xf numFmtId="9" fontId="37" fillId="11" borderId="65" xfId="17" applyNumberFormat="1" applyFont="1" applyFill="1" applyBorder="1" applyAlignment="1" applyProtection="1">
      <alignment horizontal="center"/>
      <protection hidden="1"/>
    </xf>
    <xf numFmtId="0" fontId="24" fillId="0" borderId="0" xfId="0" applyFont="1" applyFill="1"/>
    <xf numFmtId="0" fontId="24" fillId="0" borderId="0" xfId="0" applyFont="1" applyFill="1" applyAlignment="1">
      <alignment horizontal="center" vertical="center"/>
    </xf>
    <xf numFmtId="0" fontId="24" fillId="0" borderId="0" xfId="0" applyFont="1" applyFill="1" applyAlignment="1">
      <alignment vertical="center"/>
    </xf>
    <xf numFmtId="0" fontId="11" fillId="0" borderId="0" xfId="0" applyFont="1" applyFill="1" applyAlignment="1">
      <alignment horizontal="center" vertical="center"/>
    </xf>
    <xf numFmtId="0" fontId="2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vertical="center"/>
      <protection hidden="1"/>
    </xf>
    <xf numFmtId="0" fontId="24" fillId="0" borderId="58" xfId="0" applyFont="1" applyFill="1" applyBorder="1"/>
    <xf numFmtId="0" fontId="24" fillId="0" borderId="59" xfId="0" applyFont="1" applyFill="1" applyBorder="1"/>
    <xf numFmtId="0" fontId="24" fillId="0" borderId="60" xfId="0" applyFont="1" applyFill="1" applyBorder="1"/>
    <xf numFmtId="0" fontId="24" fillId="0" borderId="61" xfId="0" applyFont="1" applyFill="1" applyBorder="1" applyAlignment="1">
      <alignment horizontal="center" vertical="center"/>
    </xf>
    <xf numFmtId="0" fontId="24" fillId="0" borderId="0" xfId="0" applyFont="1" applyFill="1" applyBorder="1" applyAlignment="1">
      <alignment horizontal="center" vertical="center"/>
    </xf>
    <xf numFmtId="0" fontId="24" fillId="0" borderId="0" xfId="0" applyFont="1" applyFill="1" applyBorder="1" applyAlignment="1">
      <alignment vertical="center"/>
    </xf>
    <xf numFmtId="0" fontId="24" fillId="0" borderId="62" xfId="0" applyFont="1" applyFill="1" applyBorder="1" applyAlignment="1">
      <alignment vertical="center"/>
    </xf>
    <xf numFmtId="0" fontId="24" fillId="0" borderId="0" xfId="0" applyFont="1" applyFill="1" applyBorder="1"/>
    <xf numFmtId="0" fontId="24" fillId="0" borderId="62" xfId="0" applyFont="1" applyFill="1" applyBorder="1"/>
    <xf numFmtId="0" fontId="24" fillId="0" borderId="63" xfId="0" applyFont="1" applyFill="1" applyBorder="1" applyAlignment="1">
      <alignment horizontal="right"/>
    </xf>
    <xf numFmtId="0" fontId="24" fillId="0" borderId="64" xfId="0" applyFont="1" applyFill="1" applyBorder="1"/>
    <xf numFmtId="0" fontId="24" fillId="0" borderId="64" xfId="0" applyFont="1" applyFill="1" applyBorder="1" applyAlignment="1">
      <alignment horizontal="center"/>
    </xf>
    <xf numFmtId="9" fontId="24" fillId="0" borderId="64" xfId="17" applyFont="1" applyFill="1" applyBorder="1"/>
    <xf numFmtId="0" fontId="24" fillId="0" borderId="65" xfId="0" applyFont="1" applyFill="1" applyBorder="1"/>
    <xf numFmtId="0" fontId="50" fillId="13" borderId="66" xfId="0" applyFont="1" applyFill="1" applyBorder="1"/>
    <xf numFmtId="0" fontId="39" fillId="13" borderId="67" xfId="0" applyFont="1" applyFill="1" applyBorder="1"/>
    <xf numFmtId="0" fontId="39" fillId="13" borderId="68" xfId="0" applyFont="1" applyFill="1" applyBorder="1"/>
    <xf numFmtId="0" fontId="24" fillId="0" borderId="69" xfId="0" applyFont="1" applyFill="1" applyBorder="1" applyAlignment="1">
      <alignment horizontal="center" vertical="center"/>
    </xf>
    <xf numFmtId="0" fontId="24" fillId="0" borderId="61" xfId="0" applyFont="1" applyFill="1" applyBorder="1"/>
    <xf numFmtId="0" fontId="24" fillId="0" borderId="63" xfId="0" applyFont="1" applyFill="1" applyBorder="1"/>
    <xf numFmtId="0" fontId="24" fillId="13" borderId="67" xfId="0" applyFont="1" applyFill="1" applyBorder="1"/>
    <xf numFmtId="0" fontId="24" fillId="13" borderId="68" xfId="0" applyFont="1" applyFill="1" applyBorder="1"/>
    <xf numFmtId="0" fontId="24" fillId="0" borderId="58" xfId="0" applyFont="1" applyFill="1" applyBorder="1" applyAlignment="1">
      <alignment horizontal="center" vertical="center"/>
    </xf>
    <xf numFmtId="0" fontId="24" fillId="0" borderId="59" xfId="0" applyFont="1" applyFill="1" applyBorder="1" applyAlignment="1">
      <alignment horizontal="center" vertical="center"/>
    </xf>
    <xf numFmtId="0" fontId="24" fillId="0" borderId="59" xfId="0" applyFont="1" applyFill="1" applyBorder="1" applyAlignment="1">
      <alignment vertical="center"/>
    </xf>
    <xf numFmtId="0" fontId="24" fillId="0" borderId="60" xfId="0" applyFont="1" applyFill="1" applyBorder="1" applyAlignment="1">
      <alignment vertical="center"/>
    </xf>
    <xf numFmtId="0" fontId="24" fillId="0" borderId="62" xfId="0" applyFont="1" applyFill="1" applyBorder="1" applyAlignment="1">
      <alignment horizontal="center" vertical="center"/>
    </xf>
    <xf numFmtId="0" fontId="11" fillId="0" borderId="63" xfId="0" applyFont="1" applyFill="1" applyBorder="1" applyAlignment="1">
      <alignment horizontal="center" vertical="center"/>
    </xf>
    <xf numFmtId="0" fontId="11" fillId="0" borderId="64" xfId="0" applyFont="1" applyFill="1" applyBorder="1" applyAlignment="1">
      <alignment horizontal="center" vertical="center"/>
    </xf>
    <xf numFmtId="0" fontId="11" fillId="0" borderId="65" xfId="0" applyFont="1" applyFill="1" applyBorder="1" applyAlignment="1">
      <alignment horizontal="center" vertical="center"/>
    </xf>
    <xf numFmtId="0" fontId="39" fillId="13" borderId="67" xfId="0" applyFont="1" applyFill="1" applyBorder="1" applyAlignment="1">
      <alignment horizontal="center" vertical="center"/>
    </xf>
    <xf numFmtId="0" fontId="11" fillId="0" borderId="63" xfId="0" applyFont="1" applyFill="1" applyBorder="1" applyAlignment="1">
      <alignment horizontal="center"/>
    </xf>
    <xf numFmtId="0" fontId="11" fillId="0" borderId="64" xfId="0" applyFont="1" applyFill="1" applyBorder="1" applyAlignment="1">
      <alignment horizontal="center"/>
    </xf>
    <xf numFmtId="0" fontId="24" fillId="0" borderId="61" xfId="0" applyFont="1" applyFill="1" applyBorder="1" applyAlignment="1">
      <alignment horizontal="right"/>
    </xf>
    <xf numFmtId="184" fontId="24" fillId="0" borderId="0" xfId="0" applyNumberFormat="1" applyFont="1" applyFill="1" applyBorder="1" applyAlignment="1" applyProtection="1">
      <alignment horizontal="left"/>
      <protection hidden="1"/>
    </xf>
    <xf numFmtId="0" fontId="24" fillId="0" borderId="0" xfId="0" applyFont="1" applyFill="1" applyBorder="1" applyAlignment="1" applyProtection="1">
      <alignment horizontal="right"/>
      <protection hidden="1"/>
    </xf>
    <xf numFmtId="184" fontId="24" fillId="0" borderId="0" xfId="0" applyNumberFormat="1" applyFont="1" applyFill="1" applyBorder="1" applyAlignment="1" applyProtection="1">
      <alignment horizontal="center"/>
      <protection hidden="1"/>
    </xf>
    <xf numFmtId="0" fontId="24" fillId="0" borderId="0" xfId="0" applyFont="1" applyFill="1" applyBorder="1" applyAlignment="1">
      <alignment horizontal="right"/>
    </xf>
    <xf numFmtId="0" fontId="24" fillId="0" borderId="61" xfId="0" applyFont="1" applyFill="1" applyBorder="1" applyAlignment="1">
      <alignment horizontal="right" vertical="center"/>
    </xf>
    <xf numFmtId="184" fontId="24" fillId="0" borderId="0" xfId="0" applyNumberFormat="1" applyFont="1" applyFill="1" applyBorder="1" applyAlignment="1" applyProtection="1">
      <alignment horizontal="left" vertical="center"/>
      <protection hidden="1"/>
    </xf>
    <xf numFmtId="184" fontId="24" fillId="0" borderId="0" xfId="0" applyNumberFormat="1" applyFont="1" applyFill="1" applyBorder="1" applyAlignment="1" applyProtection="1">
      <alignment horizontal="center" vertical="center"/>
      <protection hidden="1"/>
    </xf>
    <xf numFmtId="0" fontId="24" fillId="0" borderId="0" xfId="0" applyFont="1" applyFill="1" applyBorder="1" applyAlignment="1">
      <alignment horizontal="right" vertical="center"/>
    </xf>
    <xf numFmtId="0" fontId="24" fillId="0" borderId="64" xfId="0" applyFont="1" applyFill="1" applyBorder="1" applyAlignment="1">
      <alignment horizontal="right"/>
    </xf>
    <xf numFmtId="1" fontId="24" fillId="0" borderId="0" xfId="0" applyNumberFormat="1" applyFont="1" applyFill="1" applyBorder="1" applyAlignment="1">
      <alignment horizontal="center"/>
    </xf>
    <xf numFmtId="0" fontId="24" fillId="0" borderId="0" xfId="0" applyFont="1" applyFill="1" applyBorder="1" applyAlignment="1">
      <alignment horizontal="center"/>
    </xf>
    <xf numFmtId="0" fontId="24" fillId="17" borderId="0" xfId="0" applyFont="1" applyFill="1" applyBorder="1"/>
    <xf numFmtId="0" fontId="11" fillId="0" borderId="0" xfId="0" applyFont="1" applyFill="1" applyBorder="1" applyAlignment="1">
      <alignment horizontal="center"/>
    </xf>
    <xf numFmtId="1" fontId="24" fillId="0" borderId="64" xfId="0" applyNumberFormat="1" applyFont="1" applyFill="1" applyBorder="1" applyAlignment="1">
      <alignment horizontal="center"/>
    </xf>
    <xf numFmtId="0" fontId="24" fillId="0" borderId="62" xfId="0" applyFont="1" applyFill="1" applyBorder="1" applyAlignment="1">
      <alignment horizontal="center"/>
    </xf>
    <xf numFmtId="0" fontId="24" fillId="0" borderId="58" xfId="0" applyFont="1" applyFill="1" applyBorder="1" applyAlignment="1">
      <alignment horizontal="right"/>
    </xf>
    <xf numFmtId="1" fontId="24" fillId="0" borderId="59" xfId="0" applyNumberFormat="1" applyFont="1" applyFill="1" applyBorder="1" applyAlignment="1">
      <alignment horizontal="center"/>
    </xf>
    <xf numFmtId="0" fontId="24" fillId="0" borderId="0" xfId="0" applyFont="1" applyFill="1" applyAlignment="1">
      <alignment horizontal="right"/>
    </xf>
    <xf numFmtId="1" fontId="24" fillId="0" borderId="0" xfId="0" applyNumberFormat="1" applyFont="1" applyFill="1"/>
    <xf numFmtId="0" fontId="54" fillId="0" borderId="0" xfId="0" applyFont="1" applyFill="1" applyBorder="1" applyAlignment="1">
      <alignment vertical="center"/>
    </xf>
    <xf numFmtId="0" fontId="55" fillId="0" borderId="0" xfId="0" applyFont="1" applyFill="1" applyBorder="1" applyAlignment="1">
      <alignment vertical="center"/>
    </xf>
    <xf numFmtId="0" fontId="54" fillId="0" borderId="61" xfId="0" applyFont="1" applyFill="1" applyBorder="1" applyAlignment="1">
      <alignment horizontal="center" vertical="center"/>
    </xf>
    <xf numFmtId="0" fontId="54" fillId="0" borderId="0" xfId="0" applyFont="1" applyFill="1" applyBorder="1" applyAlignment="1">
      <alignment horizontal="center" vertical="center"/>
    </xf>
    <xf numFmtId="0" fontId="0" fillId="4" borderId="11" xfId="0" applyFill="1" applyBorder="1" applyProtection="1">
      <protection hidden="1"/>
    </xf>
    <xf numFmtId="0" fontId="0" fillId="4" borderId="12" xfId="0" applyFill="1" applyBorder="1" applyAlignment="1" applyProtection="1">
      <alignment horizontal="center"/>
      <protection hidden="1"/>
    </xf>
    <xf numFmtId="0" fontId="0" fillId="4" borderId="13" xfId="0" applyFill="1" applyBorder="1" applyAlignment="1" applyProtection="1">
      <alignment horizontal="center"/>
      <protection hidden="1"/>
    </xf>
    <xf numFmtId="0" fontId="0" fillId="4" borderId="16" xfId="0" applyFill="1" applyBorder="1" applyProtection="1">
      <protection hidden="1"/>
    </xf>
    <xf numFmtId="176" fontId="7" fillId="4" borderId="15" xfId="0" applyNumberFormat="1" applyFont="1" applyFill="1" applyBorder="1" applyAlignment="1" applyProtection="1">
      <alignment horizontal="center"/>
      <protection hidden="1"/>
    </xf>
    <xf numFmtId="169" fontId="0" fillId="4" borderId="17" xfId="0" applyNumberFormat="1" applyFill="1" applyBorder="1" applyAlignment="1" applyProtection="1">
      <alignment horizontal="center"/>
      <protection hidden="1"/>
    </xf>
    <xf numFmtId="0" fontId="7" fillId="4" borderId="12" xfId="0" applyFont="1" applyFill="1" applyBorder="1" applyAlignment="1" applyProtection="1">
      <alignment horizontal="center"/>
      <protection hidden="1"/>
    </xf>
    <xf numFmtId="0" fontId="57" fillId="11" borderId="0" xfId="0" applyFont="1" applyFill="1" applyBorder="1" applyProtection="1">
      <protection hidden="1"/>
    </xf>
    <xf numFmtId="0" fontId="58" fillId="11" borderId="0" xfId="0" applyFont="1" applyFill="1" applyBorder="1" applyProtection="1">
      <protection hidden="1"/>
    </xf>
    <xf numFmtId="0" fontId="58" fillId="11" borderId="0" xfId="0" applyFont="1" applyFill="1" applyBorder="1" applyAlignment="1" applyProtection="1">
      <alignment horizontal="left"/>
      <protection hidden="1"/>
    </xf>
    <xf numFmtId="1" fontId="58" fillId="11" borderId="0" xfId="0" applyNumberFormat="1" applyFont="1" applyFill="1" applyBorder="1" applyAlignment="1" applyProtection="1">
      <alignment horizontal="left"/>
      <protection hidden="1"/>
    </xf>
    <xf numFmtId="0" fontId="58" fillId="11" borderId="0" xfId="0" applyFont="1" applyFill="1" applyBorder="1" applyAlignment="1" applyProtection="1">
      <alignment horizontal="center"/>
      <protection hidden="1"/>
    </xf>
    <xf numFmtId="0" fontId="59" fillId="11" borderId="0" xfId="0" applyFont="1" applyFill="1" applyBorder="1" applyAlignment="1">
      <alignment horizontal="center" wrapText="1"/>
    </xf>
    <xf numFmtId="0" fontId="60" fillId="11" borderId="0" xfId="0" applyFont="1" applyFill="1" applyBorder="1" applyProtection="1">
      <protection hidden="1"/>
    </xf>
    <xf numFmtId="1" fontId="58" fillId="11" borderId="0" xfId="0" applyNumberFormat="1" applyFont="1" applyFill="1" applyBorder="1" applyAlignment="1" applyProtection="1">
      <alignment horizontal="center"/>
      <protection hidden="1"/>
    </xf>
    <xf numFmtId="185" fontId="58" fillId="11" borderId="0" xfId="11" applyNumberFormat="1" applyFont="1" applyFill="1" applyBorder="1" applyAlignment="1" applyProtection="1">
      <alignment horizontal="center"/>
      <protection hidden="1"/>
    </xf>
    <xf numFmtId="185" fontId="58" fillId="11" borderId="0" xfId="0" applyNumberFormat="1" applyFont="1" applyFill="1" applyBorder="1" applyAlignment="1" applyProtection="1">
      <alignment horizontal="center"/>
      <protection hidden="1"/>
    </xf>
    <xf numFmtId="3" fontId="58" fillId="11" borderId="0" xfId="0" applyNumberFormat="1" applyFont="1" applyFill="1" applyBorder="1" applyAlignment="1" applyProtection="1">
      <alignment horizontal="center"/>
      <protection hidden="1"/>
    </xf>
    <xf numFmtId="0" fontId="61" fillId="11" borderId="0" xfId="0" applyFont="1" applyFill="1" applyBorder="1" applyProtection="1">
      <protection hidden="1"/>
    </xf>
    <xf numFmtId="0" fontId="61" fillId="11" borderId="0" xfId="0" applyFont="1" applyFill="1" applyBorder="1" applyAlignment="1" applyProtection="1">
      <alignment horizontal="center"/>
      <protection hidden="1"/>
    </xf>
    <xf numFmtId="1" fontId="61" fillId="11" borderId="0" xfId="0" applyNumberFormat="1" applyFont="1" applyFill="1" applyBorder="1" applyAlignment="1" applyProtection="1">
      <alignment horizontal="center"/>
      <protection hidden="1"/>
    </xf>
    <xf numFmtId="183" fontId="58" fillId="11" borderId="0" xfId="0" applyNumberFormat="1" applyFont="1" applyFill="1" applyBorder="1" applyAlignment="1" applyProtection="1">
      <alignment horizontal="center"/>
      <protection hidden="1"/>
    </xf>
    <xf numFmtId="186" fontId="58" fillId="11" borderId="0" xfId="0" applyNumberFormat="1" applyFont="1" applyFill="1" applyBorder="1" applyAlignment="1" applyProtection="1">
      <alignment horizontal="center"/>
      <protection hidden="1"/>
    </xf>
    <xf numFmtId="0" fontId="58" fillId="11" borderId="0" xfId="0" applyNumberFormat="1" applyFont="1" applyFill="1" applyBorder="1" applyAlignment="1" applyProtection="1">
      <alignment horizontal="center"/>
      <protection hidden="1"/>
    </xf>
    <xf numFmtId="1" fontId="58" fillId="11" borderId="0" xfId="0" applyNumberFormat="1" applyFont="1" applyFill="1" applyBorder="1" applyProtection="1">
      <protection hidden="1"/>
    </xf>
    <xf numFmtId="9" fontId="7" fillId="11" borderId="0" xfId="17" applyFont="1" applyFill="1" applyBorder="1" applyAlignment="1" applyProtection="1">
      <alignment horizontal="center"/>
      <protection hidden="1"/>
    </xf>
    <xf numFmtId="0" fontId="62" fillId="0" borderId="1" xfId="0" applyFont="1" applyFill="1" applyBorder="1" applyAlignment="1">
      <alignment horizontal="center"/>
    </xf>
    <xf numFmtId="0" fontId="0" fillId="0" borderId="1" xfId="0" applyBorder="1" applyAlignment="1">
      <alignment horizontal="center"/>
    </xf>
    <xf numFmtId="0" fontId="24" fillId="0" borderId="1" xfId="0" applyFont="1" applyFill="1" applyBorder="1"/>
    <xf numFmtId="0" fontId="0" fillId="0" borderId="1" xfId="0" applyBorder="1"/>
    <xf numFmtId="0" fontId="7" fillId="0" borderId="1" xfId="0" applyFont="1" applyBorder="1"/>
    <xf numFmtId="0" fontId="7" fillId="0" borderId="1" xfId="0" applyFont="1" applyBorder="1" applyAlignment="1">
      <alignment horizontal="right"/>
    </xf>
    <xf numFmtId="195" fontId="0" fillId="0" borderId="1" xfId="0" applyNumberFormat="1" applyBorder="1"/>
    <xf numFmtId="0" fontId="56" fillId="18" borderId="1" xfId="0" applyFont="1" applyFill="1" applyBorder="1"/>
    <xf numFmtId="0" fontId="63" fillId="18" borderId="1" xfId="0" applyFont="1" applyFill="1" applyBorder="1" applyAlignment="1">
      <alignment horizontal="right"/>
    </xf>
    <xf numFmtId="195" fontId="63" fillId="18" borderId="1" xfId="0" applyNumberFormat="1" applyFont="1" applyFill="1" applyBorder="1"/>
    <xf numFmtId="0" fontId="0" fillId="0" borderId="0" xfId="0" applyBorder="1"/>
    <xf numFmtId="0" fontId="7" fillId="0" borderId="88" xfId="0" applyFont="1" applyBorder="1" applyAlignment="1">
      <alignment horizontal="center" vertical="center" wrapText="1"/>
    </xf>
    <xf numFmtId="0" fontId="0" fillId="0" borderId="89" xfId="0" applyBorder="1" applyAlignment="1">
      <alignment horizontal="center" vertical="center" wrapText="1"/>
    </xf>
    <xf numFmtId="0" fontId="0" fillId="0" borderId="89" xfId="0" applyFont="1" applyFill="1" applyBorder="1" applyAlignment="1">
      <alignment horizontal="center" vertical="center" wrapText="1"/>
    </xf>
    <xf numFmtId="0" fontId="62" fillId="0" borderId="70" xfId="0" applyFont="1" applyFill="1" applyBorder="1" applyAlignment="1">
      <alignment horizontal="center"/>
    </xf>
    <xf numFmtId="0" fontId="0" fillId="0" borderId="62" xfId="0" applyBorder="1"/>
    <xf numFmtId="0" fontId="0" fillId="0" borderId="64" xfId="0" applyBorder="1"/>
    <xf numFmtId="0" fontId="0" fillId="0" borderId="0" xfId="0" applyBorder="1" applyAlignment="1">
      <alignment horizontal="right"/>
    </xf>
    <xf numFmtId="0" fontId="64" fillId="0" borderId="0" xfId="0" applyFont="1" applyFill="1" applyBorder="1" applyAlignment="1">
      <alignment horizontal="center" vertical="center"/>
    </xf>
    <xf numFmtId="172" fontId="0" fillId="0" borderId="0" xfId="0" applyNumberFormat="1"/>
    <xf numFmtId="9" fontId="0" fillId="0" borderId="0" xfId="0" applyNumberFormat="1"/>
    <xf numFmtId="0" fontId="39" fillId="13" borderId="58" xfId="0" applyFont="1" applyFill="1" applyBorder="1"/>
    <xf numFmtId="0" fontId="39" fillId="13" borderId="59" xfId="0" applyFont="1" applyFill="1" applyBorder="1"/>
    <xf numFmtId="0" fontId="39" fillId="13" borderId="60" xfId="0" applyFont="1" applyFill="1" applyBorder="1"/>
    <xf numFmtId="1" fontId="24" fillId="0" borderId="0" xfId="0" applyNumberFormat="1" applyFont="1" applyFill="1" applyBorder="1"/>
    <xf numFmtId="9" fontId="24" fillId="0" borderId="0" xfId="0" applyNumberFormat="1" applyFont="1" applyFill="1" applyBorder="1" applyAlignment="1">
      <alignment horizontal="center"/>
    </xf>
    <xf numFmtId="0" fontId="64" fillId="0" borderId="61" xfId="0" applyFont="1" applyFill="1" applyBorder="1" applyAlignment="1">
      <alignment horizontal="center"/>
    </xf>
    <xf numFmtId="0" fontId="64" fillId="0" borderId="0" xfId="0" applyFont="1" applyFill="1" applyBorder="1" applyAlignment="1">
      <alignment horizontal="center"/>
    </xf>
    <xf numFmtId="0" fontId="0" fillId="3" borderId="61" xfId="0" applyFill="1" applyBorder="1" applyProtection="1">
      <protection hidden="1"/>
    </xf>
    <xf numFmtId="0" fontId="0" fillId="3" borderId="0" xfId="0" applyFill="1" applyBorder="1" applyProtection="1">
      <protection hidden="1"/>
    </xf>
    <xf numFmtId="0" fontId="0" fillId="0" borderId="61" xfId="0" applyBorder="1" applyProtection="1">
      <protection hidden="1"/>
    </xf>
    <xf numFmtId="0" fontId="0" fillId="0" borderId="0" xfId="0" applyFill="1" applyBorder="1" applyProtection="1">
      <protection hidden="1"/>
    </xf>
    <xf numFmtId="0" fontId="7" fillId="0" borderId="61" xfId="0" applyFont="1" applyBorder="1" applyProtection="1">
      <protection hidden="1"/>
    </xf>
    <xf numFmtId="176" fontId="0" fillId="0" borderId="0" xfId="0" applyNumberFormat="1" applyBorder="1" applyAlignment="1" applyProtection="1">
      <alignment horizontal="center"/>
      <protection hidden="1"/>
    </xf>
    <xf numFmtId="9" fontId="0" fillId="0" borderId="0" xfId="0" applyNumberFormat="1" applyBorder="1" applyAlignment="1" applyProtection="1">
      <alignment horizontal="center"/>
      <protection hidden="1"/>
    </xf>
    <xf numFmtId="0" fontId="0" fillId="0" borderId="0" xfId="0" applyBorder="1" applyAlignment="1" applyProtection="1">
      <alignment horizontal="center"/>
      <protection hidden="1"/>
    </xf>
    <xf numFmtId="0" fontId="0" fillId="3"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7" fillId="3" borderId="0" xfId="0" applyFont="1" applyFill="1" applyBorder="1" applyAlignment="1" applyProtection="1">
      <alignment horizontal="center"/>
      <protection hidden="1"/>
    </xf>
    <xf numFmtId="0" fontId="24" fillId="0" borderId="90" xfId="0" applyFont="1" applyFill="1" applyBorder="1" applyAlignment="1">
      <alignment vertical="center"/>
    </xf>
    <xf numFmtId="200" fontId="24" fillId="0" borderId="90" xfId="0" applyNumberFormat="1" applyFont="1" applyFill="1" applyBorder="1" applyAlignment="1">
      <alignment horizontal="center" vertical="center"/>
    </xf>
    <xf numFmtId="0" fontId="24" fillId="21" borderId="92" xfId="0" applyFont="1" applyFill="1" applyBorder="1" applyAlignment="1">
      <alignment horizontal="center" vertical="center"/>
    </xf>
    <xf numFmtId="0" fontId="24" fillId="0" borderId="100" xfId="0" applyFont="1" applyFill="1" applyBorder="1" applyAlignment="1">
      <alignment horizontal="center"/>
    </xf>
    <xf numFmtId="0" fontId="50" fillId="13" borderId="32" xfId="0" applyFont="1" applyFill="1" applyBorder="1" applyAlignment="1">
      <alignment horizontal="center"/>
    </xf>
    <xf numFmtId="199" fontId="24" fillId="0" borderId="90" xfId="0" applyNumberFormat="1" applyFont="1" applyFill="1" applyBorder="1" applyAlignment="1">
      <alignment horizontal="center"/>
    </xf>
    <xf numFmtId="198" fontId="66" fillId="0" borderId="90" xfId="0" applyNumberFormat="1" applyFont="1" applyFill="1" applyBorder="1" applyAlignment="1">
      <alignment horizontal="center"/>
    </xf>
    <xf numFmtId="0" fontId="67" fillId="0" borderId="3" xfId="0" applyFont="1" applyBorder="1" applyAlignment="1" applyProtection="1">
      <alignment horizontal="center"/>
      <protection hidden="1"/>
    </xf>
    <xf numFmtId="0" fontId="3" fillId="0" borderId="1" xfId="0" applyFont="1" applyBorder="1" applyAlignment="1" applyProtection="1">
      <alignment vertical="top" wrapText="1"/>
      <protection hidden="1"/>
    </xf>
    <xf numFmtId="175" fontId="3" fillId="11" borderId="0" xfId="0" applyNumberFormat="1" applyFont="1" applyFill="1" applyBorder="1" applyAlignment="1" applyProtection="1">
      <alignment horizontal="center"/>
      <protection hidden="1"/>
    </xf>
    <xf numFmtId="0" fontId="3" fillId="0" borderId="0" xfId="0" applyFont="1" applyProtection="1">
      <protection hidden="1"/>
    </xf>
    <xf numFmtId="201" fontId="0" fillId="0" borderId="0" xfId="0" applyNumberFormat="1" applyProtection="1">
      <protection hidden="1"/>
    </xf>
    <xf numFmtId="0" fontId="68" fillId="0" borderId="0" xfId="0" applyFont="1" applyAlignment="1">
      <alignment horizontal="left" vertical="center" wrapText="1" indent="2"/>
    </xf>
    <xf numFmtId="9" fontId="0" fillId="0" borderId="0" xfId="0" applyNumberFormat="1" applyProtection="1">
      <protection hidden="1"/>
    </xf>
    <xf numFmtId="3" fontId="0" fillId="0" borderId="0" xfId="0" applyNumberFormat="1" applyProtection="1">
      <protection hidden="1"/>
    </xf>
    <xf numFmtId="9" fontId="0" fillId="0" borderId="0" xfId="17" applyFont="1" applyProtection="1">
      <protection hidden="1"/>
    </xf>
    <xf numFmtId="0" fontId="3" fillId="27" borderId="0" xfId="0" applyFont="1" applyFill="1" applyProtection="1">
      <protection hidden="1"/>
    </xf>
    <xf numFmtId="201" fontId="4" fillId="27" borderId="0" xfId="0" applyNumberFormat="1" applyFont="1" applyFill="1" applyProtection="1">
      <protection hidden="1"/>
    </xf>
    <xf numFmtId="201" fontId="0" fillId="0" borderId="32" xfId="0" applyNumberFormat="1" applyBorder="1" applyProtection="1">
      <protection hidden="1"/>
    </xf>
    <xf numFmtId="201" fontId="0" fillId="27" borderId="0" xfId="0" applyNumberFormat="1" applyFill="1" applyProtection="1">
      <protection hidden="1"/>
    </xf>
    <xf numFmtId="0" fontId="36" fillId="0" borderId="0" xfId="0" applyFont="1" applyProtection="1">
      <protection hidden="1"/>
    </xf>
    <xf numFmtId="0" fontId="36" fillId="11" borderId="0" xfId="0" applyFont="1" applyFill="1" applyBorder="1" applyAlignment="1" applyProtection="1">
      <alignment horizontal="center"/>
      <protection hidden="1"/>
    </xf>
    <xf numFmtId="203" fontId="0" fillId="0" borderId="0" xfId="0" applyNumberFormat="1" applyFill="1" applyAlignment="1" applyProtection="1">
      <alignment horizontal="center"/>
      <protection hidden="1"/>
    </xf>
    <xf numFmtId="0" fontId="36" fillId="0" borderId="43" xfId="0" applyFont="1" applyBorder="1" applyProtection="1">
      <protection hidden="1"/>
    </xf>
    <xf numFmtId="0" fontId="8" fillId="0" borderId="37" xfId="0" applyFont="1" applyBorder="1" applyAlignment="1" applyProtection="1">
      <alignment horizontal="right"/>
      <protection hidden="1"/>
    </xf>
    <xf numFmtId="0" fontId="74" fillId="29" borderId="0" xfId="0" applyFont="1" applyFill="1" applyBorder="1" applyAlignment="1" applyProtection="1">
      <alignment horizontal="center"/>
      <protection hidden="1"/>
    </xf>
    <xf numFmtId="0" fontId="0" fillId="0" borderId="129" xfId="0" applyBorder="1" applyProtection="1">
      <protection hidden="1"/>
    </xf>
    <xf numFmtId="0" fontId="7" fillId="0" borderId="125" xfId="0" applyFont="1" applyBorder="1" applyAlignment="1" applyProtection="1">
      <alignment horizontal="center"/>
      <protection hidden="1"/>
    </xf>
    <xf numFmtId="0" fontId="74" fillId="29" borderId="0" xfId="0" applyFont="1" applyFill="1" applyBorder="1" applyProtection="1">
      <protection hidden="1"/>
    </xf>
    <xf numFmtId="2" fontId="74" fillId="29" borderId="0" xfId="0" applyNumberFormat="1" applyFont="1" applyFill="1" applyBorder="1" applyAlignment="1" applyProtection="1">
      <alignment horizontal="center"/>
      <protection hidden="1"/>
    </xf>
    <xf numFmtId="171" fontId="74" fillId="29" borderId="0" xfId="0" applyNumberFormat="1" applyFont="1" applyFill="1" applyBorder="1" applyAlignment="1" applyProtection="1">
      <alignment horizontal="center"/>
      <protection hidden="1"/>
    </xf>
    <xf numFmtId="0" fontId="67" fillId="0" borderId="9" xfId="0" applyFont="1" applyBorder="1" applyAlignment="1" applyProtection="1">
      <alignment horizontal="center"/>
      <protection hidden="1"/>
    </xf>
    <xf numFmtId="0" fontId="7" fillId="0" borderId="123" xfId="0" applyFont="1" applyBorder="1" applyAlignment="1" applyProtection="1">
      <alignment horizontal="center"/>
      <protection hidden="1"/>
    </xf>
    <xf numFmtId="0" fontId="0" fillId="0" borderId="130" xfId="0" applyBorder="1" applyProtection="1">
      <protection hidden="1"/>
    </xf>
    <xf numFmtId="0" fontId="0" fillId="0" borderId="125" xfId="0" applyBorder="1" applyAlignment="1" applyProtection="1">
      <alignment horizontal="center"/>
      <protection hidden="1"/>
    </xf>
    <xf numFmtId="0" fontId="7" fillId="0" borderId="131" xfId="0" applyFont="1" applyBorder="1" applyAlignment="1">
      <alignment horizontal="center"/>
    </xf>
    <xf numFmtId="2" fontId="74" fillId="29" borderId="0" xfId="0" applyNumberFormat="1" applyFont="1" applyFill="1" applyBorder="1" applyAlignment="1">
      <alignment horizontal="center"/>
    </xf>
    <xf numFmtId="0" fontId="0" fillId="3" borderId="9" xfId="0" applyFill="1" applyBorder="1" applyAlignment="1" applyProtection="1">
      <alignment horizontal="center"/>
      <protection hidden="1"/>
    </xf>
    <xf numFmtId="0" fontId="73" fillId="0" borderId="9" xfId="0" applyFont="1" applyBorder="1" applyAlignment="1" applyProtection="1">
      <alignment horizontal="center"/>
      <protection hidden="1"/>
    </xf>
    <xf numFmtId="0" fontId="36" fillId="16" borderId="130" xfId="0" applyFont="1" applyFill="1" applyBorder="1" applyProtection="1">
      <protection hidden="1"/>
    </xf>
    <xf numFmtId="0" fontId="0" fillId="26" borderId="125" xfId="0" applyFill="1" applyBorder="1" applyAlignment="1" applyProtection="1">
      <alignment horizontal="center"/>
      <protection hidden="1"/>
    </xf>
    <xf numFmtId="0" fontId="7" fillId="26" borderId="131" xfId="0" applyFont="1" applyFill="1" applyBorder="1" applyAlignment="1">
      <alignment horizontal="center"/>
    </xf>
    <xf numFmtId="0" fontId="0" fillId="0" borderId="132" xfId="0" applyBorder="1" applyProtection="1">
      <protection hidden="1"/>
    </xf>
    <xf numFmtId="0" fontId="0" fillId="0" borderId="133" xfId="0" applyBorder="1" applyAlignment="1" applyProtection="1">
      <alignment horizontal="center"/>
      <protection hidden="1"/>
    </xf>
    <xf numFmtId="0" fontId="7" fillId="0" borderId="134" xfId="0" applyFont="1" applyBorder="1" applyAlignment="1">
      <alignment horizontal="center"/>
    </xf>
    <xf numFmtId="0" fontId="74" fillId="29" borderId="0" xfId="0" applyFont="1" applyFill="1" applyBorder="1" applyAlignment="1">
      <alignment horizontal="center"/>
    </xf>
    <xf numFmtId="0" fontId="0" fillId="11" borderId="128" xfId="0" applyFill="1" applyBorder="1" applyProtection="1">
      <protection hidden="1"/>
    </xf>
    <xf numFmtId="0" fontId="0" fillId="11" borderId="5" xfId="0" applyFill="1" applyBorder="1" applyAlignment="1" applyProtection="1">
      <alignment horizontal="center"/>
      <protection hidden="1"/>
    </xf>
    <xf numFmtId="0" fontId="7" fillId="11" borderId="55" xfId="0" applyFont="1" applyFill="1" applyBorder="1" applyAlignment="1">
      <alignment horizontal="center"/>
    </xf>
    <xf numFmtId="0" fontId="0" fillId="11" borderId="18" xfId="0" applyFill="1" applyBorder="1" applyProtection="1">
      <protection hidden="1"/>
    </xf>
    <xf numFmtId="0" fontId="0" fillId="11" borderId="3" xfId="0" applyFill="1" applyBorder="1" applyAlignment="1" applyProtection="1">
      <alignment horizontal="center"/>
      <protection hidden="1"/>
    </xf>
    <xf numFmtId="0" fontId="0" fillId="11" borderId="127" xfId="0" applyFill="1" applyBorder="1" applyProtection="1">
      <protection hidden="1"/>
    </xf>
    <xf numFmtId="0" fontId="0" fillId="11" borderId="6" xfId="0" applyFill="1" applyBorder="1" applyAlignment="1" applyProtection="1">
      <alignment horizontal="center"/>
      <protection hidden="1"/>
    </xf>
    <xf numFmtId="0" fontId="32" fillId="13" borderId="0" xfId="0" applyFont="1" applyFill="1" applyBorder="1" applyProtection="1">
      <protection hidden="1"/>
    </xf>
    <xf numFmtId="0" fontId="32" fillId="13" borderId="36" xfId="0" applyFont="1" applyFill="1" applyBorder="1" applyProtection="1">
      <protection hidden="1"/>
    </xf>
    <xf numFmtId="0" fontId="74" fillId="11" borderId="0" xfId="0" applyFont="1" applyFill="1" applyProtection="1">
      <protection hidden="1"/>
    </xf>
    <xf numFmtId="2" fontId="36" fillId="0" borderId="9" xfId="0" applyNumberFormat="1" applyFont="1" applyBorder="1" applyAlignment="1" applyProtection="1">
      <alignment horizontal="center"/>
      <protection hidden="1"/>
    </xf>
    <xf numFmtId="0" fontId="71" fillId="30" borderId="1" xfId="0" applyFont="1" applyFill="1" applyBorder="1" applyAlignment="1" applyProtection="1">
      <alignment vertical="top" wrapText="1"/>
      <protection hidden="1"/>
    </xf>
    <xf numFmtId="175" fontId="72" fillId="30" borderId="1" xfId="0" applyNumberFormat="1" applyFont="1" applyFill="1" applyBorder="1" applyAlignment="1" applyProtection="1">
      <alignment horizontal="center"/>
      <protection hidden="1"/>
    </xf>
    <xf numFmtId="175" fontId="72" fillId="30" borderId="0" xfId="0" applyNumberFormat="1" applyFont="1" applyFill="1" applyBorder="1" applyAlignment="1" applyProtection="1">
      <alignment horizontal="center"/>
      <protection hidden="1"/>
    </xf>
    <xf numFmtId="201" fontId="72" fillId="30" borderId="0" xfId="0" applyNumberFormat="1" applyFont="1" applyFill="1" applyProtection="1">
      <protection hidden="1"/>
    </xf>
    <xf numFmtId="0" fontId="75" fillId="6" borderId="0" xfId="14" applyFont="1" applyFill="1"/>
    <xf numFmtId="0" fontId="75" fillId="6" borderId="0" xfId="0" applyFont="1" applyFill="1"/>
    <xf numFmtId="0" fontId="78" fillId="6" borderId="0" xfId="14" applyFont="1" applyFill="1" applyAlignment="1">
      <alignment horizontal="left" vertical="center"/>
    </xf>
    <xf numFmtId="0" fontId="79" fillId="6" borderId="0" xfId="14" applyFont="1" applyFill="1"/>
    <xf numFmtId="0" fontId="79" fillId="6" borderId="0" xfId="0" applyFont="1" applyFill="1"/>
    <xf numFmtId="0" fontId="80" fillId="11" borderId="0" xfId="13" applyFont="1" applyFill="1"/>
    <xf numFmtId="0" fontId="79" fillId="6" borderId="0" xfId="13" applyFont="1" applyFill="1"/>
    <xf numFmtId="0" fontId="75" fillId="6" borderId="0" xfId="13" applyFont="1" applyFill="1"/>
    <xf numFmtId="0" fontId="81" fillId="11" borderId="0" xfId="13" applyFont="1" applyFill="1" applyAlignment="1">
      <alignment wrapText="1"/>
    </xf>
    <xf numFmtId="0" fontId="82" fillId="11" borderId="0" xfId="13" applyFont="1" applyFill="1" applyAlignment="1">
      <alignment wrapText="1"/>
    </xf>
    <xf numFmtId="0" fontId="78" fillId="6" borderId="0" xfId="13" applyFont="1" applyFill="1" applyAlignment="1">
      <alignment horizontal="left" vertical="center"/>
    </xf>
    <xf numFmtId="0" fontId="81" fillId="11" borderId="0" xfId="13" applyFont="1" applyFill="1" applyAlignment="1">
      <alignment horizontal="left" wrapText="1"/>
    </xf>
    <xf numFmtId="0" fontId="83" fillId="11" borderId="0" xfId="13" applyFont="1" applyFill="1" applyAlignment="1">
      <alignment horizontal="left" wrapText="1"/>
    </xf>
    <xf numFmtId="0" fontId="84" fillId="11" borderId="0" xfId="13" applyFont="1" applyFill="1" applyAlignment="1">
      <alignment vertical="center" wrapText="1"/>
    </xf>
    <xf numFmtId="0" fontId="75" fillId="11" borderId="0" xfId="13" applyFont="1" applyFill="1"/>
    <xf numFmtId="0" fontId="85" fillId="6" borderId="0" xfId="14" applyFont="1" applyFill="1" applyAlignment="1">
      <alignment vertical="center"/>
    </xf>
    <xf numFmtId="1" fontId="85" fillId="6" borderId="0" xfId="14" applyNumberFormat="1" applyFont="1" applyFill="1" applyAlignment="1">
      <alignment vertical="center"/>
    </xf>
    <xf numFmtId="194" fontId="79" fillId="6" borderId="0" xfId="14" applyNumberFormat="1" applyFont="1" applyFill="1" applyAlignment="1">
      <alignment horizontal="left" vertical="center"/>
    </xf>
    <xf numFmtId="1" fontId="85" fillId="6" borderId="0" xfId="14" applyNumberFormat="1" applyFont="1" applyFill="1" applyAlignment="1">
      <alignment horizontal="left" vertical="center"/>
    </xf>
    <xf numFmtId="0" fontId="85" fillId="6" borderId="0" xfId="14" applyFont="1" applyFill="1" applyAlignment="1">
      <alignment horizontal="left" vertical="center"/>
    </xf>
    <xf numFmtId="0" fontId="83" fillId="11" borderId="0" xfId="13" applyFont="1" applyFill="1" applyAlignment="1">
      <alignment vertical="center" wrapText="1"/>
    </xf>
    <xf numFmtId="0" fontId="86" fillId="11" borderId="0" xfId="13" applyFont="1" applyFill="1"/>
    <xf numFmtId="0" fontId="75" fillId="11" borderId="0" xfId="13" applyFont="1" applyFill="1" applyAlignment="1">
      <alignment vertical="center"/>
    </xf>
    <xf numFmtId="0" fontId="83" fillId="11" borderId="77" xfId="13" applyFont="1" applyFill="1" applyBorder="1" applyAlignment="1">
      <alignment horizontal="left" wrapText="1"/>
    </xf>
    <xf numFmtId="0" fontId="83" fillId="11" borderId="76" xfId="13" applyFont="1" applyFill="1" applyBorder="1" applyAlignment="1">
      <alignment horizontal="left" wrapText="1"/>
    </xf>
    <xf numFmtId="0" fontId="84" fillId="11" borderId="71" xfId="13" applyFont="1" applyFill="1" applyBorder="1" applyAlignment="1">
      <alignment horizontal="left" vertical="center" wrapText="1"/>
    </xf>
    <xf numFmtId="0" fontId="75" fillId="6" borderId="0" xfId="13" applyFont="1" applyFill="1" applyBorder="1"/>
    <xf numFmtId="0" fontId="83" fillId="11" borderId="72" xfId="13" applyFont="1" applyFill="1" applyBorder="1" applyAlignment="1">
      <alignment horizontal="left" wrapText="1"/>
    </xf>
    <xf numFmtId="0" fontId="75" fillId="6" borderId="71" xfId="0" applyFont="1" applyFill="1" applyBorder="1"/>
    <xf numFmtId="0" fontId="75" fillId="6" borderId="0" xfId="0" applyFont="1" applyFill="1" applyBorder="1"/>
    <xf numFmtId="0" fontId="75" fillId="6" borderId="72" xfId="0" applyFont="1" applyFill="1" applyBorder="1"/>
    <xf numFmtId="0" fontId="75" fillId="6" borderId="71" xfId="14" applyFont="1" applyFill="1" applyBorder="1"/>
    <xf numFmtId="0" fontId="78" fillId="6" borderId="71" xfId="14" applyFont="1" applyFill="1" applyBorder="1" applyAlignment="1">
      <alignment horizontal="left" vertical="center"/>
    </xf>
    <xf numFmtId="0" fontId="79" fillId="6" borderId="0" xfId="14" applyFont="1" applyFill="1" applyBorder="1"/>
    <xf numFmtId="0" fontId="79" fillId="6" borderId="0" xfId="14" applyFont="1" applyFill="1" applyBorder="1" applyAlignment="1">
      <alignment vertical="center"/>
    </xf>
    <xf numFmtId="0" fontId="79" fillId="6" borderId="0" xfId="13" applyFont="1" applyFill="1" applyBorder="1"/>
    <xf numFmtId="0" fontId="75" fillId="6" borderId="72" xfId="13" applyFont="1" applyFill="1" applyBorder="1"/>
    <xf numFmtId="0" fontId="81" fillId="11" borderId="0" xfId="13" applyFont="1" applyFill="1" applyBorder="1" applyAlignment="1">
      <alignment wrapText="1"/>
    </xf>
    <xf numFmtId="0" fontId="82" fillId="11" borderId="0" xfId="13" applyFont="1" applyFill="1" applyBorder="1" applyAlignment="1">
      <alignment wrapText="1"/>
    </xf>
    <xf numFmtId="0" fontId="82" fillId="11" borderId="72" xfId="13" applyFont="1" applyFill="1" applyBorder="1" applyAlignment="1">
      <alignment wrapText="1"/>
    </xf>
    <xf numFmtId="0" fontId="78" fillId="6" borderId="73" xfId="13" applyFont="1" applyFill="1" applyBorder="1" applyAlignment="1">
      <alignment horizontal="left" vertical="center"/>
    </xf>
    <xf numFmtId="0" fontId="81" fillId="11" borderId="74" xfId="13" applyFont="1" applyFill="1" applyBorder="1" applyAlignment="1">
      <alignment horizontal="left" wrapText="1"/>
    </xf>
    <xf numFmtId="0" fontId="79" fillId="6" borderId="74" xfId="13" applyFont="1" applyFill="1" applyBorder="1"/>
    <xf numFmtId="0" fontId="79" fillId="6" borderId="74" xfId="14" applyFont="1" applyFill="1" applyBorder="1" applyAlignment="1">
      <alignment vertical="center"/>
    </xf>
    <xf numFmtId="0" fontId="83" fillId="11" borderId="74" xfId="13" applyFont="1" applyFill="1" applyBorder="1" applyAlignment="1">
      <alignment horizontal="left" wrapText="1"/>
    </xf>
    <xf numFmtId="0" fontId="83" fillId="11" borderId="75" xfId="13" applyFont="1" applyFill="1" applyBorder="1" applyAlignment="1">
      <alignment horizontal="left" wrapText="1"/>
    </xf>
    <xf numFmtId="0" fontId="84" fillId="11" borderId="71" xfId="13" applyFont="1" applyFill="1" applyBorder="1" applyAlignment="1">
      <alignment vertical="top" wrapText="1"/>
    </xf>
    <xf numFmtId="0" fontId="84" fillId="11" borderId="0" xfId="13" applyFont="1" applyFill="1" applyBorder="1" applyAlignment="1">
      <alignment vertical="top" wrapText="1"/>
    </xf>
    <xf numFmtId="0" fontId="84" fillId="11" borderId="73" xfId="13" applyFont="1" applyFill="1" applyBorder="1" applyAlignment="1">
      <alignment vertical="top" wrapText="1"/>
    </xf>
    <xf numFmtId="0" fontId="84" fillId="11" borderId="74" xfId="13" applyFont="1" applyFill="1" applyBorder="1" applyAlignment="1">
      <alignment vertical="top" wrapText="1"/>
    </xf>
    <xf numFmtId="0" fontId="84" fillId="11" borderId="0" xfId="13" applyFont="1" applyFill="1" applyAlignment="1">
      <alignment vertical="top" wrapText="1"/>
    </xf>
    <xf numFmtId="0" fontId="75" fillId="6" borderId="71" xfId="13" applyFont="1" applyFill="1" applyBorder="1"/>
    <xf numFmtId="0" fontId="84" fillId="11" borderId="0" xfId="0" applyFont="1" applyFill="1" applyBorder="1" applyAlignment="1">
      <alignment horizontal="center"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75" fillId="0" borderId="0" xfId="0" applyFont="1"/>
    <xf numFmtId="0" fontId="75" fillId="0" borderId="73" xfId="0" applyFont="1" applyBorder="1"/>
    <xf numFmtId="0" fontId="75" fillId="0" borderId="74" xfId="0" applyFont="1" applyBorder="1"/>
    <xf numFmtId="0" fontId="75" fillId="0" borderId="75" xfId="0" applyFont="1" applyBorder="1"/>
    <xf numFmtId="0" fontId="90" fillId="11" borderId="0" xfId="13" applyFont="1" applyFill="1" applyAlignment="1">
      <alignment vertical="top"/>
    </xf>
    <xf numFmtId="0" fontId="83" fillId="11" borderId="0" xfId="13" applyFont="1" applyFill="1" applyBorder="1" applyAlignment="1">
      <alignment horizontal="left" wrapText="1"/>
    </xf>
    <xf numFmtId="0" fontId="91" fillId="6" borderId="0" xfId="13" applyFont="1" applyFill="1" applyBorder="1" applyAlignment="1">
      <alignment horizontal="center" vertical="center"/>
    </xf>
    <xf numFmtId="0" fontId="91" fillId="6" borderId="0" xfId="13" applyFont="1" applyFill="1" applyBorder="1" applyAlignment="1">
      <alignment horizontal="right" vertical="center"/>
    </xf>
    <xf numFmtId="194" fontId="91" fillId="6" borderId="0" xfId="13" applyNumberFormat="1" applyFont="1" applyFill="1" applyBorder="1" applyAlignment="1">
      <alignment horizontal="left" vertical="center"/>
    </xf>
    <xf numFmtId="0" fontId="84" fillId="6" borderId="0" xfId="13" applyFont="1" applyFill="1" applyBorder="1" applyAlignment="1">
      <alignment horizontal="left" vertical="center" wrapText="1"/>
    </xf>
    <xf numFmtId="0" fontId="84" fillId="6" borderId="0" xfId="13" applyFont="1" applyFill="1" applyBorder="1" applyAlignment="1">
      <alignment horizontal="left" vertical="center"/>
    </xf>
    <xf numFmtId="0" fontId="87" fillId="16" borderId="67" xfId="13" applyFont="1" applyFill="1" applyBorder="1" applyAlignment="1">
      <alignment horizontal="center" vertical="center" wrapText="1"/>
    </xf>
    <xf numFmtId="0" fontId="89" fillId="16" borderId="68" xfId="13" applyFont="1" applyFill="1" applyBorder="1" applyAlignment="1">
      <alignment horizontal="left" vertical="center" wrapText="1"/>
    </xf>
    <xf numFmtId="0" fontId="93" fillId="6" borderId="0" xfId="13" applyFont="1" applyFill="1"/>
    <xf numFmtId="0" fontId="84" fillId="11" borderId="0" xfId="13" applyFont="1" applyFill="1" applyBorder="1" applyAlignment="1">
      <alignment vertical="center" wrapText="1"/>
    </xf>
    <xf numFmtId="0" fontId="83" fillId="11" borderId="71" xfId="13" applyFont="1" applyFill="1" applyBorder="1" applyAlignment="1">
      <alignment horizontal="left" wrapText="1"/>
    </xf>
    <xf numFmtId="0" fontId="84" fillId="11" borderId="0" xfId="13" applyFont="1" applyFill="1" applyBorder="1" applyAlignment="1">
      <alignment horizontal="left" vertical="top" wrapText="1"/>
    </xf>
    <xf numFmtId="0" fontId="83" fillId="11" borderId="73" xfId="13" applyFont="1" applyFill="1" applyBorder="1" applyAlignment="1">
      <alignment horizontal="left" wrapText="1"/>
    </xf>
    <xf numFmtId="0" fontId="75" fillId="6" borderId="74" xfId="13" applyFont="1" applyFill="1" applyBorder="1"/>
    <xf numFmtId="0" fontId="75" fillId="11" borderId="72" xfId="13" applyFont="1" applyFill="1" applyBorder="1"/>
    <xf numFmtId="0" fontId="75" fillId="11" borderId="71" xfId="13" applyFont="1" applyFill="1" applyBorder="1"/>
    <xf numFmtId="0" fontId="83" fillId="11" borderId="0" xfId="13" applyFont="1" applyFill="1" applyBorder="1" applyAlignment="1">
      <alignment horizontal="center" vertical="center" wrapText="1"/>
    </xf>
    <xf numFmtId="0" fontId="83" fillId="11" borderId="0" xfId="13" applyFont="1" applyFill="1" applyBorder="1" applyAlignment="1">
      <alignment vertical="center" wrapText="1"/>
    </xf>
    <xf numFmtId="0" fontId="83" fillId="11" borderId="71" xfId="13" applyFont="1" applyFill="1" applyBorder="1" applyAlignment="1">
      <alignment vertical="center" wrapText="1"/>
    </xf>
    <xf numFmtId="0" fontId="89" fillId="6" borderId="72" xfId="13" applyFont="1" applyFill="1" applyBorder="1" applyAlignment="1">
      <alignment vertical="center"/>
    </xf>
    <xf numFmtId="175" fontId="84" fillId="6" borderId="71" xfId="12" applyNumberFormat="1" applyFont="1" applyFill="1" applyBorder="1" applyAlignment="1">
      <alignment vertical="center" wrapText="1"/>
    </xf>
    <xf numFmtId="0" fontId="84" fillId="6" borderId="71" xfId="13" applyFont="1" applyFill="1" applyBorder="1" applyAlignment="1">
      <alignment vertical="center"/>
    </xf>
    <xf numFmtId="179" fontId="96" fillId="12" borderId="90" xfId="13" applyNumberFormat="1" applyFont="1" applyFill="1" applyBorder="1" applyAlignment="1">
      <alignment horizontal="center"/>
    </xf>
    <xf numFmtId="179" fontId="96" fillId="12" borderId="90" xfId="13" applyNumberFormat="1" applyFont="1" applyFill="1" applyBorder="1" applyAlignment="1"/>
    <xf numFmtId="0" fontId="84" fillId="6" borderId="0" xfId="13" applyFont="1" applyFill="1" applyBorder="1"/>
    <xf numFmtId="0" fontId="84" fillId="6" borderId="71" xfId="13" applyFont="1" applyFill="1" applyBorder="1"/>
    <xf numFmtId="175" fontId="84" fillId="6" borderId="0" xfId="12" applyNumberFormat="1" applyFont="1" applyFill="1" applyBorder="1" applyAlignment="1">
      <alignment vertical="center" wrapText="1"/>
    </xf>
    <xf numFmtId="175" fontId="84" fillId="6" borderId="72" xfId="12" applyNumberFormat="1" applyFont="1" applyFill="1" applyBorder="1" applyAlignment="1">
      <alignment vertical="center" wrapText="1"/>
    </xf>
    <xf numFmtId="0" fontId="84" fillId="0" borderId="0" xfId="13" applyFont="1" applyBorder="1"/>
    <xf numFmtId="0" fontId="75" fillId="11" borderId="0" xfId="13" applyFont="1" applyFill="1" applyBorder="1"/>
    <xf numFmtId="175" fontId="84" fillId="11" borderId="72" xfId="12" applyNumberFormat="1" applyFont="1" applyFill="1" applyBorder="1" applyAlignment="1">
      <alignment vertical="center" wrapText="1"/>
    </xf>
    <xf numFmtId="0" fontId="84" fillId="11" borderId="71" xfId="13" applyFont="1" applyFill="1" applyBorder="1" applyAlignment="1">
      <alignment vertical="center"/>
    </xf>
    <xf numFmtId="175" fontId="84" fillId="11" borderId="0" xfId="12" applyNumberFormat="1" applyFont="1" applyFill="1" applyBorder="1" applyAlignment="1">
      <alignment horizontal="center" vertical="center" wrapText="1"/>
    </xf>
    <xf numFmtId="0" fontId="83" fillId="11" borderId="71" xfId="13" applyFont="1" applyFill="1" applyBorder="1" applyAlignment="1">
      <alignment horizontal="center" vertical="center" wrapText="1"/>
    </xf>
    <xf numFmtId="175" fontId="84" fillId="11" borderId="71" xfId="12" applyNumberFormat="1" applyFont="1" applyFill="1" applyBorder="1" applyAlignment="1">
      <alignment vertical="center" wrapText="1"/>
    </xf>
    <xf numFmtId="175" fontId="84" fillId="11" borderId="0" xfId="12" applyNumberFormat="1" applyFont="1" applyFill="1" applyBorder="1" applyAlignment="1">
      <alignment vertical="center" wrapText="1"/>
    </xf>
    <xf numFmtId="0" fontId="84" fillId="11" borderId="72" xfId="13" applyFont="1" applyFill="1" applyBorder="1"/>
    <xf numFmtId="0" fontId="84" fillId="11" borderId="0" xfId="13" applyFont="1" applyFill="1" applyBorder="1" applyAlignment="1">
      <alignment vertical="center"/>
    </xf>
    <xf numFmtId="0" fontId="84" fillId="11" borderId="0" xfId="13" applyFont="1" applyFill="1" applyBorder="1"/>
    <xf numFmtId="179" fontId="89" fillId="11" borderId="0" xfId="13" applyNumberFormat="1" applyFont="1" applyFill="1" applyBorder="1" applyAlignment="1">
      <alignment horizontal="center"/>
    </xf>
    <xf numFmtId="0" fontId="84" fillId="6" borderId="73" xfId="13" applyFont="1" applyFill="1" applyBorder="1" applyAlignment="1">
      <alignment vertical="center"/>
    </xf>
    <xf numFmtId="0" fontId="84" fillId="6" borderId="74" xfId="13" applyFont="1" applyFill="1" applyBorder="1" applyAlignment="1">
      <alignment vertical="center"/>
    </xf>
    <xf numFmtId="0" fontId="84" fillId="6" borderId="74" xfId="13" applyFont="1" applyFill="1" applyBorder="1"/>
    <xf numFmtId="179" fontId="89" fillId="0" borderId="74" xfId="13" applyNumberFormat="1" applyFont="1" applyFill="1" applyBorder="1" applyAlignment="1">
      <alignment horizontal="center"/>
    </xf>
    <xf numFmtId="0" fontId="84" fillId="6" borderId="75" xfId="13" applyFont="1" applyFill="1" applyBorder="1"/>
    <xf numFmtId="0" fontId="90" fillId="11" borderId="0" xfId="13" applyFont="1" applyFill="1"/>
    <xf numFmtId="0" fontId="84" fillId="11" borderId="0" xfId="13" applyFont="1" applyFill="1"/>
    <xf numFmtId="0" fontId="75" fillId="0" borderId="0" xfId="13" applyFont="1"/>
    <xf numFmtId="179" fontId="89" fillId="0" borderId="0" xfId="13" applyNumberFormat="1" applyFont="1" applyFill="1" applyBorder="1" applyAlignment="1">
      <alignment horizontal="center"/>
    </xf>
    <xf numFmtId="0" fontId="84" fillId="6" borderId="0" xfId="13" applyFont="1" applyFill="1" applyBorder="1" applyAlignment="1">
      <alignment vertical="center"/>
    </xf>
    <xf numFmtId="0" fontId="105" fillId="11" borderId="0" xfId="13" applyFont="1" applyFill="1" applyBorder="1" applyAlignment="1">
      <alignment vertical="top"/>
    </xf>
    <xf numFmtId="169" fontId="106" fillId="6" borderId="0" xfId="12" applyNumberFormat="1" applyFont="1" applyFill="1" applyBorder="1" applyAlignment="1">
      <alignment horizontal="center" vertical="center" wrapText="1"/>
    </xf>
    <xf numFmtId="9" fontId="106" fillId="6" borderId="0" xfId="13" applyNumberFormat="1" applyFont="1" applyFill="1" applyAlignment="1">
      <alignment horizontal="center" vertical="center"/>
    </xf>
    <xf numFmtId="191" fontId="106" fillId="6" borderId="0" xfId="12" applyNumberFormat="1" applyFont="1" applyFill="1" applyAlignment="1">
      <alignment horizontal="center" vertical="center"/>
    </xf>
    <xf numFmtId="0" fontId="107" fillId="0" borderId="0" xfId="13" applyFont="1"/>
    <xf numFmtId="0" fontId="75" fillId="0" borderId="0" xfId="13" applyFont="1" applyFill="1" applyBorder="1"/>
    <xf numFmtId="0" fontId="79" fillId="0" borderId="0" xfId="13" applyFont="1" applyFill="1" applyBorder="1" applyAlignment="1">
      <alignment horizontal="right" vertical="center"/>
    </xf>
    <xf numFmtId="0" fontId="89" fillId="0" borderId="0" xfId="13" applyFont="1" applyFill="1" applyBorder="1" applyAlignment="1">
      <alignment vertical="center"/>
    </xf>
    <xf numFmtId="0" fontId="79" fillId="0" borderId="0" xfId="13" applyFont="1" applyFill="1" applyBorder="1" applyAlignment="1">
      <alignment horizontal="right"/>
    </xf>
    <xf numFmtId="0" fontId="90" fillId="6" borderId="73" xfId="13" applyFont="1" applyFill="1" applyBorder="1" applyAlignment="1">
      <alignment vertical="center"/>
    </xf>
    <xf numFmtId="0" fontId="90" fillId="6" borderId="74" xfId="13" applyFont="1" applyFill="1" applyBorder="1" applyAlignment="1">
      <alignment vertical="center"/>
    </xf>
    <xf numFmtId="0" fontId="78" fillId="6" borderId="74" xfId="13" applyFont="1" applyFill="1" applyBorder="1" applyAlignment="1">
      <alignment vertical="center"/>
    </xf>
    <xf numFmtId="0" fontId="108" fillId="6" borderId="74" xfId="13" applyFont="1" applyFill="1" applyBorder="1" applyAlignment="1">
      <alignment vertical="center"/>
    </xf>
    <xf numFmtId="0" fontId="90" fillId="6" borderId="74" xfId="13" applyFont="1" applyFill="1" applyBorder="1"/>
    <xf numFmtId="0" fontId="85" fillId="6" borderId="74" xfId="13" applyFont="1" applyFill="1" applyBorder="1"/>
    <xf numFmtId="179" fontId="78" fillId="6" borderId="74" xfId="13" applyNumberFormat="1" applyFont="1" applyFill="1" applyBorder="1" applyAlignment="1">
      <alignment horizontal="left" vertical="center"/>
    </xf>
    <xf numFmtId="0" fontId="90" fillId="6" borderId="74" xfId="13" applyFont="1" applyFill="1" applyBorder="1" applyAlignment="1">
      <alignment horizontal="right"/>
    </xf>
    <xf numFmtId="0" fontId="78" fillId="6" borderId="74" xfId="13" applyFont="1" applyFill="1" applyBorder="1"/>
    <xf numFmtId="0" fontId="75" fillId="0" borderId="74" xfId="13" applyFont="1" applyBorder="1"/>
    <xf numFmtId="0" fontId="75" fillId="6" borderId="75" xfId="13" applyFont="1" applyFill="1" applyBorder="1"/>
    <xf numFmtId="0" fontId="78" fillId="6" borderId="0" xfId="13" applyFont="1" applyFill="1" applyBorder="1" applyAlignment="1">
      <alignment vertical="center"/>
    </xf>
    <xf numFmtId="0" fontId="89" fillId="6" borderId="0" xfId="13" applyFont="1" applyFill="1" applyBorder="1" applyAlignment="1">
      <alignment vertical="center"/>
    </xf>
    <xf numFmtId="0" fontId="90" fillId="6" borderId="0" xfId="13" applyFont="1" applyFill="1" applyBorder="1"/>
    <xf numFmtId="0" fontId="85" fillId="6" borderId="0" xfId="13" applyFont="1" applyFill="1" applyBorder="1"/>
    <xf numFmtId="180" fontId="89" fillId="6" borderId="0" xfId="13" applyNumberFormat="1" applyFont="1" applyFill="1" applyBorder="1" applyAlignment="1">
      <alignment horizontal="left" vertical="center"/>
    </xf>
    <xf numFmtId="0" fontId="79" fillId="6" borderId="0" xfId="13" applyFont="1" applyFill="1" applyBorder="1" applyAlignment="1">
      <alignment horizontal="right"/>
    </xf>
    <xf numFmtId="0" fontId="89" fillId="6" borderId="0" xfId="13" applyFont="1" applyFill="1" applyBorder="1"/>
    <xf numFmtId="0" fontId="90" fillId="6" borderId="0" xfId="13" applyFont="1" applyFill="1" applyBorder="1" applyAlignment="1">
      <alignment vertical="center"/>
    </xf>
    <xf numFmtId="0" fontId="108" fillId="6" borderId="0" xfId="13" applyFont="1" applyFill="1" applyBorder="1" applyAlignment="1">
      <alignment vertical="center"/>
    </xf>
    <xf numFmtId="179" fontId="108" fillId="6" borderId="0" xfId="13" applyNumberFormat="1" applyFont="1" applyFill="1" applyBorder="1" applyAlignment="1">
      <alignment horizontal="left" vertical="center"/>
    </xf>
    <xf numFmtId="0" fontId="84" fillId="11" borderId="73" xfId="13" applyFont="1" applyFill="1" applyBorder="1" applyAlignment="1">
      <alignment horizontal="left" vertical="top" wrapText="1"/>
    </xf>
    <xf numFmtId="0" fontId="84" fillId="11" borderId="74" xfId="13" applyFont="1" applyFill="1" applyBorder="1" applyAlignment="1">
      <alignment horizontal="left" vertical="top" wrapText="1"/>
    </xf>
    <xf numFmtId="0" fontId="84" fillId="11" borderId="75" xfId="13" applyFont="1" applyFill="1" applyBorder="1" applyAlignment="1">
      <alignment horizontal="left" vertical="top" wrapText="1"/>
    </xf>
    <xf numFmtId="0" fontId="75" fillId="6" borderId="73" xfId="13" applyFont="1" applyFill="1" applyBorder="1"/>
    <xf numFmtId="179" fontId="108" fillId="6" borderId="74" xfId="13" applyNumberFormat="1" applyFont="1" applyFill="1" applyBorder="1" applyAlignment="1">
      <alignment horizontal="left" vertical="center"/>
    </xf>
    <xf numFmtId="0" fontId="108" fillId="6" borderId="75" xfId="13" applyFont="1" applyFill="1" applyBorder="1"/>
    <xf numFmtId="0" fontId="75" fillId="0" borderId="0" xfId="13" applyFont="1" applyBorder="1"/>
    <xf numFmtId="0" fontId="79" fillId="6" borderId="0" xfId="13" applyFont="1" applyFill="1" applyBorder="1" applyAlignment="1">
      <alignment horizontal="right" vertical="center"/>
    </xf>
    <xf numFmtId="9" fontId="78" fillId="6" borderId="0" xfId="18" applyFont="1" applyFill="1" applyBorder="1" applyAlignment="1">
      <alignment vertical="center"/>
    </xf>
    <xf numFmtId="183" fontId="78" fillId="6" borderId="0" xfId="18" applyNumberFormat="1" applyFont="1" applyFill="1" applyBorder="1" applyAlignment="1">
      <alignment vertical="center"/>
    </xf>
    <xf numFmtId="0" fontId="90" fillId="6" borderId="74" xfId="13" applyFont="1" applyFill="1" applyBorder="1" applyAlignment="1">
      <alignment horizontal="right" vertical="center"/>
    </xf>
    <xf numFmtId="0" fontId="89" fillId="6" borderId="74" xfId="13" applyFont="1" applyFill="1" applyBorder="1" applyAlignment="1">
      <alignment vertical="center"/>
    </xf>
    <xf numFmtId="9" fontId="78" fillId="6" borderId="74" xfId="18" applyFont="1" applyFill="1" applyBorder="1" applyAlignment="1">
      <alignment vertical="center"/>
    </xf>
    <xf numFmtId="183" fontId="78" fillId="6" borderId="74" xfId="18" applyNumberFormat="1" applyFont="1" applyFill="1" applyBorder="1" applyAlignment="1">
      <alignment vertical="center"/>
    </xf>
    <xf numFmtId="0" fontId="85" fillId="6" borderId="74" xfId="13" applyFont="1" applyFill="1" applyBorder="1" applyAlignment="1">
      <alignment horizontal="right"/>
    </xf>
    <xf numFmtId="0" fontId="89" fillId="6" borderId="74" xfId="13" applyFont="1" applyFill="1" applyBorder="1"/>
    <xf numFmtId="170" fontId="108" fillId="6" borderId="0" xfId="13" applyNumberFormat="1" applyFont="1" applyFill="1" applyBorder="1" applyAlignment="1">
      <alignment vertical="center"/>
    </xf>
    <xf numFmtId="0" fontId="90" fillId="6" borderId="0" xfId="13" applyFont="1" applyFill="1" applyBorder="1" applyAlignment="1">
      <alignment horizontal="right"/>
    </xf>
    <xf numFmtId="0" fontId="78" fillId="6" borderId="0" xfId="13" applyFont="1" applyFill="1" applyBorder="1"/>
    <xf numFmtId="0" fontId="84" fillId="11" borderId="71" xfId="13" applyFont="1" applyFill="1" applyBorder="1" applyAlignment="1">
      <alignment horizontal="left" vertical="top" wrapText="1"/>
    </xf>
    <xf numFmtId="0" fontId="84" fillId="11" borderId="72" xfId="13" applyFont="1" applyFill="1" applyBorder="1" applyAlignment="1">
      <alignment horizontal="left" vertical="top" wrapText="1"/>
    </xf>
    <xf numFmtId="0" fontId="79" fillId="0" borderId="0" xfId="13" applyFont="1" applyFill="1" applyBorder="1" applyAlignment="1">
      <alignment horizontal="left" vertical="center"/>
    </xf>
    <xf numFmtId="179" fontId="89" fillId="6" borderId="0" xfId="13" applyNumberFormat="1" applyFont="1" applyFill="1" applyBorder="1" applyAlignment="1">
      <alignment vertical="center"/>
    </xf>
    <xf numFmtId="0" fontId="75" fillId="0" borderId="71" xfId="13" applyFont="1" applyBorder="1"/>
    <xf numFmtId="0" fontId="75" fillId="0" borderId="0" xfId="13" applyFont="1" applyBorder="1" applyAlignment="1">
      <alignment horizontal="left"/>
    </xf>
    <xf numFmtId="0" fontId="75" fillId="0" borderId="72" xfId="13" applyFont="1" applyBorder="1"/>
    <xf numFmtId="0" fontId="75" fillId="0" borderId="73" xfId="13" applyFont="1" applyBorder="1"/>
    <xf numFmtId="0" fontId="90" fillId="6" borderId="74" xfId="13" applyFont="1" applyFill="1" applyBorder="1" applyAlignment="1">
      <alignment vertical="center" wrapText="1"/>
    </xf>
    <xf numFmtId="0" fontId="90" fillId="6" borderId="0" xfId="13" applyFont="1" applyFill="1" applyBorder="1" applyAlignment="1">
      <alignment vertical="center" wrapText="1"/>
    </xf>
    <xf numFmtId="179" fontId="106" fillId="6" borderId="0" xfId="13" applyNumberFormat="1" applyFont="1" applyFill="1" applyAlignment="1">
      <alignment vertical="top" wrapText="1"/>
    </xf>
    <xf numFmtId="0" fontId="90" fillId="6" borderId="0" xfId="13" applyFont="1" applyFill="1" applyAlignment="1">
      <alignment vertical="center" wrapText="1"/>
    </xf>
    <xf numFmtId="0" fontId="90" fillId="6" borderId="0" xfId="13" applyFont="1" applyFill="1" applyBorder="1" applyAlignment="1">
      <alignment horizontal="center" vertical="center" wrapText="1"/>
    </xf>
    <xf numFmtId="0" fontId="109" fillId="6" borderId="0" xfId="13" applyFont="1" applyFill="1" applyBorder="1" applyAlignment="1">
      <alignment horizontal="center" vertical="center" wrapText="1"/>
    </xf>
    <xf numFmtId="180" fontId="108" fillId="0" borderId="0" xfId="13" applyNumberFormat="1" applyFont="1" applyBorder="1" applyAlignment="1">
      <alignment horizontal="center" vertical="center" wrapText="1"/>
    </xf>
    <xf numFmtId="0" fontId="83" fillId="11" borderId="72" xfId="13" applyFont="1" applyFill="1" applyBorder="1" applyAlignment="1">
      <alignment vertical="center" wrapText="1"/>
    </xf>
    <xf numFmtId="179" fontId="96" fillId="11" borderId="72" xfId="13" applyNumberFormat="1" applyFont="1" applyFill="1" applyBorder="1" applyAlignment="1"/>
    <xf numFmtId="0" fontId="75" fillId="6" borderId="79" xfId="13" applyFont="1" applyFill="1" applyBorder="1" applyAlignment="1">
      <alignment horizontal="left" vertical="center"/>
    </xf>
    <xf numFmtId="0" fontId="75" fillId="6" borderId="0" xfId="13" applyFont="1" applyFill="1" applyBorder="1" applyAlignment="1">
      <alignment horizontal="left" vertical="center"/>
    </xf>
    <xf numFmtId="0" fontId="75" fillId="6" borderId="0" xfId="13" applyFont="1" applyFill="1" applyBorder="1" applyAlignment="1">
      <alignment horizontal="left"/>
    </xf>
    <xf numFmtId="0" fontId="75" fillId="6" borderId="80" xfId="13" applyFont="1" applyFill="1" applyBorder="1" applyAlignment="1">
      <alignment horizontal="left"/>
    </xf>
    <xf numFmtId="0" fontId="75" fillId="6" borderId="0" xfId="13" applyFont="1" applyFill="1" applyBorder="1" applyAlignment="1" applyProtection="1">
      <alignment horizontal="left" vertical="center" wrapText="1"/>
      <protection hidden="1"/>
    </xf>
    <xf numFmtId="0" fontId="75" fillId="6" borderId="124" xfId="13" applyFont="1" applyFill="1" applyBorder="1" applyAlignment="1" applyProtection="1">
      <alignment horizontal="left" vertical="center" wrapText="1"/>
      <protection hidden="1"/>
    </xf>
    <xf numFmtId="0" fontId="75" fillId="6" borderId="79" xfId="13" applyFont="1" applyFill="1" applyBorder="1"/>
    <xf numFmtId="0" fontId="75" fillId="6" borderId="78" xfId="13" applyFont="1" applyFill="1" applyBorder="1"/>
    <xf numFmtId="0" fontId="75" fillId="0" borderId="72" xfId="0" applyFont="1" applyBorder="1"/>
    <xf numFmtId="0" fontId="75" fillId="6" borderId="91" xfId="13" applyFont="1" applyFill="1" applyBorder="1"/>
    <xf numFmtId="0" fontId="75" fillId="6" borderId="77" xfId="13" applyFont="1" applyFill="1" applyBorder="1"/>
    <xf numFmtId="0" fontId="83" fillId="11" borderId="77" xfId="13" applyFont="1" applyFill="1" applyBorder="1" applyAlignment="1">
      <alignment horizontal="center" vertical="center" wrapText="1"/>
    </xf>
    <xf numFmtId="0" fontId="83" fillId="11" borderId="76" xfId="13" applyFont="1" applyFill="1" applyBorder="1" applyAlignment="1">
      <alignment vertical="center" wrapText="1"/>
    </xf>
    <xf numFmtId="0" fontId="106" fillId="0" borderId="0" xfId="13" applyFont="1" applyFill="1" applyBorder="1" applyAlignment="1">
      <alignment vertical="center"/>
    </xf>
    <xf numFmtId="175" fontId="106" fillId="0" borderId="0" xfId="12" applyNumberFormat="1" applyFont="1" applyFill="1" applyBorder="1" applyAlignment="1">
      <alignment vertical="center" wrapText="1"/>
    </xf>
    <xf numFmtId="0" fontId="106" fillId="0" borderId="0" xfId="13" applyFont="1" applyFill="1" applyBorder="1" applyAlignment="1">
      <alignment horizontal="center" vertical="center"/>
    </xf>
    <xf numFmtId="175" fontId="106" fillId="0" borderId="0" xfId="18" applyNumberFormat="1" applyFont="1" applyFill="1" applyBorder="1" applyAlignment="1">
      <alignment horizontal="right" vertical="center"/>
    </xf>
    <xf numFmtId="0" fontId="84" fillId="0" borderId="0" xfId="13" applyFont="1" applyFill="1" applyBorder="1" applyAlignment="1">
      <alignment horizontal="left" vertical="center" wrapText="1"/>
    </xf>
    <xf numFmtId="0" fontId="84" fillId="0" borderId="0" xfId="13" applyFont="1" applyFill="1" applyBorder="1" applyAlignment="1">
      <alignment horizontal="left" wrapText="1"/>
    </xf>
    <xf numFmtId="0" fontId="78" fillId="11" borderId="0" xfId="13" applyFont="1" applyFill="1" applyBorder="1" applyAlignment="1">
      <alignment vertical="top" wrapText="1"/>
    </xf>
    <xf numFmtId="0" fontId="78" fillId="11" borderId="0" xfId="13" applyFont="1" applyFill="1" applyBorder="1" applyAlignment="1">
      <alignment horizontal="left" vertical="top" wrapText="1"/>
    </xf>
    <xf numFmtId="0" fontId="85" fillId="11" borderId="0" xfId="13" applyFont="1" applyFill="1" applyBorder="1" applyAlignment="1">
      <alignment horizontal="left" vertical="top" wrapText="1"/>
    </xf>
    <xf numFmtId="0" fontId="85" fillId="6" borderId="90" xfId="13" applyFont="1" applyFill="1" applyBorder="1" applyAlignment="1">
      <alignment horizontal="center"/>
    </xf>
    <xf numFmtId="192" fontId="85" fillId="17" borderId="90" xfId="18" applyNumberFormat="1" applyFont="1" applyFill="1" applyBorder="1" applyAlignment="1">
      <alignment horizontal="center"/>
    </xf>
    <xf numFmtId="183" fontId="85" fillId="17" borderId="90" xfId="18" applyNumberFormat="1" applyFont="1" applyFill="1" applyBorder="1" applyAlignment="1">
      <alignment horizontal="center"/>
    </xf>
    <xf numFmtId="192" fontId="85" fillId="17" borderId="90" xfId="13" applyNumberFormat="1" applyFont="1" applyFill="1" applyBorder="1"/>
    <xf numFmtId="202" fontId="75" fillId="6" borderId="0" xfId="13" applyNumberFormat="1" applyFont="1" applyFill="1" applyBorder="1"/>
    <xf numFmtId="0" fontId="75" fillId="6" borderId="0" xfId="13" applyFont="1" applyFill="1" applyBorder="1" applyAlignment="1"/>
    <xf numFmtId="0" fontId="75" fillId="6" borderId="0" xfId="13" applyFont="1" applyFill="1" applyBorder="1" applyAlignment="1">
      <alignment vertical="center"/>
    </xf>
    <xf numFmtId="0" fontId="80" fillId="11" borderId="0" xfId="13" applyFont="1" applyFill="1" applyAlignment="1">
      <alignment horizontal="center" vertical="center"/>
    </xf>
    <xf numFmtId="0" fontId="85" fillId="0" borderId="0" xfId="13" applyFont="1" applyFill="1" applyBorder="1" applyAlignment="1">
      <alignment horizontal="right" vertical="center"/>
    </xf>
    <xf numFmtId="179" fontId="78" fillId="6" borderId="0" xfId="13" applyNumberFormat="1" applyFont="1" applyFill="1" applyBorder="1" applyAlignment="1">
      <alignment vertical="center"/>
    </xf>
    <xf numFmtId="0" fontId="85" fillId="6" borderId="0" xfId="13" applyFont="1" applyFill="1" applyBorder="1" applyAlignment="1">
      <alignment horizontal="center" vertical="center"/>
    </xf>
    <xf numFmtId="0" fontId="75" fillId="6" borderId="0" xfId="13" applyFont="1" applyFill="1" applyBorder="1" applyAlignment="1">
      <alignment horizontal="center" vertical="center"/>
    </xf>
    <xf numFmtId="0" fontId="75" fillId="6" borderId="0" xfId="13" applyFont="1" applyFill="1" applyAlignment="1">
      <alignment horizontal="center" vertical="center"/>
    </xf>
    <xf numFmtId="0" fontId="110" fillId="0" borderId="0" xfId="13" applyFont="1" applyAlignment="1">
      <alignment horizontal="center" vertical="center" wrapText="1"/>
    </xf>
    <xf numFmtId="180" fontId="75" fillId="0" borderId="0" xfId="13" applyNumberFormat="1" applyFont="1" applyAlignment="1">
      <alignment horizontal="center" vertical="center" wrapText="1"/>
    </xf>
    <xf numFmtId="0" fontId="85" fillId="11" borderId="0" xfId="13" applyFont="1" applyFill="1" applyBorder="1" applyAlignment="1">
      <alignment horizontal="center" vertical="center" wrapText="1"/>
    </xf>
    <xf numFmtId="0" fontId="75" fillId="0" borderId="0" xfId="0" applyFont="1" applyBorder="1"/>
    <xf numFmtId="0" fontId="85" fillId="6" borderId="0" xfId="13" applyFont="1" applyFill="1" applyBorder="1" applyAlignment="1">
      <alignment horizontal="left" vertical="center"/>
    </xf>
    <xf numFmtId="0" fontId="85" fillId="6" borderId="72" xfId="13" applyFont="1" applyFill="1" applyBorder="1" applyAlignment="1">
      <alignment horizontal="left" vertical="center"/>
    </xf>
    <xf numFmtId="0" fontId="85" fillId="11" borderId="0" xfId="13" applyFont="1" applyFill="1" applyBorder="1" applyAlignment="1">
      <alignment horizontal="left" vertical="center"/>
    </xf>
    <xf numFmtId="0" fontId="111" fillId="11" borderId="71" xfId="13" applyFont="1" applyFill="1" applyBorder="1" applyAlignment="1">
      <alignment vertical="center" wrapText="1"/>
    </xf>
    <xf numFmtId="0" fontId="111" fillId="11" borderId="0" xfId="13" applyFont="1" applyFill="1" applyBorder="1" applyAlignment="1">
      <alignment vertical="center" wrapText="1"/>
    </xf>
    <xf numFmtId="0" fontId="111" fillId="11" borderId="0" xfId="13" applyFont="1" applyFill="1" applyBorder="1" applyAlignment="1">
      <alignment horizontal="left" vertical="center" wrapText="1"/>
    </xf>
    <xf numFmtId="0" fontId="111" fillId="11" borderId="72" xfId="13" applyFont="1" applyFill="1" applyBorder="1" applyAlignment="1">
      <alignment vertical="center" wrapText="1"/>
    </xf>
    <xf numFmtId="0" fontId="111" fillId="11" borderId="71" xfId="13" applyFont="1" applyFill="1" applyBorder="1" applyAlignment="1">
      <alignment horizontal="left" vertical="center" wrapText="1"/>
    </xf>
    <xf numFmtId="0" fontId="111" fillId="11" borderId="72" xfId="13" applyFont="1" applyFill="1" applyBorder="1" applyAlignment="1">
      <alignment horizontal="left" vertical="center" wrapText="1"/>
    </xf>
    <xf numFmtId="0" fontId="111" fillId="11" borderId="73" xfId="13" applyFont="1" applyFill="1" applyBorder="1" applyAlignment="1">
      <alignment horizontal="left" vertical="center" wrapText="1"/>
    </xf>
    <xf numFmtId="0" fontId="111" fillId="11" borderId="74" xfId="13" applyFont="1" applyFill="1" applyBorder="1" applyAlignment="1">
      <alignment horizontal="left" vertical="center" wrapText="1"/>
    </xf>
    <xf numFmtId="0" fontId="110" fillId="0" borderId="74" xfId="13" applyFont="1" applyBorder="1" applyAlignment="1">
      <alignment horizontal="center" vertical="center" wrapText="1"/>
    </xf>
    <xf numFmtId="0" fontId="110" fillId="0" borderId="75" xfId="13" applyFont="1" applyBorder="1" applyAlignment="1">
      <alignment horizontal="center" vertical="center" wrapText="1"/>
    </xf>
    <xf numFmtId="193" fontId="75" fillId="6" borderId="0" xfId="13" applyNumberFormat="1" applyFont="1" applyFill="1"/>
    <xf numFmtId="0" fontId="111" fillId="11" borderId="0" xfId="13" applyFont="1" applyFill="1" applyBorder="1" applyAlignment="1">
      <alignment horizontal="left" vertical="top" wrapText="1"/>
    </xf>
    <xf numFmtId="0" fontId="110" fillId="0" borderId="0" xfId="13" applyFont="1" applyAlignment="1">
      <alignment vertical="center" wrapText="1"/>
    </xf>
    <xf numFmtId="0" fontId="75" fillId="6" borderId="0" xfId="13" applyFont="1" applyFill="1" applyAlignment="1">
      <alignment horizontal="left"/>
    </xf>
    <xf numFmtId="0" fontId="90" fillId="6" borderId="0" xfId="13" applyFont="1" applyFill="1" applyBorder="1" applyAlignment="1" applyProtection="1">
      <alignment horizontal="center" vertical="center" wrapText="1"/>
      <protection hidden="1"/>
    </xf>
    <xf numFmtId="0" fontId="84" fillId="19" borderId="90" xfId="13" applyFont="1" applyFill="1" applyBorder="1" applyAlignment="1">
      <alignment horizontal="center" vertical="center"/>
    </xf>
    <xf numFmtId="0" fontId="75" fillId="0" borderId="91" xfId="13" applyFont="1" applyBorder="1"/>
    <xf numFmtId="0" fontId="75" fillId="0" borderId="76" xfId="13" applyFont="1" applyBorder="1"/>
    <xf numFmtId="0" fontId="75" fillId="0" borderId="92" xfId="13" applyFont="1" applyBorder="1"/>
    <xf numFmtId="0" fontId="90" fillId="6" borderId="93" xfId="13" applyFont="1" applyFill="1" applyBorder="1" applyAlignment="1">
      <alignment horizontal="center"/>
    </xf>
    <xf numFmtId="0" fontId="90" fillId="6" borderId="93" xfId="13" applyFont="1" applyFill="1" applyBorder="1" applyAlignment="1" applyProtection="1">
      <alignment horizontal="center" vertical="center" wrapText="1"/>
      <protection hidden="1"/>
    </xf>
    <xf numFmtId="0" fontId="90" fillId="6" borderId="71" xfId="13" applyFont="1" applyFill="1" applyBorder="1" applyAlignment="1">
      <alignment horizontal="center" vertical="center"/>
    </xf>
    <xf numFmtId="0" fontId="90" fillId="6" borderId="72" xfId="13" applyFont="1" applyFill="1" applyBorder="1" applyAlignment="1">
      <alignment horizontal="center"/>
    </xf>
    <xf numFmtId="0" fontId="90" fillId="6" borderId="71" xfId="13" applyFont="1" applyFill="1" applyBorder="1" applyAlignment="1">
      <alignment horizontal="center"/>
    </xf>
    <xf numFmtId="0" fontId="90" fillId="6" borderId="72" xfId="13" applyFont="1" applyFill="1" applyBorder="1" applyAlignment="1">
      <alignment horizontal="center" vertical="center"/>
    </xf>
    <xf numFmtId="168" fontId="90" fillId="6" borderId="71" xfId="13" applyNumberFormat="1" applyFont="1" applyFill="1" applyBorder="1" applyAlignment="1" applyProtection="1">
      <alignment horizontal="center"/>
      <protection hidden="1"/>
    </xf>
    <xf numFmtId="0" fontId="90" fillId="6" borderId="71" xfId="13" applyFont="1" applyFill="1" applyBorder="1" applyAlignment="1">
      <alignment horizontal="center" vertical="center" wrapText="1"/>
    </xf>
    <xf numFmtId="0" fontId="75" fillId="0" borderId="75" xfId="13" applyFont="1" applyBorder="1"/>
    <xf numFmtId="168" fontId="90" fillId="6" borderId="73" xfId="13" applyNumberFormat="1" applyFont="1" applyFill="1" applyBorder="1" applyAlignment="1" applyProtection="1">
      <alignment horizontal="center"/>
      <protection hidden="1"/>
    </xf>
    <xf numFmtId="0" fontId="90" fillId="6" borderId="75" xfId="13" applyFont="1" applyFill="1" applyBorder="1" applyAlignment="1">
      <alignment horizontal="center"/>
    </xf>
    <xf numFmtId="0" fontId="90" fillId="6" borderId="73" xfId="13" applyFont="1" applyFill="1" applyBorder="1" applyAlignment="1">
      <alignment horizontal="center" vertical="center" wrapText="1"/>
    </xf>
    <xf numFmtId="0" fontId="90" fillId="6" borderId="94" xfId="13" applyFont="1" applyFill="1" applyBorder="1" applyAlignment="1">
      <alignment horizontal="center"/>
    </xf>
    <xf numFmtId="0" fontId="90" fillId="6" borderId="94" xfId="13" applyFont="1" applyFill="1" applyBorder="1" applyAlignment="1" applyProtection="1">
      <alignment horizontal="center" vertical="center" wrapText="1"/>
      <protection hidden="1"/>
    </xf>
    <xf numFmtId="0" fontId="90" fillId="6" borderId="0" xfId="13" applyFont="1" applyFill="1"/>
    <xf numFmtId="0" fontId="91" fillId="6" borderId="0" xfId="13" applyFont="1" applyFill="1" applyBorder="1" applyAlignment="1">
      <alignment vertical="center"/>
    </xf>
    <xf numFmtId="0" fontId="106" fillId="6" borderId="0" xfId="13" applyFont="1" applyFill="1" applyBorder="1" applyAlignment="1">
      <alignment vertical="center"/>
    </xf>
    <xf numFmtId="9" fontId="83" fillId="11" borderId="77" xfId="13" applyNumberFormat="1" applyFont="1" applyFill="1" applyBorder="1" applyAlignment="1">
      <alignment horizontal="left" vertical="center"/>
    </xf>
    <xf numFmtId="0" fontId="78" fillId="11" borderId="0" xfId="13" applyFont="1" applyFill="1" applyBorder="1" applyAlignment="1">
      <alignment horizontal="center" vertical="top" wrapText="1"/>
    </xf>
    <xf numFmtId="9" fontId="83" fillId="16" borderId="0" xfId="13" applyNumberFormat="1" applyFont="1" applyFill="1" applyBorder="1" applyAlignment="1">
      <alignment horizontal="left" vertical="center"/>
    </xf>
    <xf numFmtId="0" fontId="84" fillId="16" borderId="0" xfId="13" applyFont="1" applyFill="1" applyBorder="1" applyAlignment="1">
      <alignment horizontal="left" vertical="center" wrapText="1"/>
    </xf>
    <xf numFmtId="0" fontId="75" fillId="16" borderId="0" xfId="13" applyFont="1" applyFill="1"/>
    <xf numFmtId="0" fontId="84" fillId="16" borderId="72" xfId="13" applyFont="1" applyFill="1" applyBorder="1" applyAlignment="1">
      <alignment horizontal="left" vertical="center" wrapText="1"/>
    </xf>
    <xf numFmtId="0" fontId="90" fillId="11" borderId="71" xfId="13" applyFont="1" applyFill="1" applyBorder="1" applyAlignment="1">
      <alignment vertical="top"/>
    </xf>
    <xf numFmtId="0" fontId="90" fillId="11" borderId="73" xfId="13" applyFont="1" applyFill="1" applyBorder="1" applyAlignment="1">
      <alignment vertical="top"/>
    </xf>
    <xf numFmtId="0" fontId="90" fillId="11" borderId="0" xfId="13" applyFont="1" applyFill="1" applyBorder="1" applyAlignment="1">
      <alignment vertical="top"/>
    </xf>
    <xf numFmtId="0" fontId="83" fillId="11" borderId="77" xfId="13" applyFont="1" applyFill="1" applyBorder="1" applyAlignment="1">
      <alignment vertical="center" wrapText="1"/>
    </xf>
    <xf numFmtId="0" fontId="118" fillId="11" borderId="72" xfId="13" applyFont="1" applyFill="1" applyBorder="1" applyAlignment="1">
      <alignment horizontal="left" vertical="center" wrapText="1"/>
    </xf>
    <xf numFmtId="0" fontId="118" fillId="11" borderId="71" xfId="13" applyFont="1" applyFill="1" applyBorder="1" applyAlignment="1">
      <alignment horizontal="left" vertical="center" wrapText="1"/>
    </xf>
    <xf numFmtId="0" fontId="118" fillId="11" borderId="0" xfId="13" applyFont="1" applyFill="1" applyBorder="1" applyAlignment="1">
      <alignment horizontal="left" vertical="center" wrapText="1"/>
    </xf>
    <xf numFmtId="0" fontId="78" fillId="11" borderId="0" xfId="13" applyFont="1" applyFill="1" applyBorder="1" applyAlignment="1">
      <alignment horizontal="right" vertical="top" wrapText="1"/>
    </xf>
    <xf numFmtId="9" fontId="83" fillId="16" borderId="0" xfId="13" applyNumberFormat="1" applyFont="1" applyFill="1" applyBorder="1" applyAlignment="1">
      <alignment horizontal="right" vertical="center" wrapText="1"/>
    </xf>
    <xf numFmtId="0" fontId="118" fillId="16" borderId="0" xfId="13" applyFont="1" applyFill="1" applyBorder="1" applyAlignment="1">
      <alignment horizontal="left" vertical="center" wrapText="1"/>
    </xf>
    <xf numFmtId="0" fontId="118" fillId="11" borderId="73" xfId="13" applyFont="1" applyFill="1" applyBorder="1" applyAlignment="1">
      <alignment horizontal="left" vertical="center" wrapText="1"/>
    </xf>
    <xf numFmtId="0" fontId="118" fillId="11" borderId="74" xfId="13" applyFont="1" applyFill="1" applyBorder="1" applyAlignment="1">
      <alignment horizontal="left" vertical="center" wrapText="1"/>
    </xf>
    <xf numFmtId="0" fontId="118" fillId="11" borderId="75" xfId="13" applyFont="1" applyFill="1" applyBorder="1" applyAlignment="1">
      <alignment horizontal="left" vertical="center" wrapText="1"/>
    </xf>
    <xf numFmtId="0" fontId="75" fillId="0" borderId="0" xfId="13" applyFont="1" applyAlignment="1">
      <alignment vertical="top"/>
    </xf>
    <xf numFmtId="0" fontId="84" fillId="6" borderId="0" xfId="13" applyFont="1" applyFill="1" applyAlignment="1">
      <alignment horizontal="center"/>
    </xf>
    <xf numFmtId="9" fontId="118" fillId="11" borderId="0" xfId="13" applyNumberFormat="1" applyFont="1" applyFill="1" applyBorder="1" applyAlignment="1">
      <alignment horizontal="center" vertical="center" wrapText="1"/>
    </xf>
    <xf numFmtId="0" fontId="97" fillId="11" borderId="0" xfId="13" applyFont="1" applyFill="1"/>
    <xf numFmtId="0" fontId="104" fillId="12" borderId="96"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187" fontId="85" fillId="11" borderId="74" xfId="18" applyNumberFormat="1" applyFont="1" applyFill="1" applyBorder="1" applyAlignment="1">
      <alignment horizontal="center" vertical="center" wrapText="1"/>
    </xf>
    <xf numFmtId="9" fontId="85" fillId="20" borderId="74" xfId="18" applyFont="1" applyFill="1" applyBorder="1" applyAlignment="1">
      <alignment horizontal="center" vertical="center" wrapText="1"/>
    </xf>
    <xf numFmtId="187" fontId="85" fillId="11" borderId="75" xfId="18" applyNumberFormat="1" applyFont="1" applyFill="1" applyBorder="1" applyAlignment="1">
      <alignment horizontal="center" vertical="center" wrapText="1"/>
    </xf>
    <xf numFmtId="0" fontId="85" fillId="11" borderId="81" xfId="13" applyFont="1" applyFill="1" applyBorder="1" applyAlignment="1">
      <alignment horizontal="center" vertical="center" wrapText="1"/>
    </xf>
    <xf numFmtId="187" fontId="85" fillId="11" borderId="81" xfId="18" applyNumberFormat="1" applyFont="1" applyFill="1" applyBorder="1" applyAlignment="1">
      <alignment horizontal="center" vertical="center" wrapText="1"/>
    </xf>
    <xf numFmtId="9" fontId="85" fillId="20" borderId="81" xfId="18" applyFont="1" applyFill="1" applyBorder="1" applyAlignment="1">
      <alignment horizontal="center" vertical="center" wrapText="1"/>
    </xf>
    <xf numFmtId="187" fontId="85" fillId="11" borderId="87" xfId="18" applyNumberFormat="1" applyFont="1" applyFill="1" applyBorder="1" applyAlignment="1">
      <alignment horizontal="center" vertical="center" wrapText="1"/>
    </xf>
    <xf numFmtId="0" fontId="85" fillId="11" borderId="82" xfId="13" applyFont="1" applyFill="1" applyBorder="1" applyAlignment="1">
      <alignment horizontal="center" vertical="center" wrapText="1"/>
    </xf>
    <xf numFmtId="0" fontId="85" fillId="11" borderId="83" xfId="13" applyFont="1" applyFill="1" applyBorder="1" applyAlignment="1">
      <alignment horizontal="center" vertical="center" wrapText="1"/>
    </xf>
    <xf numFmtId="185" fontId="79" fillId="0" borderId="98" xfId="13" applyNumberFormat="1" applyFont="1" applyBorder="1" applyAlignment="1">
      <alignment horizontal="center" vertical="center" wrapText="1"/>
    </xf>
    <xf numFmtId="183" fontId="85" fillId="0" borderId="0" xfId="13" applyNumberFormat="1" applyFont="1" applyBorder="1" applyAlignment="1">
      <alignment horizontal="center" vertical="center" wrapText="1"/>
    </xf>
    <xf numFmtId="0" fontId="85" fillId="6" borderId="0" xfId="13" applyFont="1" applyFill="1" applyAlignment="1">
      <alignment horizontal="right"/>
    </xf>
    <xf numFmtId="185" fontId="79" fillId="0" borderId="95" xfId="13" applyNumberFormat="1" applyFont="1" applyBorder="1" applyAlignment="1">
      <alignment horizontal="center" vertical="center" wrapText="1"/>
    </xf>
    <xf numFmtId="0" fontId="79" fillId="11" borderId="0" xfId="13" applyFont="1" applyFill="1" applyBorder="1" applyAlignment="1">
      <alignment horizontal="center" vertical="center" wrapText="1"/>
    </xf>
    <xf numFmtId="9" fontId="81" fillId="6" borderId="95" xfId="17" applyFont="1" applyFill="1" applyBorder="1" applyAlignment="1">
      <alignment horizontal="center" vertical="center"/>
    </xf>
    <xf numFmtId="0" fontId="120" fillId="12" borderId="0" xfId="13" applyFont="1" applyFill="1" applyBorder="1" applyAlignment="1">
      <alignment horizontal="center" vertical="center" wrapText="1"/>
    </xf>
    <xf numFmtId="9" fontId="81" fillId="6" borderId="82" xfId="17" applyFont="1" applyFill="1" applyBorder="1" applyAlignment="1">
      <alignment horizontal="center" vertical="center"/>
    </xf>
    <xf numFmtId="185" fontId="78" fillId="0" borderId="83" xfId="13" applyNumberFormat="1" applyFont="1" applyBorder="1" applyAlignment="1">
      <alignment horizontal="center" vertical="center" wrapText="1"/>
    </xf>
    <xf numFmtId="0" fontId="78" fillId="11" borderId="82" xfId="13" applyFont="1" applyFill="1" applyBorder="1" applyAlignment="1">
      <alignment horizontal="center" vertical="center" wrapText="1"/>
    </xf>
    <xf numFmtId="0" fontId="78" fillId="11" borderId="83" xfId="13" applyFont="1" applyFill="1" applyBorder="1" applyAlignment="1">
      <alignment horizontal="center" vertical="center" wrapText="1"/>
    </xf>
    <xf numFmtId="0" fontId="111" fillId="11" borderId="0" xfId="13" applyFont="1" applyFill="1" applyAlignment="1">
      <alignment horizontal="left" vertical="center" wrapText="1"/>
    </xf>
    <xf numFmtId="0" fontId="85" fillId="0" borderId="74" xfId="13" applyFont="1" applyFill="1" applyBorder="1" applyAlignment="1">
      <alignment horizontal="center" vertical="center" wrapText="1"/>
    </xf>
    <xf numFmtId="0" fontId="85" fillId="0" borderId="81" xfId="13" applyFont="1" applyFill="1" applyBorder="1" applyAlignment="1">
      <alignment horizontal="center" vertical="center" wrapText="1"/>
    </xf>
    <xf numFmtId="0" fontId="85" fillId="0" borderId="77" xfId="13" applyFont="1" applyFill="1" applyBorder="1" applyAlignment="1">
      <alignment horizontal="center" vertical="center" wrapText="1"/>
    </xf>
    <xf numFmtId="0" fontId="85" fillId="0" borderId="83" xfId="13" applyFont="1" applyBorder="1" applyAlignment="1">
      <alignment horizontal="center" vertical="center"/>
    </xf>
    <xf numFmtId="3" fontId="100" fillId="6" borderId="0" xfId="13" applyNumberFormat="1" applyFont="1" applyFill="1" applyBorder="1" applyAlignment="1"/>
    <xf numFmtId="3" fontId="100" fillId="6" borderId="72" xfId="13" applyNumberFormat="1" applyFont="1" applyFill="1" applyBorder="1" applyAlignment="1"/>
    <xf numFmtId="0" fontId="84" fillId="6" borderId="72" xfId="13" applyFont="1" applyFill="1" applyBorder="1"/>
    <xf numFmtId="169" fontId="89" fillId="6" borderId="0" xfId="12" applyNumberFormat="1" applyFont="1" applyFill="1" applyBorder="1" applyAlignment="1">
      <alignment horizontal="center" vertical="center" wrapText="1"/>
    </xf>
    <xf numFmtId="9" fontId="89" fillId="6" borderId="0" xfId="13" applyNumberFormat="1" applyFont="1" applyFill="1" applyBorder="1" applyAlignment="1">
      <alignment horizontal="center" vertical="center"/>
    </xf>
    <xf numFmtId="191" fontId="89" fillId="6" borderId="0" xfId="12" applyNumberFormat="1" applyFont="1" applyFill="1" applyBorder="1" applyAlignment="1">
      <alignment horizontal="center" vertical="center"/>
    </xf>
    <xf numFmtId="0" fontId="84" fillId="0" borderId="72" xfId="13" applyFont="1" applyBorder="1"/>
    <xf numFmtId="3" fontId="100" fillId="6" borderId="71" xfId="13" applyNumberFormat="1" applyFont="1" applyFill="1" applyBorder="1" applyAlignment="1"/>
    <xf numFmtId="180" fontId="89" fillId="0" borderId="0" xfId="13" applyNumberFormat="1" applyFont="1" applyFill="1" applyBorder="1" applyAlignment="1">
      <alignment horizontal="center"/>
    </xf>
    <xf numFmtId="0" fontId="80" fillId="11" borderId="71" xfId="13" applyFont="1" applyFill="1" applyBorder="1"/>
    <xf numFmtId="0" fontId="113" fillId="0" borderId="0" xfId="13" applyFont="1" applyAlignment="1">
      <alignment horizontal="left" vertical="top" wrapText="1"/>
    </xf>
    <xf numFmtId="0" fontId="75" fillId="0" borderId="0" xfId="13" applyFont="1" applyAlignment="1">
      <alignment horizontal="left" wrapText="1"/>
    </xf>
    <xf numFmtId="0" fontId="75" fillId="11" borderId="0" xfId="13" applyFont="1" applyFill="1" applyAlignment="1">
      <alignment vertical="top"/>
    </xf>
    <xf numFmtId="0" fontId="75" fillId="27" borderId="0" xfId="13" applyFont="1" applyFill="1"/>
    <xf numFmtId="0" fontId="75" fillId="28" borderId="0" xfId="13" applyFont="1" applyFill="1"/>
    <xf numFmtId="0" fontId="75" fillId="0" borderId="0" xfId="13" applyFont="1" applyAlignment="1">
      <alignment horizontal="left" vertical="top" wrapText="1"/>
    </xf>
    <xf numFmtId="0" fontId="79" fillId="6" borderId="0" xfId="13" applyFont="1" applyFill="1" applyAlignment="1">
      <alignment horizontal="left" vertical="center" wrapText="1"/>
    </xf>
    <xf numFmtId="0" fontId="79" fillId="11" borderId="0" xfId="13" applyFont="1" applyFill="1" applyBorder="1" applyAlignment="1">
      <alignment horizontal="left" vertical="center" wrapText="1"/>
    </xf>
    <xf numFmtId="0" fontId="79" fillId="6" borderId="0" xfId="13" applyFont="1" applyFill="1" applyAlignment="1">
      <alignment horizontal="left" vertical="top" wrapText="1"/>
    </xf>
    <xf numFmtId="0" fontId="85" fillId="6" borderId="0" xfId="13" applyFont="1" applyFill="1" applyBorder="1" applyAlignment="1">
      <alignment vertical="center" wrapText="1"/>
    </xf>
    <xf numFmtId="0" fontId="78" fillId="11" borderId="0" xfId="13" applyFont="1" applyFill="1" applyBorder="1" applyAlignment="1">
      <alignment horizontal="center" vertical="top" wrapText="1"/>
    </xf>
    <xf numFmtId="0" fontId="83" fillId="11" borderId="0" xfId="13" applyFont="1" applyFill="1" applyBorder="1" applyAlignment="1">
      <alignment horizontal="center" vertical="center" wrapText="1"/>
    </xf>
    <xf numFmtId="0" fontId="84" fillId="11" borderId="71" xfId="13" applyFont="1" applyFill="1" applyBorder="1" applyAlignment="1">
      <alignment horizontal="left"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3" fillId="11" borderId="77" xfId="13" applyFont="1" applyFill="1" applyBorder="1" applyAlignment="1">
      <alignment horizontal="left" wrapText="1"/>
    </xf>
    <xf numFmtId="0" fontId="84" fillId="11" borderId="0" xfId="13" applyFont="1" applyFill="1" applyAlignment="1">
      <alignment horizontal="left" vertical="center" wrapText="1"/>
    </xf>
    <xf numFmtId="0" fontId="83" fillId="11" borderId="77" xfId="13" applyFont="1" applyFill="1" applyBorder="1" applyAlignment="1">
      <alignment horizontal="center" vertical="center" wrapText="1"/>
    </xf>
    <xf numFmtId="0" fontId="95" fillId="11" borderId="0" xfId="13" applyFont="1" applyFill="1" applyBorder="1" applyAlignment="1">
      <alignment horizontal="left"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90" fillId="6" borderId="72" xfId="13" applyFont="1" applyFill="1" applyBorder="1" applyAlignment="1">
      <alignment horizontal="center" vertical="center"/>
    </xf>
    <xf numFmtId="0" fontId="90" fillId="6" borderId="71" xfId="13" applyFont="1" applyFill="1" applyBorder="1" applyAlignment="1">
      <alignment horizontal="center" vertical="center"/>
    </xf>
    <xf numFmtId="0" fontId="84" fillId="0" borderId="0" xfId="13" applyFont="1" applyFill="1" applyBorder="1" applyAlignment="1">
      <alignment horizontal="left" vertical="center" wrapText="1"/>
    </xf>
    <xf numFmtId="185" fontId="78" fillId="0" borderId="83" xfId="13" applyNumberFormat="1" applyFont="1" applyBorder="1" applyAlignment="1">
      <alignment horizontal="center" vertical="center" wrapText="1"/>
    </xf>
    <xf numFmtId="0" fontId="85" fillId="11" borderId="81" xfId="13" applyFont="1" applyFill="1" applyBorder="1" applyAlignment="1">
      <alignment horizontal="center" vertical="center" wrapText="1"/>
    </xf>
    <xf numFmtId="0" fontId="83" fillId="11" borderId="0" xfId="13" applyFont="1" applyFill="1" applyAlignment="1">
      <alignment horizontal="left" wrapText="1"/>
    </xf>
    <xf numFmtId="0" fontId="104" fillId="12" borderId="96" xfId="13" applyFont="1" applyFill="1" applyBorder="1" applyAlignment="1">
      <alignment horizontal="center" vertical="center" wrapText="1"/>
    </xf>
    <xf numFmtId="0" fontId="85" fillId="0" borderId="81" xfId="13" applyFont="1" applyFill="1" applyBorder="1" applyAlignment="1">
      <alignment horizontal="center" vertical="center" wrapText="1"/>
    </xf>
    <xf numFmtId="0" fontId="85" fillId="0" borderId="74"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120" fillId="12" borderId="0" xfId="13" applyFont="1" applyFill="1" applyBorder="1" applyAlignment="1">
      <alignment horizontal="center" vertical="center" wrapText="1"/>
    </xf>
    <xf numFmtId="194" fontId="79" fillId="6" borderId="0" xfId="14" applyNumberFormat="1" applyFont="1" applyFill="1" applyAlignment="1">
      <alignment horizontal="left" vertical="center"/>
    </xf>
    <xf numFmtId="0" fontId="85" fillId="6" borderId="0" xfId="14" applyFont="1" applyFill="1" applyAlignment="1">
      <alignment horizontal="left" vertical="center"/>
    </xf>
    <xf numFmtId="0" fontId="79" fillId="6" borderId="0" xfId="14" applyFont="1" applyFill="1" applyAlignment="1">
      <alignment horizontal="left" vertical="center"/>
    </xf>
    <xf numFmtId="0" fontId="79" fillId="11" borderId="0" xfId="13" applyFont="1" applyFill="1" applyBorder="1" applyAlignment="1">
      <alignment horizontal="left" vertical="center" wrapText="1"/>
    </xf>
    <xf numFmtId="0" fontId="85" fillId="0" borderId="77" xfId="13" applyFont="1" applyFill="1" applyBorder="1" applyAlignment="1">
      <alignment horizontal="center" vertical="center" wrapText="1"/>
    </xf>
    <xf numFmtId="0" fontId="113" fillId="6" borderId="0" xfId="13" applyFont="1" applyFill="1" applyAlignment="1">
      <alignment vertical="center" wrapText="1"/>
    </xf>
    <xf numFmtId="0" fontId="85" fillId="11" borderId="0"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0" fontId="85" fillId="6" borderId="90" xfId="13" applyFont="1" applyFill="1" applyBorder="1" applyAlignment="1">
      <alignment horizontal="center"/>
    </xf>
    <xf numFmtId="0" fontId="78" fillId="11" borderId="0" xfId="13" applyFont="1" applyFill="1" applyBorder="1" applyAlignment="1">
      <alignment horizontal="left" vertical="top" wrapText="1"/>
    </xf>
    <xf numFmtId="0" fontId="79" fillId="6" borderId="0" xfId="13" applyFont="1" applyFill="1" applyAlignment="1">
      <alignment horizontal="left" vertical="center" wrapText="1"/>
    </xf>
    <xf numFmtId="0" fontId="113" fillId="0" borderId="0" xfId="13" applyFont="1" applyAlignment="1">
      <alignment horizontal="left" vertical="top" wrapText="1"/>
    </xf>
    <xf numFmtId="0" fontId="110" fillId="0" borderId="0" xfId="13" applyFont="1" applyAlignment="1">
      <alignment horizontal="center" vertical="center" wrapText="1"/>
    </xf>
    <xf numFmtId="0" fontId="110" fillId="0" borderId="74" xfId="13" applyFont="1" applyBorder="1" applyAlignment="1">
      <alignment horizontal="center" vertical="center" wrapText="1"/>
    </xf>
    <xf numFmtId="0" fontId="84" fillId="11" borderId="0" xfId="13" applyFont="1" applyFill="1" applyBorder="1" applyAlignment="1">
      <alignment horizontal="left" vertical="center" wrapText="1"/>
    </xf>
    <xf numFmtId="0" fontId="84" fillId="11" borderId="71" xfId="13" applyFont="1" applyFill="1" applyBorder="1" applyAlignment="1">
      <alignment horizontal="left" vertical="center" wrapText="1"/>
    </xf>
    <xf numFmtId="0" fontId="113" fillId="0" borderId="0" xfId="13" applyFont="1" applyAlignment="1">
      <alignment horizontal="left" vertical="top" wrapText="1"/>
    </xf>
    <xf numFmtId="0" fontId="83" fillId="11" borderId="0" xfId="13" applyFont="1" applyFill="1" applyAlignment="1">
      <alignment horizontal="left" wrapText="1"/>
    </xf>
    <xf numFmtId="0" fontId="84" fillId="11" borderId="72" xfId="13" applyFont="1" applyFill="1" applyBorder="1" applyAlignment="1">
      <alignment horizontal="left" vertical="center" wrapText="1"/>
    </xf>
    <xf numFmtId="0" fontId="78" fillId="11" borderId="0" xfId="13" applyFont="1" applyFill="1" applyBorder="1" applyAlignment="1">
      <alignment horizontal="left" vertical="top" wrapText="1"/>
    </xf>
    <xf numFmtId="0" fontId="85" fillId="11" borderId="0" xfId="13" applyFont="1" applyFill="1" applyBorder="1" applyAlignment="1">
      <alignment horizontal="center" vertical="center" wrapText="1"/>
    </xf>
    <xf numFmtId="0" fontId="83" fillId="11" borderId="0" xfId="13" applyFont="1" applyFill="1" applyBorder="1" applyAlignment="1">
      <alignment horizontal="center" vertical="center" wrapText="1"/>
    </xf>
    <xf numFmtId="0" fontId="80" fillId="11" borderId="0" xfId="13" applyFont="1" applyFill="1" applyAlignment="1">
      <alignment vertical="center"/>
    </xf>
    <xf numFmtId="0" fontId="83" fillId="11" borderId="71" xfId="13" applyFont="1" applyFill="1" applyBorder="1" applyAlignment="1">
      <alignment horizontal="left" vertical="center" wrapText="1"/>
    </xf>
    <xf numFmtId="0" fontId="83" fillId="11" borderId="0" xfId="13" applyFont="1" applyFill="1" applyBorder="1" applyAlignment="1">
      <alignment horizontal="left" vertical="center" wrapText="1"/>
    </xf>
    <xf numFmtId="0" fontId="110" fillId="0" borderId="74" xfId="13" applyFont="1" applyBorder="1" applyAlignment="1">
      <alignment vertical="center" wrapText="1"/>
    </xf>
    <xf numFmtId="196" fontId="79" fillId="0" borderId="95" xfId="13" applyNumberFormat="1" applyFont="1" applyBorder="1" applyAlignment="1">
      <alignment horizontal="center" vertical="center" wrapText="1"/>
    </xf>
    <xf numFmtId="196" fontId="79" fillId="0" borderId="90" xfId="13" applyNumberFormat="1" applyFont="1" applyBorder="1" applyAlignment="1">
      <alignment horizontal="center" vertical="center" wrapText="1"/>
    </xf>
    <xf numFmtId="185" fontId="79" fillId="0" borderId="90" xfId="13" applyNumberFormat="1" applyFont="1" applyBorder="1" applyAlignment="1">
      <alignment horizontal="center" vertical="center" wrapText="1"/>
    </xf>
    <xf numFmtId="9" fontId="81" fillId="6" borderId="90" xfId="17" applyFont="1" applyFill="1" applyBorder="1" applyAlignment="1">
      <alignment horizontal="center" vertical="center"/>
    </xf>
    <xf numFmtId="0" fontId="120" fillId="12" borderId="90" xfId="13" applyFont="1" applyFill="1" applyBorder="1" applyAlignment="1">
      <alignment horizontal="center" vertical="center" wrapText="1"/>
    </xf>
    <xf numFmtId="185" fontId="78" fillId="0" borderId="90" xfId="13" applyNumberFormat="1" applyFont="1" applyBorder="1" applyAlignment="1">
      <alignment horizontal="center" vertical="center" wrapText="1"/>
    </xf>
    <xf numFmtId="9" fontId="78" fillId="6" borderId="0" xfId="17" applyFont="1" applyFill="1" applyBorder="1" applyAlignment="1">
      <alignment horizontal="left" vertical="center"/>
    </xf>
    <xf numFmtId="0" fontId="104" fillId="12" borderId="99" xfId="13" applyFont="1" applyFill="1" applyBorder="1" applyAlignment="1">
      <alignment horizontal="center" vertical="center" wrapText="1"/>
    </xf>
    <xf numFmtId="187" fontId="85" fillId="16" borderId="81" xfId="18" applyNumberFormat="1" applyFont="1" applyFill="1" applyBorder="1" applyAlignment="1">
      <alignment horizontal="center" vertical="center" wrapText="1"/>
    </xf>
    <xf numFmtId="197" fontId="79" fillId="11" borderId="81" xfId="13" applyNumberFormat="1" applyFont="1" applyFill="1" applyBorder="1" applyAlignment="1">
      <alignment horizontal="center" vertical="center" wrapText="1"/>
    </xf>
    <xf numFmtId="0" fontId="123" fillId="11" borderId="0" xfId="13" applyFont="1" applyFill="1" applyAlignment="1">
      <alignment vertical="top" wrapText="1"/>
    </xf>
    <xf numFmtId="0" fontId="84" fillId="11" borderId="0" xfId="13" applyFont="1" applyFill="1" applyBorder="1" applyAlignment="1">
      <alignment horizontal="left" vertical="center" wrapText="1"/>
    </xf>
    <xf numFmtId="0" fontId="84" fillId="11" borderId="71" xfId="13" applyFont="1" applyFill="1" applyBorder="1" applyAlignment="1">
      <alignment horizontal="left" vertical="center" wrapText="1"/>
    </xf>
    <xf numFmtId="0" fontId="83" fillId="11" borderId="0" xfId="13" applyFont="1" applyFill="1" applyAlignment="1">
      <alignment horizontal="left" wrapText="1"/>
    </xf>
    <xf numFmtId="0" fontId="110" fillId="0" borderId="0" xfId="13" applyFont="1" applyAlignment="1">
      <alignment horizontal="center" vertical="center" wrapText="1"/>
    </xf>
    <xf numFmtId="0" fontId="110" fillId="0" borderId="74" xfId="13" applyFont="1" applyBorder="1" applyAlignment="1">
      <alignment horizontal="center" vertical="center" wrapText="1"/>
    </xf>
    <xf numFmtId="0" fontId="84" fillId="11" borderId="72" xfId="13" applyFont="1" applyFill="1" applyBorder="1" applyAlignment="1">
      <alignment horizontal="left" vertical="center" wrapText="1"/>
    </xf>
    <xf numFmtId="0" fontId="78" fillId="11" borderId="0" xfId="13" applyFont="1" applyFill="1" applyBorder="1" applyAlignment="1">
      <alignment horizontal="left" vertical="top" wrapText="1"/>
    </xf>
    <xf numFmtId="0" fontId="83" fillId="11" borderId="77" xfId="13" applyFont="1" applyFill="1" applyBorder="1" applyAlignment="1">
      <alignment horizontal="left" wrapText="1"/>
    </xf>
    <xf numFmtId="0" fontId="85" fillId="11" borderId="0" xfId="13" applyFont="1" applyFill="1" applyBorder="1" applyAlignment="1">
      <alignment horizontal="center" vertical="center" wrapText="1"/>
    </xf>
    <xf numFmtId="0" fontId="83" fillId="11" borderId="0" xfId="13" applyFont="1" applyFill="1" applyBorder="1" applyAlignment="1">
      <alignment horizontal="center" vertical="center" wrapText="1"/>
    </xf>
    <xf numFmtId="0" fontId="3" fillId="0" borderId="89" xfId="0" applyFont="1" applyBorder="1" applyAlignment="1">
      <alignment horizontal="center" vertical="center" wrapText="1"/>
    </xf>
    <xf numFmtId="0" fontId="0" fillId="0" borderId="18" xfId="0" applyBorder="1" applyAlignment="1">
      <alignment horizontal="center"/>
    </xf>
    <xf numFmtId="0" fontId="3" fillId="0" borderId="1" xfId="0" applyFont="1" applyBorder="1" applyAlignment="1">
      <alignment horizontal="right"/>
    </xf>
    <xf numFmtId="0" fontId="3" fillId="0" borderId="0" xfId="0" applyFont="1"/>
    <xf numFmtId="0" fontId="11" fillId="0" borderId="63" xfId="0" applyFont="1" applyFill="1" applyBorder="1"/>
    <xf numFmtId="0" fontId="11" fillId="0" borderId="64" xfId="0" applyFont="1" applyFill="1" applyBorder="1"/>
    <xf numFmtId="0" fontId="84" fillId="11" borderId="71" xfId="13" applyFont="1" applyFill="1" applyBorder="1" applyAlignment="1">
      <alignment horizontal="left"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3" fillId="11" borderId="77" xfId="13" applyFont="1" applyFill="1" applyBorder="1" applyAlignment="1">
      <alignment horizontal="center" vertical="center" wrapText="1"/>
    </xf>
    <xf numFmtId="0" fontId="78" fillId="11" borderId="0" xfId="13" applyFont="1" applyFill="1" applyBorder="1" applyAlignment="1">
      <alignment horizontal="left" vertical="top" wrapText="1"/>
    </xf>
    <xf numFmtId="0" fontId="83" fillId="11" borderId="0" xfId="13" applyFont="1" applyFill="1" applyBorder="1" applyAlignment="1">
      <alignment horizontal="center" vertical="center" wrapText="1"/>
    </xf>
    <xf numFmtId="0" fontId="83" fillId="11" borderId="0" xfId="13" applyFont="1" applyFill="1" applyAlignment="1">
      <alignment horizontal="left" wrapText="1"/>
    </xf>
    <xf numFmtId="0" fontId="113" fillId="6" borderId="0" xfId="13" applyFont="1" applyFill="1" applyAlignment="1">
      <alignment vertical="center" wrapText="1"/>
    </xf>
    <xf numFmtId="0" fontId="85" fillId="6" borderId="90" xfId="13" applyFont="1" applyFill="1" applyBorder="1" applyAlignment="1">
      <alignment horizontal="center"/>
    </xf>
    <xf numFmtId="0" fontId="113" fillId="0" borderId="0" xfId="13" applyFont="1" applyAlignment="1">
      <alignment horizontal="left" vertical="top" wrapText="1"/>
    </xf>
    <xf numFmtId="0" fontId="111" fillId="11" borderId="0" xfId="13" applyFont="1" applyFill="1" applyBorder="1" applyAlignment="1">
      <alignment horizontal="left" vertical="center" wrapText="1"/>
    </xf>
    <xf numFmtId="179" fontId="78" fillId="11" borderId="0" xfId="13" applyNumberFormat="1" applyFont="1" applyFill="1" applyBorder="1" applyAlignment="1">
      <alignment vertical="center"/>
    </xf>
    <xf numFmtId="0" fontId="0" fillId="0" borderId="74" xfId="0" applyBorder="1"/>
    <xf numFmtId="0" fontId="111" fillId="11" borderId="75" xfId="13" applyFont="1" applyFill="1" applyBorder="1" applyAlignment="1">
      <alignment horizontal="left" vertical="center" wrapText="1"/>
    </xf>
    <xf numFmtId="2" fontId="66" fillId="0" borderId="0" xfId="0" applyNumberFormat="1" applyFont="1" applyFill="1" applyBorder="1" applyAlignment="1">
      <alignment vertical="center"/>
    </xf>
    <xf numFmtId="0" fontId="83" fillId="11" borderId="0" xfId="13" applyFont="1" applyFill="1" applyAlignment="1">
      <alignment horizontal="left" wrapText="1"/>
    </xf>
    <xf numFmtId="184" fontId="78" fillId="11" borderId="90" xfId="13" applyNumberFormat="1" applyFont="1" applyFill="1" applyBorder="1" applyAlignment="1">
      <alignment horizontal="center" vertical="center" wrapText="1"/>
    </xf>
    <xf numFmtId="172" fontId="24" fillId="0" borderId="0" xfId="0" applyNumberFormat="1" applyFont="1" applyFill="1" applyBorder="1" applyAlignment="1">
      <alignment vertical="center"/>
    </xf>
    <xf numFmtId="0" fontId="39" fillId="29" borderId="67" xfId="0" applyFont="1" applyFill="1" applyBorder="1" applyAlignment="1">
      <alignment horizontal="center" vertical="center"/>
    </xf>
    <xf numFmtId="0" fontId="24" fillId="29" borderId="59" xfId="0" applyFont="1" applyFill="1" applyBorder="1" applyAlignment="1">
      <alignment horizontal="center" vertical="center"/>
    </xf>
    <xf numFmtId="0" fontId="24" fillId="29" borderId="0" xfId="0" applyFont="1" applyFill="1" applyBorder="1"/>
    <xf numFmtId="0" fontId="24" fillId="29" borderId="0" xfId="0" applyFont="1" applyFill="1" applyBorder="1" applyAlignment="1">
      <alignment horizontal="center" vertical="center"/>
    </xf>
    <xf numFmtId="0" fontId="11" fillId="29" borderId="64" xfId="0" applyFont="1" applyFill="1" applyBorder="1" applyAlignment="1">
      <alignment horizontal="center"/>
    </xf>
    <xf numFmtId="0" fontId="3" fillId="29" borderId="89" xfId="0" applyFont="1" applyFill="1" applyBorder="1" applyAlignment="1">
      <alignment horizontal="center" vertical="center" wrapText="1"/>
    </xf>
    <xf numFmtId="0" fontId="75" fillId="11" borderId="0" xfId="0" applyFont="1" applyFill="1"/>
    <xf numFmtId="0" fontId="75" fillId="13" borderId="0" xfId="0" applyFont="1" applyFill="1"/>
    <xf numFmtId="0" fontId="97" fillId="13" borderId="0" xfId="0" applyFont="1" applyFill="1"/>
    <xf numFmtId="0" fontId="126" fillId="13" borderId="0" xfId="0" applyFont="1" applyFill="1"/>
    <xf numFmtId="0" fontId="75" fillId="11" borderId="0" xfId="0" applyFont="1" applyFill="1" applyAlignment="1">
      <alignment vertical="center"/>
    </xf>
    <xf numFmtId="0" fontId="75" fillId="13" borderId="0" xfId="0" applyFont="1" applyFill="1" applyAlignment="1">
      <alignment vertical="center"/>
    </xf>
    <xf numFmtId="0" fontId="97" fillId="13" borderId="0" xfId="0" applyFont="1" applyFill="1" applyAlignment="1">
      <alignment vertical="center"/>
    </xf>
    <xf numFmtId="0" fontId="126" fillId="13" borderId="0" xfId="0" applyFont="1" applyFill="1" applyAlignment="1">
      <alignment vertical="center"/>
    </xf>
    <xf numFmtId="0" fontId="128" fillId="6" borderId="0" xfId="0" applyFont="1" applyFill="1" applyBorder="1"/>
    <xf numFmtId="0" fontId="108" fillId="0" borderId="0" xfId="0" applyFont="1" applyBorder="1" applyAlignment="1" applyProtection="1">
      <alignment horizontal="center" vertical="center"/>
      <protection hidden="1"/>
    </xf>
    <xf numFmtId="0" fontId="130" fillId="6" borderId="0" xfId="0" applyFont="1" applyFill="1" applyBorder="1"/>
    <xf numFmtId="0" fontId="90" fillId="6" borderId="0" xfId="0" applyFont="1" applyFill="1"/>
    <xf numFmtId="0" fontId="90" fillId="6" borderId="0" xfId="0" applyFont="1" applyFill="1" applyAlignment="1">
      <alignment vertical="center"/>
    </xf>
    <xf numFmtId="0" fontId="108" fillId="11" borderId="0" xfId="0" applyFont="1" applyFill="1" applyBorder="1" applyAlignment="1" applyProtection="1">
      <alignment horizontal="center" vertical="center"/>
      <protection hidden="1"/>
    </xf>
    <xf numFmtId="0" fontId="75" fillId="11" borderId="0" xfId="0" applyFont="1" applyFill="1" applyBorder="1"/>
    <xf numFmtId="0" fontId="110" fillId="11" borderId="0" xfId="0" applyFont="1" applyFill="1"/>
    <xf numFmtId="0" fontId="85" fillId="11" borderId="0" xfId="0" applyFont="1" applyFill="1" applyAlignment="1">
      <alignment vertical="center"/>
    </xf>
    <xf numFmtId="0" fontId="120" fillId="11" borderId="0" xfId="0" applyFont="1" applyFill="1" applyAlignment="1">
      <alignment horizontal="center" vertical="center" wrapText="1"/>
    </xf>
    <xf numFmtId="0" fontId="105" fillId="11" borderId="0" xfId="0" applyFont="1" applyFill="1"/>
    <xf numFmtId="0" fontId="85" fillId="11" borderId="0" xfId="0" applyFont="1" applyFill="1"/>
    <xf numFmtId="0" fontId="94" fillId="11" borderId="0" xfId="0" applyFont="1" applyFill="1" applyBorder="1" applyAlignment="1">
      <alignment horizontal="right" vertical="center"/>
    </xf>
    <xf numFmtId="0" fontId="84" fillId="15" borderId="8" xfId="0" applyFont="1" applyFill="1" applyBorder="1" applyAlignment="1" applyProtection="1">
      <alignment horizontal="center" vertical="center"/>
      <protection locked="0"/>
    </xf>
    <xf numFmtId="0" fontId="104" fillId="11" borderId="0" xfId="0" applyFont="1" applyFill="1" applyBorder="1"/>
    <xf numFmtId="0" fontId="104" fillId="11" borderId="0" xfId="0" applyFont="1" applyFill="1"/>
    <xf numFmtId="0" fontId="105" fillId="12" borderId="7" xfId="0" applyFont="1" applyFill="1" applyBorder="1" applyAlignment="1">
      <alignment horizontal="center" vertical="center" wrapText="1"/>
    </xf>
    <xf numFmtId="0" fontId="105" fillId="13" borderId="32" xfId="0" applyFont="1" applyFill="1" applyBorder="1" applyAlignment="1">
      <alignment horizontal="center" vertical="center" wrapText="1"/>
    </xf>
    <xf numFmtId="0" fontId="97" fillId="11" borderId="0" xfId="0" applyFont="1" applyFill="1" applyAlignment="1">
      <alignment horizontal="center"/>
    </xf>
    <xf numFmtId="0" fontId="97" fillId="11" borderId="0" xfId="0" applyFont="1" applyFill="1" applyBorder="1" applyProtection="1">
      <protection hidden="1"/>
    </xf>
    <xf numFmtId="0" fontId="97" fillId="11" borderId="0" xfId="0" applyFont="1" applyFill="1"/>
    <xf numFmtId="0" fontId="90" fillId="11" borderId="0" xfId="0" applyFont="1" applyFill="1" applyAlignment="1">
      <alignment horizontal="center" vertical="center"/>
    </xf>
    <xf numFmtId="0" fontId="90" fillId="15" borderId="8" xfId="0" applyFont="1" applyFill="1" applyBorder="1" applyAlignment="1" applyProtection="1">
      <alignment horizontal="center" vertical="center"/>
      <protection locked="0"/>
    </xf>
    <xf numFmtId="0" fontId="90" fillId="13" borderId="0" xfId="0" applyFont="1" applyFill="1" applyAlignment="1">
      <alignment horizontal="center" vertical="center"/>
    </xf>
    <xf numFmtId="0" fontId="105" fillId="13" borderId="0" xfId="0" applyFont="1" applyFill="1" applyAlignment="1">
      <alignment horizontal="center" vertical="center"/>
    </xf>
    <xf numFmtId="0" fontId="133" fillId="13" borderId="0" xfId="0" applyFont="1" applyFill="1" applyAlignment="1">
      <alignment horizontal="center" vertical="center"/>
    </xf>
    <xf numFmtId="0" fontId="90" fillId="11" borderId="0" xfId="0" applyFont="1" applyFill="1" applyBorder="1" applyAlignment="1">
      <alignment horizontal="center" vertical="center"/>
    </xf>
    <xf numFmtId="189" fontId="97" fillId="11" borderId="0" xfId="0" applyNumberFormat="1" applyFont="1" applyFill="1"/>
    <xf numFmtId="0" fontId="91" fillId="17" borderId="19" xfId="0" applyFont="1" applyFill="1" applyBorder="1" applyAlignment="1">
      <alignment horizontal="center" vertical="center" wrapText="1"/>
    </xf>
    <xf numFmtId="0" fontId="84" fillId="11" borderId="0" xfId="0" applyFont="1" applyFill="1" applyAlignment="1">
      <alignment horizontal="center" vertical="center"/>
    </xf>
    <xf numFmtId="0" fontId="84" fillId="17" borderId="19" xfId="0" applyFont="1" applyFill="1" applyBorder="1" applyAlignment="1">
      <alignment horizontal="center" vertical="center"/>
    </xf>
    <xf numFmtId="0" fontId="131" fillId="11" borderId="0" xfId="0" applyFont="1" applyFill="1" applyAlignment="1">
      <alignment vertical="center"/>
    </xf>
    <xf numFmtId="189" fontId="78" fillId="0" borderId="0" xfId="0" applyNumberFormat="1" applyFont="1" applyFill="1" applyBorder="1" applyAlignment="1">
      <alignment horizontal="center" vertical="center"/>
    </xf>
    <xf numFmtId="0" fontId="90" fillId="11" borderId="0" xfId="0" applyFont="1" applyFill="1" applyAlignment="1">
      <alignment horizontal="center"/>
    </xf>
    <xf numFmtId="0" fontId="90" fillId="11" borderId="84" xfId="0" applyFont="1" applyFill="1" applyBorder="1" applyAlignment="1">
      <alignment horizontal="center" vertical="center" wrapText="1"/>
    </xf>
    <xf numFmtId="0" fontId="90" fillId="11" borderId="0" xfId="0" applyFont="1" applyFill="1" applyBorder="1" applyAlignment="1">
      <alignment horizontal="center" vertical="center" wrapText="1"/>
    </xf>
    <xf numFmtId="187" fontId="104" fillId="12" borderId="8" xfId="0" applyNumberFormat="1" applyFont="1" applyFill="1" applyBorder="1" applyAlignment="1">
      <alignment horizontal="center" vertical="center"/>
    </xf>
    <xf numFmtId="0" fontId="78" fillId="11" borderId="0" xfId="0" applyFont="1" applyFill="1"/>
    <xf numFmtId="189" fontId="120" fillId="12" borderId="8" xfId="0" applyNumberFormat="1" applyFont="1" applyFill="1" applyBorder="1" applyAlignment="1">
      <alignment horizontal="center" vertical="center"/>
    </xf>
    <xf numFmtId="0" fontId="91" fillId="11" borderId="0" xfId="0" applyFont="1" applyFill="1"/>
    <xf numFmtId="189" fontId="120" fillId="13" borderId="8" xfId="0" applyNumberFormat="1" applyFont="1" applyFill="1" applyBorder="1" applyAlignment="1">
      <alignment horizontal="center" vertical="center"/>
    </xf>
    <xf numFmtId="0" fontId="78" fillId="16" borderId="0" xfId="0" applyFont="1" applyFill="1" applyAlignment="1">
      <alignment vertical="center"/>
    </xf>
    <xf numFmtId="0" fontId="89" fillId="16" borderId="0" xfId="0" applyFont="1" applyFill="1" applyAlignment="1">
      <alignment vertical="center"/>
    </xf>
    <xf numFmtId="0" fontId="75" fillId="11" borderId="0" xfId="0" applyFont="1" applyFill="1" applyAlignment="1">
      <alignment horizontal="center" vertical="center"/>
    </xf>
    <xf numFmtId="0" fontId="110" fillId="11" borderId="0" xfId="0" applyFont="1" applyFill="1" applyAlignment="1">
      <alignment horizontal="center" vertical="center"/>
    </xf>
    <xf numFmtId="0" fontId="75" fillId="13" borderId="0" xfId="0" applyFont="1" applyFill="1" applyAlignment="1">
      <alignment horizontal="center" vertical="center"/>
    </xf>
    <xf numFmtId="0" fontId="97" fillId="13" borderId="0" xfId="0" applyFont="1" applyFill="1" applyAlignment="1">
      <alignment horizontal="center" vertical="center"/>
    </xf>
    <xf numFmtId="0" fontId="126" fillId="13" borderId="0" xfId="0" applyFont="1" applyFill="1" applyAlignment="1">
      <alignment horizontal="center" vertical="center"/>
    </xf>
    <xf numFmtId="0" fontId="75" fillId="11" borderId="0" xfId="0" applyFont="1" applyFill="1" applyAlignment="1">
      <alignment wrapText="1"/>
    </xf>
    <xf numFmtId="187" fontId="78" fillId="17" borderId="8" xfId="0" applyNumberFormat="1" applyFont="1" applyFill="1" applyBorder="1" applyAlignment="1">
      <alignment horizontal="center" vertical="center"/>
    </xf>
    <xf numFmtId="187" fontId="102" fillId="12" borderId="8" xfId="0" applyNumberFormat="1" applyFont="1" applyFill="1" applyBorder="1" applyAlignment="1">
      <alignment horizontal="center" vertical="center"/>
    </xf>
    <xf numFmtId="0" fontId="84" fillId="11" borderId="0" xfId="0" applyFont="1" applyFill="1"/>
    <xf numFmtId="0" fontId="75" fillId="0" borderId="0" xfId="0" applyFont="1" applyFill="1"/>
    <xf numFmtId="0" fontId="89" fillId="11" borderId="0" xfId="0" applyFont="1" applyFill="1" applyAlignment="1">
      <alignment vertical="center"/>
    </xf>
    <xf numFmtId="0" fontId="111" fillId="11" borderId="0" xfId="13" applyFont="1" applyFill="1" applyAlignment="1">
      <alignment horizontal="left" vertical="center" wrapText="1"/>
    </xf>
    <xf numFmtId="0" fontId="24" fillId="17" borderId="59" xfId="0" applyFont="1" applyFill="1" applyBorder="1" applyAlignment="1">
      <alignment vertical="center"/>
    </xf>
    <xf numFmtId="0" fontId="24" fillId="17" borderId="0" xfId="0" applyFont="1" applyFill="1" applyBorder="1" applyAlignment="1">
      <alignment horizontal="center" vertical="center"/>
    </xf>
    <xf numFmtId="0" fontId="11" fillId="17" borderId="64" xfId="0" applyFont="1" applyFill="1" applyBorder="1" applyAlignment="1">
      <alignment horizontal="center" vertical="center"/>
    </xf>
    <xf numFmtId="0" fontId="108" fillId="16" borderId="0" xfId="0" applyFont="1" applyFill="1" applyAlignment="1">
      <alignment vertical="center"/>
    </xf>
    <xf numFmtId="190" fontId="134" fillId="11" borderId="0" xfId="0" applyNumberFormat="1" applyFont="1" applyFill="1" applyBorder="1" applyAlignment="1">
      <alignment horizontal="center" vertical="center"/>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75" fillId="11" borderId="0" xfId="0" quotePrefix="1" applyFont="1" applyFill="1" applyAlignment="1">
      <alignment horizontal="center"/>
    </xf>
    <xf numFmtId="0" fontId="126" fillId="11" borderId="0" xfId="0" applyFont="1" applyFill="1"/>
    <xf numFmtId="0" fontId="90" fillId="11" borderId="91" xfId="13" applyFont="1" applyFill="1" applyBorder="1"/>
    <xf numFmtId="0" fontId="84" fillId="11" borderId="77" xfId="13" applyFont="1" applyFill="1" applyBorder="1"/>
    <xf numFmtId="0" fontId="84" fillId="6" borderId="77" xfId="13" applyFont="1" applyFill="1" applyBorder="1" applyAlignment="1">
      <alignment horizontal="left" vertical="center" wrapText="1"/>
    </xf>
    <xf numFmtId="0" fontId="84" fillId="11" borderId="76" xfId="13" applyFont="1" applyFill="1" applyBorder="1"/>
    <xf numFmtId="0" fontId="90" fillId="11" borderId="71" xfId="13" applyFont="1" applyFill="1" applyBorder="1"/>
    <xf numFmtId="0" fontId="90" fillId="11" borderId="73" xfId="13" applyFont="1" applyFill="1" applyBorder="1"/>
    <xf numFmtId="0" fontId="84" fillId="11" borderId="74" xfId="13" applyFont="1" applyFill="1" applyBorder="1"/>
    <xf numFmtId="0" fontId="84" fillId="6" borderId="74" xfId="13" applyFont="1" applyFill="1" applyBorder="1" applyAlignment="1">
      <alignment horizontal="left" vertical="center" wrapText="1"/>
    </xf>
    <xf numFmtId="0" fontId="84" fillId="11" borderId="75" xfId="13" applyFont="1" applyFill="1" applyBorder="1"/>
    <xf numFmtId="195" fontId="0" fillId="0" borderId="0" xfId="0" applyNumberFormat="1"/>
    <xf numFmtId="0" fontId="39" fillId="29" borderId="0" xfId="0" applyFont="1" applyFill="1"/>
    <xf numFmtId="0" fontId="24" fillId="29" borderId="58" xfId="0" applyFont="1" applyFill="1" applyBorder="1"/>
    <xf numFmtId="0" fontId="24" fillId="29" borderId="59" xfId="0" applyFont="1" applyFill="1" applyBorder="1"/>
    <xf numFmtId="0" fontId="24" fillId="29" borderId="60" xfId="0" applyFont="1" applyFill="1" applyBorder="1"/>
    <xf numFmtId="0" fontId="24" fillId="29" borderId="61" xfId="0" applyFont="1" applyFill="1" applyBorder="1" applyAlignment="1">
      <alignment horizontal="center"/>
    </xf>
    <xf numFmtId="1" fontId="24" fillId="29" borderId="0" xfId="0" applyNumberFormat="1" applyFont="1" applyFill="1" applyBorder="1" applyAlignment="1">
      <alignment horizontal="center"/>
    </xf>
    <xf numFmtId="0" fontId="24" fillId="29" borderId="0" xfId="0" applyFont="1" applyFill="1" applyBorder="1" applyAlignment="1">
      <alignment horizontal="center"/>
    </xf>
    <xf numFmtId="0" fontId="24" fillId="29" borderId="62" xfId="0" applyFont="1" applyFill="1" applyBorder="1"/>
    <xf numFmtId="0" fontId="24" fillId="29" borderId="0" xfId="0" applyFont="1" applyFill="1" applyBorder="1" applyAlignment="1">
      <alignment horizontal="left"/>
    </xf>
    <xf numFmtId="0" fontId="24" fillId="29" borderId="0" xfId="0" applyFont="1" applyFill="1"/>
    <xf numFmtId="0" fontId="51" fillId="29" borderId="61" xfId="0" applyFont="1" applyFill="1" applyBorder="1" applyAlignment="1">
      <alignment horizontal="center"/>
    </xf>
    <xf numFmtId="1" fontId="51" fillId="29" borderId="0" xfId="0" applyNumberFormat="1" applyFont="1" applyFill="1" applyBorder="1" applyAlignment="1">
      <alignment horizontal="center"/>
    </xf>
    <xf numFmtId="9" fontId="53" fillId="29" borderId="0" xfId="0" applyNumberFormat="1" applyFont="1" applyFill="1" applyBorder="1" applyAlignment="1">
      <alignment horizontal="center"/>
    </xf>
    <xf numFmtId="172" fontId="24" fillId="29" borderId="0" xfId="0" applyNumberFormat="1" applyFont="1" applyFill="1" applyBorder="1" applyAlignment="1">
      <alignment horizontal="center"/>
    </xf>
    <xf numFmtId="0" fontId="24" fillId="29" borderId="0" xfId="0" quotePrefix="1" applyFont="1" applyFill="1" applyBorder="1"/>
    <xf numFmtId="0" fontId="39" fillId="29" borderId="61" xfId="0" applyFont="1" applyFill="1" applyBorder="1" applyAlignment="1">
      <alignment horizontal="center"/>
    </xf>
    <xf numFmtId="183" fontId="39" fillId="29" borderId="0" xfId="0" applyNumberFormat="1" applyFont="1" applyFill="1" applyBorder="1" applyAlignment="1">
      <alignment horizontal="center"/>
    </xf>
    <xf numFmtId="0" fontId="24" fillId="29" borderId="61" xfId="0" applyFont="1" applyFill="1" applyBorder="1"/>
    <xf numFmtId="0" fontId="24" fillId="29" borderId="70" xfId="0" applyFont="1" applyFill="1" applyBorder="1"/>
    <xf numFmtId="0" fontId="52" fillId="29" borderId="1" xfId="0" applyFont="1" applyFill="1" applyBorder="1" applyAlignment="1">
      <alignment horizontal="center"/>
    </xf>
    <xf numFmtId="0" fontId="24" fillId="29" borderId="1" xfId="0" applyFont="1" applyFill="1" applyBorder="1" applyAlignment="1">
      <alignment horizontal="center"/>
    </xf>
    <xf numFmtId="172" fontId="11" fillId="29" borderId="1" xfId="0" applyNumberFormat="1" applyFont="1" applyFill="1" applyBorder="1" applyAlignment="1">
      <alignment horizontal="center"/>
    </xf>
    <xf numFmtId="0" fontId="53" fillId="29" borderId="1" xfId="0" applyFont="1" applyFill="1" applyBorder="1" applyAlignment="1">
      <alignment horizontal="center"/>
    </xf>
    <xf numFmtId="0" fontId="24" fillId="29" borderId="63" xfId="0" applyFont="1" applyFill="1" applyBorder="1"/>
    <xf numFmtId="0" fontId="24" fillId="29" borderId="64" xfId="0" applyFont="1" applyFill="1" applyBorder="1"/>
    <xf numFmtId="0" fontId="24" fillId="29" borderId="65" xfId="0" applyFont="1" applyFill="1" applyBorder="1"/>
    <xf numFmtId="0" fontId="66" fillId="0" borderId="64" xfId="0" applyFont="1" applyFill="1" applyBorder="1" applyAlignment="1"/>
    <xf numFmtId="198" fontId="66" fillId="0" borderId="0" xfId="0" applyNumberFormat="1" applyFont="1" applyFill="1" applyBorder="1" applyAlignment="1">
      <alignment horizontal="center"/>
    </xf>
    <xf numFmtId="0" fontId="24" fillId="19" borderId="90" xfId="0" applyFont="1" applyFill="1" applyBorder="1" applyAlignment="1">
      <alignment vertical="center"/>
    </xf>
    <xf numFmtId="200" fontId="24" fillId="19" borderId="90" xfId="0" applyNumberFormat="1" applyFont="1" applyFill="1" applyBorder="1" applyAlignment="1">
      <alignment horizontal="center" vertical="center"/>
    </xf>
    <xf numFmtId="199" fontId="24" fillId="19" borderId="90" xfId="0" applyNumberFormat="1" applyFont="1" applyFill="1" applyBorder="1" applyAlignment="1">
      <alignment horizontal="center"/>
    </xf>
    <xf numFmtId="200" fontId="66" fillId="19" borderId="90" xfId="0" applyNumberFormat="1" applyFont="1" applyFill="1" applyBorder="1" applyAlignment="1">
      <alignment horizontal="center" vertical="center"/>
    </xf>
    <xf numFmtId="2" fontId="97" fillId="11" borderId="0" xfId="0" applyNumberFormat="1" applyFont="1" applyFill="1"/>
    <xf numFmtId="198" fontId="24" fillId="0" borderId="0" xfId="0" applyNumberFormat="1" applyFont="1" applyFill="1" applyBorder="1"/>
    <xf numFmtId="0" fontId="139" fillId="0" borderId="61" xfId="0" applyFont="1" applyFill="1" applyBorder="1" applyAlignment="1">
      <alignment horizontal="center" vertical="center"/>
    </xf>
    <xf numFmtId="0" fontId="83" fillId="11" borderId="77" xfId="13" applyFont="1" applyFill="1" applyBorder="1" applyAlignment="1">
      <alignment horizontal="center" vertical="center" wrapText="1"/>
    </xf>
    <xf numFmtId="0" fontId="83" fillId="11" borderId="91" xfId="13" applyFont="1" applyFill="1" applyBorder="1" applyAlignment="1">
      <alignment horizontal="center" vertical="center" wrapText="1"/>
    </xf>
    <xf numFmtId="0" fontId="78" fillId="16" borderId="0" xfId="0" applyFont="1" applyFill="1" applyAlignment="1">
      <alignment vertical="center"/>
    </xf>
    <xf numFmtId="0" fontId="3" fillId="0" borderId="0" xfId="0" applyFont="1" applyBorder="1"/>
    <xf numFmtId="189" fontId="102" fillId="12" borderId="8" xfId="0" applyNumberFormat="1" applyFont="1" applyFill="1" applyBorder="1" applyAlignment="1">
      <alignment horizontal="center" vertical="center" wrapText="1"/>
    </xf>
    <xf numFmtId="0" fontId="142" fillId="11" borderId="0" xfId="0" applyFont="1" applyFill="1" applyBorder="1" applyProtection="1">
      <protection hidden="1"/>
    </xf>
    <xf numFmtId="0" fontId="79" fillId="11" borderId="0" xfId="0" applyFont="1" applyFill="1" applyBorder="1" applyProtection="1">
      <protection hidden="1"/>
    </xf>
    <xf numFmtId="0" fontId="75" fillId="11" borderId="0" xfId="0" applyFont="1" applyFill="1" applyBorder="1" applyAlignment="1" applyProtection="1">
      <alignment horizontal="center"/>
      <protection hidden="1"/>
    </xf>
    <xf numFmtId="0" fontId="75" fillId="11" borderId="0" xfId="0" applyFont="1" applyFill="1" applyProtection="1">
      <protection hidden="1"/>
    </xf>
    <xf numFmtId="0" fontId="75" fillId="11" borderId="36" xfId="0" applyFont="1" applyFill="1" applyBorder="1" applyAlignment="1" applyProtection="1">
      <alignment horizontal="center"/>
      <protection hidden="1"/>
    </xf>
    <xf numFmtId="0" fontId="75" fillId="11" borderId="0" xfId="0" applyFont="1" applyFill="1" applyBorder="1" applyProtection="1">
      <protection hidden="1"/>
    </xf>
    <xf numFmtId="0" fontId="143" fillId="11" borderId="36" xfId="0" applyFont="1" applyFill="1" applyBorder="1" applyProtection="1">
      <protection hidden="1"/>
    </xf>
    <xf numFmtId="0" fontId="144" fillId="11" borderId="0" xfId="0" applyFont="1" applyFill="1" applyBorder="1" applyProtection="1">
      <protection hidden="1"/>
    </xf>
    <xf numFmtId="0" fontId="143" fillId="11" borderId="0" xfId="0" applyFont="1" applyFill="1" applyBorder="1" applyAlignment="1" applyProtection="1">
      <alignment horizontal="center"/>
      <protection hidden="1"/>
    </xf>
    <xf numFmtId="0" fontId="122" fillId="11" borderId="0" xfId="0" applyFont="1" applyFill="1" applyBorder="1" applyProtection="1">
      <protection hidden="1"/>
    </xf>
    <xf numFmtId="0" fontId="145" fillId="11" borderId="0" xfId="0" applyFont="1" applyFill="1" applyBorder="1" applyAlignment="1" applyProtection="1">
      <alignment horizontal="left"/>
      <protection hidden="1"/>
    </xf>
    <xf numFmtId="0" fontId="128" fillId="11" borderId="0" xfId="0" applyFont="1" applyFill="1" applyBorder="1" applyAlignment="1" applyProtection="1">
      <alignment horizontal="right"/>
      <protection hidden="1"/>
    </xf>
    <xf numFmtId="0" fontId="75" fillId="11" borderId="0" xfId="0" applyFont="1" applyFill="1" applyBorder="1" applyAlignment="1" applyProtection="1">
      <alignment horizontal="left"/>
      <protection hidden="1"/>
    </xf>
    <xf numFmtId="0" fontId="75" fillId="11" borderId="0" xfId="0" applyFont="1" applyFill="1" applyBorder="1" applyAlignment="1">
      <alignment horizontal="left"/>
    </xf>
    <xf numFmtId="0" fontId="128" fillId="11" borderId="0" xfId="0" applyFont="1" applyFill="1" applyBorder="1" applyAlignment="1" applyProtection="1">
      <alignment horizontal="center"/>
      <protection hidden="1"/>
    </xf>
    <xf numFmtId="0" fontId="128" fillId="11" borderId="36" xfId="0" applyFont="1" applyFill="1" applyBorder="1" applyAlignment="1" applyProtection="1">
      <alignment horizontal="center"/>
      <protection hidden="1"/>
    </xf>
    <xf numFmtId="1" fontId="75" fillId="15" borderId="1" xfId="0" applyNumberFormat="1" applyFont="1" applyFill="1" applyBorder="1" applyAlignment="1" applyProtection="1">
      <alignment horizontal="left"/>
      <protection locked="0"/>
    </xf>
    <xf numFmtId="0" fontId="143" fillId="11" borderId="36" xfId="0" applyFont="1" applyFill="1" applyBorder="1" applyAlignment="1" applyProtection="1">
      <alignment horizontal="center"/>
      <protection hidden="1"/>
    </xf>
    <xf numFmtId="0" fontId="110" fillId="11" borderId="0" xfId="0" applyFont="1" applyFill="1" applyBorder="1" applyProtection="1">
      <protection hidden="1"/>
    </xf>
    <xf numFmtId="0" fontId="110" fillId="11" borderId="0" xfId="0" applyFont="1" applyFill="1" applyBorder="1" applyAlignment="1" applyProtection="1">
      <alignment horizontal="center"/>
      <protection hidden="1"/>
    </xf>
    <xf numFmtId="0" fontId="143" fillId="11" borderId="0" xfId="0" applyFont="1" applyFill="1" applyBorder="1" applyProtection="1">
      <protection hidden="1"/>
    </xf>
    <xf numFmtId="0" fontId="91" fillId="11" borderId="36" xfId="0" applyFont="1" applyFill="1" applyBorder="1" applyAlignment="1" applyProtection="1">
      <alignment horizontal="center"/>
      <protection hidden="1"/>
    </xf>
    <xf numFmtId="0" fontId="143" fillId="11" borderId="0" xfId="0" applyFont="1" applyFill="1" applyBorder="1" applyAlignment="1" applyProtection="1">
      <alignment horizontal="right"/>
      <protection hidden="1"/>
    </xf>
    <xf numFmtId="0" fontId="146" fillId="11" borderId="0" xfId="0" applyFont="1" applyFill="1" applyBorder="1" applyProtection="1">
      <protection hidden="1"/>
    </xf>
    <xf numFmtId="0" fontId="75" fillId="11" borderId="0" xfId="0" applyFont="1" applyFill="1" applyBorder="1" applyAlignment="1">
      <alignment horizontal="center"/>
    </xf>
    <xf numFmtId="0" fontId="91" fillId="11" borderId="0" xfId="0" applyFont="1" applyFill="1" applyBorder="1" applyAlignment="1" applyProtection="1">
      <alignment horizontal="right"/>
      <protection hidden="1"/>
    </xf>
    <xf numFmtId="0" fontId="143" fillId="11" borderId="36" xfId="0" applyFont="1" applyFill="1" applyBorder="1" applyAlignment="1" applyProtection="1">
      <alignment horizontal="center" vertical="center" wrapText="1"/>
      <protection hidden="1"/>
    </xf>
    <xf numFmtId="0" fontId="143" fillId="11" borderId="0" xfId="0" applyFont="1" applyFill="1" applyBorder="1" applyAlignment="1" applyProtection="1">
      <alignment horizontal="center" vertical="center"/>
      <protection hidden="1"/>
    </xf>
    <xf numFmtId="0" fontId="143" fillId="11" borderId="36" xfId="0" applyFont="1" applyFill="1" applyBorder="1" applyAlignment="1" applyProtection="1">
      <alignment horizontal="center" vertical="center"/>
      <protection hidden="1"/>
    </xf>
    <xf numFmtId="0" fontId="75" fillId="15" borderId="1" xfId="0" applyFont="1" applyFill="1" applyBorder="1" applyAlignment="1" applyProtection="1">
      <alignment horizontal="left"/>
      <protection locked="0"/>
    </xf>
    <xf numFmtId="0" fontId="147" fillId="11" borderId="36" xfId="0" applyFont="1" applyFill="1" applyBorder="1" applyAlignment="1" applyProtection="1">
      <alignment horizontal="center"/>
      <protection hidden="1"/>
    </xf>
    <xf numFmtId="0" fontId="122" fillId="11" borderId="0" xfId="0" applyFont="1" applyFill="1" applyBorder="1"/>
    <xf numFmtId="0" fontId="143" fillId="11" borderId="0" xfId="0" applyFont="1" applyFill="1" applyBorder="1" applyAlignment="1" applyProtection="1">
      <alignment horizontal="center" wrapText="1"/>
      <protection hidden="1"/>
    </xf>
    <xf numFmtId="0" fontId="75" fillId="11" borderId="36" xfId="0" applyFont="1" applyFill="1" applyBorder="1" applyProtection="1">
      <protection hidden="1"/>
    </xf>
    <xf numFmtId="178" fontId="75" fillId="15" borderId="1" xfId="0" applyNumberFormat="1" applyFont="1" applyFill="1" applyBorder="1" applyAlignment="1" applyProtection="1">
      <alignment horizontal="center" vertical="center"/>
      <protection locked="0"/>
    </xf>
    <xf numFmtId="0" fontId="108" fillId="11" borderId="0" xfId="0" applyFont="1" applyFill="1" applyBorder="1" applyAlignment="1" applyProtection="1">
      <alignment horizontal="center"/>
      <protection hidden="1"/>
    </xf>
    <xf numFmtId="0" fontId="148" fillId="11" borderId="0" xfId="0" applyFont="1" applyFill="1" applyBorder="1" applyAlignment="1" applyProtection="1">
      <alignment horizontal="center"/>
      <protection hidden="1"/>
    </xf>
    <xf numFmtId="0" fontId="148" fillId="11" borderId="0" xfId="0" applyFont="1" applyFill="1" applyBorder="1" applyAlignment="1" applyProtection="1">
      <alignment horizontal="left"/>
      <protection hidden="1"/>
    </xf>
    <xf numFmtId="0" fontId="97" fillId="11" borderId="0" xfId="0" applyFont="1" applyFill="1" applyBorder="1" applyAlignment="1" applyProtection="1">
      <alignment horizontal="center"/>
      <protection locked="0"/>
    </xf>
    <xf numFmtId="0" fontId="148" fillId="11" borderId="0" xfId="0" applyFont="1" applyFill="1" applyBorder="1" applyProtection="1">
      <protection hidden="1"/>
    </xf>
    <xf numFmtId="0" fontId="97" fillId="11" borderId="0" xfId="0" applyFont="1" applyFill="1" applyBorder="1" applyProtection="1">
      <protection locked="0" hidden="1"/>
    </xf>
    <xf numFmtId="1" fontId="97" fillId="11" borderId="0" xfId="0" applyNumberFormat="1" applyFont="1" applyFill="1" applyBorder="1" applyAlignment="1" applyProtection="1">
      <alignment horizontal="center"/>
      <protection locked="0"/>
    </xf>
    <xf numFmtId="9" fontId="97" fillId="11" borderId="0" xfId="0" applyNumberFormat="1" applyFont="1" applyFill="1" applyBorder="1" applyAlignment="1" applyProtection="1">
      <alignment horizontal="center"/>
      <protection locked="0"/>
    </xf>
    <xf numFmtId="169" fontId="97" fillId="11" borderId="0" xfId="0" applyNumberFormat="1" applyFont="1" applyFill="1" applyBorder="1" applyAlignment="1" applyProtection="1">
      <alignment horizontal="center"/>
      <protection locked="0"/>
    </xf>
    <xf numFmtId="0" fontId="97" fillId="11" borderId="0" xfId="0" applyFont="1" applyFill="1" applyBorder="1" applyAlignment="1" applyProtection="1">
      <alignment horizontal="center"/>
      <protection locked="0" hidden="1"/>
    </xf>
    <xf numFmtId="0" fontId="148" fillId="11" borderId="0" xfId="0" applyFont="1" applyFill="1" applyBorder="1" applyAlignment="1" applyProtection="1">
      <alignment horizontal="center" wrapText="1"/>
      <protection hidden="1"/>
    </xf>
    <xf numFmtId="0" fontId="97" fillId="11" borderId="0" xfId="0" applyFont="1" applyFill="1" applyBorder="1" applyAlignment="1" applyProtection="1">
      <alignment horizontal="center"/>
      <protection hidden="1"/>
    </xf>
    <xf numFmtId="175" fontId="97" fillId="11" borderId="0" xfId="0" applyNumberFormat="1" applyFont="1" applyFill="1" applyBorder="1" applyAlignment="1" applyProtection="1">
      <alignment horizontal="center"/>
      <protection hidden="1"/>
    </xf>
    <xf numFmtId="173" fontId="97" fillId="11" borderId="0" xfId="0" applyNumberFormat="1" applyFont="1" applyFill="1" applyBorder="1" applyAlignment="1" applyProtection="1">
      <alignment horizontal="center"/>
      <protection hidden="1"/>
    </xf>
    <xf numFmtId="9" fontId="97" fillId="11" borderId="0" xfId="17" applyNumberFormat="1" applyFont="1" applyFill="1" applyBorder="1" applyAlignment="1" applyProtection="1">
      <alignment horizontal="center"/>
      <protection hidden="1"/>
    </xf>
    <xf numFmtId="3" fontId="97" fillId="11" borderId="0" xfId="0" applyNumberFormat="1" applyFont="1" applyFill="1" applyBorder="1" applyProtection="1">
      <protection hidden="1"/>
    </xf>
    <xf numFmtId="4" fontId="97" fillId="11" borderId="0" xfId="0" applyNumberFormat="1" applyFont="1" applyFill="1" applyBorder="1" applyProtection="1">
      <protection hidden="1"/>
    </xf>
    <xf numFmtId="0" fontId="148" fillId="11" borderId="0" xfId="0" applyFont="1" applyFill="1" applyBorder="1" applyAlignment="1" applyProtection="1">
      <protection hidden="1"/>
    </xf>
    <xf numFmtId="3" fontId="97" fillId="11" borderId="0" xfId="0" applyNumberFormat="1" applyFont="1" applyFill="1" applyBorder="1" applyAlignment="1" applyProtection="1">
      <alignment horizontal="center"/>
      <protection hidden="1"/>
    </xf>
    <xf numFmtId="3" fontId="97" fillId="11" borderId="0" xfId="0" applyNumberFormat="1" applyFont="1" applyFill="1" applyBorder="1" applyAlignment="1" applyProtection="1">
      <alignment horizontal="center"/>
      <protection locked="0"/>
    </xf>
    <xf numFmtId="3" fontId="97" fillId="11" borderId="0" xfId="17" applyNumberFormat="1" applyFont="1" applyFill="1" applyBorder="1" applyAlignment="1" applyProtection="1">
      <alignment horizontal="center"/>
      <protection locked="0"/>
    </xf>
    <xf numFmtId="175" fontId="97" fillId="11" borderId="0" xfId="0" applyNumberFormat="1" applyFont="1" applyFill="1" applyBorder="1" applyAlignment="1" applyProtection="1">
      <alignment horizontal="center"/>
      <protection locked="0"/>
    </xf>
    <xf numFmtId="173" fontId="97" fillId="11" borderId="0" xfId="17" applyNumberFormat="1" applyFont="1" applyFill="1" applyBorder="1" applyAlignment="1" applyProtection="1">
      <alignment horizontal="center"/>
      <protection locked="0"/>
    </xf>
    <xf numFmtId="9" fontId="97" fillId="11" borderId="0" xfId="17" applyFont="1" applyFill="1" applyBorder="1" applyAlignment="1" applyProtection="1">
      <alignment horizontal="center"/>
      <protection hidden="1"/>
    </xf>
    <xf numFmtId="0" fontId="97" fillId="11" borderId="0" xfId="0" applyFont="1" applyFill="1" applyBorder="1" applyAlignment="1" applyProtection="1">
      <protection hidden="1"/>
    </xf>
    <xf numFmtId="0" fontId="97" fillId="11" borderId="0" xfId="0" applyFont="1" applyFill="1" applyBorder="1" applyAlignment="1" applyProtection="1">
      <alignment horizontal="left"/>
      <protection hidden="1"/>
    </xf>
    <xf numFmtId="173" fontId="97" fillId="11" borderId="11" xfId="0" applyNumberFormat="1" applyFont="1" applyFill="1" applyBorder="1" applyAlignment="1" applyProtection="1">
      <alignment horizontal="center"/>
      <protection hidden="1"/>
    </xf>
    <xf numFmtId="0" fontId="75" fillId="0" borderId="12" xfId="0" applyFont="1" applyBorder="1" applyAlignment="1" applyProtection="1">
      <alignment wrapText="1"/>
      <protection hidden="1"/>
    </xf>
    <xf numFmtId="0" fontId="75" fillId="0" borderId="13" xfId="0" applyFont="1" applyBorder="1" applyAlignment="1" applyProtection="1">
      <alignment wrapText="1"/>
      <protection hidden="1"/>
    </xf>
    <xf numFmtId="0" fontId="75" fillId="11" borderId="11" xfId="0" applyFont="1" applyFill="1" applyBorder="1" applyProtection="1">
      <protection hidden="1"/>
    </xf>
    <xf numFmtId="0" fontId="75" fillId="11" borderId="12" xfId="0" applyFont="1" applyFill="1" applyBorder="1" applyProtection="1">
      <protection hidden="1"/>
    </xf>
    <xf numFmtId="0" fontId="75" fillId="11" borderId="13" xfId="0" applyFont="1" applyFill="1" applyBorder="1" applyProtection="1">
      <protection hidden="1"/>
    </xf>
    <xf numFmtId="173" fontId="97" fillId="11" borderId="14" xfId="0" applyNumberFormat="1" applyFont="1" applyFill="1" applyBorder="1" applyAlignment="1" applyProtection="1">
      <alignment horizontal="center"/>
      <protection hidden="1"/>
    </xf>
    <xf numFmtId="0" fontId="75" fillId="0" borderId="0" xfId="0" applyFont="1" applyBorder="1" applyAlignment="1" applyProtection="1">
      <alignment wrapText="1"/>
      <protection hidden="1"/>
    </xf>
    <xf numFmtId="0" fontId="75" fillId="0" borderId="4" xfId="0" applyFont="1" applyBorder="1" applyAlignment="1" applyProtection="1">
      <alignment wrapText="1"/>
      <protection hidden="1"/>
    </xf>
    <xf numFmtId="0" fontId="75" fillId="11" borderId="14" xfId="0" applyFont="1" applyFill="1" applyBorder="1" applyProtection="1">
      <protection hidden="1"/>
    </xf>
    <xf numFmtId="0" fontId="143" fillId="8" borderId="33" xfId="0" applyFont="1" applyFill="1" applyBorder="1" applyAlignment="1" applyProtection="1">
      <alignment horizontal="center"/>
      <protection hidden="1"/>
    </xf>
    <xf numFmtId="0" fontId="75" fillId="11" borderId="1" xfId="0" applyFont="1" applyFill="1" applyBorder="1" applyAlignment="1" applyProtection="1">
      <alignment horizontal="right" vertical="center"/>
      <protection hidden="1"/>
    </xf>
    <xf numFmtId="3" fontId="75" fillId="5" borderId="1" xfId="0" applyNumberFormat="1" applyFont="1" applyFill="1" applyBorder="1" applyAlignment="1" applyProtection="1">
      <alignment horizontal="center" vertical="center"/>
      <protection locked="0"/>
    </xf>
    <xf numFmtId="3" fontId="75" fillId="5" borderId="1" xfId="17" applyNumberFormat="1" applyFont="1" applyFill="1" applyBorder="1" applyAlignment="1" applyProtection="1">
      <alignment horizontal="center" vertical="center"/>
      <protection locked="0"/>
    </xf>
    <xf numFmtId="0" fontId="75" fillId="11" borderId="4" xfId="0" applyFont="1" applyFill="1" applyBorder="1" applyAlignment="1" applyProtection="1">
      <alignment horizontal="center"/>
      <protection hidden="1"/>
    </xf>
    <xf numFmtId="0" fontId="110" fillId="0" borderId="1" xfId="0" applyFont="1" applyBorder="1" applyAlignment="1" applyProtection="1">
      <alignment vertical="center" wrapText="1"/>
      <protection hidden="1"/>
    </xf>
    <xf numFmtId="0" fontId="97" fillId="11" borderId="4" xfId="0" applyFont="1" applyFill="1" applyBorder="1" applyProtection="1">
      <protection hidden="1"/>
    </xf>
    <xf numFmtId="0" fontId="75" fillId="0" borderId="0" xfId="0" applyFont="1" applyBorder="1" applyProtection="1">
      <protection hidden="1"/>
    </xf>
    <xf numFmtId="0" fontId="75" fillId="0" borderId="0" xfId="0" applyFont="1" applyProtection="1">
      <protection hidden="1"/>
    </xf>
    <xf numFmtId="0" fontId="151" fillId="0" borderId="1" xfId="0" applyFont="1" applyBorder="1" applyAlignment="1" applyProtection="1">
      <alignment vertical="center" wrapText="1"/>
      <protection hidden="1"/>
    </xf>
    <xf numFmtId="0" fontId="75" fillId="11" borderId="4" xfId="0" applyFont="1" applyFill="1" applyBorder="1" applyProtection="1">
      <protection hidden="1"/>
    </xf>
    <xf numFmtId="9" fontId="75" fillId="5" borderId="1" xfId="0" applyNumberFormat="1" applyFont="1" applyFill="1" applyBorder="1" applyAlignment="1" applyProtection="1">
      <alignment horizontal="center" vertical="center"/>
      <protection locked="0"/>
    </xf>
    <xf numFmtId="0" fontId="75" fillId="11" borderId="4" xfId="0" applyFont="1" applyFill="1" applyBorder="1" applyAlignment="1" applyProtection="1">
      <alignment horizontal="right"/>
      <protection hidden="1"/>
    </xf>
    <xf numFmtId="0" fontId="152" fillId="0" borderId="0" xfId="0" applyFont="1" applyBorder="1" applyAlignment="1" applyProtection="1">
      <alignment vertical="top" wrapText="1"/>
      <protection hidden="1"/>
    </xf>
    <xf numFmtId="173" fontId="97" fillId="11" borderId="16" xfId="0" applyNumberFormat="1" applyFont="1" applyFill="1" applyBorder="1" applyAlignment="1" applyProtection="1">
      <alignment horizontal="center"/>
      <protection hidden="1"/>
    </xf>
    <xf numFmtId="175" fontId="97" fillId="11" borderId="15" xfId="0" applyNumberFormat="1" applyFont="1" applyFill="1" applyBorder="1" applyAlignment="1" applyProtection="1">
      <alignment horizontal="center"/>
      <protection hidden="1"/>
    </xf>
    <xf numFmtId="0" fontId="75" fillId="0" borderId="15" xfId="0" applyFont="1" applyBorder="1" applyAlignment="1" applyProtection="1">
      <alignment vertical="top" wrapText="1"/>
      <protection hidden="1"/>
    </xf>
    <xf numFmtId="0" fontId="97" fillId="11" borderId="15" xfId="0" applyFont="1" applyFill="1" applyBorder="1" applyProtection="1">
      <protection hidden="1"/>
    </xf>
    <xf numFmtId="0" fontId="97" fillId="11" borderId="17" xfId="0" applyFont="1" applyFill="1" applyBorder="1" applyProtection="1">
      <protection hidden="1"/>
    </xf>
    <xf numFmtId="0" fontId="125" fillId="11" borderId="0" xfId="0" applyFont="1" applyFill="1" applyBorder="1" applyAlignment="1" applyProtection="1">
      <alignment horizontal="center" vertical="center"/>
      <protection hidden="1"/>
    </xf>
    <xf numFmtId="175" fontId="125" fillId="11" borderId="0" xfId="0" applyNumberFormat="1" applyFont="1" applyFill="1" applyBorder="1" applyAlignment="1" applyProtection="1">
      <alignment horizontal="center" vertical="center"/>
      <protection hidden="1"/>
    </xf>
    <xf numFmtId="175" fontId="97" fillId="11" borderId="12" xfId="0" applyNumberFormat="1" applyFont="1" applyFill="1" applyBorder="1" applyAlignment="1" applyProtection="1">
      <alignment horizontal="center"/>
      <protection hidden="1"/>
    </xf>
    <xf numFmtId="173" fontId="97" fillId="11" borderId="12" xfId="0" applyNumberFormat="1" applyFont="1" applyFill="1" applyBorder="1" applyAlignment="1" applyProtection="1">
      <alignment horizontal="center"/>
      <protection hidden="1"/>
    </xf>
    <xf numFmtId="0" fontId="97" fillId="11" borderId="12" xfId="0" applyFont="1" applyFill="1" applyBorder="1" applyProtection="1">
      <protection hidden="1"/>
    </xf>
    <xf numFmtId="0" fontId="97" fillId="11" borderId="13" xfId="0" applyFont="1" applyFill="1" applyBorder="1" applyProtection="1">
      <protection hidden="1"/>
    </xf>
    <xf numFmtId="9" fontId="75" fillId="14" borderId="1" xfId="0" applyNumberFormat="1" applyFont="1" applyFill="1" applyBorder="1" applyAlignment="1" applyProtection="1">
      <alignment horizontal="center"/>
      <protection hidden="1"/>
    </xf>
    <xf numFmtId="173" fontId="97" fillId="11" borderId="14" xfId="17" applyNumberFormat="1" applyFont="1" applyFill="1" applyBorder="1" applyAlignment="1" applyProtection="1">
      <alignment horizontal="center"/>
      <protection locked="0"/>
    </xf>
    <xf numFmtId="0" fontId="143" fillId="8" borderId="9" xfId="0" applyFont="1" applyFill="1" applyBorder="1" applyAlignment="1" applyProtection="1">
      <alignment horizontal="center"/>
      <protection hidden="1"/>
    </xf>
    <xf numFmtId="0" fontId="148" fillId="11" borderId="0" xfId="0" applyFont="1" applyFill="1" applyBorder="1" applyAlignment="1" applyProtection="1">
      <alignment vertical="center"/>
      <protection hidden="1"/>
    </xf>
    <xf numFmtId="9" fontId="97" fillId="11" borderId="4" xfId="17" applyFont="1" applyFill="1" applyBorder="1" applyAlignment="1" applyProtection="1">
      <alignment horizontal="center"/>
      <protection hidden="1"/>
    </xf>
    <xf numFmtId="0" fontId="75" fillId="11" borderId="16" xfId="0" applyFont="1" applyFill="1" applyBorder="1" applyProtection="1">
      <protection hidden="1"/>
    </xf>
    <xf numFmtId="0" fontId="153" fillId="11" borderId="15" xfId="0" applyFont="1" applyFill="1" applyBorder="1" applyAlignment="1" applyProtection="1">
      <alignment horizontal="left"/>
      <protection hidden="1"/>
    </xf>
    <xf numFmtId="0" fontId="75" fillId="11" borderId="17" xfId="0" applyFont="1" applyFill="1" applyBorder="1" applyAlignment="1" applyProtection="1">
      <alignment horizontal="center"/>
      <protection hidden="1"/>
    </xf>
    <xf numFmtId="175" fontId="75" fillId="11" borderId="0" xfId="0" applyNumberFormat="1" applyFont="1" applyFill="1" applyBorder="1" applyAlignment="1" applyProtection="1">
      <alignment horizontal="center"/>
      <protection hidden="1"/>
    </xf>
    <xf numFmtId="173" fontId="75" fillId="11" borderId="14" xfId="0" applyNumberFormat="1" applyFont="1" applyFill="1" applyBorder="1" applyAlignment="1" applyProtection="1">
      <alignment horizontal="center"/>
      <protection hidden="1"/>
    </xf>
    <xf numFmtId="3" fontId="97" fillId="11" borderId="0" xfId="0" applyNumberFormat="1" applyFont="1" applyFill="1" applyBorder="1" applyAlignment="1" applyProtection="1">
      <protection locked="0"/>
    </xf>
    <xf numFmtId="0" fontId="97" fillId="13" borderId="18" xfId="0" applyFont="1" applyFill="1" applyBorder="1" applyAlignment="1" applyProtection="1">
      <alignment horizontal="center"/>
      <protection hidden="1"/>
    </xf>
    <xf numFmtId="0" fontId="153" fillId="11" borderId="126" xfId="0" applyFont="1" applyFill="1" applyBorder="1" applyAlignment="1" applyProtection="1">
      <alignment horizontal="left"/>
      <protection hidden="1"/>
    </xf>
    <xf numFmtId="0" fontId="75" fillId="0" borderId="14" xfId="0" applyFont="1" applyBorder="1"/>
    <xf numFmtId="0" fontId="75" fillId="0" borderId="4" xfId="0" applyFont="1" applyBorder="1"/>
    <xf numFmtId="0" fontId="75" fillId="0" borderId="16" xfId="0" applyFont="1" applyBorder="1"/>
    <xf numFmtId="0" fontId="75" fillId="0" borderId="15" xfId="0" applyFont="1" applyBorder="1"/>
    <xf numFmtId="0" fontId="75" fillId="0" borderId="17" xfId="0" applyFont="1" applyBorder="1"/>
    <xf numFmtId="0" fontId="97" fillId="11" borderId="64" xfId="0" applyFont="1" applyFill="1" applyBorder="1" applyAlignment="1" applyProtection="1">
      <alignment horizontal="center"/>
      <protection hidden="1"/>
    </xf>
    <xf numFmtId="175" fontId="97" fillId="11" borderId="64" xfId="0" applyNumberFormat="1" applyFont="1" applyFill="1" applyBorder="1" applyAlignment="1" applyProtection="1">
      <alignment horizontal="center"/>
      <protection hidden="1"/>
    </xf>
    <xf numFmtId="173" fontId="97" fillId="11" borderId="64" xfId="0" applyNumberFormat="1" applyFont="1" applyFill="1" applyBorder="1" applyAlignment="1" applyProtection="1">
      <alignment horizontal="center"/>
      <protection hidden="1"/>
    </xf>
    <xf numFmtId="0" fontId="97" fillId="11" borderId="64" xfId="0" applyFont="1" applyFill="1" applyBorder="1" applyProtection="1">
      <protection hidden="1"/>
    </xf>
    <xf numFmtId="0" fontId="75" fillId="13" borderId="0" xfId="0" applyFont="1" applyFill="1" applyBorder="1" applyProtection="1">
      <protection hidden="1"/>
    </xf>
    <xf numFmtId="9" fontId="75" fillId="13" borderId="0" xfId="0" applyNumberFormat="1" applyFont="1" applyFill="1" applyBorder="1" applyAlignment="1" applyProtection="1">
      <alignment horizontal="center"/>
      <protection hidden="1"/>
    </xf>
    <xf numFmtId="0" fontId="75" fillId="13" borderId="0" xfId="0" applyFont="1" applyFill="1" applyBorder="1" applyAlignment="1" applyProtection="1">
      <alignment horizontal="center"/>
      <protection hidden="1"/>
    </xf>
    <xf numFmtId="175" fontId="75" fillId="13" borderId="0" xfId="0" applyNumberFormat="1" applyFont="1" applyFill="1" applyBorder="1" applyAlignment="1" applyProtection="1">
      <alignment horizontal="center"/>
      <protection hidden="1"/>
    </xf>
    <xf numFmtId="173" fontId="75" fillId="13" borderId="0" xfId="0" applyNumberFormat="1" applyFont="1" applyFill="1" applyBorder="1" applyAlignment="1" applyProtection="1">
      <alignment horizontal="center"/>
      <protection hidden="1"/>
    </xf>
    <xf numFmtId="3" fontId="75" fillId="13" borderId="0" xfId="0" applyNumberFormat="1" applyFont="1" applyFill="1" applyBorder="1" applyAlignment="1" applyProtection="1">
      <alignment horizontal="center"/>
      <protection hidden="1"/>
    </xf>
    <xf numFmtId="175" fontId="75" fillId="13" borderId="0" xfId="0" applyNumberFormat="1" applyFont="1" applyFill="1" applyBorder="1" applyAlignment="1" applyProtection="1">
      <alignment horizontal="center"/>
      <protection locked="0"/>
    </xf>
    <xf numFmtId="173" fontId="75" fillId="13" borderId="0" xfId="17" applyNumberFormat="1" applyFont="1" applyFill="1" applyBorder="1" applyAlignment="1" applyProtection="1">
      <alignment horizontal="center"/>
      <protection locked="0"/>
    </xf>
    <xf numFmtId="9" fontId="75" fillId="13" borderId="0" xfId="17" applyFont="1" applyFill="1" applyBorder="1" applyAlignment="1" applyProtection="1">
      <alignment horizontal="center"/>
      <protection hidden="1"/>
    </xf>
    <xf numFmtId="0" fontId="75" fillId="13" borderId="0" xfId="0" applyFont="1" applyFill="1" applyBorder="1" applyAlignment="1" applyProtection="1">
      <alignment horizontal="right"/>
      <protection hidden="1"/>
    </xf>
    <xf numFmtId="175" fontId="154" fillId="13" borderId="0" xfId="0" applyNumberFormat="1" applyFont="1" applyFill="1" applyBorder="1" applyAlignment="1" applyProtection="1">
      <alignment horizontal="left"/>
      <protection hidden="1"/>
    </xf>
    <xf numFmtId="0" fontId="110" fillId="13" borderId="0" xfId="0" applyFont="1" applyFill="1" applyBorder="1" applyProtection="1">
      <protection hidden="1"/>
    </xf>
    <xf numFmtId="0" fontId="110" fillId="13" borderId="0" xfId="0" applyFont="1" applyFill="1" applyBorder="1" applyAlignment="1" applyProtection="1">
      <alignment horizontal="left"/>
      <protection hidden="1"/>
    </xf>
    <xf numFmtId="3" fontId="75" fillId="13" borderId="0" xfId="0" applyNumberFormat="1" applyFont="1" applyFill="1" applyBorder="1" applyProtection="1">
      <protection hidden="1"/>
    </xf>
    <xf numFmtId="175" fontId="75" fillId="13" borderId="0" xfId="0" applyNumberFormat="1" applyFont="1" applyFill="1" applyBorder="1" applyProtection="1">
      <protection hidden="1"/>
    </xf>
    <xf numFmtId="3" fontId="110" fillId="13" borderId="0" xfId="0" applyNumberFormat="1" applyFont="1" applyFill="1" applyBorder="1" applyAlignment="1" applyProtection="1">
      <alignment horizontal="center"/>
      <protection hidden="1"/>
    </xf>
    <xf numFmtId="175" fontId="110" fillId="13" borderId="0" xfId="0" applyNumberFormat="1" applyFont="1" applyFill="1" applyBorder="1" applyAlignment="1" applyProtection="1">
      <alignment horizontal="center"/>
      <protection hidden="1"/>
    </xf>
    <xf numFmtId="4" fontId="75" fillId="13" borderId="0" xfId="0" applyNumberFormat="1" applyFont="1" applyFill="1" applyBorder="1" applyProtection="1">
      <protection hidden="1"/>
    </xf>
    <xf numFmtId="0" fontId="110" fillId="13" borderId="0" xfId="0" applyFont="1" applyFill="1" applyBorder="1" applyAlignment="1" applyProtection="1">
      <protection hidden="1"/>
    </xf>
    <xf numFmtId="0" fontId="110" fillId="13" borderId="0" xfId="0" applyFont="1" applyFill="1" applyBorder="1" applyAlignment="1" applyProtection="1">
      <alignment horizontal="center"/>
      <protection hidden="1"/>
    </xf>
    <xf numFmtId="0" fontId="110" fillId="13" borderId="0" xfId="0" applyFont="1" applyFill="1" applyBorder="1" applyAlignment="1" applyProtection="1">
      <alignment horizontal="center" wrapText="1"/>
      <protection hidden="1"/>
    </xf>
    <xf numFmtId="0" fontId="75" fillId="13" borderId="0" xfId="0" applyFont="1" applyFill="1" applyBorder="1" applyAlignment="1" applyProtection="1">
      <protection hidden="1"/>
    </xf>
    <xf numFmtId="3" fontId="75" fillId="13" borderId="0" xfId="0" applyNumberFormat="1" applyFont="1" applyFill="1" applyBorder="1" applyProtection="1">
      <protection locked="0" hidden="1"/>
    </xf>
    <xf numFmtId="3" fontId="75" fillId="13" borderId="0" xfId="0" applyNumberFormat="1" applyFont="1" applyFill="1" applyBorder="1" applyAlignment="1" applyProtection="1">
      <alignment horizontal="center"/>
      <protection locked="0"/>
    </xf>
    <xf numFmtId="3" fontId="110" fillId="13" borderId="0" xfId="0" applyNumberFormat="1" applyFont="1" applyFill="1" applyBorder="1" applyProtection="1">
      <protection hidden="1"/>
    </xf>
    <xf numFmtId="175" fontId="110" fillId="13" borderId="0" xfId="0" applyNumberFormat="1" applyFont="1" applyFill="1" applyBorder="1" applyProtection="1">
      <protection hidden="1"/>
    </xf>
    <xf numFmtId="0" fontId="108" fillId="13" borderId="0" xfId="0" applyFont="1" applyFill="1" applyBorder="1" applyAlignment="1" applyProtection="1">
      <protection hidden="1"/>
    </xf>
    <xf numFmtId="9" fontId="75" fillId="13" borderId="0" xfId="17" applyNumberFormat="1" applyFont="1" applyFill="1" applyBorder="1" applyAlignment="1" applyProtection="1">
      <alignment horizontal="center"/>
      <protection locked="0"/>
    </xf>
    <xf numFmtId="0" fontId="91" fillId="13" borderId="0" xfId="0" applyFont="1" applyFill="1" applyBorder="1" applyProtection="1">
      <protection hidden="1"/>
    </xf>
    <xf numFmtId="0" fontId="155" fillId="13" borderId="0" xfId="0" applyFont="1" applyFill="1" applyBorder="1" applyProtection="1">
      <protection hidden="1"/>
    </xf>
    <xf numFmtId="172" fontId="75" fillId="13" borderId="0" xfId="0" applyNumberFormat="1" applyFont="1" applyFill="1" applyBorder="1" applyAlignment="1" applyProtection="1">
      <alignment horizontal="center"/>
      <protection hidden="1"/>
    </xf>
    <xf numFmtId="0" fontId="75" fillId="13" borderId="0" xfId="0" applyFont="1" applyFill="1" applyBorder="1" applyAlignment="1" applyProtection="1">
      <alignment horizontal="center"/>
      <protection locked="0"/>
    </xf>
    <xf numFmtId="0" fontId="75" fillId="13" borderId="0" xfId="0" applyFont="1" applyFill="1" applyBorder="1" applyAlignment="1" applyProtection="1">
      <alignment horizontal="left"/>
      <protection hidden="1"/>
    </xf>
    <xf numFmtId="1" fontId="75" fillId="13" borderId="0" xfId="0" applyNumberFormat="1" applyFont="1" applyFill="1" applyBorder="1" applyAlignment="1" applyProtection="1">
      <alignment horizontal="center"/>
      <protection locked="0"/>
    </xf>
    <xf numFmtId="9" fontId="75" fillId="13" borderId="0" xfId="0" applyNumberFormat="1" applyFont="1" applyFill="1" applyBorder="1" applyAlignment="1" applyProtection="1">
      <alignment horizontal="center"/>
      <protection locked="0"/>
    </xf>
    <xf numFmtId="0" fontId="110" fillId="13" borderId="0" xfId="0" applyFont="1" applyFill="1" applyBorder="1" applyAlignment="1" applyProtection="1">
      <alignment horizontal="right"/>
      <protection hidden="1"/>
    </xf>
    <xf numFmtId="1" fontId="110" fillId="13" borderId="0" xfId="0" applyNumberFormat="1" applyFont="1" applyFill="1" applyBorder="1" applyAlignment="1" applyProtection="1">
      <alignment horizontal="center"/>
      <protection hidden="1"/>
    </xf>
    <xf numFmtId="0" fontId="75" fillId="13" borderId="0" xfId="0" applyFont="1" applyFill="1" applyBorder="1" applyProtection="1">
      <protection locked="0" hidden="1"/>
    </xf>
    <xf numFmtId="1" fontId="75" fillId="13" borderId="0" xfId="0" applyNumberFormat="1" applyFont="1" applyFill="1" applyBorder="1" applyAlignment="1" applyProtection="1">
      <alignment horizontal="center"/>
      <protection hidden="1"/>
    </xf>
    <xf numFmtId="0" fontId="110" fillId="13" borderId="0" xfId="0" applyFont="1" applyFill="1" applyBorder="1" applyAlignment="1" applyProtection="1">
      <alignment vertical="center"/>
      <protection hidden="1"/>
    </xf>
    <xf numFmtId="0" fontId="110" fillId="13" borderId="0" xfId="0" applyFont="1" applyFill="1" applyBorder="1" applyAlignment="1" applyProtection="1">
      <alignment horizontal="center" vertical="center"/>
      <protection hidden="1"/>
    </xf>
    <xf numFmtId="0" fontId="110" fillId="13" borderId="0" xfId="16" applyFont="1" applyFill="1" applyBorder="1" applyAlignment="1" applyProtection="1">
      <protection hidden="1"/>
    </xf>
    <xf numFmtId="2" fontId="75" fillId="13" borderId="0" xfId="0" applyNumberFormat="1" applyFont="1" applyFill="1" applyBorder="1" applyAlignment="1" applyProtection="1">
      <alignment horizontal="center"/>
      <protection locked="0"/>
    </xf>
    <xf numFmtId="0" fontId="75" fillId="13" borderId="0" xfId="0" applyFont="1" applyFill="1" applyBorder="1" applyAlignment="1" applyProtection="1">
      <alignment horizontal="right" wrapText="1"/>
      <protection hidden="1"/>
    </xf>
    <xf numFmtId="1" fontId="75" fillId="13" borderId="0" xfId="0" applyNumberFormat="1" applyFont="1" applyFill="1" applyBorder="1" applyAlignment="1" applyProtection="1">
      <alignment horizontal="center" vertical="center" wrapText="1"/>
      <protection locked="0"/>
    </xf>
    <xf numFmtId="175" fontId="75" fillId="13" borderId="0" xfId="0" applyNumberFormat="1" applyFont="1" applyFill="1" applyBorder="1" applyAlignment="1" applyProtection="1">
      <alignment horizontal="center" vertical="center" wrapText="1"/>
      <protection locked="0"/>
    </xf>
    <xf numFmtId="9" fontId="75" fillId="13" borderId="0" xfId="0" applyNumberFormat="1" applyFont="1" applyFill="1" applyBorder="1" applyAlignment="1" applyProtection="1">
      <alignment horizontal="center" vertical="center" wrapText="1"/>
      <protection locked="0"/>
    </xf>
    <xf numFmtId="2" fontId="75" fillId="13" borderId="0" xfId="0" applyNumberFormat="1" applyFont="1" applyFill="1" applyBorder="1" applyAlignment="1" applyProtection="1">
      <alignment horizontal="center" vertical="center" wrapText="1"/>
      <protection locked="0"/>
    </xf>
    <xf numFmtId="0" fontId="75" fillId="13" borderId="0" xfId="0" applyFont="1" applyFill="1" applyBorder="1"/>
    <xf numFmtId="0" fontId="75" fillId="13" borderId="0" xfId="0" applyFont="1" applyFill="1" applyBorder="1" applyAlignment="1">
      <alignment horizontal="center"/>
    </xf>
    <xf numFmtId="0" fontId="110" fillId="13" borderId="0" xfId="0" applyFont="1" applyFill="1" applyBorder="1" applyAlignment="1">
      <alignment horizontal="right"/>
    </xf>
    <xf numFmtId="0" fontId="110" fillId="13" borderId="0" xfId="0" applyFont="1" applyFill="1" applyBorder="1" applyAlignment="1" applyProtection="1">
      <alignment horizontal="center" vertical="center" wrapText="1"/>
      <protection hidden="1"/>
    </xf>
    <xf numFmtId="9" fontId="75" fillId="13" borderId="0" xfId="17" applyNumberFormat="1" applyFont="1" applyFill="1" applyBorder="1" applyAlignment="1" applyProtection="1">
      <alignment horizontal="center"/>
      <protection hidden="1"/>
    </xf>
    <xf numFmtId="171" fontId="75" fillId="13" borderId="0" xfId="0" applyNumberFormat="1" applyFont="1" applyFill="1" applyBorder="1" applyAlignment="1" applyProtection="1">
      <alignment horizontal="center"/>
      <protection hidden="1"/>
    </xf>
    <xf numFmtId="9" fontId="75" fillId="13" borderId="0" xfId="0" applyNumberFormat="1" applyFont="1" applyFill="1" applyBorder="1" applyAlignment="1" applyProtection="1">
      <protection hidden="1"/>
    </xf>
    <xf numFmtId="175" fontId="110" fillId="13" borderId="0" xfId="0" applyNumberFormat="1" applyFont="1" applyFill="1" applyBorder="1" applyAlignment="1">
      <alignment horizontal="center"/>
    </xf>
    <xf numFmtId="0" fontId="75" fillId="6" borderId="79" xfId="13" applyFont="1" applyFill="1" applyBorder="1" applyAlignment="1" applyProtection="1">
      <alignment horizontal="left" vertical="center" wrapText="1"/>
      <protection hidden="1"/>
    </xf>
    <xf numFmtId="0" fontId="95" fillId="11" borderId="0" xfId="13" applyFont="1" applyFill="1" applyAlignment="1"/>
    <xf numFmtId="0" fontId="84" fillId="11" borderId="0" xfId="13" applyFont="1" applyFill="1" applyAlignment="1">
      <alignment horizontal="left" vertical="center" wrapText="1"/>
    </xf>
    <xf numFmtId="0" fontId="104" fillId="12" borderId="96" xfId="13" applyFont="1" applyFill="1" applyBorder="1" applyAlignment="1">
      <alignment horizontal="center" vertical="center" wrapText="1"/>
    </xf>
    <xf numFmtId="0" fontId="83" fillId="11" borderId="0" xfId="13" applyFont="1" applyFill="1" applyAlignment="1">
      <alignment horizontal="left" wrapText="1"/>
    </xf>
    <xf numFmtId="0" fontId="104" fillId="12" borderId="117" xfId="13" applyFont="1" applyFill="1" applyBorder="1" applyAlignment="1">
      <alignment horizontal="center" vertical="center" wrapText="1"/>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83" fillId="11" borderId="77" xfId="13" applyFont="1" applyFill="1" applyBorder="1" applyAlignment="1">
      <alignment horizontal="left" wrapText="1"/>
    </xf>
    <xf numFmtId="0" fontId="65" fillId="0" borderId="0" xfId="0" applyFont="1" applyFill="1" applyBorder="1"/>
    <xf numFmtId="0" fontId="75" fillId="11" borderId="0" xfId="0" applyFont="1" applyFill="1" applyAlignment="1"/>
    <xf numFmtId="187" fontId="85" fillId="11" borderId="8" xfId="0" applyNumberFormat="1" applyFont="1" applyFill="1" applyBorder="1" applyAlignment="1">
      <alignment horizontal="center" vertical="center"/>
    </xf>
    <xf numFmtId="3" fontId="90" fillId="15" borderId="8" xfId="0" applyNumberFormat="1" applyFont="1" applyFill="1" applyBorder="1" applyAlignment="1" applyProtection="1">
      <alignment horizontal="center" vertical="center"/>
      <protection locked="0"/>
    </xf>
    <xf numFmtId="0" fontId="0" fillId="17" borderId="1" xfId="0" applyFill="1" applyBorder="1" applyAlignment="1">
      <alignment horizontal="center"/>
    </xf>
    <xf numFmtId="0" fontId="156" fillId="12" borderId="1" xfId="0" applyFont="1" applyFill="1" applyBorder="1"/>
    <xf numFmtId="0" fontId="0" fillId="0" borderId="0" xfId="0" applyAlignment="1">
      <alignment horizontal="center"/>
    </xf>
    <xf numFmtId="0" fontId="0" fillId="17" borderId="1" xfId="0" applyFill="1" applyBorder="1"/>
    <xf numFmtId="0" fontId="113" fillId="0" borderId="0" xfId="13" applyFont="1" applyAlignment="1">
      <alignment horizontal="left" vertical="top" wrapText="1"/>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104" fillId="12" borderId="96"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4" fillId="11" borderId="0" xfId="13" applyFont="1" applyFill="1" applyBorder="1" applyAlignment="1">
      <alignment horizontal="left" vertical="center" wrapText="1"/>
    </xf>
    <xf numFmtId="0" fontId="84" fillId="11" borderId="0" xfId="13" applyFont="1" applyFill="1" applyAlignment="1">
      <alignment vertical="center" wrapText="1"/>
    </xf>
    <xf numFmtId="0" fontId="83" fillId="11" borderId="77" xfId="13" applyFont="1" applyFill="1" applyBorder="1" applyAlignment="1">
      <alignment horizontal="left" wrapText="1"/>
    </xf>
    <xf numFmtId="0" fontId="84" fillId="11" borderId="0" xfId="13" applyFont="1" applyFill="1" applyBorder="1" applyAlignment="1">
      <alignment horizontal="left" vertical="center" wrapText="1"/>
    </xf>
    <xf numFmtId="0" fontId="84" fillId="11" borderId="0" xfId="13" applyFont="1" applyFill="1" applyAlignment="1">
      <alignment horizontal="left" vertical="center" wrapText="1"/>
    </xf>
    <xf numFmtId="0" fontId="104" fillId="12" borderId="96"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3" fillId="11" borderId="0" xfId="13" applyFont="1" applyFill="1" applyAlignment="1">
      <alignment horizontal="left" wrapText="1"/>
    </xf>
    <xf numFmtId="0" fontId="84" fillId="11" borderId="0" xfId="13" applyFont="1" applyFill="1" applyAlignment="1">
      <alignment vertical="center" wrapText="1"/>
    </xf>
    <xf numFmtId="204" fontId="96" fillId="12" borderId="90" xfId="13" applyNumberFormat="1" applyFont="1" applyFill="1" applyBorder="1" applyAlignment="1">
      <alignment horizontal="center"/>
    </xf>
    <xf numFmtId="179" fontId="96" fillId="11" borderId="0" xfId="13" applyNumberFormat="1" applyFont="1" applyFill="1" applyBorder="1" applyAlignment="1"/>
    <xf numFmtId="197" fontId="79" fillId="11" borderId="81" xfId="13" applyNumberFormat="1" applyFont="1" applyFill="1" applyBorder="1" applyAlignment="1">
      <alignment horizontal="center" vertical="center" wrapText="1"/>
    </xf>
    <xf numFmtId="0" fontId="0" fillId="0" borderId="71" xfId="0" applyBorder="1"/>
    <xf numFmtId="0" fontId="80" fillId="11" borderId="0" xfId="13" applyFont="1" applyFill="1" applyBorder="1"/>
    <xf numFmtId="0" fontId="84" fillId="11" borderId="71" xfId="13" applyFont="1" applyFill="1" applyBorder="1" applyAlignment="1">
      <alignment vertical="center" wrapText="1"/>
    </xf>
    <xf numFmtId="0" fontId="75" fillId="0" borderId="77" xfId="13" applyFont="1" applyBorder="1"/>
    <xf numFmtId="9" fontId="79" fillId="6" borderId="0" xfId="17" applyFont="1" applyFill="1"/>
    <xf numFmtId="9" fontId="79" fillId="6" borderId="0" xfId="17" applyFont="1" applyFill="1" applyBorder="1"/>
    <xf numFmtId="0" fontId="84" fillId="11" borderId="71" xfId="13" applyFont="1" applyFill="1" applyBorder="1" applyAlignment="1">
      <alignment horizontal="left" vertical="center" wrapText="1"/>
    </xf>
    <xf numFmtId="0" fontId="84" fillId="11" borderId="0"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5" fillId="11" borderId="0" xfId="13" applyFont="1" applyFill="1" applyBorder="1" applyAlignment="1">
      <alignment vertical="center" wrapText="1"/>
    </xf>
    <xf numFmtId="0" fontId="75" fillId="11" borderId="0" xfId="0" applyFont="1" applyFill="1" applyProtection="1"/>
    <xf numFmtId="0" fontId="75" fillId="13" borderId="0" xfId="0" applyFont="1" applyFill="1" applyProtection="1"/>
    <xf numFmtId="0" fontId="97" fillId="13" borderId="0" xfId="0" applyFont="1" applyFill="1" applyProtection="1"/>
    <xf numFmtId="0" fontId="126" fillId="13" borderId="0" xfId="0" applyFont="1" applyFill="1" applyProtection="1"/>
    <xf numFmtId="0" fontId="75" fillId="11" borderId="0" xfId="0" applyFont="1" applyFill="1" applyAlignment="1" applyProtection="1"/>
    <xf numFmtId="0" fontId="138" fillId="11" borderId="0" xfId="0" applyFont="1" applyFill="1" applyProtection="1"/>
    <xf numFmtId="0" fontId="78" fillId="11" borderId="0" xfId="0" applyFont="1" applyFill="1" applyAlignment="1" applyProtection="1">
      <alignment horizontal="right"/>
    </xf>
    <xf numFmtId="0" fontId="78" fillId="11" borderId="0" xfId="0" applyFont="1" applyFill="1" applyAlignment="1" applyProtection="1">
      <alignment horizontal="center"/>
    </xf>
    <xf numFmtId="0" fontId="83" fillId="11" borderId="0" xfId="13" applyFont="1" applyFill="1" applyAlignment="1">
      <alignment horizontal="left" wrapText="1"/>
    </xf>
    <xf numFmtId="9" fontId="79" fillId="11" borderId="0" xfId="17" applyFont="1" applyFill="1"/>
    <xf numFmtId="0" fontId="75" fillId="15" borderId="1" xfId="0" applyFont="1" applyFill="1" applyBorder="1" applyAlignment="1" applyProtection="1">
      <alignment horizontal="left" vertical="center"/>
      <protection locked="0"/>
    </xf>
    <xf numFmtId="1" fontId="75" fillId="15" borderId="1" xfId="0" applyNumberFormat="1" applyFont="1" applyFill="1" applyBorder="1" applyAlignment="1" applyProtection="1">
      <alignment horizontal="left" vertical="center"/>
      <protection locked="0"/>
    </xf>
    <xf numFmtId="14" fontId="75" fillId="11" borderId="0" xfId="0" applyNumberFormat="1" applyFont="1" applyFill="1" applyBorder="1" applyAlignment="1" applyProtection="1">
      <alignment horizontal="center"/>
      <protection hidden="1"/>
    </xf>
    <xf numFmtId="0" fontId="84" fillId="6" borderId="0" xfId="13" applyFont="1" applyFill="1" applyBorder="1" applyAlignment="1">
      <alignment horizontal="center"/>
    </xf>
    <xf numFmtId="9" fontId="89" fillId="11" borderId="0" xfId="13" applyNumberFormat="1" applyFont="1" applyFill="1" applyBorder="1" applyAlignment="1">
      <alignment horizontal="center" vertical="center" wrapText="1"/>
    </xf>
    <xf numFmtId="0" fontId="83" fillId="11" borderId="77" xfId="13" applyFont="1" applyFill="1" applyBorder="1" applyAlignment="1">
      <alignment horizontal="center" vertical="center" wrapText="1"/>
    </xf>
    <xf numFmtId="0" fontId="113" fillId="11" borderId="0" xfId="13" applyFont="1" applyFill="1" applyAlignment="1">
      <alignment horizontal="left" vertical="center" wrapText="1"/>
    </xf>
    <xf numFmtId="0" fontId="83" fillId="11" borderId="91" xfId="13" applyFont="1" applyFill="1" applyBorder="1" applyAlignment="1">
      <alignment horizontal="center" vertical="center" wrapText="1"/>
    </xf>
    <xf numFmtId="0" fontId="75" fillId="0" borderId="0" xfId="13" applyFont="1" applyAlignment="1">
      <alignment vertical="center"/>
    </xf>
    <xf numFmtId="189" fontId="120" fillId="13" borderId="8" xfId="0" applyNumberFormat="1" applyFont="1" applyFill="1" applyBorder="1" applyAlignment="1" applyProtection="1">
      <alignment horizontal="center" vertical="center"/>
    </xf>
    <xf numFmtId="0" fontId="108" fillId="11" borderId="0" xfId="0" applyFont="1" applyFill="1" applyAlignment="1">
      <alignment horizontal="right"/>
    </xf>
    <xf numFmtId="0" fontId="78" fillId="16" borderId="0" xfId="0" applyFont="1" applyFill="1" applyAlignment="1">
      <alignment vertical="center"/>
    </xf>
    <xf numFmtId="0" fontId="104" fillId="12" borderId="96" xfId="13" applyFont="1" applyFill="1" applyBorder="1" applyAlignment="1">
      <alignment horizontal="center" vertical="center"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85" fillId="0" borderId="74" xfId="13" applyFont="1" applyFill="1" applyBorder="1" applyAlignment="1">
      <alignment horizontal="center" vertical="center" wrapText="1"/>
    </xf>
    <xf numFmtId="0" fontId="79" fillId="15" borderId="8" xfId="0" applyFont="1" applyFill="1" applyBorder="1" applyAlignment="1" applyProtection="1">
      <alignment horizontal="center" vertical="center"/>
      <protection locked="0"/>
    </xf>
    <xf numFmtId="0" fontId="104" fillId="13" borderId="32" xfId="0" applyFont="1" applyFill="1" applyBorder="1" applyAlignment="1">
      <alignment horizontal="center" vertical="center" wrapText="1"/>
    </xf>
    <xf numFmtId="0" fontId="120" fillId="12" borderId="7" xfId="0" applyFont="1" applyFill="1" applyBorder="1" applyAlignment="1">
      <alignment horizontal="center" vertical="center" wrapText="1"/>
    </xf>
    <xf numFmtId="0" fontId="79" fillId="11" borderId="0" xfId="0" applyFont="1" applyFill="1" applyAlignment="1">
      <alignment horizontal="center" wrapText="1"/>
    </xf>
    <xf numFmtId="0" fontId="79" fillId="11" borderId="0" xfId="0" applyFont="1" applyFill="1" applyAlignment="1">
      <alignment horizontal="center"/>
    </xf>
    <xf numFmtId="0" fontId="120" fillId="13" borderId="32" xfId="0" applyFont="1" applyFill="1" applyBorder="1" applyAlignment="1">
      <alignment horizontal="center" vertical="center" wrapText="1"/>
    </xf>
    <xf numFmtId="0" fontId="79" fillId="11" borderId="0" xfId="0" applyFont="1" applyFill="1"/>
    <xf numFmtId="0" fontId="157" fillId="13" borderId="32" xfId="0" applyFont="1" applyFill="1" applyBorder="1" applyAlignment="1">
      <alignment horizontal="center" vertical="center"/>
    </xf>
    <xf numFmtId="0" fontId="120" fillId="11" borderId="0" xfId="0" applyFont="1" applyFill="1" applyAlignment="1">
      <alignment horizontal="center"/>
    </xf>
    <xf numFmtId="0" fontId="79" fillId="11" borderId="0" xfId="0" applyFont="1" applyFill="1" applyAlignment="1">
      <alignment vertical="center"/>
    </xf>
    <xf numFmtId="0" fontId="120" fillId="11" borderId="0" xfId="0" applyFont="1" applyFill="1" applyBorder="1" applyProtection="1">
      <protection hidden="1"/>
    </xf>
    <xf numFmtId="0" fontId="157" fillId="11" borderId="0" xfId="0" applyFont="1" applyFill="1"/>
    <xf numFmtId="0" fontId="120" fillId="11" borderId="0" xfId="0" applyFont="1" applyFill="1"/>
    <xf numFmtId="0" fontId="79" fillId="11" borderId="0" xfId="0" applyFont="1" applyFill="1" applyAlignment="1">
      <alignment horizontal="center" vertical="center"/>
    </xf>
    <xf numFmtId="189" fontId="79" fillId="11" borderId="8" xfId="0" applyNumberFormat="1" applyFont="1" applyFill="1" applyBorder="1" applyAlignment="1">
      <alignment horizontal="center" vertical="center"/>
    </xf>
    <xf numFmtId="9" fontId="120" fillId="12" borderId="8" xfId="17" applyFont="1" applyFill="1" applyBorder="1" applyAlignment="1">
      <alignment horizontal="center" vertical="center"/>
    </xf>
    <xf numFmtId="0" fontId="102" fillId="11" borderId="0" xfId="0" applyFont="1" applyFill="1" applyAlignment="1">
      <alignment horizontal="center" vertical="center"/>
    </xf>
    <xf numFmtId="0" fontId="79" fillId="11" borderId="0" xfId="0" applyFont="1" applyFill="1" applyBorder="1"/>
    <xf numFmtId="0" fontId="79" fillId="11" borderId="0" xfId="0" applyFont="1" applyFill="1" applyBorder="1" applyAlignment="1">
      <alignment horizontal="center" vertical="center"/>
    </xf>
    <xf numFmtId="0" fontId="79" fillId="11" borderId="0" xfId="0" applyFont="1" applyFill="1" applyBorder="1" applyAlignment="1">
      <alignment horizontal="right" vertical="center"/>
    </xf>
    <xf numFmtId="0" fontId="79" fillId="13" borderId="0" xfId="0" applyFont="1" applyFill="1"/>
    <xf numFmtId="0" fontId="78" fillId="6" borderId="0" xfId="0" applyFont="1" applyFill="1" applyBorder="1" applyAlignment="1">
      <alignment horizontal="center" vertical="center"/>
    </xf>
    <xf numFmtId="189" fontId="79" fillId="11" borderId="0" xfId="0" applyNumberFormat="1" applyFont="1" applyFill="1" applyBorder="1" applyAlignment="1">
      <alignment horizontal="center" vertical="center"/>
    </xf>
    <xf numFmtId="0" fontId="79" fillId="17" borderId="19" xfId="0" applyFont="1" applyFill="1" applyBorder="1" applyAlignment="1">
      <alignment horizontal="center" vertical="center"/>
    </xf>
    <xf numFmtId="0" fontId="79" fillId="11" borderId="0" xfId="0" applyFont="1" applyFill="1" applyBorder="1" applyAlignment="1">
      <alignment horizontal="center" vertical="center" wrapText="1"/>
    </xf>
    <xf numFmtId="0" fontId="79" fillId="11" borderId="85" xfId="0" applyFont="1" applyFill="1" applyBorder="1" applyAlignment="1">
      <alignment horizontal="center" vertical="center" wrapText="1"/>
    </xf>
    <xf numFmtId="0" fontId="78" fillId="11" borderId="0" xfId="0" applyFont="1" applyFill="1" applyAlignment="1">
      <alignment vertical="center"/>
    </xf>
    <xf numFmtId="187" fontId="120" fillId="12" borderId="8" xfId="0" applyNumberFormat="1" applyFont="1" applyFill="1" applyBorder="1" applyAlignment="1">
      <alignment horizontal="center" vertical="center"/>
    </xf>
    <xf numFmtId="0" fontId="79" fillId="11" borderId="0" xfId="0" applyFont="1" applyFill="1" applyProtection="1"/>
    <xf numFmtId="0" fontId="120" fillId="13" borderId="32" xfId="0" applyFont="1" applyFill="1" applyBorder="1" applyAlignment="1">
      <alignment horizontal="center" vertical="center"/>
    </xf>
    <xf numFmtId="0" fontId="83" fillId="11" borderId="0" xfId="13" applyFont="1" applyFill="1" applyAlignment="1">
      <alignment horizontal="left" wrapText="1"/>
    </xf>
    <xf numFmtId="0" fontId="85" fillId="0" borderId="74" xfId="13" applyFont="1" applyFill="1" applyBorder="1" applyAlignment="1">
      <alignment horizontal="center" vertical="center" wrapText="1"/>
    </xf>
    <xf numFmtId="0" fontId="104" fillId="12" borderId="96" xfId="13" applyFont="1" applyFill="1" applyBorder="1" applyAlignment="1">
      <alignment horizontal="center" vertical="center" wrapText="1"/>
    </xf>
    <xf numFmtId="0" fontId="75" fillId="0" borderId="0" xfId="13" applyFont="1" applyFill="1"/>
    <xf numFmtId="0" fontId="90" fillId="0" borderId="0" xfId="13" applyFont="1" applyFill="1" applyAlignment="1">
      <alignment vertical="center" wrapText="1"/>
    </xf>
    <xf numFmtId="179" fontId="106" fillId="0" borderId="0" xfId="13" applyNumberFormat="1" applyFont="1" applyFill="1" applyAlignment="1">
      <alignment vertical="top" wrapText="1"/>
    </xf>
    <xf numFmtId="0" fontId="90" fillId="0" borderId="0" xfId="13" applyFont="1" applyFill="1" applyBorder="1" applyAlignment="1">
      <alignment horizontal="center" vertical="center" wrapText="1"/>
    </xf>
    <xf numFmtId="0" fontId="86" fillId="0" borderId="0" xfId="13" applyFont="1" applyFill="1"/>
    <xf numFmtId="0" fontId="80" fillId="0" borderId="0" xfId="13" applyFont="1" applyFill="1"/>
    <xf numFmtId="0" fontId="85" fillId="0" borderId="0" xfId="13" applyFont="1" applyFill="1" applyBorder="1" applyAlignment="1">
      <alignment horizontal="center" vertical="center" wrapText="1"/>
    </xf>
    <xf numFmtId="180" fontId="78" fillId="16" borderId="0" xfId="13" applyNumberFormat="1" applyFont="1" applyFill="1" applyBorder="1" applyAlignment="1">
      <alignment horizontal="center"/>
    </xf>
    <xf numFmtId="0" fontId="95" fillId="0" borderId="0" xfId="13" applyFont="1" applyFill="1" applyBorder="1" applyAlignment="1">
      <alignment horizontal="center" vertical="center" wrapText="1"/>
    </xf>
    <xf numFmtId="204" fontId="96" fillId="0" borderId="0" xfId="13" applyNumberFormat="1" applyFont="1" applyFill="1" applyBorder="1" applyAlignment="1">
      <alignment horizontal="center" vertical="center"/>
    </xf>
    <xf numFmtId="179" fontId="96" fillId="0" borderId="0" xfId="13" applyNumberFormat="1" applyFont="1" applyFill="1" applyBorder="1" applyAlignment="1">
      <alignment horizontal="center"/>
    </xf>
    <xf numFmtId="0" fontId="95" fillId="0" borderId="0" xfId="13" applyFont="1" applyFill="1" applyBorder="1" applyAlignment="1">
      <alignment horizontal="center" vertical="center"/>
    </xf>
    <xf numFmtId="179" fontId="96" fillId="0" borderId="0" xfId="13" applyNumberFormat="1" applyFont="1" applyFill="1" applyBorder="1" applyAlignment="1">
      <alignment horizontal="center" vertical="center"/>
    </xf>
    <xf numFmtId="0" fontId="80" fillId="0" borderId="0" xfId="13" applyFont="1" applyFill="1" applyBorder="1"/>
    <xf numFmtId="0" fontId="84" fillId="0" borderId="0" xfId="13" applyFont="1" applyFill="1" applyBorder="1" applyAlignment="1">
      <alignment vertical="center" wrapText="1"/>
    </xf>
    <xf numFmtId="9" fontId="0" fillId="0" borderId="0" xfId="17" applyFont="1"/>
    <xf numFmtId="0" fontId="159" fillId="0" borderId="0" xfId="0" applyFont="1" applyFill="1"/>
    <xf numFmtId="9" fontId="37" fillId="31" borderId="0" xfId="17" applyFont="1" applyFill="1" applyAlignment="1">
      <alignment horizontal="center"/>
    </xf>
    <xf numFmtId="0" fontId="160" fillId="31" borderId="0" xfId="0" applyFont="1" applyFill="1" applyAlignment="1">
      <alignment horizontal="center"/>
    </xf>
    <xf numFmtId="0" fontId="38" fillId="31" borderId="0" xfId="0" applyFont="1" applyFill="1" applyAlignment="1">
      <alignment horizontal="center"/>
    </xf>
    <xf numFmtId="9" fontId="8" fillId="0" borderId="0" xfId="17" applyFont="1" applyFill="1" applyAlignment="1">
      <alignment horizontal="center"/>
    </xf>
    <xf numFmtId="0" fontId="161" fillId="11" borderId="0" xfId="0" applyFont="1" applyFill="1"/>
    <xf numFmtId="0" fontId="84" fillId="11" borderId="0" xfId="13" applyFont="1" applyFill="1" applyAlignment="1">
      <alignment horizontal="left" vertical="center" wrapText="1"/>
    </xf>
    <xf numFmtId="0" fontId="84" fillId="11" borderId="0" xfId="13" applyFont="1" applyFill="1" applyAlignment="1">
      <alignment horizontal="left" vertical="center" wrapText="1"/>
    </xf>
    <xf numFmtId="0" fontId="90" fillId="28" borderId="0" xfId="0" applyFont="1" applyFill="1" applyBorder="1"/>
    <xf numFmtId="0" fontId="39" fillId="29" borderId="63" xfId="0" applyFont="1" applyFill="1" applyBorder="1"/>
    <xf numFmtId="0" fontId="39" fillId="29" borderId="64" xfId="0" applyFont="1" applyFill="1" applyBorder="1"/>
    <xf numFmtId="0" fontId="39" fillId="29" borderId="65" xfId="0" applyFont="1" applyFill="1" applyBorder="1"/>
    <xf numFmtId="0" fontId="65" fillId="0" borderId="0" xfId="0" applyFont="1" applyFill="1" applyBorder="1" applyAlignment="1">
      <alignment horizontal="right"/>
    </xf>
    <xf numFmtId="190" fontId="75" fillId="11" borderId="0" xfId="0" applyNumberFormat="1" applyFont="1" applyFill="1" applyProtection="1"/>
    <xf numFmtId="0" fontId="75" fillId="11" borderId="0" xfId="0" applyFont="1" applyFill="1" applyAlignment="1">
      <alignment horizontal="center"/>
    </xf>
    <xf numFmtId="0" fontId="65" fillId="0" borderId="0" xfId="0" applyFont="1" applyFill="1" applyBorder="1" applyAlignment="1">
      <alignment horizontal="center"/>
    </xf>
    <xf numFmtId="0" fontId="163" fillId="0" borderId="0" xfId="0" applyFont="1"/>
    <xf numFmtId="0" fontId="0" fillId="0" borderId="0" xfId="0" applyFill="1" applyBorder="1"/>
    <xf numFmtId="184" fontId="24" fillId="0" borderId="59" xfId="0" applyNumberFormat="1" applyFont="1" applyFill="1" applyBorder="1" applyAlignment="1" applyProtection="1">
      <alignment horizontal="left" vertical="center"/>
      <protection hidden="1"/>
    </xf>
    <xf numFmtId="0" fontId="24" fillId="0" borderId="66" xfId="0" applyFont="1" applyFill="1" applyBorder="1"/>
    <xf numFmtId="0" fontId="24" fillId="0" borderId="68" xfId="0" applyFont="1" applyFill="1" applyBorder="1"/>
    <xf numFmtId="0" fontId="24" fillId="0" borderId="66" xfId="0" applyFont="1" applyFill="1" applyBorder="1" applyAlignment="1">
      <alignment horizontal="center" vertical="center"/>
    </xf>
    <xf numFmtId="0" fontId="24" fillId="0" borderId="67" xfId="0" applyFont="1" applyFill="1" applyBorder="1" applyAlignment="1">
      <alignment horizontal="center" vertical="center"/>
    </xf>
    <xf numFmtId="0" fontId="24" fillId="0" borderId="68" xfId="0" applyFont="1" applyFill="1" applyBorder="1" applyAlignment="1">
      <alignment horizontal="center" vertical="center"/>
    </xf>
    <xf numFmtId="0" fontId="24" fillId="0" borderId="67" xfId="0" applyFont="1" applyFill="1" applyBorder="1" applyAlignment="1">
      <alignment horizontal="left" vertical="center"/>
    </xf>
    <xf numFmtId="0" fontId="11" fillId="0" borderId="65" xfId="0" applyFont="1" applyFill="1" applyBorder="1"/>
    <xf numFmtId="0" fontId="38" fillId="13" borderId="145" xfId="0" applyFont="1" applyFill="1" applyBorder="1" applyAlignment="1">
      <alignment horizontal="center"/>
    </xf>
    <xf numFmtId="0" fontId="11" fillId="0" borderId="100" xfId="0" applyFont="1" applyFill="1" applyBorder="1" applyAlignment="1">
      <alignment horizontal="center"/>
    </xf>
    <xf numFmtId="0" fontId="39" fillId="29" borderId="68" xfId="0" applyFont="1" applyFill="1" applyBorder="1" applyAlignment="1">
      <alignment horizontal="center" vertical="center"/>
    </xf>
    <xf numFmtId="0" fontId="24" fillId="29" borderId="60" xfId="0" applyFont="1" applyFill="1" applyBorder="1" applyAlignment="1">
      <alignment horizontal="center" vertical="center"/>
    </xf>
    <xf numFmtId="0" fontId="24" fillId="29" borderId="62" xfId="0" applyFont="1" applyFill="1" applyBorder="1" applyAlignment="1">
      <alignment horizontal="center" vertical="center"/>
    </xf>
    <xf numFmtId="0" fontId="11" fillId="29" borderId="65" xfId="0" applyFont="1" applyFill="1" applyBorder="1" applyAlignment="1">
      <alignment horizontal="center"/>
    </xf>
    <xf numFmtId="0" fontId="39" fillId="29" borderId="11" xfId="0" applyFont="1" applyFill="1" applyBorder="1"/>
    <xf numFmtId="9" fontId="39" fillId="29" borderId="13" xfId="0" applyNumberFormat="1" applyFont="1" applyFill="1" applyBorder="1"/>
    <xf numFmtId="0" fontId="39" fillId="29" borderId="0" xfId="0" applyFont="1" applyFill="1" applyBorder="1"/>
    <xf numFmtId="9" fontId="39" fillId="29" borderId="4" xfId="0" applyNumberFormat="1" applyFont="1" applyFill="1" applyBorder="1"/>
    <xf numFmtId="0" fontId="39" fillId="29" borderId="4" xfId="0" applyFont="1" applyFill="1" applyBorder="1"/>
    <xf numFmtId="0" fontId="39" fillId="29" borderId="15" xfId="0" applyFont="1" applyFill="1" applyBorder="1"/>
    <xf numFmtId="9" fontId="39" fillId="29" borderId="17" xfId="17" applyFont="1" applyFill="1" applyBorder="1"/>
    <xf numFmtId="0" fontId="11" fillId="17" borderId="66" xfId="0" applyFont="1" applyFill="1" applyBorder="1"/>
    <xf numFmtId="0" fontId="11" fillId="17" borderId="67" xfId="0" applyFont="1" applyFill="1" applyBorder="1"/>
    <xf numFmtId="0" fontId="11" fillId="17" borderId="32" xfId="0" applyFont="1" applyFill="1" applyBorder="1" applyAlignment="1">
      <alignment horizontal="center"/>
    </xf>
    <xf numFmtId="0" fontId="3" fillId="0" borderId="59" xfId="0" applyFont="1" applyFill="1" applyBorder="1" applyAlignment="1">
      <alignment horizontal="center"/>
    </xf>
    <xf numFmtId="0" fontId="3" fillId="0" borderId="60" xfId="0" applyFont="1" applyFill="1" applyBorder="1" applyAlignment="1">
      <alignment horizontal="center"/>
    </xf>
    <xf numFmtId="0" fontId="0" fillId="0" borderId="64" xfId="0" applyFill="1" applyBorder="1" applyAlignment="1">
      <alignment horizontal="center"/>
    </xf>
    <xf numFmtId="9" fontId="0" fillId="0" borderId="65" xfId="17" applyFont="1" applyFill="1" applyBorder="1" applyAlignment="1">
      <alignment horizontal="center"/>
    </xf>
    <xf numFmtId="0" fontId="0" fillId="0" borderId="0" xfId="0" applyFill="1"/>
    <xf numFmtId="0" fontId="7" fillId="19" borderId="1" xfId="0" applyFont="1" applyFill="1" applyBorder="1" applyAlignment="1">
      <alignment horizontal="center" vertical="center" wrapText="1"/>
    </xf>
    <xf numFmtId="0" fontId="3" fillId="32" borderId="1" xfId="0" applyFont="1" applyFill="1" applyBorder="1" applyAlignment="1">
      <alignment horizontal="center" vertical="center" wrapText="1"/>
    </xf>
    <xf numFmtId="0" fontId="90" fillId="0" borderId="0" xfId="0" applyFont="1" applyFill="1" applyBorder="1"/>
    <xf numFmtId="0" fontId="138" fillId="11" borderId="0" xfId="0" applyFont="1" applyFill="1"/>
    <xf numFmtId="17" fontId="39" fillId="29" borderId="0" xfId="0" quotePrefix="1" applyNumberFormat="1" applyFont="1" applyFill="1" applyBorder="1"/>
    <xf numFmtId="180" fontId="39" fillId="29" borderId="0" xfId="0" applyNumberFormat="1" applyFont="1" applyFill="1" applyBorder="1"/>
    <xf numFmtId="0" fontId="24" fillId="0" borderId="67" xfId="0" applyFont="1" applyFill="1" applyBorder="1"/>
    <xf numFmtId="0" fontId="39" fillId="0" borderId="0" xfId="0" applyFont="1" applyFill="1" applyBorder="1"/>
    <xf numFmtId="0" fontId="39" fillId="0" borderId="0" xfId="0" applyFont="1" applyFill="1" applyBorder="1" applyAlignment="1">
      <alignment horizontal="center"/>
    </xf>
    <xf numFmtId="0" fontId="65" fillId="0" borderId="0" xfId="0" applyFont="1" applyFill="1" applyBorder="1" applyAlignment="1">
      <alignment horizontal="right" vertical="center"/>
    </xf>
    <xf numFmtId="0" fontId="66" fillId="0" borderId="0" xfId="0" applyFont="1" applyFill="1" applyBorder="1" applyAlignment="1">
      <alignment horizontal="center"/>
    </xf>
    <xf numFmtId="0" fontId="124" fillId="0" borderId="1" xfId="0" applyFont="1" applyFill="1" applyBorder="1" applyAlignment="1">
      <alignment horizontal="center"/>
    </xf>
    <xf numFmtId="0" fontId="3" fillId="0" borderId="1" xfId="0" applyFont="1" applyFill="1" applyBorder="1" applyAlignment="1">
      <alignment horizontal="center"/>
    </xf>
    <xf numFmtId="0" fontId="166" fillId="0" borderId="61" xfId="0" applyFont="1" applyFill="1" applyBorder="1" applyAlignment="1">
      <alignment horizontal="center" vertical="center"/>
    </xf>
    <xf numFmtId="0" fontId="166" fillId="0" borderId="0" xfId="0" applyFont="1" applyFill="1" applyBorder="1" applyAlignment="1">
      <alignment horizontal="center" vertical="center"/>
    </xf>
    <xf numFmtId="0" fontId="166" fillId="0" borderId="0" xfId="0" applyFont="1" applyFill="1"/>
    <xf numFmtId="0" fontId="166" fillId="0" borderId="0" xfId="0" applyFont="1" applyFill="1" applyBorder="1"/>
    <xf numFmtId="0" fontId="166" fillId="0" borderId="62" xfId="0" applyFont="1" applyFill="1" applyBorder="1"/>
    <xf numFmtId="0" fontId="167" fillId="0" borderId="0" xfId="0" applyFont="1"/>
    <xf numFmtId="179" fontId="0" fillId="0" borderId="0" xfId="0" applyNumberFormat="1" applyFill="1" applyBorder="1" applyAlignment="1">
      <alignment horizontal="center"/>
    </xf>
    <xf numFmtId="0" fontId="0" fillId="0" borderId="0" xfId="0" applyFill="1" applyBorder="1" applyAlignment="1">
      <alignment horizontal="center"/>
    </xf>
    <xf numFmtId="179" fontId="0" fillId="0" borderId="1" xfId="0" applyNumberFormat="1" applyBorder="1" applyAlignment="1">
      <alignment horizontal="center"/>
    </xf>
    <xf numFmtId="0" fontId="24" fillId="0" borderId="1" xfId="0" applyFont="1" applyFill="1" applyBorder="1" applyAlignment="1">
      <alignment horizontal="center"/>
    </xf>
    <xf numFmtId="0" fontId="168" fillId="11" borderId="0" xfId="0" applyFont="1" applyFill="1"/>
    <xf numFmtId="0" fontId="169" fillId="13" borderId="0" xfId="0" applyFont="1" applyFill="1" applyBorder="1" applyAlignment="1">
      <alignment horizontal="center"/>
    </xf>
    <xf numFmtId="0" fontId="38" fillId="13" borderId="0" xfId="0" applyFont="1" applyFill="1" applyBorder="1"/>
    <xf numFmtId="0" fontId="38" fillId="13" borderId="0" xfId="0"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3" fillId="0" borderId="0" xfId="0" applyFont="1" applyAlignment="1">
      <alignment vertical="center"/>
    </xf>
    <xf numFmtId="0" fontId="163" fillId="0" borderId="0" xfId="0" applyFont="1" applyAlignment="1">
      <alignment vertical="center"/>
    </xf>
    <xf numFmtId="0" fontId="0" fillId="0" borderId="0" xfId="0" applyAlignment="1">
      <alignment vertical="center" wrapText="1"/>
    </xf>
    <xf numFmtId="0" fontId="3" fillId="0" borderId="0" xfId="0" applyFont="1" applyAlignment="1">
      <alignment vertical="center" wrapText="1"/>
    </xf>
    <xf numFmtId="0" fontId="163" fillId="0" borderId="0" xfId="0" applyFont="1" applyAlignment="1">
      <alignment vertical="center" wrapText="1"/>
    </xf>
    <xf numFmtId="0" fontId="37" fillId="30" borderId="125" xfId="0" applyFont="1" applyFill="1" applyBorder="1" applyAlignment="1">
      <alignment horizontal="center" vertical="center"/>
    </xf>
    <xf numFmtId="0" fontId="37" fillId="30" borderId="125" xfId="0" applyFont="1" applyFill="1" applyBorder="1"/>
    <xf numFmtId="0" fontId="37" fillId="30" borderId="125" xfId="0" applyFont="1" applyFill="1" applyBorder="1" applyAlignment="1">
      <alignment horizontal="center" vertical="center" wrapText="1"/>
    </xf>
    <xf numFmtId="0" fontId="3" fillId="0" borderId="147" xfId="0" applyFont="1" applyBorder="1" applyAlignment="1">
      <alignment horizontal="center" vertical="center"/>
    </xf>
    <xf numFmtId="0" fontId="3" fillId="0" borderId="2" xfId="0" applyFont="1" applyBorder="1" applyAlignment="1">
      <alignment horizontal="center" vertical="center"/>
    </xf>
    <xf numFmtId="0" fontId="3" fillId="0" borderId="149" xfId="0" applyFont="1" applyBorder="1" applyAlignment="1">
      <alignment horizontal="center" vertical="center"/>
    </xf>
    <xf numFmtId="0" fontId="3" fillId="33" borderId="5" xfId="0" applyFont="1" applyFill="1" applyBorder="1" applyAlignment="1">
      <alignment vertical="center" wrapText="1"/>
    </xf>
    <xf numFmtId="0" fontId="3" fillId="33" borderId="3" xfId="0" applyFont="1" applyFill="1" applyBorder="1" applyAlignment="1">
      <alignment vertical="center" wrapText="1"/>
    </xf>
    <xf numFmtId="0" fontId="132" fillId="13" borderId="0" xfId="0" applyFont="1" applyFill="1" applyAlignment="1">
      <alignment vertical="center"/>
    </xf>
    <xf numFmtId="0" fontId="168" fillId="11" borderId="0" xfId="0" applyFont="1" applyFill="1" applyAlignment="1">
      <alignment horizontal="center"/>
    </xf>
    <xf numFmtId="0" fontId="90" fillId="11" borderId="1" xfId="0" applyFont="1" applyFill="1" applyBorder="1" applyAlignment="1" applyProtection="1">
      <alignment horizontal="center"/>
    </xf>
    <xf numFmtId="0" fontId="97" fillId="11" borderId="0" xfId="0" applyFont="1" applyFill="1" applyAlignment="1">
      <alignment vertical="center"/>
    </xf>
    <xf numFmtId="0" fontId="105" fillId="11" borderId="0" xfId="0" applyFont="1" applyFill="1" applyAlignment="1">
      <alignment horizontal="center" vertical="center"/>
    </xf>
    <xf numFmtId="0" fontId="90" fillId="11" borderId="0" xfId="0" applyFont="1" applyFill="1" applyAlignment="1">
      <alignment horizontal="left"/>
    </xf>
    <xf numFmtId="0" fontId="97" fillId="11" borderId="0" xfId="0" applyFont="1" applyFill="1" applyAlignment="1">
      <alignment horizontal="center" vertical="center"/>
    </xf>
    <xf numFmtId="0" fontId="97" fillId="11" borderId="0" xfId="0" applyFont="1" applyFill="1" applyProtection="1"/>
    <xf numFmtId="0" fontId="97" fillId="11" borderId="0" xfId="0" applyFont="1" applyFill="1" applyBorder="1"/>
    <xf numFmtId="0" fontId="138" fillId="11" borderId="0" xfId="0" applyFont="1" applyFill="1" applyBorder="1"/>
    <xf numFmtId="0" fontId="24" fillId="11" borderId="0" xfId="0" applyFont="1" applyFill="1" applyBorder="1"/>
    <xf numFmtId="0" fontId="172" fillId="11" borderId="0" xfId="0" applyFont="1" applyFill="1" applyAlignment="1">
      <alignment horizontal="center" vertical="center"/>
    </xf>
    <xf numFmtId="204" fontId="0" fillId="0" borderId="1" xfId="0" applyNumberFormat="1" applyBorder="1" applyAlignment="1">
      <alignment horizontal="center"/>
    </xf>
    <xf numFmtId="179" fontId="11" fillId="0" borderId="0" xfId="0" applyNumberFormat="1" applyFont="1" applyFill="1" applyBorder="1" applyAlignment="1">
      <alignment horizontal="center"/>
    </xf>
    <xf numFmtId="0" fontId="50" fillId="0" borderId="0" xfId="0" applyFont="1" applyFill="1" applyBorder="1" applyAlignment="1">
      <alignment horizontal="center"/>
    </xf>
    <xf numFmtId="0" fontId="156" fillId="12" borderId="1" xfId="0" applyFont="1" applyFill="1" applyBorder="1" applyAlignment="1">
      <alignment horizontal="center"/>
    </xf>
    <xf numFmtId="0" fontId="173" fillId="11" borderId="0" xfId="0" applyFont="1" applyFill="1"/>
    <xf numFmtId="0" fontId="0" fillId="17" borderId="1" xfId="0" applyFont="1" applyFill="1" applyBorder="1" applyAlignment="1">
      <alignment horizontal="center"/>
    </xf>
    <xf numFmtId="0" fontId="24" fillId="0" borderId="9" xfId="0" applyFont="1" applyFill="1" applyBorder="1" applyAlignment="1">
      <alignment horizontal="center"/>
    </xf>
    <xf numFmtId="185" fontId="24" fillId="0" borderId="1" xfId="0" applyNumberFormat="1" applyFont="1" applyFill="1" applyBorder="1" applyAlignment="1">
      <alignment horizontal="center"/>
    </xf>
    <xf numFmtId="0" fontId="174" fillId="11" borderId="0" xfId="0" applyFont="1" applyFill="1" applyAlignment="1">
      <alignment horizontal="center" vertical="center" wrapText="1"/>
    </xf>
    <xf numFmtId="0" fontId="140" fillId="0" borderId="0" xfId="0" applyFont="1" applyAlignment="1">
      <alignment vertical="center"/>
    </xf>
    <xf numFmtId="180" fontId="78" fillId="16" borderId="0" xfId="13" applyNumberFormat="1" applyFont="1" applyFill="1" applyBorder="1" applyAlignment="1">
      <alignment horizontal="center" vertical="center"/>
    </xf>
    <xf numFmtId="0" fontId="0" fillId="0" borderId="65" xfId="0" applyBorder="1"/>
    <xf numFmtId="0" fontId="3" fillId="0" borderId="151" xfId="0" applyFont="1" applyBorder="1" applyAlignment="1">
      <alignment horizontal="center" vertical="center" wrapText="1"/>
    </xf>
    <xf numFmtId="195" fontId="124" fillId="29" borderId="1" xfId="0" applyNumberFormat="1" applyFont="1" applyFill="1" applyBorder="1" applyAlignment="1">
      <alignment horizontal="center"/>
    </xf>
    <xf numFmtId="195" fontId="124" fillId="29" borderId="125" xfId="0" applyNumberFormat="1" applyFont="1" applyFill="1" applyBorder="1" applyAlignment="1">
      <alignment horizontal="center"/>
    </xf>
    <xf numFmtId="0" fontId="3" fillId="0" borderId="153" xfId="0" applyFont="1" applyFill="1" applyBorder="1" applyAlignment="1">
      <alignment horizontal="center" vertical="center" wrapText="1"/>
    </xf>
    <xf numFmtId="0" fontId="84" fillId="11" borderId="0" xfId="13" applyFont="1" applyFill="1" applyAlignment="1">
      <alignment horizontal="left" vertical="center" wrapText="1"/>
    </xf>
    <xf numFmtId="197" fontId="79" fillId="11" borderId="87" xfId="13" applyNumberFormat="1" applyFont="1" applyFill="1" applyBorder="1" applyAlignment="1">
      <alignment horizontal="center" vertical="center" wrapText="1"/>
    </xf>
    <xf numFmtId="0" fontId="83" fillId="11" borderId="0" xfId="13" applyFont="1" applyFill="1" applyAlignment="1">
      <alignment horizontal="left" wrapText="1"/>
    </xf>
    <xf numFmtId="0" fontId="85" fillId="11" borderId="81" xfId="13" applyFont="1" applyFill="1" applyBorder="1" applyAlignment="1">
      <alignment horizontal="center" vertical="center" wrapText="1"/>
    </xf>
    <xf numFmtId="0" fontId="85" fillId="11" borderId="102" xfId="13" applyFont="1" applyFill="1" applyBorder="1" applyAlignment="1">
      <alignment horizontal="center" vertical="center" wrapText="1"/>
    </xf>
    <xf numFmtId="0" fontId="85" fillId="6" borderId="81" xfId="13" applyFont="1" applyFill="1" applyBorder="1" applyAlignment="1">
      <alignment horizontal="center" vertical="center"/>
    </xf>
    <xf numFmtId="0" fontId="104" fillId="12" borderId="120" xfId="13" applyFont="1" applyFill="1" applyBorder="1" applyAlignment="1">
      <alignment horizontal="center" vertical="center" wrapText="1"/>
    </xf>
    <xf numFmtId="0" fontId="104" fillId="12" borderId="99" xfId="13" applyFont="1" applyFill="1" applyBorder="1" applyAlignment="1">
      <alignment horizontal="center" vertical="center" wrapText="1"/>
    </xf>
    <xf numFmtId="0" fontId="83" fillId="11" borderId="0" xfId="13" applyFont="1" applyFill="1" applyAlignment="1">
      <alignment horizontal="left" wrapText="1"/>
    </xf>
    <xf numFmtId="0" fontId="84" fillId="11" borderId="0" xfId="13" applyFont="1" applyFill="1" applyAlignment="1">
      <alignment horizontal="left" vertical="center" wrapText="1"/>
    </xf>
    <xf numFmtId="0" fontId="85" fillId="11" borderId="81" xfId="13" applyFont="1" applyFill="1" applyBorder="1" applyAlignment="1">
      <alignment horizontal="center" vertical="center" wrapText="1"/>
    </xf>
    <xf numFmtId="0" fontId="85" fillId="11" borderId="102" xfId="13" applyFont="1" applyFill="1" applyBorder="1" applyAlignment="1">
      <alignment horizontal="center" vertical="center" wrapText="1"/>
    </xf>
    <xf numFmtId="0" fontId="85" fillId="6" borderId="81" xfId="13" applyFont="1" applyFill="1" applyBorder="1" applyAlignment="1">
      <alignment horizontal="center" vertical="center"/>
    </xf>
    <xf numFmtId="197" fontId="79" fillId="11" borderId="87" xfId="13" applyNumberFormat="1" applyFont="1" applyFill="1" applyBorder="1" applyAlignment="1">
      <alignment horizontal="center" vertical="center" wrapText="1"/>
    </xf>
    <xf numFmtId="0" fontId="85" fillId="11" borderId="0" xfId="13" applyFont="1" applyFill="1" applyBorder="1" applyAlignment="1">
      <alignment horizontal="center" vertical="center"/>
    </xf>
    <xf numFmtId="197" fontId="79" fillId="11" borderId="0" xfId="13" applyNumberFormat="1" applyFont="1" applyFill="1" applyBorder="1" applyAlignment="1">
      <alignment horizontal="center" vertical="center" wrapText="1"/>
    </xf>
    <xf numFmtId="197" fontId="79" fillId="11" borderId="90" xfId="13" applyNumberFormat="1" applyFont="1" applyFill="1" applyBorder="1" applyAlignment="1">
      <alignment horizontal="center" vertical="center" wrapText="1"/>
    </xf>
    <xf numFmtId="0" fontId="104" fillId="12" borderId="91" xfId="13" applyFont="1" applyFill="1" applyBorder="1" applyAlignment="1">
      <alignment horizontal="center" vertical="center" wrapText="1"/>
    </xf>
    <xf numFmtId="0" fontId="0" fillId="17" borderId="9" xfId="0" applyFill="1" applyBorder="1" applyAlignment="1">
      <alignment horizontal="center"/>
    </xf>
    <xf numFmtId="0" fontId="39" fillId="13" borderId="1" xfId="0" applyFont="1" applyFill="1" applyBorder="1" applyAlignment="1">
      <alignment horizontal="center"/>
    </xf>
    <xf numFmtId="0" fontId="85" fillId="11" borderId="102" xfId="13" applyFont="1" applyFill="1" applyBorder="1" applyAlignment="1">
      <alignment horizontal="center" vertical="center" wrapText="1"/>
    </xf>
    <xf numFmtId="0" fontId="85" fillId="11" borderId="81" xfId="13" applyFont="1" applyFill="1" applyBorder="1" applyAlignment="1">
      <alignment horizontal="center" vertical="center" wrapText="1"/>
    </xf>
    <xf numFmtId="0" fontId="85" fillId="6" borderId="81" xfId="13" applyFont="1" applyFill="1" applyBorder="1" applyAlignment="1">
      <alignment horizontal="center" vertical="center"/>
    </xf>
    <xf numFmtId="0" fontId="104" fillId="12" borderId="117" xfId="13" applyFont="1" applyFill="1" applyBorder="1" applyAlignment="1">
      <alignment horizontal="center" vertical="center"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104" fillId="12" borderId="96" xfId="13" applyFont="1" applyFill="1" applyBorder="1" applyAlignment="1">
      <alignment horizontal="center" vertical="center" wrapText="1"/>
    </xf>
    <xf numFmtId="197" fontId="79" fillId="11" borderId="87" xfId="13" applyNumberFormat="1"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3" fillId="33" borderId="6" xfId="0" applyFont="1" applyFill="1" applyBorder="1" applyAlignment="1">
      <alignment vertical="center" wrapText="1"/>
    </xf>
    <xf numFmtId="0" fontId="3" fillId="17" borderId="1" xfId="0" applyFont="1" applyFill="1" applyBorder="1" applyAlignment="1">
      <alignment horizontal="center"/>
    </xf>
    <xf numFmtId="0" fontId="3" fillId="0" borderId="0" xfId="0" applyFont="1" applyAlignment="1">
      <alignment horizontal="right"/>
    </xf>
    <xf numFmtId="0" fontId="3" fillId="0" borderId="0" xfId="0" applyFont="1" applyAlignment="1">
      <alignment horizontal="center"/>
    </xf>
    <xf numFmtId="0" fontId="0" fillId="0" borderId="1" xfId="0" applyFill="1" applyBorder="1" applyAlignment="1">
      <alignment horizontal="center"/>
    </xf>
    <xf numFmtId="206" fontId="0" fillId="0" borderId="1" xfId="0" applyNumberFormat="1" applyFill="1" applyBorder="1" applyAlignment="1">
      <alignment horizontal="center"/>
    </xf>
    <xf numFmtId="0" fontId="24" fillId="0" borderId="2" xfId="0" applyFont="1" applyFill="1" applyBorder="1" applyAlignment="1">
      <alignment horizontal="center"/>
    </xf>
    <xf numFmtId="0" fontId="24" fillId="0" borderId="2" xfId="0" applyFont="1" applyFill="1" applyBorder="1" applyAlignment="1">
      <alignment horizontal="center" vertical="center"/>
    </xf>
    <xf numFmtId="0" fontId="24" fillId="0" borderId="149" xfId="0" applyFont="1" applyFill="1" applyBorder="1" applyAlignment="1">
      <alignment horizontal="center" vertical="center"/>
    </xf>
    <xf numFmtId="0" fontId="24" fillId="0" borderId="132" xfId="0" applyFont="1" applyFill="1" applyBorder="1" applyAlignment="1">
      <alignment horizontal="center"/>
    </xf>
    <xf numFmtId="9" fontId="24" fillId="0" borderId="162" xfId="0" applyNumberFormat="1" applyFont="1" applyFill="1" applyBorder="1" applyAlignment="1">
      <alignment horizontal="center"/>
    </xf>
    <xf numFmtId="0" fontId="24" fillId="0" borderId="165" xfId="0" applyFont="1" applyFill="1" applyBorder="1" applyAlignment="1">
      <alignment horizontal="center"/>
    </xf>
    <xf numFmtId="0" fontId="24" fillId="0" borderId="167" xfId="0" applyFont="1" applyFill="1" applyBorder="1" applyAlignment="1">
      <alignment horizontal="center"/>
    </xf>
    <xf numFmtId="0" fontId="24" fillId="34" borderId="149" xfId="0" applyFont="1" applyFill="1" applyBorder="1" applyAlignment="1">
      <alignment horizontal="center"/>
    </xf>
    <xf numFmtId="0" fontId="39" fillId="12" borderId="156" xfId="0" applyFont="1" applyFill="1" applyBorder="1" applyAlignment="1">
      <alignment horizontal="center"/>
    </xf>
    <xf numFmtId="0" fontId="24" fillId="34" borderId="6" xfId="0" applyFont="1" applyFill="1" applyBorder="1" applyAlignment="1">
      <alignment horizontal="center"/>
    </xf>
    <xf numFmtId="0" fontId="24" fillId="34" borderId="161" xfId="0" applyFont="1" applyFill="1" applyBorder="1" applyAlignment="1">
      <alignment horizontal="center"/>
    </xf>
    <xf numFmtId="9" fontId="24" fillId="0" borderId="159" xfId="0" applyNumberFormat="1" applyFont="1" applyBorder="1" applyAlignment="1">
      <alignment horizontal="center"/>
    </xf>
    <xf numFmtId="9" fontId="24" fillId="0" borderId="160" xfId="0" applyNumberFormat="1" applyFont="1" applyBorder="1" applyAlignment="1">
      <alignment horizontal="center"/>
    </xf>
    <xf numFmtId="9" fontId="24" fillId="15" borderId="159" xfId="0" applyNumberFormat="1" applyFont="1" applyFill="1" applyBorder="1" applyAlignment="1">
      <alignment horizontal="center"/>
    </xf>
    <xf numFmtId="9" fontId="24" fillId="0" borderId="3" xfId="0" applyNumberFormat="1" applyFont="1" applyBorder="1" applyAlignment="1">
      <alignment horizontal="center"/>
    </xf>
    <xf numFmtId="9" fontId="24" fillId="0" borderId="157" xfId="0" applyNumberFormat="1" applyFont="1" applyBorder="1" applyAlignment="1">
      <alignment horizontal="center"/>
    </xf>
    <xf numFmtId="9" fontId="24" fillId="15" borderId="3" xfId="0" applyNumberFormat="1" applyFont="1" applyFill="1" applyBorder="1" applyAlignment="1">
      <alignment horizontal="center"/>
    </xf>
    <xf numFmtId="9" fontId="24" fillId="0" borderId="6" xfId="0" applyNumberFormat="1" applyFont="1" applyBorder="1" applyAlignment="1">
      <alignment horizontal="center"/>
    </xf>
    <xf numFmtId="9" fontId="24" fillId="0" borderId="158" xfId="0" applyNumberFormat="1" applyFont="1" applyBorder="1" applyAlignment="1">
      <alignment horizontal="center"/>
    </xf>
    <xf numFmtId="9" fontId="24" fillId="15" borderId="6" xfId="0" applyNumberFormat="1" applyFont="1" applyFill="1" applyBorder="1" applyAlignment="1">
      <alignment horizontal="center"/>
    </xf>
    <xf numFmtId="0" fontId="24" fillId="0" borderId="166" xfId="0" applyFont="1" applyBorder="1" applyAlignment="1">
      <alignment horizontal="center"/>
    </xf>
    <xf numFmtId="9" fontId="24" fillId="0" borderId="163" xfId="0" applyNumberFormat="1" applyFont="1" applyBorder="1" applyAlignment="1">
      <alignment horizontal="center"/>
    </xf>
    <xf numFmtId="9" fontId="24" fillId="0" borderId="164" xfId="17" applyFont="1" applyBorder="1" applyAlignment="1">
      <alignment horizontal="center"/>
    </xf>
    <xf numFmtId="0" fontId="24" fillId="0" borderId="0" xfId="0" applyFont="1"/>
    <xf numFmtId="9" fontId="24" fillId="15" borderId="163" xfId="0" applyNumberFormat="1" applyFont="1" applyFill="1" applyBorder="1" applyAlignment="1">
      <alignment horizontal="center"/>
    </xf>
    <xf numFmtId="169" fontId="176" fillId="0" borderId="1" xfId="0" applyNumberFormat="1" applyFont="1" applyFill="1" applyBorder="1" applyAlignment="1">
      <alignment horizontal="center"/>
    </xf>
    <xf numFmtId="0" fontId="104" fillId="12" borderId="9" xfId="0" applyFont="1" applyFill="1" applyBorder="1" applyAlignment="1">
      <alignment horizontal="center"/>
    </xf>
    <xf numFmtId="0" fontId="104" fillId="12" borderId="1" xfId="0" applyFont="1" applyFill="1" applyBorder="1" applyAlignment="1">
      <alignment horizontal="center"/>
    </xf>
    <xf numFmtId="0" fontId="75" fillId="11" borderId="11" xfId="0" applyFont="1" applyFill="1" applyBorder="1"/>
    <xf numFmtId="0" fontId="75" fillId="11" borderId="12" xfId="0" applyFont="1" applyFill="1" applyBorder="1"/>
    <xf numFmtId="0" fontId="126" fillId="11" borderId="12" xfId="0" applyFont="1" applyFill="1" applyBorder="1"/>
    <xf numFmtId="0" fontId="75" fillId="11" borderId="13" xfId="0" applyFont="1" applyFill="1" applyBorder="1"/>
    <xf numFmtId="0" fontId="75" fillId="11" borderId="14" xfId="0" applyFont="1" applyFill="1" applyBorder="1"/>
    <xf numFmtId="0" fontId="75" fillId="11" borderId="4" xfId="0" applyFont="1" applyFill="1" applyBorder="1"/>
    <xf numFmtId="0" fontId="75" fillId="11" borderId="16" xfId="0" applyFont="1" applyFill="1" applyBorder="1"/>
    <xf numFmtId="0" fontId="75" fillId="11" borderId="15" xfId="0" applyFont="1" applyFill="1" applyBorder="1"/>
    <xf numFmtId="0" fontId="75" fillId="11" borderId="17" xfId="0" applyFont="1" applyFill="1" applyBorder="1"/>
    <xf numFmtId="9" fontId="24" fillId="15" borderId="0" xfId="0" applyNumberFormat="1" applyFont="1" applyFill="1" applyBorder="1" applyAlignment="1">
      <alignment horizontal="center"/>
    </xf>
    <xf numFmtId="0" fontId="24" fillId="15" borderId="62" xfId="0" applyFont="1" applyFill="1" applyBorder="1"/>
    <xf numFmtId="0" fontId="24" fillId="15" borderId="0" xfId="0" applyFont="1" applyFill="1" applyBorder="1" applyAlignment="1">
      <alignment horizontal="center"/>
    </xf>
    <xf numFmtId="0" fontId="178" fillId="11" borderId="15" xfId="0" applyFont="1" applyFill="1" applyBorder="1" applyAlignment="1">
      <alignment horizontal="right"/>
    </xf>
    <xf numFmtId="0" fontId="97" fillId="11" borderId="15" xfId="0" applyFont="1" applyFill="1" applyBorder="1"/>
    <xf numFmtId="0" fontId="178" fillId="11" borderId="0" xfId="0" applyFont="1" applyFill="1" applyBorder="1" applyAlignment="1">
      <alignment horizontal="right"/>
    </xf>
    <xf numFmtId="0" fontId="97" fillId="11" borderId="13" xfId="0" applyFont="1" applyFill="1" applyBorder="1"/>
    <xf numFmtId="0" fontId="97" fillId="11" borderId="4" xfId="0" applyFont="1" applyFill="1" applyBorder="1"/>
    <xf numFmtId="169" fontId="176" fillId="15" borderId="1" xfId="0" applyNumberFormat="1" applyFont="1" applyFill="1" applyBorder="1" applyAlignment="1" applyProtection="1">
      <alignment horizontal="center"/>
      <protection locked="0"/>
    </xf>
    <xf numFmtId="169" fontId="85" fillId="15" borderId="1" xfId="0" applyNumberFormat="1" applyFont="1" applyFill="1" applyBorder="1" applyAlignment="1" applyProtection="1">
      <alignment horizontal="center"/>
      <protection locked="0"/>
    </xf>
    <xf numFmtId="0" fontId="108" fillId="2" borderId="10" xfId="0" applyFont="1" applyFill="1" applyBorder="1" applyAlignment="1" applyProtection="1">
      <alignment horizontal="center" vertical="center"/>
      <protection hidden="1"/>
    </xf>
    <xf numFmtId="0" fontId="176" fillId="34" borderId="1" xfId="0" applyFont="1" applyFill="1" applyBorder="1" applyAlignment="1">
      <alignment horizontal="center"/>
    </xf>
    <xf numFmtId="0" fontId="108" fillId="6" borderId="0" xfId="0" applyFont="1" applyFill="1" applyBorder="1" applyAlignment="1">
      <alignment horizontal="center" vertical="center"/>
    </xf>
    <xf numFmtId="0" fontId="102" fillId="12" borderId="10" xfId="0" applyFont="1" applyFill="1" applyBorder="1" applyAlignment="1" applyProtection="1">
      <alignment horizontal="center" vertical="center"/>
      <protection hidden="1"/>
    </xf>
    <xf numFmtId="0" fontId="85" fillId="11" borderId="0" xfId="0" applyFont="1" applyFill="1" applyBorder="1" applyAlignment="1">
      <alignment horizontal="right"/>
    </xf>
    <xf numFmtId="0" fontId="126" fillId="11" borderId="11" xfId="0" applyFont="1" applyFill="1" applyBorder="1"/>
    <xf numFmtId="0" fontId="126" fillId="11" borderId="14" xfId="0" applyFont="1" applyFill="1" applyBorder="1"/>
    <xf numFmtId="0" fontId="24" fillId="0" borderId="66" xfId="0" applyFont="1" applyFill="1" applyBorder="1" applyAlignment="1">
      <alignment horizontal="right"/>
    </xf>
    <xf numFmtId="0" fontId="0" fillId="0" borderId="67" xfId="0" applyFill="1" applyBorder="1" applyAlignment="1">
      <alignment horizontal="center"/>
    </xf>
    <xf numFmtId="9" fontId="8" fillId="0" borderId="68" xfId="17" applyFont="1" applyFill="1" applyBorder="1" applyAlignment="1">
      <alignment horizontal="center"/>
    </xf>
    <xf numFmtId="0" fontId="24" fillId="28" borderId="0" xfId="0" applyFont="1" applyFill="1" applyAlignment="1">
      <alignment horizontal="right"/>
    </xf>
    <xf numFmtId="0" fontId="3" fillId="28" borderId="0" xfId="0" applyFont="1" applyFill="1" applyAlignment="1">
      <alignment horizontal="right"/>
    </xf>
    <xf numFmtId="9" fontId="3" fillId="28" borderId="0" xfId="0" applyNumberFormat="1" applyFont="1" applyFill="1" applyAlignment="1">
      <alignment horizontal="center"/>
    </xf>
    <xf numFmtId="0" fontId="3" fillId="28" borderId="0" xfId="0" applyFont="1" applyFill="1" applyAlignment="1">
      <alignment horizontal="center"/>
    </xf>
    <xf numFmtId="0" fontId="3" fillId="28" borderId="0" xfId="0" applyFont="1" applyFill="1" applyAlignment="1">
      <alignment horizontal="left"/>
    </xf>
    <xf numFmtId="0" fontId="180" fillId="0" borderId="61" xfId="0" applyFont="1" applyFill="1" applyBorder="1" applyAlignment="1">
      <alignment horizontal="right"/>
    </xf>
    <xf numFmtId="179" fontId="180" fillId="0" borderId="0" xfId="0" applyNumberFormat="1" applyFont="1" applyFill="1" applyBorder="1" applyAlignment="1">
      <alignment horizontal="left"/>
    </xf>
    <xf numFmtId="0" fontId="180" fillId="0" borderId="0" xfId="0" applyFont="1" applyFill="1" applyBorder="1"/>
    <xf numFmtId="0" fontId="180" fillId="0" borderId="0" xfId="0" applyFont="1" applyFill="1" applyBorder="1" applyAlignment="1" applyProtection="1">
      <alignment horizontal="center"/>
      <protection hidden="1"/>
    </xf>
    <xf numFmtId="184" fontId="180" fillId="0" borderId="0" xfId="0" applyNumberFormat="1" applyFont="1" applyFill="1" applyBorder="1" applyAlignment="1" applyProtection="1">
      <alignment horizontal="left"/>
      <protection hidden="1"/>
    </xf>
    <xf numFmtId="0" fontId="180" fillId="0" borderId="0" xfId="0" applyFont="1" applyFill="1" applyBorder="1" applyAlignment="1" applyProtection="1">
      <alignment horizontal="right"/>
      <protection hidden="1"/>
    </xf>
    <xf numFmtId="184" fontId="180" fillId="0" borderId="0" xfId="0" applyNumberFormat="1" applyFont="1" applyFill="1" applyBorder="1" applyAlignment="1" applyProtection="1">
      <alignment horizontal="center"/>
      <protection hidden="1"/>
    </xf>
    <xf numFmtId="184" fontId="181" fillId="0" borderId="0" xfId="0" applyNumberFormat="1" applyFont="1" applyFill="1" applyBorder="1" applyAlignment="1" applyProtection="1">
      <alignment horizontal="left"/>
      <protection hidden="1"/>
    </xf>
    <xf numFmtId="0" fontId="180" fillId="0" borderId="63" xfId="0" applyFont="1" applyFill="1" applyBorder="1" applyAlignment="1">
      <alignment horizontal="right"/>
    </xf>
    <xf numFmtId="179" fontId="180" fillId="0" borderId="64" xfId="0" applyNumberFormat="1" applyFont="1" applyFill="1" applyBorder="1" applyAlignment="1">
      <alignment horizontal="left"/>
    </xf>
    <xf numFmtId="0" fontId="180" fillId="0" borderId="64" xfId="0" applyFont="1" applyFill="1" applyBorder="1"/>
    <xf numFmtId="187" fontId="182" fillId="12" borderId="8" xfId="0" applyNumberFormat="1" applyFont="1" applyFill="1" applyBorder="1" applyAlignment="1">
      <alignment horizontal="center" vertical="center"/>
    </xf>
    <xf numFmtId="195" fontId="124" fillId="11" borderId="1" xfId="0" applyNumberFormat="1" applyFont="1" applyFill="1" applyBorder="1" applyAlignment="1">
      <alignment horizontal="center"/>
    </xf>
    <xf numFmtId="195" fontId="124" fillId="11" borderId="18" xfId="0" applyNumberFormat="1" applyFont="1" applyFill="1" applyBorder="1" applyAlignment="1">
      <alignment horizontal="center"/>
    </xf>
    <xf numFmtId="195" fontId="124" fillId="35" borderId="1" xfId="0" applyNumberFormat="1" applyFont="1" applyFill="1" applyBorder="1" applyAlignment="1">
      <alignment horizontal="center"/>
    </xf>
    <xf numFmtId="0" fontId="3" fillId="0" borderId="0" xfId="0" applyFont="1" applyFill="1" applyBorder="1"/>
    <xf numFmtId="187" fontId="75" fillId="11" borderId="0" xfId="0" applyNumberFormat="1" applyFont="1" applyFill="1"/>
    <xf numFmtId="169" fontId="176" fillId="11" borderId="1" xfId="0" applyNumberFormat="1" applyFont="1" applyFill="1" applyBorder="1" applyAlignment="1">
      <alignment horizontal="center"/>
    </xf>
    <xf numFmtId="0" fontId="164" fillId="13" borderId="0" xfId="0" applyFont="1" applyFill="1"/>
    <xf numFmtId="0" fontId="125" fillId="13" borderId="0" xfId="0" applyFont="1" applyFill="1"/>
    <xf numFmtId="0" fontId="165" fillId="13" borderId="0" xfId="0" applyFont="1" applyFill="1"/>
    <xf numFmtId="0" fontId="165" fillId="13" borderId="0" xfId="0" applyFont="1" applyFill="1" applyBorder="1"/>
    <xf numFmtId="0" fontId="165" fillId="13" borderId="0" xfId="0" applyFont="1" applyFill="1" applyAlignment="1">
      <alignment horizontal="center"/>
    </xf>
    <xf numFmtId="0" fontId="165" fillId="13" borderId="0" xfId="0" applyFont="1" applyFill="1" applyAlignment="1">
      <alignment vertical="center"/>
    </xf>
    <xf numFmtId="0" fontId="165" fillId="13" borderId="0" xfId="0" applyFont="1" applyFill="1" applyBorder="1" applyAlignment="1">
      <alignment vertical="center"/>
    </xf>
    <xf numFmtId="0" fontId="165" fillId="13" borderId="0" xfId="0" applyFont="1" applyFill="1" applyAlignment="1">
      <alignment horizontal="center" vertical="center"/>
    </xf>
    <xf numFmtId="0" fontId="164" fillId="13" borderId="0" xfId="0" applyFont="1" applyFill="1" applyAlignment="1">
      <alignment vertical="center"/>
    </xf>
    <xf numFmtId="0" fontId="125" fillId="13" borderId="0" xfId="0" applyFont="1" applyFill="1" applyAlignment="1">
      <alignment vertical="center"/>
    </xf>
    <xf numFmtId="0" fontId="75" fillId="13" borderId="0" xfId="0" applyFont="1" applyFill="1" applyBorder="1" applyAlignment="1">
      <alignment vertical="center"/>
    </xf>
    <xf numFmtId="0" fontId="165" fillId="13" borderId="0" xfId="0" applyFont="1" applyFill="1" applyBorder="1" applyAlignment="1">
      <alignment horizontal="center" vertical="center"/>
    </xf>
    <xf numFmtId="0" fontId="90" fillId="13" borderId="0" xfId="0" applyFont="1" applyFill="1" applyBorder="1" applyAlignment="1">
      <alignment vertical="center"/>
    </xf>
    <xf numFmtId="0" fontId="90" fillId="13" borderId="0" xfId="0" applyFont="1" applyFill="1" applyBorder="1"/>
    <xf numFmtId="0" fontId="165" fillId="13" borderId="0" xfId="0" applyFont="1" applyFill="1" applyBorder="1" applyAlignment="1">
      <alignment horizontal="center"/>
    </xf>
    <xf numFmtId="0" fontId="170" fillId="13" borderId="0" xfId="0" applyFont="1" applyFill="1" applyBorder="1"/>
    <xf numFmtId="0" fontId="90" fillId="13" borderId="0" xfId="0" applyFont="1" applyFill="1" applyBorder="1" applyAlignment="1">
      <alignment horizontal="center" vertical="center"/>
    </xf>
    <xf numFmtId="0" fontId="164" fillId="13" borderId="0" xfId="0" applyFont="1" applyFill="1" applyAlignment="1">
      <alignment horizontal="center" vertical="center"/>
    </xf>
    <xf numFmtId="0" fontId="125" fillId="13" borderId="0" xfId="0" applyFont="1" applyFill="1" applyAlignment="1">
      <alignment horizontal="center" vertical="center"/>
    </xf>
    <xf numFmtId="0" fontId="90" fillId="13" borderId="0" xfId="0" applyFont="1" applyFill="1"/>
    <xf numFmtId="0" fontId="113" fillId="13" borderId="0" xfId="0" applyFont="1" applyFill="1"/>
    <xf numFmtId="0" fontId="165" fillId="13" borderId="0" xfId="0" applyFont="1" applyFill="1" applyProtection="1"/>
    <xf numFmtId="0" fontId="165" fillId="13" borderId="0" xfId="0" applyFont="1" applyFill="1" applyBorder="1" applyProtection="1"/>
    <xf numFmtId="0" fontId="164" fillId="13" borderId="0" xfId="0" applyFont="1" applyFill="1" applyProtection="1"/>
    <xf numFmtId="0" fontId="125" fillId="13" borderId="0" xfId="0" applyFont="1" applyFill="1" applyProtection="1"/>
    <xf numFmtId="0" fontId="90" fillId="15" borderId="8" xfId="0" applyFont="1" applyFill="1" applyBorder="1" applyAlignment="1" applyProtection="1">
      <alignment horizontal="center" vertical="center"/>
    </xf>
    <xf numFmtId="189" fontId="78" fillId="11" borderId="8" xfId="0" applyNumberFormat="1" applyFont="1" applyFill="1" applyBorder="1" applyAlignment="1">
      <alignment horizontal="center" vertical="center" wrapText="1"/>
    </xf>
    <xf numFmtId="189" fontId="78" fillId="0" borderId="8" xfId="0" applyNumberFormat="1" applyFont="1" applyFill="1" applyBorder="1" applyAlignment="1">
      <alignment horizontal="center" vertical="center" wrapText="1"/>
    </xf>
    <xf numFmtId="0" fontId="105" fillId="13" borderId="33" xfId="0" applyFont="1" applyFill="1" applyBorder="1" applyAlignment="1" applyProtection="1">
      <alignment horizontal="center" vertical="center"/>
      <protection hidden="1"/>
    </xf>
    <xf numFmtId="0" fontId="85" fillId="11" borderId="81"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0" fontId="3" fillId="17" borderId="1" xfId="0" applyFont="1" applyFill="1" applyBorder="1" applyAlignment="1">
      <alignment wrapText="1"/>
    </xf>
    <xf numFmtId="195" fontId="124" fillId="28" borderId="1" xfId="0" applyNumberFormat="1" applyFont="1" applyFill="1" applyBorder="1" applyAlignment="1">
      <alignment horizontal="center"/>
    </xf>
    <xf numFmtId="195" fontId="124" fillId="28" borderId="152" xfId="0" applyNumberFormat="1" applyFont="1" applyFill="1" applyBorder="1" applyAlignment="1">
      <alignment horizontal="center"/>
    </xf>
    <xf numFmtId="0" fontId="75" fillId="16" borderId="0" xfId="13" applyFont="1" applyFill="1" applyAlignment="1">
      <alignment vertical="center"/>
    </xf>
    <xf numFmtId="0" fontId="75" fillId="28" borderId="0" xfId="13" applyFont="1" applyFill="1" applyAlignment="1">
      <alignment vertical="center"/>
    </xf>
    <xf numFmtId="0" fontId="75" fillId="27" borderId="0" xfId="13" applyFont="1" applyFill="1" applyAlignment="1">
      <alignment vertical="center"/>
    </xf>
    <xf numFmtId="0" fontId="75" fillId="6" borderId="0" xfId="13" applyFont="1" applyFill="1" applyAlignment="1">
      <alignment vertical="center"/>
    </xf>
    <xf numFmtId="0" fontId="84" fillId="11" borderId="0" xfId="13" applyFont="1" applyFill="1" applyAlignment="1">
      <alignment horizontal="left" vertical="center" wrapText="1"/>
    </xf>
    <xf numFmtId="0" fontId="84" fillId="11" borderId="0" xfId="13" applyFont="1" applyFill="1" applyBorder="1" applyAlignment="1">
      <alignment horizontal="left" vertical="center" wrapText="1"/>
    </xf>
    <xf numFmtId="9" fontId="75" fillId="5" borderId="18" xfId="0" applyNumberFormat="1" applyFont="1" applyFill="1" applyBorder="1" applyAlignment="1" applyProtection="1">
      <alignment horizontal="center" vertical="center"/>
      <protection locked="0"/>
    </xf>
    <xf numFmtId="9" fontId="75" fillId="14" borderId="1" xfId="0" applyNumberFormat="1" applyFont="1" applyFill="1" applyBorder="1" applyAlignment="1" applyProtection="1">
      <alignment horizontal="center" vertical="center"/>
      <protection hidden="1"/>
    </xf>
    <xf numFmtId="0" fontId="7" fillId="13" borderId="0" xfId="0" applyFont="1" applyFill="1" applyAlignment="1" applyProtection="1">
      <alignment vertical="center"/>
      <protection hidden="1"/>
    </xf>
    <xf numFmtId="0" fontId="0" fillId="11" borderId="61" xfId="0" applyFill="1" applyBorder="1" applyAlignment="1" applyProtection="1">
      <alignment vertical="center"/>
      <protection hidden="1"/>
    </xf>
    <xf numFmtId="0" fontId="75" fillId="11" borderId="14" xfId="0" applyFont="1" applyFill="1" applyBorder="1" applyAlignment="1" applyProtection="1">
      <alignment vertical="center"/>
      <protection hidden="1"/>
    </xf>
    <xf numFmtId="0" fontId="148" fillId="11" borderId="0" xfId="0" applyFont="1" applyFill="1" applyBorder="1" applyAlignment="1" applyProtection="1">
      <alignment horizontal="center" vertical="center"/>
      <protection hidden="1"/>
    </xf>
    <xf numFmtId="0" fontId="143" fillId="8" borderId="34" xfId="0" applyFont="1" applyFill="1" applyBorder="1" applyAlignment="1" applyProtection="1">
      <alignment horizontal="center" vertical="center"/>
      <protection hidden="1"/>
    </xf>
    <xf numFmtId="0" fontId="143" fillId="8" borderId="33" xfId="0" applyFont="1" applyFill="1" applyBorder="1" applyAlignment="1" applyProtection="1">
      <alignment horizontal="center" vertical="center"/>
      <protection hidden="1"/>
    </xf>
    <xf numFmtId="0" fontId="75" fillId="0" borderId="4" xfId="0" applyFont="1" applyBorder="1" applyAlignment="1" applyProtection="1">
      <alignment vertical="center"/>
      <protection hidden="1"/>
    </xf>
    <xf numFmtId="0" fontId="97" fillId="11" borderId="0" xfId="0" applyFont="1" applyFill="1" applyBorder="1" applyAlignment="1" applyProtection="1">
      <alignment horizontal="center" vertical="center"/>
      <protection hidden="1"/>
    </xf>
    <xf numFmtId="175" fontId="97" fillId="11" borderId="0" xfId="0" applyNumberFormat="1" applyFont="1" applyFill="1" applyBorder="1" applyAlignment="1" applyProtection="1">
      <alignment horizontal="center" vertical="center"/>
      <protection hidden="1"/>
    </xf>
    <xf numFmtId="173" fontId="97" fillId="11" borderId="14" xfId="0" applyNumberFormat="1" applyFont="1" applyFill="1" applyBorder="1" applyAlignment="1" applyProtection="1">
      <alignment horizontal="center" vertical="center"/>
      <protection hidden="1"/>
    </xf>
    <xf numFmtId="0" fontId="75" fillId="0" borderId="0" xfId="0" applyFont="1" applyBorder="1" applyAlignment="1" applyProtection="1">
      <alignment vertical="center" wrapText="1"/>
      <protection hidden="1"/>
    </xf>
    <xf numFmtId="0" fontId="75" fillId="0" borderId="4" xfId="0" applyFont="1" applyBorder="1" applyAlignment="1" applyProtection="1">
      <alignment vertical="center" wrapText="1"/>
      <protection hidden="1"/>
    </xf>
    <xf numFmtId="9" fontId="37" fillId="11" borderId="62" xfId="17" applyNumberFormat="1" applyFont="1" applyFill="1" applyBorder="1" applyAlignment="1" applyProtection="1">
      <alignment horizontal="center" vertical="center"/>
      <protection hidden="1"/>
    </xf>
    <xf numFmtId="171" fontId="7" fillId="13" borderId="0" xfId="0" applyNumberFormat="1" applyFont="1" applyFill="1" applyBorder="1" applyAlignment="1" applyProtection="1">
      <alignment horizontal="center" vertical="center"/>
      <protection hidden="1"/>
    </xf>
    <xf numFmtId="168" fontId="7" fillId="13" borderId="0" xfId="0" applyNumberFormat="1" applyFont="1" applyFill="1" applyBorder="1" applyAlignment="1" applyProtection="1">
      <alignment horizontal="center" vertical="center"/>
      <protection hidden="1"/>
    </xf>
    <xf numFmtId="0" fontId="37" fillId="11" borderId="0" xfId="0" applyFont="1" applyFill="1" applyAlignment="1" applyProtection="1">
      <alignment vertical="center"/>
      <protection hidden="1"/>
    </xf>
    <xf numFmtId="0" fontId="75" fillId="11" borderId="0" xfId="13" applyFont="1" applyFill="1" applyBorder="1" applyAlignment="1">
      <alignment vertical="center"/>
    </xf>
    <xf numFmtId="0" fontId="80" fillId="11" borderId="0" xfId="13" applyFont="1" applyFill="1" applyBorder="1" applyAlignment="1">
      <alignment vertical="center"/>
    </xf>
    <xf numFmtId="204" fontId="96" fillId="12" borderId="90" xfId="13" applyNumberFormat="1" applyFont="1" applyFill="1" applyBorder="1" applyAlignment="1">
      <alignment horizontal="center" vertical="center"/>
    </xf>
    <xf numFmtId="179" fontId="96" fillId="12" borderId="90" xfId="13" applyNumberFormat="1" applyFont="1" applyFill="1" applyBorder="1" applyAlignment="1">
      <alignment vertical="center"/>
    </xf>
    <xf numFmtId="179" fontId="96" fillId="11" borderId="0" xfId="13" applyNumberFormat="1" applyFont="1" applyFill="1" applyBorder="1" applyAlignment="1">
      <alignment vertical="center"/>
    </xf>
    <xf numFmtId="204" fontId="96" fillId="12" borderId="87" xfId="13" applyNumberFormat="1" applyFont="1" applyFill="1" applyBorder="1" applyAlignment="1">
      <alignment horizontal="center" vertical="center"/>
    </xf>
    <xf numFmtId="0" fontId="188" fillId="0" borderId="0" xfId="20" applyFont="1" applyProtection="1"/>
    <xf numFmtId="0" fontId="189" fillId="0" borderId="0" xfId="20" applyFont="1" applyProtection="1"/>
    <xf numFmtId="0" fontId="191" fillId="0" borderId="0" xfId="20" applyFont="1" applyAlignment="1" applyProtection="1">
      <alignment vertical="center"/>
    </xf>
    <xf numFmtId="0" fontId="192" fillId="0" borderId="0" xfId="20" applyFont="1" applyAlignment="1" applyProtection="1">
      <alignment vertical="center"/>
    </xf>
    <xf numFmtId="0" fontId="188" fillId="0" borderId="0" xfId="20" applyFont="1" applyAlignment="1" applyProtection="1">
      <alignment horizontal="center" vertical="center"/>
    </xf>
    <xf numFmtId="0" fontId="189" fillId="0" borderId="0" xfId="20" applyFont="1" applyAlignment="1" applyProtection="1">
      <alignment horizontal="center" vertical="center"/>
    </xf>
    <xf numFmtId="0" fontId="188" fillId="0" borderId="0" xfId="20" applyFont="1" applyFill="1" applyAlignment="1" applyProtection="1">
      <alignment horizontal="center" vertical="center"/>
    </xf>
    <xf numFmtId="0" fontId="189" fillId="0" borderId="0" xfId="20" applyFont="1" applyFill="1" applyAlignment="1" applyProtection="1">
      <alignment horizontal="center" vertical="center"/>
    </xf>
    <xf numFmtId="0" fontId="188" fillId="0" borderId="0" xfId="20" applyFont="1" applyAlignment="1" applyProtection="1">
      <alignment vertical="center"/>
    </xf>
    <xf numFmtId="0" fontId="188" fillId="0" borderId="0" xfId="20" applyFont="1" applyAlignment="1" applyProtection="1">
      <alignment horizontal="right" vertical="center"/>
    </xf>
    <xf numFmtId="0" fontId="189" fillId="0" borderId="0" xfId="20" applyFont="1" applyAlignment="1" applyProtection="1">
      <alignment vertical="center"/>
    </xf>
    <xf numFmtId="0" fontId="190" fillId="36" borderId="0" xfId="20" applyFont="1" applyFill="1" applyAlignment="1" applyProtection="1">
      <alignment horizontal="center" vertical="center"/>
    </xf>
    <xf numFmtId="0" fontId="190" fillId="36" borderId="0" xfId="20" applyFont="1" applyFill="1" applyAlignment="1" applyProtection="1">
      <alignment horizontal="right" vertical="center"/>
    </xf>
    <xf numFmtId="0" fontId="190" fillId="36" borderId="0" xfId="20" applyFont="1" applyFill="1" applyAlignment="1" applyProtection="1">
      <alignment horizontal="center" vertical="center"/>
    </xf>
    <xf numFmtId="0" fontId="196" fillId="16" borderId="0" xfId="20" applyFont="1" applyFill="1" applyAlignment="1" applyProtection="1">
      <alignment horizontal="center"/>
    </xf>
    <xf numFmtId="0" fontId="196" fillId="0" borderId="0" xfId="20" applyFont="1" applyFill="1" applyAlignment="1" applyProtection="1"/>
    <xf numFmtId="0" fontId="188" fillId="0" borderId="0" xfId="20" applyFont="1" applyFill="1" applyAlignment="1" applyProtection="1">
      <alignment vertical="center"/>
    </xf>
    <xf numFmtId="0" fontId="194" fillId="0" borderId="0" xfId="20" applyFont="1" applyFill="1" applyBorder="1" applyAlignment="1" applyProtection="1">
      <alignment horizontal="left" vertical="center"/>
    </xf>
    <xf numFmtId="2" fontId="188" fillId="0" borderId="0" xfId="20" applyNumberFormat="1" applyFont="1" applyFill="1" applyAlignment="1" applyProtection="1">
      <alignment vertical="center"/>
    </xf>
    <xf numFmtId="0" fontId="190" fillId="0" borderId="0" xfId="20" applyFont="1" applyFill="1" applyAlignment="1" applyProtection="1">
      <alignment horizontal="right"/>
    </xf>
    <xf numFmtId="2" fontId="190" fillId="0" borderId="0" xfId="20" applyNumberFormat="1" applyFont="1" applyFill="1" applyAlignment="1" applyProtection="1">
      <alignment horizontal="right" vertical="center"/>
    </xf>
    <xf numFmtId="0" fontId="189" fillId="0" borderId="0" xfId="20" applyFont="1" applyFill="1" applyAlignment="1" applyProtection="1">
      <alignment vertical="center"/>
    </xf>
    <xf numFmtId="0" fontId="191" fillId="0" borderId="0" xfId="20" applyFont="1" applyAlignment="1" applyProtection="1">
      <alignment horizontal="right" vertical="center"/>
    </xf>
    <xf numFmtId="0" fontId="190" fillId="0" borderId="0" xfId="20" applyFont="1" applyFill="1" applyAlignment="1" applyProtection="1">
      <alignment horizontal="right" vertical="center"/>
    </xf>
    <xf numFmtId="2" fontId="190" fillId="29" borderId="0" xfId="20" applyNumberFormat="1" applyFont="1" applyFill="1" applyAlignment="1" applyProtection="1">
      <alignment horizontal="right" vertical="center"/>
    </xf>
    <xf numFmtId="0" fontId="188" fillId="0" borderId="0" xfId="20" applyFont="1" applyAlignment="1" applyProtection="1">
      <alignment horizontal="center"/>
    </xf>
    <xf numFmtId="0" fontId="188" fillId="0" borderId="0" xfId="20" applyFont="1" applyAlignment="1" applyProtection="1">
      <alignment horizontal="right"/>
    </xf>
    <xf numFmtId="0" fontId="190" fillId="36" borderId="0" xfId="20" applyFont="1" applyFill="1" applyAlignment="1" applyProtection="1">
      <alignment horizontal="left" vertical="center"/>
    </xf>
    <xf numFmtId="0" fontId="195" fillId="0" borderId="0" xfId="20" applyFont="1" applyAlignment="1" applyProtection="1">
      <alignment vertical="center"/>
    </xf>
    <xf numFmtId="0" fontId="191" fillId="0" borderId="0" xfId="20" applyFont="1" applyProtection="1"/>
    <xf numFmtId="0" fontId="198" fillId="0" borderId="0" xfId="20" applyFont="1" applyFill="1" applyBorder="1" applyProtection="1"/>
    <xf numFmtId="0" fontId="199" fillId="0" borderId="0" xfId="20" applyFont="1" applyFill="1" applyAlignment="1" applyProtection="1">
      <alignment vertical="center"/>
    </xf>
    <xf numFmtId="176" fontId="198" fillId="0" borderId="0" xfId="20" applyNumberFormat="1" applyFont="1" applyFill="1" applyBorder="1" applyProtection="1"/>
    <xf numFmtId="0" fontId="195" fillId="0" borderId="0" xfId="20" applyFont="1" applyFill="1" applyProtection="1"/>
    <xf numFmtId="0" fontId="199" fillId="0" borderId="0" xfId="20" applyFont="1" applyProtection="1"/>
    <xf numFmtId="2" fontId="198" fillId="0" borderId="0" xfId="20" applyNumberFormat="1" applyFont="1" applyFill="1" applyBorder="1" applyProtection="1"/>
    <xf numFmtId="0" fontId="199" fillId="0" borderId="0" xfId="20" applyFont="1" applyAlignment="1" applyProtection="1">
      <alignment vertical="center"/>
    </xf>
    <xf numFmtId="0" fontId="199" fillId="16" borderId="0" xfId="20" applyFont="1" applyFill="1" applyProtection="1"/>
    <xf numFmtId="176" fontId="199" fillId="16" borderId="0" xfId="20" applyNumberFormat="1" applyFont="1" applyFill="1" applyProtection="1"/>
    <xf numFmtId="176" fontId="188" fillId="0" borderId="0" xfId="20" applyNumberFormat="1" applyFont="1" applyProtection="1"/>
    <xf numFmtId="0" fontId="191" fillId="0" borderId="0" xfId="20" applyFont="1" applyAlignment="1" applyProtection="1">
      <alignment horizontal="right"/>
    </xf>
    <xf numFmtId="176" fontId="199" fillId="0" borderId="0" xfId="20" applyNumberFormat="1" applyFont="1" applyProtection="1"/>
    <xf numFmtId="0" fontId="195" fillId="0" borderId="0" xfId="20" applyFont="1" applyProtection="1"/>
    <xf numFmtId="0" fontId="190" fillId="36" borderId="0" xfId="20" applyFont="1" applyFill="1" applyAlignment="1" applyProtection="1">
      <alignment horizontal="center" vertical="center" wrapText="1"/>
    </xf>
    <xf numFmtId="0" fontId="190" fillId="0" borderId="0" xfId="20" applyFont="1" applyFill="1" applyAlignment="1" applyProtection="1">
      <alignment horizontal="center" vertical="center"/>
    </xf>
    <xf numFmtId="0" fontId="200" fillId="0" borderId="0" xfId="20" applyFont="1" applyAlignment="1" applyProtection="1">
      <alignment vertical="center"/>
    </xf>
    <xf numFmtId="0" fontId="188" fillId="16" borderId="0" xfId="20" applyFont="1" applyFill="1" applyAlignment="1" applyProtection="1">
      <alignment horizontal="center"/>
    </xf>
    <xf numFmtId="0" fontId="190" fillId="0" borderId="0" xfId="20" applyFont="1" applyFill="1" applyAlignment="1" applyProtection="1">
      <alignment horizontal="center"/>
    </xf>
    <xf numFmtId="0" fontId="200" fillId="0" borderId="0" xfId="20" applyFont="1" applyProtection="1"/>
    <xf numFmtId="0" fontId="188" fillId="0" borderId="0" xfId="20" applyFont="1" applyFill="1" applyProtection="1"/>
    <xf numFmtId="0" fontId="188" fillId="0" borderId="0" xfId="20" applyFont="1" applyFill="1" applyAlignment="1" applyProtection="1">
      <alignment horizontal="center"/>
    </xf>
    <xf numFmtId="49" fontId="195" fillId="0" borderId="0" xfId="20" applyNumberFormat="1" applyFont="1" applyFill="1" applyAlignment="1" applyProtection="1">
      <alignment horizontal="center"/>
    </xf>
    <xf numFmtId="0" fontId="195" fillId="0" borderId="0" xfId="20" applyFont="1" applyFill="1" applyAlignment="1" applyProtection="1">
      <alignment horizontal="left"/>
    </xf>
    <xf numFmtId="207" fontId="188" fillId="0" borderId="0" xfId="20" applyNumberFormat="1" applyFont="1" applyFill="1" applyAlignment="1" applyProtection="1">
      <alignment horizontal="center"/>
    </xf>
    <xf numFmtId="207" fontId="195" fillId="0" borderId="0" xfId="20" applyNumberFormat="1" applyFont="1" applyFill="1" applyAlignment="1" applyProtection="1">
      <alignment horizontal="center"/>
    </xf>
    <xf numFmtId="0" fontId="189" fillId="0" borderId="0" xfId="20" applyFont="1" applyFill="1" applyProtection="1"/>
    <xf numFmtId="0" fontId="195" fillId="0" borderId="0" xfId="20" applyFont="1" applyFill="1" applyAlignment="1" applyProtection="1">
      <alignment horizontal="center"/>
    </xf>
    <xf numFmtId="0" fontId="190" fillId="38" borderId="0" xfId="20" applyFont="1" applyFill="1" applyAlignment="1" applyProtection="1">
      <alignment horizontal="center" vertical="center"/>
    </xf>
    <xf numFmtId="0" fontId="190" fillId="38" borderId="0" xfId="20" applyFont="1" applyFill="1" applyBorder="1" applyAlignment="1" applyProtection="1">
      <alignment horizontal="center" vertical="center"/>
    </xf>
    <xf numFmtId="0" fontId="190" fillId="0" borderId="0" xfId="20" applyFont="1" applyFill="1" applyBorder="1" applyAlignment="1" applyProtection="1">
      <alignment horizontal="center" vertical="center"/>
    </xf>
    <xf numFmtId="2" fontId="188" fillId="0" borderId="0" xfId="20" applyNumberFormat="1" applyFont="1" applyFill="1" applyProtection="1"/>
    <xf numFmtId="209" fontId="188" fillId="0" borderId="0" xfId="20" applyNumberFormat="1" applyFont="1" applyFill="1" applyProtection="1"/>
    <xf numFmtId="0" fontId="188" fillId="0" borderId="0" xfId="20" applyFont="1" applyBorder="1" applyAlignment="1" applyProtection="1">
      <alignment horizontal="center"/>
    </xf>
    <xf numFmtId="0" fontId="201" fillId="0" borderId="0" xfId="20" applyFont="1" applyProtection="1"/>
    <xf numFmtId="0" fontId="188" fillId="0" borderId="123" xfId="20" applyFont="1" applyBorder="1" applyProtection="1"/>
    <xf numFmtId="0" fontId="188" fillId="0" borderId="126" xfId="20" applyFont="1" applyBorder="1" applyAlignment="1" applyProtection="1">
      <alignment horizontal="center"/>
    </xf>
    <xf numFmtId="0" fontId="188" fillId="0" borderId="126" xfId="20" applyFont="1" applyBorder="1" applyProtection="1"/>
    <xf numFmtId="0" fontId="188" fillId="0" borderId="126" xfId="20" applyFont="1" applyBorder="1" applyAlignment="1" applyProtection="1">
      <alignment horizontal="right"/>
    </xf>
    <xf numFmtId="0" fontId="188" fillId="0" borderId="126" xfId="20" applyFont="1" applyBorder="1" applyAlignment="1" applyProtection="1">
      <alignment vertical="center"/>
    </xf>
    <xf numFmtId="0" fontId="191" fillId="0" borderId="126" xfId="20" applyFont="1" applyBorder="1" applyAlignment="1" applyProtection="1">
      <alignment horizontal="right" vertical="center"/>
    </xf>
    <xf numFmtId="2" fontId="190" fillId="0" borderId="168" xfId="20" applyNumberFormat="1" applyFont="1" applyFill="1" applyBorder="1" applyAlignment="1" applyProtection="1">
      <alignment vertical="center"/>
    </xf>
    <xf numFmtId="0" fontId="201" fillId="0" borderId="0" xfId="20" applyFont="1" applyAlignment="1" applyProtection="1">
      <alignment vertical="center"/>
    </xf>
    <xf numFmtId="0" fontId="191" fillId="0" borderId="22" xfId="20" applyFont="1" applyBorder="1" applyAlignment="1" applyProtection="1">
      <alignment horizontal="right" vertical="center"/>
    </xf>
    <xf numFmtId="0" fontId="191" fillId="0" borderId="0" xfId="20" applyFont="1" applyBorder="1" applyAlignment="1" applyProtection="1">
      <alignment horizontal="center" vertical="center"/>
    </xf>
    <xf numFmtId="0" fontId="195" fillId="0" borderId="0" xfId="20" applyFont="1" applyBorder="1" applyAlignment="1" applyProtection="1">
      <alignment horizontal="center" vertical="center"/>
    </xf>
    <xf numFmtId="0" fontId="195" fillId="0" borderId="0" xfId="20" applyFont="1" applyBorder="1" applyAlignment="1" applyProtection="1">
      <alignment vertical="center"/>
    </xf>
    <xf numFmtId="0" fontId="188" fillId="0" borderId="0" xfId="20" applyFont="1" applyBorder="1" applyAlignment="1" applyProtection="1">
      <alignment vertical="center"/>
    </xf>
    <xf numFmtId="0" fontId="188" fillId="0" borderId="169" xfId="20" applyFont="1" applyBorder="1" applyAlignment="1" applyProtection="1">
      <alignment vertical="center"/>
    </xf>
    <xf numFmtId="0" fontId="195" fillId="0" borderId="0" xfId="20" applyFont="1" applyBorder="1" applyAlignment="1" applyProtection="1">
      <alignment horizontal="left" vertical="center"/>
    </xf>
    <xf numFmtId="0" fontId="191" fillId="0" borderId="0" xfId="20" applyFont="1" applyFill="1" applyBorder="1" applyAlignment="1" applyProtection="1">
      <alignment horizontal="center" vertical="center"/>
    </xf>
    <xf numFmtId="0" fontId="189" fillId="0" borderId="0" xfId="20" applyFont="1" applyAlignment="1" applyProtection="1">
      <alignment horizontal="center"/>
    </xf>
    <xf numFmtId="0" fontId="188" fillId="0" borderId="21" xfId="20" applyFont="1" applyBorder="1" applyProtection="1"/>
    <xf numFmtId="0" fontId="188" fillId="0" borderId="31" xfId="20" applyFont="1" applyBorder="1" applyAlignment="1" applyProtection="1">
      <alignment horizontal="center"/>
    </xf>
    <xf numFmtId="0" fontId="188" fillId="0" borderId="31" xfId="20" applyFont="1" applyBorder="1" applyProtection="1"/>
    <xf numFmtId="0" fontId="188" fillId="0" borderId="31" xfId="20" applyFont="1" applyBorder="1" applyAlignment="1" applyProtection="1">
      <alignment horizontal="right"/>
    </xf>
    <xf numFmtId="0" fontId="188" fillId="0" borderId="146" xfId="20" applyFont="1" applyBorder="1" applyProtection="1"/>
    <xf numFmtId="0" fontId="202" fillId="39" borderId="86" xfId="20" applyFont="1" applyFill="1" applyBorder="1" applyAlignment="1">
      <alignment horizontal="center" vertical="center" wrapText="1"/>
    </xf>
    <xf numFmtId="0" fontId="203" fillId="0" borderId="0" xfId="20" applyFont="1"/>
    <xf numFmtId="1" fontId="204" fillId="40" borderId="170" xfId="20" applyNumberFormat="1" applyFont="1" applyFill="1" applyBorder="1" applyAlignment="1">
      <alignment horizontal="left" vertical="center" wrapText="1"/>
    </xf>
    <xf numFmtId="0" fontId="203" fillId="24" borderId="170" xfId="20" applyFont="1" applyFill="1" applyBorder="1" applyAlignment="1">
      <alignment vertical="center"/>
    </xf>
    <xf numFmtId="1" fontId="204" fillId="40" borderId="86" xfId="20" applyNumberFormat="1" applyFont="1" applyFill="1" applyBorder="1" applyAlignment="1">
      <alignment horizontal="left" vertical="center" wrapText="1"/>
    </xf>
    <xf numFmtId="1" fontId="204" fillId="40" borderId="86" xfId="20" applyNumberFormat="1" applyFont="1" applyFill="1" applyBorder="1" applyAlignment="1">
      <alignment horizontal="right" vertical="center" wrapText="1"/>
    </xf>
    <xf numFmtId="2" fontId="204" fillId="40" borderId="86" xfId="20" applyNumberFormat="1" applyFont="1" applyFill="1" applyBorder="1" applyAlignment="1">
      <alignment horizontal="left" vertical="center" wrapText="1"/>
    </xf>
    <xf numFmtId="2" fontId="204" fillId="40" borderId="86" xfId="20" applyNumberFormat="1" applyFont="1" applyFill="1" applyBorder="1" applyAlignment="1">
      <alignment horizontal="center" vertical="center" wrapText="1"/>
    </xf>
    <xf numFmtId="1" fontId="204" fillId="40" borderId="171" xfId="20" applyNumberFormat="1" applyFont="1" applyFill="1" applyBorder="1" applyAlignment="1">
      <alignment horizontal="left" vertical="center" wrapText="1"/>
    </xf>
    <xf numFmtId="1" fontId="204" fillId="40" borderId="170" xfId="20" applyNumberFormat="1" applyFont="1" applyFill="1" applyBorder="1" applyAlignment="1">
      <alignment horizontal="left" vertical="center"/>
    </xf>
    <xf numFmtId="1" fontId="204" fillId="40" borderId="171" xfId="20" applyNumberFormat="1" applyFont="1" applyFill="1" applyBorder="1" applyAlignment="1">
      <alignment horizontal="left" vertical="center"/>
    </xf>
    <xf numFmtId="1" fontId="204" fillId="24" borderId="172" xfId="20" applyNumberFormat="1" applyFont="1" applyFill="1" applyBorder="1" applyAlignment="1">
      <alignment horizontal="left" vertical="center"/>
    </xf>
    <xf numFmtId="1" fontId="204" fillId="40" borderId="172" xfId="20" applyNumberFormat="1" applyFont="1" applyFill="1" applyBorder="1" applyAlignment="1">
      <alignment horizontal="left" vertical="center"/>
    </xf>
    <xf numFmtId="1" fontId="204" fillId="40" borderId="172" xfId="20" applyNumberFormat="1" applyFont="1" applyFill="1" applyBorder="1" applyAlignment="1">
      <alignment horizontal="left" vertical="center" wrapText="1"/>
    </xf>
    <xf numFmtId="1" fontId="204" fillId="24" borderId="0" xfId="20" applyNumberFormat="1" applyFont="1" applyFill="1" applyBorder="1" applyAlignment="1">
      <alignment horizontal="left" vertical="center" wrapText="1"/>
    </xf>
    <xf numFmtId="0" fontId="203" fillId="0" borderId="0" xfId="20" applyFont="1" applyAlignment="1">
      <alignment vertical="center"/>
    </xf>
    <xf numFmtId="0" fontId="203" fillId="24" borderId="0" xfId="20" applyFont="1" applyFill="1" applyAlignment="1">
      <alignment vertical="center"/>
    </xf>
    <xf numFmtId="0" fontId="203" fillId="0" borderId="0" xfId="20" applyFont="1" applyBorder="1" applyAlignment="1">
      <alignment vertical="center"/>
    </xf>
    <xf numFmtId="1" fontId="205" fillId="0" borderId="0" xfId="20" applyNumberFormat="1" applyFont="1" applyFill="1" applyBorder="1" applyAlignment="1">
      <alignment horizontal="left" vertical="center"/>
    </xf>
    <xf numFmtId="1" fontId="204" fillId="24" borderId="0" xfId="20" applyNumberFormat="1" applyFont="1" applyFill="1" applyBorder="1" applyAlignment="1">
      <alignment horizontal="left" vertical="center"/>
    </xf>
    <xf numFmtId="1" fontId="204" fillId="40" borderId="0" xfId="20" applyNumberFormat="1" applyFont="1" applyFill="1" applyBorder="1" applyAlignment="1">
      <alignment horizontal="left" vertical="center" wrapText="1"/>
    </xf>
    <xf numFmtId="2" fontId="204" fillId="40" borderId="0" xfId="20" applyNumberFormat="1" applyFont="1" applyFill="1" applyBorder="1" applyAlignment="1">
      <alignment horizontal="left" vertical="center" wrapText="1"/>
    </xf>
    <xf numFmtId="0" fontId="203" fillId="0" borderId="0" xfId="20" applyFont="1" applyAlignment="1">
      <alignment vertical="center" wrapText="1"/>
    </xf>
    <xf numFmtId="0" fontId="206" fillId="41" borderId="173" xfId="20" applyFont="1" applyFill="1" applyBorder="1" applyAlignment="1">
      <alignment horizontal="center" vertical="center" wrapText="1" readingOrder="1"/>
    </xf>
    <xf numFmtId="0" fontId="206" fillId="41" borderId="0" xfId="20" applyFont="1" applyFill="1" applyBorder="1" applyAlignment="1">
      <alignment horizontal="center" vertical="center" wrapText="1" readingOrder="1"/>
    </xf>
    <xf numFmtId="0" fontId="206" fillId="42" borderId="173" xfId="20" applyFont="1" applyFill="1" applyBorder="1" applyAlignment="1">
      <alignment horizontal="center" vertical="center" wrapText="1" readingOrder="1"/>
    </xf>
    <xf numFmtId="0" fontId="206" fillId="42" borderId="0" xfId="20" applyFont="1" applyFill="1" applyBorder="1" applyAlignment="1">
      <alignment horizontal="center" vertical="center" wrapText="1" readingOrder="1"/>
    </xf>
    <xf numFmtId="0" fontId="206" fillId="43" borderId="173" xfId="20" applyFont="1" applyFill="1" applyBorder="1" applyAlignment="1">
      <alignment horizontal="center" vertical="center" wrapText="1" readingOrder="1"/>
    </xf>
    <xf numFmtId="0" fontId="206" fillId="43" borderId="0" xfId="20" applyFont="1" applyFill="1" applyBorder="1" applyAlignment="1">
      <alignment horizontal="center" vertical="center" wrapText="1" readingOrder="1"/>
    </xf>
    <xf numFmtId="0" fontId="190" fillId="38" borderId="90" xfId="20" applyFont="1" applyFill="1" applyBorder="1" applyAlignment="1" applyProtection="1">
      <alignment horizontal="center" vertical="center"/>
    </xf>
    <xf numFmtId="0" fontId="190" fillId="38" borderId="102" xfId="20" applyFont="1" applyFill="1" applyBorder="1" applyAlignment="1" applyProtection="1">
      <alignment horizontal="center" vertical="center"/>
    </xf>
    <xf numFmtId="0" fontId="195" fillId="15" borderId="90" xfId="20" applyFont="1" applyFill="1" applyBorder="1" applyAlignment="1" applyProtection="1">
      <alignment horizontal="center"/>
      <protection locked="0"/>
    </xf>
    <xf numFmtId="0" fontId="188" fillId="15" borderId="90" xfId="20" applyFont="1" applyFill="1" applyBorder="1" applyProtection="1">
      <protection locked="0"/>
    </xf>
    <xf numFmtId="0" fontId="188" fillId="16" borderId="90" xfId="20" applyFont="1" applyFill="1" applyBorder="1" applyAlignment="1" applyProtection="1">
      <alignment horizontal="center"/>
    </xf>
    <xf numFmtId="2" fontId="188" fillId="16" borderId="90" xfId="20" applyNumberFormat="1" applyFont="1" applyFill="1" applyBorder="1" applyAlignment="1" applyProtection="1">
      <alignment horizontal="center"/>
    </xf>
    <xf numFmtId="2" fontId="188" fillId="16" borderId="90" xfId="20" applyNumberFormat="1" applyFont="1" applyFill="1" applyBorder="1" applyAlignment="1" applyProtection="1">
      <alignment horizontal="right"/>
    </xf>
    <xf numFmtId="0" fontId="195" fillId="15" borderId="90" xfId="20" applyFont="1" applyFill="1" applyBorder="1" applyAlignment="1" applyProtection="1">
      <alignment horizontal="center" wrapText="1"/>
      <protection locked="0"/>
    </xf>
    <xf numFmtId="2" fontId="188" fillId="16" borderId="90" xfId="20" applyNumberFormat="1" applyFont="1" applyFill="1" applyBorder="1" applyProtection="1"/>
    <xf numFmtId="172" fontId="188" fillId="16" borderId="90" xfId="20" applyNumberFormat="1" applyFont="1" applyFill="1" applyBorder="1" applyProtection="1"/>
    <xf numFmtId="207" fontId="188" fillId="15" borderId="90" xfId="20" applyNumberFormat="1" applyFont="1" applyFill="1" applyBorder="1" applyAlignment="1" applyProtection="1">
      <alignment horizontal="center"/>
      <protection locked="0"/>
    </xf>
    <xf numFmtId="207" fontId="188" fillId="16" borderId="90" xfId="20" applyNumberFormat="1" applyFont="1" applyFill="1" applyBorder="1" applyAlignment="1" applyProtection="1">
      <alignment horizontal="center"/>
    </xf>
    <xf numFmtId="207" fontId="195" fillId="16" borderId="90" xfId="20" applyNumberFormat="1" applyFont="1" applyFill="1" applyBorder="1" applyAlignment="1" applyProtection="1">
      <alignment horizontal="center"/>
    </xf>
    <xf numFmtId="0" fontId="188" fillId="16" borderId="90" xfId="20" applyFont="1" applyFill="1" applyBorder="1" applyProtection="1"/>
    <xf numFmtId="0" fontId="188" fillId="16" borderId="90" xfId="20" applyFont="1" applyFill="1" applyBorder="1" applyAlignment="1" applyProtection="1">
      <alignment horizontal="center" vertical="center"/>
    </xf>
    <xf numFmtId="2" fontId="188" fillId="16" borderId="90" xfId="20" applyNumberFormat="1" applyFont="1" applyFill="1" applyBorder="1" applyAlignment="1" applyProtection="1">
      <alignment vertical="center"/>
    </xf>
    <xf numFmtId="0" fontId="190" fillId="16" borderId="90" xfId="20" applyFont="1" applyFill="1" applyBorder="1" applyAlignment="1" applyProtection="1">
      <alignment horizontal="right"/>
    </xf>
    <xf numFmtId="2" fontId="195" fillId="16" borderId="90" xfId="20" applyNumberFormat="1" applyFont="1" applyFill="1" applyBorder="1" applyAlignment="1" applyProtection="1">
      <alignment horizontal="right" vertical="center"/>
    </xf>
    <xf numFmtId="0" fontId="156" fillId="0" borderId="0" xfId="0" applyFont="1"/>
    <xf numFmtId="0" fontId="0" fillId="0" borderId="0" xfId="0" quotePrefix="1"/>
    <xf numFmtId="208" fontId="188" fillId="16" borderId="90" xfId="20" applyNumberFormat="1" applyFont="1" applyFill="1" applyBorder="1" applyAlignment="1" applyProtection="1">
      <alignment horizontal="center"/>
    </xf>
    <xf numFmtId="208" fontId="195" fillId="16" borderId="90" xfId="20" applyNumberFormat="1" applyFont="1" applyFill="1" applyBorder="1" applyAlignment="1" applyProtection="1">
      <alignment horizontal="center"/>
    </xf>
    <xf numFmtId="0" fontId="195" fillId="16" borderId="90" xfId="20" applyFont="1" applyFill="1" applyBorder="1" applyAlignment="1" applyProtection="1">
      <alignment horizontal="center"/>
    </xf>
    <xf numFmtId="0" fontId="188" fillId="0" borderId="174" xfId="20" applyFont="1" applyBorder="1" applyAlignment="1" applyProtection="1">
      <alignment vertical="center"/>
    </xf>
    <xf numFmtId="0" fontId="188" fillId="0" borderId="176" xfId="20" applyFont="1" applyBorder="1" applyAlignment="1" applyProtection="1">
      <alignment vertical="center"/>
    </xf>
    <xf numFmtId="0" fontId="188" fillId="16" borderId="176" xfId="20" applyFont="1" applyFill="1" applyBorder="1" applyAlignment="1" applyProtection="1">
      <alignment vertical="center"/>
    </xf>
    <xf numFmtId="0" fontId="188" fillId="16" borderId="178" xfId="20" applyFont="1" applyFill="1" applyBorder="1" applyAlignment="1" applyProtection="1">
      <alignment vertical="center"/>
    </xf>
    <xf numFmtId="0" fontId="188" fillId="0" borderId="175" xfId="20" applyFont="1" applyFill="1" applyBorder="1" applyAlignment="1" applyProtection="1">
      <alignment horizontal="center" vertical="center"/>
    </xf>
    <xf numFmtId="0" fontId="188" fillId="16" borderId="177" xfId="20" applyFont="1" applyFill="1" applyBorder="1" applyAlignment="1" applyProtection="1">
      <alignment horizontal="center" vertical="center"/>
    </xf>
    <xf numFmtId="0" fontId="188" fillId="0" borderId="177" xfId="20" applyFont="1" applyFill="1" applyBorder="1" applyAlignment="1" applyProtection="1">
      <alignment horizontal="center" vertical="center"/>
    </xf>
    <xf numFmtId="0" fontId="188" fillId="16" borderId="179" xfId="20" applyFont="1" applyFill="1" applyBorder="1" applyAlignment="1" applyProtection="1">
      <alignment horizontal="center" vertical="center"/>
    </xf>
    <xf numFmtId="207" fontId="188" fillId="0" borderId="175" xfId="20" applyNumberFormat="1" applyFont="1" applyFill="1" applyBorder="1" applyAlignment="1" applyProtection="1">
      <alignment horizontal="center" vertical="center"/>
    </xf>
    <xf numFmtId="207" fontId="188" fillId="16" borderId="177" xfId="20" applyNumberFormat="1" applyFont="1" applyFill="1" applyBorder="1" applyAlignment="1" applyProtection="1">
      <alignment horizontal="center" vertical="center"/>
    </xf>
    <xf numFmtId="207" fontId="188" fillId="0" borderId="177" xfId="20" applyNumberFormat="1" applyFont="1" applyFill="1" applyBorder="1" applyAlignment="1" applyProtection="1">
      <alignment horizontal="center" vertical="center"/>
    </xf>
    <xf numFmtId="207" fontId="188" fillId="16" borderId="179" xfId="20" applyNumberFormat="1" applyFont="1" applyFill="1" applyBorder="1" applyAlignment="1" applyProtection="1">
      <alignment horizontal="center" vertical="center"/>
    </xf>
    <xf numFmtId="0" fontId="39" fillId="29" borderId="61" xfId="0" applyFont="1" applyFill="1" applyBorder="1" applyAlignment="1">
      <alignment horizont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4" fillId="0" borderId="0" xfId="20" applyFont="1" applyFill="1" applyBorder="1" applyAlignment="1">
      <alignment horizontal="center" wrapText="1"/>
    </xf>
    <xf numFmtId="0" fontId="207" fillId="0" borderId="0" xfId="13" applyFont="1" applyFill="1" applyBorder="1" applyAlignment="1">
      <alignment horizontal="center"/>
    </xf>
    <xf numFmtId="1" fontId="207" fillId="0" borderId="0" xfId="13" applyNumberFormat="1" applyFont="1" applyFill="1" applyBorder="1" applyAlignment="1">
      <alignment horizontal="center"/>
    </xf>
    <xf numFmtId="0" fontId="3" fillId="33" borderId="1" xfId="0" applyFont="1" applyFill="1" applyBorder="1" applyAlignment="1">
      <alignment vertical="center" wrapText="1"/>
    </xf>
    <xf numFmtId="0" fontId="0" fillId="0" borderId="1" xfId="0" applyBorder="1" applyAlignment="1">
      <alignment horizontal="center" vertical="center"/>
    </xf>
    <xf numFmtId="0" fontId="3" fillId="0" borderId="162" xfId="0" applyFont="1" applyBorder="1" applyAlignment="1">
      <alignment horizontal="center" vertical="center"/>
    </xf>
    <xf numFmtId="0" fontId="3" fillId="0" borderId="163" xfId="0" applyFont="1" applyBorder="1" applyAlignment="1">
      <alignment horizontal="center"/>
    </xf>
    <xf numFmtId="0" fontId="3" fillId="33" borderId="164" xfId="0" applyFont="1" applyFill="1" applyBorder="1" applyAlignment="1">
      <alignment vertical="center" wrapText="1"/>
    </xf>
    <xf numFmtId="0" fontId="3" fillId="0" borderId="165" xfId="0" applyFont="1" applyBorder="1" applyAlignment="1">
      <alignment horizontal="center" vertical="center"/>
    </xf>
    <xf numFmtId="0" fontId="3" fillId="0" borderId="166" xfId="0" applyFont="1" applyBorder="1" applyAlignment="1">
      <alignment horizontal="center" vertical="center"/>
    </xf>
    <xf numFmtId="0" fontId="3" fillId="33" borderId="167" xfId="0" applyFont="1" applyFill="1" applyBorder="1" applyAlignment="1">
      <alignment vertical="center" wrapText="1"/>
    </xf>
    <xf numFmtId="169" fontId="24" fillId="0" borderId="0" xfId="0" applyNumberFormat="1" applyFont="1" applyFill="1" applyBorder="1" applyAlignment="1">
      <alignment horizontal="center"/>
    </xf>
    <xf numFmtId="9" fontId="50" fillId="0" borderId="0" xfId="17" applyFont="1" applyFill="1" applyBorder="1"/>
    <xf numFmtId="9" fontId="50" fillId="29" borderId="68" xfId="0" applyNumberFormat="1" applyFont="1" applyFill="1" applyBorder="1" applyAlignment="1">
      <alignment horizontal="center"/>
    </xf>
    <xf numFmtId="0" fontId="50" fillId="29" borderId="66" xfId="0" applyFont="1" applyFill="1" applyBorder="1"/>
    <xf numFmtId="0" fontId="39" fillId="29" borderId="59" xfId="0" applyFont="1" applyFill="1" applyBorder="1" applyAlignment="1">
      <alignment horizontal="right"/>
    </xf>
    <xf numFmtId="9" fontId="39" fillId="29" borderId="59" xfId="0" applyNumberFormat="1" applyFont="1" applyFill="1" applyBorder="1" applyAlignment="1">
      <alignment horizontal="center"/>
    </xf>
    <xf numFmtId="0" fontId="39" fillId="29" borderId="58" xfId="0" applyFont="1" applyFill="1" applyBorder="1" applyAlignment="1">
      <alignment horizontal="center"/>
    </xf>
    <xf numFmtId="9" fontId="39" fillId="29" borderId="60" xfId="17" applyFont="1" applyFill="1" applyBorder="1" applyAlignment="1">
      <alignment horizontal="center"/>
    </xf>
    <xf numFmtId="0" fontId="39" fillId="29" borderId="0" xfId="0" applyFont="1" applyFill="1" applyBorder="1" applyAlignment="1">
      <alignment horizontal="right"/>
    </xf>
    <xf numFmtId="9" fontId="39" fillId="29" borderId="0" xfId="17" applyFont="1" applyFill="1" applyBorder="1" applyAlignment="1" applyProtection="1">
      <alignment horizontal="center"/>
      <protection hidden="1"/>
    </xf>
    <xf numFmtId="9" fontId="39" fillId="29" borderId="62" xfId="17" applyFont="1" applyFill="1" applyBorder="1" applyAlignment="1">
      <alignment horizontal="center"/>
    </xf>
    <xf numFmtId="0" fontId="39" fillId="29" borderId="0" xfId="0" applyFont="1" applyFill="1" applyBorder="1" applyAlignment="1">
      <alignment horizontal="right" vertical="center"/>
    </xf>
    <xf numFmtId="0" fontId="39" fillId="29" borderId="64" xfId="0" applyFont="1" applyFill="1" applyBorder="1" applyAlignment="1">
      <alignment horizontal="right"/>
    </xf>
    <xf numFmtId="9" fontId="39" fillId="29" borderId="64" xfId="17" applyFont="1" applyFill="1" applyBorder="1" applyAlignment="1" applyProtection="1">
      <alignment horizontal="center"/>
      <protection hidden="1"/>
    </xf>
    <xf numFmtId="0" fontId="39" fillId="29" borderId="63" xfId="0" applyFont="1" applyFill="1" applyBorder="1" applyAlignment="1">
      <alignment horizontal="center"/>
    </xf>
    <xf numFmtId="9" fontId="39" fillId="29" borderId="65" xfId="17" applyFont="1" applyFill="1" applyBorder="1" applyAlignment="1">
      <alignment horizontal="center"/>
    </xf>
    <xf numFmtId="0" fontId="39" fillId="29" borderId="66" xfId="0" applyFont="1" applyFill="1" applyBorder="1" applyAlignment="1">
      <alignment horizontal="center"/>
    </xf>
    <xf numFmtId="0" fontId="39" fillId="29" borderId="68" xfId="0" applyFont="1" applyFill="1" applyBorder="1" applyAlignment="1">
      <alignment horizontal="center"/>
    </xf>
    <xf numFmtId="0" fontId="39" fillId="29" borderId="61" xfId="0" applyFont="1" applyFill="1" applyBorder="1"/>
    <xf numFmtId="9" fontId="39" fillId="29" borderId="0" xfId="0" applyNumberFormat="1" applyFont="1" applyFill="1" applyBorder="1" applyAlignment="1">
      <alignment horizontal="center"/>
    </xf>
    <xf numFmtId="0" fontId="39" fillId="29" borderId="62" xfId="0" applyFont="1" applyFill="1" applyBorder="1"/>
    <xf numFmtId="0" fontId="39" fillId="29" borderId="0" xfId="0" applyFont="1" applyFill="1" applyBorder="1" applyAlignment="1">
      <alignment horizontal="center"/>
    </xf>
    <xf numFmtId="0" fontId="39" fillId="29" borderId="61" xfId="0" applyFont="1" applyFill="1" applyBorder="1" applyAlignment="1">
      <alignment horizontal="center" vertical="center"/>
    </xf>
    <xf numFmtId="0" fontId="39" fillId="29" borderId="0" xfId="0" applyFont="1" applyFill="1" applyBorder="1" applyAlignment="1">
      <alignment horizontal="center" vertical="center"/>
    </xf>
    <xf numFmtId="0" fontId="50" fillId="29" borderId="61" xfId="0" applyFont="1" applyFill="1" applyBorder="1" applyAlignment="1">
      <alignment horizontal="center" vertical="center"/>
    </xf>
    <xf numFmtId="0" fontId="24" fillId="0" borderId="59" xfId="0" applyFont="1" applyFill="1" applyBorder="1" applyAlignment="1">
      <alignment horizontal="center"/>
    </xf>
    <xf numFmtId="169" fontId="24" fillId="0" borderId="62" xfId="0" applyNumberFormat="1" applyFont="1" applyFill="1" applyBorder="1" applyAlignment="1">
      <alignment horizontal="center"/>
    </xf>
    <xf numFmtId="173" fontId="50" fillId="13" borderId="65" xfId="17" applyNumberFormat="1" applyFont="1" applyFill="1" applyBorder="1" applyAlignment="1">
      <alignment horizontal="center"/>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85" fillId="11" borderId="81" xfId="13" applyFont="1" applyFill="1" applyBorder="1" applyAlignment="1">
      <alignment horizontal="center" vertical="center" wrapText="1"/>
    </xf>
    <xf numFmtId="0" fontId="85" fillId="6" borderId="81" xfId="13" applyFont="1" applyFill="1" applyBorder="1" applyAlignment="1">
      <alignment horizontal="center" vertical="center"/>
    </xf>
    <xf numFmtId="0" fontId="83" fillId="11" borderId="77" xfId="13" applyFont="1" applyFill="1" applyBorder="1" applyAlignment="1">
      <alignment horizontal="left" wrapText="1"/>
    </xf>
    <xf numFmtId="197" fontId="79" fillId="11" borderId="81" xfId="13" applyNumberFormat="1" applyFont="1" applyFill="1" applyBorder="1" applyAlignment="1">
      <alignment horizontal="center" vertical="center" wrapText="1"/>
    </xf>
    <xf numFmtId="0" fontId="104" fillId="12" borderId="117" xfId="13" applyFont="1" applyFill="1" applyBorder="1" applyAlignment="1">
      <alignment horizontal="center" vertical="center" wrapText="1"/>
    </xf>
    <xf numFmtId="0" fontId="0" fillId="12" borderId="1" xfId="0" applyFill="1" applyBorder="1" applyAlignment="1">
      <alignment horizontal="center"/>
    </xf>
    <xf numFmtId="179" fontId="0" fillId="26" borderId="1" xfId="0" applyNumberFormat="1" applyFill="1" applyBorder="1" applyAlignment="1">
      <alignment horizontal="center"/>
    </xf>
    <xf numFmtId="179" fontId="0" fillId="0" borderId="18" xfId="0" applyNumberFormat="1" applyBorder="1" applyAlignment="1">
      <alignment horizontal="center"/>
    </xf>
    <xf numFmtId="179" fontId="0" fillId="27" borderId="1" xfId="0" applyNumberFormat="1" applyFill="1" applyBorder="1" applyAlignment="1">
      <alignment horizontal="center"/>
    </xf>
    <xf numFmtId="0" fontId="0" fillId="16" borderId="1" xfId="0" applyFill="1" applyBorder="1" applyAlignment="1">
      <alignment horizontal="center"/>
    </xf>
    <xf numFmtId="9" fontId="0" fillId="0" borderId="1" xfId="17" applyFont="1" applyBorder="1" applyAlignment="1">
      <alignment horizontal="center"/>
    </xf>
    <xf numFmtId="0" fontId="0" fillId="27" borderId="1" xfId="0" applyFill="1" applyBorder="1"/>
    <xf numFmtId="0" fontId="0" fillId="27" borderId="1" xfId="0" applyFill="1" applyBorder="1" applyAlignment="1">
      <alignment horizontal="center"/>
    </xf>
    <xf numFmtId="0" fontId="0" fillId="27" borderId="0" xfId="0" applyFill="1"/>
    <xf numFmtId="0" fontId="11" fillId="0" borderId="0" xfId="0" applyFont="1" applyFill="1"/>
    <xf numFmtId="0" fontId="24" fillId="30" borderId="11" xfId="0" applyFont="1" applyFill="1" applyBorder="1"/>
    <xf numFmtId="0" fontId="24" fillId="30" borderId="12" xfId="0" applyFont="1" applyFill="1" applyBorder="1"/>
    <xf numFmtId="0" fontId="24" fillId="30" borderId="13" xfId="0" applyFont="1" applyFill="1" applyBorder="1"/>
    <xf numFmtId="0" fontId="24" fillId="30" borderId="14" xfId="0" applyFont="1" applyFill="1" applyBorder="1"/>
    <xf numFmtId="0" fontId="24" fillId="30" borderId="0" xfId="0" applyFont="1" applyFill="1" applyBorder="1"/>
    <xf numFmtId="0" fontId="24" fillId="30" borderId="4" xfId="0" applyFont="1" applyFill="1" applyBorder="1"/>
    <xf numFmtId="0" fontId="24" fillId="30" borderId="16" xfId="0" applyFont="1" applyFill="1" applyBorder="1"/>
    <xf numFmtId="0" fontId="24" fillId="30" borderId="15" xfId="0" applyFont="1" applyFill="1" applyBorder="1"/>
    <xf numFmtId="0" fontId="24" fillId="30" borderId="17" xfId="0" applyFont="1" applyFill="1" applyBorder="1"/>
    <xf numFmtId="179" fontId="0" fillId="11" borderId="128" xfId="0" applyNumberFormat="1" applyFill="1" applyBorder="1" applyAlignment="1">
      <alignment horizontal="center"/>
    </xf>
    <xf numFmtId="49" fontId="0" fillId="11" borderId="128" xfId="0" applyNumberFormat="1" applyFill="1" applyBorder="1" applyAlignment="1">
      <alignment horizontal="center"/>
    </xf>
    <xf numFmtId="179" fontId="0" fillId="11" borderId="18" xfId="0" applyNumberFormat="1" applyFill="1" applyBorder="1" applyAlignment="1">
      <alignment horizontal="center"/>
    </xf>
    <xf numFmtId="179" fontId="0" fillId="11" borderId="127" xfId="0" applyNumberFormat="1" applyFill="1" applyBorder="1" applyAlignment="1">
      <alignment horizontal="center"/>
    </xf>
    <xf numFmtId="0" fontId="3" fillId="17" borderId="1" xfId="0" applyFont="1" applyFill="1" applyBorder="1"/>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3" fillId="0" borderId="1" xfId="0" applyFont="1" applyBorder="1" applyAlignment="1">
      <alignment horizontal="center" vertical="center"/>
    </xf>
    <xf numFmtId="0" fontId="84" fillId="22" borderId="0" xfId="13" applyFont="1" applyFill="1" applyBorder="1" applyAlignment="1">
      <alignment horizontal="left" vertical="center" wrapText="1"/>
    </xf>
    <xf numFmtId="0" fontId="85" fillId="11" borderId="77" xfId="13" applyFont="1" applyFill="1" applyBorder="1" applyAlignment="1">
      <alignment vertical="center" wrapText="1"/>
    </xf>
    <xf numFmtId="0" fontId="90" fillId="11" borderId="0" xfId="0" applyFont="1" applyFill="1"/>
    <xf numFmtId="0" fontId="75" fillId="11" borderId="0" xfId="0" applyFont="1" applyFill="1" applyAlignment="1">
      <alignment horizontal="center"/>
    </xf>
    <xf numFmtId="0" fontId="75" fillId="11" borderId="0" xfId="0" applyFont="1" applyFill="1" applyAlignment="1" applyProtection="1">
      <alignment horizontal="center"/>
    </xf>
    <xf numFmtId="0" fontId="84" fillId="11" borderId="0" xfId="13" applyFont="1" applyFill="1" applyBorder="1" applyAlignment="1">
      <alignment horizontal="left" vertical="center" wrapText="1"/>
    </xf>
    <xf numFmtId="197" fontId="79" fillId="11" borderId="81" xfId="13" applyNumberFormat="1" applyFont="1" applyFill="1" applyBorder="1" applyAlignment="1">
      <alignment horizontal="center" vertical="center" wrapText="1"/>
    </xf>
    <xf numFmtId="0" fontId="0" fillId="33" borderId="1" xfId="0" applyFill="1" applyBorder="1" applyAlignment="1">
      <alignment vertical="center" wrapText="1"/>
    </xf>
    <xf numFmtId="179" fontId="24" fillId="0" borderId="0" xfId="0" applyNumberFormat="1" applyFont="1" applyFill="1" applyBorder="1"/>
    <xf numFmtId="174" fontId="24" fillId="0" borderId="0" xfId="10" applyNumberFormat="1" applyFont="1" applyFill="1" applyBorder="1"/>
    <xf numFmtId="2" fontId="24" fillId="0" borderId="0" xfId="0" applyNumberFormat="1" applyFont="1" applyFill="1" applyBorder="1"/>
    <xf numFmtId="179" fontId="24" fillId="0" borderId="0" xfId="0" applyNumberFormat="1" applyFont="1" applyFill="1" applyBorder="1" applyAlignment="1">
      <alignment horizontal="right"/>
    </xf>
    <xf numFmtId="0" fontId="11" fillId="17" borderId="58" xfId="0" applyFont="1" applyFill="1" applyBorder="1"/>
    <xf numFmtId="0" fontId="24" fillId="0" borderId="59" xfId="0" applyFont="1" applyFill="1" applyBorder="1" applyAlignment="1">
      <alignment horizontal="right"/>
    </xf>
    <xf numFmtId="0" fontId="11" fillId="17" borderId="61" xfId="0" applyFont="1" applyFill="1" applyBorder="1"/>
    <xf numFmtId="3" fontId="24" fillId="25" borderId="62" xfId="0" applyNumberFormat="1" applyFont="1" applyFill="1" applyBorder="1"/>
    <xf numFmtId="0" fontId="11" fillId="17" borderId="63" xfId="0" applyFont="1" applyFill="1" applyBorder="1"/>
    <xf numFmtId="0" fontId="50" fillId="13" borderId="64" xfId="0" applyFont="1" applyFill="1" applyBorder="1"/>
    <xf numFmtId="179" fontId="50" fillId="13" borderId="64" xfId="0" applyNumberFormat="1" applyFont="1" applyFill="1" applyBorder="1"/>
    <xf numFmtId="204" fontId="24" fillId="0" borderId="0" xfId="0" applyNumberFormat="1" applyFont="1" applyFill="1" applyBorder="1"/>
    <xf numFmtId="0" fontId="24" fillId="17" borderId="59" xfId="0" applyFont="1" applyFill="1" applyBorder="1"/>
    <xf numFmtId="0" fontId="103" fillId="11" borderId="0" xfId="13" applyFont="1" applyFill="1" applyBorder="1" applyAlignment="1">
      <alignment horizontal="center" vertical="center" wrapText="1"/>
    </xf>
    <xf numFmtId="197" fontId="78" fillId="11" borderId="81" xfId="13" applyNumberFormat="1" applyFont="1" applyFill="1" applyBorder="1" applyAlignment="1">
      <alignment horizontal="center" vertical="center" wrapText="1"/>
    </xf>
    <xf numFmtId="9" fontId="79" fillId="6" borderId="102" xfId="17" applyFont="1" applyFill="1" applyBorder="1" applyAlignment="1">
      <alignment horizontal="center"/>
    </xf>
    <xf numFmtId="9" fontId="79" fillId="6" borderId="81" xfId="17" applyFont="1" applyFill="1" applyBorder="1" applyAlignment="1">
      <alignment horizontal="center"/>
    </xf>
    <xf numFmtId="9" fontId="79" fillId="6" borderId="0" xfId="17" applyFont="1" applyFill="1" applyAlignment="1">
      <alignment horizontal="center"/>
    </xf>
    <xf numFmtId="0" fontId="75" fillId="6" borderId="91" xfId="13" applyFont="1" applyFill="1" applyBorder="1" applyAlignment="1">
      <alignment horizontal="center"/>
    </xf>
    <xf numFmtId="0" fontId="108" fillId="11" borderId="0" xfId="0" applyFont="1" applyFill="1" applyAlignment="1">
      <alignment horizontal="right"/>
    </xf>
    <xf numFmtId="0" fontId="75" fillId="11" borderId="0" xfId="0" applyFont="1" applyFill="1" applyAlignment="1">
      <alignment horizontal="center"/>
    </xf>
    <xf numFmtId="0" fontId="85" fillId="11" borderId="81" xfId="13" applyFont="1" applyFill="1" applyBorder="1" applyAlignment="1">
      <alignment horizontal="center" vertical="center" wrapText="1"/>
    </xf>
    <xf numFmtId="0" fontId="104" fillId="12" borderId="96" xfId="13" applyFont="1" applyFill="1" applyBorder="1" applyAlignment="1">
      <alignment horizontal="center" vertical="center" wrapText="1"/>
    </xf>
    <xf numFmtId="0" fontId="104" fillId="12" borderId="117" xfId="13" applyFont="1" applyFill="1" applyBorder="1" applyAlignment="1">
      <alignment horizontal="center" vertical="center" wrapText="1"/>
    </xf>
    <xf numFmtId="0" fontId="104" fillId="12" borderId="97" xfId="13" applyFont="1" applyFill="1" applyBorder="1" applyAlignment="1">
      <alignment horizontal="center" vertical="center" wrapText="1"/>
    </xf>
    <xf numFmtId="0" fontId="84" fillId="11" borderId="0" xfId="13" applyFont="1" applyFill="1" applyBorder="1" applyAlignment="1">
      <alignment horizontal="left" vertical="center" wrapText="1"/>
    </xf>
    <xf numFmtId="189" fontId="120" fillId="11" borderId="0" xfId="0" applyNumberFormat="1" applyFont="1" applyFill="1"/>
    <xf numFmtId="0" fontId="97" fillId="13" borderId="0" xfId="0" applyFont="1" applyFill="1" applyAlignment="1">
      <alignment horizontal="center"/>
    </xf>
    <xf numFmtId="0" fontId="75" fillId="13" borderId="0" xfId="0" applyFont="1" applyFill="1" applyAlignment="1">
      <alignment horizontal="center"/>
    </xf>
    <xf numFmtId="0" fontId="164" fillId="13" borderId="0" xfId="0" applyFont="1" applyFill="1" applyAlignment="1">
      <alignment horizontal="center"/>
    </xf>
    <xf numFmtId="0" fontId="125" fillId="13" borderId="0" xfId="0" applyFont="1" applyFill="1" applyAlignment="1">
      <alignment horizontal="center"/>
    </xf>
    <xf numFmtId="0" fontId="126" fillId="13" borderId="0" xfId="0" applyFont="1" applyFill="1" applyAlignment="1">
      <alignment horizontal="center"/>
    </xf>
    <xf numFmtId="1" fontId="79" fillId="17" borderId="8" xfId="0" applyNumberFormat="1" applyFont="1" applyFill="1" applyBorder="1" applyAlignment="1">
      <alignment horizontal="center" vertical="center"/>
    </xf>
    <xf numFmtId="0" fontId="79" fillId="17" borderId="7" xfId="0" applyFont="1" applyFill="1" applyBorder="1" applyAlignment="1">
      <alignment horizontal="center" vertical="center" wrapText="1"/>
    </xf>
    <xf numFmtId="194" fontId="75" fillId="6" borderId="0" xfId="13" applyNumberFormat="1" applyFont="1" applyFill="1" applyBorder="1"/>
    <xf numFmtId="0" fontId="0" fillId="11" borderId="0" xfId="0" applyFill="1" applyAlignment="1">
      <alignment vertical="center"/>
    </xf>
    <xf numFmtId="0" fontId="85" fillId="11" borderId="87" xfId="13" applyFont="1" applyFill="1" applyBorder="1" applyAlignment="1">
      <alignment horizontal="center" vertical="center" wrapText="1"/>
    </xf>
    <xf numFmtId="187" fontId="85" fillId="15" borderId="8" xfId="0" applyNumberFormat="1" applyFont="1" applyFill="1" applyBorder="1" applyAlignment="1" applyProtection="1">
      <alignment horizontal="center" vertical="center"/>
      <protection locked="0"/>
    </xf>
    <xf numFmtId="9" fontId="85" fillId="15" borderId="8" xfId="17" applyFont="1" applyFill="1" applyBorder="1" applyAlignment="1" applyProtection="1">
      <alignment horizontal="center" vertical="center"/>
      <protection locked="0"/>
    </xf>
    <xf numFmtId="197" fontId="79" fillId="11" borderId="81" xfId="13"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76" fontId="79" fillId="6" borderId="0" xfId="13" applyNumberFormat="1" applyFont="1" applyFill="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98" fontId="24" fillId="0" borderId="90" xfId="0" applyNumberFormat="1" applyFont="1" applyFill="1" applyBorder="1" applyAlignment="1">
      <alignment horizontal="center" vertical="center"/>
    </xf>
    <xf numFmtId="198" fontId="24" fillId="0" borderId="90" xfId="0" applyNumberFormat="1" applyFont="1" applyFill="1" applyBorder="1" applyAlignment="1">
      <alignment horizontal="center"/>
    </xf>
    <xf numFmtId="0" fontId="3" fillId="33" borderId="1" xfId="21" applyFont="1" applyFill="1" applyBorder="1" applyAlignment="1">
      <alignment vertical="center" wrapText="1"/>
    </xf>
    <xf numFmtId="0" fontId="3" fillId="0" borderId="1" xfId="21" applyFont="1" applyBorder="1" applyAlignment="1">
      <alignment horizontal="center" vertical="center" wrapText="1"/>
    </xf>
    <xf numFmtId="0" fontId="80" fillId="11" borderId="0" xfId="13" applyFont="1" applyFill="1" applyAlignment="1">
      <alignment vertical="top"/>
    </xf>
    <xf numFmtId="0" fontId="75" fillId="6" borderId="0" xfId="13" applyFont="1" applyFill="1" applyAlignment="1">
      <alignment vertical="top"/>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84" fillId="17" borderId="90" xfId="13" applyFont="1" applyFill="1" applyBorder="1" applyAlignment="1" applyProtection="1">
      <alignment horizontal="center" vertical="center" wrapText="1"/>
      <protection hidden="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211" fillId="0" borderId="0" xfId="20" applyFont="1" applyAlignment="1" applyProtection="1">
      <alignment horizontal="center"/>
    </xf>
    <xf numFmtId="0" fontId="84" fillId="11" borderId="0" xfId="13" applyFont="1" applyFill="1" applyAlignment="1">
      <alignment horizontal="left" vertical="center"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82" fillId="11" borderId="0" xfId="13" applyFont="1" applyFill="1" applyAlignment="1">
      <alignment horizontal="left"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95" fillId="11" borderId="0" xfId="13" applyFont="1" applyFill="1" applyBorder="1" applyAlignment="1">
      <alignment horizontal="left" wrapText="1"/>
    </xf>
    <xf numFmtId="0" fontId="83" fillId="11" borderId="0" xfId="13" applyFont="1" applyFill="1" applyBorder="1" applyAlignment="1">
      <alignment horizontal="center" vertical="center" wrapText="1"/>
    </xf>
    <xf numFmtId="0" fontId="78" fillId="11" borderId="0" xfId="13" applyFont="1" applyFill="1" applyBorder="1" applyAlignment="1">
      <alignment horizontal="left" vertical="top" wrapText="1"/>
    </xf>
    <xf numFmtId="0" fontId="110" fillId="0" borderId="74" xfId="13" applyFont="1" applyBorder="1" applyAlignment="1">
      <alignment horizontal="center" vertical="center" wrapText="1"/>
    </xf>
    <xf numFmtId="0" fontId="111" fillId="11" borderId="0" xfId="13" applyFont="1" applyFill="1" applyBorder="1" applyAlignment="1">
      <alignment horizontal="left" vertical="top" wrapText="1"/>
    </xf>
    <xf numFmtId="0" fontId="3" fillId="0" borderId="1" xfId="0" applyFont="1" applyBorder="1" applyAlignment="1">
      <alignment horizontal="center" vertical="center" wrapText="1"/>
    </xf>
    <xf numFmtId="0" fontId="84" fillId="11" borderId="0" xfId="22" applyFont="1" applyFill="1" applyBorder="1" applyAlignment="1">
      <alignment horizontal="left" vertical="center" wrapText="1"/>
    </xf>
    <xf numFmtId="0" fontId="83" fillId="11" borderId="0" xfId="22" applyFont="1" applyFill="1" applyBorder="1" applyAlignment="1">
      <alignment horizontal="center" vertical="center" wrapText="1"/>
    </xf>
    <xf numFmtId="0" fontId="83" fillId="11" borderId="0" xfId="22" applyFont="1" applyFill="1" applyBorder="1" applyAlignment="1">
      <alignment horizontal="center" vertical="center" wrapText="1"/>
    </xf>
    <xf numFmtId="0" fontId="83" fillId="11" borderId="0" xfId="22" applyFont="1" applyFill="1" applyBorder="1" applyAlignment="1">
      <alignment vertical="center" wrapText="1"/>
    </xf>
    <xf numFmtId="0" fontId="75" fillId="6" borderId="71" xfId="22" applyFont="1" applyFill="1" applyBorder="1"/>
    <xf numFmtId="0" fontId="75" fillId="6" borderId="0" xfId="22" applyFont="1" applyFill="1" applyBorder="1"/>
    <xf numFmtId="0" fontId="89" fillId="6" borderId="72" xfId="22" applyFont="1" applyFill="1" applyBorder="1" applyAlignment="1">
      <alignment vertical="center"/>
    </xf>
    <xf numFmtId="0" fontId="75" fillId="6" borderId="0" xfId="22" applyFont="1" applyFill="1"/>
    <xf numFmtId="0" fontId="84" fillId="6" borderId="71" xfId="22" applyFont="1" applyFill="1" applyBorder="1" applyAlignment="1">
      <alignment vertical="center"/>
    </xf>
    <xf numFmtId="179" fontId="96" fillId="12" borderId="90" xfId="22" applyNumberFormat="1" applyFont="1" applyFill="1" applyBorder="1" applyAlignment="1">
      <alignment horizontal="center"/>
    </xf>
    <xf numFmtId="179" fontId="96" fillId="12" borderId="90" xfId="22" applyNumberFormat="1" applyFont="1" applyFill="1" applyBorder="1" applyAlignment="1"/>
    <xf numFmtId="0" fontId="84" fillId="6" borderId="0" xfId="22" applyFont="1" applyFill="1" applyBorder="1"/>
    <xf numFmtId="0" fontId="95" fillId="12" borderId="90" xfId="22" applyFont="1" applyFill="1" applyBorder="1" applyAlignment="1">
      <alignment horizontal="left" vertical="center"/>
    </xf>
    <xf numFmtId="0" fontId="97" fillId="12" borderId="90" xfId="22" applyFont="1" applyFill="1" applyBorder="1"/>
    <xf numFmtId="0" fontId="98" fillId="12" borderId="90" xfId="22" applyFont="1" applyFill="1" applyBorder="1"/>
    <xf numFmtId="179" fontId="95" fillId="12" borderId="90" xfId="22" applyNumberFormat="1" applyFont="1" applyFill="1" applyBorder="1" applyAlignment="1">
      <alignment horizontal="center"/>
    </xf>
    <xf numFmtId="179" fontId="89" fillId="0" borderId="72" xfId="22" applyNumberFormat="1" applyFont="1" applyFill="1" applyBorder="1" applyAlignment="1">
      <alignment horizontal="center"/>
    </xf>
    <xf numFmtId="0" fontId="84" fillId="6" borderId="71" xfId="22" applyFont="1" applyFill="1" applyBorder="1"/>
    <xf numFmtId="0" fontId="84" fillId="0" borderId="0" xfId="22" applyFont="1" applyBorder="1"/>
    <xf numFmtId="0" fontId="75" fillId="11" borderId="71" xfId="22" applyFont="1" applyFill="1" applyBorder="1"/>
    <xf numFmtId="0" fontId="84" fillId="11" borderId="71" xfId="22" applyFont="1" applyFill="1" applyBorder="1" applyAlignment="1">
      <alignment vertical="center"/>
    </xf>
    <xf numFmtId="3" fontId="95" fillId="11" borderId="0" xfId="22" applyNumberFormat="1" applyFont="1" applyFill="1" applyBorder="1" applyAlignment="1">
      <alignment horizontal="center"/>
    </xf>
    <xf numFmtId="0" fontId="84" fillId="11" borderId="71" xfId="22" applyFont="1" applyFill="1" applyBorder="1" applyAlignment="1">
      <alignment horizontal="left" vertical="center" wrapText="1"/>
    </xf>
    <xf numFmtId="0" fontId="83" fillId="11" borderId="71" xfId="22" applyFont="1" applyFill="1" applyBorder="1" applyAlignment="1">
      <alignment horizontal="center" vertical="center" wrapText="1"/>
    </xf>
    <xf numFmtId="179" fontId="99" fillId="12" borderId="90" xfId="22" applyNumberFormat="1" applyFont="1" applyFill="1" applyBorder="1" applyAlignment="1">
      <alignment horizontal="center"/>
    </xf>
    <xf numFmtId="0" fontId="98" fillId="11" borderId="0" xfId="22" applyFont="1" applyFill="1" applyBorder="1"/>
    <xf numFmtId="3" fontId="100" fillId="11" borderId="0" xfId="22" applyNumberFormat="1" applyFont="1" applyFill="1" applyBorder="1" applyAlignment="1">
      <alignment horizontal="center"/>
    </xf>
    <xf numFmtId="0" fontId="84" fillId="11" borderId="0" xfId="22" applyFont="1" applyFill="1" applyBorder="1" applyAlignment="1">
      <alignment horizontal="left" vertical="center" wrapText="1"/>
    </xf>
    <xf numFmtId="0" fontId="84" fillId="11" borderId="72" xfId="22" applyFont="1" applyFill="1" applyBorder="1"/>
    <xf numFmtId="0" fontId="75" fillId="0" borderId="71" xfId="22" applyFont="1" applyFill="1" applyBorder="1"/>
    <xf numFmtId="0" fontId="75" fillId="0" borderId="0" xfId="22" applyFont="1" applyFill="1" applyBorder="1"/>
    <xf numFmtId="0" fontId="75" fillId="0" borderId="72" xfId="22" applyFont="1" applyFill="1" applyBorder="1"/>
    <xf numFmtId="0" fontId="85" fillId="0" borderId="71" xfId="22" applyFont="1" applyFill="1" applyBorder="1"/>
    <xf numFmtId="0" fontId="85" fillId="0" borderId="0" xfId="22" applyFont="1" applyFill="1" applyBorder="1" applyAlignment="1">
      <alignment vertical="center"/>
    </xf>
    <xf numFmtId="0" fontId="85" fillId="6" borderId="0" xfId="22" applyFont="1" applyFill="1" applyBorder="1"/>
    <xf numFmtId="0" fontId="79" fillId="0" borderId="0" xfId="22" applyFont="1" applyFill="1" applyBorder="1" applyAlignment="1">
      <alignment horizontal="right" vertical="center"/>
    </xf>
    <xf numFmtId="0" fontId="89" fillId="0" borderId="0" xfId="22" applyFont="1" applyFill="1" applyBorder="1" applyAlignment="1">
      <alignment vertical="center"/>
    </xf>
    <xf numFmtId="0" fontId="108" fillId="0" borderId="0" xfId="22" applyFont="1" applyFill="1" applyBorder="1" applyAlignment="1">
      <alignment vertical="center"/>
    </xf>
    <xf numFmtId="0" fontId="85" fillId="0" borderId="0" xfId="22" applyFont="1" applyFill="1" applyBorder="1"/>
    <xf numFmtId="179" fontId="89" fillId="0" borderId="0" xfId="22" applyNumberFormat="1" applyFont="1" applyFill="1" applyBorder="1" applyAlignment="1">
      <alignment horizontal="left" vertical="center"/>
    </xf>
    <xf numFmtId="0" fontId="79" fillId="0" borderId="0" xfId="22" applyFont="1" applyFill="1" applyBorder="1" applyAlignment="1">
      <alignment horizontal="right"/>
    </xf>
    <xf numFmtId="0" fontId="89" fillId="0" borderId="0" xfId="22" applyFont="1" applyFill="1" applyBorder="1"/>
    <xf numFmtId="0" fontId="85" fillId="0" borderId="72" xfId="22" applyFont="1" applyFill="1" applyBorder="1"/>
    <xf numFmtId="0" fontId="90" fillId="6" borderId="73" xfId="22" applyFont="1" applyFill="1" applyBorder="1" applyAlignment="1">
      <alignment vertical="center"/>
    </xf>
    <xf numFmtId="0" fontId="90" fillId="6" borderId="74" xfId="22" applyFont="1" applyFill="1" applyBorder="1" applyAlignment="1">
      <alignment vertical="center"/>
    </xf>
    <xf numFmtId="0" fontId="78" fillId="6" borderId="74" xfId="22" applyFont="1" applyFill="1" applyBorder="1" applyAlignment="1">
      <alignment vertical="center"/>
    </xf>
    <xf numFmtId="0" fontId="108" fillId="6" borderId="74" xfId="22" applyFont="1" applyFill="1" applyBorder="1" applyAlignment="1">
      <alignment vertical="center"/>
    </xf>
    <xf numFmtId="0" fontId="75" fillId="6" borderId="74" xfId="22" applyFont="1" applyFill="1" applyBorder="1"/>
    <xf numFmtId="0" fontId="90" fillId="6" borderId="74" xfId="22" applyFont="1" applyFill="1" applyBorder="1"/>
    <xf numFmtId="0" fontId="85" fillId="6" borderId="74" xfId="22" applyFont="1" applyFill="1" applyBorder="1"/>
    <xf numFmtId="179" fontId="78" fillId="6" borderId="74" xfId="22" applyNumberFormat="1" applyFont="1" applyFill="1" applyBorder="1" applyAlignment="1">
      <alignment horizontal="left" vertical="center"/>
    </xf>
    <xf numFmtId="0" fontId="90" fillId="6" borderId="74" xfId="22" applyFont="1" applyFill="1" applyBorder="1" applyAlignment="1">
      <alignment horizontal="right"/>
    </xf>
    <xf numFmtId="0" fontId="78" fillId="6" borderId="74" xfId="22" applyFont="1" applyFill="1" applyBorder="1"/>
    <xf numFmtId="0" fontId="75" fillId="0" borderId="74" xfId="22" applyFont="1" applyBorder="1"/>
    <xf numFmtId="0" fontId="75" fillId="6" borderId="75" xfId="22" applyFont="1" applyFill="1" applyBorder="1"/>
    <xf numFmtId="0" fontId="75" fillId="6" borderId="72" xfId="22" applyFont="1" applyFill="1" applyBorder="1"/>
    <xf numFmtId="0" fontId="78" fillId="6" borderId="0" xfId="22" applyFont="1" applyFill="1" applyBorder="1" applyAlignment="1">
      <alignment vertical="center"/>
    </xf>
    <xf numFmtId="0" fontId="89" fillId="6" borderId="0" xfId="22" applyFont="1" applyFill="1" applyBorder="1" applyAlignment="1">
      <alignment vertical="center"/>
    </xf>
    <xf numFmtId="0" fontId="90" fillId="6" borderId="0" xfId="22" applyFont="1" applyFill="1" applyBorder="1"/>
    <xf numFmtId="180" fontId="89" fillId="6" borderId="0" xfId="22" applyNumberFormat="1" applyFont="1" applyFill="1" applyBorder="1" applyAlignment="1">
      <alignment horizontal="left" vertical="center"/>
    </xf>
    <xf numFmtId="0" fontId="79" fillId="6" borderId="0" xfId="22" applyFont="1" applyFill="1" applyBorder="1" applyAlignment="1">
      <alignment horizontal="right"/>
    </xf>
    <xf numFmtId="0" fontId="89" fillId="6" borderId="0" xfId="22" applyFont="1" applyFill="1" applyBorder="1"/>
    <xf numFmtId="0" fontId="90" fillId="6" borderId="71" xfId="22" applyFont="1" applyFill="1" applyBorder="1" applyAlignment="1">
      <alignment vertical="center"/>
    </xf>
    <xf numFmtId="0" fontId="90" fillId="6" borderId="0" xfId="22" applyFont="1" applyFill="1" applyBorder="1" applyAlignment="1">
      <alignment vertical="center"/>
    </xf>
    <xf numFmtId="0" fontId="108" fillId="6" borderId="0" xfId="22" applyFont="1" applyFill="1" applyBorder="1" applyAlignment="1">
      <alignment vertical="center"/>
    </xf>
    <xf numFmtId="179" fontId="108" fillId="6" borderId="0" xfId="22" applyNumberFormat="1" applyFont="1" applyFill="1" applyBorder="1" applyAlignment="1">
      <alignment horizontal="left" vertical="center"/>
    </xf>
    <xf numFmtId="0" fontId="108" fillId="6" borderId="72" xfId="22" applyFont="1" applyFill="1" applyBorder="1"/>
    <xf numFmtId="0" fontId="84" fillId="11" borderId="73" xfId="22" applyFont="1" applyFill="1" applyBorder="1" applyAlignment="1">
      <alignment horizontal="left" vertical="top" wrapText="1"/>
    </xf>
    <xf numFmtId="0" fontId="84" fillId="11" borderId="74" xfId="22" applyFont="1" applyFill="1" applyBorder="1" applyAlignment="1">
      <alignment horizontal="left" vertical="top" wrapText="1"/>
    </xf>
    <xf numFmtId="0" fontId="84" fillId="11" borderId="75" xfId="22" applyFont="1" applyFill="1" applyBorder="1" applyAlignment="1">
      <alignment horizontal="left" vertical="top" wrapText="1"/>
    </xf>
    <xf numFmtId="0" fontId="84" fillId="11" borderId="0" xfId="22" applyFont="1" applyFill="1" applyBorder="1" applyAlignment="1">
      <alignment horizontal="left" vertical="top" wrapText="1"/>
    </xf>
    <xf numFmtId="0" fontId="75" fillId="6" borderId="73" xfId="22" applyFont="1" applyFill="1" applyBorder="1"/>
    <xf numFmtId="179" fontId="108" fillId="6" borderId="74" xfId="22" applyNumberFormat="1" applyFont="1" applyFill="1" applyBorder="1" applyAlignment="1">
      <alignment horizontal="left" vertical="center"/>
    </xf>
    <xf numFmtId="0" fontId="108" fillId="6" borderId="75" xfId="22" applyFont="1" applyFill="1" applyBorder="1"/>
    <xf numFmtId="0" fontId="75" fillId="0" borderId="0" xfId="22" applyFont="1" applyBorder="1"/>
    <xf numFmtId="0" fontId="79" fillId="6" borderId="0" xfId="22" applyFont="1" applyFill="1" applyBorder="1" applyAlignment="1">
      <alignment horizontal="right" vertical="center"/>
    </xf>
    <xf numFmtId="0" fontId="90" fillId="6" borderId="74" xfId="22" applyFont="1" applyFill="1" applyBorder="1" applyAlignment="1">
      <alignment horizontal="right" vertical="center"/>
    </xf>
    <xf numFmtId="0" fontId="89" fillId="6" borderId="74" xfId="22" applyFont="1" applyFill="1" applyBorder="1" applyAlignment="1">
      <alignment vertical="center"/>
    </xf>
    <xf numFmtId="0" fontId="85" fillId="6" borderId="74" xfId="22" applyFont="1" applyFill="1" applyBorder="1" applyAlignment="1">
      <alignment horizontal="right"/>
    </xf>
    <xf numFmtId="0" fontId="89" fillId="6" borderId="74" xfId="22" applyFont="1" applyFill="1" applyBorder="1"/>
    <xf numFmtId="0" fontId="83" fillId="11" borderId="0" xfId="22" applyFont="1" applyFill="1" applyBorder="1" applyAlignment="1">
      <alignment horizontal="left" wrapText="1"/>
    </xf>
    <xf numFmtId="0" fontId="176" fillId="6" borderId="90" xfId="22" applyFont="1" applyFill="1" applyBorder="1" applyAlignment="1">
      <alignment horizontal="center"/>
    </xf>
    <xf numFmtId="0" fontId="85" fillId="6" borderId="90" xfId="22" applyFont="1" applyFill="1" applyBorder="1" applyAlignment="1">
      <alignment horizontal="center"/>
    </xf>
    <xf numFmtId="0" fontId="85" fillId="0" borderId="90" xfId="22" applyFont="1" applyBorder="1" applyAlignment="1"/>
    <xf numFmtId="0" fontId="176" fillId="6" borderId="0" xfId="22" applyFont="1" applyFill="1" applyBorder="1"/>
    <xf numFmtId="192" fontId="176" fillId="17" borderId="90" xfId="22" applyNumberFormat="1" applyFont="1" applyFill="1" applyBorder="1"/>
    <xf numFmtId="192" fontId="85" fillId="17" borderId="90" xfId="22" applyNumberFormat="1" applyFont="1" applyFill="1" applyBorder="1"/>
    <xf numFmtId="193" fontId="176" fillId="17" borderId="90" xfId="22" applyNumberFormat="1" applyFont="1" applyFill="1" applyBorder="1" applyAlignment="1">
      <alignment horizontal="center" vertical="center" wrapText="1"/>
    </xf>
    <xf numFmtId="193" fontId="85" fillId="17" borderId="90" xfId="22" applyNumberFormat="1" applyFont="1" applyFill="1" applyBorder="1" applyAlignment="1">
      <alignment horizontal="center" vertical="center" wrapText="1"/>
    </xf>
    <xf numFmtId="0" fontId="78" fillId="11" borderId="0" xfId="22" applyFont="1" applyFill="1" applyBorder="1" applyAlignment="1">
      <alignment vertical="top" wrapText="1"/>
    </xf>
    <xf numFmtId="0" fontId="176" fillId="6" borderId="90" xfId="22" applyFont="1" applyFill="1" applyBorder="1" applyAlignment="1">
      <alignment horizontal="center" vertical="center"/>
    </xf>
    <xf numFmtId="0" fontId="75" fillId="6" borderId="0" xfId="22" applyFont="1" applyFill="1" applyBorder="1" applyAlignment="1">
      <alignment horizontal="center" vertical="center"/>
    </xf>
    <xf numFmtId="0" fontId="78" fillId="11" borderId="0" xfId="22" applyFont="1" applyFill="1" applyBorder="1" applyAlignment="1">
      <alignment horizontal="center" vertical="center" wrapText="1"/>
    </xf>
    <xf numFmtId="0" fontId="213" fillId="11" borderId="0" xfId="22" applyFont="1" applyFill="1" applyBorder="1" applyAlignment="1">
      <alignment horizontal="center" vertical="center" wrapText="1"/>
    </xf>
    <xf numFmtId="0" fontId="85" fillId="6" borderId="90" xfId="22" applyFont="1" applyFill="1" applyBorder="1" applyAlignment="1">
      <alignment horizontal="center" vertical="center"/>
    </xf>
    <xf numFmtId="0" fontId="176" fillId="6" borderId="72" xfId="22" applyFont="1" applyFill="1" applyBorder="1" applyAlignment="1"/>
    <xf numFmtId="0" fontId="212" fillId="11" borderId="0" xfId="22" applyFont="1" applyFill="1" applyBorder="1" applyAlignment="1">
      <alignment horizontal="left" wrapText="1"/>
    </xf>
    <xf numFmtId="0" fontId="176" fillId="0" borderId="90" xfId="22" applyFont="1" applyBorder="1" applyAlignment="1"/>
    <xf numFmtId="0" fontId="85" fillId="6" borderId="0" xfId="22" applyFont="1" applyFill="1" applyBorder="1" applyAlignment="1">
      <alignment vertical="center"/>
    </xf>
    <xf numFmtId="0" fontId="85" fillId="6" borderId="0" xfId="22" applyFont="1" applyFill="1" applyBorder="1" applyAlignment="1">
      <alignment horizontal="left" vertical="center"/>
    </xf>
    <xf numFmtId="0" fontId="111" fillId="11" borderId="72" xfId="22" applyFont="1" applyFill="1" applyBorder="1" applyAlignment="1">
      <alignment horizontal="left" vertical="center" wrapText="1"/>
    </xf>
    <xf numFmtId="0" fontId="85" fillId="6" borderId="0" xfId="22" applyFont="1" applyFill="1" applyBorder="1" applyAlignment="1">
      <alignment vertical="center" wrapText="1"/>
    </xf>
    <xf numFmtId="0" fontId="75" fillId="6" borderId="79" xfId="22" applyFont="1" applyFill="1" applyBorder="1" applyAlignment="1">
      <alignment horizontal="left" vertical="center"/>
    </xf>
    <xf numFmtId="0" fontId="75" fillId="6" borderId="0" xfId="22" applyFont="1" applyFill="1" applyBorder="1" applyAlignment="1">
      <alignment horizontal="left" vertical="center"/>
    </xf>
    <xf numFmtId="0" fontId="75" fillId="6" borderId="0" xfId="22" applyFont="1" applyFill="1" applyAlignment="1">
      <alignment horizontal="left"/>
    </xf>
    <xf numFmtId="0" fontId="75" fillId="6" borderId="80" xfId="22" applyFont="1" applyFill="1" applyBorder="1" applyAlignment="1" applyProtection="1">
      <alignment horizontal="left" vertical="center" wrapText="1"/>
      <protection hidden="1"/>
    </xf>
    <xf numFmtId="0" fontId="75" fillId="0" borderId="91" xfId="22" applyFont="1" applyBorder="1"/>
    <xf numFmtId="0" fontId="75" fillId="0" borderId="76" xfId="22" applyFont="1" applyBorder="1"/>
    <xf numFmtId="0" fontId="90" fillId="6" borderId="71" xfId="22" applyFont="1" applyFill="1" applyBorder="1" applyAlignment="1" applyProtection="1">
      <alignment horizontal="center" vertical="center" wrapText="1"/>
      <protection hidden="1"/>
    </xf>
    <xf numFmtId="0" fontId="90" fillId="6" borderId="72" xfId="22" applyFont="1" applyFill="1" applyBorder="1" applyAlignment="1">
      <alignment horizontal="center"/>
    </xf>
    <xf numFmtId="0" fontId="90" fillId="6" borderId="71" xfId="22" applyFont="1" applyFill="1" applyBorder="1" applyAlignment="1">
      <alignment horizontal="center" vertical="center" wrapText="1"/>
    </xf>
    <xf numFmtId="0" fontId="90" fillId="6" borderId="73" xfId="22" applyFont="1" applyFill="1" applyBorder="1" applyAlignment="1">
      <alignment horizontal="center" vertical="center" wrapText="1"/>
    </xf>
    <xf numFmtId="0" fontId="90" fillId="6" borderId="75" xfId="22" applyFont="1" applyFill="1" applyBorder="1" applyAlignment="1">
      <alignment horizontal="center"/>
    </xf>
    <xf numFmtId="0" fontId="84" fillId="11" borderId="0" xfId="22" applyFont="1" applyFill="1" applyAlignment="1">
      <alignment horizontal="left" vertical="center" wrapText="1"/>
    </xf>
    <xf numFmtId="0" fontId="85" fillId="6" borderId="0" xfId="22" applyFont="1" applyFill="1"/>
    <xf numFmtId="0" fontId="210" fillId="0" borderId="0" xfId="22" applyFont="1" applyFill="1" applyBorder="1"/>
    <xf numFmtId="0" fontId="176" fillId="6" borderId="72" xfId="22" applyFont="1" applyFill="1" applyBorder="1" applyAlignment="1">
      <alignment wrapText="1"/>
    </xf>
    <xf numFmtId="0" fontId="90" fillId="11" borderId="0" xfId="13" applyFont="1" applyFill="1" applyBorder="1"/>
    <xf numFmtId="0" fontId="95" fillId="11" borderId="74" xfId="13" applyFont="1" applyFill="1" applyBorder="1" applyAlignment="1">
      <alignment horizontal="left" wrapText="1"/>
    </xf>
    <xf numFmtId="0" fontId="95" fillId="11" borderId="75" xfId="13" applyFont="1" applyFill="1" applyBorder="1" applyAlignment="1">
      <alignment horizontal="left" wrapText="1"/>
    </xf>
    <xf numFmtId="0" fontId="90" fillId="6" borderId="0" xfId="22" applyFont="1" applyFill="1" applyBorder="1" applyAlignment="1">
      <alignment horizontal="center"/>
    </xf>
    <xf numFmtId="0" fontId="176" fillId="6" borderId="90" xfId="22" applyFont="1" applyFill="1" applyBorder="1" applyAlignment="1">
      <alignment horizontal="center" vertical="center"/>
    </xf>
    <xf numFmtId="179" fontId="85" fillId="17" borderId="92" xfId="22" applyNumberFormat="1" applyFont="1" applyFill="1" applyBorder="1" applyAlignment="1">
      <alignment horizontal="center" vertical="center"/>
    </xf>
    <xf numFmtId="0" fontId="3" fillId="0" borderId="1" xfId="0" applyFont="1" applyBorder="1" applyAlignment="1">
      <alignment horizontal="center" vertical="center"/>
    </xf>
    <xf numFmtId="192" fontId="176" fillId="17" borderId="90" xfId="22" applyNumberFormat="1" applyFont="1" applyFill="1" applyBorder="1" applyAlignment="1">
      <alignment horizontal="center"/>
    </xf>
    <xf numFmtId="183" fontId="85" fillId="17" borderId="90" xfId="18" applyNumberFormat="1" applyFont="1" applyFill="1" applyBorder="1" applyAlignment="1"/>
    <xf numFmtId="0" fontId="176" fillId="6" borderId="90" xfId="22" applyFont="1" applyFill="1" applyBorder="1" applyAlignment="1">
      <alignment horizontal="center" vertical="center" wrapText="1"/>
    </xf>
    <xf numFmtId="0" fontId="176" fillId="0" borderId="90" xfId="22" applyFont="1" applyBorder="1" applyAlignment="1">
      <alignment horizontal="center" vertical="center"/>
    </xf>
    <xf numFmtId="204" fontId="85" fillId="17" borderId="90" xfId="22"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192" fontId="85" fillId="17" borderId="90" xfId="22" applyNumberFormat="1" applyFont="1" applyFill="1" applyBorder="1" applyAlignment="1">
      <alignment horizontal="center"/>
    </xf>
    <xf numFmtId="0" fontId="3" fillId="0" borderId="1" xfId="0" applyFont="1" applyBorder="1" applyAlignment="1">
      <alignment horizontal="center" vertical="center"/>
    </xf>
    <xf numFmtId="0" fontId="50" fillId="13" borderId="66" xfId="0" applyFont="1" applyFill="1" applyBorder="1" applyAlignment="1">
      <alignment horizontal="left"/>
    </xf>
    <xf numFmtId="0" fontId="50" fillId="13" borderId="67" xfId="0" applyFont="1" applyFill="1" applyBorder="1" applyAlignment="1">
      <alignment horizontal="left"/>
    </xf>
    <xf numFmtId="0" fontId="50" fillId="13" borderId="68" xfId="0" applyFont="1" applyFill="1" applyBorder="1" applyAlignment="1">
      <alignment horizontal="left"/>
    </xf>
    <xf numFmtId="0" fontId="39" fillId="29" borderId="61" xfId="0" applyFont="1" applyFill="1" applyBorder="1" applyAlignment="1">
      <alignment horizontal="center"/>
    </xf>
    <xf numFmtId="9" fontId="8" fillId="0" borderId="65" xfId="17" applyFont="1" applyFill="1" applyBorder="1" applyAlignment="1">
      <alignment horizontal="center"/>
    </xf>
    <xf numFmtId="195" fontId="124" fillId="28" borderId="180" xfId="0" applyNumberFormat="1" applyFont="1" applyFill="1" applyBorder="1" applyAlignment="1">
      <alignment horizontal="center"/>
    </xf>
    <xf numFmtId="0" fontId="50" fillId="13" borderId="31" xfId="0" applyFont="1" applyFill="1" applyBorder="1" applyAlignment="1">
      <alignment horizontal="left"/>
    </xf>
    <xf numFmtId="0" fontId="156" fillId="12" borderId="9" xfId="0" applyFont="1" applyFill="1" applyBorder="1" applyAlignment="1">
      <alignment horizontal="center"/>
    </xf>
    <xf numFmtId="0" fontId="156" fillId="12" borderId="20" xfId="0" applyFont="1" applyFill="1" applyBorder="1" applyAlignment="1">
      <alignment horizontal="center"/>
    </xf>
    <xf numFmtId="0" fontId="156" fillId="12" borderId="18" xfId="0" applyFont="1" applyFill="1" applyBorder="1" applyAlignment="1">
      <alignment horizontal="center"/>
    </xf>
    <xf numFmtId="0" fontId="24" fillId="0" borderId="0" xfId="0" applyFont="1" applyFill="1" applyBorder="1" applyAlignment="1">
      <alignment horizontal="center"/>
    </xf>
    <xf numFmtId="0" fontId="24" fillId="0" borderId="0" xfId="0" applyFont="1" applyFill="1" applyBorder="1" applyAlignment="1">
      <alignment horizontal="center"/>
    </xf>
    <xf numFmtId="0" fontId="24" fillId="0" borderId="0" xfId="0" applyFont="1" applyFill="1" applyBorder="1" applyAlignment="1">
      <alignment horizont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9" fontId="24" fillId="29" borderId="0" xfId="0" applyNumberFormat="1" applyFont="1" applyFill="1" applyBorder="1" applyAlignment="1">
      <alignment horizontal="center"/>
    </xf>
    <xf numFmtId="169" fontId="24" fillId="29" borderId="0" xfId="0" applyNumberFormat="1" applyFont="1" applyFill="1" applyBorder="1" applyAlignment="1">
      <alignment horizontal="center"/>
    </xf>
    <xf numFmtId="169" fontId="24" fillId="29" borderId="62" xfId="0" applyNumberFormat="1" applyFont="1" applyFill="1" applyBorder="1" applyAlignment="1">
      <alignment horizontal="center"/>
    </xf>
    <xf numFmtId="0" fontId="3" fillId="0" borderId="1"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24" fillId="17" borderId="61" xfId="0" applyFont="1" applyFill="1" applyBorder="1" applyAlignment="1">
      <alignment horizontal="right" vertical="center"/>
    </xf>
    <xf numFmtId="180" fontId="24" fillId="17" borderId="0" xfId="0" applyNumberFormat="1" applyFont="1" applyFill="1" applyBorder="1" applyAlignment="1">
      <alignment horizontal="left"/>
    </xf>
    <xf numFmtId="0" fontId="24" fillId="17" borderId="61" xfId="0" applyFont="1" applyFill="1" applyBorder="1" applyAlignment="1">
      <alignment horizontal="right"/>
    </xf>
    <xf numFmtId="0" fontId="24" fillId="13" borderId="0" xfId="0" applyFont="1" applyFill="1" applyBorder="1" applyAlignment="1">
      <alignment horizontal="right"/>
    </xf>
    <xf numFmtId="0" fontId="24" fillId="13" borderId="0" xfId="0" applyFont="1" applyFill="1" applyBorder="1" applyAlignment="1">
      <alignment horizontal="right" vertical="center"/>
    </xf>
    <xf numFmtId="0" fontId="165" fillId="13" borderId="0" xfId="0" applyFont="1" applyFill="1" applyBorder="1" applyAlignment="1" applyProtection="1">
      <alignment horizontal="center"/>
    </xf>
    <xf numFmtId="0" fontId="120" fillId="11" borderId="0" xfId="0" applyFont="1" applyFill="1" applyAlignment="1">
      <alignment horizontal="left"/>
    </xf>
    <xf numFmtId="0" fontId="120" fillId="11" borderId="0" xfId="0" applyFont="1" applyFill="1" applyAlignment="1">
      <alignment horizontal="left" vertical="top"/>
    </xf>
    <xf numFmtId="0" fontId="113" fillId="13" borderId="0" xfId="0" applyFont="1" applyFill="1" applyAlignment="1">
      <alignment vertical="center"/>
    </xf>
    <xf numFmtId="0" fontId="113" fillId="13" borderId="0" xfId="0" applyFont="1" applyFill="1" applyAlignment="1">
      <alignment horizontal="center" vertical="center"/>
    </xf>
    <xf numFmtId="179" fontId="11" fillId="0" borderId="156" xfId="0" applyNumberFormat="1" applyFont="1" applyFill="1" applyBorder="1"/>
    <xf numFmtId="179" fontId="11" fillId="0" borderId="157" xfId="0" applyNumberFormat="1" applyFont="1" applyFill="1" applyBorder="1"/>
    <xf numFmtId="179" fontId="11" fillId="0" borderId="158" xfId="0" applyNumberFormat="1" applyFont="1" applyFill="1" applyBorder="1"/>
    <xf numFmtId="0" fontId="24" fillId="0" borderId="147" xfId="0" applyFont="1" applyFill="1" applyBorder="1"/>
    <xf numFmtId="0" fontId="24" fillId="0" borderId="2" xfId="0" applyFont="1" applyFill="1" applyBorder="1"/>
    <xf numFmtId="0" fontId="24" fillId="0" borderId="149" xfId="0" applyFont="1" applyFill="1" applyBorder="1"/>
    <xf numFmtId="0" fontId="24" fillId="0" borderId="0" xfId="0" applyFont="1" applyFill="1" applyBorder="1" applyAlignment="1">
      <alignment horizont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110" fillId="11" borderId="0" xfId="0" applyFont="1" applyFill="1" applyBorder="1" applyAlignment="1" applyProtection="1">
      <alignment horizontal="center" wrapText="1"/>
      <protection hidden="1"/>
    </xf>
    <xf numFmtId="49" fontId="75" fillId="15" borderId="9" xfId="0" applyNumberFormat="1" applyFont="1" applyFill="1" applyBorder="1" applyAlignment="1" applyProtection="1">
      <alignment horizontal="left"/>
      <protection locked="0"/>
    </xf>
    <xf numFmtId="49" fontId="75" fillId="15" borderId="18" xfId="0" applyNumberFormat="1" applyFont="1" applyFill="1" applyBorder="1" applyAlignment="1" applyProtection="1">
      <alignment horizontal="left"/>
      <protection locked="0"/>
    </xf>
    <xf numFmtId="0" fontId="75" fillId="15" borderId="9" xfId="0" applyFont="1" applyFill="1" applyBorder="1" applyAlignment="1" applyProtection="1">
      <alignment horizontal="left"/>
      <protection locked="0"/>
    </xf>
    <xf numFmtId="0" fontId="75" fillId="15" borderId="18" xfId="0" applyFont="1" applyFill="1" applyBorder="1" applyAlignment="1" applyProtection="1">
      <alignment horizontal="left"/>
      <protection locked="0"/>
    </xf>
    <xf numFmtId="49" fontId="75" fillId="15" borderId="20" xfId="0" applyNumberFormat="1" applyFont="1" applyFill="1" applyBorder="1" applyAlignment="1" applyProtection="1">
      <alignment horizontal="left"/>
      <protection locked="0"/>
    </xf>
    <xf numFmtId="0" fontId="75" fillId="11" borderId="0" xfId="0" applyFont="1" applyFill="1" applyBorder="1" applyAlignment="1" applyProtection="1">
      <alignment horizontal="center" vertical="top" wrapText="1"/>
      <protection hidden="1"/>
    </xf>
    <xf numFmtId="0" fontId="75" fillId="11" borderId="36" xfId="0" applyFont="1" applyFill="1" applyBorder="1" applyAlignment="1" applyProtection="1">
      <alignment horizontal="center" vertical="top" wrapText="1"/>
      <protection hidden="1"/>
    </xf>
    <xf numFmtId="0" fontId="75" fillId="15" borderId="20" xfId="0" applyFont="1" applyFill="1" applyBorder="1" applyAlignment="1" applyProtection="1">
      <alignment horizontal="left"/>
      <protection locked="0"/>
    </xf>
    <xf numFmtId="0" fontId="75" fillId="15" borderId="9" xfId="0" applyNumberFormat="1" applyFont="1" applyFill="1" applyBorder="1" applyAlignment="1" applyProtection="1">
      <alignment horizontal="left"/>
      <protection locked="0"/>
    </xf>
    <xf numFmtId="0" fontId="75" fillId="15" borderId="20" xfId="0" applyNumberFormat="1" applyFont="1" applyFill="1" applyBorder="1" applyAlignment="1" applyProtection="1">
      <alignment horizontal="left"/>
      <protection locked="0"/>
    </xf>
    <xf numFmtId="0" fontId="75" fillId="15" borderId="18" xfId="0" applyNumberFormat="1" applyFont="1" applyFill="1" applyBorder="1" applyAlignment="1" applyProtection="1">
      <alignment horizontal="left"/>
      <protection locked="0"/>
    </xf>
    <xf numFmtId="0" fontId="91" fillId="11" borderId="36" xfId="0" applyFont="1" applyFill="1" applyBorder="1" applyAlignment="1" applyProtection="1">
      <alignment horizontal="center" vertical="center" wrapText="1"/>
      <protection hidden="1"/>
    </xf>
    <xf numFmtId="0" fontId="91" fillId="11" borderId="36" xfId="0" applyFont="1" applyFill="1" applyBorder="1" applyAlignment="1" applyProtection="1">
      <alignment horizontal="center" vertical="center"/>
      <protection hidden="1"/>
    </xf>
    <xf numFmtId="0" fontId="147" fillId="11" borderId="36" xfId="0" applyFont="1" applyFill="1" applyBorder="1" applyAlignment="1" applyProtection="1">
      <alignment horizontal="center" vertical="center" wrapText="1"/>
      <protection hidden="1"/>
    </xf>
    <xf numFmtId="0" fontId="147" fillId="11" borderId="36" xfId="0" applyFont="1" applyFill="1" applyBorder="1" applyAlignment="1" applyProtection="1">
      <alignment horizontal="center" vertical="center"/>
      <protection hidden="1"/>
    </xf>
    <xf numFmtId="0" fontId="91" fillId="11" borderId="0" xfId="0" applyFont="1" applyFill="1" applyBorder="1" applyAlignment="1" applyProtection="1">
      <alignment horizontal="center" wrapText="1"/>
      <protection hidden="1"/>
    </xf>
    <xf numFmtId="0" fontId="110" fillId="13" borderId="0" xfId="0" applyFont="1" applyFill="1" applyBorder="1" applyAlignment="1" applyProtection="1">
      <alignment horizontal="center"/>
      <protection hidden="1"/>
    </xf>
    <xf numFmtId="0" fontId="8" fillId="13" borderId="0" xfId="0" applyFont="1" applyFill="1" applyBorder="1" applyAlignment="1" applyProtection="1">
      <alignment horizontal="center"/>
      <protection hidden="1"/>
    </xf>
    <xf numFmtId="0" fontId="110" fillId="13" borderId="0" xfId="0" applyFont="1" applyFill="1" applyBorder="1" applyAlignment="1" applyProtection="1">
      <alignment horizontal="left"/>
      <protection hidden="1"/>
    </xf>
    <xf numFmtId="0" fontId="148" fillId="11" borderId="64" xfId="0" applyFont="1" applyFill="1" applyBorder="1" applyAlignment="1" applyProtection="1">
      <alignment horizontal="left"/>
      <protection hidden="1"/>
    </xf>
    <xf numFmtId="0" fontId="75" fillId="13" borderId="0" xfId="0" applyFont="1" applyFill="1" applyBorder="1" applyAlignment="1" applyProtection="1">
      <alignment horizontal="right"/>
      <protection hidden="1"/>
    </xf>
    <xf numFmtId="0" fontId="110" fillId="13" borderId="0" xfId="0" applyFont="1" applyFill="1" applyBorder="1" applyAlignment="1" applyProtection="1">
      <alignment vertical="center"/>
      <protection hidden="1"/>
    </xf>
    <xf numFmtId="0" fontId="75" fillId="0" borderId="1" xfId="0" applyFont="1" applyBorder="1" applyAlignment="1" applyProtection="1">
      <alignment horizontal="center" vertical="center"/>
      <protection hidden="1"/>
    </xf>
    <xf numFmtId="0" fontId="75" fillId="14" borderId="1" xfId="0" applyFont="1" applyFill="1" applyBorder="1" applyAlignment="1" applyProtection="1">
      <alignment horizontal="center"/>
      <protection hidden="1"/>
    </xf>
    <xf numFmtId="0" fontId="97" fillId="13" borderId="21" xfId="0" applyFont="1" applyFill="1" applyBorder="1" applyAlignment="1" applyProtection="1">
      <alignment horizontal="center"/>
      <protection hidden="1"/>
    </xf>
    <xf numFmtId="0" fontId="97" fillId="13" borderId="31" xfId="0" applyFont="1" applyFill="1" applyBorder="1" applyAlignment="1" applyProtection="1">
      <alignment horizontal="center"/>
      <protection hidden="1"/>
    </xf>
    <xf numFmtId="0" fontId="97" fillId="13" borderId="101" xfId="0" applyFont="1" applyFill="1" applyBorder="1" applyAlignment="1" applyProtection="1">
      <alignment horizontal="center"/>
      <protection hidden="1"/>
    </xf>
    <xf numFmtId="0" fontId="95" fillId="12" borderId="10" xfId="0" applyFont="1" applyFill="1" applyBorder="1" applyAlignment="1" applyProtection="1">
      <alignment horizontal="center" vertical="center"/>
      <protection hidden="1"/>
    </xf>
    <xf numFmtId="0" fontId="95" fillId="12" borderId="23" xfId="0" applyFont="1" applyFill="1" applyBorder="1" applyAlignment="1" applyProtection="1">
      <alignment horizontal="center" vertical="center"/>
      <protection hidden="1"/>
    </xf>
    <xf numFmtId="0" fontId="95" fillId="12" borderId="24" xfId="0" applyFont="1" applyFill="1" applyBorder="1" applyAlignment="1" applyProtection="1">
      <alignment horizontal="center" vertical="center"/>
      <protection hidden="1"/>
    </xf>
    <xf numFmtId="0" fontId="75" fillId="13" borderId="0" xfId="0" applyFont="1" applyFill="1" applyBorder="1" applyAlignment="1" applyProtection="1">
      <alignment horizontal="center"/>
      <protection hidden="1"/>
    </xf>
    <xf numFmtId="0" fontId="148" fillId="11" borderId="0" xfId="0" applyFont="1" applyFill="1" applyBorder="1" applyAlignment="1" applyProtection="1">
      <alignment horizontal="center"/>
      <protection hidden="1"/>
    </xf>
    <xf numFmtId="0" fontId="75" fillId="0" borderId="9" xfId="0" applyFont="1" applyBorder="1" applyAlignment="1" applyProtection="1">
      <alignment horizontal="center" vertical="center"/>
      <protection hidden="1"/>
    </xf>
    <xf numFmtId="0" fontId="75" fillId="0" borderId="20" xfId="0" applyFont="1" applyBorder="1" applyAlignment="1" applyProtection="1">
      <alignment horizontal="center" vertical="center"/>
      <protection hidden="1"/>
    </xf>
    <xf numFmtId="0" fontId="75" fillId="0" borderId="18" xfId="0" applyFont="1" applyBorder="1" applyAlignment="1" applyProtection="1">
      <alignment horizontal="center" vertical="center"/>
      <protection hidden="1"/>
    </xf>
    <xf numFmtId="0" fontId="75" fillId="14" borderId="9" xfId="0" applyFont="1" applyFill="1" applyBorder="1" applyAlignment="1" applyProtection="1">
      <alignment horizontal="center" vertical="center"/>
      <protection hidden="1"/>
    </xf>
    <xf numFmtId="0" fontId="75" fillId="14" borderId="20" xfId="0" applyFont="1" applyFill="1" applyBorder="1" applyAlignment="1" applyProtection="1">
      <alignment horizontal="center" vertical="center"/>
      <protection hidden="1"/>
    </xf>
    <xf numFmtId="0" fontId="75" fillId="14" borderId="18" xfId="0" applyFont="1" applyFill="1" applyBorder="1" applyAlignment="1" applyProtection="1">
      <alignment horizontal="center" vertical="center"/>
      <protection hidden="1"/>
    </xf>
    <xf numFmtId="0" fontId="149" fillId="12" borderId="10" xfId="0" applyFont="1" applyFill="1" applyBorder="1" applyAlignment="1" applyProtection="1">
      <alignment horizontal="center" vertical="center"/>
      <protection hidden="1"/>
    </xf>
    <xf numFmtId="0" fontId="149" fillId="12" borderId="23" xfId="0" applyFont="1" applyFill="1" applyBorder="1" applyAlignment="1" applyProtection="1">
      <alignment horizontal="center" vertical="center"/>
      <protection hidden="1"/>
    </xf>
    <xf numFmtId="0" fontId="149" fillId="12" borderId="24" xfId="0" applyFont="1" applyFill="1" applyBorder="1" applyAlignment="1" applyProtection="1">
      <alignment horizontal="center" vertical="center"/>
      <protection hidden="1"/>
    </xf>
    <xf numFmtId="0" fontId="75" fillId="11" borderId="21" xfId="0" applyFont="1" applyFill="1" applyBorder="1" applyAlignment="1" applyProtection="1">
      <alignment horizontal="center" vertical="center"/>
      <protection hidden="1"/>
    </xf>
    <xf numFmtId="0" fontId="75" fillId="11" borderId="31" xfId="0" applyFont="1" applyFill="1" applyBorder="1" applyAlignment="1" applyProtection="1">
      <alignment horizontal="center" vertical="center"/>
      <protection hidden="1"/>
    </xf>
    <xf numFmtId="0" fontId="97" fillId="13" borderId="10" xfId="0" applyFont="1" applyFill="1" applyBorder="1" applyAlignment="1" applyProtection="1">
      <alignment horizontal="center" vertical="center"/>
      <protection hidden="1"/>
    </xf>
    <xf numFmtId="0" fontId="97" fillId="13" borderId="24" xfId="0" applyFont="1" applyFill="1" applyBorder="1" applyAlignment="1" applyProtection="1">
      <alignment horizontal="center" vertical="center"/>
      <protection hidden="1"/>
    </xf>
    <xf numFmtId="0" fontId="122" fillId="0" borderId="0" xfId="0" applyFont="1" applyBorder="1" applyAlignment="1" applyProtection="1">
      <alignment horizontal="center" wrapText="1"/>
      <protection hidden="1"/>
    </xf>
    <xf numFmtId="0" fontId="75" fillId="11" borderId="9" xfId="0" applyFont="1" applyFill="1" applyBorder="1" applyAlignment="1" applyProtection="1">
      <alignment horizontal="center" vertical="center"/>
      <protection hidden="1"/>
    </xf>
    <xf numFmtId="0" fontId="75" fillId="11" borderId="20" xfId="0" applyFont="1" applyFill="1" applyBorder="1" applyAlignment="1" applyProtection="1">
      <alignment horizontal="center" vertical="center"/>
      <protection hidden="1"/>
    </xf>
    <xf numFmtId="0" fontId="75" fillId="11" borderId="18" xfId="0" applyFont="1" applyFill="1" applyBorder="1" applyAlignment="1" applyProtection="1">
      <alignment horizontal="center" vertical="center"/>
      <protection hidden="1"/>
    </xf>
    <xf numFmtId="0" fontId="150" fillId="0" borderId="0" xfId="0" applyFont="1" applyBorder="1" applyAlignment="1" applyProtection="1">
      <alignment horizontal="center" vertical="top" wrapText="1"/>
      <protection hidden="1"/>
    </xf>
    <xf numFmtId="0" fontId="85" fillId="22" borderId="102" xfId="0" applyFont="1" applyFill="1" applyBorder="1" applyAlignment="1" applyProtection="1">
      <alignment horizontal="center" vertical="center" wrapText="1"/>
      <protection hidden="1"/>
    </xf>
    <xf numFmtId="0" fontId="85" fillId="22" borderId="81" xfId="0" applyFont="1" applyFill="1" applyBorder="1" applyAlignment="1" applyProtection="1">
      <alignment horizontal="center" vertical="center" wrapText="1"/>
      <protection hidden="1"/>
    </xf>
    <xf numFmtId="0" fontId="85" fillId="22" borderId="87" xfId="0" applyFont="1" applyFill="1" applyBorder="1" applyAlignment="1" applyProtection="1">
      <alignment horizontal="center" vertical="center" wrapText="1"/>
      <protection hidden="1"/>
    </xf>
    <xf numFmtId="0" fontId="105" fillId="13" borderId="22" xfId="0" applyFont="1" applyFill="1" applyBorder="1" applyAlignment="1" applyProtection="1">
      <alignment horizontal="center" vertical="center"/>
      <protection hidden="1"/>
    </xf>
    <xf numFmtId="0" fontId="105" fillId="13" borderId="85" xfId="0" applyFont="1" applyFill="1" applyBorder="1" applyAlignment="1" applyProtection="1">
      <alignment horizontal="center" vertical="center"/>
      <protection hidden="1"/>
    </xf>
    <xf numFmtId="0" fontId="122" fillId="11" borderId="123" xfId="0" applyFont="1" applyFill="1" applyBorder="1" applyAlignment="1" applyProtection="1">
      <alignment horizontal="center" vertical="center" wrapText="1"/>
      <protection hidden="1"/>
    </xf>
    <xf numFmtId="0" fontId="122" fillId="11" borderId="126" xfId="0" applyFont="1" applyFill="1" applyBorder="1" applyAlignment="1" applyProtection="1">
      <alignment horizontal="center" vertical="center" wrapText="1"/>
      <protection hidden="1"/>
    </xf>
    <xf numFmtId="0" fontId="122" fillId="11" borderId="168" xfId="0" applyFont="1" applyFill="1" applyBorder="1" applyAlignment="1" applyProtection="1">
      <alignment horizontal="center" vertical="center" wrapText="1"/>
      <protection hidden="1"/>
    </xf>
    <xf numFmtId="0" fontId="122" fillId="11" borderId="21" xfId="0" applyFont="1" applyFill="1" applyBorder="1" applyAlignment="1" applyProtection="1">
      <alignment horizontal="center" vertical="center" wrapText="1"/>
      <protection hidden="1"/>
    </xf>
    <xf numFmtId="0" fontId="122" fillId="11" borderId="31" xfId="0" applyFont="1" applyFill="1" applyBorder="1" applyAlignment="1" applyProtection="1">
      <alignment horizontal="center" vertical="center" wrapText="1"/>
      <protection hidden="1"/>
    </xf>
    <xf numFmtId="0" fontId="122" fillId="11" borderId="146" xfId="0" applyFont="1" applyFill="1" applyBorder="1" applyAlignment="1" applyProtection="1">
      <alignment horizontal="center" vertical="center" wrapText="1"/>
      <protection hidden="1"/>
    </xf>
    <xf numFmtId="173" fontId="122" fillId="11" borderId="0" xfId="0" applyNumberFormat="1" applyFont="1" applyFill="1" applyBorder="1" applyAlignment="1" applyProtection="1">
      <alignment horizontal="center" vertical="center" wrapText="1"/>
      <protection hidden="1"/>
    </xf>
    <xf numFmtId="173" fontId="122" fillId="11" borderId="15" xfId="0" applyNumberFormat="1" applyFont="1" applyFill="1" applyBorder="1" applyAlignment="1" applyProtection="1">
      <alignment horizontal="center" vertical="center" wrapText="1"/>
      <protection hidden="1"/>
    </xf>
    <xf numFmtId="0" fontId="79" fillId="15" borderId="25" xfId="0" applyFont="1" applyFill="1" applyBorder="1" applyAlignment="1" applyProtection="1">
      <alignment horizontal="center" vertical="center"/>
      <protection locked="0"/>
    </xf>
    <xf numFmtId="0" fontId="79" fillId="15" borderId="26" xfId="0" applyFont="1" applyFill="1" applyBorder="1" applyAlignment="1" applyProtection="1">
      <alignment horizontal="center" vertical="center"/>
      <protection locked="0"/>
    </xf>
    <xf numFmtId="0" fontId="79" fillId="15" borderId="27" xfId="0" applyFont="1" applyFill="1" applyBorder="1" applyAlignment="1" applyProtection="1">
      <alignment horizontal="center" vertical="center"/>
      <protection locked="0"/>
    </xf>
    <xf numFmtId="0" fontId="120" fillId="12" borderId="10" xfId="0" applyFont="1" applyFill="1" applyBorder="1" applyAlignment="1">
      <alignment horizontal="center" vertical="center" wrapText="1"/>
    </xf>
    <xf numFmtId="0" fontId="120" fillId="12" borderId="23" xfId="0" applyFont="1" applyFill="1" applyBorder="1" applyAlignment="1">
      <alignment horizontal="center" vertical="center" wrapText="1"/>
    </xf>
    <xf numFmtId="0" fontId="120" fillId="12" borderId="24" xfId="0" applyFont="1" applyFill="1" applyBorder="1" applyAlignment="1">
      <alignment horizontal="center" vertical="center" wrapText="1"/>
    </xf>
    <xf numFmtId="0" fontId="104" fillId="11" borderId="0" xfId="0" applyFont="1" applyFill="1" applyBorder="1" applyAlignment="1">
      <alignment horizontal="center" wrapText="1"/>
    </xf>
    <xf numFmtId="0" fontId="104" fillId="11" borderId="86" xfId="0" applyFont="1" applyFill="1" applyBorder="1" applyAlignment="1">
      <alignment horizontal="center" wrapText="1"/>
    </xf>
    <xf numFmtId="169" fontId="176" fillId="0" borderId="1" xfId="0" applyNumberFormat="1" applyFont="1" applyFill="1" applyBorder="1" applyAlignment="1">
      <alignment horizontal="center"/>
    </xf>
    <xf numFmtId="0" fontId="108" fillId="2" borderId="10" xfId="0" applyFont="1" applyFill="1" applyBorder="1" applyAlignment="1" applyProtection="1">
      <alignment horizontal="center" vertical="center"/>
      <protection hidden="1"/>
    </xf>
    <xf numFmtId="0" fontId="108" fillId="2" borderId="23" xfId="0" applyFont="1" applyFill="1" applyBorder="1" applyAlignment="1" applyProtection="1">
      <alignment horizontal="center" vertical="center"/>
      <protection hidden="1"/>
    </xf>
    <xf numFmtId="0" fontId="108" fillId="2" borderId="24" xfId="0" applyFont="1" applyFill="1" applyBorder="1" applyAlignment="1" applyProtection="1">
      <alignment horizontal="center" vertical="center"/>
      <protection hidden="1"/>
    </xf>
    <xf numFmtId="0" fontId="129" fillId="12" borderId="10" xfId="0" applyFont="1" applyFill="1" applyBorder="1" applyAlignment="1" applyProtection="1">
      <alignment horizontal="center" vertical="center"/>
      <protection hidden="1"/>
    </xf>
    <xf numFmtId="0" fontId="129" fillId="12" borderId="24" xfId="0" applyFont="1" applyFill="1" applyBorder="1" applyAlignment="1" applyProtection="1">
      <alignment horizontal="center" vertical="center"/>
      <protection hidden="1"/>
    </xf>
    <xf numFmtId="0" fontId="108" fillId="6" borderId="10" xfId="0" applyFont="1" applyFill="1" applyBorder="1" applyAlignment="1">
      <alignment horizontal="center" vertical="center"/>
    </xf>
    <xf numFmtId="0" fontId="108" fillId="6" borderId="23" xfId="0" applyFont="1" applyFill="1" applyBorder="1" applyAlignment="1">
      <alignment horizontal="center" vertical="center"/>
    </xf>
    <xf numFmtId="0" fontId="108" fillId="6" borderId="24" xfId="0" applyFont="1" applyFill="1" applyBorder="1" applyAlignment="1">
      <alignment horizontal="center" vertical="center"/>
    </xf>
    <xf numFmtId="0" fontId="132" fillId="13" borderId="0" xfId="0" applyFont="1" applyFill="1" applyAlignment="1">
      <alignment vertical="center"/>
    </xf>
    <xf numFmtId="0" fontId="176" fillId="34" borderId="1" xfId="0" applyFont="1" applyFill="1" applyBorder="1" applyAlignment="1">
      <alignment horizontal="center"/>
    </xf>
    <xf numFmtId="9" fontId="176" fillId="15" borderId="1" xfId="17" applyNumberFormat="1" applyFont="1" applyFill="1" applyBorder="1" applyAlignment="1" applyProtection="1">
      <alignment horizontal="center"/>
      <protection locked="0"/>
    </xf>
    <xf numFmtId="0" fontId="175" fillId="12" borderId="9" xfId="0" applyFont="1" applyFill="1" applyBorder="1" applyAlignment="1">
      <alignment horizontal="center"/>
    </xf>
    <xf numFmtId="0" fontId="175" fillId="12" borderId="20" xfId="0" applyFont="1" applyFill="1" applyBorder="1" applyAlignment="1">
      <alignment horizontal="center"/>
    </xf>
    <xf numFmtId="0" fontId="175" fillId="12" borderId="18" xfId="0" applyFont="1" applyFill="1" applyBorder="1" applyAlignment="1">
      <alignment horizontal="center"/>
    </xf>
    <xf numFmtId="0" fontId="85" fillId="16" borderId="10" xfId="0" applyFont="1" applyFill="1" applyBorder="1" applyAlignment="1" applyProtection="1">
      <alignment horizontal="center"/>
      <protection locked="0"/>
    </xf>
    <xf numFmtId="0" fontId="85" fillId="16" borderId="23" xfId="0" applyFont="1" applyFill="1" applyBorder="1" applyAlignment="1" applyProtection="1">
      <alignment horizontal="center"/>
      <protection locked="0"/>
    </xf>
    <xf numFmtId="0" fontId="85" fillId="16" borderId="24" xfId="0" applyFont="1" applyFill="1" applyBorder="1" applyAlignment="1" applyProtection="1">
      <alignment horizontal="center"/>
      <protection locked="0"/>
    </xf>
    <xf numFmtId="0" fontId="79" fillId="11" borderId="28" xfId="0" applyFont="1" applyFill="1" applyBorder="1" applyAlignment="1">
      <alignment horizontal="center" vertical="center" wrapText="1"/>
    </xf>
    <xf numFmtId="0" fontId="79" fillId="11" borderId="29" xfId="0" applyFont="1" applyFill="1" applyBorder="1" applyAlignment="1">
      <alignment horizontal="center" vertical="center" wrapText="1"/>
    </xf>
    <xf numFmtId="0" fontId="79" fillId="11" borderId="30" xfId="0" applyFont="1" applyFill="1" applyBorder="1" applyAlignment="1">
      <alignment horizontal="center" vertical="center" wrapText="1"/>
    </xf>
    <xf numFmtId="0" fontId="108" fillId="0" borderId="10" xfId="0" applyFont="1" applyBorder="1" applyAlignment="1" applyProtection="1">
      <alignment horizontal="center" vertical="center"/>
      <protection hidden="1"/>
    </xf>
    <xf numFmtId="0" fontId="108" fillId="0" borderId="23" xfId="0" applyFont="1" applyBorder="1" applyAlignment="1" applyProtection="1">
      <alignment horizontal="center" vertical="center"/>
      <protection hidden="1"/>
    </xf>
    <xf numFmtId="0" fontId="108" fillId="0" borderId="24" xfId="0" applyFont="1" applyBorder="1" applyAlignment="1" applyProtection="1">
      <alignment horizontal="center" vertical="center"/>
      <protection hidden="1"/>
    </xf>
    <xf numFmtId="0" fontId="120" fillId="11" borderId="0" xfId="0" applyFont="1" applyFill="1" applyBorder="1" applyAlignment="1">
      <alignment horizontal="center" wrapText="1"/>
    </xf>
    <xf numFmtId="0" fontId="120" fillId="11" borderId="86" xfId="0" applyFont="1" applyFill="1" applyBorder="1" applyAlignment="1">
      <alignment horizontal="center" wrapText="1"/>
    </xf>
    <xf numFmtId="0" fontId="90" fillId="11" borderId="28" xfId="0" applyFont="1" applyFill="1" applyBorder="1" applyAlignment="1">
      <alignment horizontal="center" vertical="center" wrapText="1"/>
    </xf>
    <xf numFmtId="0" fontId="90" fillId="11" borderId="29" xfId="0" applyFont="1" applyFill="1" applyBorder="1" applyAlignment="1">
      <alignment horizontal="center" vertical="center" wrapText="1"/>
    </xf>
    <xf numFmtId="0" fontId="90" fillId="11" borderId="30" xfId="0" applyFont="1" applyFill="1" applyBorder="1" applyAlignment="1">
      <alignment horizontal="center" vertical="center" wrapText="1"/>
    </xf>
    <xf numFmtId="0" fontId="84" fillId="15" borderId="25" xfId="0" applyFont="1" applyFill="1" applyBorder="1" applyAlignment="1" applyProtection="1">
      <alignment horizontal="center" vertical="center"/>
      <protection locked="0"/>
    </xf>
    <xf numFmtId="0" fontId="84" fillId="15" borderId="26" xfId="0" applyFont="1" applyFill="1" applyBorder="1" applyAlignment="1" applyProtection="1">
      <alignment horizontal="center" vertical="center"/>
      <protection locked="0"/>
    </xf>
    <xf numFmtId="0" fontId="84" fillId="15" borderId="27" xfId="0" applyFont="1" applyFill="1" applyBorder="1" applyAlignment="1" applyProtection="1">
      <alignment horizontal="center" vertical="center"/>
      <protection locked="0"/>
    </xf>
    <xf numFmtId="0" fontId="129" fillId="12" borderId="23" xfId="0" applyFont="1" applyFill="1" applyBorder="1" applyAlignment="1" applyProtection="1">
      <alignment horizontal="center" vertical="center"/>
      <protection hidden="1"/>
    </xf>
    <xf numFmtId="0" fontId="127" fillId="7" borderId="10" xfId="0" applyFont="1" applyFill="1" applyBorder="1" applyAlignment="1" applyProtection="1">
      <alignment horizontal="center" vertical="center" wrapText="1"/>
      <protection hidden="1"/>
    </xf>
    <xf numFmtId="0" fontId="127" fillId="7" borderId="23" xfId="0" applyFont="1" applyFill="1" applyBorder="1" applyAlignment="1" applyProtection="1">
      <alignment horizontal="center" vertical="center" wrapText="1"/>
      <protection hidden="1"/>
    </xf>
    <xf numFmtId="0" fontId="127" fillId="7" borderId="24" xfId="0" applyFont="1" applyFill="1" applyBorder="1" applyAlignment="1" applyProtection="1">
      <alignment horizontal="center" vertical="center" wrapText="1"/>
      <protection hidden="1"/>
    </xf>
    <xf numFmtId="17" fontId="108" fillId="0" borderId="10" xfId="0" applyNumberFormat="1" applyFont="1" applyBorder="1" applyAlignment="1" applyProtection="1">
      <alignment horizontal="center" vertical="center"/>
      <protection hidden="1"/>
    </xf>
    <xf numFmtId="1" fontId="78" fillId="6" borderId="10" xfId="0" applyNumberFormat="1" applyFont="1" applyFill="1" applyBorder="1" applyAlignment="1">
      <alignment horizontal="center" vertical="center"/>
    </xf>
    <xf numFmtId="1" fontId="78" fillId="6" borderId="24" xfId="0" applyNumberFormat="1" applyFont="1" applyFill="1" applyBorder="1" applyAlignment="1">
      <alignment horizontal="center" vertical="center"/>
    </xf>
    <xf numFmtId="0" fontId="78" fillId="16" borderId="0" xfId="0" applyFont="1" applyFill="1" applyAlignment="1">
      <alignment vertical="center"/>
    </xf>
    <xf numFmtId="0" fontId="108" fillId="6" borderId="10" xfId="0" applyFont="1" applyFill="1" applyBorder="1" applyAlignment="1">
      <alignment horizontal="center"/>
    </xf>
    <xf numFmtId="0" fontId="108" fillId="6" borderId="24" xfId="0" applyFont="1" applyFill="1" applyBorder="1" applyAlignment="1">
      <alignment horizontal="center"/>
    </xf>
    <xf numFmtId="190" fontId="79" fillId="11" borderId="10" xfId="0" applyNumberFormat="1" applyFont="1" applyFill="1" applyBorder="1" applyAlignment="1">
      <alignment horizontal="center" vertical="center"/>
    </xf>
    <xf numFmtId="190" fontId="79" fillId="11" borderId="24" xfId="0" applyNumberFormat="1" applyFont="1" applyFill="1" applyBorder="1" applyAlignment="1">
      <alignment horizontal="center" vertical="center"/>
    </xf>
    <xf numFmtId="0" fontId="132" fillId="13" borderId="0" xfId="0" applyFont="1" applyFill="1" applyAlignment="1" applyProtection="1">
      <alignment vertical="center"/>
    </xf>
    <xf numFmtId="0" fontId="132" fillId="12" borderId="0" xfId="0" applyFont="1" applyFill="1" applyAlignment="1">
      <alignment vertical="center"/>
    </xf>
    <xf numFmtId="0" fontId="75" fillId="11" borderId="0" xfId="0" applyFont="1" applyFill="1" applyAlignment="1">
      <alignment horizontal="center"/>
    </xf>
    <xf numFmtId="0" fontId="108" fillId="17" borderId="66" xfId="0" applyFont="1" applyFill="1" applyBorder="1" applyAlignment="1">
      <alignment horizontal="center" vertical="center" wrapText="1"/>
    </xf>
    <xf numFmtId="0" fontId="108" fillId="17" borderId="67" xfId="0" applyFont="1" applyFill="1" applyBorder="1" applyAlignment="1">
      <alignment horizontal="center" vertical="center" wrapText="1"/>
    </xf>
    <xf numFmtId="0" fontId="108" fillId="17" borderId="68" xfId="0" applyFont="1" applyFill="1" applyBorder="1" applyAlignment="1">
      <alignment horizontal="center" vertical="center" wrapText="1"/>
    </xf>
    <xf numFmtId="0" fontId="209" fillId="13" borderId="66" xfId="0" applyFont="1" applyFill="1" applyBorder="1" applyAlignment="1">
      <alignment horizontal="center" vertical="center"/>
    </xf>
    <xf numFmtId="0" fontId="209" fillId="13" borderId="67" xfId="0" applyFont="1" applyFill="1" applyBorder="1" applyAlignment="1">
      <alignment horizontal="center" vertical="center"/>
    </xf>
    <xf numFmtId="0" fontId="209" fillId="13" borderId="68" xfId="0" applyFont="1" applyFill="1" applyBorder="1" applyAlignment="1">
      <alignment horizontal="center" vertical="center"/>
    </xf>
    <xf numFmtId="0" fontId="171" fillId="19" borderId="66" xfId="0" applyFont="1" applyFill="1" applyBorder="1" applyAlignment="1">
      <alignment horizontal="center" vertical="center"/>
    </xf>
    <xf numFmtId="0" fontId="171" fillId="19" borderId="67" xfId="0" applyFont="1" applyFill="1" applyBorder="1" applyAlignment="1">
      <alignment horizontal="center" vertical="center"/>
    </xf>
    <xf numFmtId="0" fontId="171" fillId="19" borderId="68" xfId="0" applyFont="1" applyFill="1" applyBorder="1" applyAlignment="1">
      <alignment horizontal="center" vertical="center"/>
    </xf>
    <xf numFmtId="0" fontId="171" fillId="11" borderId="0" xfId="0" applyFont="1" applyFill="1" applyAlignment="1">
      <alignment horizontal="left" vertical="center" wrapText="1"/>
    </xf>
    <xf numFmtId="0" fontId="91" fillId="11" borderId="0" xfId="0" applyFont="1" applyFill="1" applyAlignment="1">
      <alignment horizontal="left" vertical="center" wrapText="1"/>
    </xf>
    <xf numFmtId="0" fontId="108" fillId="11" borderId="0" xfId="0" applyFont="1" applyFill="1" applyAlignment="1">
      <alignment horizontal="center"/>
    </xf>
    <xf numFmtId="0" fontId="171" fillId="30" borderId="10" xfId="0" applyFont="1" applyFill="1" applyBorder="1" applyAlignment="1">
      <alignment horizontal="center" vertical="center"/>
    </xf>
    <xf numFmtId="0" fontId="171" fillId="30" borderId="23" xfId="0" applyFont="1" applyFill="1" applyBorder="1" applyAlignment="1">
      <alignment horizontal="center" vertical="center"/>
    </xf>
    <xf numFmtId="0" fontId="171" fillId="30" borderId="24" xfId="0" applyFont="1" applyFill="1" applyBorder="1" applyAlignment="1">
      <alignment horizontal="center" vertical="center"/>
    </xf>
    <xf numFmtId="0" fontId="89" fillId="16" borderId="0" xfId="0" applyFont="1" applyFill="1" applyAlignment="1">
      <alignment vertical="center"/>
    </xf>
    <xf numFmtId="0" fontId="105" fillId="12" borderId="10" xfId="0" applyFont="1" applyFill="1" applyBorder="1" applyAlignment="1">
      <alignment horizontal="center"/>
    </xf>
    <xf numFmtId="0" fontId="105" fillId="12" borderId="23" xfId="0" applyFont="1" applyFill="1" applyBorder="1" applyAlignment="1">
      <alignment horizontal="center"/>
    </xf>
    <xf numFmtId="0" fontId="105" fillId="12" borderId="24" xfId="0" applyFont="1" applyFill="1" applyBorder="1" applyAlignment="1">
      <alignment horizontal="center"/>
    </xf>
    <xf numFmtId="0" fontId="90" fillId="15" borderId="135" xfId="0" applyFont="1" applyFill="1" applyBorder="1" applyAlignment="1" applyProtection="1">
      <alignment horizontal="center" vertical="center"/>
      <protection locked="0"/>
    </xf>
    <xf numFmtId="0" fontId="90" fillId="15" borderId="136" xfId="0" applyFont="1" applyFill="1" applyBorder="1" applyAlignment="1" applyProtection="1">
      <alignment horizontal="center" vertical="center"/>
      <protection locked="0"/>
    </xf>
    <xf numFmtId="0" fontId="90" fillId="15" borderId="137" xfId="0" applyFont="1" applyFill="1" applyBorder="1" applyAlignment="1" applyProtection="1">
      <alignment horizontal="center" vertical="center"/>
      <protection locked="0"/>
    </xf>
    <xf numFmtId="0" fontId="141" fillId="11" borderId="0" xfId="0" applyFont="1" applyFill="1" applyAlignment="1">
      <alignment horizontal="center" vertical="center" wrapText="1"/>
    </xf>
    <xf numFmtId="0" fontId="177" fillId="13" borderId="10" xfId="0" applyFont="1" applyFill="1" applyBorder="1" applyAlignment="1">
      <alignment horizontal="center"/>
    </xf>
    <xf numFmtId="0" fontId="177" fillId="13" borderId="23" xfId="0" applyFont="1" applyFill="1" applyBorder="1" applyAlignment="1">
      <alignment horizontal="center"/>
    </xf>
    <xf numFmtId="0" fontId="177" fillId="13" borderId="24" xfId="0" applyFont="1" applyFill="1" applyBorder="1" applyAlignment="1">
      <alignment horizontal="center"/>
    </xf>
    <xf numFmtId="0" fontId="193" fillId="25" borderId="9" xfId="20" applyFont="1" applyFill="1" applyBorder="1" applyAlignment="1" applyProtection="1">
      <alignment horizontal="center" vertical="center"/>
    </xf>
    <xf numFmtId="0" fontId="193" fillId="25" borderId="18" xfId="20" applyFont="1" applyFill="1" applyBorder="1" applyAlignment="1" applyProtection="1">
      <alignment horizontal="center" vertical="center"/>
    </xf>
    <xf numFmtId="0" fontId="193" fillId="25" borderId="20" xfId="20" applyFont="1" applyFill="1" applyBorder="1" applyAlignment="1" applyProtection="1">
      <alignment horizontal="center" vertical="center"/>
    </xf>
    <xf numFmtId="0" fontId="201" fillId="12" borderId="66" xfId="20" applyFont="1" applyFill="1" applyBorder="1" applyAlignment="1" applyProtection="1">
      <alignment horizontal="center"/>
    </xf>
    <xf numFmtId="0" fontId="201" fillId="12" borderId="68" xfId="20" applyFont="1" applyFill="1" applyBorder="1" applyAlignment="1" applyProtection="1">
      <alignment horizontal="center"/>
    </xf>
    <xf numFmtId="0" fontId="190" fillId="36" borderId="20" xfId="20" applyFont="1" applyFill="1" applyBorder="1" applyAlignment="1" applyProtection="1">
      <alignment horizontal="center" vertical="center"/>
    </xf>
    <xf numFmtId="0" fontId="197" fillId="0" borderId="0" xfId="20" applyFont="1" applyAlignment="1" applyProtection="1">
      <alignment horizontal="center" vertical="center"/>
    </xf>
    <xf numFmtId="0" fontId="190" fillId="36" borderId="9" xfId="20" applyFont="1" applyFill="1" applyBorder="1" applyAlignment="1" applyProtection="1">
      <alignment horizontal="center" vertical="center"/>
    </xf>
    <xf numFmtId="0" fontId="190" fillId="36" borderId="18" xfId="20" applyFont="1" applyFill="1" applyBorder="1" applyAlignment="1" applyProtection="1">
      <alignment horizontal="center" vertical="center"/>
    </xf>
    <xf numFmtId="0" fontId="190" fillId="36" borderId="126" xfId="20" applyFont="1" applyFill="1" applyBorder="1" applyAlignment="1" applyProtection="1">
      <alignment horizontal="center" vertical="center"/>
    </xf>
    <xf numFmtId="0" fontId="187" fillId="36" borderId="0" xfId="20" applyFont="1" applyFill="1" applyAlignment="1" applyProtection="1">
      <alignment horizontal="center"/>
    </xf>
    <xf numFmtId="0" fontId="190" fillId="36" borderId="0" xfId="20" applyFont="1" applyFill="1" applyAlignment="1" applyProtection="1">
      <alignment horizontal="center" vertical="center"/>
    </xf>
    <xf numFmtId="0" fontId="194" fillId="15" borderId="90" xfId="20" applyFont="1" applyFill="1" applyBorder="1" applyAlignment="1" applyProtection="1">
      <alignment horizontal="left" vertical="center"/>
      <protection locked="0"/>
    </xf>
    <xf numFmtId="0" fontId="196" fillId="16" borderId="0" xfId="20" applyFont="1" applyFill="1" applyAlignment="1" applyProtection="1">
      <alignment horizontal="center"/>
    </xf>
    <xf numFmtId="49" fontId="195" fillId="15" borderId="90" xfId="20" applyNumberFormat="1" applyFont="1" applyFill="1" applyBorder="1" applyAlignment="1" applyProtection="1">
      <alignment horizontal="center"/>
      <protection locked="0"/>
    </xf>
    <xf numFmtId="0" fontId="190" fillId="37" borderId="0" xfId="20" applyFont="1" applyFill="1" applyAlignment="1" applyProtection="1">
      <alignment horizontal="left" vertical="center" wrapText="1"/>
    </xf>
    <xf numFmtId="0" fontId="190" fillId="37" borderId="0" xfId="20" applyFont="1" applyFill="1" applyAlignment="1" applyProtection="1">
      <alignment horizontal="left" vertical="center"/>
    </xf>
    <xf numFmtId="0" fontId="190" fillId="36" borderId="0" xfId="20" applyFont="1" applyFill="1" applyAlignment="1" applyProtection="1">
      <alignment horizontal="left" vertical="center"/>
    </xf>
    <xf numFmtId="0" fontId="190" fillId="36" borderId="0" xfId="20" applyFont="1" applyFill="1" applyBorder="1" applyAlignment="1" applyProtection="1">
      <alignment horizontal="center" vertical="center" wrapText="1"/>
    </xf>
    <xf numFmtId="0" fontId="190" fillId="38" borderId="0" xfId="20" applyFont="1" applyFill="1" applyAlignment="1" applyProtection="1">
      <alignment horizontal="center" vertical="center"/>
    </xf>
    <xf numFmtId="0" fontId="188" fillId="15" borderId="90" xfId="20" applyFont="1" applyFill="1" applyBorder="1" applyAlignment="1" applyProtection="1">
      <alignment horizontal="center"/>
      <protection locked="0"/>
    </xf>
    <xf numFmtId="0" fontId="50" fillId="13" borderId="66" xfId="0" applyFont="1" applyFill="1" applyBorder="1" applyAlignment="1">
      <alignment horizontal="center"/>
    </xf>
    <xf numFmtId="0" fontId="50" fillId="13" borderId="67" xfId="0" applyFont="1" applyFill="1" applyBorder="1" applyAlignment="1">
      <alignment horizontal="center"/>
    </xf>
    <xf numFmtId="0" fontId="50" fillId="13" borderId="59" xfId="0" applyFont="1" applyFill="1" applyBorder="1" applyAlignment="1">
      <alignment horizontal="center"/>
    </xf>
    <xf numFmtId="0" fontId="50" fillId="13" borderId="60" xfId="0" applyFont="1" applyFill="1" applyBorder="1" applyAlignment="1">
      <alignment horizontal="center"/>
    </xf>
    <xf numFmtId="0" fontId="11" fillId="0" borderId="66" xfId="0" applyFont="1" applyFill="1" applyBorder="1" applyAlignment="1">
      <alignment horizontal="center"/>
    </xf>
    <xf numFmtId="0" fontId="11" fillId="0" borderId="67" xfId="0" applyFont="1" applyFill="1" applyBorder="1" applyAlignment="1">
      <alignment horizontal="center"/>
    </xf>
    <xf numFmtId="0" fontId="11" fillId="0" borderId="68" xfId="0" applyFont="1" applyFill="1" applyBorder="1" applyAlignment="1">
      <alignment horizontal="center"/>
    </xf>
    <xf numFmtId="0" fontId="39" fillId="13" borderId="66" xfId="0" applyFont="1" applyFill="1" applyBorder="1" applyAlignment="1">
      <alignment horizontal="center"/>
    </xf>
    <xf numFmtId="0" fontId="39" fillId="13" borderId="68" xfId="0" applyFont="1" applyFill="1" applyBorder="1" applyAlignment="1">
      <alignment horizontal="center"/>
    </xf>
    <xf numFmtId="0" fontId="24" fillId="0" borderId="0" xfId="0" applyFont="1" applyFill="1" applyBorder="1" applyAlignment="1">
      <alignment horizontal="center"/>
    </xf>
    <xf numFmtId="0" fontId="39" fillId="12" borderId="147" xfId="0" applyFont="1" applyFill="1" applyBorder="1" applyAlignment="1">
      <alignment horizontal="center" vertical="center"/>
    </xf>
    <xf numFmtId="0" fontId="39" fillId="12" borderId="5" xfId="0" applyFont="1" applyFill="1" applyBorder="1" applyAlignment="1">
      <alignment horizontal="center" vertical="center"/>
    </xf>
    <xf numFmtId="0" fontId="39" fillId="12" borderId="154" xfId="0" applyFont="1" applyFill="1" applyBorder="1" applyAlignment="1">
      <alignment horizontal="center"/>
    </xf>
    <xf numFmtId="0" fontId="39" fillId="12" borderId="155" xfId="0" applyFont="1" applyFill="1" applyBorder="1" applyAlignment="1">
      <alignment horizontal="center"/>
    </xf>
    <xf numFmtId="0" fontId="50" fillId="13" borderId="10" xfId="0" applyFont="1" applyFill="1" applyBorder="1" applyAlignment="1">
      <alignment horizontal="center"/>
    </xf>
    <xf numFmtId="0" fontId="50" fillId="13" borderId="23" xfId="0" applyFont="1" applyFill="1" applyBorder="1" applyAlignment="1">
      <alignment horizontal="center"/>
    </xf>
    <xf numFmtId="0" fontId="50" fillId="13" borderId="24" xfId="0" applyFont="1" applyFill="1" applyBorder="1" applyAlignment="1">
      <alignment horizontal="center"/>
    </xf>
    <xf numFmtId="0" fontId="50" fillId="13" borderId="10" xfId="0" applyFont="1" applyFill="1" applyBorder="1" applyAlignment="1">
      <alignment horizontal="center" vertical="center"/>
    </xf>
    <xf numFmtId="0" fontId="50" fillId="13" borderId="23" xfId="0" applyFont="1" applyFill="1" applyBorder="1" applyAlignment="1">
      <alignment horizontal="center" vertical="center"/>
    </xf>
    <xf numFmtId="0" fontId="50" fillId="13" borderId="24" xfId="0" applyFont="1" applyFill="1" applyBorder="1" applyAlignment="1">
      <alignment horizontal="center" vertical="center"/>
    </xf>
    <xf numFmtId="0" fontId="50" fillId="13" borderId="68" xfId="0" applyFont="1" applyFill="1" applyBorder="1" applyAlignment="1">
      <alignment horizontal="center"/>
    </xf>
    <xf numFmtId="0" fontId="50" fillId="13" borderId="63" xfId="0" applyFont="1" applyFill="1" applyBorder="1" applyAlignment="1">
      <alignment horizontal="center"/>
    </xf>
    <xf numFmtId="0" fontId="50" fillId="13" borderId="64" xfId="0" applyFont="1" applyFill="1" applyBorder="1" applyAlignment="1">
      <alignment horizontal="center"/>
    </xf>
    <xf numFmtId="0" fontId="0" fillId="0" borderId="64" xfId="0" applyBorder="1" applyAlignment="1"/>
    <xf numFmtId="0" fontId="24" fillId="28" borderId="1" xfId="0" applyFont="1" applyFill="1" applyBorder="1" applyAlignment="1">
      <alignment horizontal="center"/>
    </xf>
    <xf numFmtId="0" fontId="39" fillId="13" borderId="31" xfId="0" applyFont="1" applyFill="1" applyBorder="1" applyAlignment="1">
      <alignment horizontal="center"/>
    </xf>
    <xf numFmtId="0" fontId="39" fillId="29" borderId="61" xfId="0" applyFont="1" applyFill="1" applyBorder="1" applyAlignment="1">
      <alignment horizontal="center"/>
    </xf>
    <xf numFmtId="0" fontId="39" fillId="29" borderId="0" xfId="0" applyFont="1" applyFill="1" applyAlignment="1">
      <alignment horizontal="center"/>
    </xf>
    <xf numFmtId="0" fontId="24" fillId="21" borderId="90" xfId="0" applyFont="1" applyFill="1" applyBorder="1" applyAlignment="1">
      <alignment horizontal="center"/>
    </xf>
    <xf numFmtId="0" fontId="156" fillId="12" borderId="9" xfId="0" applyFont="1" applyFill="1" applyBorder="1" applyAlignment="1">
      <alignment horizontal="center"/>
    </xf>
    <xf numFmtId="0" fontId="156" fillId="12" borderId="20" xfId="0" applyFont="1" applyFill="1" applyBorder="1" applyAlignment="1">
      <alignment horizontal="center"/>
    </xf>
    <xf numFmtId="0" fontId="156" fillId="12" borderId="18" xfId="0" applyFont="1" applyFill="1" applyBorder="1" applyAlignment="1">
      <alignment horizontal="center"/>
    </xf>
    <xf numFmtId="0" fontId="58" fillId="11" borderId="0" xfId="0" applyFont="1" applyFill="1" applyBorder="1" applyAlignment="1" applyProtection="1">
      <alignment horizontal="center"/>
      <protection hidden="1"/>
    </xf>
    <xf numFmtId="0" fontId="43" fillId="11" borderId="0" xfId="0" applyFont="1" applyFill="1" applyBorder="1" applyAlignment="1" applyProtection="1">
      <alignment wrapText="1"/>
      <protection hidden="1"/>
    </xf>
    <xf numFmtId="0" fontId="40" fillId="11" borderId="0" xfId="0" applyFont="1" applyFill="1" applyBorder="1" applyAlignment="1" applyProtection="1">
      <alignment horizontal="center"/>
      <protection hidden="1"/>
    </xf>
    <xf numFmtId="0" fontId="40" fillId="11" borderId="0" xfId="0" applyFont="1" applyFill="1" applyBorder="1" applyProtection="1">
      <protection hidden="1"/>
    </xf>
    <xf numFmtId="0" fontId="69" fillId="0" borderId="0" xfId="0" applyFont="1" applyAlignment="1">
      <alignment horizontal="center" vertical="center" wrapText="1"/>
    </xf>
    <xf numFmtId="0" fontId="0" fillId="0" borderId="0" xfId="0" applyAlignment="1" applyProtection="1">
      <alignment horizontal="center"/>
      <protection hidden="1"/>
    </xf>
    <xf numFmtId="0" fontId="28" fillId="10" borderId="103" xfId="0" applyFont="1" applyFill="1" applyBorder="1" applyAlignment="1" applyProtection="1">
      <alignment horizontal="center"/>
      <protection hidden="1"/>
    </xf>
    <xf numFmtId="0" fontId="28" fillId="10" borderId="104" xfId="0" applyFont="1" applyFill="1" applyBorder="1" applyAlignment="1" applyProtection="1">
      <alignment horizontal="center"/>
      <protection hidden="1"/>
    </xf>
    <xf numFmtId="0" fontId="28" fillId="10" borderId="105" xfId="0" applyFont="1" applyFill="1" applyBorder="1" applyAlignment="1" applyProtection="1">
      <alignment horizontal="center"/>
      <protection hidden="1"/>
    </xf>
    <xf numFmtId="0" fontId="28" fillId="10" borderId="106" xfId="0" applyFont="1" applyFill="1" applyBorder="1" applyAlignment="1" applyProtection="1">
      <alignment horizontal="center"/>
      <protection hidden="1"/>
    </xf>
    <xf numFmtId="0" fontId="28" fillId="10" borderId="107" xfId="0" applyFont="1" applyFill="1" applyBorder="1" applyAlignment="1" applyProtection="1">
      <alignment horizontal="center"/>
      <protection hidden="1"/>
    </xf>
    <xf numFmtId="0" fontId="84" fillId="11" borderId="0" xfId="13" applyFont="1" applyFill="1" applyAlignment="1">
      <alignment horizontal="left" vertical="center" wrapText="1" indent="12"/>
    </xf>
    <xf numFmtId="0" fontId="89" fillId="11" borderId="0" xfId="13" applyFont="1" applyFill="1" applyAlignment="1">
      <alignment horizontal="left" vertical="center" wrapText="1"/>
    </xf>
    <xf numFmtId="0" fontId="84" fillId="11" borderId="0" xfId="13" applyFont="1" applyFill="1" applyAlignment="1">
      <alignment horizontal="left" vertical="center" wrapText="1"/>
    </xf>
    <xf numFmtId="0" fontId="83" fillId="11" borderId="0" xfId="13" applyFont="1" applyFill="1" applyAlignment="1">
      <alignment horizontal="left" wrapText="1"/>
    </xf>
    <xf numFmtId="0" fontId="104" fillId="12" borderId="110" xfId="13" applyFont="1" applyFill="1" applyBorder="1" applyAlignment="1">
      <alignment horizontal="center" vertical="center" wrapText="1"/>
    </xf>
    <xf numFmtId="0" fontId="104" fillId="12" borderId="96" xfId="13" applyFont="1" applyFill="1" applyBorder="1" applyAlignment="1">
      <alignment horizontal="center" vertical="center" wrapText="1"/>
    </xf>
    <xf numFmtId="0" fontId="104" fillId="12" borderId="117" xfId="13" applyFont="1" applyFill="1" applyBorder="1" applyAlignment="1">
      <alignment horizontal="center" vertical="center" wrapText="1"/>
    </xf>
    <xf numFmtId="0" fontId="104" fillId="12" borderId="118" xfId="13" applyFont="1" applyFill="1" applyBorder="1" applyAlignment="1">
      <alignment horizontal="center" vertical="center" wrapText="1"/>
    </xf>
    <xf numFmtId="0" fontId="85" fillId="11" borderId="73" xfId="13" applyFont="1" applyFill="1" applyBorder="1" applyAlignment="1">
      <alignment horizontal="center" vertical="center" wrapText="1"/>
    </xf>
    <xf numFmtId="0" fontId="85" fillId="11" borderId="74" xfId="13" applyFont="1" applyFill="1" applyBorder="1" applyAlignment="1">
      <alignment horizontal="center" vertical="center" wrapText="1"/>
    </xf>
    <xf numFmtId="0" fontId="85" fillId="11" borderId="81" xfId="13" applyFont="1" applyFill="1" applyBorder="1" applyAlignment="1">
      <alignment horizontal="center" vertical="center" wrapText="1"/>
    </xf>
    <xf numFmtId="0" fontId="84" fillId="11" borderId="0" xfId="13" applyFont="1" applyFill="1" applyAlignment="1">
      <alignment vertical="center" wrapText="1"/>
    </xf>
    <xf numFmtId="183" fontId="85" fillId="11" borderId="77" xfId="13" applyNumberFormat="1" applyFont="1" applyFill="1" applyBorder="1" applyAlignment="1">
      <alignment horizontal="center" vertical="center"/>
    </xf>
    <xf numFmtId="0" fontId="120" fillId="12" borderId="102" xfId="13" applyFont="1" applyFill="1" applyBorder="1" applyAlignment="1">
      <alignment horizontal="center" vertical="center" wrapText="1"/>
    </xf>
    <xf numFmtId="0" fontId="120" fillId="12" borderId="87" xfId="13" applyFont="1" applyFill="1" applyBorder="1" applyAlignment="1">
      <alignment horizontal="center" vertical="center" wrapText="1"/>
    </xf>
    <xf numFmtId="0" fontId="84" fillId="22" borderId="0" xfId="13" applyFont="1" applyFill="1" applyBorder="1" applyAlignment="1">
      <alignment horizontal="left" vertical="center" wrapText="1" indent="12"/>
    </xf>
    <xf numFmtId="0" fontId="89" fillId="22" borderId="0" xfId="13" applyFont="1" applyFill="1" applyBorder="1" applyAlignment="1">
      <alignment horizontal="left" vertical="center" wrapText="1"/>
    </xf>
    <xf numFmtId="0" fontId="84" fillId="22" borderId="0" xfId="13" applyFont="1" applyFill="1" applyBorder="1" applyAlignment="1">
      <alignment horizontal="left" vertical="center" wrapText="1"/>
    </xf>
    <xf numFmtId="0" fontId="83" fillId="22" borderId="0" xfId="13" applyFont="1" applyFill="1" applyBorder="1" applyAlignment="1">
      <alignment horizontal="left" wrapText="1"/>
    </xf>
    <xf numFmtId="0" fontId="76" fillId="11" borderId="0" xfId="13" applyFont="1" applyFill="1"/>
    <xf numFmtId="0" fontId="82" fillId="11" borderId="0" xfId="13" applyFont="1" applyFill="1" applyAlignment="1">
      <alignment horizontal="left" wrapText="1"/>
    </xf>
    <xf numFmtId="0" fontId="84" fillId="22" borderId="0" xfId="13" applyFont="1" applyFill="1" applyBorder="1" applyAlignment="1">
      <alignment vertical="center" wrapText="1"/>
    </xf>
    <xf numFmtId="0" fontId="85" fillId="6" borderId="81" xfId="13" applyFont="1" applyFill="1" applyBorder="1" applyAlignment="1">
      <alignment horizontal="center" vertical="center"/>
    </xf>
    <xf numFmtId="0" fontId="85" fillId="11" borderId="102" xfId="13" applyFont="1" applyFill="1" applyBorder="1" applyAlignment="1">
      <alignment horizontal="center" vertical="center" wrapText="1"/>
    </xf>
    <xf numFmtId="0" fontId="120" fillId="12" borderId="116" xfId="13" applyFont="1" applyFill="1" applyBorder="1" applyAlignment="1">
      <alignment horizontal="center" vertical="center" wrapText="1"/>
    </xf>
    <xf numFmtId="0" fontId="120" fillId="12" borderId="82" xfId="13" applyFont="1" applyFill="1" applyBorder="1" applyAlignment="1">
      <alignment horizontal="center" vertical="center" wrapText="1"/>
    </xf>
    <xf numFmtId="175" fontId="84" fillId="17" borderId="0" xfId="12" applyNumberFormat="1" applyFont="1" applyFill="1" applyBorder="1" applyAlignment="1">
      <alignment horizontal="center" vertical="center" wrapText="1"/>
    </xf>
    <xf numFmtId="175" fontId="84" fillId="17" borderId="138" xfId="12" applyNumberFormat="1" applyFont="1" applyFill="1" applyBorder="1" applyAlignment="1">
      <alignment horizontal="center" vertical="center" wrapText="1"/>
    </xf>
    <xf numFmtId="175" fontId="84" fillId="17" borderId="139" xfId="12" applyNumberFormat="1" applyFont="1" applyFill="1" applyBorder="1" applyAlignment="1">
      <alignment horizontal="center" vertical="center" wrapText="1"/>
    </xf>
    <xf numFmtId="175" fontId="84" fillId="17" borderId="140" xfId="12" applyNumberFormat="1" applyFont="1" applyFill="1" applyBorder="1" applyAlignment="1">
      <alignment horizontal="center" vertical="center" wrapText="1"/>
    </xf>
    <xf numFmtId="0" fontId="83" fillId="11" borderId="0" xfId="13" applyFont="1" applyFill="1" applyAlignment="1">
      <alignment horizontal="left" vertical="center" wrapText="1"/>
    </xf>
    <xf numFmtId="0" fontId="104" fillId="12" borderId="97" xfId="13" applyFont="1" applyFill="1" applyBorder="1" applyAlignment="1">
      <alignment horizontal="center" vertical="center" wrapText="1"/>
    </xf>
    <xf numFmtId="0" fontId="85" fillId="0" borderId="73" xfId="13" applyFont="1" applyFill="1" applyBorder="1" applyAlignment="1">
      <alignment horizontal="center" vertical="center" wrapText="1"/>
    </xf>
    <xf numFmtId="0" fontId="85" fillId="0" borderId="74" xfId="13" applyFont="1" applyFill="1" applyBorder="1" applyAlignment="1">
      <alignment horizontal="center" vertical="center" wrapText="1"/>
    </xf>
    <xf numFmtId="0" fontId="85" fillId="0" borderId="0" xfId="13" applyFont="1" applyFill="1" applyBorder="1" applyAlignment="1">
      <alignment horizontal="left" vertical="center" wrapText="1"/>
    </xf>
    <xf numFmtId="0" fontId="85" fillId="0" borderId="0" xfId="13" applyFont="1" applyFill="1" applyBorder="1" applyAlignment="1">
      <alignment horizontal="center" vertical="center" wrapText="1"/>
    </xf>
    <xf numFmtId="185" fontId="78" fillId="0" borderId="82" xfId="13" applyNumberFormat="1" applyFont="1" applyBorder="1" applyAlignment="1">
      <alignment horizontal="center" vertical="center" wrapText="1"/>
    </xf>
    <xf numFmtId="185" fontId="78" fillId="0" borderId="83" xfId="13" applyNumberFormat="1" applyFont="1" applyBorder="1" applyAlignment="1">
      <alignment horizontal="center" vertical="center" wrapText="1"/>
    </xf>
    <xf numFmtId="0" fontId="84" fillId="11" borderId="74" xfId="13" applyFont="1" applyFill="1" applyBorder="1" applyAlignment="1">
      <alignment horizontal="left" vertical="center" wrapText="1"/>
    </xf>
    <xf numFmtId="0" fontId="84" fillId="11" borderId="0" xfId="13" applyFont="1" applyFill="1" applyBorder="1" applyAlignment="1">
      <alignment horizontal="left" vertical="center" wrapText="1"/>
    </xf>
    <xf numFmtId="3" fontId="89" fillId="16" borderId="0" xfId="13" applyNumberFormat="1" applyFont="1" applyFill="1" applyBorder="1" applyAlignment="1">
      <alignment horizontal="center" vertical="center"/>
    </xf>
    <xf numFmtId="3" fontId="100" fillId="11" borderId="0" xfId="13" applyNumberFormat="1" applyFont="1" applyFill="1" applyBorder="1" applyAlignment="1">
      <alignment horizontal="center"/>
    </xf>
    <xf numFmtId="175" fontId="100" fillId="6" borderId="0" xfId="12" applyNumberFormat="1" applyFont="1" applyFill="1" applyBorder="1" applyAlignment="1">
      <alignment horizontal="center" vertical="center" wrapText="1"/>
    </xf>
    <xf numFmtId="185" fontId="85" fillId="0" borderId="74" xfId="13" applyNumberFormat="1" applyFont="1" applyFill="1" applyBorder="1" applyAlignment="1">
      <alignment horizontal="center" vertical="center" wrapText="1"/>
    </xf>
    <xf numFmtId="185" fontId="85" fillId="0" borderId="75" xfId="13" applyNumberFormat="1" applyFont="1" applyFill="1" applyBorder="1" applyAlignment="1">
      <alignment horizontal="center" vertical="center" wrapText="1"/>
    </xf>
    <xf numFmtId="0" fontId="85" fillId="0" borderId="73" xfId="13" applyFont="1" applyFill="1" applyBorder="1" applyAlignment="1">
      <alignment horizontal="left" vertical="center" wrapText="1"/>
    </xf>
    <xf numFmtId="0" fontId="85" fillId="0" borderId="74" xfId="13" applyFont="1" applyFill="1" applyBorder="1" applyAlignment="1">
      <alignment horizontal="left" vertical="center" wrapText="1"/>
    </xf>
    <xf numFmtId="185" fontId="85" fillId="0" borderId="0" xfId="13" applyNumberFormat="1" applyFont="1" applyFill="1" applyBorder="1" applyAlignment="1">
      <alignment horizontal="center" vertical="center" wrapText="1"/>
    </xf>
    <xf numFmtId="0" fontId="84" fillId="11" borderId="71" xfId="13" applyFont="1" applyFill="1" applyBorder="1" applyAlignment="1">
      <alignment horizontal="left" vertical="center" wrapText="1"/>
    </xf>
    <xf numFmtId="0" fontId="84" fillId="11" borderId="72" xfId="13" applyFont="1" applyFill="1" applyBorder="1" applyAlignment="1">
      <alignment horizontal="left" vertical="center" wrapText="1"/>
    </xf>
    <xf numFmtId="0" fontId="85" fillId="11" borderId="0" xfId="13" applyFont="1" applyFill="1" applyBorder="1" applyAlignment="1">
      <alignment horizontal="center" vertical="top" wrapText="1"/>
    </xf>
    <xf numFmtId="9" fontId="119" fillId="6" borderId="0" xfId="17" applyFont="1" applyFill="1" applyBorder="1" applyAlignment="1">
      <alignment horizontal="center" vertical="center" wrapText="1"/>
    </xf>
    <xf numFmtId="0" fontId="120" fillId="12" borderId="0" xfId="13" applyFont="1" applyFill="1" applyBorder="1" applyAlignment="1">
      <alignment horizontal="center" vertical="center" wrapText="1"/>
    </xf>
    <xf numFmtId="0" fontId="120" fillId="12" borderId="115" xfId="13" applyFont="1" applyFill="1" applyBorder="1" applyAlignment="1">
      <alignment horizontal="center" vertical="center" wrapText="1"/>
    </xf>
    <xf numFmtId="0" fontId="84" fillId="0" borderId="0" xfId="13" applyFont="1" applyFill="1" applyBorder="1" applyAlignment="1">
      <alignment horizontal="left" vertical="center" wrapText="1"/>
    </xf>
    <xf numFmtId="0" fontId="83" fillId="11" borderId="91" xfId="13" applyFont="1" applyFill="1" applyBorder="1" applyAlignment="1">
      <alignment horizontal="left" vertical="center" wrapText="1"/>
    </xf>
    <xf numFmtId="0" fontId="83" fillId="11" borderId="77" xfId="13" applyFont="1" applyFill="1" applyBorder="1" applyAlignment="1">
      <alignment horizontal="left" vertical="center" wrapText="1"/>
    </xf>
    <xf numFmtId="9" fontId="119" fillId="6" borderId="114" xfId="17" applyFont="1" applyFill="1" applyBorder="1" applyAlignment="1">
      <alignment horizontal="center" vertical="center" wrapText="1"/>
    </xf>
    <xf numFmtId="0" fontId="98" fillId="12" borderId="90" xfId="13" applyFont="1" applyFill="1" applyBorder="1" applyAlignment="1">
      <alignment horizontal="center" vertical="center"/>
    </xf>
    <xf numFmtId="0" fontId="78" fillId="11" borderId="0" xfId="13" applyFont="1" applyFill="1" applyBorder="1" applyAlignment="1">
      <alignment horizontal="center" vertical="top" wrapText="1"/>
    </xf>
    <xf numFmtId="0" fontId="84" fillId="6" borderId="102" xfId="13" applyFont="1" applyFill="1" applyBorder="1" applyAlignment="1">
      <alignment horizontal="center"/>
    </xf>
    <xf numFmtId="0" fontId="84" fillId="6" borderId="81" xfId="13" applyFont="1" applyFill="1" applyBorder="1" applyAlignment="1">
      <alignment horizontal="center"/>
    </xf>
    <xf numFmtId="0" fontId="84" fillId="6" borderId="87" xfId="13" applyFont="1" applyFill="1" applyBorder="1" applyAlignment="1">
      <alignment horizontal="center"/>
    </xf>
    <xf numFmtId="0" fontId="90" fillId="6" borderId="71" xfId="13" applyFont="1" applyFill="1" applyBorder="1" applyAlignment="1">
      <alignment horizontal="center" vertical="center"/>
    </xf>
    <xf numFmtId="0" fontId="90" fillId="6" borderId="72" xfId="13" applyFont="1" applyFill="1" applyBorder="1" applyAlignment="1">
      <alignment horizontal="center" vertical="center"/>
    </xf>
    <xf numFmtId="0" fontId="90" fillId="6" borderId="109" xfId="13" applyFont="1" applyFill="1" applyBorder="1" applyAlignment="1">
      <alignment horizontal="center" vertical="center"/>
    </xf>
    <xf numFmtId="0" fontId="90" fillId="17" borderId="109" xfId="13" applyFont="1" applyFill="1" applyBorder="1" applyAlignment="1">
      <alignment horizontal="center" vertical="center"/>
    </xf>
    <xf numFmtId="0" fontId="90" fillId="17" borderId="72" xfId="13" applyFont="1" applyFill="1" applyBorder="1" applyAlignment="1">
      <alignment horizontal="center" vertical="center"/>
    </xf>
    <xf numFmtId="0" fontId="33" fillId="0" borderId="71" xfId="0" applyFont="1" applyBorder="1" applyAlignment="1">
      <alignment horizontal="center" vertical="top" wrapText="1"/>
    </xf>
    <xf numFmtId="0" fontId="33" fillId="0" borderId="72" xfId="0" applyFont="1" applyBorder="1" applyAlignment="1">
      <alignment horizontal="center" vertical="top" wrapText="1"/>
    </xf>
    <xf numFmtId="0" fontId="0" fillId="0" borderId="71" xfId="0" applyBorder="1" applyAlignment="1">
      <alignment horizontal="center" vertical="top" wrapText="1"/>
    </xf>
    <xf numFmtId="0" fontId="0" fillId="0" borderId="72" xfId="0" applyBorder="1" applyAlignment="1">
      <alignment horizontal="center" vertical="top" wrapText="1"/>
    </xf>
    <xf numFmtId="0" fontId="90" fillId="6" borderId="73" xfId="13" applyFont="1" applyFill="1" applyBorder="1" applyAlignment="1">
      <alignment horizontal="center" vertical="center"/>
    </xf>
    <xf numFmtId="0" fontId="90" fillId="6" borderId="75" xfId="13" applyFont="1" applyFill="1" applyBorder="1" applyAlignment="1">
      <alignment horizontal="center" vertical="center"/>
    </xf>
    <xf numFmtId="0" fontId="90" fillId="17" borderId="108" xfId="13" applyFont="1" applyFill="1" applyBorder="1" applyAlignment="1">
      <alignment horizontal="center" vertical="center"/>
    </xf>
    <xf numFmtId="0" fontId="90" fillId="17" borderId="75" xfId="13" applyFont="1" applyFill="1" applyBorder="1" applyAlignment="1">
      <alignment horizontal="center" vertical="center"/>
    </xf>
    <xf numFmtId="0" fontId="83" fillId="11" borderId="91" xfId="13" applyFont="1" applyFill="1" applyBorder="1" applyAlignment="1">
      <alignment horizontal="left" wrapText="1"/>
    </xf>
    <xf numFmtId="0" fontId="83" fillId="11" borderId="77" xfId="13" applyFont="1" applyFill="1" applyBorder="1" applyAlignment="1">
      <alignment horizontal="left" wrapText="1"/>
    </xf>
    <xf numFmtId="0" fontId="95" fillId="12" borderId="90" xfId="22" applyFont="1" applyFill="1" applyBorder="1" applyAlignment="1">
      <alignment horizontal="center" vertical="center"/>
    </xf>
    <xf numFmtId="0" fontId="84" fillId="11" borderId="0" xfId="22" applyFont="1" applyFill="1" applyBorder="1" applyAlignment="1">
      <alignment horizontal="left" vertical="center" wrapText="1"/>
    </xf>
    <xf numFmtId="0" fontId="84" fillId="11" borderId="71" xfId="22" applyFont="1" applyFill="1" applyBorder="1" applyAlignment="1">
      <alignment horizontal="left" vertical="top" wrapText="1"/>
    </xf>
    <xf numFmtId="0" fontId="84" fillId="11" borderId="0" xfId="22" applyFont="1" applyFill="1" applyBorder="1" applyAlignment="1">
      <alignment horizontal="left" vertical="top" wrapText="1"/>
    </xf>
    <xf numFmtId="0" fontId="84" fillId="11" borderId="72" xfId="22" applyFont="1" applyFill="1" applyBorder="1" applyAlignment="1">
      <alignment horizontal="left" vertical="top" wrapText="1"/>
    </xf>
    <xf numFmtId="0" fontId="84" fillId="11" borderId="0" xfId="13" applyFont="1" applyFill="1" applyAlignment="1">
      <alignment horizontal="left" vertical="top" wrapText="1"/>
    </xf>
    <xf numFmtId="0" fontId="95" fillId="11" borderId="73" xfId="13" applyFont="1" applyFill="1" applyBorder="1" applyAlignment="1">
      <alignment horizontal="left" wrapText="1"/>
    </xf>
    <xf numFmtId="0" fontId="95" fillId="11" borderId="74" xfId="13" applyFont="1" applyFill="1" applyBorder="1" applyAlignment="1">
      <alignment horizontal="left" wrapText="1"/>
    </xf>
    <xf numFmtId="3" fontId="95" fillId="12" borderId="90" xfId="13" applyNumberFormat="1" applyFont="1" applyFill="1" applyBorder="1" applyAlignment="1">
      <alignment horizontal="center"/>
    </xf>
    <xf numFmtId="0" fontId="212" fillId="11" borderId="71" xfId="22" applyFont="1" applyFill="1" applyBorder="1" applyAlignment="1">
      <alignment horizontal="left" vertical="top" wrapText="1"/>
    </xf>
    <xf numFmtId="0" fontId="212" fillId="11" borderId="0" xfId="22" applyFont="1" applyFill="1" applyBorder="1" applyAlignment="1">
      <alignment horizontal="left" vertical="top" wrapText="1"/>
    </xf>
    <xf numFmtId="0" fontId="212" fillId="11" borderId="72" xfId="22" applyFont="1" applyFill="1" applyBorder="1" applyAlignment="1">
      <alignment horizontal="left" vertical="top" wrapText="1"/>
    </xf>
    <xf numFmtId="0" fontId="79" fillId="11" borderId="71" xfId="22" applyFont="1" applyFill="1" applyBorder="1" applyAlignment="1">
      <alignment horizontal="left" vertical="top" wrapText="1"/>
    </xf>
    <xf numFmtId="0" fontId="79" fillId="11" borderId="0" xfId="22" applyFont="1" applyFill="1" applyBorder="1" applyAlignment="1">
      <alignment horizontal="left" vertical="top" wrapText="1"/>
    </xf>
    <xf numFmtId="0" fontId="79" fillId="11" borderId="72" xfId="22" applyFont="1" applyFill="1" applyBorder="1" applyAlignment="1">
      <alignment horizontal="left" vertical="top" wrapText="1"/>
    </xf>
    <xf numFmtId="0" fontId="83" fillId="11" borderId="91" xfId="22" applyFont="1" applyFill="1" applyBorder="1" applyAlignment="1">
      <alignment horizontal="left" vertical="center" wrapText="1"/>
    </xf>
    <xf numFmtId="0" fontId="83" fillId="11" borderId="77" xfId="22" applyFont="1" applyFill="1" applyBorder="1" applyAlignment="1">
      <alignment horizontal="left" vertical="center" wrapText="1"/>
    </xf>
    <xf numFmtId="0" fontId="83" fillId="11" borderId="76" xfId="22" applyFont="1" applyFill="1" applyBorder="1" applyAlignment="1">
      <alignment horizontal="left" vertical="center" wrapText="1"/>
    </xf>
    <xf numFmtId="0" fontId="84" fillId="11" borderId="71" xfId="13" applyFont="1" applyFill="1" applyBorder="1" applyAlignment="1">
      <alignment horizontal="left" vertical="top" wrapText="1"/>
    </xf>
    <xf numFmtId="0" fontId="84" fillId="11" borderId="0" xfId="13" applyFont="1" applyFill="1" applyBorder="1" applyAlignment="1">
      <alignment horizontal="left" vertical="top" wrapText="1"/>
    </xf>
    <xf numFmtId="0" fontId="84" fillId="11" borderId="72" xfId="13" applyFont="1" applyFill="1" applyBorder="1" applyAlignment="1">
      <alignment horizontal="left" vertical="top" wrapText="1"/>
    </xf>
    <xf numFmtId="0" fontId="83" fillId="0" borderId="91" xfId="22" applyFont="1" applyFill="1" applyBorder="1" applyAlignment="1">
      <alignment horizontal="left" vertical="center" wrapText="1"/>
    </xf>
    <xf numFmtId="0" fontId="83" fillId="0" borderId="77" xfId="22" applyFont="1" applyFill="1" applyBorder="1" applyAlignment="1">
      <alignment horizontal="left" vertical="center" wrapText="1"/>
    </xf>
    <xf numFmtId="0" fontId="83" fillId="0" borderId="76" xfId="22" applyFont="1" applyFill="1" applyBorder="1" applyAlignment="1">
      <alignment horizontal="left" vertical="center" wrapText="1"/>
    </xf>
    <xf numFmtId="0" fontId="85" fillId="6" borderId="102" xfId="22" applyFont="1" applyFill="1" applyBorder="1" applyAlignment="1">
      <alignment horizontal="center"/>
    </xf>
    <xf numFmtId="0" fontId="85" fillId="6" borderId="81" xfId="22" applyFont="1" applyFill="1" applyBorder="1" applyAlignment="1">
      <alignment horizontal="center"/>
    </xf>
    <xf numFmtId="0" fontId="85" fillId="6" borderId="87" xfId="22" applyFont="1" applyFill="1" applyBorder="1" applyAlignment="1">
      <alignment horizontal="center"/>
    </xf>
    <xf numFmtId="0" fontId="176" fillId="6" borderId="90" xfId="22" applyFont="1" applyFill="1" applyBorder="1" applyAlignment="1">
      <alignment horizontal="center" vertical="center"/>
    </xf>
    <xf numFmtId="0" fontId="176" fillId="11" borderId="90" xfId="22" applyFont="1" applyFill="1" applyBorder="1" applyAlignment="1">
      <alignment horizontal="center" vertical="center" wrapText="1"/>
    </xf>
    <xf numFmtId="0" fontId="85" fillId="6" borderId="91" xfId="22" applyFont="1" applyFill="1" applyBorder="1" applyAlignment="1">
      <alignment horizontal="center" vertical="center"/>
    </xf>
    <xf numFmtId="0" fontId="85" fillId="6" borderId="76" xfId="22" applyFont="1" applyFill="1" applyBorder="1" applyAlignment="1">
      <alignment horizontal="center" vertical="center"/>
    </xf>
    <xf numFmtId="0" fontId="85" fillId="6" borderId="73" xfId="22" applyFont="1" applyFill="1" applyBorder="1" applyAlignment="1">
      <alignment horizontal="center" vertical="center"/>
    </xf>
    <xf numFmtId="0" fontId="85" fillId="6" borderId="75" xfId="22" applyFont="1" applyFill="1" applyBorder="1" applyAlignment="1">
      <alignment horizontal="center" vertical="center"/>
    </xf>
    <xf numFmtId="179" fontId="85" fillId="17" borderId="92" xfId="22" applyNumberFormat="1" applyFont="1" applyFill="1" applyBorder="1" applyAlignment="1">
      <alignment horizontal="center" vertical="center"/>
    </xf>
    <xf numFmtId="0" fontId="85" fillId="17" borderId="94" xfId="22" applyFont="1" applyFill="1" applyBorder="1" applyAlignment="1">
      <alignment horizontal="center" vertical="center"/>
    </xf>
    <xf numFmtId="192" fontId="85" fillId="17" borderId="102" xfId="18" applyNumberFormat="1" applyFont="1" applyFill="1" applyBorder="1" applyAlignment="1">
      <alignment horizontal="center" vertical="center"/>
    </xf>
    <xf numFmtId="192" fontId="85" fillId="17" borderId="87" xfId="18" applyNumberFormat="1" applyFont="1" applyFill="1" applyBorder="1" applyAlignment="1">
      <alignment horizontal="center" vertical="center"/>
    </xf>
    <xf numFmtId="0" fontId="113" fillId="11" borderId="0" xfId="13" applyFont="1" applyFill="1" applyAlignment="1">
      <alignment horizontal="left" wrapText="1"/>
    </xf>
    <xf numFmtId="0" fontId="83" fillId="11" borderId="0" xfId="13" applyFont="1" applyFill="1" applyBorder="1" applyAlignment="1">
      <alignment horizontal="center" vertical="center" wrapText="1"/>
    </xf>
    <xf numFmtId="0" fontId="212" fillId="11" borderId="71" xfId="22" applyFont="1" applyFill="1" applyBorder="1" applyAlignment="1">
      <alignment horizontal="left" wrapText="1"/>
    </xf>
    <xf numFmtId="0" fontId="212" fillId="11" borderId="0" xfId="22" applyFont="1" applyFill="1" applyBorder="1" applyAlignment="1">
      <alignment horizontal="left" wrapText="1"/>
    </xf>
    <xf numFmtId="0" fontId="212" fillId="11" borderId="72" xfId="22" applyFont="1" applyFill="1" applyBorder="1" applyAlignment="1">
      <alignment horizontal="left" wrapText="1"/>
    </xf>
    <xf numFmtId="0" fontId="84" fillId="17" borderId="90" xfId="22" applyFont="1" applyFill="1" applyBorder="1" applyAlignment="1" applyProtection="1">
      <alignment horizontal="center" vertical="center" wrapText="1"/>
      <protection hidden="1"/>
    </xf>
    <xf numFmtId="0" fontId="33" fillId="0" borderId="71" xfId="0" applyFont="1" applyBorder="1" applyAlignment="1">
      <alignment horizontal="center"/>
    </xf>
    <xf numFmtId="0" fontId="33" fillId="0" borderId="72" xfId="0" applyFont="1" applyBorder="1" applyAlignment="1">
      <alignment horizontal="center"/>
    </xf>
    <xf numFmtId="0" fontId="90" fillId="6" borderId="71" xfId="22" applyFont="1" applyFill="1" applyBorder="1" applyAlignment="1" applyProtection="1">
      <alignment horizontal="center" vertical="center" wrapText="1"/>
      <protection hidden="1"/>
    </xf>
    <xf numFmtId="0" fontId="90" fillId="6" borderId="72" xfId="22" applyFont="1" applyFill="1" applyBorder="1" applyAlignment="1" applyProtection="1">
      <alignment horizontal="center" vertical="center" wrapText="1"/>
      <protection hidden="1"/>
    </xf>
    <xf numFmtId="0" fontId="84" fillId="2" borderId="90" xfId="13" applyFont="1" applyFill="1" applyBorder="1" applyAlignment="1">
      <alignment horizontal="center" vertical="center"/>
    </xf>
    <xf numFmtId="3" fontId="95" fillId="12" borderId="102" xfId="13" applyNumberFormat="1" applyFont="1" applyFill="1" applyBorder="1" applyAlignment="1">
      <alignment horizontal="center"/>
    </xf>
    <xf numFmtId="3" fontId="95" fillId="12" borderId="81" xfId="13" applyNumberFormat="1" applyFont="1" applyFill="1" applyBorder="1" applyAlignment="1">
      <alignment horizontal="center"/>
    </xf>
    <xf numFmtId="3" fontId="95" fillId="12" borderId="87" xfId="13" applyNumberFormat="1" applyFont="1" applyFill="1" applyBorder="1" applyAlignment="1">
      <alignment horizontal="center"/>
    </xf>
    <xf numFmtId="0" fontId="79" fillId="11" borderId="0" xfId="13" applyFont="1" applyFill="1" applyBorder="1" applyAlignment="1">
      <alignment horizontal="left" vertical="center" wrapText="1"/>
    </xf>
    <xf numFmtId="0" fontId="85" fillId="11" borderId="91" xfId="22" applyFont="1" applyFill="1" applyBorder="1" applyAlignment="1">
      <alignment horizontal="center" vertical="center"/>
    </xf>
    <xf numFmtId="0" fontId="85" fillId="11" borderId="76" xfId="22" applyFont="1" applyFill="1" applyBorder="1" applyAlignment="1">
      <alignment horizontal="center" vertical="center"/>
    </xf>
    <xf numFmtId="0" fontId="85" fillId="11" borderId="73" xfId="22" applyFont="1" applyFill="1" applyBorder="1" applyAlignment="1">
      <alignment horizontal="center" vertical="center"/>
    </xf>
    <xf numFmtId="0" fontId="85" fillId="11" borderId="75" xfId="22" applyFont="1" applyFill="1" applyBorder="1" applyAlignment="1">
      <alignment horizontal="center" vertical="center"/>
    </xf>
    <xf numFmtId="204" fontId="85" fillId="17" borderId="92" xfId="22" applyNumberFormat="1" applyFont="1" applyFill="1" applyBorder="1" applyAlignment="1">
      <alignment horizontal="center" vertical="center"/>
    </xf>
    <xf numFmtId="204" fontId="85" fillId="17" borderId="94" xfId="22" applyNumberFormat="1" applyFont="1" applyFill="1" applyBorder="1" applyAlignment="1">
      <alignment horizontal="center" vertical="center"/>
    </xf>
    <xf numFmtId="0" fontId="78" fillId="11" borderId="72" xfId="13" applyFont="1" applyFill="1" applyBorder="1" applyAlignment="1">
      <alignment horizontal="center" vertical="top" wrapText="1"/>
    </xf>
    <xf numFmtId="0" fontId="83" fillId="11" borderId="76" xfId="13" applyFont="1" applyFill="1" applyBorder="1" applyAlignment="1">
      <alignment horizontal="left" vertical="center" wrapText="1"/>
    </xf>
    <xf numFmtId="0" fontId="82" fillId="11" borderId="91" xfId="13" applyFont="1" applyFill="1" applyBorder="1" applyAlignment="1">
      <alignment horizontal="left" wrapText="1"/>
    </xf>
    <xf numFmtId="0" fontId="82" fillId="11" borderId="77" xfId="13" applyFont="1" applyFill="1" applyBorder="1" applyAlignment="1">
      <alignment horizontal="left" wrapText="1"/>
    </xf>
    <xf numFmtId="0" fontId="82" fillId="11" borderId="76" xfId="13" applyFont="1" applyFill="1" applyBorder="1" applyAlignment="1">
      <alignment horizontal="left" wrapText="1"/>
    </xf>
    <xf numFmtId="0" fontId="95" fillId="23" borderId="0" xfId="13" applyFont="1" applyFill="1" applyBorder="1" applyAlignment="1">
      <alignment horizontal="center" vertical="center" wrapText="1"/>
    </xf>
    <xf numFmtId="0" fontId="102" fillId="12" borderId="0" xfId="13" applyFont="1" applyFill="1" applyBorder="1" applyAlignment="1">
      <alignment horizontal="center" vertical="center" wrapText="1"/>
    </xf>
    <xf numFmtId="0" fontId="95" fillId="12" borderId="102" xfId="13" applyFont="1" applyFill="1" applyBorder="1" applyAlignment="1">
      <alignment horizontal="center" vertical="center" wrapText="1"/>
    </xf>
    <xf numFmtId="0" fontId="95" fillId="12" borderId="81" xfId="13" applyFont="1" applyFill="1" applyBorder="1" applyAlignment="1">
      <alignment horizontal="center" vertical="center" wrapText="1"/>
    </xf>
    <xf numFmtId="0" fontId="95" fillId="12" borderId="87" xfId="13" applyFont="1" applyFill="1" applyBorder="1" applyAlignment="1">
      <alignment horizontal="center" vertical="center" wrapText="1"/>
    </xf>
    <xf numFmtId="0" fontId="112" fillId="11" borderId="0" xfId="13" applyFont="1" applyFill="1"/>
    <xf numFmtId="175" fontId="84" fillId="17" borderId="102" xfId="12" quotePrefix="1" applyNumberFormat="1" applyFont="1" applyFill="1" applyBorder="1" applyAlignment="1">
      <alignment horizontal="left" vertical="center" wrapText="1"/>
    </xf>
    <xf numFmtId="175" fontId="84" fillId="17" borderId="81" xfId="12" applyNumberFormat="1" applyFont="1" applyFill="1" applyBorder="1" applyAlignment="1">
      <alignment horizontal="left" vertical="center" wrapText="1"/>
    </xf>
    <xf numFmtId="175" fontId="84" fillId="17" borderId="87" xfId="12" applyNumberFormat="1" applyFont="1" applyFill="1" applyBorder="1" applyAlignment="1">
      <alignment horizontal="left" vertical="center" wrapText="1"/>
    </xf>
    <xf numFmtId="0" fontId="95" fillId="12" borderId="90" xfId="13" applyFont="1" applyFill="1" applyBorder="1" applyAlignment="1">
      <alignment horizontal="center" vertical="center"/>
    </xf>
    <xf numFmtId="0" fontId="83" fillId="11" borderId="0" xfId="22" applyFont="1" applyFill="1" applyBorder="1" applyAlignment="1">
      <alignment horizontal="center" vertical="center" wrapText="1"/>
    </xf>
    <xf numFmtId="3" fontId="95" fillId="12" borderId="90" xfId="22" applyNumberFormat="1" applyFont="1" applyFill="1" applyBorder="1" applyAlignment="1">
      <alignment horizontal="center"/>
    </xf>
    <xf numFmtId="175" fontId="84" fillId="17" borderId="81" xfId="12" quotePrefix="1" applyNumberFormat="1" applyFont="1" applyFill="1" applyBorder="1" applyAlignment="1">
      <alignment horizontal="left" vertical="center" wrapText="1"/>
    </xf>
    <xf numFmtId="175" fontId="84" fillId="17" borderId="87" xfId="12" quotePrefix="1" applyNumberFormat="1" applyFont="1" applyFill="1" applyBorder="1" applyAlignment="1">
      <alignment horizontal="left" vertical="center" wrapText="1"/>
    </xf>
    <xf numFmtId="0" fontId="85" fillId="6" borderId="0" xfId="14" applyFont="1" applyFill="1" applyAlignment="1">
      <alignment horizontal="left" vertical="center"/>
    </xf>
    <xf numFmtId="0" fontId="123" fillId="11" borderId="0" xfId="13" applyFont="1" applyFill="1" applyAlignment="1">
      <alignment horizontal="left" vertical="top" wrapText="1"/>
    </xf>
    <xf numFmtId="0" fontId="95" fillId="12" borderId="0" xfId="13" applyFont="1" applyFill="1" applyBorder="1" applyAlignment="1">
      <alignment horizontal="center"/>
    </xf>
    <xf numFmtId="0" fontId="85" fillId="0" borderId="90" xfId="13" applyFont="1" applyBorder="1" applyAlignment="1">
      <alignment horizontal="center"/>
    </xf>
    <xf numFmtId="0" fontId="85" fillId="6" borderId="102" xfId="22" applyFont="1" applyFill="1" applyBorder="1" applyAlignment="1">
      <alignment horizontal="center" vertical="center"/>
    </xf>
    <xf numFmtId="0" fontId="85" fillId="6" borderId="81" xfId="22" applyFont="1" applyFill="1" applyBorder="1" applyAlignment="1">
      <alignment horizontal="center" vertical="center"/>
    </xf>
    <xf numFmtId="0" fontId="85" fillId="6" borderId="87" xfId="22" applyFont="1" applyFill="1" applyBorder="1" applyAlignment="1">
      <alignment horizontal="center" vertical="center"/>
    </xf>
    <xf numFmtId="0" fontId="78" fillId="11" borderId="0" xfId="13" applyFont="1" applyFill="1" applyBorder="1" applyAlignment="1">
      <alignment horizontal="left" vertical="top" wrapText="1"/>
    </xf>
    <xf numFmtId="0" fontId="95" fillId="12" borderId="0" xfId="13" applyFont="1" applyFill="1" applyBorder="1" applyAlignment="1">
      <alignment horizontal="center" vertical="center" wrapText="1"/>
    </xf>
    <xf numFmtId="0" fontId="94" fillId="11" borderId="0" xfId="13" applyFont="1" applyFill="1" applyBorder="1" applyAlignment="1">
      <alignment horizontal="left" vertical="center" wrapText="1"/>
    </xf>
    <xf numFmtId="0" fontId="77" fillId="11" borderId="0" xfId="13" applyFont="1" applyFill="1" applyAlignment="1">
      <alignment horizontal="left"/>
    </xf>
    <xf numFmtId="0" fontId="79" fillId="6" borderId="0" xfId="14" applyFont="1" applyFill="1" applyAlignment="1">
      <alignment horizontal="left" vertical="center"/>
    </xf>
    <xf numFmtId="0" fontId="88" fillId="11" borderId="0" xfId="19" applyFont="1" applyFill="1" applyBorder="1" applyAlignment="1">
      <alignment horizontal="center" vertical="center" wrapText="1"/>
    </xf>
    <xf numFmtId="194" fontId="79" fillId="6" borderId="0" xfId="14" applyNumberFormat="1" applyFont="1" applyFill="1" applyAlignment="1">
      <alignment horizontal="left" vertical="center"/>
    </xf>
    <xf numFmtId="0" fontId="78" fillId="16" borderId="0" xfId="13" applyFont="1" applyFill="1" applyBorder="1" applyAlignment="1">
      <alignment horizontal="center" vertical="top" wrapText="1"/>
    </xf>
    <xf numFmtId="0" fontId="79" fillId="16" borderId="0" xfId="13" applyFont="1" applyFill="1" applyBorder="1" applyAlignment="1">
      <alignment horizontal="center" vertical="top" wrapText="1"/>
    </xf>
    <xf numFmtId="0" fontId="79" fillId="16" borderId="72" xfId="13" applyFont="1" applyFill="1" applyBorder="1" applyAlignment="1">
      <alignment horizontal="center" vertical="top" wrapText="1"/>
    </xf>
    <xf numFmtId="9" fontId="89" fillId="11" borderId="90" xfId="13" applyNumberFormat="1" applyFont="1" applyFill="1" applyBorder="1" applyAlignment="1">
      <alignment horizontal="center" vertical="center" wrapText="1"/>
    </xf>
    <xf numFmtId="0" fontId="90" fillId="0" borderId="0" xfId="0" applyFont="1" applyBorder="1" applyAlignment="1">
      <alignment horizontal="left" vertical="top" wrapText="1"/>
    </xf>
    <xf numFmtId="9" fontId="84" fillId="16" borderId="91" xfId="13" applyNumberFormat="1" applyFont="1" applyFill="1" applyBorder="1" applyAlignment="1">
      <alignment horizontal="center" vertical="center" wrapText="1"/>
    </xf>
    <xf numFmtId="0" fontId="84" fillId="16" borderId="76" xfId="13" applyFont="1" applyFill="1" applyBorder="1" applyAlignment="1">
      <alignment horizontal="center" vertical="center" wrapText="1"/>
    </xf>
    <xf numFmtId="0" fontId="84" fillId="16" borderId="73" xfId="13" applyFont="1" applyFill="1" applyBorder="1" applyAlignment="1">
      <alignment horizontal="center" vertical="center" wrapText="1"/>
    </xf>
    <xf numFmtId="0" fontId="84" fillId="16" borderId="75" xfId="13" applyFont="1" applyFill="1" applyBorder="1" applyAlignment="1">
      <alignment horizontal="center" vertical="center" wrapText="1"/>
    </xf>
    <xf numFmtId="0" fontId="84" fillId="11" borderId="61" xfId="13" applyFont="1" applyFill="1" applyBorder="1" applyAlignment="1">
      <alignment horizontal="center" vertical="center" wrapText="1"/>
    </xf>
    <xf numFmtId="0" fontId="84" fillId="11" borderId="0" xfId="13" applyFont="1" applyFill="1" applyBorder="1" applyAlignment="1">
      <alignment horizontal="center" vertical="center" wrapText="1"/>
    </xf>
    <xf numFmtId="0" fontId="87" fillId="16" borderId="66" xfId="13" applyFont="1" applyFill="1" applyBorder="1" applyAlignment="1">
      <alignment horizontal="right" vertical="center" wrapText="1"/>
    </xf>
    <xf numFmtId="0" fontId="87" fillId="16" borderId="67" xfId="13" applyFont="1" applyFill="1" applyBorder="1" applyAlignment="1">
      <alignment horizontal="right" vertical="center" wrapText="1"/>
    </xf>
    <xf numFmtId="0" fontId="84" fillId="11" borderId="71" xfId="13" applyFont="1" applyFill="1" applyBorder="1" applyAlignment="1">
      <alignment horizontal="center" vertical="center" wrapText="1"/>
    </xf>
    <xf numFmtId="0" fontId="84" fillId="11" borderId="62" xfId="13" applyFont="1" applyFill="1" applyBorder="1" applyAlignment="1">
      <alignment horizontal="center" vertical="center" wrapText="1"/>
    </xf>
    <xf numFmtId="0" fontId="114" fillId="12" borderId="102" xfId="13" applyFont="1" applyFill="1" applyBorder="1" applyAlignment="1">
      <alignment horizontal="center" vertical="center" wrapText="1"/>
    </xf>
    <xf numFmtId="0" fontId="114" fillId="12" borderId="81" xfId="13" applyFont="1" applyFill="1" applyBorder="1" applyAlignment="1">
      <alignment horizontal="center" vertical="center"/>
    </xf>
    <xf numFmtId="0" fontId="114" fillId="12" borderId="87" xfId="13" applyFont="1" applyFill="1" applyBorder="1" applyAlignment="1">
      <alignment horizontal="center" vertical="center"/>
    </xf>
    <xf numFmtId="0" fontId="84" fillId="16" borderId="0" xfId="0" applyFont="1" applyFill="1" applyBorder="1" applyAlignment="1">
      <alignment horizontal="center" vertical="center" wrapText="1"/>
    </xf>
    <xf numFmtId="0" fontId="87" fillId="11" borderId="0" xfId="13" applyFont="1" applyFill="1" applyBorder="1" applyAlignment="1">
      <alignment horizontal="center" wrapText="1"/>
    </xf>
    <xf numFmtId="0" fontId="84" fillId="16" borderId="0" xfId="0" applyFont="1" applyFill="1" applyBorder="1" applyAlignment="1">
      <alignment horizontal="left" vertical="center" wrapText="1"/>
    </xf>
    <xf numFmtId="1" fontId="79" fillId="6" borderId="0" xfId="14" applyNumberFormat="1" applyFont="1" applyFill="1" applyAlignment="1">
      <alignment horizontal="left" vertical="center"/>
    </xf>
    <xf numFmtId="0" fontId="184" fillId="16" borderId="0" xfId="22" applyFont="1" applyFill="1" applyAlignment="1">
      <alignment horizontal="left" vertical="top" wrapText="1"/>
    </xf>
    <xf numFmtId="0" fontId="113" fillId="11" borderId="0" xfId="13" applyFont="1" applyFill="1" applyAlignment="1">
      <alignment horizontal="left" vertical="top" wrapText="1"/>
    </xf>
    <xf numFmtId="0" fontId="83" fillId="11" borderId="77" xfId="13" applyFont="1" applyFill="1" applyBorder="1" applyAlignment="1">
      <alignment horizontal="center" vertical="center" wrapText="1"/>
    </xf>
    <xf numFmtId="0" fontId="95" fillId="23" borderId="0" xfId="22" applyFont="1" applyFill="1" applyBorder="1" applyAlignment="1">
      <alignment horizontal="center" vertical="center" wrapText="1"/>
    </xf>
    <xf numFmtId="0" fontId="84" fillId="11" borderId="91" xfId="22" applyFont="1" applyFill="1" applyBorder="1" applyAlignment="1">
      <alignment horizontal="left" vertical="center" wrapText="1"/>
    </xf>
    <xf numFmtId="0" fontId="84" fillId="11" borderId="77" xfId="22" applyFont="1" applyFill="1" applyBorder="1" applyAlignment="1">
      <alignment horizontal="left" vertical="center" wrapText="1"/>
    </xf>
    <xf numFmtId="0" fontId="84" fillId="11" borderId="76" xfId="22" applyFont="1" applyFill="1" applyBorder="1" applyAlignment="1">
      <alignment horizontal="left" vertical="center" wrapText="1"/>
    </xf>
    <xf numFmtId="3" fontId="95" fillId="12" borderId="102" xfId="22" applyNumberFormat="1" applyFont="1" applyFill="1" applyBorder="1" applyAlignment="1">
      <alignment horizontal="center"/>
    </xf>
    <xf numFmtId="3" fontId="95" fillId="12" borderId="81" xfId="22" applyNumberFormat="1" applyFont="1" applyFill="1" applyBorder="1" applyAlignment="1">
      <alignment horizontal="center"/>
    </xf>
    <xf numFmtId="3" fontId="95" fillId="12" borderId="87" xfId="22" applyNumberFormat="1" applyFont="1" applyFill="1" applyBorder="1" applyAlignment="1">
      <alignment horizontal="center"/>
    </xf>
    <xf numFmtId="0" fontId="84" fillId="11" borderId="0" xfId="22" applyFont="1" applyFill="1" applyAlignment="1">
      <alignment horizontal="left" vertical="center" wrapText="1"/>
    </xf>
    <xf numFmtId="0" fontId="84" fillId="11" borderId="0" xfId="13" applyFont="1" applyFill="1" applyAlignment="1">
      <alignment horizontal="left" vertical="center" wrapText="1" indent="6"/>
    </xf>
    <xf numFmtId="0" fontId="104" fillId="12" borderId="111" xfId="13" applyFont="1" applyFill="1" applyBorder="1" applyAlignment="1">
      <alignment horizontal="center" vertical="center" wrapText="1"/>
    </xf>
    <xf numFmtId="0" fontId="104" fillId="12" borderId="112" xfId="13" applyFont="1" applyFill="1" applyBorder="1" applyAlignment="1">
      <alignment horizontal="center" vertical="center" wrapText="1"/>
    </xf>
    <xf numFmtId="0" fontId="104" fillId="12" borderId="113" xfId="13" applyFont="1" applyFill="1" applyBorder="1" applyAlignment="1">
      <alignment horizontal="center" vertical="center" wrapText="1"/>
    </xf>
    <xf numFmtId="0" fontId="104" fillId="12" borderId="114" xfId="13" applyFont="1" applyFill="1" applyBorder="1" applyAlignment="1">
      <alignment horizontal="center" vertical="center" wrapText="1"/>
    </xf>
    <xf numFmtId="0" fontId="95" fillId="12" borderId="0" xfId="22" applyFont="1" applyFill="1" applyAlignment="1">
      <alignment horizontal="center"/>
    </xf>
    <xf numFmtId="0" fontId="95" fillId="12" borderId="0" xfId="13" applyFont="1" applyFill="1" applyAlignment="1">
      <alignment horizontal="center"/>
    </xf>
    <xf numFmtId="0" fontId="85" fillId="0" borderId="81" xfId="13" applyFont="1" applyFill="1" applyBorder="1" applyAlignment="1">
      <alignment horizontal="center" vertical="center" wrapText="1"/>
    </xf>
    <xf numFmtId="185" fontId="85" fillId="0" borderId="81" xfId="13" applyNumberFormat="1" applyFont="1" applyFill="1" applyBorder="1" applyAlignment="1">
      <alignment horizontal="center" vertical="center" wrapText="1"/>
    </xf>
    <xf numFmtId="0" fontId="85" fillId="0" borderId="102" xfId="13" applyFont="1" applyFill="1" applyBorder="1" applyAlignment="1">
      <alignment horizontal="left" vertical="center" wrapText="1"/>
    </xf>
    <xf numFmtId="0" fontId="85" fillId="0" borderId="81" xfId="13" applyFont="1" applyFill="1" applyBorder="1" applyAlignment="1">
      <alignment horizontal="left" vertical="center" wrapText="1"/>
    </xf>
    <xf numFmtId="185" fontId="85" fillId="0" borderId="87" xfId="13" applyNumberFormat="1" applyFont="1" applyFill="1" applyBorder="1" applyAlignment="1">
      <alignment horizontal="center" vertical="center" wrapText="1"/>
    </xf>
    <xf numFmtId="0" fontId="120" fillId="12" borderId="116" xfId="13" applyFont="1" applyFill="1" applyBorder="1" applyAlignment="1">
      <alignment horizontal="center" vertical="center"/>
    </xf>
    <xf numFmtId="0" fontId="120" fillId="12" borderId="82" xfId="13" applyFont="1" applyFill="1" applyBorder="1" applyAlignment="1">
      <alignment horizontal="center" vertical="center"/>
    </xf>
    <xf numFmtId="0" fontId="75" fillId="6" borderId="0" xfId="13" applyFont="1" applyFill="1" applyBorder="1" applyAlignment="1">
      <alignment horizontal="left" vertical="top" wrapText="1"/>
    </xf>
    <xf numFmtId="183" fontId="85" fillId="11" borderId="0" xfId="13" applyNumberFormat="1" applyFont="1" applyFill="1" applyBorder="1" applyAlignment="1">
      <alignment horizontal="right" vertical="center"/>
    </xf>
    <xf numFmtId="175" fontId="100" fillId="6" borderId="141" xfId="12" applyNumberFormat="1" applyFont="1" applyFill="1" applyBorder="1" applyAlignment="1">
      <alignment horizontal="center" vertical="center" wrapText="1"/>
    </xf>
    <xf numFmtId="204" fontId="96" fillId="12" borderId="77" xfId="13" applyNumberFormat="1" applyFont="1" applyFill="1" applyBorder="1" applyAlignment="1">
      <alignment horizontal="center" vertical="center"/>
    </xf>
    <xf numFmtId="204" fontId="96" fillId="12" borderId="74" xfId="13" applyNumberFormat="1" applyFont="1" applyFill="1" applyBorder="1" applyAlignment="1">
      <alignment horizontal="center" vertical="center"/>
    </xf>
    <xf numFmtId="179" fontId="96" fillId="12" borderId="77" xfId="13" applyNumberFormat="1" applyFont="1" applyFill="1" applyBorder="1" applyAlignment="1">
      <alignment horizontal="center" vertical="center"/>
    </xf>
    <xf numFmtId="179" fontId="96" fillId="12" borderId="76" xfId="13" applyNumberFormat="1" applyFont="1" applyFill="1" applyBorder="1" applyAlignment="1">
      <alignment horizontal="center" vertical="center"/>
    </xf>
    <xf numFmtId="179" fontId="96" fillId="12" borderId="0" xfId="13" applyNumberFormat="1" applyFont="1" applyFill="1" applyBorder="1" applyAlignment="1">
      <alignment horizontal="center" vertical="center"/>
    </xf>
    <xf numFmtId="179" fontId="96" fillId="12" borderId="72" xfId="13" applyNumberFormat="1" applyFont="1" applyFill="1" applyBorder="1" applyAlignment="1">
      <alignment horizontal="center" vertical="center"/>
    </xf>
    <xf numFmtId="0" fontId="121" fillId="6" borderId="0" xfId="13" applyFont="1" applyFill="1" applyAlignment="1">
      <alignment horizontal="left" vertical="center" wrapText="1"/>
    </xf>
    <xf numFmtId="0" fontId="95" fillId="29" borderId="0" xfId="0" applyFont="1" applyFill="1" applyAlignment="1">
      <alignment horizontal="center" vertical="center" wrapText="1"/>
    </xf>
    <xf numFmtId="0" fontId="129" fillId="29" borderId="102" xfId="13" applyFont="1" applyFill="1" applyBorder="1" applyAlignment="1">
      <alignment horizontal="center" vertical="center" wrapText="1"/>
    </xf>
    <xf numFmtId="0" fontId="129" fillId="29" borderId="81" xfId="13" applyFont="1" applyFill="1" applyBorder="1" applyAlignment="1">
      <alignment horizontal="center" vertical="center" wrapText="1"/>
    </xf>
    <xf numFmtId="0" fontId="129" fillId="29" borderId="87" xfId="13" applyFont="1" applyFill="1" applyBorder="1" applyAlignment="1">
      <alignment horizontal="center" vertical="center" wrapText="1"/>
    </xf>
    <xf numFmtId="0" fontId="95" fillId="12" borderId="77" xfId="13" applyFont="1" applyFill="1" applyBorder="1" applyAlignment="1">
      <alignment horizontal="center" vertical="center" wrapText="1"/>
    </xf>
    <xf numFmtId="0" fontId="95" fillId="12" borderId="77" xfId="13" applyFont="1" applyFill="1" applyBorder="1" applyAlignment="1">
      <alignment horizontal="center" vertical="center"/>
    </xf>
    <xf numFmtId="0" fontId="95" fillId="12" borderId="74" xfId="13" applyFont="1" applyFill="1" applyBorder="1" applyAlignment="1">
      <alignment horizontal="center" vertical="center"/>
    </xf>
    <xf numFmtId="197" fontId="79" fillId="11" borderId="81" xfId="13" applyNumberFormat="1" applyFont="1" applyFill="1" applyBorder="1" applyAlignment="1">
      <alignment horizontal="center" vertical="center" wrapText="1"/>
    </xf>
    <xf numFmtId="197" fontId="79" fillId="11" borderId="87" xfId="13" applyNumberFormat="1" applyFont="1" applyFill="1" applyBorder="1" applyAlignment="1">
      <alignment horizontal="center" vertical="center" wrapText="1"/>
    </xf>
    <xf numFmtId="0" fontId="79" fillId="11" borderId="81" xfId="13" applyFont="1" applyFill="1" applyBorder="1" applyAlignment="1">
      <alignment horizontal="center" vertical="center" wrapText="1"/>
    </xf>
    <xf numFmtId="0" fontId="79" fillId="11" borderId="102" xfId="13" applyFont="1" applyFill="1" applyBorder="1" applyAlignment="1">
      <alignment horizontal="center" vertical="center" wrapText="1"/>
    </xf>
    <xf numFmtId="0" fontId="104" fillId="12" borderId="81" xfId="13" applyFont="1" applyFill="1" applyBorder="1" applyAlignment="1">
      <alignment horizontal="center" vertical="center" wrapText="1"/>
    </xf>
    <xf numFmtId="0" fontId="113" fillId="16" borderId="0" xfId="13" applyFont="1" applyFill="1" applyAlignment="1">
      <alignment vertical="center" wrapText="1"/>
    </xf>
    <xf numFmtId="0" fontId="113" fillId="16" borderId="0" xfId="13" applyFont="1" applyFill="1" applyAlignment="1">
      <alignment horizontal="left" vertical="top" wrapText="1"/>
    </xf>
    <xf numFmtId="0" fontId="184" fillId="16" borderId="0" xfId="22" applyFont="1" applyFill="1" applyAlignment="1">
      <alignment horizontal="left" vertical="center" wrapText="1"/>
    </xf>
    <xf numFmtId="0" fontId="113" fillId="16" borderId="0" xfId="13" applyFont="1" applyFill="1" applyAlignment="1">
      <alignment horizontal="left" vertical="center" wrapText="1"/>
    </xf>
    <xf numFmtId="0" fontId="113" fillId="11" borderId="0" xfId="13" applyFont="1" applyFill="1" applyAlignment="1">
      <alignment horizontal="left" vertical="center" wrapText="1"/>
    </xf>
    <xf numFmtId="3" fontId="79" fillId="11" borderId="81" xfId="13" applyNumberFormat="1" applyFont="1" applyFill="1" applyBorder="1" applyAlignment="1">
      <alignment horizontal="center" vertical="center" wrapText="1"/>
    </xf>
    <xf numFmtId="0" fontId="184" fillId="11" borderId="0" xfId="22" applyFont="1" applyFill="1" applyAlignment="1">
      <alignment horizontal="left" vertical="center" wrapText="1"/>
    </xf>
    <xf numFmtId="0" fontId="113" fillId="6" borderId="0" xfId="13" applyFont="1" applyFill="1" applyAlignment="1">
      <alignment vertical="center" wrapText="1"/>
    </xf>
    <xf numFmtId="0" fontId="85" fillId="0" borderId="77" xfId="13" applyFont="1" applyFill="1" applyBorder="1" applyAlignment="1">
      <alignment horizontal="center" vertical="center" wrapText="1"/>
    </xf>
    <xf numFmtId="0" fontId="84" fillId="11" borderId="73" xfId="13" applyFont="1" applyFill="1" applyBorder="1" applyAlignment="1">
      <alignment horizontal="left" vertical="center" wrapText="1"/>
    </xf>
    <xf numFmtId="0" fontId="84" fillId="11" borderId="75" xfId="13" applyFont="1" applyFill="1" applyBorder="1" applyAlignment="1">
      <alignment horizontal="left" vertical="center" wrapText="1"/>
    </xf>
    <xf numFmtId="0" fontId="109" fillId="6" borderId="102" xfId="13" applyFont="1" applyFill="1" applyBorder="1" applyAlignment="1">
      <alignment horizontal="center" vertical="center" wrapText="1"/>
    </xf>
    <xf numFmtId="0" fontId="109" fillId="6" borderId="81" xfId="13" applyFont="1" applyFill="1" applyBorder="1" applyAlignment="1">
      <alignment horizontal="center" vertical="center" wrapText="1"/>
    </xf>
    <xf numFmtId="0" fontId="109" fillId="6" borderId="87" xfId="13" applyFont="1" applyFill="1" applyBorder="1" applyAlignment="1">
      <alignment horizontal="center" vertical="center" wrapText="1"/>
    </xf>
    <xf numFmtId="0" fontId="121" fillId="11" borderId="0" xfId="13" applyFont="1" applyFill="1" applyAlignment="1">
      <alignment horizontal="left" vertical="center" wrapText="1"/>
    </xf>
    <xf numFmtId="0" fontId="91" fillId="11" borderId="0" xfId="13" applyFont="1" applyFill="1" applyBorder="1" applyAlignment="1">
      <alignment horizontal="left" vertical="center" wrapText="1"/>
    </xf>
    <xf numFmtId="0" fontId="85" fillId="6" borderId="0" xfId="13" applyFont="1" applyFill="1" applyAlignment="1">
      <alignment horizontal="left" vertical="center" wrapText="1"/>
    </xf>
    <xf numFmtId="0" fontId="113" fillId="11" borderId="0" xfId="22" applyFont="1" applyFill="1" applyBorder="1" applyAlignment="1">
      <alignment horizontal="left" vertical="top" wrapText="1"/>
    </xf>
    <xf numFmtId="0" fontId="110" fillId="0" borderId="0" xfId="13" applyFont="1" applyAlignment="1">
      <alignment horizontal="center" vertical="center" wrapText="1"/>
    </xf>
    <xf numFmtId="0" fontId="85" fillId="11" borderId="90" xfId="22" applyFont="1" applyFill="1" applyBorder="1" applyAlignment="1">
      <alignment horizontal="center" vertical="center" wrapText="1"/>
    </xf>
    <xf numFmtId="0" fontId="110" fillId="0" borderId="74" xfId="13" applyFont="1" applyBorder="1" applyAlignment="1">
      <alignment horizontal="center" vertical="center" wrapText="1"/>
    </xf>
    <xf numFmtId="0" fontId="103" fillId="12" borderId="90" xfId="13" applyFont="1" applyFill="1" applyBorder="1" applyAlignment="1">
      <alignment horizontal="center" vertical="center" wrapText="1"/>
    </xf>
    <xf numFmtId="0" fontId="103" fillId="12" borderId="102" xfId="13" applyFont="1" applyFill="1" applyBorder="1" applyAlignment="1">
      <alignment horizontal="center" vertical="center" wrapText="1"/>
    </xf>
    <xf numFmtId="0" fontId="85" fillId="0" borderId="102" xfId="22" applyFont="1" applyFill="1" applyBorder="1" applyAlignment="1">
      <alignment horizontal="center" vertical="center" wrapText="1"/>
    </xf>
    <xf numFmtId="0" fontId="0" fillId="0" borderId="81" xfId="0" applyFill="1" applyBorder="1" applyAlignment="1">
      <alignment horizontal="center" vertical="center" wrapText="1"/>
    </xf>
    <xf numFmtId="0" fontId="0" fillId="0" borderId="87" xfId="0" applyFill="1" applyBorder="1" applyAlignment="1">
      <alignment horizontal="center" vertical="center" wrapText="1"/>
    </xf>
    <xf numFmtId="9" fontId="108" fillId="11" borderId="90" xfId="22" applyNumberFormat="1" applyFont="1" applyFill="1" applyBorder="1" applyAlignment="1">
      <alignment horizontal="center" vertical="center" wrapText="1"/>
    </xf>
    <xf numFmtId="0" fontId="103" fillId="12" borderId="97" xfId="13" applyFont="1" applyFill="1" applyBorder="1" applyAlignment="1">
      <alignment horizontal="center" vertical="center" wrapText="1"/>
    </xf>
    <xf numFmtId="6" fontId="85" fillId="11" borderId="90" xfId="22" applyNumberFormat="1" applyFont="1" applyFill="1" applyBorder="1" applyAlignment="1">
      <alignment horizontal="center" vertical="center"/>
    </xf>
    <xf numFmtId="0" fontId="85" fillId="11" borderId="90" xfId="22" applyFont="1" applyFill="1" applyBorder="1" applyAlignment="1">
      <alignment horizontal="center" vertical="center"/>
    </xf>
    <xf numFmtId="0" fontId="85" fillId="11" borderId="87" xfId="13" applyFont="1" applyFill="1" applyBorder="1" applyAlignment="1">
      <alignment horizontal="center" vertical="center" wrapText="1"/>
    </xf>
    <xf numFmtId="6" fontId="85" fillId="11" borderId="102" xfId="13" applyNumberFormat="1" applyFont="1" applyFill="1" applyBorder="1" applyAlignment="1">
      <alignment horizontal="center" vertical="center"/>
    </xf>
    <xf numFmtId="6" fontId="85" fillId="11" borderId="81" xfId="13" applyNumberFormat="1" applyFont="1" applyFill="1" applyBorder="1" applyAlignment="1">
      <alignment horizontal="center" vertical="center"/>
    </xf>
    <xf numFmtId="6" fontId="85" fillId="11" borderId="87" xfId="13" applyNumberFormat="1" applyFont="1" applyFill="1" applyBorder="1" applyAlignment="1">
      <alignment horizontal="center" vertical="center"/>
    </xf>
    <xf numFmtId="6" fontId="85" fillId="11" borderId="90" xfId="13" applyNumberFormat="1" applyFont="1" applyFill="1" applyBorder="1" applyAlignment="1">
      <alignment horizontal="center" vertical="center"/>
    </xf>
    <xf numFmtId="0" fontId="85" fillId="11" borderId="90" xfId="13" applyFont="1" applyFill="1" applyBorder="1" applyAlignment="1">
      <alignment horizontal="center" vertical="center"/>
    </xf>
    <xf numFmtId="0" fontId="84" fillId="0" borderId="71" xfId="13" applyFont="1" applyFill="1" applyBorder="1" applyAlignment="1">
      <alignment horizontal="left" vertical="center" wrapText="1"/>
    </xf>
    <xf numFmtId="0" fontId="78" fillId="16" borderId="0" xfId="13" applyFont="1" applyFill="1" applyBorder="1" applyAlignment="1">
      <alignment horizontal="center" vertical="center" wrapText="1"/>
    </xf>
    <xf numFmtId="0" fontId="103" fillId="12" borderId="81" xfId="13" applyFont="1" applyFill="1" applyBorder="1" applyAlignment="1">
      <alignment horizontal="center" vertical="center" wrapText="1"/>
    </xf>
    <xf numFmtId="0" fontId="103" fillId="12" borderId="87" xfId="13" applyFont="1" applyFill="1" applyBorder="1" applyAlignment="1">
      <alignment horizontal="center" vertical="center" wrapText="1"/>
    </xf>
    <xf numFmtId="0" fontId="95" fillId="12" borderId="0" xfId="0" applyFont="1" applyFill="1" applyBorder="1" applyAlignment="1">
      <alignment horizontal="center" vertical="center" wrapText="1"/>
    </xf>
    <xf numFmtId="0" fontId="95" fillId="12" borderId="72" xfId="0" applyFont="1" applyFill="1" applyBorder="1" applyAlignment="1">
      <alignment horizontal="center" vertical="center" wrapText="1"/>
    </xf>
    <xf numFmtId="175" fontId="84" fillId="17" borderId="73" xfId="12" quotePrefix="1" applyNumberFormat="1" applyFont="1" applyFill="1" applyBorder="1" applyAlignment="1">
      <alignment horizontal="left" vertical="center" wrapText="1"/>
    </xf>
    <xf numFmtId="175" fontId="84" fillId="17" borderId="74" xfId="12" quotePrefix="1" applyNumberFormat="1" applyFont="1" applyFill="1" applyBorder="1" applyAlignment="1">
      <alignment horizontal="left" vertical="center" wrapText="1"/>
    </xf>
    <xf numFmtId="175" fontId="84" fillId="17" borderId="75" xfId="12" quotePrefix="1" applyNumberFormat="1" applyFont="1" applyFill="1" applyBorder="1" applyAlignment="1">
      <alignment horizontal="left" vertical="center" wrapText="1"/>
    </xf>
    <xf numFmtId="0" fontId="95" fillId="12" borderId="81" xfId="13" applyFont="1" applyFill="1" applyBorder="1" applyAlignment="1">
      <alignment horizontal="center" vertical="center"/>
    </xf>
    <xf numFmtId="0" fontId="95" fillId="12" borderId="87" xfId="13" applyFont="1" applyFill="1" applyBorder="1" applyAlignment="1">
      <alignment horizontal="center" vertical="center"/>
    </xf>
    <xf numFmtId="0" fontId="104" fillId="12" borderId="102" xfId="13" applyFont="1" applyFill="1" applyBorder="1" applyAlignment="1">
      <alignment horizontal="center" vertical="center" wrapText="1"/>
    </xf>
    <xf numFmtId="0" fontId="179" fillId="6" borderId="0" xfId="13" applyFont="1" applyFill="1" applyAlignment="1">
      <alignment horizontal="left" vertical="center" wrapText="1"/>
    </xf>
    <xf numFmtId="0" fontId="113" fillId="11" borderId="0" xfId="13" applyFont="1" applyFill="1" applyAlignment="1">
      <alignment vertical="center" wrapText="1"/>
    </xf>
    <xf numFmtId="0" fontId="184" fillId="16" borderId="0" xfId="22" applyFont="1" applyFill="1" applyAlignment="1">
      <alignment vertical="center" wrapText="1"/>
    </xf>
    <xf numFmtId="0" fontId="184" fillId="11" borderId="0" xfId="22" applyFont="1" applyFill="1" applyAlignment="1">
      <alignment horizontal="left" vertical="top" wrapText="1"/>
    </xf>
    <xf numFmtId="0" fontId="113" fillId="0" borderId="0" xfId="13" applyFont="1" applyAlignment="1">
      <alignment horizontal="left" vertical="top" wrapText="1"/>
    </xf>
    <xf numFmtId="0" fontId="184" fillId="11" borderId="0" xfId="22" applyFont="1" applyFill="1" applyAlignment="1">
      <alignment wrapText="1"/>
    </xf>
    <xf numFmtId="0" fontId="95" fillId="29" borderId="74" xfId="0" applyFont="1" applyFill="1" applyBorder="1" applyAlignment="1">
      <alignment horizontal="center" vertical="center" wrapText="1"/>
    </xf>
    <xf numFmtId="204" fontId="96" fillId="12" borderId="0" xfId="13" applyNumberFormat="1" applyFont="1" applyFill="1" applyBorder="1" applyAlignment="1">
      <alignment horizontal="center" vertical="center"/>
    </xf>
    <xf numFmtId="179" fontId="96" fillId="12" borderId="77" xfId="13" applyNumberFormat="1" applyFont="1" applyFill="1" applyBorder="1" applyAlignment="1">
      <alignment horizontal="center"/>
    </xf>
    <xf numFmtId="179" fontId="96" fillId="12" borderId="76" xfId="13" applyNumberFormat="1" applyFont="1" applyFill="1" applyBorder="1" applyAlignment="1">
      <alignment horizontal="center"/>
    </xf>
    <xf numFmtId="179" fontId="96" fillId="12" borderId="74" xfId="13" applyNumberFormat="1" applyFont="1" applyFill="1" applyBorder="1" applyAlignment="1">
      <alignment horizontal="center"/>
    </xf>
    <xf numFmtId="179" fontId="96" fillId="12" borderId="75" xfId="13" applyNumberFormat="1" applyFont="1" applyFill="1" applyBorder="1" applyAlignment="1">
      <alignment horizontal="center"/>
    </xf>
    <xf numFmtId="184" fontId="78" fillId="11" borderId="81" xfId="13" applyNumberFormat="1" applyFont="1" applyFill="1" applyBorder="1" applyAlignment="1">
      <alignment horizontal="center" vertical="center" wrapText="1"/>
    </xf>
    <xf numFmtId="184" fontId="78" fillId="11" borderId="87" xfId="13" applyNumberFormat="1" applyFont="1" applyFill="1" applyBorder="1" applyAlignment="1">
      <alignment horizontal="center" vertical="center" wrapText="1"/>
    </xf>
    <xf numFmtId="9" fontId="83" fillId="16" borderId="0" xfId="13" applyNumberFormat="1" applyFont="1" applyFill="1" applyBorder="1" applyAlignment="1">
      <alignment horizontal="center" vertical="center"/>
    </xf>
    <xf numFmtId="9" fontId="83" fillId="16" borderId="72" xfId="13" applyNumberFormat="1" applyFont="1" applyFill="1" applyBorder="1" applyAlignment="1">
      <alignment horizontal="center" vertical="center"/>
    </xf>
    <xf numFmtId="0" fontId="0" fillId="0" borderId="72" xfId="0" applyBorder="1" applyAlignment="1">
      <alignment wrapText="1"/>
    </xf>
    <xf numFmtId="0" fontId="0" fillId="0" borderId="71" xfId="0" applyBorder="1" applyAlignment="1">
      <alignment wrapText="1"/>
    </xf>
    <xf numFmtId="0" fontId="90" fillId="6" borderId="73" xfId="22" applyFont="1" applyFill="1" applyBorder="1" applyAlignment="1" applyProtection="1">
      <alignment horizontal="center" vertical="center" wrapText="1"/>
      <protection hidden="1"/>
    </xf>
    <xf numFmtId="0" fontId="90" fillId="6" borderId="75" xfId="22" applyFont="1" applyFill="1" applyBorder="1" applyAlignment="1" applyProtection="1">
      <alignment horizontal="center" vertical="center" wrapText="1"/>
      <protection hidden="1"/>
    </xf>
    <xf numFmtId="0" fontId="85" fillId="11" borderId="102" xfId="22" applyFont="1" applyFill="1" applyBorder="1" applyAlignment="1">
      <alignment horizontal="center" vertical="center" wrapText="1"/>
    </xf>
    <xf numFmtId="0" fontId="0" fillId="0" borderId="81" xfId="0" applyBorder="1" applyAlignment="1">
      <alignment horizontal="center" vertical="center" wrapText="1"/>
    </xf>
    <xf numFmtId="0" fontId="0" fillId="0" borderId="87" xfId="0" applyBorder="1" applyAlignment="1">
      <alignment horizontal="center" vertical="center" wrapText="1"/>
    </xf>
    <xf numFmtId="3" fontId="95" fillId="12" borderId="102" xfId="13" applyNumberFormat="1" applyFont="1" applyFill="1" applyBorder="1" applyAlignment="1">
      <alignment horizontal="center" vertical="center"/>
    </xf>
    <xf numFmtId="3" fontId="95" fillId="12" borderId="81" xfId="13" applyNumberFormat="1" applyFont="1" applyFill="1" applyBorder="1" applyAlignment="1">
      <alignment horizontal="center" vertical="center"/>
    </xf>
    <xf numFmtId="3" fontId="95" fillId="12" borderId="87" xfId="13" applyNumberFormat="1" applyFont="1" applyFill="1" applyBorder="1" applyAlignment="1">
      <alignment horizontal="center" vertical="center"/>
    </xf>
    <xf numFmtId="204" fontId="96" fillId="12" borderId="81" xfId="13" applyNumberFormat="1" applyFont="1" applyFill="1" applyBorder="1" applyAlignment="1">
      <alignment horizontal="left" vertical="center"/>
    </xf>
    <xf numFmtId="204" fontId="96" fillId="12" borderId="87" xfId="13" applyNumberFormat="1" applyFont="1" applyFill="1" applyBorder="1" applyAlignment="1">
      <alignment horizontal="left" vertical="center"/>
    </xf>
    <xf numFmtId="0" fontId="129" fillId="30" borderId="102" xfId="13" applyFont="1" applyFill="1" applyBorder="1" applyAlignment="1">
      <alignment horizontal="center" vertical="center" wrapText="1"/>
    </xf>
    <xf numFmtId="0" fontId="129" fillId="30" borderId="81" xfId="13" applyFont="1" applyFill="1" applyBorder="1" applyAlignment="1">
      <alignment horizontal="center" vertical="center" wrapText="1"/>
    </xf>
    <xf numFmtId="0" fontId="129" fillId="30" borderId="87" xfId="13" applyFont="1" applyFill="1" applyBorder="1" applyAlignment="1">
      <alignment horizontal="center" vertical="center" wrapText="1"/>
    </xf>
    <xf numFmtId="0" fontId="83" fillId="0" borderId="91" xfId="13" applyFont="1" applyFill="1" applyBorder="1" applyAlignment="1">
      <alignment horizontal="left" vertical="center" wrapText="1"/>
    </xf>
    <xf numFmtId="0" fontId="83" fillId="0" borderId="77" xfId="13" applyFont="1" applyFill="1" applyBorder="1" applyAlignment="1">
      <alignment horizontal="left" vertical="center" wrapText="1"/>
    </xf>
    <xf numFmtId="0" fontId="83" fillId="0" borderId="76" xfId="13" applyFont="1" applyFill="1" applyBorder="1" applyAlignment="1">
      <alignment horizontal="left" vertical="center" wrapText="1"/>
    </xf>
    <xf numFmtId="0" fontId="123" fillId="11" borderId="0" xfId="13" applyFont="1" applyFill="1" applyAlignment="1">
      <alignment horizontal="left" vertical="center" wrapText="1"/>
    </xf>
    <xf numFmtId="0" fontId="111" fillId="11" borderId="0" xfId="13" applyFont="1" applyFill="1" applyBorder="1" applyAlignment="1">
      <alignment horizontal="left" vertical="top" wrapText="1"/>
    </xf>
    <xf numFmtId="0" fontId="98" fillId="12" borderId="0" xfId="13" applyFont="1" applyFill="1" applyAlignment="1">
      <alignment horizontal="center" vertical="center"/>
    </xf>
    <xf numFmtId="0" fontId="98" fillId="12" borderId="115" xfId="13" applyFont="1" applyFill="1" applyBorder="1" applyAlignment="1">
      <alignment horizontal="center" vertical="center"/>
    </xf>
    <xf numFmtId="0" fontId="104" fillId="12" borderId="143" xfId="13" applyFont="1" applyFill="1" applyBorder="1" applyAlignment="1">
      <alignment horizontal="center" vertical="center" wrapText="1"/>
    </xf>
    <xf numFmtId="0" fontId="104" fillId="12" borderId="144" xfId="13" applyFont="1" applyFill="1" applyBorder="1" applyAlignment="1">
      <alignment horizontal="center" vertical="center" wrapText="1"/>
    </xf>
    <xf numFmtId="0" fontId="85" fillId="0" borderId="102" xfId="13" applyFont="1" applyFill="1" applyBorder="1" applyAlignment="1">
      <alignment horizontal="center" vertical="center" wrapText="1"/>
    </xf>
    <xf numFmtId="0" fontId="85" fillId="0" borderId="142" xfId="13" applyFont="1" applyFill="1" applyBorder="1" applyAlignment="1">
      <alignment horizontal="center" vertical="center" wrapText="1"/>
    </xf>
    <xf numFmtId="0" fontId="185" fillId="6" borderId="0" xfId="13" applyFont="1" applyFill="1" applyAlignment="1">
      <alignment horizontal="left" vertical="center" wrapText="1"/>
    </xf>
    <xf numFmtId="0" fontId="81" fillId="11" borderId="0" xfId="13" applyFont="1" applyFill="1" applyAlignment="1">
      <alignment horizontal="left" wrapText="1"/>
    </xf>
    <xf numFmtId="3" fontId="89" fillId="16" borderId="0" xfId="13" applyNumberFormat="1" applyFont="1" applyFill="1" applyBorder="1" applyAlignment="1">
      <alignment horizontal="center"/>
    </xf>
    <xf numFmtId="0" fontId="95" fillId="29" borderId="102" xfId="0" applyFont="1" applyFill="1" applyBorder="1" applyAlignment="1">
      <alignment horizontal="center" vertical="center" wrapText="1"/>
    </xf>
    <xf numFmtId="0" fontId="95" fillId="29" borderId="81" xfId="0" applyFont="1" applyFill="1" applyBorder="1" applyAlignment="1">
      <alignment horizontal="center" vertical="center" wrapText="1"/>
    </xf>
    <xf numFmtId="0" fontId="95" fillId="29" borderId="87" xfId="0" applyFont="1" applyFill="1" applyBorder="1" applyAlignment="1">
      <alignment horizontal="center" vertical="center" wrapText="1"/>
    </xf>
    <xf numFmtId="3" fontId="95" fillId="12" borderId="90" xfId="13" applyNumberFormat="1" applyFont="1" applyFill="1" applyBorder="1" applyAlignment="1">
      <alignment horizontal="center" vertical="center"/>
    </xf>
    <xf numFmtId="0" fontId="113" fillId="11" borderId="0" xfId="22" applyFont="1" applyFill="1" applyAlignment="1">
      <alignment horizontal="left" vertical="top" wrapText="1"/>
    </xf>
    <xf numFmtId="0" fontId="184" fillId="11" borderId="0" xfId="22" applyFont="1" applyFill="1" applyAlignment="1">
      <alignment vertical="center" wrapText="1"/>
    </xf>
    <xf numFmtId="176" fontId="79" fillId="11" borderId="81" xfId="13" applyNumberFormat="1" applyFont="1" applyFill="1" applyBorder="1" applyAlignment="1">
      <alignment horizontal="center" vertical="center" wrapText="1"/>
    </xf>
    <xf numFmtId="0" fontId="95" fillId="23" borderId="102" xfId="13" applyFont="1" applyFill="1" applyBorder="1" applyAlignment="1">
      <alignment horizontal="center" vertical="center" wrapText="1"/>
    </xf>
    <xf numFmtId="0" fontId="95" fillId="23" borderId="81" xfId="13" applyFont="1" applyFill="1" applyBorder="1" applyAlignment="1">
      <alignment horizontal="center" vertical="center" wrapText="1"/>
    </xf>
    <xf numFmtId="0" fontId="95" fillId="23" borderId="87" xfId="13" applyFont="1" applyFill="1" applyBorder="1" applyAlignment="1">
      <alignment horizontal="center" vertical="center" wrapText="1"/>
    </xf>
    <xf numFmtId="3" fontId="95" fillId="12" borderId="94" xfId="13" applyNumberFormat="1" applyFont="1" applyFill="1" applyBorder="1" applyAlignment="1">
      <alignment horizontal="center" vertical="center"/>
    </xf>
    <xf numFmtId="3" fontId="95" fillId="12" borderId="73" xfId="13" applyNumberFormat="1" applyFont="1" applyFill="1" applyBorder="1" applyAlignment="1">
      <alignment horizontal="center" vertical="center"/>
    </xf>
    <xf numFmtId="3" fontId="95" fillId="12" borderId="74" xfId="13" applyNumberFormat="1" applyFont="1" applyFill="1" applyBorder="1" applyAlignment="1">
      <alignment horizontal="center" vertical="center"/>
    </xf>
    <xf numFmtId="3" fontId="95" fillId="12" borderId="75" xfId="13" applyNumberFormat="1" applyFont="1" applyFill="1" applyBorder="1" applyAlignment="1">
      <alignment horizontal="center" vertical="center"/>
    </xf>
    <xf numFmtId="0" fontId="113" fillId="11" borderId="0" xfId="22" applyFont="1" applyFill="1" applyAlignment="1">
      <alignment horizontal="left" vertical="center" wrapText="1"/>
    </xf>
    <xf numFmtId="0" fontId="113" fillId="16" borderId="0" xfId="22" applyFont="1" applyFill="1" applyAlignment="1">
      <alignment horizontal="left" vertical="center" wrapText="1"/>
    </xf>
    <xf numFmtId="187" fontId="85" fillId="16" borderId="81" xfId="18" applyNumberFormat="1" applyFont="1" applyFill="1" applyBorder="1" applyAlignment="1">
      <alignment horizontal="center" vertical="center" wrapText="1"/>
    </xf>
    <xf numFmtId="187" fontId="85" fillId="11" borderId="81" xfId="18" applyNumberFormat="1" applyFont="1" applyFill="1" applyBorder="1" applyAlignment="1">
      <alignment horizontal="center" vertical="center" wrapText="1"/>
    </xf>
    <xf numFmtId="187" fontId="85" fillId="11" borderId="87" xfId="18" applyNumberFormat="1" applyFont="1" applyFill="1" applyBorder="1" applyAlignment="1">
      <alignment horizontal="center" vertical="center" wrapText="1"/>
    </xf>
    <xf numFmtId="0" fontId="95" fillId="23" borderId="0" xfId="22" applyFont="1" applyFill="1" applyAlignment="1">
      <alignment horizontal="center" vertical="center" wrapText="1"/>
    </xf>
    <xf numFmtId="0" fontId="108" fillId="11" borderId="0" xfId="13" applyFont="1" applyFill="1" applyBorder="1" applyAlignment="1">
      <alignment horizontal="left" vertical="center" wrapText="1"/>
    </xf>
    <xf numFmtId="175" fontId="212" fillId="17" borderId="102" xfId="12" quotePrefix="1" applyNumberFormat="1" applyFont="1" applyFill="1" applyBorder="1" applyAlignment="1">
      <alignment horizontal="left" vertical="center" wrapText="1"/>
    </xf>
    <xf numFmtId="175" fontId="212" fillId="17" borderId="81" xfId="12" quotePrefix="1" applyNumberFormat="1" applyFont="1" applyFill="1" applyBorder="1" applyAlignment="1">
      <alignment horizontal="left" vertical="center" wrapText="1"/>
    </xf>
    <xf numFmtId="175" fontId="212" fillId="17" borderId="87" xfId="12" quotePrefix="1" applyNumberFormat="1" applyFont="1" applyFill="1" applyBorder="1" applyAlignment="1">
      <alignment horizontal="left" vertical="center" wrapText="1"/>
    </xf>
    <xf numFmtId="0" fontId="84" fillId="11" borderId="71" xfId="22" applyFont="1" applyFill="1" applyBorder="1" applyAlignment="1">
      <alignment horizontal="left" wrapText="1"/>
    </xf>
    <xf numFmtId="0" fontId="84" fillId="11" borderId="0" xfId="22" applyFont="1" applyFill="1" applyBorder="1" applyAlignment="1">
      <alignment horizontal="left" wrapText="1"/>
    </xf>
    <xf numFmtId="0" fontId="84" fillId="11" borderId="72" xfId="22" applyFont="1" applyFill="1" applyBorder="1" applyAlignment="1">
      <alignment horizontal="left" wrapText="1"/>
    </xf>
    <xf numFmtId="0" fontId="104" fillId="12" borderId="120" xfId="13" applyFont="1" applyFill="1" applyBorder="1" applyAlignment="1">
      <alignment horizontal="center" vertical="center" wrapText="1"/>
    </xf>
    <xf numFmtId="0" fontId="104" fillId="12" borderId="121" xfId="13" applyFont="1" applyFill="1" applyBorder="1" applyAlignment="1">
      <alignment horizontal="center" vertical="center" wrapText="1"/>
    </xf>
    <xf numFmtId="0" fontId="104" fillId="12" borderId="122" xfId="13" applyFont="1" applyFill="1" applyBorder="1" applyAlignment="1">
      <alignment horizontal="center" vertical="center" wrapText="1"/>
    </xf>
    <xf numFmtId="0" fontId="104" fillId="12" borderId="99" xfId="13" applyFont="1" applyFill="1" applyBorder="1" applyAlignment="1">
      <alignment horizontal="center" vertical="center" wrapText="1"/>
    </xf>
    <xf numFmtId="0" fontId="104" fillId="12" borderId="84" xfId="13" applyFont="1" applyFill="1" applyBorder="1" applyAlignment="1">
      <alignment horizontal="center" vertical="center" wrapText="1"/>
    </xf>
    <xf numFmtId="0" fontId="104" fillId="12" borderId="0" xfId="13" applyFont="1" applyFill="1" applyBorder="1" applyAlignment="1">
      <alignment horizontal="center" vertical="center" wrapText="1"/>
    </xf>
    <xf numFmtId="0" fontId="113" fillId="16" borderId="0" xfId="22" applyFont="1" applyFill="1" applyBorder="1" applyAlignment="1">
      <alignment horizontal="left" vertical="top" wrapText="1"/>
    </xf>
    <xf numFmtId="0" fontId="113" fillId="6" borderId="0" xfId="22" applyFont="1" applyFill="1" applyAlignment="1">
      <alignment vertical="center" wrapText="1"/>
    </xf>
    <xf numFmtId="0" fontId="113" fillId="16" borderId="0" xfId="22" applyFont="1" applyFill="1" applyAlignment="1">
      <alignment vertical="center" wrapText="1"/>
    </xf>
    <xf numFmtId="0" fontId="113" fillId="11" borderId="0" xfId="13" applyFont="1" applyFill="1" applyAlignment="1">
      <alignment wrapText="1"/>
    </xf>
    <xf numFmtId="0" fontId="79" fillId="6" borderId="0" xfId="13" applyFont="1" applyFill="1" applyAlignment="1">
      <alignment horizontal="left" vertical="center" wrapText="1"/>
    </xf>
    <xf numFmtId="0" fontId="186" fillId="6" borderId="0" xfId="13" applyFont="1" applyFill="1" applyAlignment="1">
      <alignment horizontal="left" vertical="center" wrapText="1"/>
    </xf>
    <xf numFmtId="0" fontId="113" fillId="6" borderId="0" xfId="13" applyFont="1" applyFill="1" applyAlignment="1">
      <alignment vertical="top" wrapText="1"/>
    </xf>
    <xf numFmtId="0" fontId="113" fillId="16" borderId="0" xfId="22" applyFont="1" applyFill="1" applyAlignment="1">
      <alignment horizontal="left" vertical="top" wrapText="1"/>
    </xf>
    <xf numFmtId="0" fontId="120" fillId="12" borderId="119" xfId="13" applyFont="1" applyFill="1" applyBorder="1" applyAlignment="1">
      <alignment horizontal="center" vertical="center" wrapText="1"/>
    </xf>
    <xf numFmtId="185" fontId="78" fillId="0" borderId="81" xfId="13" applyNumberFormat="1" applyFont="1" applyBorder="1" applyAlignment="1">
      <alignment horizontal="center" vertical="center" wrapText="1"/>
    </xf>
    <xf numFmtId="185" fontId="78" fillId="0" borderId="87" xfId="13" applyNumberFormat="1" applyFont="1" applyBorder="1" applyAlignment="1">
      <alignment horizontal="center" vertical="center" wrapText="1"/>
    </xf>
    <xf numFmtId="0" fontId="90" fillId="6" borderId="0" xfId="13" applyFont="1" applyFill="1" applyBorder="1" applyAlignment="1">
      <alignment horizontal="left" vertical="top" wrapText="1"/>
    </xf>
    <xf numFmtId="0" fontId="176" fillId="6" borderId="102" xfId="22" applyFont="1" applyFill="1" applyBorder="1" applyAlignment="1">
      <alignment horizontal="center" vertical="center"/>
    </xf>
    <xf numFmtId="0" fontId="176" fillId="6" borderId="87" xfId="22" applyFont="1" applyFill="1" applyBorder="1" applyAlignment="1">
      <alignment horizontal="center" vertical="center"/>
    </xf>
    <xf numFmtId="0" fontId="184" fillId="16" borderId="0" xfId="22" applyFont="1" applyFill="1" applyAlignment="1">
      <alignment horizontal="left" wrapText="1"/>
    </xf>
    <xf numFmtId="179" fontId="96" fillId="12" borderId="0" xfId="13" applyNumberFormat="1" applyFont="1" applyFill="1" applyBorder="1" applyAlignment="1">
      <alignment horizontal="center"/>
    </xf>
    <xf numFmtId="179" fontId="96" fillId="12" borderId="72" xfId="13" applyNumberFormat="1" applyFont="1" applyFill="1" applyBorder="1" applyAlignment="1">
      <alignment horizontal="center"/>
    </xf>
    <xf numFmtId="0" fontId="95" fillId="12" borderId="0" xfId="13" applyFont="1" applyFill="1" applyBorder="1" applyAlignment="1">
      <alignment horizontal="center" vertical="center"/>
    </xf>
    <xf numFmtId="0" fontId="129" fillId="12" borderId="90" xfId="13" applyFont="1" applyFill="1" applyBorder="1" applyAlignment="1">
      <alignment horizontal="center" vertical="center" wrapText="1"/>
    </xf>
    <xf numFmtId="0" fontId="129" fillId="12" borderId="102" xfId="13" applyFont="1" applyFill="1" applyBorder="1" applyAlignment="1">
      <alignment horizontal="center" vertical="center" wrapText="1"/>
    </xf>
    <xf numFmtId="0" fontId="129" fillId="12" borderId="97" xfId="13" applyFont="1" applyFill="1" applyBorder="1" applyAlignment="1">
      <alignment horizontal="center" vertical="center" wrapText="1"/>
    </xf>
    <xf numFmtId="0" fontId="120" fillId="12" borderId="90" xfId="13" applyFont="1" applyFill="1" applyBorder="1" applyAlignment="1">
      <alignment horizontal="center" vertical="center" wrapText="1"/>
    </xf>
    <xf numFmtId="0" fontId="121" fillId="11" borderId="0" xfId="13" applyFont="1" applyFill="1" applyAlignment="1">
      <alignment horizontal="left" wrapText="1"/>
    </xf>
    <xf numFmtId="205" fontId="85" fillId="0" borderId="74" xfId="13" applyNumberFormat="1" applyFont="1" applyFill="1" applyBorder="1" applyAlignment="1">
      <alignment horizontal="center" vertical="center" wrapText="1"/>
    </xf>
    <xf numFmtId="205" fontId="85" fillId="0" borderId="75" xfId="13" applyNumberFormat="1" applyFont="1" applyFill="1" applyBorder="1" applyAlignment="1">
      <alignment horizontal="center" vertical="center" wrapText="1"/>
    </xf>
    <xf numFmtId="205" fontId="78" fillId="0" borderId="82" xfId="13" applyNumberFormat="1" applyFont="1" applyBorder="1" applyAlignment="1">
      <alignment horizontal="center" vertical="center" wrapText="1"/>
    </xf>
    <xf numFmtId="205" fontId="78" fillId="0" borderId="83" xfId="13" applyNumberFormat="1" applyFont="1" applyBorder="1" applyAlignment="1">
      <alignment horizontal="center" vertical="center" wrapText="1"/>
    </xf>
    <xf numFmtId="0" fontId="113" fillId="16" borderId="0" xfId="22" applyFont="1" applyFill="1" applyBorder="1" applyAlignment="1">
      <alignment horizontal="left" vertical="center" wrapText="1"/>
    </xf>
    <xf numFmtId="205" fontId="85" fillId="0" borderId="81" xfId="13" applyNumberFormat="1" applyFont="1" applyFill="1" applyBorder="1" applyAlignment="1">
      <alignment horizontal="center" vertical="center" wrapText="1"/>
    </xf>
    <xf numFmtId="205" fontId="85" fillId="0" borderId="87" xfId="13" applyNumberFormat="1" applyFont="1" applyFill="1" applyBorder="1" applyAlignment="1">
      <alignment horizontal="center" vertical="center" wrapText="1"/>
    </xf>
    <xf numFmtId="0" fontId="37" fillId="13" borderId="1" xfId="0" applyFont="1" applyFill="1" applyBorder="1" applyAlignment="1">
      <alignment horizontal="center" vertical="center" wrapText="1"/>
    </xf>
    <xf numFmtId="0" fontId="3" fillId="0" borderId="148" xfId="0" applyFont="1" applyBorder="1" applyAlignment="1">
      <alignment horizontal="center" vertical="center"/>
    </xf>
    <xf numFmtId="0" fontId="3" fillId="0" borderId="1" xfId="0" applyFont="1" applyBorder="1" applyAlignment="1">
      <alignment horizontal="center" vertical="center"/>
    </xf>
    <xf numFmtId="0" fontId="3" fillId="0" borderId="125" xfId="0" applyFont="1" applyBorder="1" applyAlignment="1">
      <alignment horizontal="center" vertical="center"/>
    </xf>
    <xf numFmtId="0" fontId="3" fillId="0" borderId="148"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50" xfId="0" applyFont="1" applyBorder="1" applyAlignment="1">
      <alignment horizontal="center" vertical="center" wrapText="1"/>
    </xf>
    <xf numFmtId="0" fontId="0" fillId="0" borderId="1" xfId="0" applyBorder="1" applyAlignment="1">
      <alignment horizontal="center" wrapText="1"/>
    </xf>
    <xf numFmtId="0" fontId="37" fillId="13" borderId="9" xfId="0" applyFont="1" applyFill="1" applyBorder="1" applyAlignment="1">
      <alignment horizontal="center" vertical="center" wrapText="1"/>
    </xf>
    <xf numFmtId="0" fontId="37" fillId="13" borderId="20" xfId="0" applyFont="1" applyFill="1" applyBorder="1" applyAlignment="1">
      <alignment horizontal="center" vertical="center" wrapText="1"/>
    </xf>
    <xf numFmtId="0" fontId="37" fillId="13" borderId="18" xfId="0" applyFont="1" applyFill="1" applyBorder="1" applyAlignment="1">
      <alignment horizontal="center" vertical="center" wrapText="1"/>
    </xf>
  </cellXfs>
  <cellStyles count="23">
    <cellStyle name="%" xfId="1"/>
    <cellStyle name="_20061004 - CR_integrada v3" xfId="2"/>
    <cellStyle name="_Borrador PT M2M v1.2" xfId="3"/>
    <cellStyle name="_Hoja para copiar a PT" xfId="4"/>
    <cellStyle name="_Pricing Tool Móvil Borrador (version 1.1)" xfId="5"/>
    <cellStyle name="_Pricing Tool Móvil Borrador (version 1.3)" xfId="6"/>
    <cellStyle name="Bandwidth" xfId="7"/>
    <cellStyle name="Estilo 1" xfId="8"/>
    <cellStyle name="Euro" xfId="9"/>
    <cellStyle name="Hipervínculo" xfId="19" builtinId="8"/>
    <cellStyle name="Millares" xfId="10" builtinId="3"/>
    <cellStyle name="Moneda" xfId="11" builtinId="4"/>
    <cellStyle name="Moneda 2" xfId="12"/>
    <cellStyle name="Normal" xfId="0" builtinId="0"/>
    <cellStyle name="Normal 2" xfId="13"/>
    <cellStyle name="Normal 2 2" xfId="22"/>
    <cellStyle name="Normal 3" xfId="20"/>
    <cellStyle name="Normal 4" xfId="21"/>
    <cellStyle name="Normal_Hoja1" xfId="14"/>
    <cellStyle name="Normal_Orange Oferta Preaprobada" xfId="15"/>
    <cellStyle name="Normal_Pricing Tool Móvil Borrador (version 1.3)" xfId="16"/>
    <cellStyle name="Porcentaje" xfId="17" builtinId="5"/>
    <cellStyle name="Porcentaje 2" xfId="18"/>
  </cellStyles>
  <dxfs count="121">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b/>
        <i val="0"/>
      </font>
      <fill>
        <patternFill>
          <bgColor theme="9" tint="0.7999816888943144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b/>
        <i val="0"/>
      </font>
      <fill>
        <patternFill>
          <bgColor theme="9" tint="0.79998168889431442"/>
        </patternFill>
      </fill>
    </dxf>
    <dxf>
      <font>
        <condense val="0"/>
        <extend val="0"/>
        <color indexed="9"/>
      </font>
      <fill>
        <patternFill>
          <bgColor indexed="23"/>
        </patternFill>
      </fill>
    </dxf>
    <dxf>
      <font>
        <condense val="0"/>
        <extend val="0"/>
        <color indexed="9"/>
      </font>
      <fill>
        <patternFill>
          <bgColor indexed="23"/>
        </patternFill>
      </fill>
    </dxf>
    <dxf>
      <font>
        <condense val="0"/>
        <extend val="0"/>
        <color indexed="9"/>
      </font>
      <fill>
        <patternFill>
          <bgColor indexed="23"/>
        </patternFill>
      </fill>
    </dxf>
    <dxf>
      <font>
        <b/>
        <i val="0"/>
        <condense val="0"/>
        <extend val="0"/>
        <color indexed="9"/>
      </font>
      <fill>
        <patternFill>
          <bgColor indexed="52"/>
        </patternFill>
      </fill>
    </dxf>
    <dxf>
      <fill>
        <patternFill>
          <bgColor indexed="22"/>
        </patternFill>
      </fill>
    </dxf>
    <dxf>
      <font>
        <color theme="0" tint="-4.9989318521683403E-2"/>
      </font>
    </dxf>
    <dxf>
      <font>
        <color theme="0" tint="-4.9989318521683403E-2"/>
      </font>
    </dxf>
    <dxf>
      <font>
        <b val="0"/>
        <i val="0"/>
        <color rgb="FFFF0000"/>
      </font>
    </dxf>
    <dxf>
      <font>
        <color theme="0"/>
      </font>
      <fill>
        <patternFill>
          <bgColor rgb="FFFF0000"/>
        </patternFill>
      </fill>
    </dxf>
    <dxf>
      <fill>
        <patternFill>
          <bgColor rgb="FF00B050"/>
        </patternFill>
      </fill>
    </dxf>
    <dxf>
      <font>
        <b val="0"/>
        <i val="0"/>
        <color rgb="FFFF0000"/>
      </font>
    </dxf>
    <dxf>
      <font>
        <b val="0"/>
        <i val="0"/>
        <color rgb="FFFF0000"/>
      </font>
    </dxf>
    <dxf>
      <font>
        <b val="0"/>
        <i val="0"/>
        <color rgb="FFFF0000"/>
      </font>
    </dxf>
    <dxf>
      <font>
        <b/>
        <i val="0"/>
        <color rgb="FFFF0000"/>
      </font>
    </dxf>
    <dxf>
      <font>
        <color auto="1"/>
      </font>
    </dxf>
    <dxf>
      <font>
        <color theme="0"/>
      </font>
      <fill>
        <patternFill>
          <bgColor rgb="FFFF0000"/>
        </patternFill>
      </fill>
    </dxf>
    <dxf>
      <fill>
        <patternFill>
          <bgColor rgb="FF00B050"/>
        </patternFill>
      </fill>
    </dxf>
    <dxf>
      <font>
        <color theme="0"/>
      </font>
      <fill>
        <patternFill>
          <bgColor rgb="FFFF0000"/>
        </patternFill>
      </fill>
    </dxf>
    <dxf>
      <font>
        <color theme="0"/>
      </font>
      <fill>
        <patternFill>
          <bgColor rgb="FF00B050"/>
        </patternFill>
      </fill>
    </dxf>
    <dxf>
      <font>
        <color rgb="FFFFFF99"/>
      </font>
    </dxf>
    <dxf>
      <font>
        <color rgb="FFFFFF99"/>
      </font>
    </dxf>
    <dxf>
      <font>
        <color theme="0" tint="-4.9989318521683403E-2"/>
      </font>
    </dxf>
    <dxf>
      <font>
        <color rgb="FFFFFF99"/>
      </font>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patternType="gray125">
          <bgColor theme="0"/>
        </patternFill>
      </fill>
      <border>
        <left/>
        <right/>
        <top/>
        <bottom/>
        <vertical/>
        <horizontal/>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ill>
        <patternFill>
          <bgColor theme="0"/>
        </patternFill>
      </fill>
      <border>
        <left/>
        <right/>
        <top/>
        <bottom/>
      </border>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bgColor theme="0"/>
        </patternFill>
      </fill>
      <border>
        <left/>
        <right/>
        <top/>
        <bottom/>
      </border>
    </dxf>
    <dxf>
      <fill>
        <patternFill patternType="solid">
          <bgColor theme="0"/>
        </patternFill>
      </fill>
      <border>
        <left/>
        <right/>
        <top/>
        <bottom/>
      </border>
    </dxf>
    <dxf>
      <fill>
        <patternFill patternType="solid">
          <bgColor theme="0"/>
        </patternFill>
      </fill>
      <border>
        <left/>
        <right/>
        <top/>
        <bottom/>
        <vertical/>
        <horizontal/>
      </border>
    </dxf>
    <dxf>
      <fill>
        <patternFill patternType="solid">
          <bgColor theme="0"/>
        </patternFill>
      </fill>
      <border>
        <left/>
        <right/>
        <top/>
        <bottom/>
      </border>
    </dxf>
    <dxf>
      <fill>
        <patternFill patternType="solid">
          <bgColor theme="0"/>
        </patternFill>
      </fill>
      <border>
        <left/>
        <right/>
        <top/>
        <bottom/>
      </border>
    </dxf>
    <dxf>
      <font>
        <color rgb="FF006100"/>
      </font>
      <fill>
        <patternFill>
          <bgColor rgb="FFC6EFCE"/>
        </patternFill>
      </fill>
    </dxf>
    <dxf>
      <font>
        <color theme="0"/>
      </font>
      <fill>
        <patternFill>
          <bgColor theme="0"/>
        </patternFill>
      </fill>
      <border>
        <left/>
        <right/>
        <top/>
        <bottom/>
      </border>
    </dxf>
  </dxfs>
  <tableStyles count="0" defaultTableStyle="TableStyleMedium9" defaultPivotStyle="PivotStyleLight16"/>
  <colors>
    <mruColors>
      <color rgb="FFFF6600"/>
      <color rgb="FFFF66FF"/>
      <color rgb="FFFF0066"/>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10.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jpeg"/><Relationship Id="rId13" Type="http://schemas.openxmlformats.org/officeDocument/2006/relationships/image" Target="../media/image23.emf"/><Relationship Id="rId18" Type="http://schemas.openxmlformats.org/officeDocument/2006/relationships/image" Target="../media/image28.jpeg"/><Relationship Id="rId3" Type="http://schemas.openxmlformats.org/officeDocument/2006/relationships/image" Target="../media/image13.jpeg"/><Relationship Id="rId21" Type="http://schemas.openxmlformats.org/officeDocument/2006/relationships/image" Target="../media/image31.png"/><Relationship Id="rId7" Type="http://schemas.openxmlformats.org/officeDocument/2006/relationships/image" Target="../media/image17.jpeg"/><Relationship Id="rId12" Type="http://schemas.openxmlformats.org/officeDocument/2006/relationships/image" Target="../media/image22.jpeg"/><Relationship Id="rId17" Type="http://schemas.openxmlformats.org/officeDocument/2006/relationships/image" Target="../media/image27.png"/><Relationship Id="rId25" Type="http://schemas.openxmlformats.org/officeDocument/2006/relationships/image" Target="../media/image35.png"/><Relationship Id="rId2" Type="http://schemas.openxmlformats.org/officeDocument/2006/relationships/image" Target="../media/image12.jpeg"/><Relationship Id="rId16" Type="http://schemas.openxmlformats.org/officeDocument/2006/relationships/image" Target="../media/image26.png"/><Relationship Id="rId20" Type="http://schemas.openxmlformats.org/officeDocument/2006/relationships/image" Target="../media/image30.png"/><Relationship Id="rId1" Type="http://schemas.openxmlformats.org/officeDocument/2006/relationships/image" Target="../media/image11.jpeg"/><Relationship Id="rId6" Type="http://schemas.openxmlformats.org/officeDocument/2006/relationships/image" Target="../media/image16.jpeg"/><Relationship Id="rId11" Type="http://schemas.openxmlformats.org/officeDocument/2006/relationships/image" Target="../media/image21.jpeg"/><Relationship Id="rId24" Type="http://schemas.openxmlformats.org/officeDocument/2006/relationships/image" Target="../media/image34.png"/><Relationship Id="rId5" Type="http://schemas.openxmlformats.org/officeDocument/2006/relationships/image" Target="../media/image15.jpeg"/><Relationship Id="rId15" Type="http://schemas.openxmlformats.org/officeDocument/2006/relationships/image" Target="../media/image25.jpeg"/><Relationship Id="rId23" Type="http://schemas.openxmlformats.org/officeDocument/2006/relationships/image" Target="../media/image33.png"/><Relationship Id="rId10" Type="http://schemas.openxmlformats.org/officeDocument/2006/relationships/image" Target="../media/image20.png"/><Relationship Id="rId19" Type="http://schemas.openxmlformats.org/officeDocument/2006/relationships/image" Target="../media/image29.png"/><Relationship Id="rId4" Type="http://schemas.openxmlformats.org/officeDocument/2006/relationships/image" Target="../media/image14.jpeg"/><Relationship Id="rId9" Type="http://schemas.openxmlformats.org/officeDocument/2006/relationships/image" Target="../media/image19.png"/><Relationship Id="rId14" Type="http://schemas.openxmlformats.org/officeDocument/2006/relationships/image" Target="../media/image24.png"/><Relationship Id="rId22" Type="http://schemas.openxmlformats.org/officeDocument/2006/relationships/image" Target="../media/image32.jpeg"/></Relationships>
</file>

<file path=xl/drawings/_rels/drawing6.xml.rels><?xml version="1.0" encoding="UTF-8" standalone="yes"?>
<Relationships xmlns="http://schemas.openxmlformats.org/package/2006/relationships"><Relationship Id="rId8" Type="http://schemas.openxmlformats.org/officeDocument/2006/relationships/image" Target="../media/image42.jpeg"/><Relationship Id="rId13" Type="http://schemas.openxmlformats.org/officeDocument/2006/relationships/image" Target="../media/image25.jpeg"/><Relationship Id="rId18" Type="http://schemas.openxmlformats.org/officeDocument/2006/relationships/image" Target="../media/image28.jpeg"/><Relationship Id="rId3" Type="http://schemas.openxmlformats.org/officeDocument/2006/relationships/image" Target="../media/image37.jpeg"/><Relationship Id="rId21" Type="http://schemas.openxmlformats.org/officeDocument/2006/relationships/image" Target="../media/image33.png"/><Relationship Id="rId7" Type="http://schemas.openxmlformats.org/officeDocument/2006/relationships/image" Target="../media/image41.jpeg"/><Relationship Id="rId12" Type="http://schemas.openxmlformats.org/officeDocument/2006/relationships/image" Target="../media/image26.png"/><Relationship Id="rId17" Type="http://schemas.openxmlformats.org/officeDocument/2006/relationships/image" Target="../media/image32.jpeg"/><Relationship Id="rId2" Type="http://schemas.openxmlformats.org/officeDocument/2006/relationships/image" Target="../media/image36.jpeg"/><Relationship Id="rId16" Type="http://schemas.openxmlformats.org/officeDocument/2006/relationships/image" Target="../media/image31.png"/><Relationship Id="rId20" Type="http://schemas.openxmlformats.org/officeDocument/2006/relationships/image" Target="../media/image30.png"/><Relationship Id="rId1" Type="http://schemas.openxmlformats.org/officeDocument/2006/relationships/image" Target="../media/image18.jpeg"/><Relationship Id="rId6" Type="http://schemas.openxmlformats.org/officeDocument/2006/relationships/image" Target="../media/image40.jpeg"/><Relationship Id="rId11" Type="http://schemas.openxmlformats.org/officeDocument/2006/relationships/image" Target="../media/image45.jpeg"/><Relationship Id="rId5" Type="http://schemas.openxmlformats.org/officeDocument/2006/relationships/image" Target="../media/image39.jpeg"/><Relationship Id="rId15" Type="http://schemas.openxmlformats.org/officeDocument/2006/relationships/image" Target="../media/image27.png"/><Relationship Id="rId23" Type="http://schemas.openxmlformats.org/officeDocument/2006/relationships/image" Target="../media/image35.png"/><Relationship Id="rId10" Type="http://schemas.openxmlformats.org/officeDocument/2006/relationships/image" Target="../media/image44.jpeg"/><Relationship Id="rId19" Type="http://schemas.openxmlformats.org/officeDocument/2006/relationships/image" Target="../media/image29.png"/><Relationship Id="rId4" Type="http://schemas.openxmlformats.org/officeDocument/2006/relationships/image" Target="../media/image38.jpeg"/><Relationship Id="rId9" Type="http://schemas.openxmlformats.org/officeDocument/2006/relationships/image" Target="../media/image43.jpeg"/><Relationship Id="rId14" Type="http://schemas.openxmlformats.org/officeDocument/2006/relationships/image" Target="../media/image46.jpeg"/><Relationship Id="rId22" Type="http://schemas.openxmlformats.org/officeDocument/2006/relationships/image" Target="../media/image34.png"/></Relationships>
</file>

<file path=xl/drawings/_rels/drawing7.xml.rels><?xml version="1.0" encoding="UTF-8" standalone="yes"?>
<Relationships xmlns="http://schemas.openxmlformats.org/package/2006/relationships"><Relationship Id="rId8" Type="http://schemas.openxmlformats.org/officeDocument/2006/relationships/image" Target="../media/image37.jpeg"/><Relationship Id="rId13" Type="http://schemas.openxmlformats.org/officeDocument/2006/relationships/image" Target="../media/image28.jpeg"/><Relationship Id="rId18" Type="http://schemas.openxmlformats.org/officeDocument/2006/relationships/image" Target="../media/image33.png"/><Relationship Id="rId3" Type="http://schemas.openxmlformats.org/officeDocument/2006/relationships/image" Target="../media/image13.jpeg"/><Relationship Id="rId7" Type="http://schemas.openxmlformats.org/officeDocument/2006/relationships/image" Target="../media/image52.jpeg"/><Relationship Id="rId12" Type="http://schemas.openxmlformats.org/officeDocument/2006/relationships/image" Target="../media/image27.png"/><Relationship Id="rId17" Type="http://schemas.openxmlformats.org/officeDocument/2006/relationships/image" Target="../media/image30.png"/><Relationship Id="rId2" Type="http://schemas.openxmlformats.org/officeDocument/2006/relationships/image" Target="../media/image48.jpeg"/><Relationship Id="rId16" Type="http://schemas.openxmlformats.org/officeDocument/2006/relationships/image" Target="../media/image29.png"/><Relationship Id="rId20" Type="http://schemas.openxmlformats.org/officeDocument/2006/relationships/image" Target="../media/image35.png"/><Relationship Id="rId1" Type="http://schemas.openxmlformats.org/officeDocument/2006/relationships/image" Target="../media/image47.jpeg"/><Relationship Id="rId6" Type="http://schemas.openxmlformats.org/officeDocument/2006/relationships/image" Target="../media/image51.jpeg"/><Relationship Id="rId11" Type="http://schemas.openxmlformats.org/officeDocument/2006/relationships/image" Target="../media/image26.png"/><Relationship Id="rId5" Type="http://schemas.openxmlformats.org/officeDocument/2006/relationships/image" Target="../media/image50.jpeg"/><Relationship Id="rId15" Type="http://schemas.openxmlformats.org/officeDocument/2006/relationships/image" Target="../media/image32.jpeg"/><Relationship Id="rId10" Type="http://schemas.openxmlformats.org/officeDocument/2006/relationships/image" Target="../media/image25.jpeg"/><Relationship Id="rId19" Type="http://schemas.openxmlformats.org/officeDocument/2006/relationships/image" Target="../media/image34.png"/><Relationship Id="rId4" Type="http://schemas.openxmlformats.org/officeDocument/2006/relationships/image" Target="../media/image49.jpeg"/><Relationship Id="rId9" Type="http://schemas.openxmlformats.org/officeDocument/2006/relationships/image" Target="../media/image53.jpeg"/><Relationship Id="rId14" Type="http://schemas.openxmlformats.org/officeDocument/2006/relationships/image" Target="../media/image31.png"/></Relationships>
</file>

<file path=xl/drawings/_rels/drawing8.xml.rels><?xml version="1.0" encoding="UTF-8" standalone="yes"?>
<Relationships xmlns="http://schemas.openxmlformats.org/package/2006/relationships"><Relationship Id="rId8" Type="http://schemas.openxmlformats.org/officeDocument/2006/relationships/image" Target="../media/image57.jpeg"/><Relationship Id="rId13" Type="http://schemas.openxmlformats.org/officeDocument/2006/relationships/image" Target="../media/image24.png"/><Relationship Id="rId18" Type="http://schemas.openxmlformats.org/officeDocument/2006/relationships/image" Target="../media/image27.png"/><Relationship Id="rId3" Type="http://schemas.openxmlformats.org/officeDocument/2006/relationships/image" Target="../media/image37.jpeg"/><Relationship Id="rId21" Type="http://schemas.openxmlformats.org/officeDocument/2006/relationships/image" Target="../media/image34.png"/><Relationship Id="rId7" Type="http://schemas.openxmlformats.org/officeDocument/2006/relationships/image" Target="../media/image42.jpeg"/><Relationship Id="rId12" Type="http://schemas.openxmlformats.org/officeDocument/2006/relationships/image" Target="../media/image23.emf"/><Relationship Id="rId17" Type="http://schemas.openxmlformats.org/officeDocument/2006/relationships/image" Target="../media/image30.png"/><Relationship Id="rId2" Type="http://schemas.openxmlformats.org/officeDocument/2006/relationships/image" Target="../media/image54.jpeg"/><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image" Target="../media/image18.jpeg"/><Relationship Id="rId6" Type="http://schemas.openxmlformats.org/officeDocument/2006/relationships/image" Target="../media/image56.jpeg"/><Relationship Id="rId11" Type="http://schemas.openxmlformats.org/officeDocument/2006/relationships/image" Target="../media/image58.jpeg"/><Relationship Id="rId5" Type="http://schemas.openxmlformats.org/officeDocument/2006/relationships/image" Target="../media/image32.jpeg"/><Relationship Id="rId15" Type="http://schemas.openxmlformats.org/officeDocument/2006/relationships/image" Target="../media/image25.jpeg"/><Relationship Id="rId10" Type="http://schemas.openxmlformats.org/officeDocument/2006/relationships/image" Target="../media/image20.png"/><Relationship Id="rId19" Type="http://schemas.openxmlformats.org/officeDocument/2006/relationships/image" Target="../media/image28.jpeg"/><Relationship Id="rId4" Type="http://schemas.openxmlformats.org/officeDocument/2006/relationships/image" Target="../media/image55.jpeg"/><Relationship Id="rId9" Type="http://schemas.openxmlformats.org/officeDocument/2006/relationships/image" Target="../media/image19.png"/><Relationship Id="rId14" Type="http://schemas.openxmlformats.org/officeDocument/2006/relationships/image" Target="../media/image26.png"/><Relationship Id="rId22" Type="http://schemas.openxmlformats.org/officeDocument/2006/relationships/image" Target="../media/image35.png"/></Relationships>
</file>

<file path=xl/drawings/_rels/drawing9.xml.rels><?xml version="1.0" encoding="UTF-8" standalone="yes"?>
<Relationships xmlns="http://schemas.openxmlformats.org/package/2006/relationships"><Relationship Id="rId8" Type="http://schemas.openxmlformats.org/officeDocument/2006/relationships/image" Target="../media/image26.png"/><Relationship Id="rId13" Type="http://schemas.openxmlformats.org/officeDocument/2006/relationships/image" Target="../media/image27.png"/><Relationship Id="rId18" Type="http://schemas.openxmlformats.org/officeDocument/2006/relationships/image" Target="../media/image35.png"/><Relationship Id="rId3" Type="http://schemas.openxmlformats.org/officeDocument/2006/relationships/image" Target="../media/image13.jpeg"/><Relationship Id="rId7" Type="http://schemas.openxmlformats.org/officeDocument/2006/relationships/image" Target="../media/image61.jpeg"/><Relationship Id="rId12" Type="http://schemas.openxmlformats.org/officeDocument/2006/relationships/image" Target="../media/image30.png"/><Relationship Id="rId17" Type="http://schemas.openxmlformats.org/officeDocument/2006/relationships/image" Target="../media/image34.png"/><Relationship Id="rId2" Type="http://schemas.openxmlformats.org/officeDocument/2006/relationships/image" Target="../media/image36.jpeg"/><Relationship Id="rId16" Type="http://schemas.openxmlformats.org/officeDocument/2006/relationships/image" Target="../media/image33.png"/><Relationship Id="rId1" Type="http://schemas.openxmlformats.org/officeDocument/2006/relationships/image" Target="../media/image11.jpeg"/><Relationship Id="rId6" Type="http://schemas.openxmlformats.org/officeDocument/2006/relationships/image" Target="../media/image60.jpeg"/><Relationship Id="rId11" Type="http://schemas.openxmlformats.org/officeDocument/2006/relationships/image" Target="../media/image29.png"/><Relationship Id="rId5" Type="http://schemas.openxmlformats.org/officeDocument/2006/relationships/image" Target="../media/image40.jpeg"/><Relationship Id="rId15" Type="http://schemas.openxmlformats.org/officeDocument/2006/relationships/image" Target="../media/image32.jpeg"/><Relationship Id="rId10" Type="http://schemas.openxmlformats.org/officeDocument/2006/relationships/image" Target="../media/image62.jpeg"/><Relationship Id="rId4" Type="http://schemas.openxmlformats.org/officeDocument/2006/relationships/image" Target="../media/image59.jpeg"/><Relationship Id="rId9" Type="http://schemas.openxmlformats.org/officeDocument/2006/relationships/image" Target="../media/image25.jpeg"/><Relationship Id="rId14" Type="http://schemas.openxmlformats.org/officeDocument/2006/relationships/image" Target="../media/image28.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65.jpeg"/><Relationship Id="rId13" Type="http://schemas.openxmlformats.org/officeDocument/2006/relationships/image" Target="../media/image27.png"/><Relationship Id="rId18" Type="http://schemas.openxmlformats.org/officeDocument/2006/relationships/image" Target="../media/image35.png"/><Relationship Id="rId3" Type="http://schemas.openxmlformats.org/officeDocument/2006/relationships/image" Target="../media/image37.jpeg"/><Relationship Id="rId7" Type="http://schemas.openxmlformats.org/officeDocument/2006/relationships/image" Target="../media/image42.jpeg"/><Relationship Id="rId12" Type="http://schemas.openxmlformats.org/officeDocument/2006/relationships/image" Target="../media/image30.png"/><Relationship Id="rId17" Type="http://schemas.openxmlformats.org/officeDocument/2006/relationships/image" Target="../media/image34.png"/><Relationship Id="rId2" Type="http://schemas.openxmlformats.org/officeDocument/2006/relationships/image" Target="../media/image36.jpeg"/><Relationship Id="rId16" Type="http://schemas.openxmlformats.org/officeDocument/2006/relationships/image" Target="../media/image33.png"/><Relationship Id="rId1" Type="http://schemas.openxmlformats.org/officeDocument/2006/relationships/image" Target="../media/image63.jpeg"/><Relationship Id="rId6" Type="http://schemas.openxmlformats.org/officeDocument/2006/relationships/image" Target="../media/image41.jpeg"/><Relationship Id="rId11" Type="http://schemas.openxmlformats.org/officeDocument/2006/relationships/image" Target="../media/image29.png"/><Relationship Id="rId5" Type="http://schemas.openxmlformats.org/officeDocument/2006/relationships/image" Target="../media/image40.jpeg"/><Relationship Id="rId15" Type="http://schemas.openxmlformats.org/officeDocument/2006/relationships/image" Target="../media/image32.jpeg"/><Relationship Id="rId10" Type="http://schemas.openxmlformats.org/officeDocument/2006/relationships/image" Target="../media/image25.jpeg"/><Relationship Id="rId4" Type="http://schemas.openxmlformats.org/officeDocument/2006/relationships/image" Target="../media/image64.jpeg"/><Relationship Id="rId9" Type="http://schemas.openxmlformats.org/officeDocument/2006/relationships/image" Target="../media/image26.png"/><Relationship Id="rId14" Type="http://schemas.openxmlformats.org/officeDocument/2006/relationships/image" Target="../media/image28.jpeg"/></Relationships>
</file>

<file path=xl/drawings/drawing1.xml><?xml version="1.0" encoding="utf-8"?>
<xdr:wsDr xmlns:xdr="http://schemas.openxmlformats.org/drawingml/2006/spreadsheetDrawing" xmlns:a="http://schemas.openxmlformats.org/drawingml/2006/main">
  <xdr:twoCellAnchor editAs="oneCell">
    <xdr:from>
      <xdr:col>10</xdr:col>
      <xdr:colOff>752475</xdr:colOff>
      <xdr:row>3</xdr:row>
      <xdr:rowOff>38100</xdr:rowOff>
    </xdr:from>
    <xdr:to>
      <xdr:col>11</xdr:col>
      <xdr:colOff>104775</xdr:colOff>
      <xdr:row>4</xdr:row>
      <xdr:rowOff>371475</xdr:rowOff>
    </xdr:to>
    <xdr:pic>
      <xdr:nvPicPr>
        <xdr:cNvPr id="957650" name="Picture 1"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20025" y="447675"/>
          <a:ext cx="5715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110595</xdr:colOff>
      <xdr:row>25</xdr:row>
      <xdr:rowOff>57150</xdr:rowOff>
    </xdr:from>
    <xdr:to>
      <xdr:col>10</xdr:col>
      <xdr:colOff>1072620</xdr:colOff>
      <xdr:row>32</xdr:row>
      <xdr:rowOff>22225</xdr:rowOff>
    </xdr:to>
    <xdr:pic macro="[0]!Todos_Datos_Perfiles">
      <xdr:nvPicPr>
        <xdr:cNvPr id="957651" name="Picture 17" descr="D ONROAD SOLUTI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90845" y="3718983"/>
          <a:ext cx="962025" cy="9704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FF6600" mc:Ignorable="a14" a14:legacySpreadsheetColorIndex="53"/>
              </a:solidFill>
              <a:miter lim="800000"/>
              <a:headEnd/>
              <a:tailEnd/>
            </a14:hiddenLine>
          </a:ext>
        </a:extLst>
      </xdr:spPr>
    </xdr:pic>
    <xdr:clientData/>
  </xdr:twoCellAnchor>
  <xdr:twoCellAnchor editAs="oneCell">
    <xdr:from>
      <xdr:col>10</xdr:col>
      <xdr:colOff>186795</xdr:colOff>
      <xdr:row>14</xdr:row>
      <xdr:rowOff>141817</xdr:rowOff>
    </xdr:from>
    <xdr:to>
      <xdr:col>10</xdr:col>
      <xdr:colOff>996420</xdr:colOff>
      <xdr:row>20</xdr:row>
      <xdr:rowOff>171450</xdr:rowOff>
    </xdr:to>
    <xdr:pic macro="[0]!Todos_Datos_Entrada">
      <xdr:nvPicPr>
        <xdr:cNvPr id="957652" name="1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267045" y="2406650"/>
          <a:ext cx="809625" cy="7281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233137</xdr:colOff>
      <xdr:row>39</xdr:row>
      <xdr:rowOff>148167</xdr:rowOff>
    </xdr:from>
    <xdr:to>
      <xdr:col>10</xdr:col>
      <xdr:colOff>950077</xdr:colOff>
      <xdr:row>46</xdr:row>
      <xdr:rowOff>18441</xdr:rowOff>
    </xdr:to>
    <xdr:pic macro="[0]!Todos_Datos_Calculadora">
      <xdr:nvPicPr>
        <xdr:cNvPr id="2" name="Picture 1"/>
        <xdr:cNvPicPr>
          <a:picLocks noChangeAspect="1"/>
        </xdr:cNvPicPr>
      </xdr:nvPicPr>
      <xdr:blipFill>
        <a:blip xmlns:r="http://schemas.openxmlformats.org/officeDocument/2006/relationships" r:embed="rId4"/>
        <a:stretch>
          <a:fillRect/>
        </a:stretch>
      </xdr:blipFill>
      <xdr:spPr>
        <a:xfrm>
          <a:off x="7313387" y="5566834"/>
          <a:ext cx="716940" cy="716940"/>
        </a:xfrm>
        <a:prstGeom prst="rect">
          <a:avLst/>
        </a:prstGeom>
      </xdr:spPr>
    </xdr:pic>
    <xdr:clientData/>
  </xdr:twoCellAnchor>
  <xdr:oneCellAnchor>
    <xdr:from>
      <xdr:col>9</xdr:col>
      <xdr:colOff>440666</xdr:colOff>
      <xdr:row>22</xdr:row>
      <xdr:rowOff>137583</xdr:rowOff>
    </xdr:from>
    <xdr:ext cx="1254382" cy="311496"/>
    <xdr:sp macro="" textlink="">
      <xdr:nvSpPr>
        <xdr:cNvPr id="3" name="TextBox 2"/>
        <xdr:cNvSpPr txBox="1"/>
      </xdr:nvSpPr>
      <xdr:spPr>
        <a:xfrm>
          <a:off x="7044666" y="3344333"/>
          <a:ext cx="125438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400" b="1"/>
            <a:t>Oferta Orange</a:t>
          </a:r>
        </a:p>
      </xdr:txBody>
    </xdr:sp>
    <xdr:clientData/>
  </xdr:oneCellAnchor>
  <xdr:oneCellAnchor>
    <xdr:from>
      <xdr:col>9</xdr:col>
      <xdr:colOff>207432</xdr:colOff>
      <xdr:row>35</xdr:row>
      <xdr:rowOff>4231</xdr:rowOff>
    </xdr:from>
    <xdr:ext cx="1720851" cy="530658"/>
    <xdr:sp macro="" textlink="">
      <xdr:nvSpPr>
        <xdr:cNvPr id="7" name="TextBox 6"/>
        <xdr:cNvSpPr txBox="1"/>
      </xdr:nvSpPr>
      <xdr:spPr>
        <a:xfrm>
          <a:off x="6811432" y="4946648"/>
          <a:ext cx="172085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ES" sz="1400" b="1"/>
            <a:t>Calculadora</a:t>
          </a:r>
          <a:r>
            <a:rPr lang="es-ES" sz="1400" b="1" baseline="0"/>
            <a:t> Conecta Pymes Centralita</a:t>
          </a:r>
          <a:endParaRPr lang="es-ES" sz="1400" b="1"/>
        </a:p>
      </xdr:txBody>
    </xdr:sp>
    <xdr:clientData/>
  </xdr:oneCellAnchor>
  <xdr:oneCellAnchor>
    <xdr:from>
      <xdr:col>9</xdr:col>
      <xdr:colOff>207432</xdr:colOff>
      <xdr:row>10</xdr:row>
      <xdr:rowOff>19049</xdr:rowOff>
    </xdr:from>
    <xdr:ext cx="1720851" cy="530658"/>
    <xdr:sp macro="" textlink="">
      <xdr:nvSpPr>
        <xdr:cNvPr id="8" name="TextBox 7"/>
        <xdr:cNvSpPr txBox="1"/>
      </xdr:nvSpPr>
      <xdr:spPr>
        <a:xfrm>
          <a:off x="6811432" y="1839382"/>
          <a:ext cx="172085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ES" sz="1400" b="1"/>
            <a:t>Tráfico</a:t>
          </a:r>
          <a:r>
            <a:rPr lang="es-ES" sz="1400" b="1" baseline="0"/>
            <a:t> en intnal y roaming</a:t>
          </a:r>
          <a:endParaRPr lang="es-ES" sz="1400" b="1"/>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17</xdr:col>
      <xdr:colOff>47625</xdr:colOff>
      <xdr:row>1</xdr:row>
      <xdr:rowOff>142875</xdr:rowOff>
    </xdr:from>
    <xdr:to>
      <xdr:col>18</xdr:col>
      <xdr:colOff>19050</xdr:colOff>
      <xdr:row>2</xdr:row>
      <xdr:rowOff>352425</xdr:rowOff>
    </xdr:to>
    <xdr:pic>
      <xdr:nvPicPr>
        <xdr:cNvPr id="966751" name="Picture 79" descr="Logo Orange II"/>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92050" y="342900"/>
          <a:ext cx="619125"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38614</xdr:colOff>
      <xdr:row>2</xdr:row>
      <xdr:rowOff>368088</xdr:rowOff>
    </xdr:from>
    <xdr:to>
      <xdr:col>18</xdr:col>
      <xdr:colOff>356795</xdr:colOff>
      <xdr:row>3</xdr:row>
      <xdr:rowOff>391645</xdr:rowOff>
    </xdr:to>
    <xdr:sp macro="" textlink="">
      <xdr:nvSpPr>
        <xdr:cNvPr id="2130" name="Text Box 82"/>
        <xdr:cNvSpPr txBox="1">
          <a:spLocks noChangeArrowheads="1"/>
        </xdr:cNvSpPr>
      </xdr:nvSpPr>
      <xdr:spPr bwMode="auto">
        <a:xfrm>
          <a:off x="12281837" y="992505"/>
          <a:ext cx="1265890" cy="44689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ctr" rtl="0">
            <a:defRPr sz="1000"/>
          </a:pPr>
          <a:r>
            <a:rPr lang="es-ES" sz="1000" b="1" i="0" u="none" strike="noStrike" baseline="0">
              <a:solidFill>
                <a:srgbClr val="000000"/>
              </a:solidFill>
              <a:latin typeface="Helvetica 45 Light"/>
            </a:rPr>
            <a:t>Orange Espagne SAU</a:t>
          </a:r>
          <a:endParaRPr lang="es-ES"/>
        </a:p>
      </xdr:txBody>
    </xdr:sp>
    <xdr:clientData/>
  </xdr:twoCellAnchor>
  <xdr:twoCellAnchor editAs="oneCell">
    <xdr:from>
      <xdr:col>3</xdr:col>
      <xdr:colOff>803956</xdr:colOff>
      <xdr:row>1</xdr:row>
      <xdr:rowOff>130969</xdr:rowOff>
    </xdr:from>
    <xdr:to>
      <xdr:col>3</xdr:col>
      <xdr:colOff>1632105</xdr:colOff>
      <xdr:row>3</xdr:row>
      <xdr:rowOff>83343</xdr:rowOff>
    </xdr:to>
    <xdr:pic macro="[0]!Boton_PerfilesUsuario">
      <xdr:nvPicPr>
        <xdr:cNvPr id="966753" name="Picture 214" descr="D ONROAD SOLUTI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87425" y="333375"/>
          <a:ext cx="828149" cy="785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FF6600" mc:Ignorable="a14" a14:legacySpreadsheetColorIndex="53"/>
              </a:solidFill>
              <a:miter lim="800000"/>
              <a:headEnd/>
              <a:tailEnd/>
            </a14:hiddenLine>
          </a:ext>
        </a:extLst>
      </xdr:spPr>
    </xdr:pic>
    <xdr:clientData/>
  </xdr:twoCellAnchor>
  <xdr:twoCellAnchor editAs="oneCell">
    <xdr:from>
      <xdr:col>1</xdr:col>
      <xdr:colOff>452437</xdr:colOff>
      <xdr:row>1</xdr:row>
      <xdr:rowOff>188454</xdr:rowOff>
    </xdr:from>
    <xdr:to>
      <xdr:col>3</xdr:col>
      <xdr:colOff>297654</xdr:colOff>
      <xdr:row>3</xdr:row>
      <xdr:rowOff>60070</xdr:rowOff>
    </xdr:to>
    <xdr:pic macro="[0]!Boton_DatosOferta">
      <xdr:nvPicPr>
        <xdr:cNvPr id="966754" name="Picture 215" descr="B OFFICE BUILD"/>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9156" y="390860"/>
          <a:ext cx="511967" cy="7050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708733</xdr:colOff>
      <xdr:row>3</xdr:row>
      <xdr:rowOff>53395</xdr:rowOff>
    </xdr:from>
    <xdr:ext cx="968022" cy="280205"/>
    <xdr:sp macro="" textlink="">
      <xdr:nvSpPr>
        <xdr:cNvPr id="2" name="1 CuadroTexto"/>
        <xdr:cNvSpPr txBox="1"/>
      </xdr:nvSpPr>
      <xdr:spPr>
        <a:xfrm>
          <a:off x="1792202" y="1089239"/>
          <a:ext cx="96802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a:latin typeface="+mn-lt"/>
              <a:cs typeface="Arial" pitchFamily="34" charset="0"/>
            </a:rPr>
            <a:t>Hacer oferta</a:t>
          </a:r>
        </a:p>
      </xdr:txBody>
    </xdr:sp>
    <xdr:clientData/>
  </xdr:oneCellAnchor>
  <xdr:oneCellAnchor>
    <xdr:from>
      <xdr:col>1</xdr:col>
      <xdr:colOff>95250</xdr:colOff>
      <xdr:row>3</xdr:row>
      <xdr:rowOff>53397</xdr:rowOff>
    </xdr:from>
    <xdr:ext cx="1243216" cy="220448"/>
    <xdr:sp macro="" textlink="">
      <xdr:nvSpPr>
        <xdr:cNvPr id="7" name="6 CuadroTexto"/>
        <xdr:cNvSpPr txBox="1"/>
      </xdr:nvSpPr>
      <xdr:spPr>
        <a:xfrm>
          <a:off x="511969" y="1089241"/>
          <a:ext cx="1243216" cy="220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ES" sz="1200">
              <a:latin typeface="+mn-lt"/>
              <a:cs typeface="Arial" pitchFamily="34" charset="0"/>
            </a:rPr>
            <a:t>Datos del cliente</a:t>
          </a:r>
        </a:p>
      </xdr:txBody>
    </xdr:sp>
    <xdr:clientData/>
  </xdr:oneCellAnchor>
  <xdr:twoCellAnchor editAs="oneCell">
    <xdr:from>
      <xdr:col>3</xdr:col>
      <xdr:colOff>2571750</xdr:colOff>
      <xdr:row>1</xdr:row>
      <xdr:rowOff>174625</xdr:rowOff>
    </xdr:from>
    <xdr:to>
      <xdr:col>4</xdr:col>
      <xdr:colOff>637565</xdr:colOff>
      <xdr:row>3</xdr:row>
      <xdr:rowOff>66065</xdr:rowOff>
    </xdr:to>
    <xdr:pic macro="[0]!Boton_CP_Centralita">
      <xdr:nvPicPr>
        <xdr:cNvPr id="8" name="Picture 7"/>
        <xdr:cNvPicPr>
          <a:picLocks noChangeAspect="1"/>
        </xdr:cNvPicPr>
      </xdr:nvPicPr>
      <xdr:blipFill>
        <a:blip xmlns:r="http://schemas.openxmlformats.org/officeDocument/2006/relationships" r:embed="rId4"/>
        <a:stretch>
          <a:fillRect/>
        </a:stretch>
      </xdr:blipFill>
      <xdr:spPr>
        <a:xfrm>
          <a:off x="3651250" y="381000"/>
          <a:ext cx="716940" cy="716940"/>
        </a:xfrm>
        <a:prstGeom prst="rect">
          <a:avLst/>
        </a:prstGeom>
      </xdr:spPr>
    </xdr:pic>
    <xdr:clientData/>
  </xdr:twoCellAnchor>
  <xdr:oneCellAnchor>
    <xdr:from>
      <xdr:col>3</xdr:col>
      <xdr:colOff>1935077</xdr:colOff>
      <xdr:row>3</xdr:row>
      <xdr:rowOff>73239</xdr:rowOff>
    </xdr:from>
    <xdr:ext cx="2095189" cy="280205"/>
    <xdr:sp macro="" textlink="">
      <xdr:nvSpPr>
        <xdr:cNvPr id="9" name="1 CuadroTexto"/>
        <xdr:cNvSpPr txBox="1"/>
      </xdr:nvSpPr>
      <xdr:spPr>
        <a:xfrm>
          <a:off x="3014577" y="1105114"/>
          <a:ext cx="209518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a:latin typeface="+mn-lt"/>
              <a:cs typeface="Arial" pitchFamily="34" charset="0"/>
            </a:rPr>
            <a:t>Calculadora CPymes</a:t>
          </a:r>
          <a:r>
            <a:rPr lang="es-ES" sz="1200" baseline="0">
              <a:latin typeface="+mn-lt"/>
              <a:cs typeface="Arial" pitchFamily="34" charset="0"/>
            </a:rPr>
            <a:t> Centralita</a:t>
          </a:r>
          <a:endParaRPr lang="es-ES" sz="1200">
            <a:latin typeface="+mn-lt"/>
            <a:cs typeface="Arial"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33</xdr:col>
      <xdr:colOff>95250</xdr:colOff>
      <xdr:row>0</xdr:row>
      <xdr:rowOff>66675</xdr:rowOff>
    </xdr:from>
    <xdr:to>
      <xdr:col>33</xdr:col>
      <xdr:colOff>714375</xdr:colOff>
      <xdr:row>0</xdr:row>
      <xdr:rowOff>676275</xdr:rowOff>
    </xdr:to>
    <xdr:pic>
      <xdr:nvPicPr>
        <xdr:cNvPr id="962973" name="Picture 79" descr="Logo Orange II"/>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851225" y="66675"/>
          <a:ext cx="6191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31</xdr:col>
      <xdr:colOff>981069</xdr:colOff>
      <xdr:row>0</xdr:row>
      <xdr:rowOff>787475</xdr:rowOff>
    </xdr:from>
    <xdr:to>
      <xdr:col>34</xdr:col>
      <xdr:colOff>18276</xdr:colOff>
      <xdr:row>0</xdr:row>
      <xdr:rowOff>1066316</xdr:rowOff>
    </xdr:to>
    <xdr:sp macro="" textlink="">
      <xdr:nvSpPr>
        <xdr:cNvPr id="3" name="Text Box 48"/>
        <xdr:cNvSpPr txBox="1">
          <a:spLocks noChangeArrowheads="1"/>
        </xdr:cNvSpPr>
      </xdr:nvSpPr>
      <xdr:spPr bwMode="auto">
        <a:xfrm>
          <a:off x="34383809" y="787475"/>
          <a:ext cx="2207857" cy="27884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ctr" rtl="0">
            <a:defRPr sz="1000"/>
          </a:pPr>
          <a:r>
            <a:rPr lang="es-ES" sz="1000" b="1" i="0" u="none" strike="noStrike" baseline="0">
              <a:solidFill>
                <a:srgbClr val="000000"/>
              </a:solidFill>
              <a:latin typeface="Helvetica 45 Light"/>
            </a:rPr>
            <a:t>Orange Espagne SAU</a:t>
          </a:r>
          <a:endParaRPr lang="es-ES"/>
        </a:p>
      </xdr:txBody>
    </xdr:sp>
    <xdr:clientData/>
  </xdr:twoCellAnchor>
  <xdr:twoCellAnchor editAs="oneCell">
    <xdr:from>
      <xdr:col>1</xdr:col>
      <xdr:colOff>319454</xdr:colOff>
      <xdr:row>0</xdr:row>
      <xdr:rowOff>288192</xdr:rowOff>
    </xdr:from>
    <xdr:to>
      <xdr:col>1</xdr:col>
      <xdr:colOff>938579</xdr:colOff>
      <xdr:row>0</xdr:row>
      <xdr:rowOff>1145442</xdr:rowOff>
    </xdr:to>
    <xdr:pic macro="[0]!Boton_DatosOferta">
      <xdr:nvPicPr>
        <xdr:cNvPr id="962975" name="Picture 215" descr="B OFFICE BUILD"/>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5896" y="288192"/>
          <a:ext cx="6191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2063261</xdr:colOff>
      <xdr:row>0</xdr:row>
      <xdr:rowOff>273294</xdr:rowOff>
    </xdr:from>
    <xdr:to>
      <xdr:col>1</xdr:col>
      <xdr:colOff>3006236</xdr:colOff>
      <xdr:row>0</xdr:row>
      <xdr:rowOff>1101969</xdr:rowOff>
    </xdr:to>
    <xdr:pic macro="[0]!Boton_EntradaDatos">
      <xdr:nvPicPr>
        <xdr:cNvPr id="962976" name="6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319703" y="273294"/>
          <a:ext cx="9429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84304</xdr:colOff>
      <xdr:row>0</xdr:row>
      <xdr:rowOff>1162685</xdr:rowOff>
    </xdr:from>
    <xdr:ext cx="1196418" cy="254557"/>
    <xdr:sp macro="" textlink="">
      <xdr:nvSpPr>
        <xdr:cNvPr id="10" name="9 CuadroTexto"/>
        <xdr:cNvSpPr txBox="1"/>
      </xdr:nvSpPr>
      <xdr:spPr>
        <a:xfrm>
          <a:off x="341328" y="1162685"/>
          <a:ext cx="1196418"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de cliente</a:t>
          </a:r>
        </a:p>
      </xdr:txBody>
    </xdr:sp>
    <xdr:clientData/>
  </xdr:oneCellAnchor>
  <xdr:oneCellAnchor>
    <xdr:from>
      <xdr:col>1</xdr:col>
      <xdr:colOff>1772236</xdr:colOff>
      <xdr:row>0</xdr:row>
      <xdr:rowOff>1135722</xdr:rowOff>
    </xdr:from>
    <xdr:ext cx="1368773" cy="254557"/>
    <xdr:sp macro="" textlink="">
      <xdr:nvSpPr>
        <xdr:cNvPr id="11" name="10 CuadroTexto"/>
        <xdr:cNvSpPr txBox="1"/>
      </xdr:nvSpPr>
      <xdr:spPr>
        <a:xfrm>
          <a:off x="2028678" y="1135722"/>
          <a:ext cx="136877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intnal</a:t>
          </a:r>
          <a:r>
            <a:rPr lang="es-ES" sz="1100" baseline="0">
              <a:latin typeface="Arial" pitchFamily="34" charset="0"/>
              <a:cs typeface="Arial" pitchFamily="34" charset="0"/>
            </a:rPr>
            <a:t> / roam</a:t>
          </a:r>
          <a:endParaRPr lang="es-ES" sz="1100">
            <a:latin typeface="Arial" pitchFamily="34" charset="0"/>
            <a:cs typeface="Arial" pitchFamily="34" charset="0"/>
          </a:endParaRPr>
        </a:p>
      </xdr:txBody>
    </xdr:sp>
    <xdr:clientData/>
  </xdr:oneCellAnchor>
  <xdr:oneCellAnchor>
    <xdr:from>
      <xdr:col>13</xdr:col>
      <xdr:colOff>721677</xdr:colOff>
      <xdr:row>0</xdr:row>
      <xdr:rowOff>335279</xdr:rowOff>
    </xdr:from>
    <xdr:ext cx="2389823" cy="387286"/>
    <xdr:sp macro="" textlink="'Seleccion de oferta'!K50">
      <xdr:nvSpPr>
        <xdr:cNvPr id="15" name="14 CuadroTexto"/>
        <xdr:cNvSpPr txBox="1"/>
      </xdr:nvSpPr>
      <xdr:spPr>
        <a:xfrm>
          <a:off x="17726977" y="335279"/>
          <a:ext cx="2389823" cy="387286"/>
        </a:xfrm>
        <a:prstGeom prst="rect">
          <a:avLst/>
        </a:prstGeom>
        <a:noFill/>
        <a:ln>
          <a:noFill/>
        </a:ln>
        <a:effectLst/>
      </xdr:spPr>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fld id="{86666DA8-2134-4705-BA85-7416504459E8}" type="TxLink">
            <a:rPr kumimoji="0" lang="en-US" sz="2000" b="1" i="0" u="none" strike="noStrike" kern="0" cap="none" spc="0" normalizeH="0" baseline="0" noProof="0">
              <a:ln>
                <a:noFill/>
              </a:ln>
              <a:solidFill>
                <a:srgbClr val="000000"/>
              </a:solidFill>
              <a:effectLst/>
              <a:uLnTx/>
              <a:uFillTx/>
              <a:latin typeface="Helvetica 55 Roman"/>
              <a:ea typeface="+mn-ea"/>
              <a:cs typeface="Arial" pitchFamily="34" charset="0"/>
            </a:rPr>
            <a:pPr marL="0" marR="0" lvl="0" indent="0" defTabSz="914400" eaLnBrk="1" fontAlgn="auto" latinLnBrk="0" hangingPunct="1">
              <a:lnSpc>
                <a:spcPct val="100000"/>
              </a:lnSpc>
              <a:spcBef>
                <a:spcPts val="0"/>
              </a:spcBef>
              <a:spcAft>
                <a:spcPts val="0"/>
              </a:spcAft>
              <a:buClrTx/>
              <a:buSzTx/>
              <a:buFontTx/>
              <a:buNone/>
              <a:tabLst/>
              <a:defRPr/>
            </a:pPr>
            <a:t>SIN límites 9.0</a:t>
          </a:fld>
          <a:endParaRPr kumimoji="0" lang="es-ES" sz="2000" b="1" i="0" u="none" strike="noStrike" kern="0" cap="none" spc="0" normalizeH="0" baseline="0" noProof="0">
            <a:ln>
              <a:noFill/>
            </a:ln>
            <a:solidFill>
              <a:sysClr val="windowText" lastClr="000000"/>
            </a:solidFill>
            <a:effectLst/>
            <a:uLnTx/>
            <a:uFillTx/>
            <a:latin typeface="Arial" pitchFamily="34" charset="0"/>
            <a:ea typeface="+mn-ea"/>
            <a:cs typeface="Arial" pitchFamily="34" charset="0"/>
          </a:endParaRPr>
        </a:p>
      </xdr:txBody>
    </xdr:sp>
    <xdr:clientData/>
  </xdr:oneCellAnchor>
  <xdr:twoCellAnchor editAs="oneCell">
    <xdr:from>
      <xdr:col>8</xdr:col>
      <xdr:colOff>247650</xdr:colOff>
      <xdr:row>0</xdr:row>
      <xdr:rowOff>1266825</xdr:rowOff>
    </xdr:from>
    <xdr:to>
      <xdr:col>9</xdr:col>
      <xdr:colOff>742950</xdr:colOff>
      <xdr:row>3</xdr:row>
      <xdr:rowOff>219075</xdr:rowOff>
    </xdr:to>
    <xdr:pic macro="[0]!ImprimirOferta">
      <xdr:nvPicPr>
        <xdr:cNvPr id="962982" name="15 Imagen" descr="https://encrypted-tbn1.gstatic.com/images?q=tbn:ANd9GcQeVtZRri2yCpTqBXDWy6NysZ-rCQSZTW85z6XVvSDntUteCd100w"/>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11177" t="9657" r="10580" b="13818"/>
        <a:stretch>
          <a:fillRect/>
        </a:stretch>
      </xdr:blipFill>
      <xdr:spPr bwMode="auto">
        <a:xfrm>
          <a:off x="9620250" y="1266825"/>
          <a:ext cx="771525"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42862</xdr:colOff>
      <xdr:row>133</xdr:row>
      <xdr:rowOff>95250</xdr:rowOff>
    </xdr:from>
    <xdr:to>
      <xdr:col>3</xdr:col>
      <xdr:colOff>209549</xdr:colOff>
      <xdr:row>134</xdr:row>
      <xdr:rowOff>383646</xdr:rowOff>
    </xdr:to>
    <xdr:sp macro="[0]!Filas_Conecta" textlink="">
      <xdr:nvSpPr>
        <xdr:cNvPr id="21" name="Rounded Rectangle 20"/>
        <xdr:cNvSpPr/>
      </xdr:nvSpPr>
      <xdr:spPr bwMode="auto">
        <a:xfrm>
          <a:off x="309562" y="30613350"/>
          <a:ext cx="3538537" cy="555096"/>
        </a:xfrm>
        <a:prstGeom prst="roundRect">
          <a:avLst/>
        </a:prstGeom>
        <a:solidFill>
          <a:schemeClr val="bg1">
            <a:lumMod val="75000"/>
          </a:schemeClr>
        </a:solidFill>
        <a:ln w="9525"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horzOverflow="clip" wrap="square" lIns="18288" tIns="0" rIns="0" bIns="0" rtlCol="0" anchor="ctr" upright="1"/>
        <a:lstStyle/>
        <a:p>
          <a:pPr algn="ctr"/>
          <a:r>
            <a:rPr lang="es-ES" sz="1600"/>
            <a:t>Mostrar</a:t>
          </a:r>
          <a:r>
            <a:rPr lang="es-ES" sz="1600" baseline="0"/>
            <a:t> / Ocultar más de 5 sedes</a:t>
          </a:r>
          <a:endParaRPr lang="es-ES" sz="1600"/>
        </a:p>
      </xdr:txBody>
    </xdr:sp>
    <xdr:clientData/>
  </xdr:twoCellAnchor>
  <xdr:twoCellAnchor>
    <xdr:from>
      <xdr:col>0</xdr:col>
      <xdr:colOff>224263</xdr:colOff>
      <xdr:row>170</xdr:row>
      <xdr:rowOff>161784</xdr:rowOff>
    </xdr:from>
    <xdr:to>
      <xdr:col>3</xdr:col>
      <xdr:colOff>135054</xdr:colOff>
      <xdr:row>171</xdr:row>
      <xdr:rowOff>497575</xdr:rowOff>
    </xdr:to>
    <xdr:sp macro="[0]!Filas_Conecta_Centralita" textlink="">
      <xdr:nvSpPr>
        <xdr:cNvPr id="20" name="Rounded Rectangle 19"/>
        <xdr:cNvSpPr/>
      </xdr:nvSpPr>
      <xdr:spPr bwMode="auto">
        <a:xfrm>
          <a:off x="224263" y="39910888"/>
          <a:ext cx="3507545" cy="591687"/>
        </a:xfrm>
        <a:prstGeom prst="roundRect">
          <a:avLst/>
        </a:prstGeom>
        <a:solidFill>
          <a:schemeClr val="bg1">
            <a:lumMod val="75000"/>
          </a:schemeClr>
        </a:solidFill>
        <a:ln w="9525" cap="flat" cmpd="sng" algn="ctr">
          <a:noFill/>
          <a:prstDash val="solid"/>
          <a:round/>
          <a:headEnd type="none" w="med" len="med"/>
          <a:tailEnd type="none" w="med" len="med"/>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txBody>
        <a:bodyPr vertOverflow="clip" horzOverflow="clip" wrap="square" lIns="18288" tIns="0" rIns="0" bIns="0" rtlCol="0" anchor="ctr" upright="1"/>
        <a:lstStyle/>
        <a:p>
          <a:pPr algn="ctr"/>
          <a:r>
            <a:rPr lang="es-ES" sz="1600"/>
            <a:t>Mostrar</a:t>
          </a:r>
          <a:r>
            <a:rPr lang="es-ES" sz="1600" baseline="0"/>
            <a:t> / Ocultar más de 5 sedes</a:t>
          </a:r>
          <a:endParaRPr lang="es-ES" sz="1600"/>
        </a:p>
      </xdr:txBody>
    </xdr:sp>
    <xdr:clientData/>
  </xdr:twoCellAnchor>
  <xdr:twoCellAnchor editAs="oneCell">
    <xdr:from>
      <xdr:col>3</xdr:col>
      <xdr:colOff>861786</xdr:colOff>
      <xdr:row>0</xdr:row>
      <xdr:rowOff>362857</xdr:rowOff>
    </xdr:from>
    <xdr:to>
      <xdr:col>3</xdr:col>
      <xdr:colOff>1578726</xdr:colOff>
      <xdr:row>0</xdr:row>
      <xdr:rowOff>1079797</xdr:rowOff>
    </xdr:to>
    <xdr:pic macro="[0]!Boton_CP_Centralita">
      <xdr:nvPicPr>
        <xdr:cNvPr id="23" name="Picture 22"/>
        <xdr:cNvPicPr>
          <a:picLocks noChangeAspect="1"/>
        </xdr:cNvPicPr>
      </xdr:nvPicPr>
      <xdr:blipFill>
        <a:blip xmlns:r="http://schemas.openxmlformats.org/officeDocument/2006/relationships" r:embed="rId5"/>
        <a:stretch>
          <a:fillRect/>
        </a:stretch>
      </xdr:blipFill>
      <xdr:spPr>
        <a:xfrm>
          <a:off x="4467679" y="362857"/>
          <a:ext cx="716940" cy="716940"/>
        </a:xfrm>
        <a:prstGeom prst="rect">
          <a:avLst/>
        </a:prstGeom>
      </xdr:spPr>
    </xdr:pic>
    <xdr:clientData/>
  </xdr:twoCellAnchor>
  <xdr:oneCellAnchor>
    <xdr:from>
      <xdr:col>3</xdr:col>
      <xdr:colOff>158751</xdr:colOff>
      <xdr:row>0</xdr:row>
      <xdr:rowOff>1133929</xdr:rowOff>
    </xdr:from>
    <xdr:ext cx="2095189" cy="280205"/>
    <xdr:sp macro="" textlink="">
      <xdr:nvSpPr>
        <xdr:cNvPr id="25" name="1 CuadroTexto"/>
        <xdr:cNvSpPr txBox="1"/>
      </xdr:nvSpPr>
      <xdr:spPr>
        <a:xfrm>
          <a:off x="3764644" y="1133929"/>
          <a:ext cx="209518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a:latin typeface="+mn-lt"/>
              <a:cs typeface="Arial" pitchFamily="34" charset="0"/>
            </a:rPr>
            <a:t>Calculadora CPymes</a:t>
          </a:r>
          <a:r>
            <a:rPr lang="es-ES" sz="1200" baseline="0">
              <a:latin typeface="+mn-lt"/>
              <a:cs typeface="Arial" pitchFamily="34" charset="0"/>
            </a:rPr>
            <a:t> Centralita</a:t>
          </a:r>
          <a:endParaRPr lang="es-ES" sz="1200">
            <a:latin typeface="+mn-lt"/>
            <a:cs typeface="Arial" pitchFamily="34" charset="0"/>
          </a:endParaRPr>
        </a:p>
      </xdr:txBody>
    </xdr:sp>
    <xdr:clientData/>
  </xdr:oneCellAnchor>
  <xdr:twoCellAnchor>
    <xdr:from>
      <xdr:col>23</xdr:col>
      <xdr:colOff>0</xdr:colOff>
      <xdr:row>209</xdr:row>
      <xdr:rowOff>114301</xdr:rowOff>
    </xdr:from>
    <xdr:to>
      <xdr:col>25</xdr:col>
      <xdr:colOff>1300976</xdr:colOff>
      <xdr:row>209</xdr:row>
      <xdr:rowOff>114301</xdr:rowOff>
    </xdr:to>
    <xdr:cxnSp macro="">
      <xdr:nvCxnSpPr>
        <xdr:cNvPr id="22" name="19 Conector recto"/>
        <xdr:cNvCxnSpPr/>
      </xdr:nvCxnSpPr>
      <xdr:spPr bwMode="auto">
        <a:xfrm flipH="1">
          <a:off x="26367988" y="39910216"/>
          <a:ext cx="2869116" cy="0"/>
        </a:xfrm>
        <a:prstGeom prst="line">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xdr:spPr>
    </xdr:cxnSp>
    <xdr:clientData/>
  </xdr:twoCellAnchor>
  <xdr:twoCellAnchor>
    <xdr:from>
      <xdr:col>27</xdr:col>
      <xdr:colOff>580793</xdr:colOff>
      <xdr:row>209</xdr:row>
      <xdr:rowOff>130877</xdr:rowOff>
    </xdr:from>
    <xdr:to>
      <xdr:col>29</xdr:col>
      <xdr:colOff>1645725</xdr:colOff>
      <xdr:row>209</xdr:row>
      <xdr:rowOff>130877</xdr:rowOff>
    </xdr:to>
    <xdr:cxnSp macro="">
      <xdr:nvCxnSpPr>
        <xdr:cNvPr id="27" name="20 Conector recto"/>
        <xdr:cNvCxnSpPr/>
      </xdr:nvCxnSpPr>
      <xdr:spPr bwMode="auto">
        <a:xfrm flipH="1">
          <a:off x="30259299" y="39926792"/>
          <a:ext cx="2877005" cy="0"/>
        </a:xfrm>
        <a:prstGeom prst="line">
          <a:avLst/>
        </a:pr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xdr:spPr>
    </xdr:cxnSp>
    <xdr:clientData/>
  </xdr:twoCellAnchor>
  <xdr:oneCellAnchor>
    <xdr:from>
      <xdr:col>25</xdr:col>
      <xdr:colOff>1428751</xdr:colOff>
      <xdr:row>208</xdr:row>
      <xdr:rowOff>325245</xdr:rowOff>
    </xdr:from>
    <xdr:ext cx="790216" cy="342786"/>
    <xdr:sp macro="" textlink="">
      <xdr:nvSpPr>
        <xdr:cNvPr id="5" name="TextBox 4"/>
        <xdr:cNvSpPr txBox="1"/>
      </xdr:nvSpPr>
      <xdr:spPr>
        <a:xfrm>
          <a:off x="29364879" y="39737836"/>
          <a:ext cx="790216"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600"/>
            <a:t>Backup</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11</xdr:col>
      <xdr:colOff>582704</xdr:colOff>
      <xdr:row>30</xdr:row>
      <xdr:rowOff>179296</xdr:rowOff>
    </xdr:from>
    <xdr:to>
      <xdr:col>17</xdr:col>
      <xdr:colOff>638735</xdr:colOff>
      <xdr:row>39</xdr:row>
      <xdr:rowOff>56029</xdr:rowOff>
    </xdr:to>
    <xdr:sp macro="" textlink="">
      <xdr:nvSpPr>
        <xdr:cNvPr id="2" name="1 Rectángulo redondeado">
          <a:extLst>
            <a:ext uri="{FF2B5EF4-FFF2-40B4-BE49-F238E27FC236}">
              <a16:creationId xmlns="" xmlns:a16="http://schemas.microsoft.com/office/drawing/2014/main" id="{00000000-0008-0000-0200-000002000000}"/>
            </a:ext>
          </a:extLst>
        </xdr:cNvPr>
        <xdr:cNvSpPr/>
      </xdr:nvSpPr>
      <xdr:spPr>
        <a:xfrm>
          <a:off x="15060704" y="3941671"/>
          <a:ext cx="5190006" cy="1800783"/>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xdr:col>
      <xdr:colOff>0</xdr:colOff>
      <xdr:row>1</xdr:row>
      <xdr:rowOff>0</xdr:rowOff>
    </xdr:from>
    <xdr:to>
      <xdr:col>2</xdr:col>
      <xdr:colOff>619125</xdr:colOff>
      <xdr:row>2</xdr:row>
      <xdr:rowOff>677794</xdr:rowOff>
    </xdr:to>
    <xdr:pic macro="[0]!Boton_DatosOferta">
      <xdr:nvPicPr>
        <xdr:cNvPr id="3" name="Picture 215" descr="B OFFICE BUILD"/>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8804" y="179457"/>
          <a:ext cx="61912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110434</xdr:colOff>
      <xdr:row>2</xdr:row>
      <xdr:rowOff>690218</xdr:rowOff>
    </xdr:from>
    <xdr:ext cx="1196418" cy="254557"/>
    <xdr:sp macro="" textlink="">
      <xdr:nvSpPr>
        <xdr:cNvPr id="4" name="9 CuadroTexto"/>
        <xdr:cNvSpPr txBox="1"/>
      </xdr:nvSpPr>
      <xdr:spPr>
        <a:xfrm>
          <a:off x="372717" y="1049131"/>
          <a:ext cx="1196418"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de cliente</a:t>
          </a:r>
        </a:p>
      </xdr:txBody>
    </xdr:sp>
    <xdr:clientData/>
  </xdr:oneCellAnchor>
  <xdr:twoCellAnchor editAs="oneCell">
    <xdr:from>
      <xdr:col>2</xdr:col>
      <xdr:colOff>1352826</xdr:colOff>
      <xdr:row>1</xdr:row>
      <xdr:rowOff>13804</xdr:rowOff>
    </xdr:from>
    <xdr:to>
      <xdr:col>3</xdr:col>
      <xdr:colOff>56908</xdr:colOff>
      <xdr:row>2</xdr:row>
      <xdr:rowOff>663023</xdr:rowOff>
    </xdr:to>
    <xdr:pic macro="[0]!Boton_EntradaDatos">
      <xdr:nvPicPr>
        <xdr:cNvPr id="5" name="6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01630" y="193261"/>
          <a:ext cx="9429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1076739</xdr:colOff>
      <xdr:row>2</xdr:row>
      <xdr:rowOff>704021</xdr:rowOff>
    </xdr:from>
    <xdr:ext cx="1368773" cy="254557"/>
    <xdr:sp macro="" textlink="">
      <xdr:nvSpPr>
        <xdr:cNvPr id="6" name="10 CuadroTexto"/>
        <xdr:cNvSpPr txBox="1"/>
      </xdr:nvSpPr>
      <xdr:spPr>
        <a:xfrm>
          <a:off x="1725543" y="1062934"/>
          <a:ext cx="136877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latin typeface="Arial" pitchFamily="34" charset="0"/>
              <a:cs typeface="Arial" pitchFamily="34" charset="0"/>
            </a:rPr>
            <a:t>Datos intnal</a:t>
          </a:r>
          <a:r>
            <a:rPr lang="es-ES" sz="1100" baseline="0">
              <a:latin typeface="Arial" pitchFamily="34" charset="0"/>
              <a:cs typeface="Arial" pitchFamily="34" charset="0"/>
            </a:rPr>
            <a:t> / roam</a:t>
          </a:r>
          <a:endParaRPr lang="es-ES" sz="1100">
            <a:latin typeface="Arial" pitchFamily="34" charset="0"/>
            <a:cs typeface="Arial" pitchFamily="34" charset="0"/>
          </a:endParaRPr>
        </a:p>
      </xdr:txBody>
    </xdr:sp>
    <xdr:clientData/>
  </xdr:oneCellAnchor>
  <xdr:twoCellAnchor editAs="oneCell">
    <xdr:from>
      <xdr:col>3</xdr:col>
      <xdr:colOff>609917</xdr:colOff>
      <xdr:row>0</xdr:row>
      <xdr:rowOff>142418</xdr:rowOff>
    </xdr:from>
    <xdr:to>
      <xdr:col>5</xdr:col>
      <xdr:colOff>14492</xdr:colOff>
      <xdr:row>2</xdr:row>
      <xdr:rowOff>652144</xdr:rowOff>
    </xdr:to>
    <xdr:pic macro="[0]!Boton_PerfilesUsuario">
      <xdr:nvPicPr>
        <xdr:cNvPr id="7" name="Picture 214" descr="D ONROAD SOLUTIONS"/>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513880" y="142418"/>
          <a:ext cx="903021" cy="8814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FF6600" mc:Ignorable="a14" a14:legacySpreadsheetColorIndex="53"/>
              </a:solidFill>
              <a:miter lim="800000"/>
              <a:headEnd/>
              <a:tailEnd/>
            </a14:hiddenLine>
          </a:ext>
        </a:extLst>
      </xdr:spPr>
    </xdr:pic>
    <xdr:clientData/>
  </xdr:twoCellAnchor>
  <xdr:oneCellAnchor>
    <xdr:from>
      <xdr:col>3</xdr:col>
      <xdr:colOff>455207</xdr:colOff>
      <xdr:row>2</xdr:row>
      <xdr:rowOff>704020</xdr:rowOff>
    </xdr:from>
    <xdr:ext cx="961032" cy="254557"/>
    <xdr:sp macro="" textlink="">
      <xdr:nvSpPr>
        <xdr:cNvPr id="8" name="1 CuadroTexto"/>
        <xdr:cNvSpPr txBox="1"/>
      </xdr:nvSpPr>
      <xdr:spPr>
        <a:xfrm>
          <a:off x="3359170" y="1075727"/>
          <a:ext cx="961032"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s-ES" sz="1100">
              <a:solidFill>
                <a:schemeClr val="tx1"/>
              </a:solidFill>
              <a:latin typeface="Arial" pitchFamily="34" charset="0"/>
              <a:ea typeface="+mn-ea"/>
              <a:cs typeface="Arial" pitchFamily="34" charset="0"/>
            </a:rPr>
            <a:t>Hacer oferta</a:t>
          </a:r>
        </a:p>
      </xdr:txBody>
    </xdr:sp>
    <xdr:clientData/>
  </xdr:oneCellAnchor>
  <xdr:twoCellAnchor editAs="oneCell">
    <xdr:from>
      <xdr:col>19</xdr:col>
      <xdr:colOff>312964</xdr:colOff>
      <xdr:row>1</xdr:row>
      <xdr:rowOff>122465</xdr:rowOff>
    </xdr:from>
    <xdr:to>
      <xdr:col>19</xdr:col>
      <xdr:colOff>932089</xdr:colOff>
      <xdr:row>2</xdr:row>
      <xdr:rowOff>555172</xdr:rowOff>
    </xdr:to>
    <xdr:pic>
      <xdr:nvPicPr>
        <xdr:cNvPr id="10" name="Picture 79" descr="Logo Orange II"/>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859750" y="299358"/>
          <a:ext cx="6191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539750</xdr:colOff>
      <xdr:row>2</xdr:row>
      <xdr:rowOff>635000</xdr:rowOff>
    </xdr:from>
    <xdr:to>
      <xdr:col>20</xdr:col>
      <xdr:colOff>477017</xdr:colOff>
      <xdr:row>4</xdr:row>
      <xdr:rowOff>20306</xdr:rowOff>
    </xdr:to>
    <xdr:sp macro="" textlink="">
      <xdr:nvSpPr>
        <xdr:cNvPr id="11" name="Text Box 48"/>
        <xdr:cNvSpPr txBox="1">
          <a:spLocks noChangeArrowheads="1"/>
        </xdr:cNvSpPr>
      </xdr:nvSpPr>
      <xdr:spPr bwMode="auto">
        <a:xfrm>
          <a:off x="20224750" y="984250"/>
          <a:ext cx="1762892" cy="29018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ctr" rtl="0">
            <a:defRPr sz="1000"/>
          </a:pPr>
          <a:r>
            <a:rPr lang="es-ES" sz="1000" b="1" i="0" u="none" strike="noStrike" baseline="0">
              <a:solidFill>
                <a:srgbClr val="000000"/>
              </a:solidFill>
              <a:latin typeface="Helvetica 45 Light"/>
            </a:rPr>
            <a:t>Orange Espagne SAU</a:t>
          </a:r>
          <a:endParaRPr lang="es-ES"/>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20</xdr:col>
      <xdr:colOff>333375</xdr:colOff>
      <xdr:row>529</xdr:row>
      <xdr:rowOff>19050</xdr:rowOff>
    </xdr:from>
    <xdr:to>
      <xdr:col>20</xdr:col>
      <xdr:colOff>1152525</xdr:colOff>
      <xdr:row>531</xdr:row>
      <xdr:rowOff>114300</xdr:rowOff>
    </xdr:to>
    <xdr:pic>
      <xdr:nvPicPr>
        <xdr:cNvPr id="965102"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50250" y="1293876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209</xdr:row>
      <xdr:rowOff>152400</xdr:rowOff>
    </xdr:from>
    <xdr:to>
      <xdr:col>20</xdr:col>
      <xdr:colOff>895350</xdr:colOff>
      <xdr:row>211</xdr:row>
      <xdr:rowOff>295275</xdr:rowOff>
    </xdr:to>
    <xdr:pic>
      <xdr:nvPicPr>
        <xdr:cNvPr id="965103"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793075" y="430244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260</xdr:row>
      <xdr:rowOff>47625</xdr:rowOff>
    </xdr:from>
    <xdr:to>
      <xdr:col>20</xdr:col>
      <xdr:colOff>1104900</xdr:colOff>
      <xdr:row>262</xdr:row>
      <xdr:rowOff>133350</xdr:rowOff>
    </xdr:to>
    <xdr:pic>
      <xdr:nvPicPr>
        <xdr:cNvPr id="965104"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02625" y="5818822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474674</xdr:colOff>
      <xdr:row>51</xdr:row>
      <xdr:rowOff>0</xdr:rowOff>
    </xdr:from>
    <xdr:to>
      <xdr:col>20</xdr:col>
      <xdr:colOff>518159</xdr:colOff>
      <xdr:row>57</xdr:row>
      <xdr:rowOff>118132</xdr:rowOff>
    </xdr:to>
    <xdr:sp macro="" textlink="">
      <xdr:nvSpPr>
        <xdr:cNvPr id="22" name="21 CuadroTexto"/>
        <xdr:cNvSpPr txBox="1"/>
      </xdr:nvSpPr>
      <xdr:spPr>
        <a:xfrm>
          <a:off x="474674" y="14904720"/>
          <a:ext cx="21745245" cy="121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514348</xdr:colOff>
      <xdr:row>7</xdr:row>
      <xdr:rowOff>9525</xdr:rowOff>
    </xdr:to>
    <xdr:pic>
      <xdr:nvPicPr>
        <xdr:cNvPr id="965107"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70735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482</xdr:row>
      <xdr:rowOff>57150</xdr:rowOff>
    </xdr:from>
    <xdr:to>
      <xdr:col>20</xdr:col>
      <xdr:colOff>1076325</xdr:colOff>
      <xdr:row>484</xdr:row>
      <xdr:rowOff>152400</xdr:rowOff>
    </xdr:to>
    <xdr:pic>
      <xdr:nvPicPr>
        <xdr:cNvPr id="965108"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1148334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560</xdr:row>
      <xdr:rowOff>114300</xdr:rowOff>
    </xdr:from>
    <xdr:to>
      <xdr:col>20</xdr:col>
      <xdr:colOff>1143000</xdr:colOff>
      <xdr:row>563</xdr:row>
      <xdr:rowOff>152402</xdr:rowOff>
    </xdr:to>
    <xdr:pic>
      <xdr:nvPicPr>
        <xdr:cNvPr id="965109"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031200" y="144151350"/>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295275</xdr:colOff>
      <xdr:row>437</xdr:row>
      <xdr:rowOff>9525</xdr:rowOff>
    </xdr:from>
    <xdr:to>
      <xdr:col>20</xdr:col>
      <xdr:colOff>1114425</xdr:colOff>
      <xdr:row>439</xdr:row>
      <xdr:rowOff>95251</xdr:rowOff>
    </xdr:to>
    <xdr:pic>
      <xdr:nvPicPr>
        <xdr:cNvPr id="965110"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12150" y="989838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320</xdr:row>
      <xdr:rowOff>85725</xdr:rowOff>
    </xdr:from>
    <xdr:to>
      <xdr:col>20</xdr:col>
      <xdr:colOff>1028700</xdr:colOff>
      <xdr:row>323</xdr:row>
      <xdr:rowOff>76201</xdr:rowOff>
    </xdr:to>
    <xdr:pic>
      <xdr:nvPicPr>
        <xdr:cNvPr id="965111"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926425" y="698182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831</xdr:row>
      <xdr:rowOff>19050</xdr:rowOff>
    </xdr:from>
    <xdr:to>
      <xdr:col>20</xdr:col>
      <xdr:colOff>914400</xdr:colOff>
      <xdr:row>834</xdr:row>
      <xdr:rowOff>95247</xdr:rowOff>
    </xdr:to>
    <xdr:pic>
      <xdr:nvPicPr>
        <xdr:cNvPr id="965112"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812125" y="17292637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873</xdr:row>
      <xdr:rowOff>152400</xdr:rowOff>
    </xdr:from>
    <xdr:to>
      <xdr:col>20</xdr:col>
      <xdr:colOff>933450</xdr:colOff>
      <xdr:row>876</xdr:row>
      <xdr:rowOff>152399</xdr:rowOff>
    </xdr:to>
    <xdr:pic>
      <xdr:nvPicPr>
        <xdr:cNvPr id="965113"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831175" y="186832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666750</xdr:colOff>
      <xdr:row>461</xdr:row>
      <xdr:rowOff>66675</xdr:rowOff>
    </xdr:from>
    <xdr:to>
      <xdr:col>8</xdr:col>
      <xdr:colOff>767915</xdr:colOff>
      <xdr:row>477</xdr:row>
      <xdr:rowOff>28576</xdr:rowOff>
    </xdr:to>
    <xdr:pic>
      <xdr:nvPicPr>
        <xdr:cNvPr id="965115" name="Picture 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3000" y="108785025"/>
          <a:ext cx="7734300" cy="46863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10</xdr:col>
      <xdr:colOff>285750</xdr:colOff>
      <xdr:row>461</xdr:row>
      <xdr:rowOff>66675</xdr:rowOff>
    </xdr:from>
    <xdr:to>
      <xdr:col>18</xdr:col>
      <xdr:colOff>864053</xdr:colOff>
      <xdr:row>473</xdr:row>
      <xdr:rowOff>257176</xdr:rowOff>
    </xdr:to>
    <xdr:pic>
      <xdr:nvPicPr>
        <xdr:cNvPr id="965116" name="Picture 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648825" y="108785025"/>
          <a:ext cx="10277475" cy="37338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20</xdr:col>
      <xdr:colOff>314325</xdr:colOff>
      <xdr:row>120</xdr:row>
      <xdr:rowOff>57150</xdr:rowOff>
    </xdr:from>
    <xdr:to>
      <xdr:col>20</xdr:col>
      <xdr:colOff>1143000</xdr:colOff>
      <xdr:row>122</xdr:row>
      <xdr:rowOff>161926</xdr:rowOff>
    </xdr:to>
    <xdr:pic>
      <xdr:nvPicPr>
        <xdr:cNvPr id="965117" name="Picture 23" descr="logo_rgb"/>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031200" y="13506450"/>
          <a:ext cx="828675"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163</xdr:row>
      <xdr:rowOff>57150</xdr:rowOff>
    </xdr:from>
    <xdr:to>
      <xdr:col>20</xdr:col>
      <xdr:colOff>1076325</xdr:colOff>
      <xdr:row>165</xdr:row>
      <xdr:rowOff>152400</xdr:rowOff>
    </xdr:to>
    <xdr:pic>
      <xdr:nvPicPr>
        <xdr:cNvPr id="965119"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274034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393</xdr:row>
      <xdr:rowOff>57150</xdr:rowOff>
    </xdr:from>
    <xdr:to>
      <xdr:col>20</xdr:col>
      <xdr:colOff>1143000</xdr:colOff>
      <xdr:row>395</xdr:row>
      <xdr:rowOff>152399</xdr:rowOff>
    </xdr:to>
    <xdr:pic>
      <xdr:nvPicPr>
        <xdr:cNvPr id="965120" name="Picture 23" descr="logo_rgb"/>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1031200" y="84153375"/>
          <a:ext cx="828675"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285750</xdr:colOff>
      <xdr:row>407</xdr:row>
      <xdr:rowOff>323850</xdr:rowOff>
    </xdr:from>
    <xdr:to>
      <xdr:col>10</xdr:col>
      <xdr:colOff>685800</xdr:colOff>
      <xdr:row>421</xdr:row>
      <xdr:rowOff>285750</xdr:rowOff>
    </xdr:to>
    <xdr:pic>
      <xdr:nvPicPr>
        <xdr:cNvPr id="965121" name="Picture 510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2000" y="89096850"/>
          <a:ext cx="9286875" cy="5734050"/>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219075</xdr:colOff>
      <xdr:row>409</xdr:row>
      <xdr:rowOff>628650</xdr:rowOff>
    </xdr:from>
    <xdr:to>
      <xdr:col>20</xdr:col>
      <xdr:colOff>342900</xdr:colOff>
      <xdr:row>427</xdr:row>
      <xdr:rowOff>219075</xdr:rowOff>
    </xdr:to>
    <xdr:pic>
      <xdr:nvPicPr>
        <xdr:cNvPr id="965122" name="Picture 4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458450" y="90811350"/>
          <a:ext cx="10601325" cy="5724525"/>
        </a:xfrm>
        <a:prstGeom prst="rect">
          <a:avLst/>
        </a:prstGeom>
        <a:noFill/>
        <a:ln w="9525">
          <a:solidFill>
            <a:srgbClr val="FF66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314325</xdr:colOff>
      <xdr:row>63</xdr:row>
      <xdr:rowOff>57150</xdr:rowOff>
    </xdr:from>
    <xdr:ext cx="828675" cy="866775"/>
    <xdr:pic>
      <xdr:nvPicPr>
        <xdr:cNvPr id="26"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680805" y="2657475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60960</xdr:colOff>
      <xdr:row>7</xdr:row>
      <xdr:rowOff>335281</xdr:rowOff>
    </xdr:from>
    <xdr:to>
      <xdr:col>20</xdr:col>
      <xdr:colOff>136250</xdr:colOff>
      <xdr:row>43</xdr:row>
      <xdr:rowOff>146877</xdr:rowOff>
    </xdr:to>
    <xdr:pic>
      <xdr:nvPicPr>
        <xdr:cNvPr id="3" name="2 Imagen"/>
        <xdr:cNvPicPr>
          <a:picLocks noChangeAspect="1"/>
        </xdr:cNvPicPr>
      </xdr:nvPicPr>
      <xdr:blipFill rotWithShape="1">
        <a:blip xmlns:r="http://schemas.openxmlformats.org/officeDocument/2006/relationships" r:embed="rId16"/>
        <a:srcRect l="18471" r="4547"/>
        <a:stretch/>
      </xdr:blipFill>
      <xdr:spPr>
        <a:xfrm>
          <a:off x="9723120" y="1615441"/>
          <a:ext cx="12782550" cy="12064556"/>
        </a:xfrm>
        <a:prstGeom prst="rect">
          <a:avLst/>
        </a:prstGeom>
      </xdr:spPr>
    </xdr:pic>
    <xdr:clientData/>
  </xdr:twoCellAnchor>
  <xdr:twoCellAnchor>
    <xdr:from>
      <xdr:col>1</xdr:col>
      <xdr:colOff>114300</xdr:colOff>
      <xdr:row>192</xdr:row>
      <xdr:rowOff>4882</xdr:rowOff>
    </xdr:from>
    <xdr:to>
      <xdr:col>1</xdr:col>
      <xdr:colOff>781050</xdr:colOff>
      <xdr:row>193</xdr:row>
      <xdr:rowOff>438150</xdr:rowOff>
    </xdr:to>
    <xdr:pic>
      <xdr:nvPicPr>
        <xdr:cNvPr id="28" name="Imagen 4" descr="image001"/>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01980" y="4699742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640</xdr:row>
      <xdr:rowOff>57150</xdr:rowOff>
    </xdr:from>
    <xdr:ext cx="819150" cy="819150"/>
    <xdr:pic>
      <xdr:nvPicPr>
        <xdr:cNvPr id="27"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897975" y="2013204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619125</xdr:colOff>
      <xdr:row>646</xdr:row>
      <xdr:rowOff>161925</xdr:rowOff>
    </xdr:from>
    <xdr:ext cx="5448300" cy="2619375"/>
    <xdr:pic>
      <xdr:nvPicPr>
        <xdr:cNvPr id="29" name="19 Imagen"/>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5992475" y="203654025"/>
          <a:ext cx="5448300" cy="2619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723900</xdr:colOff>
      <xdr:row>660</xdr:row>
      <xdr:rowOff>133350</xdr:rowOff>
    </xdr:from>
    <xdr:ext cx="2346612" cy="3326689"/>
    <xdr:pic>
      <xdr:nvPicPr>
        <xdr:cNvPr id="30" name="29 Imagen"/>
        <xdr:cNvPicPr>
          <a:picLocks noChangeAspect="1"/>
        </xdr:cNvPicPr>
      </xdr:nvPicPr>
      <xdr:blipFill rotWithShape="1">
        <a:blip xmlns:r="http://schemas.openxmlformats.org/officeDocument/2006/relationships" r:embed="rId20"/>
        <a:srcRect l="65803"/>
        <a:stretch/>
      </xdr:blipFill>
      <xdr:spPr>
        <a:xfrm>
          <a:off x="17335500" y="208654650"/>
          <a:ext cx="2346612" cy="3326689"/>
        </a:xfrm>
        <a:prstGeom prst="rect">
          <a:avLst/>
        </a:prstGeom>
      </xdr:spPr>
    </xdr:pic>
    <xdr:clientData/>
  </xdr:oneCellAnchor>
  <xdr:oneCellAnchor>
    <xdr:from>
      <xdr:col>20</xdr:col>
      <xdr:colOff>257175</xdr:colOff>
      <xdr:row>788</xdr:row>
      <xdr:rowOff>57150</xdr:rowOff>
    </xdr:from>
    <xdr:ext cx="819150" cy="819150"/>
    <xdr:pic>
      <xdr:nvPicPr>
        <xdr:cNvPr id="31"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897975" y="2085403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15</xdr:col>
      <xdr:colOff>342900</xdr:colOff>
      <xdr:row>129</xdr:row>
      <xdr:rowOff>190500</xdr:rowOff>
    </xdr:from>
    <xdr:to>
      <xdr:col>19</xdr:col>
      <xdr:colOff>604012</xdr:colOff>
      <xdr:row>142</xdr:row>
      <xdr:rowOff>152400</xdr:rowOff>
    </xdr:to>
    <xdr:pic>
      <xdr:nvPicPr>
        <xdr:cNvPr id="35" name="34 Imagen"/>
        <xdr:cNvPicPr>
          <a:picLocks noChangeAspect="1"/>
        </xdr:cNvPicPr>
      </xdr:nvPicPr>
      <xdr:blipFill>
        <a:blip xmlns:r="http://schemas.openxmlformats.org/officeDocument/2006/relationships" r:embed="rId21"/>
        <a:stretch>
          <a:fillRect/>
        </a:stretch>
      </xdr:blipFill>
      <xdr:spPr>
        <a:xfrm>
          <a:off x="15716250" y="36918900"/>
          <a:ext cx="5577876" cy="5524500"/>
        </a:xfrm>
        <a:prstGeom prst="rect">
          <a:avLst/>
        </a:prstGeom>
      </xdr:spPr>
    </xdr:pic>
    <xdr:clientData/>
  </xdr:twoCellAnchor>
  <xdr:oneCellAnchor>
    <xdr:from>
      <xdr:col>20</xdr:col>
      <xdr:colOff>314325</xdr:colOff>
      <xdr:row>600</xdr:row>
      <xdr:rowOff>114300</xdr:rowOff>
    </xdr:from>
    <xdr:ext cx="828675" cy="819149"/>
    <xdr:pic>
      <xdr:nvPicPr>
        <xdr:cNvPr id="32" name="Picture 23" descr="logo_rgb"/>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1031200" y="1697926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257175</xdr:colOff>
      <xdr:row>694</xdr:row>
      <xdr:rowOff>57150</xdr:rowOff>
    </xdr:from>
    <xdr:ext cx="819150" cy="819150"/>
    <xdr:pic>
      <xdr:nvPicPr>
        <xdr:cNvPr id="37"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674818" y="206259793"/>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876300</xdr:colOff>
      <xdr:row>700</xdr:row>
      <xdr:rowOff>38100</xdr:rowOff>
    </xdr:from>
    <xdr:ext cx="3368133" cy="2438106"/>
    <xdr:pic>
      <xdr:nvPicPr>
        <xdr:cNvPr id="40" name="35 Imagen"/>
        <xdr:cNvPicPr>
          <a:picLocks noChangeAspect="1"/>
        </xdr:cNvPicPr>
      </xdr:nvPicPr>
      <xdr:blipFill>
        <a:blip xmlns:r="http://schemas.openxmlformats.org/officeDocument/2006/relationships" r:embed="rId23"/>
        <a:stretch>
          <a:fillRect/>
        </a:stretch>
      </xdr:blipFill>
      <xdr:spPr>
        <a:xfrm>
          <a:off x="17096014" y="219058671"/>
          <a:ext cx="3368133" cy="2438106"/>
        </a:xfrm>
        <a:prstGeom prst="rect">
          <a:avLst/>
        </a:prstGeom>
      </xdr:spPr>
    </xdr:pic>
    <xdr:clientData/>
  </xdr:oneCellAnchor>
  <xdr:oneCellAnchor>
    <xdr:from>
      <xdr:col>19</xdr:col>
      <xdr:colOff>1224642</xdr:colOff>
      <xdr:row>735</xdr:row>
      <xdr:rowOff>249465</xdr:rowOff>
    </xdr:from>
    <xdr:ext cx="819150" cy="819150"/>
    <xdr:pic>
      <xdr:nvPicPr>
        <xdr:cNvPr id="38"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338392" y="240098036"/>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1066801</xdr:colOff>
      <xdr:row>740</xdr:row>
      <xdr:rowOff>120047</xdr:rowOff>
    </xdr:from>
    <xdr:to>
      <xdr:col>19</xdr:col>
      <xdr:colOff>704851</xdr:colOff>
      <xdr:row>752</xdr:row>
      <xdr:rowOff>25644</xdr:rowOff>
    </xdr:to>
    <xdr:pic>
      <xdr:nvPicPr>
        <xdr:cNvPr id="39" name="32 Imagen"/>
        <xdr:cNvPicPr>
          <a:picLocks noChangeAspect="1"/>
        </xdr:cNvPicPr>
      </xdr:nvPicPr>
      <xdr:blipFill>
        <a:blip xmlns:r="http://schemas.openxmlformats.org/officeDocument/2006/relationships" r:embed="rId24"/>
        <a:stretch>
          <a:fillRect/>
        </a:stretch>
      </xdr:blipFill>
      <xdr:spPr>
        <a:xfrm>
          <a:off x="15906751" y="244302947"/>
          <a:ext cx="5962650" cy="3753698"/>
        </a:xfrm>
        <a:prstGeom prst="rect">
          <a:avLst/>
        </a:prstGeom>
      </xdr:spPr>
    </xdr:pic>
    <xdr:clientData/>
  </xdr:twoCellAnchor>
  <xdr:twoCellAnchor editAs="oneCell">
    <xdr:from>
      <xdr:col>13</xdr:col>
      <xdr:colOff>422557</xdr:colOff>
      <xdr:row>755</xdr:row>
      <xdr:rowOff>95250</xdr:rowOff>
    </xdr:from>
    <xdr:to>
      <xdr:col>20</xdr:col>
      <xdr:colOff>566739</xdr:colOff>
      <xdr:row>762</xdr:row>
      <xdr:rowOff>111709</xdr:rowOff>
    </xdr:to>
    <xdr:pic>
      <xdr:nvPicPr>
        <xdr:cNvPr id="41" name="33 Imagen"/>
        <xdr:cNvPicPr>
          <a:picLocks noChangeAspect="1"/>
        </xdr:cNvPicPr>
      </xdr:nvPicPr>
      <xdr:blipFill>
        <a:blip xmlns:r="http://schemas.openxmlformats.org/officeDocument/2006/relationships" r:embed="rId25"/>
        <a:stretch>
          <a:fillRect/>
        </a:stretch>
      </xdr:blipFill>
      <xdr:spPr>
        <a:xfrm>
          <a:off x="14062357" y="249154950"/>
          <a:ext cx="9135782" cy="2550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20</xdr:col>
      <xdr:colOff>333375</xdr:colOff>
      <xdr:row>426</xdr:row>
      <xdr:rowOff>19050</xdr:rowOff>
    </xdr:from>
    <xdr:to>
      <xdr:col>20</xdr:col>
      <xdr:colOff>1152525</xdr:colOff>
      <xdr:row>428</xdr:row>
      <xdr:rowOff>114299</xdr:rowOff>
    </xdr:to>
    <xdr:pic>
      <xdr:nvPicPr>
        <xdr:cNvPr id="968784"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00" y="944689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207</xdr:row>
      <xdr:rowOff>152400</xdr:rowOff>
    </xdr:from>
    <xdr:to>
      <xdr:col>20</xdr:col>
      <xdr:colOff>895350</xdr:colOff>
      <xdr:row>210</xdr:row>
      <xdr:rowOff>219074</xdr:rowOff>
    </xdr:to>
    <xdr:pic>
      <xdr:nvPicPr>
        <xdr:cNvPr id="968785"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88325" y="4311015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258</xdr:row>
      <xdr:rowOff>47625</xdr:rowOff>
    </xdr:from>
    <xdr:to>
      <xdr:col>20</xdr:col>
      <xdr:colOff>1104900</xdr:colOff>
      <xdr:row>260</xdr:row>
      <xdr:rowOff>133350</xdr:rowOff>
    </xdr:to>
    <xdr:pic>
      <xdr:nvPicPr>
        <xdr:cNvPr id="968786"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97875" y="583692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631371</xdr:colOff>
      <xdr:row>684</xdr:row>
      <xdr:rowOff>170089</xdr:rowOff>
    </xdr:from>
    <xdr:to>
      <xdr:col>20</xdr:col>
      <xdr:colOff>293913</xdr:colOff>
      <xdr:row>685</xdr:row>
      <xdr:rowOff>326571</xdr:rowOff>
    </xdr:to>
    <xdr:pic>
      <xdr:nvPicPr>
        <xdr:cNvPr id="968787"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497800" y="176960893"/>
          <a:ext cx="819150" cy="802822"/>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50</xdr:row>
      <xdr:rowOff>114300</xdr:rowOff>
    </xdr:from>
    <xdr:to>
      <xdr:col>20</xdr:col>
      <xdr:colOff>304800</xdr:colOff>
      <xdr:row>57</xdr:row>
      <xdr:rowOff>127656</xdr:rowOff>
    </xdr:to>
    <xdr:sp macro="" textlink="">
      <xdr:nvSpPr>
        <xdr:cNvPr id="6" name="5 CuadroTexto"/>
        <xdr:cNvSpPr txBox="1"/>
      </xdr:nvSpPr>
      <xdr:spPr>
        <a:xfrm>
          <a:off x="474675" y="13754100"/>
          <a:ext cx="21223275" cy="12135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819149</xdr:colOff>
      <xdr:row>7</xdr:row>
      <xdr:rowOff>9525</xdr:rowOff>
    </xdr:to>
    <xdr:pic>
      <xdr:nvPicPr>
        <xdr:cNvPr id="968789"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08026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383</xdr:row>
      <xdr:rowOff>57150</xdr:rowOff>
    </xdr:from>
    <xdr:to>
      <xdr:col>20</xdr:col>
      <xdr:colOff>1076325</xdr:colOff>
      <xdr:row>385</xdr:row>
      <xdr:rowOff>152400</xdr:rowOff>
    </xdr:to>
    <xdr:pic>
      <xdr:nvPicPr>
        <xdr:cNvPr id="968790"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843819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457</xdr:row>
      <xdr:rowOff>114300</xdr:rowOff>
    </xdr:from>
    <xdr:to>
      <xdr:col>20</xdr:col>
      <xdr:colOff>1143000</xdr:colOff>
      <xdr:row>460</xdr:row>
      <xdr:rowOff>152401</xdr:rowOff>
    </xdr:to>
    <xdr:pic>
      <xdr:nvPicPr>
        <xdr:cNvPr id="968791"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126450" y="109232700"/>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312</xdr:row>
      <xdr:rowOff>85725</xdr:rowOff>
    </xdr:from>
    <xdr:to>
      <xdr:col>20</xdr:col>
      <xdr:colOff>1028700</xdr:colOff>
      <xdr:row>315</xdr:row>
      <xdr:rowOff>76202</xdr:rowOff>
    </xdr:to>
    <xdr:pic>
      <xdr:nvPicPr>
        <xdr:cNvPr id="968792"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021675" y="699992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725</xdr:row>
      <xdr:rowOff>19050</xdr:rowOff>
    </xdr:from>
    <xdr:to>
      <xdr:col>20</xdr:col>
      <xdr:colOff>914400</xdr:colOff>
      <xdr:row>727</xdr:row>
      <xdr:rowOff>57153</xdr:rowOff>
    </xdr:to>
    <xdr:pic>
      <xdr:nvPicPr>
        <xdr:cNvPr id="968793"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907375" y="1380077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762</xdr:row>
      <xdr:rowOff>152400</xdr:rowOff>
    </xdr:from>
    <xdr:to>
      <xdr:col>20</xdr:col>
      <xdr:colOff>933450</xdr:colOff>
      <xdr:row>766</xdr:row>
      <xdr:rowOff>24441</xdr:rowOff>
    </xdr:to>
    <xdr:pic>
      <xdr:nvPicPr>
        <xdr:cNvPr id="968794" name="Picture 23" descr="logo_rgb"/>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0926425" y="1516570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119</xdr:row>
      <xdr:rowOff>57150</xdr:rowOff>
    </xdr:from>
    <xdr:to>
      <xdr:col>20</xdr:col>
      <xdr:colOff>1143000</xdr:colOff>
      <xdr:row>121</xdr:row>
      <xdr:rowOff>161925</xdr:rowOff>
    </xdr:to>
    <xdr:pic>
      <xdr:nvPicPr>
        <xdr:cNvPr id="968796"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126450" y="13506450"/>
          <a:ext cx="828675"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180975</xdr:colOff>
      <xdr:row>160</xdr:row>
      <xdr:rowOff>247650</xdr:rowOff>
    </xdr:from>
    <xdr:to>
      <xdr:col>20</xdr:col>
      <xdr:colOff>1000125</xdr:colOff>
      <xdr:row>163</xdr:row>
      <xdr:rowOff>171450</xdr:rowOff>
    </xdr:to>
    <xdr:pic>
      <xdr:nvPicPr>
        <xdr:cNvPr id="968798" name="Picture 23" descr="logo_rgb"/>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574125" y="492442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76200</xdr:colOff>
      <xdr:row>8</xdr:row>
      <xdr:rowOff>30481</xdr:rowOff>
    </xdr:from>
    <xdr:to>
      <xdr:col>20</xdr:col>
      <xdr:colOff>246185</xdr:colOff>
      <xdr:row>45</xdr:row>
      <xdr:rowOff>3573</xdr:rowOff>
    </xdr:to>
    <xdr:pic>
      <xdr:nvPicPr>
        <xdr:cNvPr id="20" name="19 Imagen"/>
        <xdr:cNvPicPr>
          <a:picLocks noChangeAspect="1"/>
        </xdr:cNvPicPr>
      </xdr:nvPicPr>
      <xdr:blipFill rotWithShape="1">
        <a:blip xmlns:r="http://schemas.openxmlformats.org/officeDocument/2006/relationships" r:embed="rId12"/>
        <a:srcRect l="18471" r="4547"/>
        <a:stretch/>
      </xdr:blipFill>
      <xdr:spPr>
        <a:xfrm>
          <a:off x="8763000" y="1767841"/>
          <a:ext cx="13066835" cy="11460480"/>
        </a:xfrm>
        <a:prstGeom prst="rect">
          <a:avLst/>
        </a:prstGeom>
      </xdr:spPr>
    </xdr:pic>
    <xdr:clientData/>
  </xdr:twoCellAnchor>
  <xdr:oneCellAnchor>
    <xdr:from>
      <xdr:col>20</xdr:col>
      <xdr:colOff>314325</xdr:colOff>
      <xdr:row>62</xdr:row>
      <xdr:rowOff>57150</xdr:rowOff>
    </xdr:from>
    <xdr:ext cx="828675" cy="866775"/>
    <xdr:pic>
      <xdr:nvPicPr>
        <xdr:cNvPr id="22"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627465" y="1371981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20</xdr:col>
      <xdr:colOff>285750</xdr:colOff>
      <xdr:row>258</xdr:row>
      <xdr:rowOff>47625</xdr:rowOff>
    </xdr:from>
    <xdr:to>
      <xdr:col>20</xdr:col>
      <xdr:colOff>1104900</xdr:colOff>
      <xdr:row>260</xdr:row>
      <xdr:rowOff>186689</xdr:rowOff>
    </xdr:to>
    <xdr:pic>
      <xdr:nvPicPr>
        <xdr:cNvPr id="23"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1598890" y="62821185"/>
          <a:ext cx="819150" cy="817244"/>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114300</xdr:colOff>
      <xdr:row>191</xdr:row>
      <xdr:rowOff>4882</xdr:rowOff>
    </xdr:from>
    <xdr:to>
      <xdr:col>1</xdr:col>
      <xdr:colOff>781050</xdr:colOff>
      <xdr:row>192</xdr:row>
      <xdr:rowOff>438150</xdr:rowOff>
    </xdr:to>
    <xdr:pic>
      <xdr:nvPicPr>
        <xdr:cNvPr id="27" name="Imagen 4" descr="image001"/>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1980" y="4641830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733425</xdr:colOff>
      <xdr:row>127</xdr:row>
      <xdr:rowOff>190500</xdr:rowOff>
    </xdr:from>
    <xdr:to>
      <xdr:col>20</xdr:col>
      <xdr:colOff>43851</xdr:colOff>
      <xdr:row>139</xdr:row>
      <xdr:rowOff>171450</xdr:rowOff>
    </xdr:to>
    <xdr:pic>
      <xdr:nvPicPr>
        <xdr:cNvPr id="2" name="1 Imagen"/>
        <xdr:cNvPicPr>
          <a:picLocks noChangeAspect="1"/>
        </xdr:cNvPicPr>
      </xdr:nvPicPr>
      <xdr:blipFill>
        <a:blip xmlns:r="http://schemas.openxmlformats.org/officeDocument/2006/relationships" r:embed="rId16"/>
        <a:stretch>
          <a:fillRect/>
        </a:stretch>
      </xdr:blipFill>
      <xdr:spPr>
        <a:xfrm>
          <a:off x="15859125" y="36252150"/>
          <a:ext cx="5577876" cy="5524500"/>
        </a:xfrm>
        <a:prstGeom prst="rect">
          <a:avLst/>
        </a:prstGeom>
      </xdr:spPr>
    </xdr:pic>
    <xdr:clientData/>
  </xdr:twoCellAnchor>
  <xdr:oneCellAnchor>
    <xdr:from>
      <xdr:col>20</xdr:col>
      <xdr:colOff>314325</xdr:colOff>
      <xdr:row>498</xdr:row>
      <xdr:rowOff>114300</xdr:rowOff>
    </xdr:from>
    <xdr:ext cx="828675" cy="819149"/>
    <xdr:pic>
      <xdr:nvPicPr>
        <xdr:cNvPr id="30" name="Picture 23" descr="logo_rgb"/>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1031200" y="1721167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257175</xdr:colOff>
      <xdr:row>538</xdr:row>
      <xdr:rowOff>57150</xdr:rowOff>
    </xdr:from>
    <xdr:ext cx="819150" cy="819150"/>
    <xdr:pic>
      <xdr:nvPicPr>
        <xdr:cNvPr id="35"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755225" y="2052256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619125</xdr:colOff>
      <xdr:row>543</xdr:row>
      <xdr:rowOff>0</xdr:rowOff>
    </xdr:from>
    <xdr:ext cx="5448300" cy="2619375"/>
    <xdr:pic>
      <xdr:nvPicPr>
        <xdr:cNvPr id="36" name="19 Imagen"/>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78250" y="207549750"/>
          <a:ext cx="5448300" cy="2619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723900</xdr:colOff>
      <xdr:row>556</xdr:row>
      <xdr:rowOff>133350</xdr:rowOff>
    </xdr:from>
    <xdr:ext cx="2346612" cy="3326689"/>
    <xdr:pic>
      <xdr:nvPicPr>
        <xdr:cNvPr id="37" name="29 Imagen"/>
        <xdr:cNvPicPr>
          <a:picLocks noChangeAspect="1"/>
        </xdr:cNvPicPr>
      </xdr:nvPicPr>
      <xdr:blipFill rotWithShape="1">
        <a:blip xmlns:r="http://schemas.openxmlformats.org/officeDocument/2006/relationships" r:embed="rId20"/>
        <a:srcRect l="65803"/>
        <a:stretch/>
      </xdr:blipFill>
      <xdr:spPr>
        <a:xfrm>
          <a:off x="17792700" y="212550375"/>
          <a:ext cx="2346612" cy="3326689"/>
        </a:xfrm>
        <a:prstGeom prst="rect">
          <a:avLst/>
        </a:prstGeom>
      </xdr:spPr>
    </xdr:pic>
    <xdr:clientData/>
  </xdr:oneCellAnchor>
  <xdr:oneCellAnchor>
    <xdr:from>
      <xdr:col>20</xdr:col>
      <xdr:colOff>257175</xdr:colOff>
      <xdr:row>592</xdr:row>
      <xdr:rowOff>57150</xdr:rowOff>
    </xdr:from>
    <xdr:ext cx="819150" cy="819150"/>
    <xdr:pic>
      <xdr:nvPicPr>
        <xdr:cNvPr id="38"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755225" y="2259901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876300</xdr:colOff>
      <xdr:row>598</xdr:row>
      <xdr:rowOff>38100</xdr:rowOff>
    </xdr:from>
    <xdr:ext cx="3368133" cy="2438106"/>
    <xdr:pic>
      <xdr:nvPicPr>
        <xdr:cNvPr id="39" name="35 Imagen"/>
        <xdr:cNvPicPr>
          <a:picLocks noChangeAspect="1"/>
        </xdr:cNvPicPr>
      </xdr:nvPicPr>
      <xdr:blipFill>
        <a:blip xmlns:r="http://schemas.openxmlformats.org/officeDocument/2006/relationships" r:embed="rId21"/>
        <a:stretch>
          <a:fillRect/>
        </a:stretch>
      </xdr:blipFill>
      <xdr:spPr>
        <a:xfrm>
          <a:off x="17945100" y="227999925"/>
          <a:ext cx="3368133" cy="2438106"/>
        </a:xfrm>
        <a:prstGeom prst="rect">
          <a:avLst/>
        </a:prstGeom>
      </xdr:spPr>
    </xdr:pic>
    <xdr:clientData/>
  </xdr:oneCellAnchor>
  <xdr:oneCellAnchor>
    <xdr:from>
      <xdr:col>19</xdr:col>
      <xdr:colOff>1224642</xdr:colOff>
      <xdr:row>632</xdr:row>
      <xdr:rowOff>249465</xdr:rowOff>
    </xdr:from>
    <xdr:ext cx="819150" cy="819150"/>
    <xdr:pic>
      <xdr:nvPicPr>
        <xdr:cNvPr id="28" name="Picture 23" descr="logo_rgb"/>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2293942" y="2408128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895350</xdr:colOff>
      <xdr:row>637</xdr:row>
      <xdr:rowOff>0</xdr:rowOff>
    </xdr:from>
    <xdr:to>
      <xdr:col>19</xdr:col>
      <xdr:colOff>938614</xdr:colOff>
      <xdr:row>648</xdr:row>
      <xdr:rowOff>186493</xdr:rowOff>
    </xdr:to>
    <xdr:pic>
      <xdr:nvPicPr>
        <xdr:cNvPr id="33" name="32 Imagen"/>
        <xdr:cNvPicPr>
          <a:picLocks noChangeAspect="1"/>
        </xdr:cNvPicPr>
      </xdr:nvPicPr>
      <xdr:blipFill>
        <a:blip xmlns:r="http://schemas.openxmlformats.org/officeDocument/2006/relationships" r:embed="rId22"/>
        <a:stretch>
          <a:fillRect/>
        </a:stretch>
      </xdr:blipFill>
      <xdr:spPr>
        <a:xfrm>
          <a:off x="15316200" y="210921600"/>
          <a:ext cx="6120214" cy="3920293"/>
        </a:xfrm>
        <a:prstGeom prst="rect">
          <a:avLst/>
        </a:prstGeom>
      </xdr:spPr>
    </xdr:pic>
    <xdr:clientData/>
  </xdr:twoCellAnchor>
  <xdr:twoCellAnchor editAs="oneCell">
    <xdr:from>
      <xdr:col>13</xdr:col>
      <xdr:colOff>400050</xdr:colOff>
      <xdr:row>651</xdr:row>
      <xdr:rowOff>95250</xdr:rowOff>
    </xdr:from>
    <xdr:to>
      <xdr:col>20</xdr:col>
      <xdr:colOff>1058582</xdr:colOff>
      <xdr:row>658</xdr:row>
      <xdr:rowOff>54558</xdr:rowOff>
    </xdr:to>
    <xdr:pic>
      <xdr:nvPicPr>
        <xdr:cNvPr id="34" name="33 Imagen"/>
        <xdr:cNvPicPr>
          <a:picLocks noChangeAspect="1"/>
        </xdr:cNvPicPr>
      </xdr:nvPicPr>
      <xdr:blipFill>
        <a:blip xmlns:r="http://schemas.openxmlformats.org/officeDocument/2006/relationships" r:embed="rId23"/>
        <a:stretch>
          <a:fillRect/>
        </a:stretch>
      </xdr:blipFill>
      <xdr:spPr>
        <a:xfrm>
          <a:off x="13620750" y="215779350"/>
          <a:ext cx="9097682" cy="24929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20</xdr:col>
      <xdr:colOff>333375</xdr:colOff>
      <xdr:row>375</xdr:row>
      <xdr:rowOff>19050</xdr:rowOff>
    </xdr:from>
    <xdr:to>
      <xdr:col>20</xdr:col>
      <xdr:colOff>1152525</xdr:colOff>
      <xdr:row>377</xdr:row>
      <xdr:rowOff>114300</xdr:rowOff>
    </xdr:to>
    <xdr:pic>
      <xdr:nvPicPr>
        <xdr:cNvPr id="964021"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88400" y="833056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195</xdr:row>
      <xdr:rowOff>152400</xdr:rowOff>
    </xdr:from>
    <xdr:to>
      <xdr:col>20</xdr:col>
      <xdr:colOff>895350</xdr:colOff>
      <xdr:row>198</xdr:row>
      <xdr:rowOff>219075</xdr:rowOff>
    </xdr:to>
    <xdr:pic>
      <xdr:nvPicPr>
        <xdr:cNvPr id="964022"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231225" y="4309110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245</xdr:row>
      <xdr:rowOff>47625</xdr:rowOff>
    </xdr:from>
    <xdr:to>
      <xdr:col>20</xdr:col>
      <xdr:colOff>1104900</xdr:colOff>
      <xdr:row>247</xdr:row>
      <xdr:rowOff>133350</xdr:rowOff>
    </xdr:to>
    <xdr:pic>
      <xdr:nvPicPr>
        <xdr:cNvPr id="964023"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440775" y="5721667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41</xdr:row>
      <xdr:rowOff>19050</xdr:rowOff>
    </xdr:from>
    <xdr:to>
      <xdr:col>19</xdr:col>
      <xdr:colOff>1143000</xdr:colOff>
      <xdr:row>47</xdr:row>
      <xdr:rowOff>127650</xdr:rowOff>
    </xdr:to>
    <xdr:sp macro="" textlink="">
      <xdr:nvSpPr>
        <xdr:cNvPr id="6" name="5 CuadroTexto"/>
        <xdr:cNvSpPr txBox="1"/>
      </xdr:nvSpPr>
      <xdr:spPr>
        <a:xfrm>
          <a:off x="474675" y="13296900"/>
          <a:ext cx="21223275" cy="113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704850</xdr:colOff>
      <xdr:row>7</xdr:row>
      <xdr:rowOff>9525</xdr:rowOff>
    </xdr:to>
    <xdr:pic>
      <xdr:nvPicPr>
        <xdr:cNvPr id="964026"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11455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407</xdr:row>
      <xdr:rowOff>114300</xdr:rowOff>
    </xdr:from>
    <xdr:to>
      <xdr:col>20</xdr:col>
      <xdr:colOff>1143000</xdr:colOff>
      <xdr:row>410</xdr:row>
      <xdr:rowOff>152399</xdr:rowOff>
    </xdr:to>
    <xdr:pic>
      <xdr:nvPicPr>
        <xdr:cNvPr id="964027"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469350" y="98488500"/>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303</xdr:row>
      <xdr:rowOff>85725</xdr:rowOff>
    </xdr:from>
    <xdr:to>
      <xdr:col>20</xdr:col>
      <xdr:colOff>1028700</xdr:colOff>
      <xdr:row>306</xdr:row>
      <xdr:rowOff>76201</xdr:rowOff>
    </xdr:to>
    <xdr:pic>
      <xdr:nvPicPr>
        <xdr:cNvPr id="964028"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364575" y="688467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676</xdr:row>
      <xdr:rowOff>19050</xdr:rowOff>
    </xdr:from>
    <xdr:to>
      <xdr:col>20</xdr:col>
      <xdr:colOff>914400</xdr:colOff>
      <xdr:row>679</xdr:row>
      <xdr:rowOff>19048</xdr:rowOff>
    </xdr:to>
    <xdr:pic>
      <xdr:nvPicPr>
        <xdr:cNvPr id="964029"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250275" y="1272635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713</xdr:row>
      <xdr:rowOff>152400</xdr:rowOff>
    </xdr:from>
    <xdr:to>
      <xdr:col>20</xdr:col>
      <xdr:colOff>933450</xdr:colOff>
      <xdr:row>716</xdr:row>
      <xdr:rowOff>152398</xdr:rowOff>
    </xdr:to>
    <xdr:pic>
      <xdr:nvPicPr>
        <xdr:cNvPr id="964030"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1269325" y="1402842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107</xdr:row>
      <xdr:rowOff>57150</xdr:rowOff>
    </xdr:from>
    <xdr:to>
      <xdr:col>20</xdr:col>
      <xdr:colOff>1143000</xdr:colOff>
      <xdr:row>109</xdr:row>
      <xdr:rowOff>161925</xdr:rowOff>
    </xdr:to>
    <xdr:pic>
      <xdr:nvPicPr>
        <xdr:cNvPr id="964032" name="Picture 23" descr="logo_rgb"/>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469350" y="13506450"/>
          <a:ext cx="828675"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150</xdr:row>
      <xdr:rowOff>57150</xdr:rowOff>
    </xdr:from>
    <xdr:to>
      <xdr:col>20</xdr:col>
      <xdr:colOff>1076325</xdr:colOff>
      <xdr:row>152</xdr:row>
      <xdr:rowOff>152400</xdr:rowOff>
    </xdr:to>
    <xdr:pic>
      <xdr:nvPicPr>
        <xdr:cNvPr id="964034"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12200" y="274034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314325</xdr:colOff>
      <xdr:row>51</xdr:row>
      <xdr:rowOff>57150</xdr:rowOff>
    </xdr:from>
    <xdr:ext cx="828675" cy="866775"/>
    <xdr:pic>
      <xdr:nvPicPr>
        <xdr:cNvPr id="22"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726525" y="1622679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9</xdr:col>
      <xdr:colOff>777241</xdr:colOff>
      <xdr:row>8</xdr:row>
      <xdr:rowOff>365760</xdr:rowOff>
    </xdr:from>
    <xdr:to>
      <xdr:col>19</xdr:col>
      <xdr:colOff>946022</xdr:colOff>
      <xdr:row>38</xdr:row>
      <xdr:rowOff>760</xdr:rowOff>
    </xdr:to>
    <xdr:pic>
      <xdr:nvPicPr>
        <xdr:cNvPr id="23" name="22 Imagen"/>
        <xdr:cNvPicPr>
          <a:picLocks noChangeAspect="1"/>
        </xdr:cNvPicPr>
      </xdr:nvPicPr>
      <xdr:blipFill rotWithShape="1">
        <a:blip xmlns:r="http://schemas.openxmlformats.org/officeDocument/2006/relationships" r:embed="rId11"/>
        <a:srcRect l="18471" r="4547"/>
        <a:stretch/>
      </xdr:blipFill>
      <xdr:spPr>
        <a:xfrm>
          <a:off x="9464041" y="2103120"/>
          <a:ext cx="12336882" cy="11017895"/>
        </a:xfrm>
        <a:prstGeom prst="rect">
          <a:avLst/>
        </a:prstGeom>
      </xdr:spPr>
    </xdr:pic>
    <xdr:clientData/>
  </xdr:twoCellAnchor>
  <xdr:twoCellAnchor>
    <xdr:from>
      <xdr:col>1</xdr:col>
      <xdr:colOff>114300</xdr:colOff>
      <xdr:row>179</xdr:row>
      <xdr:rowOff>4882</xdr:rowOff>
    </xdr:from>
    <xdr:to>
      <xdr:col>1</xdr:col>
      <xdr:colOff>781050</xdr:colOff>
      <xdr:row>180</xdr:row>
      <xdr:rowOff>438150</xdr:rowOff>
    </xdr:to>
    <xdr:pic>
      <xdr:nvPicPr>
        <xdr:cNvPr id="19" name="Imagen 4" descr="image001"/>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1980" y="4775942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634</xdr:row>
      <xdr:rowOff>57150</xdr:rowOff>
    </xdr:from>
    <xdr:ext cx="819150" cy="819150"/>
    <xdr:pic>
      <xdr:nvPicPr>
        <xdr:cNvPr id="28"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669375" y="16820769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15</xdr:col>
      <xdr:colOff>590550</xdr:colOff>
      <xdr:row>114</xdr:row>
      <xdr:rowOff>247650</xdr:rowOff>
    </xdr:from>
    <xdr:to>
      <xdr:col>19</xdr:col>
      <xdr:colOff>1148628</xdr:colOff>
      <xdr:row>126</xdr:row>
      <xdr:rowOff>323850</xdr:rowOff>
    </xdr:to>
    <xdr:pic>
      <xdr:nvPicPr>
        <xdr:cNvPr id="29" name="28 Imagen"/>
        <xdr:cNvPicPr>
          <a:picLocks noChangeAspect="1"/>
        </xdr:cNvPicPr>
      </xdr:nvPicPr>
      <xdr:blipFill>
        <a:blip xmlns:r="http://schemas.openxmlformats.org/officeDocument/2006/relationships" r:embed="rId14"/>
        <a:stretch>
          <a:fillRect/>
        </a:stretch>
      </xdr:blipFill>
      <xdr:spPr>
        <a:xfrm>
          <a:off x="16249650" y="34575750"/>
          <a:ext cx="5577876" cy="5524500"/>
        </a:xfrm>
        <a:prstGeom prst="rect">
          <a:avLst/>
        </a:prstGeom>
      </xdr:spPr>
    </xdr:pic>
    <xdr:clientData/>
  </xdr:twoCellAnchor>
  <xdr:oneCellAnchor>
    <xdr:from>
      <xdr:col>20</xdr:col>
      <xdr:colOff>314325</xdr:colOff>
      <xdr:row>447</xdr:row>
      <xdr:rowOff>114300</xdr:rowOff>
    </xdr:from>
    <xdr:ext cx="828675" cy="819149"/>
    <xdr:pic>
      <xdr:nvPicPr>
        <xdr:cNvPr id="30"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297900" y="138407775"/>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257175</xdr:colOff>
      <xdr:row>489</xdr:row>
      <xdr:rowOff>57150</xdr:rowOff>
    </xdr:from>
    <xdr:ext cx="819150" cy="819150"/>
    <xdr:pic>
      <xdr:nvPicPr>
        <xdr:cNvPr id="33"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164550" y="175021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619125</xdr:colOff>
      <xdr:row>494</xdr:row>
      <xdr:rowOff>0</xdr:rowOff>
    </xdr:from>
    <xdr:ext cx="5448300" cy="2619375"/>
    <xdr:pic>
      <xdr:nvPicPr>
        <xdr:cNvPr id="34" name="19 Imagen"/>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430500" y="177345975"/>
          <a:ext cx="5448300" cy="2619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723900</xdr:colOff>
      <xdr:row>507</xdr:row>
      <xdr:rowOff>133350</xdr:rowOff>
    </xdr:from>
    <xdr:ext cx="2346612" cy="3326689"/>
    <xdr:pic>
      <xdr:nvPicPr>
        <xdr:cNvPr id="35" name="29 Imagen"/>
        <xdr:cNvPicPr>
          <a:picLocks noChangeAspect="1"/>
        </xdr:cNvPicPr>
      </xdr:nvPicPr>
      <xdr:blipFill rotWithShape="1">
        <a:blip xmlns:r="http://schemas.openxmlformats.org/officeDocument/2006/relationships" r:embed="rId17"/>
        <a:srcRect l="65803"/>
        <a:stretch/>
      </xdr:blipFill>
      <xdr:spPr>
        <a:xfrm>
          <a:off x="16744950" y="182346600"/>
          <a:ext cx="2346612" cy="3326689"/>
        </a:xfrm>
        <a:prstGeom prst="rect">
          <a:avLst/>
        </a:prstGeom>
      </xdr:spPr>
    </xdr:pic>
    <xdr:clientData/>
  </xdr:oneCellAnchor>
  <xdr:oneCellAnchor>
    <xdr:from>
      <xdr:col>20</xdr:col>
      <xdr:colOff>257175</xdr:colOff>
      <xdr:row>543</xdr:row>
      <xdr:rowOff>57150</xdr:rowOff>
    </xdr:from>
    <xdr:ext cx="819150" cy="819150"/>
    <xdr:pic>
      <xdr:nvPicPr>
        <xdr:cNvPr id="36"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164550" y="1957863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876300</xdr:colOff>
      <xdr:row>549</xdr:row>
      <xdr:rowOff>38100</xdr:rowOff>
    </xdr:from>
    <xdr:ext cx="3368133" cy="2438106"/>
    <xdr:pic>
      <xdr:nvPicPr>
        <xdr:cNvPr id="37" name="35 Imagen"/>
        <xdr:cNvPicPr>
          <a:picLocks noChangeAspect="1"/>
        </xdr:cNvPicPr>
      </xdr:nvPicPr>
      <xdr:blipFill>
        <a:blip xmlns:r="http://schemas.openxmlformats.org/officeDocument/2006/relationships" r:embed="rId18"/>
        <a:stretch>
          <a:fillRect/>
        </a:stretch>
      </xdr:blipFill>
      <xdr:spPr>
        <a:xfrm>
          <a:off x="16897350" y="197796150"/>
          <a:ext cx="3368133" cy="2438106"/>
        </a:xfrm>
        <a:prstGeom prst="rect">
          <a:avLst/>
        </a:prstGeom>
      </xdr:spPr>
    </xdr:pic>
    <xdr:clientData/>
  </xdr:oneCellAnchor>
  <xdr:oneCellAnchor>
    <xdr:from>
      <xdr:col>19</xdr:col>
      <xdr:colOff>1224642</xdr:colOff>
      <xdr:row>582</xdr:row>
      <xdr:rowOff>249465</xdr:rowOff>
    </xdr:from>
    <xdr:ext cx="819150" cy="819150"/>
    <xdr:pic>
      <xdr:nvPicPr>
        <xdr:cNvPr id="24" name="Picture 23" descr="logo_rgb"/>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512892" y="2065990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1292678</xdr:colOff>
      <xdr:row>587</xdr:row>
      <xdr:rowOff>0</xdr:rowOff>
    </xdr:from>
    <xdr:to>
      <xdr:col>19</xdr:col>
      <xdr:colOff>852022</xdr:colOff>
      <xdr:row>598</xdr:row>
      <xdr:rowOff>118107</xdr:rowOff>
    </xdr:to>
    <xdr:pic>
      <xdr:nvPicPr>
        <xdr:cNvPr id="27" name="32 Imagen"/>
        <xdr:cNvPicPr>
          <a:picLocks noChangeAspect="1"/>
        </xdr:cNvPicPr>
      </xdr:nvPicPr>
      <xdr:blipFill>
        <a:blip xmlns:r="http://schemas.openxmlformats.org/officeDocument/2006/relationships" r:embed="rId19"/>
        <a:stretch>
          <a:fillRect/>
        </a:stretch>
      </xdr:blipFill>
      <xdr:spPr>
        <a:xfrm>
          <a:off x="15058571" y="192042143"/>
          <a:ext cx="6022737" cy="3814715"/>
        </a:xfrm>
        <a:prstGeom prst="rect">
          <a:avLst/>
        </a:prstGeom>
      </xdr:spPr>
    </xdr:pic>
    <xdr:clientData/>
  </xdr:twoCellAnchor>
  <xdr:twoCellAnchor editAs="oneCell">
    <xdr:from>
      <xdr:col>13</xdr:col>
      <xdr:colOff>979714</xdr:colOff>
      <xdr:row>600</xdr:row>
      <xdr:rowOff>168728</xdr:rowOff>
    </xdr:from>
    <xdr:to>
      <xdr:col>20</xdr:col>
      <xdr:colOff>1113505</xdr:colOff>
      <xdr:row>607</xdr:row>
      <xdr:rowOff>128036</xdr:rowOff>
    </xdr:to>
    <xdr:pic>
      <xdr:nvPicPr>
        <xdr:cNvPr id="31" name="33 Imagen"/>
        <xdr:cNvPicPr>
          <a:picLocks noChangeAspect="1"/>
        </xdr:cNvPicPr>
      </xdr:nvPicPr>
      <xdr:blipFill>
        <a:blip xmlns:r="http://schemas.openxmlformats.org/officeDocument/2006/relationships" r:embed="rId20"/>
        <a:stretch>
          <a:fillRect/>
        </a:stretch>
      </xdr:blipFill>
      <xdr:spPr>
        <a:xfrm>
          <a:off x="13543643" y="196928014"/>
          <a:ext cx="9070055" cy="249930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333375</xdr:colOff>
      <xdr:row>469</xdr:row>
      <xdr:rowOff>19050</xdr:rowOff>
    </xdr:from>
    <xdr:to>
      <xdr:col>20</xdr:col>
      <xdr:colOff>1152525</xdr:colOff>
      <xdr:row>471</xdr:row>
      <xdr:rowOff>114299</xdr:rowOff>
    </xdr:to>
    <xdr:pic>
      <xdr:nvPicPr>
        <xdr:cNvPr id="965988"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50250" y="1156239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157</xdr:row>
      <xdr:rowOff>152400</xdr:rowOff>
    </xdr:from>
    <xdr:to>
      <xdr:col>20</xdr:col>
      <xdr:colOff>895350</xdr:colOff>
      <xdr:row>160</xdr:row>
      <xdr:rowOff>219077</xdr:rowOff>
    </xdr:to>
    <xdr:pic>
      <xdr:nvPicPr>
        <xdr:cNvPr id="965989"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793075" y="2914650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208</xdr:row>
      <xdr:rowOff>47625</xdr:rowOff>
    </xdr:from>
    <xdr:to>
      <xdr:col>20</xdr:col>
      <xdr:colOff>1104900</xdr:colOff>
      <xdr:row>210</xdr:row>
      <xdr:rowOff>133348</xdr:rowOff>
    </xdr:to>
    <xdr:pic>
      <xdr:nvPicPr>
        <xdr:cNvPr id="965990"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02625" y="443103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582</xdr:row>
      <xdr:rowOff>57150</xdr:rowOff>
    </xdr:from>
    <xdr:to>
      <xdr:col>20</xdr:col>
      <xdr:colOff>1076325</xdr:colOff>
      <xdr:row>584</xdr:row>
      <xdr:rowOff>152401</xdr:rowOff>
    </xdr:to>
    <xdr:pic>
      <xdr:nvPicPr>
        <xdr:cNvPr id="965991"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623655" y="175469550"/>
          <a:ext cx="819150" cy="8572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46</xdr:row>
      <xdr:rowOff>91440</xdr:rowOff>
    </xdr:from>
    <xdr:to>
      <xdr:col>19</xdr:col>
      <xdr:colOff>1036320</xdr:colOff>
      <xdr:row>52</xdr:row>
      <xdr:rowOff>127656</xdr:rowOff>
    </xdr:to>
    <xdr:sp macro="" textlink="">
      <xdr:nvSpPr>
        <xdr:cNvPr id="6" name="5 CuadroTexto"/>
        <xdr:cNvSpPr txBox="1"/>
      </xdr:nvSpPr>
      <xdr:spPr>
        <a:xfrm>
          <a:off x="474675" y="12161520"/>
          <a:ext cx="20739405" cy="11334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696247</xdr:colOff>
      <xdr:row>7</xdr:row>
      <xdr:rowOff>9525</xdr:rowOff>
    </xdr:to>
    <xdr:pic>
      <xdr:nvPicPr>
        <xdr:cNvPr id="965993"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70735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422</xdr:row>
      <xdr:rowOff>57150</xdr:rowOff>
    </xdr:from>
    <xdr:to>
      <xdr:col>20</xdr:col>
      <xdr:colOff>1076325</xdr:colOff>
      <xdr:row>424</xdr:row>
      <xdr:rowOff>152401</xdr:rowOff>
    </xdr:to>
    <xdr:pic>
      <xdr:nvPicPr>
        <xdr:cNvPr id="965994"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1009554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500</xdr:row>
      <xdr:rowOff>114300</xdr:rowOff>
    </xdr:from>
    <xdr:to>
      <xdr:col>20</xdr:col>
      <xdr:colOff>1143000</xdr:colOff>
      <xdr:row>503</xdr:row>
      <xdr:rowOff>152399</xdr:rowOff>
    </xdr:to>
    <xdr:pic>
      <xdr:nvPicPr>
        <xdr:cNvPr id="965995"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031200" y="130387725"/>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295275</xdr:colOff>
      <xdr:row>377</xdr:row>
      <xdr:rowOff>9525</xdr:rowOff>
    </xdr:from>
    <xdr:to>
      <xdr:col>20</xdr:col>
      <xdr:colOff>1114425</xdr:colOff>
      <xdr:row>379</xdr:row>
      <xdr:rowOff>95248</xdr:rowOff>
    </xdr:to>
    <xdr:pic>
      <xdr:nvPicPr>
        <xdr:cNvPr id="965996"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12150" y="8510587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261</xdr:row>
      <xdr:rowOff>85725</xdr:rowOff>
    </xdr:from>
    <xdr:to>
      <xdr:col>20</xdr:col>
      <xdr:colOff>1028700</xdr:colOff>
      <xdr:row>264</xdr:row>
      <xdr:rowOff>76198</xdr:rowOff>
    </xdr:to>
    <xdr:pic>
      <xdr:nvPicPr>
        <xdr:cNvPr id="965997"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0926425" y="559403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725</xdr:row>
      <xdr:rowOff>19050</xdr:rowOff>
    </xdr:from>
    <xdr:to>
      <xdr:col>20</xdr:col>
      <xdr:colOff>914400</xdr:colOff>
      <xdr:row>728</xdr:row>
      <xdr:rowOff>140971</xdr:rowOff>
    </xdr:to>
    <xdr:pic>
      <xdr:nvPicPr>
        <xdr:cNvPr id="965998"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812125" y="15886747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767</xdr:row>
      <xdr:rowOff>152400</xdr:rowOff>
    </xdr:from>
    <xdr:to>
      <xdr:col>20</xdr:col>
      <xdr:colOff>933450</xdr:colOff>
      <xdr:row>770</xdr:row>
      <xdr:rowOff>167641</xdr:rowOff>
    </xdr:to>
    <xdr:pic>
      <xdr:nvPicPr>
        <xdr:cNvPr id="965999"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831175" y="1725263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666750</xdr:colOff>
      <xdr:row>401</xdr:row>
      <xdr:rowOff>66675</xdr:rowOff>
    </xdr:from>
    <xdr:to>
      <xdr:col>9</xdr:col>
      <xdr:colOff>457200</xdr:colOff>
      <xdr:row>417</xdr:row>
      <xdr:rowOff>28574</xdr:rowOff>
    </xdr:to>
    <xdr:pic>
      <xdr:nvPicPr>
        <xdr:cNvPr id="966001" name="Picture 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43000" y="94907100"/>
          <a:ext cx="7734300" cy="46863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10</xdr:col>
      <xdr:colOff>285750</xdr:colOff>
      <xdr:row>401</xdr:row>
      <xdr:rowOff>66675</xdr:rowOff>
    </xdr:from>
    <xdr:to>
      <xdr:col>19</xdr:col>
      <xdr:colOff>371475</xdr:colOff>
      <xdr:row>413</xdr:row>
      <xdr:rowOff>257175</xdr:rowOff>
    </xdr:to>
    <xdr:pic>
      <xdr:nvPicPr>
        <xdr:cNvPr id="966002" name="Picture 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648825" y="94907100"/>
          <a:ext cx="10277475" cy="373380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editAs="oneCell">
    <xdr:from>
      <xdr:col>20</xdr:col>
      <xdr:colOff>257175</xdr:colOff>
      <xdr:row>114</xdr:row>
      <xdr:rowOff>57150</xdr:rowOff>
    </xdr:from>
    <xdr:to>
      <xdr:col>20</xdr:col>
      <xdr:colOff>1076325</xdr:colOff>
      <xdr:row>116</xdr:row>
      <xdr:rowOff>152401</xdr:rowOff>
    </xdr:to>
    <xdr:pic>
      <xdr:nvPicPr>
        <xdr:cNvPr id="966003"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74050" y="13477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333</xdr:row>
      <xdr:rowOff>57150</xdr:rowOff>
    </xdr:from>
    <xdr:to>
      <xdr:col>20</xdr:col>
      <xdr:colOff>1143000</xdr:colOff>
      <xdr:row>335</xdr:row>
      <xdr:rowOff>152399</xdr:rowOff>
    </xdr:to>
    <xdr:pic>
      <xdr:nvPicPr>
        <xdr:cNvPr id="966004" name="Picture 23" descr="logo_rgb"/>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031200" y="70275450"/>
          <a:ext cx="828675"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285750</xdr:colOff>
      <xdr:row>347</xdr:row>
      <xdr:rowOff>323850</xdr:rowOff>
    </xdr:from>
    <xdr:to>
      <xdr:col>10</xdr:col>
      <xdr:colOff>685800</xdr:colOff>
      <xdr:row>361</xdr:row>
      <xdr:rowOff>285750</xdr:rowOff>
    </xdr:to>
    <xdr:pic>
      <xdr:nvPicPr>
        <xdr:cNvPr id="966005" name="Picture 510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62000" y="75218925"/>
          <a:ext cx="9286875" cy="5734050"/>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219075</xdr:colOff>
      <xdr:row>349</xdr:row>
      <xdr:rowOff>628650</xdr:rowOff>
    </xdr:from>
    <xdr:to>
      <xdr:col>20</xdr:col>
      <xdr:colOff>342900</xdr:colOff>
      <xdr:row>367</xdr:row>
      <xdr:rowOff>219075</xdr:rowOff>
    </xdr:to>
    <xdr:pic>
      <xdr:nvPicPr>
        <xdr:cNvPr id="966006" name="Picture 49"/>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458450" y="76933425"/>
          <a:ext cx="10601325" cy="5724525"/>
        </a:xfrm>
        <a:prstGeom prst="rect">
          <a:avLst/>
        </a:prstGeom>
        <a:noFill/>
        <a:ln w="9525">
          <a:solidFill>
            <a:srgbClr val="FF66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731520</xdr:colOff>
      <xdr:row>7</xdr:row>
      <xdr:rowOff>48236</xdr:rowOff>
    </xdr:from>
    <xdr:to>
      <xdr:col>19</xdr:col>
      <xdr:colOff>727710</xdr:colOff>
      <xdr:row>42</xdr:row>
      <xdr:rowOff>112586</xdr:rowOff>
    </xdr:to>
    <xdr:pic>
      <xdr:nvPicPr>
        <xdr:cNvPr id="22" name="21 Imagen"/>
        <xdr:cNvPicPr>
          <a:picLocks noChangeAspect="1"/>
        </xdr:cNvPicPr>
      </xdr:nvPicPr>
      <xdr:blipFill rotWithShape="1">
        <a:blip xmlns:r="http://schemas.openxmlformats.org/officeDocument/2006/relationships" r:embed="rId14"/>
        <a:srcRect l="18471" r="4547"/>
        <a:stretch/>
      </xdr:blipFill>
      <xdr:spPr>
        <a:xfrm>
          <a:off x="8473440" y="1328396"/>
          <a:ext cx="12527280" cy="11341950"/>
        </a:xfrm>
        <a:prstGeom prst="rect">
          <a:avLst/>
        </a:prstGeom>
      </xdr:spPr>
    </xdr:pic>
    <xdr:clientData/>
  </xdr:twoCellAnchor>
  <xdr:oneCellAnchor>
    <xdr:from>
      <xdr:col>20</xdr:col>
      <xdr:colOff>314325</xdr:colOff>
      <xdr:row>58</xdr:row>
      <xdr:rowOff>57150</xdr:rowOff>
    </xdr:from>
    <xdr:ext cx="828675" cy="866775"/>
    <xdr:pic>
      <xdr:nvPicPr>
        <xdr:cNvPr id="23"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955125" y="1371981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15</xdr:col>
      <xdr:colOff>619125</xdr:colOff>
      <xdr:row>588</xdr:row>
      <xdr:rowOff>161925</xdr:rowOff>
    </xdr:from>
    <xdr:to>
      <xdr:col>19</xdr:col>
      <xdr:colOff>1000125</xdr:colOff>
      <xdr:row>600</xdr:row>
      <xdr:rowOff>129541</xdr:rowOff>
    </xdr:to>
    <xdr:pic>
      <xdr:nvPicPr>
        <xdr:cNvPr id="25" name="19 Imagen"/>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5996285" y="191423925"/>
          <a:ext cx="5455920" cy="26536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266700</xdr:colOff>
      <xdr:row>604</xdr:row>
      <xdr:rowOff>0</xdr:rowOff>
    </xdr:from>
    <xdr:to>
      <xdr:col>18</xdr:col>
      <xdr:colOff>3462</xdr:colOff>
      <xdr:row>613</xdr:row>
      <xdr:rowOff>271068</xdr:rowOff>
    </xdr:to>
    <xdr:pic>
      <xdr:nvPicPr>
        <xdr:cNvPr id="28" name="27 Imagen"/>
        <xdr:cNvPicPr>
          <a:picLocks noChangeAspect="1"/>
        </xdr:cNvPicPr>
      </xdr:nvPicPr>
      <xdr:blipFill rotWithShape="1">
        <a:blip xmlns:r="http://schemas.openxmlformats.org/officeDocument/2006/relationships" r:embed="rId17"/>
        <a:srcRect l="65803"/>
        <a:stretch/>
      </xdr:blipFill>
      <xdr:spPr>
        <a:xfrm>
          <a:off x="16173450" y="193909950"/>
          <a:ext cx="2289462" cy="3528619"/>
        </a:xfrm>
        <a:prstGeom prst="rect">
          <a:avLst/>
        </a:prstGeom>
      </xdr:spPr>
    </xdr:pic>
    <xdr:clientData/>
  </xdr:twoCellAnchor>
  <xdr:twoCellAnchor>
    <xdr:from>
      <xdr:col>1</xdr:col>
      <xdr:colOff>114300</xdr:colOff>
      <xdr:row>142</xdr:row>
      <xdr:rowOff>4882</xdr:rowOff>
    </xdr:from>
    <xdr:to>
      <xdr:col>1</xdr:col>
      <xdr:colOff>781050</xdr:colOff>
      <xdr:row>143</xdr:row>
      <xdr:rowOff>438150</xdr:rowOff>
    </xdr:to>
    <xdr:pic>
      <xdr:nvPicPr>
        <xdr:cNvPr id="26" name="Imagen 4" descr="image001"/>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601980" y="6355568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257175</xdr:colOff>
      <xdr:row>112</xdr:row>
      <xdr:rowOff>279400</xdr:rowOff>
    </xdr:from>
    <xdr:to>
      <xdr:col>20</xdr:col>
      <xdr:colOff>1076325</xdr:colOff>
      <xdr:row>115</xdr:row>
      <xdr:rowOff>261619</xdr:rowOff>
    </xdr:to>
    <xdr:pic>
      <xdr:nvPicPr>
        <xdr:cNvPr id="27"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053425" y="31362650"/>
          <a:ext cx="819150" cy="87122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257175</xdr:colOff>
      <xdr:row>671</xdr:row>
      <xdr:rowOff>57150</xdr:rowOff>
    </xdr:from>
    <xdr:ext cx="819150" cy="819150"/>
    <xdr:pic>
      <xdr:nvPicPr>
        <xdr:cNvPr id="31"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905595" y="2315146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314325</xdr:colOff>
      <xdr:row>540</xdr:row>
      <xdr:rowOff>114300</xdr:rowOff>
    </xdr:from>
    <xdr:ext cx="828675" cy="819149"/>
    <xdr:pic>
      <xdr:nvPicPr>
        <xdr:cNvPr id="30"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031200" y="1697926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231431</xdr:colOff>
      <xdr:row>695</xdr:row>
      <xdr:rowOff>263096</xdr:rowOff>
    </xdr:from>
    <xdr:ext cx="819150" cy="819150"/>
    <xdr:pic>
      <xdr:nvPicPr>
        <xdr:cNvPr id="33"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006228" y="224872893"/>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16</xdr:col>
      <xdr:colOff>552450</xdr:colOff>
      <xdr:row>618</xdr:row>
      <xdr:rowOff>376444</xdr:rowOff>
    </xdr:from>
    <xdr:to>
      <xdr:col>18</xdr:col>
      <xdr:colOff>895350</xdr:colOff>
      <xdr:row>625</xdr:row>
      <xdr:rowOff>30428</xdr:rowOff>
    </xdr:to>
    <xdr:pic>
      <xdr:nvPicPr>
        <xdr:cNvPr id="35" name="34 Imagen"/>
        <xdr:cNvPicPr>
          <a:picLocks noChangeAspect="1"/>
        </xdr:cNvPicPr>
      </xdr:nvPicPr>
      <xdr:blipFill>
        <a:blip xmlns:r="http://schemas.openxmlformats.org/officeDocument/2006/relationships" r:embed="rId20"/>
        <a:stretch>
          <a:fillRect/>
        </a:stretch>
      </xdr:blipFill>
      <xdr:spPr>
        <a:xfrm>
          <a:off x="16459200" y="199410844"/>
          <a:ext cx="2895600" cy="2168584"/>
        </a:xfrm>
        <a:prstGeom prst="rect">
          <a:avLst/>
        </a:prstGeom>
      </xdr:spPr>
    </xdr:pic>
    <xdr:clientData/>
  </xdr:twoCellAnchor>
  <xdr:oneCellAnchor>
    <xdr:from>
      <xdr:col>19</xdr:col>
      <xdr:colOff>1224642</xdr:colOff>
      <xdr:row>632</xdr:row>
      <xdr:rowOff>249465</xdr:rowOff>
    </xdr:from>
    <xdr:ext cx="819150" cy="819150"/>
    <xdr:pic>
      <xdr:nvPicPr>
        <xdr:cNvPr id="32" name="Picture 23" descr="logo_rgb"/>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2293942" y="2408128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933061</xdr:colOff>
      <xdr:row>636</xdr:row>
      <xdr:rowOff>369336</xdr:rowOff>
    </xdr:from>
    <xdr:to>
      <xdr:col>20</xdr:col>
      <xdr:colOff>594885</xdr:colOff>
      <xdr:row>649</xdr:row>
      <xdr:rowOff>136842</xdr:rowOff>
    </xdr:to>
    <xdr:pic>
      <xdr:nvPicPr>
        <xdr:cNvPr id="37" name="32 Imagen"/>
        <xdr:cNvPicPr>
          <a:picLocks noChangeAspect="1"/>
        </xdr:cNvPicPr>
      </xdr:nvPicPr>
      <xdr:blipFill>
        <a:blip xmlns:r="http://schemas.openxmlformats.org/officeDocument/2006/relationships" r:embed="rId21"/>
        <a:stretch>
          <a:fillRect/>
        </a:stretch>
      </xdr:blipFill>
      <xdr:spPr>
        <a:xfrm>
          <a:off x="14540204" y="201677295"/>
          <a:ext cx="6996513" cy="4491130"/>
        </a:xfrm>
        <a:prstGeom prst="rect">
          <a:avLst/>
        </a:prstGeom>
      </xdr:spPr>
    </xdr:pic>
    <xdr:clientData/>
  </xdr:twoCellAnchor>
  <xdr:twoCellAnchor editAs="oneCell">
    <xdr:from>
      <xdr:col>12</xdr:col>
      <xdr:colOff>485969</xdr:colOff>
      <xdr:row>658</xdr:row>
      <xdr:rowOff>272142</xdr:rowOff>
    </xdr:from>
    <xdr:to>
      <xdr:col>19</xdr:col>
      <xdr:colOff>1206793</xdr:colOff>
      <xdr:row>666</xdr:row>
      <xdr:rowOff>101988</xdr:rowOff>
    </xdr:to>
    <xdr:pic>
      <xdr:nvPicPr>
        <xdr:cNvPr id="38" name="33 Imagen"/>
        <xdr:cNvPicPr>
          <a:picLocks noChangeAspect="1"/>
        </xdr:cNvPicPr>
      </xdr:nvPicPr>
      <xdr:blipFill>
        <a:blip xmlns:r="http://schemas.openxmlformats.org/officeDocument/2006/relationships" r:embed="rId22"/>
        <a:stretch>
          <a:fillRect/>
        </a:stretch>
      </xdr:blipFill>
      <xdr:spPr>
        <a:xfrm>
          <a:off x="11760459" y="209200101"/>
          <a:ext cx="9097682" cy="249295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20</xdr:col>
      <xdr:colOff>333375</xdr:colOff>
      <xdr:row>361</xdr:row>
      <xdr:rowOff>19050</xdr:rowOff>
    </xdr:from>
    <xdr:to>
      <xdr:col>20</xdr:col>
      <xdr:colOff>1152525</xdr:colOff>
      <xdr:row>363</xdr:row>
      <xdr:rowOff>114302</xdr:rowOff>
    </xdr:to>
    <xdr:pic>
      <xdr:nvPicPr>
        <xdr:cNvPr id="962389"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00" y="80533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151</xdr:row>
      <xdr:rowOff>152400</xdr:rowOff>
    </xdr:from>
    <xdr:to>
      <xdr:col>20</xdr:col>
      <xdr:colOff>895350</xdr:colOff>
      <xdr:row>154</xdr:row>
      <xdr:rowOff>219076</xdr:rowOff>
    </xdr:to>
    <xdr:pic>
      <xdr:nvPicPr>
        <xdr:cNvPr id="962390"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888325" y="2917507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202</xdr:row>
      <xdr:rowOff>47625</xdr:rowOff>
    </xdr:from>
    <xdr:to>
      <xdr:col>20</xdr:col>
      <xdr:colOff>1104900</xdr:colOff>
      <xdr:row>204</xdr:row>
      <xdr:rowOff>133349</xdr:rowOff>
    </xdr:to>
    <xdr:pic>
      <xdr:nvPicPr>
        <xdr:cNvPr id="962391"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097875" y="44434125"/>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476</xdr:row>
      <xdr:rowOff>57150</xdr:rowOff>
    </xdr:from>
    <xdr:to>
      <xdr:col>20</xdr:col>
      <xdr:colOff>1076325</xdr:colOff>
      <xdr:row>478</xdr:row>
      <xdr:rowOff>152398</xdr:rowOff>
    </xdr:to>
    <xdr:pic>
      <xdr:nvPicPr>
        <xdr:cNvPr id="962392"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1097470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40</xdr:row>
      <xdr:rowOff>152400</xdr:rowOff>
    </xdr:from>
    <xdr:to>
      <xdr:col>19</xdr:col>
      <xdr:colOff>1036320</xdr:colOff>
      <xdr:row>47</xdr:row>
      <xdr:rowOff>127656</xdr:rowOff>
    </xdr:to>
    <xdr:sp macro="" textlink="">
      <xdr:nvSpPr>
        <xdr:cNvPr id="6" name="5 CuadroTexto"/>
        <xdr:cNvSpPr txBox="1"/>
      </xdr:nvSpPr>
      <xdr:spPr>
        <a:xfrm>
          <a:off x="474675" y="13655040"/>
          <a:ext cx="20861325" cy="12554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819150</xdr:colOff>
      <xdr:row>7</xdr:row>
      <xdr:rowOff>9525</xdr:rowOff>
    </xdr:to>
    <xdr:pic>
      <xdr:nvPicPr>
        <xdr:cNvPr id="962394"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8026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327</xdr:row>
      <xdr:rowOff>57150</xdr:rowOff>
    </xdr:from>
    <xdr:to>
      <xdr:col>20</xdr:col>
      <xdr:colOff>1076325</xdr:colOff>
      <xdr:row>329</xdr:row>
      <xdr:rowOff>152400</xdr:rowOff>
    </xdr:to>
    <xdr:pic>
      <xdr:nvPicPr>
        <xdr:cNvPr id="962395"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7044690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392</xdr:row>
      <xdr:rowOff>114300</xdr:rowOff>
    </xdr:from>
    <xdr:to>
      <xdr:col>20</xdr:col>
      <xdr:colOff>1143000</xdr:colOff>
      <xdr:row>395</xdr:row>
      <xdr:rowOff>152402</xdr:rowOff>
    </xdr:to>
    <xdr:pic>
      <xdr:nvPicPr>
        <xdr:cNvPr id="962396"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126450" y="95297625"/>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256</xdr:row>
      <xdr:rowOff>85725</xdr:rowOff>
    </xdr:from>
    <xdr:to>
      <xdr:col>20</xdr:col>
      <xdr:colOff>1028700</xdr:colOff>
      <xdr:row>259</xdr:row>
      <xdr:rowOff>76199</xdr:rowOff>
    </xdr:to>
    <xdr:pic>
      <xdr:nvPicPr>
        <xdr:cNvPr id="962397"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021675" y="560641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613</xdr:row>
      <xdr:rowOff>19050</xdr:rowOff>
    </xdr:from>
    <xdr:to>
      <xdr:col>20</xdr:col>
      <xdr:colOff>914400</xdr:colOff>
      <xdr:row>616</xdr:row>
      <xdr:rowOff>19053</xdr:rowOff>
    </xdr:to>
    <xdr:pic>
      <xdr:nvPicPr>
        <xdr:cNvPr id="962398"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07375" y="12407265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652</xdr:row>
      <xdr:rowOff>152400</xdr:rowOff>
    </xdr:from>
    <xdr:to>
      <xdr:col>20</xdr:col>
      <xdr:colOff>933450</xdr:colOff>
      <xdr:row>655</xdr:row>
      <xdr:rowOff>266700</xdr:rowOff>
    </xdr:to>
    <xdr:pic>
      <xdr:nvPicPr>
        <xdr:cNvPr id="962399"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926425" y="1376362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106</xdr:row>
      <xdr:rowOff>57150</xdr:rowOff>
    </xdr:from>
    <xdr:to>
      <xdr:col>20</xdr:col>
      <xdr:colOff>1076325</xdr:colOff>
      <xdr:row>108</xdr:row>
      <xdr:rowOff>152400</xdr:rowOff>
    </xdr:to>
    <xdr:pic>
      <xdr:nvPicPr>
        <xdr:cNvPr id="962401"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069300" y="13477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914400</xdr:colOff>
      <xdr:row>10</xdr:row>
      <xdr:rowOff>304800</xdr:rowOff>
    </xdr:from>
    <xdr:to>
      <xdr:col>19</xdr:col>
      <xdr:colOff>991773</xdr:colOff>
      <xdr:row>38</xdr:row>
      <xdr:rowOff>319415</xdr:rowOff>
    </xdr:to>
    <xdr:pic>
      <xdr:nvPicPr>
        <xdr:cNvPr id="16" name="15 Imagen"/>
        <xdr:cNvPicPr>
          <a:picLocks noChangeAspect="1"/>
        </xdr:cNvPicPr>
      </xdr:nvPicPr>
      <xdr:blipFill rotWithShape="1">
        <a:blip xmlns:r="http://schemas.openxmlformats.org/officeDocument/2006/relationships" r:embed="rId8"/>
        <a:srcRect l="18471" r="4547"/>
        <a:stretch/>
      </xdr:blipFill>
      <xdr:spPr>
        <a:xfrm>
          <a:off x="8656320" y="2956560"/>
          <a:ext cx="12833253" cy="10956935"/>
        </a:xfrm>
        <a:prstGeom prst="rect">
          <a:avLst/>
        </a:prstGeom>
      </xdr:spPr>
    </xdr:pic>
    <xdr:clientData/>
  </xdr:twoCellAnchor>
  <xdr:oneCellAnchor>
    <xdr:from>
      <xdr:col>20</xdr:col>
      <xdr:colOff>314325</xdr:colOff>
      <xdr:row>50</xdr:row>
      <xdr:rowOff>57150</xdr:rowOff>
    </xdr:from>
    <xdr:ext cx="828675" cy="866775"/>
    <xdr:pic>
      <xdr:nvPicPr>
        <xdr:cNvPr id="17" name="Picture 23" descr="logo_rgb"/>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726525" y="1570863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20</xdr:col>
      <xdr:colOff>257175</xdr:colOff>
      <xdr:row>476</xdr:row>
      <xdr:rowOff>57150</xdr:rowOff>
    </xdr:from>
    <xdr:to>
      <xdr:col>20</xdr:col>
      <xdr:colOff>1076325</xdr:colOff>
      <xdr:row>478</xdr:row>
      <xdr:rowOff>121918</xdr:rowOff>
    </xdr:to>
    <xdr:pic>
      <xdr:nvPicPr>
        <xdr:cNvPr id="22"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669375" y="155139390"/>
          <a:ext cx="819150" cy="82677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838200</xdr:colOff>
      <xdr:row>482</xdr:row>
      <xdr:rowOff>19050</xdr:rowOff>
    </xdr:from>
    <xdr:to>
      <xdr:col>19</xdr:col>
      <xdr:colOff>76200</xdr:colOff>
      <xdr:row>493</xdr:row>
      <xdr:rowOff>169544</xdr:rowOff>
    </xdr:to>
    <xdr:pic>
      <xdr:nvPicPr>
        <xdr:cNvPr id="24" name="19 Imagen"/>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4820900" y="139865100"/>
          <a:ext cx="5448300" cy="3865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938492</xdr:colOff>
      <xdr:row>499</xdr:row>
      <xdr:rowOff>171450</xdr:rowOff>
    </xdr:from>
    <xdr:to>
      <xdr:col>17</xdr:col>
      <xdr:colOff>956310</xdr:colOff>
      <xdr:row>507</xdr:row>
      <xdr:rowOff>339309</xdr:rowOff>
    </xdr:to>
    <xdr:pic>
      <xdr:nvPicPr>
        <xdr:cNvPr id="25" name="24 Imagen"/>
        <xdr:cNvPicPr>
          <a:picLocks noChangeAspect="1"/>
        </xdr:cNvPicPr>
      </xdr:nvPicPr>
      <xdr:blipFill rotWithShape="1">
        <a:blip xmlns:r="http://schemas.openxmlformats.org/officeDocument/2006/relationships" r:embed="rId12"/>
        <a:srcRect l="65803"/>
        <a:stretch/>
      </xdr:blipFill>
      <xdr:spPr>
        <a:xfrm>
          <a:off x="15842316" y="160877810"/>
          <a:ext cx="2413075" cy="2969329"/>
        </a:xfrm>
        <a:prstGeom prst="rect">
          <a:avLst/>
        </a:prstGeom>
      </xdr:spPr>
    </xdr:pic>
    <xdr:clientData/>
  </xdr:twoCellAnchor>
  <xdr:twoCellAnchor>
    <xdr:from>
      <xdr:col>1</xdr:col>
      <xdr:colOff>114300</xdr:colOff>
      <xdr:row>134</xdr:row>
      <xdr:rowOff>4882</xdr:rowOff>
    </xdr:from>
    <xdr:to>
      <xdr:col>1</xdr:col>
      <xdr:colOff>781050</xdr:colOff>
      <xdr:row>135</xdr:row>
      <xdr:rowOff>438150</xdr:rowOff>
    </xdr:to>
    <xdr:pic>
      <xdr:nvPicPr>
        <xdr:cNvPr id="19" name="Imagen 4" descr="image00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1980" y="6353282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567</xdr:row>
      <xdr:rowOff>57150</xdr:rowOff>
    </xdr:from>
    <xdr:ext cx="819150" cy="819150"/>
    <xdr:pic>
      <xdr:nvPicPr>
        <xdr:cNvPr id="23"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1669375" y="19976211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314325</xdr:colOff>
      <xdr:row>433</xdr:row>
      <xdr:rowOff>114300</xdr:rowOff>
    </xdr:from>
    <xdr:ext cx="828675" cy="819149"/>
    <xdr:pic>
      <xdr:nvPicPr>
        <xdr:cNvPr id="29"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221700" y="156276675"/>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13</xdr:col>
      <xdr:colOff>965636</xdr:colOff>
      <xdr:row>513</xdr:row>
      <xdr:rowOff>15354</xdr:rowOff>
    </xdr:from>
    <xdr:to>
      <xdr:col>15</xdr:col>
      <xdr:colOff>560293</xdr:colOff>
      <xdr:row>520</xdr:row>
      <xdr:rowOff>15173</xdr:rowOff>
    </xdr:to>
    <xdr:pic>
      <xdr:nvPicPr>
        <xdr:cNvPr id="31" name="30 Imagen"/>
        <xdr:cNvPicPr>
          <a:picLocks noChangeAspect="1"/>
        </xdr:cNvPicPr>
      </xdr:nvPicPr>
      <xdr:blipFill>
        <a:blip xmlns:r="http://schemas.openxmlformats.org/officeDocument/2006/relationships" r:embed="rId16"/>
        <a:stretch>
          <a:fillRect/>
        </a:stretch>
      </xdr:blipFill>
      <xdr:spPr>
        <a:xfrm>
          <a:off x="13558246" y="164853883"/>
          <a:ext cx="1905871" cy="1960849"/>
        </a:xfrm>
        <a:prstGeom prst="rect">
          <a:avLst/>
        </a:prstGeom>
      </xdr:spPr>
    </xdr:pic>
    <xdr:clientData/>
  </xdr:twoCellAnchor>
  <xdr:oneCellAnchor>
    <xdr:from>
      <xdr:col>19</xdr:col>
      <xdr:colOff>1224642</xdr:colOff>
      <xdr:row>528</xdr:row>
      <xdr:rowOff>249465</xdr:rowOff>
    </xdr:from>
    <xdr:ext cx="819150" cy="819150"/>
    <xdr:pic>
      <xdr:nvPicPr>
        <xdr:cNvPr id="26"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0808042" y="20046496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476250</xdr:colOff>
      <xdr:row>532</xdr:row>
      <xdr:rowOff>496957</xdr:rowOff>
    </xdr:from>
    <xdr:to>
      <xdr:col>20</xdr:col>
      <xdr:colOff>266893</xdr:colOff>
      <xdr:row>546</xdr:row>
      <xdr:rowOff>101348</xdr:rowOff>
    </xdr:to>
    <xdr:pic>
      <xdr:nvPicPr>
        <xdr:cNvPr id="30" name="32 Imagen"/>
        <xdr:cNvPicPr>
          <a:picLocks noChangeAspect="1"/>
        </xdr:cNvPicPr>
      </xdr:nvPicPr>
      <xdr:blipFill>
        <a:blip xmlns:r="http://schemas.openxmlformats.org/officeDocument/2006/relationships" r:embed="rId17"/>
        <a:stretch>
          <a:fillRect/>
        </a:stretch>
      </xdr:blipFill>
      <xdr:spPr>
        <a:xfrm>
          <a:off x="14287500" y="168903098"/>
          <a:ext cx="6996513" cy="4491130"/>
        </a:xfrm>
        <a:prstGeom prst="rect">
          <a:avLst/>
        </a:prstGeom>
      </xdr:spPr>
    </xdr:pic>
    <xdr:clientData/>
  </xdr:twoCellAnchor>
  <xdr:twoCellAnchor editAs="oneCell">
    <xdr:from>
      <xdr:col>13</xdr:col>
      <xdr:colOff>372716</xdr:colOff>
      <xdr:row>549</xdr:row>
      <xdr:rowOff>82826</xdr:rowOff>
    </xdr:from>
    <xdr:to>
      <xdr:col>20</xdr:col>
      <xdr:colOff>1063550</xdr:colOff>
      <xdr:row>556</xdr:row>
      <xdr:rowOff>111707</xdr:rowOff>
    </xdr:to>
    <xdr:pic>
      <xdr:nvPicPr>
        <xdr:cNvPr id="32" name="33 Imagen"/>
        <xdr:cNvPicPr>
          <a:picLocks noChangeAspect="1"/>
        </xdr:cNvPicPr>
      </xdr:nvPicPr>
      <xdr:blipFill>
        <a:blip xmlns:r="http://schemas.openxmlformats.org/officeDocument/2006/relationships" r:embed="rId18"/>
        <a:stretch>
          <a:fillRect/>
        </a:stretch>
      </xdr:blipFill>
      <xdr:spPr>
        <a:xfrm>
          <a:off x="12982988" y="174369619"/>
          <a:ext cx="9097682" cy="249295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20</xdr:col>
      <xdr:colOff>333375</xdr:colOff>
      <xdr:row>329</xdr:row>
      <xdr:rowOff>19050</xdr:rowOff>
    </xdr:from>
    <xdr:to>
      <xdr:col>20</xdr:col>
      <xdr:colOff>1152525</xdr:colOff>
      <xdr:row>331</xdr:row>
      <xdr:rowOff>114301</xdr:rowOff>
    </xdr:to>
    <xdr:pic>
      <xdr:nvPicPr>
        <xdr:cNvPr id="967827"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88400" y="694086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76200</xdr:colOff>
      <xdr:row>153</xdr:row>
      <xdr:rowOff>152400</xdr:rowOff>
    </xdr:from>
    <xdr:to>
      <xdr:col>20</xdr:col>
      <xdr:colOff>895350</xdr:colOff>
      <xdr:row>156</xdr:row>
      <xdr:rowOff>219075</xdr:rowOff>
    </xdr:to>
    <xdr:pic>
      <xdr:nvPicPr>
        <xdr:cNvPr id="967828" name="Picture 23" descr="logo_rg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231225" y="29194125"/>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285750</xdr:colOff>
      <xdr:row>203</xdr:row>
      <xdr:rowOff>47625</xdr:rowOff>
    </xdr:from>
    <xdr:to>
      <xdr:col>20</xdr:col>
      <xdr:colOff>1104900</xdr:colOff>
      <xdr:row>205</xdr:row>
      <xdr:rowOff>133349</xdr:rowOff>
    </xdr:to>
    <xdr:pic>
      <xdr:nvPicPr>
        <xdr:cNvPr id="967829" name="Picture 23" descr="logo_rgb"/>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440775" y="43319700"/>
          <a:ext cx="819150" cy="80962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442</xdr:row>
      <xdr:rowOff>57150</xdr:rowOff>
    </xdr:from>
    <xdr:to>
      <xdr:col>20</xdr:col>
      <xdr:colOff>1076325</xdr:colOff>
      <xdr:row>444</xdr:row>
      <xdr:rowOff>152402</xdr:rowOff>
    </xdr:to>
    <xdr:pic>
      <xdr:nvPicPr>
        <xdr:cNvPr id="967830"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12200" y="9904095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474675</xdr:colOff>
      <xdr:row>40</xdr:row>
      <xdr:rowOff>121919</xdr:rowOff>
    </xdr:from>
    <xdr:to>
      <xdr:col>20</xdr:col>
      <xdr:colOff>518160</xdr:colOff>
      <xdr:row>47</xdr:row>
      <xdr:rowOff>108680</xdr:rowOff>
    </xdr:to>
    <xdr:sp macro="" textlink="">
      <xdr:nvSpPr>
        <xdr:cNvPr id="6" name="5 CuadroTexto"/>
        <xdr:cNvSpPr txBox="1"/>
      </xdr:nvSpPr>
      <xdr:spPr>
        <a:xfrm>
          <a:off x="474675" y="14356079"/>
          <a:ext cx="21867165" cy="12669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ts val="1600"/>
            </a:lnSpc>
            <a:spcBef>
              <a:spcPts val="0"/>
            </a:spcBef>
            <a:spcAft>
              <a:spcPts val="0"/>
            </a:spcAft>
            <a:buClrTx/>
            <a:buSzTx/>
            <a:buFontTx/>
            <a:buNone/>
            <a:tabLst/>
            <a:defRPr/>
          </a:pPr>
          <a:r>
            <a:rPr lang="es-ES" sz="1400">
              <a:solidFill>
                <a:schemeClr val="dk1"/>
              </a:solidFill>
              <a:effectLst/>
              <a:latin typeface="Helvetica 45 Light" pitchFamily="34" charset="0"/>
              <a:ea typeface="+mn-ea"/>
              <a:cs typeface="+mn-cs"/>
            </a:rPr>
            <a:t>Este documento contiene referencias y precios que se refieren a productos y servicios de Orange. Se remite al Cliente como propuesta comercial a medida en virtud del número de servicios, expectativas de facturación y datos facilitados por el Cliente. Las condiciones económicas y legales de los productos descritos no son exhaustivas, ni constituyen un compromiso firme en nombre de Orange hasta su aceptación y firma en el momento de la contratación. Estas condiciones permanecerán vigentes siempre que el Cliente cumpla con las mismas. Los precios indicados no incluyen impuestos indirectos.</a:t>
          </a:r>
          <a:endParaRPr lang="es-ES" sz="1800">
            <a:solidFill>
              <a:srgbClr val="FF0000"/>
            </a:solidFill>
            <a:latin typeface="Helvetica 45 Light" pitchFamily="34" charset="0"/>
          </a:endParaRPr>
        </a:p>
      </xdr:txBody>
    </xdr:sp>
    <xdr:clientData/>
  </xdr:twoCellAnchor>
  <xdr:twoCellAnchor editAs="oneCell">
    <xdr:from>
      <xdr:col>19</xdr:col>
      <xdr:colOff>1152525</xdr:colOff>
      <xdr:row>2</xdr:row>
      <xdr:rowOff>66675</xdr:rowOff>
    </xdr:from>
    <xdr:to>
      <xdr:col>20</xdr:col>
      <xdr:colOff>819150</xdr:colOff>
      <xdr:row>7</xdr:row>
      <xdr:rowOff>9525</xdr:rowOff>
    </xdr:to>
    <xdr:pic>
      <xdr:nvPicPr>
        <xdr:cNvPr id="967832" name="Picture 23" descr="logo_rgb"/>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1145500" y="390525"/>
          <a:ext cx="828675" cy="7524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314325</xdr:colOff>
      <xdr:row>361</xdr:row>
      <xdr:rowOff>114300</xdr:rowOff>
    </xdr:from>
    <xdr:to>
      <xdr:col>20</xdr:col>
      <xdr:colOff>1143000</xdr:colOff>
      <xdr:row>364</xdr:row>
      <xdr:rowOff>152401</xdr:rowOff>
    </xdr:to>
    <xdr:pic>
      <xdr:nvPicPr>
        <xdr:cNvPr id="967833" name="Picture 23" descr="logo_rgb"/>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469350" y="84591525"/>
          <a:ext cx="828675" cy="80010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209550</xdr:colOff>
      <xdr:row>257</xdr:row>
      <xdr:rowOff>85725</xdr:rowOff>
    </xdr:from>
    <xdr:to>
      <xdr:col>20</xdr:col>
      <xdr:colOff>1028700</xdr:colOff>
      <xdr:row>260</xdr:row>
      <xdr:rowOff>76199</xdr:rowOff>
    </xdr:to>
    <xdr:pic>
      <xdr:nvPicPr>
        <xdr:cNvPr id="967834" name="Picture 23" descr="logo_rgb"/>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364575" y="549497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95250</xdr:colOff>
      <xdr:row>577</xdr:row>
      <xdr:rowOff>19050</xdr:rowOff>
    </xdr:from>
    <xdr:to>
      <xdr:col>20</xdr:col>
      <xdr:colOff>914400</xdr:colOff>
      <xdr:row>580</xdr:row>
      <xdr:rowOff>19050</xdr:rowOff>
    </xdr:to>
    <xdr:pic>
      <xdr:nvPicPr>
        <xdr:cNvPr id="967835" name="Picture 23" descr="logo_rgb"/>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250275" y="113366550"/>
          <a:ext cx="819150" cy="8286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114300</xdr:colOff>
      <xdr:row>615</xdr:row>
      <xdr:rowOff>152400</xdr:rowOff>
    </xdr:from>
    <xdr:to>
      <xdr:col>20</xdr:col>
      <xdr:colOff>933450</xdr:colOff>
      <xdr:row>618</xdr:row>
      <xdr:rowOff>266701</xdr:rowOff>
    </xdr:to>
    <xdr:pic>
      <xdr:nvPicPr>
        <xdr:cNvPr id="967836" name="Picture 23" descr="logo_rgb"/>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1269325" y="12646342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257175</xdr:colOff>
      <xdr:row>109</xdr:row>
      <xdr:rowOff>57150</xdr:rowOff>
    </xdr:from>
    <xdr:to>
      <xdr:col>20</xdr:col>
      <xdr:colOff>1076325</xdr:colOff>
      <xdr:row>111</xdr:row>
      <xdr:rowOff>152400</xdr:rowOff>
    </xdr:to>
    <xdr:pic>
      <xdr:nvPicPr>
        <xdr:cNvPr id="967838" name="Picture 23" descr="logo_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412200" y="13477875"/>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30480</xdr:colOff>
      <xdr:row>8</xdr:row>
      <xdr:rowOff>152400</xdr:rowOff>
    </xdr:from>
    <xdr:to>
      <xdr:col>19</xdr:col>
      <xdr:colOff>748009</xdr:colOff>
      <xdr:row>35</xdr:row>
      <xdr:rowOff>48905</xdr:rowOff>
    </xdr:to>
    <xdr:pic>
      <xdr:nvPicPr>
        <xdr:cNvPr id="15" name="14 Imagen"/>
        <xdr:cNvPicPr>
          <a:picLocks noChangeAspect="1"/>
        </xdr:cNvPicPr>
      </xdr:nvPicPr>
      <xdr:blipFill rotWithShape="1">
        <a:blip xmlns:r="http://schemas.openxmlformats.org/officeDocument/2006/relationships" r:embed="rId9"/>
        <a:srcRect l="18471" r="4547"/>
        <a:stretch/>
      </xdr:blipFill>
      <xdr:spPr>
        <a:xfrm>
          <a:off x="8717280" y="1889760"/>
          <a:ext cx="12755336" cy="11478905"/>
        </a:xfrm>
        <a:prstGeom prst="rect">
          <a:avLst/>
        </a:prstGeom>
      </xdr:spPr>
    </xdr:pic>
    <xdr:clientData/>
  </xdr:twoCellAnchor>
  <xdr:oneCellAnchor>
    <xdr:from>
      <xdr:col>20</xdr:col>
      <xdr:colOff>314325</xdr:colOff>
      <xdr:row>55</xdr:row>
      <xdr:rowOff>57150</xdr:rowOff>
    </xdr:from>
    <xdr:ext cx="828675" cy="866775"/>
    <xdr:pic>
      <xdr:nvPicPr>
        <xdr:cNvPr id="16" name="Picture 23" descr="logo_rgb"/>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2077045" y="15030450"/>
          <a:ext cx="828675" cy="866775"/>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1085850</xdr:colOff>
      <xdr:row>447</xdr:row>
      <xdr:rowOff>704850</xdr:rowOff>
    </xdr:from>
    <xdr:to>
      <xdr:col>18</xdr:col>
      <xdr:colOff>304800</xdr:colOff>
      <xdr:row>458</xdr:row>
      <xdr:rowOff>332220</xdr:rowOff>
    </xdr:to>
    <xdr:pic>
      <xdr:nvPicPr>
        <xdr:cNvPr id="21" name="19 Imagen"/>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068550" y="127882650"/>
          <a:ext cx="4572000" cy="3704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57150</xdr:colOff>
      <xdr:row>466</xdr:row>
      <xdr:rowOff>38100</xdr:rowOff>
    </xdr:from>
    <xdr:to>
      <xdr:col>17</xdr:col>
      <xdr:colOff>422910</xdr:colOff>
      <xdr:row>474</xdr:row>
      <xdr:rowOff>91657</xdr:rowOff>
    </xdr:to>
    <xdr:pic>
      <xdr:nvPicPr>
        <xdr:cNvPr id="22" name="21 Imagen"/>
        <xdr:cNvPicPr>
          <a:picLocks noChangeAspect="1"/>
        </xdr:cNvPicPr>
      </xdr:nvPicPr>
      <xdr:blipFill rotWithShape="1">
        <a:blip xmlns:r="http://schemas.openxmlformats.org/officeDocument/2006/relationships" r:embed="rId12"/>
        <a:srcRect l="65803"/>
        <a:stretch/>
      </xdr:blipFill>
      <xdr:spPr>
        <a:xfrm>
          <a:off x="16954500" y="133750050"/>
          <a:ext cx="1737360" cy="2949157"/>
        </a:xfrm>
        <a:prstGeom prst="rect">
          <a:avLst/>
        </a:prstGeom>
      </xdr:spPr>
    </xdr:pic>
    <xdr:clientData/>
  </xdr:twoCellAnchor>
  <xdr:twoCellAnchor>
    <xdr:from>
      <xdr:col>1</xdr:col>
      <xdr:colOff>114300</xdr:colOff>
      <xdr:row>137</xdr:row>
      <xdr:rowOff>4882</xdr:rowOff>
    </xdr:from>
    <xdr:to>
      <xdr:col>1</xdr:col>
      <xdr:colOff>781050</xdr:colOff>
      <xdr:row>138</xdr:row>
      <xdr:rowOff>438150</xdr:rowOff>
    </xdr:to>
    <xdr:pic>
      <xdr:nvPicPr>
        <xdr:cNvPr id="17" name="Imagen 4" descr="image001"/>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1980" y="62382202"/>
          <a:ext cx="666750" cy="6542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20</xdr:col>
      <xdr:colOff>257175</xdr:colOff>
      <xdr:row>535</xdr:row>
      <xdr:rowOff>57150</xdr:rowOff>
    </xdr:from>
    <xdr:ext cx="819150" cy="819150"/>
    <xdr:pic>
      <xdr:nvPicPr>
        <xdr:cNvPr id="23"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2019895" y="18536793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314325</xdr:colOff>
      <xdr:row>401</xdr:row>
      <xdr:rowOff>114300</xdr:rowOff>
    </xdr:from>
    <xdr:ext cx="828675" cy="819149"/>
    <xdr:pic>
      <xdr:nvPicPr>
        <xdr:cNvPr id="24" name="Picture 23" descr="logo_rgb"/>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469350" y="142779750"/>
          <a:ext cx="828675" cy="819149"/>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17</xdr:col>
      <xdr:colOff>1009650</xdr:colOff>
      <xdr:row>479</xdr:row>
      <xdr:rowOff>57150</xdr:rowOff>
    </xdr:from>
    <xdr:to>
      <xdr:col>20</xdr:col>
      <xdr:colOff>526601</xdr:colOff>
      <xdr:row>487</xdr:row>
      <xdr:rowOff>100897</xdr:rowOff>
    </xdr:to>
    <xdr:pic>
      <xdr:nvPicPr>
        <xdr:cNvPr id="25" name="24 Imagen"/>
        <xdr:cNvPicPr>
          <a:picLocks noChangeAspect="1"/>
        </xdr:cNvPicPr>
      </xdr:nvPicPr>
      <xdr:blipFill>
        <a:blip xmlns:r="http://schemas.openxmlformats.org/officeDocument/2006/relationships" r:embed="rId16"/>
        <a:stretch>
          <a:fillRect/>
        </a:stretch>
      </xdr:blipFill>
      <xdr:spPr>
        <a:xfrm>
          <a:off x="18840450" y="151885650"/>
          <a:ext cx="2907851" cy="2463098"/>
        </a:xfrm>
        <a:prstGeom prst="rect">
          <a:avLst/>
        </a:prstGeom>
      </xdr:spPr>
    </xdr:pic>
    <xdr:clientData/>
  </xdr:twoCellAnchor>
  <xdr:oneCellAnchor>
    <xdr:from>
      <xdr:col>19</xdr:col>
      <xdr:colOff>1224642</xdr:colOff>
      <xdr:row>496</xdr:row>
      <xdr:rowOff>249465</xdr:rowOff>
    </xdr:from>
    <xdr:ext cx="819150" cy="819150"/>
    <xdr:pic>
      <xdr:nvPicPr>
        <xdr:cNvPr id="26" name="Picture 23" descr="logo_rgb"/>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0979492" y="167194140"/>
          <a:ext cx="819150" cy="819150"/>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val="FFFFFF"/>
              </a:solidFill>
            </a14:hiddenFill>
          </a:ext>
        </a:extLst>
      </xdr:spPr>
    </xdr:pic>
    <xdr:clientData/>
  </xdr:oneCellAnchor>
  <xdr:twoCellAnchor editAs="oneCell">
    <xdr:from>
      <xdr:col>14</xdr:col>
      <xdr:colOff>705556</xdr:colOff>
      <xdr:row>500</xdr:row>
      <xdr:rowOff>529167</xdr:rowOff>
    </xdr:from>
    <xdr:to>
      <xdr:col>20</xdr:col>
      <xdr:colOff>134985</xdr:colOff>
      <xdr:row>514</xdr:row>
      <xdr:rowOff>257796</xdr:rowOff>
    </xdr:to>
    <xdr:pic>
      <xdr:nvPicPr>
        <xdr:cNvPr id="29" name="32 Imagen"/>
        <xdr:cNvPicPr>
          <a:picLocks noChangeAspect="1"/>
        </xdr:cNvPicPr>
      </xdr:nvPicPr>
      <xdr:blipFill>
        <a:blip xmlns:r="http://schemas.openxmlformats.org/officeDocument/2006/relationships" r:embed="rId17"/>
        <a:stretch>
          <a:fillRect/>
        </a:stretch>
      </xdr:blipFill>
      <xdr:spPr>
        <a:xfrm>
          <a:off x="14287500" y="156421667"/>
          <a:ext cx="6996513" cy="4491130"/>
        </a:xfrm>
        <a:prstGeom prst="rect">
          <a:avLst/>
        </a:prstGeom>
      </xdr:spPr>
    </xdr:pic>
    <xdr:clientData/>
  </xdr:twoCellAnchor>
  <xdr:twoCellAnchor editAs="oneCell">
    <xdr:from>
      <xdr:col>12</xdr:col>
      <xdr:colOff>881945</xdr:colOff>
      <xdr:row>522</xdr:row>
      <xdr:rowOff>229305</xdr:rowOff>
    </xdr:from>
    <xdr:to>
      <xdr:col>20</xdr:col>
      <xdr:colOff>66571</xdr:colOff>
      <xdr:row>530</xdr:row>
      <xdr:rowOff>23513</xdr:rowOff>
    </xdr:to>
    <xdr:pic>
      <xdr:nvPicPr>
        <xdr:cNvPr id="30" name="33 Imagen"/>
        <xdr:cNvPicPr>
          <a:picLocks noChangeAspect="1"/>
        </xdr:cNvPicPr>
      </xdr:nvPicPr>
      <xdr:blipFill>
        <a:blip xmlns:r="http://schemas.openxmlformats.org/officeDocument/2006/relationships" r:embed="rId18"/>
        <a:stretch>
          <a:fillRect/>
        </a:stretch>
      </xdr:blipFill>
      <xdr:spPr>
        <a:xfrm>
          <a:off x="12117917" y="163653611"/>
          <a:ext cx="9097682" cy="24929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DOCUME~1\olouro\CONFIG~1\Temp\Documents%20and%20Settings\olouro\Escritorio\Documents%20and%20Settings\olouro\Escritorio\Docs\jzafrab\Orange%20Business%20Services%20Solutions%20Sets\Business%20Mobility\Pricing%20Tool\Pricing%20"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alonsos\Downloads\PricingToolMovil_v350_CR_test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rodrigu\AppData\Local\Microsoft\Windows\Temporary%20Internet%20Files\Content.Outlook\URSK1NHO\PLANTILLA%20REPORTE%20PRESENCIAL%2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DOCUME~1\olouro\CONFIG~1\Temp\Documents%20and%20Settings\olouro\Escritorio\Documents%20and%20Settings\olouro\Escritorio\Docs\jzafrab\Orange%20Business%20Services%20Solutions%20Sets\Business%20Mobility\Pricing%20Tool\PdN-F060"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Juan%20Miguel%20L&#243;pez\AppData\Local\Microsoft\Windows\INetCache\Content.Outlook\I9K8V57A\Copy%20of%20Calculadora_Ofertas_Conecta_Pyme_Centralita_version_3.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Juan%20Miguel%20L&#243;pez\Mis%20carpetas\Takealeap\Digitalizacion\Versiones%20intermedias\Herramienta_SIN_Limites_v.7.12%20debloqueada%20Susa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ERTA"/>
      <sheetName val="VOZ"/>
      <sheetName val="COMPARATIVA"/>
      <sheetName val="Cálculos"/>
      <sheetName val="DATOS ENTRADA movil"/>
      <sheetName val="CALCULO movil"/>
      <sheetName val="Tarifas"/>
      <sheetName val="Tablas MOVIL"/>
      <sheetName val="CR movil"/>
      <sheetName val="Plantilla-Ingenieria Móvi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IABILIDAD"/>
      <sheetName val="CR integrada"/>
      <sheetName val="CR movil"/>
      <sheetName val="TERM-PT"/>
      <sheetName val="TERM-CT"/>
      <sheetName val="TMOV-PT"/>
      <sheetName val="CALCULO movil"/>
      <sheetName val="COMPARATIVA"/>
      <sheetName val="Tarifas"/>
      <sheetName val="CálculosPreaprobadas"/>
      <sheetName val="Tablas MOVIL"/>
      <sheetName val="Comparativa Móvil"/>
      <sheetName val="OPlus-PT"/>
      <sheetName val="Comparativa OPlus-Fijo"/>
      <sheetName val="Comparativa OPlus_OVodafone"/>
      <sheetName val="RFB_IVPN-PT"/>
      <sheetName val="RFB_IVPN-Engine"/>
      <sheetName val="CM-PT"/>
      <sheetName val="CM-CT"/>
      <sheetName val="IEW-PT"/>
      <sheetName val="I3G-PT"/>
      <sheetName val="I3G-CT"/>
      <sheetName val="IEW-CT"/>
      <sheetName val="C_SMS-PT"/>
      <sheetName val="M2M-PT"/>
      <sheetName val="M2M-CT"/>
      <sheetName val="TMOV-IC"/>
      <sheetName val="Borrador"/>
    </sheetNames>
    <sheetDataSet>
      <sheetData sheetId="0"/>
      <sheetData sheetId="1"/>
      <sheetData sheetId="2"/>
      <sheetData sheetId="3"/>
      <sheetData sheetId="4"/>
      <sheetData sheetId="5"/>
      <sheetData sheetId="6">
        <row r="280">
          <cell r="K280">
            <v>0.58327932598833443</v>
          </cell>
          <cell r="L280">
            <v>0.4031108230719378</v>
          </cell>
        </row>
        <row r="284">
          <cell r="K284">
            <v>0.66273932253313705</v>
          </cell>
          <cell r="M284">
            <v>0.32179675994108986</v>
          </cell>
        </row>
        <row r="286">
          <cell r="L286">
            <v>0.57592592592592595</v>
          </cell>
          <cell r="M286">
            <v>0.40462962962962967</v>
          </cell>
        </row>
      </sheetData>
      <sheetData sheetId="7"/>
      <sheetData sheetId="8"/>
      <sheetData sheetId="9"/>
      <sheetData sheetId="10">
        <row r="228">
          <cell r="C228" t="e">
            <v>#DIV/0!</v>
          </cell>
        </row>
        <row r="230">
          <cell r="C230" t="e">
            <v>#DIV/0!</v>
          </cell>
        </row>
        <row r="232">
          <cell r="C232" t="e">
            <v>#DIV/0!</v>
          </cell>
        </row>
        <row r="233">
          <cell r="C233">
            <v>0</v>
          </cell>
        </row>
        <row r="236">
          <cell r="C236">
            <v>0</v>
          </cell>
        </row>
        <row r="237">
          <cell r="C237">
            <v>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VIDAD"/>
      <sheetName val="PLANTILLA REPORTE PRESENCIAL (2"/>
    </sheetNames>
    <sheetDataSet>
      <sheetData sheetId="0">
        <row r="3">
          <cell r="BB3" t="str">
            <v>Registro_válido</v>
          </cell>
          <cell r="BE3" t="str">
            <v>Abierto</v>
          </cell>
        </row>
        <row r="4">
          <cell r="BE4" t="str">
            <v>Cerrado</v>
          </cell>
        </row>
      </sheetData>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FERTA"/>
      <sheetName val="VOZ"/>
      <sheetName val="COMPARATIVA"/>
      <sheetName val="Hoja para Cálculos"/>
      <sheetName val="Cálculos"/>
      <sheetName val="DATOS ENTRADA movil"/>
      <sheetName val="CALCULO movil"/>
      <sheetName val="Tarifas"/>
      <sheetName val="Tablas MOVIL"/>
      <sheetName val="CR movil"/>
      <sheetName val="info obj 05"/>
      <sheetName val="IRPO"/>
      <sheetName val="Plantilla-Ingenieria Móvil"/>
      <sheetName val="Validac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TREGA_PYME"/>
      <sheetName val="REPORTE"/>
      <sheetName val="Calculadora CP Centralita"/>
      <sheetName val="Sheet1"/>
      <sheetName val="Instrucciones"/>
      <sheetName val="Validacion"/>
      <sheetName val="Copy of Calculadora_Ofertas_Con"/>
    </sheetNames>
    <sheetDataSet>
      <sheetData sheetId="0"/>
      <sheetData sheetId="1" refreshError="1"/>
      <sheetData sheetId="2" refreshError="1"/>
      <sheetData sheetId="3" refreshError="1"/>
      <sheetData sheetId="4" refreshError="1"/>
      <sheetData sheetId="5"/>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leccion de oferta"/>
      <sheetName val="Entrada de datos"/>
      <sheetName val="Perfiles_usuario"/>
      <sheetName val="ITL_roam"/>
      <sheetName val="Calculos_cuotas"/>
      <sheetName val="Oferta_OptimaRPV_sinCP_jazztel"/>
      <sheetName val="Oferta_OptimaRPV"/>
      <sheetName val="Oferta_OptimaRPV_sinCP"/>
      <sheetName val="Oferta_Optima"/>
      <sheetName val="Oferta_Optima_sinCP"/>
      <sheetName val="Oferta_Preaprobadas"/>
      <sheetName val="Oferta_Preaprobadas_sinC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0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itunes.apple.com/es/app/seguro-movil/id882490003?mt=8" TargetMode="External"/><Relationship Id="rId1" Type="http://schemas.openxmlformats.org/officeDocument/2006/relationships/hyperlink" Target="https://play.google.com/store/apps/details?id=com.yougetitback.androidapplication.spb.mobile" TargetMode="External"/><Relationship Id="rId4"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indexed="11"/>
    <pageSetUpPr autoPageBreaks="0"/>
  </sheetPr>
  <dimension ref="A1:DK558"/>
  <sheetViews>
    <sheetView showGridLines="0" showRowColHeaders="0" showZeros="0" showOutlineSymbols="0" topLeftCell="A16" zoomScaleNormal="100" zoomScaleSheetLayoutView="80" workbookViewId="0">
      <selection activeCell="E46" sqref="E46"/>
    </sheetView>
  </sheetViews>
  <sheetFormatPr baseColWidth="10" defaultColWidth="11.42578125" defaultRowHeight="12.75"/>
  <cols>
    <col min="1" max="1" width="6" style="66" customWidth="1"/>
    <col min="2" max="2" width="8.140625" style="4" customWidth="1"/>
    <col min="3" max="3" width="13.42578125" style="4" customWidth="1"/>
    <col min="4" max="4" width="16.140625" style="4" customWidth="1"/>
    <col min="5" max="5" width="15.85546875" style="4" customWidth="1"/>
    <col min="6" max="8" width="11.42578125" style="4"/>
    <col min="9" max="9" width="5" style="27" customWidth="1"/>
    <col min="10" max="10" width="7.140625" style="27" customWidth="1"/>
    <col min="11" max="11" width="18.28515625" style="28" customWidth="1"/>
    <col min="12" max="12" width="10" style="27" customWidth="1"/>
    <col min="13" max="13" width="3.140625" style="66" customWidth="1"/>
    <col min="14" max="19" width="11.42578125" style="66"/>
    <col min="20" max="26" width="0" style="66" hidden="1" customWidth="1"/>
    <col min="27" max="105" width="11.42578125" style="66"/>
    <col min="106" max="115" width="11.42578125" style="51"/>
    <col min="116" max="16384" width="11.42578125" style="4"/>
  </cols>
  <sheetData>
    <row r="1" spans="1:105" s="66" customFormat="1" ht="13.5" thickBot="1">
      <c r="K1" s="72"/>
    </row>
    <row r="2" spans="1:105" s="51" customFormat="1" ht="6" customHeight="1">
      <c r="A2" s="66"/>
      <c r="B2" s="75"/>
      <c r="C2" s="76"/>
      <c r="D2" s="76"/>
      <c r="E2" s="76"/>
      <c r="F2" s="76"/>
      <c r="G2" s="76"/>
      <c r="H2" s="76"/>
      <c r="I2" s="76"/>
      <c r="J2" s="76"/>
      <c r="K2" s="77"/>
      <c r="L2" s="78"/>
      <c r="M2" s="66"/>
      <c r="N2" s="74"/>
      <c r="O2" s="66"/>
      <c r="P2" s="66"/>
      <c r="Q2" s="66"/>
      <c r="R2" s="66"/>
      <c r="S2" s="66"/>
      <c r="T2" s="66"/>
      <c r="U2" s="66"/>
      <c r="V2" s="66"/>
      <c r="W2" s="66"/>
      <c r="X2" s="66"/>
      <c r="Y2" s="66"/>
      <c r="Z2" s="66"/>
      <c r="AA2" s="66"/>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66"/>
      <c r="BE2" s="66"/>
      <c r="BF2" s="66"/>
      <c r="BG2" s="66"/>
      <c r="BH2" s="66"/>
      <c r="BI2" s="66"/>
      <c r="BJ2" s="66"/>
      <c r="BK2" s="66"/>
      <c r="BL2" s="66"/>
      <c r="BM2" s="66"/>
      <c r="BN2" s="66"/>
      <c r="BO2" s="66"/>
      <c r="BP2" s="66"/>
      <c r="BQ2" s="66"/>
      <c r="BR2" s="66"/>
      <c r="BS2" s="66"/>
      <c r="BT2" s="66"/>
      <c r="BU2" s="66"/>
      <c r="BV2" s="66"/>
      <c r="BW2" s="66"/>
      <c r="BX2" s="66"/>
      <c r="BY2" s="66"/>
      <c r="BZ2" s="66"/>
      <c r="CA2" s="66"/>
      <c r="CB2" s="66"/>
      <c r="CC2" s="66"/>
      <c r="CD2" s="66"/>
      <c r="CE2" s="66"/>
      <c r="CF2" s="66"/>
      <c r="CG2" s="66"/>
      <c r="CH2" s="66"/>
      <c r="CI2" s="66"/>
      <c r="CJ2" s="66"/>
      <c r="CK2" s="66"/>
      <c r="CL2" s="66"/>
      <c r="CM2" s="66"/>
      <c r="CN2" s="66"/>
      <c r="CO2" s="66"/>
      <c r="CP2" s="66"/>
      <c r="CQ2" s="66"/>
      <c r="CR2" s="66"/>
      <c r="CS2" s="66"/>
      <c r="CT2" s="66"/>
      <c r="CU2" s="66"/>
      <c r="CV2" s="66"/>
      <c r="CW2" s="66"/>
      <c r="CX2" s="66"/>
      <c r="CY2" s="66"/>
      <c r="CZ2" s="66"/>
      <c r="DA2" s="66"/>
    </row>
    <row r="3" spans="1:105" s="51" customFormat="1">
      <c r="A3" s="66"/>
      <c r="B3" s="54"/>
      <c r="C3" s="53"/>
      <c r="D3" s="53"/>
      <c r="E3" s="53"/>
      <c r="F3" s="53"/>
      <c r="G3" s="53"/>
      <c r="H3" s="53"/>
      <c r="I3" s="53"/>
      <c r="J3" s="53"/>
      <c r="K3" s="55"/>
      <c r="L3" s="56"/>
      <c r="M3" s="66"/>
      <c r="N3" s="74"/>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row>
    <row r="4" spans="1:105" s="51" customFormat="1" ht="19.5" customHeight="1">
      <c r="A4" s="66"/>
      <c r="B4" s="54"/>
      <c r="C4" s="57"/>
      <c r="D4" s="58"/>
      <c r="E4" s="53"/>
      <c r="F4" s="53"/>
      <c r="G4" s="53"/>
      <c r="H4" s="53"/>
      <c r="I4" s="53"/>
      <c r="J4" s="53"/>
      <c r="K4" s="53"/>
      <c r="L4" s="56"/>
      <c r="M4" s="66"/>
      <c r="N4" s="74"/>
      <c r="O4" s="66"/>
      <c r="P4" s="66" t="s">
        <v>343</v>
      </c>
      <c r="Q4" s="66"/>
      <c r="R4" s="66"/>
      <c r="S4" s="66"/>
      <c r="T4" s="66"/>
      <c r="U4" s="66"/>
      <c r="V4" s="66"/>
      <c r="W4" s="66"/>
      <c r="X4" s="66"/>
      <c r="Y4" s="66"/>
      <c r="Z4" s="66"/>
      <c r="AA4" s="66"/>
      <c r="AB4" s="66"/>
      <c r="AC4" s="66"/>
      <c r="AD4" s="66"/>
      <c r="AE4" s="66"/>
      <c r="AF4" s="66"/>
      <c r="AG4" s="66"/>
      <c r="AH4" s="66"/>
      <c r="AI4" s="66"/>
      <c r="AJ4" s="66"/>
      <c r="AK4" s="66"/>
      <c r="AL4" s="66"/>
      <c r="AM4" s="66"/>
      <c r="AN4" s="66"/>
      <c r="AO4" s="66"/>
      <c r="AP4" s="66"/>
      <c r="AQ4" s="66"/>
      <c r="AR4" s="66"/>
      <c r="AS4" s="66"/>
      <c r="AT4" s="66"/>
      <c r="AU4" s="66"/>
      <c r="AV4" s="66"/>
      <c r="AW4" s="66"/>
      <c r="AX4" s="66"/>
      <c r="AY4" s="66"/>
      <c r="AZ4" s="66"/>
      <c r="BA4" s="66"/>
      <c r="BB4" s="66"/>
      <c r="BC4" s="66"/>
      <c r="BD4" s="66"/>
      <c r="BE4" s="66"/>
      <c r="BF4" s="66"/>
      <c r="BG4" s="66"/>
      <c r="BH4" s="66"/>
      <c r="BI4" s="66"/>
      <c r="BJ4" s="66"/>
      <c r="BK4" s="66"/>
      <c r="BL4" s="66"/>
      <c r="BM4" s="66"/>
      <c r="BN4" s="66"/>
      <c r="BO4" s="66"/>
      <c r="BP4" s="66"/>
      <c r="BQ4" s="66"/>
      <c r="BR4" s="66"/>
      <c r="BS4" s="66"/>
      <c r="BT4" s="66"/>
      <c r="BU4" s="66"/>
      <c r="BV4" s="66"/>
      <c r="BW4" s="66"/>
      <c r="BX4" s="66"/>
      <c r="BY4" s="66"/>
      <c r="BZ4" s="66"/>
      <c r="CA4" s="66"/>
      <c r="CB4" s="66"/>
      <c r="CC4" s="66"/>
      <c r="CD4" s="66"/>
      <c r="CE4" s="66"/>
      <c r="CF4" s="66"/>
      <c r="CG4" s="66"/>
      <c r="CH4" s="66"/>
      <c r="CI4" s="66"/>
      <c r="CJ4" s="66"/>
      <c r="CK4" s="66"/>
      <c r="CL4" s="66"/>
      <c r="CM4" s="66"/>
      <c r="CN4" s="66"/>
      <c r="CO4" s="66"/>
      <c r="CP4" s="66"/>
      <c r="CQ4" s="66"/>
      <c r="CR4" s="66"/>
      <c r="CS4" s="66"/>
      <c r="CT4" s="66"/>
      <c r="CU4" s="66"/>
      <c r="CV4" s="66"/>
      <c r="CW4" s="66"/>
      <c r="CX4" s="66"/>
      <c r="CY4" s="66"/>
      <c r="CZ4" s="66"/>
      <c r="DA4" s="66"/>
    </row>
    <row r="5" spans="1:105" s="51" customFormat="1" ht="30.75" customHeight="1">
      <c r="A5" s="66"/>
      <c r="B5" s="54"/>
      <c r="C5" s="962" t="s">
        <v>753</v>
      </c>
      <c r="D5" s="963"/>
      <c r="E5" s="963"/>
      <c r="F5" s="963"/>
      <c r="G5" s="963"/>
      <c r="H5" s="963"/>
      <c r="I5" s="963"/>
      <c r="J5" s="964"/>
      <c r="K5" s="965"/>
      <c r="L5" s="966"/>
      <c r="M5" s="66"/>
      <c r="N5" s="74"/>
      <c r="O5" s="66"/>
      <c r="P5" s="66" t="s">
        <v>344</v>
      </c>
      <c r="Q5" s="66"/>
      <c r="R5" s="66"/>
      <c r="S5" s="66"/>
      <c r="T5" s="66"/>
      <c r="U5" s="66"/>
      <c r="V5" s="66"/>
      <c r="W5" s="66"/>
      <c r="X5" s="66"/>
      <c r="Y5" s="66"/>
      <c r="Z5" s="66"/>
      <c r="AA5" s="66"/>
      <c r="AB5" s="66"/>
      <c r="AC5" s="66"/>
      <c r="AD5" s="66"/>
      <c r="AE5" s="66"/>
      <c r="AF5" s="66"/>
      <c r="AG5" s="66"/>
      <c r="AH5" s="66"/>
      <c r="AI5" s="66"/>
      <c r="AJ5" s="66"/>
      <c r="AK5" s="66"/>
      <c r="AL5" s="66"/>
      <c r="AM5" s="66"/>
      <c r="AN5" s="66"/>
      <c r="AO5" s="66"/>
      <c r="AP5" s="66"/>
      <c r="AQ5" s="66"/>
      <c r="AR5" s="66"/>
      <c r="AS5" s="66"/>
      <c r="AT5" s="66"/>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c r="CZ5" s="66"/>
      <c r="DA5" s="66"/>
    </row>
    <row r="6" spans="1:105" s="51" customFormat="1" ht="25.5" customHeight="1">
      <c r="A6" s="66"/>
      <c r="B6" s="54"/>
      <c r="C6" s="967"/>
      <c r="D6" s="967"/>
      <c r="E6" s="967"/>
      <c r="F6" s="967"/>
      <c r="G6" s="967"/>
      <c r="H6" s="967"/>
      <c r="I6" s="967"/>
      <c r="J6" s="967"/>
      <c r="K6" s="2046" t="s">
        <v>1893</v>
      </c>
      <c r="L6" s="2047"/>
      <c r="M6" s="66"/>
      <c r="N6" s="74"/>
      <c r="O6" s="66"/>
      <c r="P6" s="66" t="s">
        <v>345</v>
      </c>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c r="CZ6" s="66"/>
      <c r="DA6" s="66"/>
    </row>
    <row r="7" spans="1:105" s="51" customFormat="1" ht="14.25" customHeight="1">
      <c r="A7" s="66"/>
      <c r="B7" s="54"/>
      <c r="C7" s="969" t="s">
        <v>159</v>
      </c>
      <c r="D7" s="967"/>
      <c r="E7" s="967"/>
      <c r="F7" s="967"/>
      <c r="G7" s="967"/>
      <c r="H7" s="967"/>
      <c r="I7" s="967"/>
      <c r="J7" s="967"/>
      <c r="K7" s="970"/>
      <c r="L7" s="2052"/>
      <c r="M7" s="66"/>
      <c r="N7" s="74"/>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row>
    <row r="8" spans="1:105" s="51" customFormat="1" ht="3" customHeight="1">
      <c r="A8" s="66"/>
      <c r="B8" s="54"/>
      <c r="C8" s="971"/>
      <c r="D8" s="967"/>
      <c r="E8" s="967"/>
      <c r="F8" s="967"/>
      <c r="G8" s="967"/>
      <c r="H8" s="967"/>
      <c r="I8" s="967"/>
      <c r="J8" s="967"/>
      <c r="K8" s="970"/>
      <c r="L8" s="2053"/>
      <c r="M8" s="66"/>
      <c r="N8" s="74"/>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row>
    <row r="9" spans="1:105" s="51" customFormat="1" ht="15">
      <c r="A9" s="66"/>
      <c r="B9" s="54"/>
      <c r="C9" s="972" t="s">
        <v>161</v>
      </c>
      <c r="D9" s="967"/>
      <c r="E9" s="2041" t="s">
        <v>2075</v>
      </c>
      <c r="F9" s="2045"/>
      <c r="G9" s="2045"/>
      <c r="H9" s="2042"/>
      <c r="I9" s="967"/>
      <c r="J9" s="967"/>
      <c r="K9" s="973"/>
      <c r="L9" s="2053"/>
      <c r="M9" s="66"/>
      <c r="N9" s="74"/>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row>
    <row r="10" spans="1:105" s="51" customFormat="1" ht="3" customHeight="1">
      <c r="A10" s="66"/>
      <c r="B10" s="54"/>
      <c r="C10" s="972"/>
      <c r="D10" s="967"/>
      <c r="E10" s="974"/>
      <c r="F10" s="974"/>
      <c r="G10" s="974"/>
      <c r="H10" s="975"/>
      <c r="I10" s="967"/>
      <c r="J10" s="967"/>
      <c r="K10" s="970"/>
      <c r="L10" s="968"/>
      <c r="M10" s="66"/>
      <c r="N10" s="74"/>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row>
    <row r="11" spans="1:105" s="51" customFormat="1" ht="15" customHeight="1">
      <c r="A11" s="66"/>
      <c r="B11" s="54"/>
      <c r="C11" s="972" t="s">
        <v>186</v>
      </c>
      <c r="D11" s="967"/>
      <c r="E11" s="2041" t="s">
        <v>2076</v>
      </c>
      <c r="F11" s="2042"/>
      <c r="G11" s="974"/>
      <c r="H11" s="974"/>
      <c r="I11" s="967"/>
      <c r="J11" s="967"/>
      <c r="K11" s="2056"/>
      <c r="L11" s="968"/>
      <c r="M11" s="66"/>
      <c r="N11" s="74"/>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row>
    <row r="12" spans="1:105" s="51" customFormat="1" ht="3" customHeight="1">
      <c r="A12" s="66"/>
      <c r="B12" s="54"/>
      <c r="C12" s="972"/>
      <c r="D12" s="967"/>
      <c r="E12" s="975"/>
      <c r="F12" s="975"/>
      <c r="G12" s="974"/>
      <c r="H12" s="974"/>
      <c r="I12" s="967"/>
      <c r="J12" s="967"/>
      <c r="K12" s="2056"/>
      <c r="L12" s="968"/>
      <c r="M12" s="66"/>
      <c r="N12" s="74"/>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row>
    <row r="13" spans="1:105" s="51" customFormat="1" ht="15.75" customHeight="1">
      <c r="A13" s="66"/>
      <c r="B13" s="54"/>
      <c r="C13" s="972" t="s">
        <v>187</v>
      </c>
      <c r="D13" s="967"/>
      <c r="E13" s="2041" t="s">
        <v>2077</v>
      </c>
      <c r="F13" s="2045"/>
      <c r="G13" s="2045"/>
      <c r="H13" s="2042"/>
      <c r="I13" s="967"/>
      <c r="J13" s="967"/>
      <c r="K13" s="2056"/>
      <c r="L13" s="968"/>
      <c r="M13" s="66"/>
      <c r="N13" s="74"/>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row>
    <row r="14" spans="1:105" s="51" customFormat="1" ht="3" customHeight="1">
      <c r="A14" s="66"/>
      <c r="B14" s="54"/>
      <c r="C14" s="972"/>
      <c r="D14" s="967"/>
      <c r="E14" s="975"/>
      <c r="F14" s="975"/>
      <c r="G14" s="974"/>
      <c r="H14" s="974"/>
      <c r="I14" s="967"/>
      <c r="J14" s="967"/>
      <c r="K14" s="2056"/>
      <c r="L14" s="968"/>
      <c r="M14" s="66"/>
      <c r="N14" s="74"/>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row>
    <row r="15" spans="1:105" s="51" customFormat="1" ht="15">
      <c r="A15" s="66"/>
      <c r="B15" s="54"/>
      <c r="C15" s="972" t="s">
        <v>188</v>
      </c>
      <c r="D15" s="967"/>
      <c r="E15" s="2041" t="s">
        <v>2078</v>
      </c>
      <c r="F15" s="2042"/>
      <c r="G15" s="974"/>
      <c r="H15" s="974"/>
      <c r="I15" s="967"/>
      <c r="J15" s="967"/>
      <c r="K15" s="2056"/>
      <c r="L15" s="968"/>
      <c r="M15" s="66"/>
      <c r="N15" s="74"/>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row>
    <row r="16" spans="1:105" s="51" customFormat="1" ht="3" customHeight="1">
      <c r="A16" s="66"/>
      <c r="B16" s="54"/>
      <c r="C16" s="972"/>
      <c r="D16" s="967"/>
      <c r="E16" s="975"/>
      <c r="F16" s="975"/>
      <c r="G16" s="974"/>
      <c r="H16" s="974"/>
      <c r="I16" s="967"/>
      <c r="J16" s="967"/>
      <c r="K16" s="970"/>
      <c r="L16" s="968"/>
      <c r="M16" s="66"/>
      <c r="N16" s="74"/>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row>
    <row r="17" spans="1:105" s="51" customFormat="1" ht="15">
      <c r="A17" s="66"/>
      <c r="B17" s="54"/>
      <c r="C17" s="972" t="s">
        <v>189</v>
      </c>
      <c r="D17" s="967"/>
      <c r="E17" s="2041" t="s">
        <v>2074</v>
      </c>
      <c r="F17" s="2042"/>
      <c r="G17" s="974"/>
      <c r="H17" s="974"/>
      <c r="I17" s="967"/>
      <c r="J17" s="967"/>
      <c r="K17" s="976"/>
      <c r="L17" s="968"/>
      <c r="M17" s="66"/>
      <c r="N17" s="74"/>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row>
    <row r="18" spans="1:105" s="51" customFormat="1" ht="3" customHeight="1">
      <c r="A18" s="66"/>
      <c r="B18" s="54"/>
      <c r="C18" s="972"/>
      <c r="D18" s="967"/>
      <c r="E18" s="975"/>
      <c r="F18" s="975"/>
      <c r="G18" s="974"/>
      <c r="H18" s="974"/>
      <c r="I18" s="967"/>
      <c r="J18" s="967"/>
      <c r="K18" s="970"/>
      <c r="L18" s="968"/>
      <c r="M18" s="66"/>
      <c r="N18" s="74"/>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row>
    <row r="19" spans="1:105" s="51" customFormat="1" ht="15">
      <c r="A19" s="66"/>
      <c r="B19" s="54"/>
      <c r="C19" s="972" t="s">
        <v>75</v>
      </c>
      <c r="D19" s="967"/>
      <c r="E19" s="2043" t="s">
        <v>2079</v>
      </c>
      <c r="F19" s="2044"/>
      <c r="G19" s="974"/>
      <c r="H19" s="974"/>
      <c r="I19" s="976"/>
      <c r="J19" s="976"/>
      <c r="K19" s="973"/>
      <c r="L19" s="977"/>
      <c r="M19" s="66"/>
      <c r="N19" s="74"/>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row>
    <row r="20" spans="1:105" s="51" customFormat="1" ht="3" customHeight="1">
      <c r="A20" s="66"/>
      <c r="B20" s="54"/>
      <c r="C20" s="972"/>
      <c r="D20" s="967"/>
      <c r="E20" s="975"/>
      <c r="F20" s="975"/>
      <c r="G20" s="974"/>
      <c r="H20" s="974"/>
      <c r="I20" s="967"/>
      <c r="J20" s="967"/>
      <c r="K20" s="970"/>
      <c r="L20" s="968"/>
      <c r="M20" s="66"/>
      <c r="N20" s="74"/>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row>
    <row r="21" spans="1:105" s="51" customFormat="1" ht="15">
      <c r="A21" s="66"/>
      <c r="B21" s="54"/>
      <c r="C21" s="972" t="s">
        <v>190</v>
      </c>
      <c r="D21" s="967"/>
      <c r="E21" s="978">
        <v>956535624</v>
      </c>
      <c r="F21" s="975"/>
      <c r="G21" s="974"/>
      <c r="H21" s="974"/>
      <c r="I21" s="967"/>
      <c r="J21" s="967"/>
      <c r="K21" s="965"/>
      <c r="L21" s="979"/>
      <c r="M21" s="66"/>
      <c r="N21" s="74"/>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row>
    <row r="22" spans="1:105" s="51" customFormat="1" ht="4.5" customHeight="1">
      <c r="A22" s="66"/>
      <c r="B22" s="54"/>
      <c r="C22" s="980"/>
      <c r="D22" s="967"/>
      <c r="E22" s="964"/>
      <c r="F22" s="964"/>
      <c r="G22" s="964"/>
      <c r="H22" s="964"/>
      <c r="I22" s="967"/>
      <c r="J22" s="967"/>
      <c r="K22" s="981"/>
      <c r="L22" s="968"/>
      <c r="M22" s="66"/>
      <c r="N22" s="74"/>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row>
    <row r="23" spans="1:105" s="51" customFormat="1" ht="15.75">
      <c r="A23" s="66"/>
      <c r="B23" s="54"/>
      <c r="C23" s="972" t="s">
        <v>1162</v>
      </c>
      <c r="D23" s="967"/>
      <c r="E23" s="1191" t="s">
        <v>149</v>
      </c>
      <c r="F23" s="964"/>
      <c r="G23" s="964"/>
      <c r="H23" s="964"/>
      <c r="I23" s="967"/>
      <c r="J23" s="967"/>
      <c r="K23" s="973"/>
      <c r="L23" s="983"/>
      <c r="M23" s="66"/>
      <c r="N23" s="74"/>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row>
    <row r="24" spans="1:105" s="51" customFormat="1" ht="4.5" customHeight="1">
      <c r="A24" s="66"/>
      <c r="B24" s="54"/>
      <c r="C24" s="982"/>
      <c r="D24" s="967"/>
      <c r="E24" s="964"/>
      <c r="F24" s="964"/>
      <c r="G24" s="964"/>
      <c r="H24" s="964"/>
      <c r="I24" s="967"/>
      <c r="J24" s="967"/>
      <c r="K24" s="973"/>
      <c r="L24" s="983"/>
      <c r="M24" s="66"/>
      <c r="N24" s="74"/>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row>
    <row r="25" spans="1:105" s="51" customFormat="1" ht="15.75">
      <c r="A25" s="66"/>
      <c r="B25" s="54"/>
      <c r="C25" s="972" t="s">
        <v>1163</v>
      </c>
      <c r="D25" s="967"/>
      <c r="E25" s="1191" t="s">
        <v>149</v>
      </c>
      <c r="F25" s="964"/>
      <c r="G25" s="964"/>
      <c r="H25" s="964"/>
      <c r="I25" s="967"/>
      <c r="J25" s="967"/>
      <c r="K25" s="973"/>
      <c r="L25" s="983"/>
      <c r="M25" s="66"/>
      <c r="N25" s="74"/>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row>
    <row r="26" spans="1:105" s="51" customFormat="1">
      <c r="A26" s="66"/>
      <c r="B26" s="54"/>
      <c r="C26" s="980"/>
      <c r="D26" s="967"/>
      <c r="E26" s="964"/>
      <c r="F26" s="964"/>
      <c r="G26" s="964"/>
      <c r="H26" s="964"/>
      <c r="I26" s="967"/>
      <c r="J26" s="967"/>
      <c r="K26" s="973"/>
      <c r="L26" s="968"/>
      <c r="M26" s="73"/>
      <c r="N26" s="74"/>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row>
    <row r="27" spans="1:105" s="51" customFormat="1" ht="16.5">
      <c r="A27" s="66"/>
      <c r="B27" s="54"/>
      <c r="C27" s="969" t="s">
        <v>160</v>
      </c>
      <c r="D27" s="967"/>
      <c r="E27" s="964"/>
      <c r="F27" s="964"/>
      <c r="G27" s="964"/>
      <c r="H27" s="964"/>
      <c r="I27" s="967"/>
      <c r="J27" s="967"/>
      <c r="K27" s="973"/>
      <c r="L27" s="968"/>
      <c r="M27" s="73"/>
      <c r="N27" s="74"/>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row>
    <row r="28" spans="1:105" s="51" customFormat="1">
      <c r="A28" s="66"/>
      <c r="B28" s="54"/>
      <c r="C28" s="965"/>
      <c r="D28" s="967"/>
      <c r="E28" s="964"/>
      <c r="F28" s="964"/>
      <c r="G28" s="964"/>
      <c r="H28" s="964"/>
      <c r="I28" s="967"/>
      <c r="J28" s="967"/>
      <c r="K28" s="984"/>
      <c r="L28" s="968"/>
      <c r="M28" s="73"/>
      <c r="N28" s="74"/>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row>
    <row r="29" spans="1:105" s="51" customFormat="1" ht="3" customHeight="1">
      <c r="A29" s="66"/>
      <c r="B29" s="54"/>
      <c r="C29" s="985"/>
      <c r="D29" s="967"/>
      <c r="E29" s="964"/>
      <c r="F29" s="964"/>
      <c r="G29" s="964"/>
      <c r="H29" s="986"/>
      <c r="I29" s="967"/>
      <c r="J29" s="967"/>
      <c r="K29" s="970"/>
      <c r="L29" s="968"/>
      <c r="M29" s="66"/>
      <c r="N29" s="74"/>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row>
    <row r="30" spans="1:105" s="51" customFormat="1" ht="15.75">
      <c r="A30" s="66"/>
      <c r="B30" s="54"/>
      <c r="C30" s="971" t="s">
        <v>191</v>
      </c>
      <c r="D30" s="967"/>
      <c r="E30" s="2043" t="s">
        <v>2071</v>
      </c>
      <c r="F30" s="2048"/>
      <c r="G30" s="2044"/>
      <c r="H30" s="964"/>
      <c r="I30" s="967"/>
      <c r="J30" s="967"/>
      <c r="K30" s="987"/>
      <c r="L30" s="988"/>
      <c r="M30" s="73"/>
      <c r="N30" s="74"/>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row>
    <row r="31" spans="1:105" s="51" customFormat="1" ht="3" customHeight="1">
      <c r="A31" s="66"/>
      <c r="B31" s="54"/>
      <c r="C31" s="971"/>
      <c r="D31" s="967"/>
      <c r="E31" s="986"/>
      <c r="F31" s="986"/>
      <c r="G31" s="986"/>
      <c r="H31" s="964"/>
      <c r="I31" s="967"/>
      <c r="J31" s="967"/>
      <c r="K31" s="989"/>
      <c r="L31" s="990"/>
      <c r="M31" s="66"/>
      <c r="N31" s="74"/>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row>
    <row r="32" spans="1:105" s="51" customFormat="1" ht="15">
      <c r="A32" s="66"/>
      <c r="B32" s="54"/>
      <c r="C32" s="971" t="s">
        <v>288</v>
      </c>
      <c r="D32" s="967"/>
      <c r="E32" s="991">
        <v>59711315</v>
      </c>
      <c r="F32" s="975"/>
      <c r="G32" s="975"/>
      <c r="H32" s="964"/>
      <c r="I32" s="967"/>
      <c r="J32" s="967"/>
      <c r="K32" s="989"/>
      <c r="L32" s="990"/>
      <c r="M32" s="66"/>
      <c r="N32" s="74"/>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row>
    <row r="33" spans="1:105" s="51" customFormat="1" ht="3" customHeight="1">
      <c r="A33" s="66"/>
      <c r="B33" s="54"/>
      <c r="C33" s="971"/>
      <c r="D33" s="967"/>
      <c r="E33" s="975"/>
      <c r="F33" s="975"/>
      <c r="G33" s="975"/>
      <c r="H33" s="964"/>
      <c r="I33" s="967"/>
      <c r="J33" s="967"/>
      <c r="K33" s="984"/>
      <c r="L33" s="968"/>
      <c r="M33" s="66"/>
      <c r="N33" s="74"/>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row>
    <row r="34" spans="1:105" s="51" customFormat="1" ht="15">
      <c r="A34" s="66"/>
      <c r="B34" s="54"/>
      <c r="C34" s="971" t="s">
        <v>190</v>
      </c>
      <c r="D34" s="967"/>
      <c r="E34" s="978">
        <v>630836774</v>
      </c>
      <c r="F34" s="975"/>
      <c r="G34" s="975"/>
      <c r="H34" s="964"/>
      <c r="I34" s="967"/>
      <c r="J34" s="967"/>
      <c r="K34" s="964"/>
      <c r="L34" s="968"/>
      <c r="M34" s="66"/>
      <c r="N34" s="74"/>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row>
    <row r="35" spans="1:105" s="51" customFormat="1" ht="3" customHeight="1">
      <c r="A35" s="66"/>
      <c r="B35" s="54"/>
      <c r="C35" s="971"/>
      <c r="D35" s="967"/>
      <c r="E35" s="975"/>
      <c r="F35" s="975"/>
      <c r="G35" s="975"/>
      <c r="H35" s="964"/>
      <c r="I35" s="967"/>
      <c r="J35" s="967"/>
      <c r="K35" s="984"/>
      <c r="L35" s="968"/>
      <c r="M35" s="66"/>
      <c r="N35" s="74"/>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row>
    <row r="36" spans="1:105" s="51" customFormat="1" ht="15.75">
      <c r="A36" s="66"/>
      <c r="B36" s="54"/>
      <c r="C36" s="971" t="s">
        <v>460</v>
      </c>
      <c r="D36" s="967"/>
      <c r="E36" s="1190" t="s">
        <v>2072</v>
      </c>
      <c r="F36" s="975"/>
      <c r="G36" s="975"/>
      <c r="H36" s="964"/>
      <c r="I36" s="967"/>
      <c r="J36" s="967"/>
      <c r="K36" s="965"/>
      <c r="L36" s="992"/>
      <c r="M36" s="66"/>
      <c r="N36" s="74"/>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row>
    <row r="37" spans="1:105" s="51" customFormat="1" ht="3" customHeight="1">
      <c r="A37" s="66"/>
      <c r="B37" s="54"/>
      <c r="C37" s="971"/>
      <c r="D37" s="967"/>
      <c r="E37" s="975"/>
      <c r="F37" s="975"/>
      <c r="G37" s="975"/>
      <c r="H37" s="964"/>
      <c r="I37" s="967"/>
      <c r="J37" s="967"/>
      <c r="K37" s="984"/>
      <c r="L37" s="968"/>
      <c r="M37" s="66"/>
      <c r="N37" s="74"/>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row>
    <row r="38" spans="1:105" s="51" customFormat="1" ht="15">
      <c r="A38" s="66"/>
      <c r="B38" s="54"/>
      <c r="C38" s="971" t="s">
        <v>210</v>
      </c>
      <c r="D38" s="967"/>
      <c r="E38" s="991" t="s">
        <v>345</v>
      </c>
      <c r="F38" s="975"/>
      <c r="G38" s="975"/>
      <c r="H38" s="964"/>
      <c r="I38" s="967"/>
      <c r="J38" s="967"/>
      <c r="K38" s="973"/>
      <c r="L38" s="968"/>
      <c r="M38" s="66"/>
      <c r="N38" s="74"/>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row>
    <row r="39" spans="1:105" s="51" customFormat="1" ht="3" customHeight="1">
      <c r="A39" s="66"/>
      <c r="B39" s="54"/>
      <c r="C39" s="971"/>
      <c r="D39" s="967"/>
      <c r="E39" s="975"/>
      <c r="F39" s="975"/>
      <c r="G39" s="975"/>
      <c r="H39" s="964"/>
      <c r="I39" s="967"/>
      <c r="J39" s="967"/>
      <c r="K39" s="984"/>
      <c r="L39" s="979"/>
      <c r="M39" s="66"/>
      <c r="N39" s="74"/>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row>
    <row r="40" spans="1:105" s="51" customFormat="1" ht="15" customHeight="1">
      <c r="A40" s="66"/>
      <c r="B40" s="54"/>
      <c r="C40" s="993" t="s">
        <v>331</v>
      </c>
      <c r="D40" s="967"/>
      <c r="E40" s="978">
        <v>19441759</v>
      </c>
      <c r="F40" s="975"/>
      <c r="G40" s="975"/>
      <c r="H40" s="964"/>
      <c r="I40" s="967"/>
      <c r="J40" s="967"/>
      <c r="K40" s="973"/>
      <c r="L40" s="979"/>
      <c r="M40" s="66"/>
      <c r="N40" s="74"/>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row>
    <row r="41" spans="1:105" s="51" customFormat="1" ht="3" customHeight="1">
      <c r="A41" s="66"/>
      <c r="B41" s="54"/>
      <c r="C41" s="971"/>
      <c r="D41" s="967"/>
      <c r="E41" s="975" t="s">
        <v>2043</v>
      </c>
      <c r="F41" s="975"/>
      <c r="G41" s="975"/>
      <c r="H41" s="964"/>
      <c r="I41" s="967"/>
      <c r="J41" s="967"/>
      <c r="K41" s="984"/>
      <c r="L41" s="979"/>
      <c r="M41" s="66"/>
      <c r="N41" s="74"/>
      <c r="O41" s="66"/>
      <c r="P41" s="66"/>
      <c r="Q41" s="66"/>
      <c r="R41" s="66"/>
      <c r="S41" s="66"/>
      <c r="T41" s="66"/>
      <c r="U41" s="66"/>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row>
    <row r="42" spans="1:105" s="51" customFormat="1" ht="12.75" customHeight="1">
      <c r="A42" s="66"/>
      <c r="B42" s="54"/>
      <c r="C42" s="993" t="s">
        <v>332</v>
      </c>
      <c r="D42" s="967"/>
      <c r="E42" s="2049" t="s">
        <v>2073</v>
      </c>
      <c r="F42" s="2050"/>
      <c r="G42" s="2051"/>
      <c r="H42" s="964"/>
      <c r="I42" s="967"/>
      <c r="J42" s="967"/>
      <c r="K42" s="973"/>
      <c r="L42" s="2054"/>
      <c r="M42" s="66"/>
      <c r="N42" s="74"/>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row>
    <row r="43" spans="1:105" s="51" customFormat="1" ht="3" customHeight="1">
      <c r="A43" s="66"/>
      <c r="B43" s="54"/>
      <c r="C43" s="971"/>
      <c r="D43" s="967"/>
      <c r="E43" s="974"/>
      <c r="F43" s="974"/>
      <c r="G43" s="975"/>
      <c r="H43" s="964"/>
      <c r="I43" s="967"/>
      <c r="J43" s="967"/>
      <c r="K43" s="964"/>
      <c r="L43" s="2055"/>
      <c r="M43" s="66"/>
      <c r="N43" s="74"/>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row>
    <row r="44" spans="1:105" s="51" customFormat="1" ht="14.25" customHeight="1">
      <c r="A44" s="66"/>
      <c r="B44" s="54"/>
      <c r="C44" s="993" t="s">
        <v>342</v>
      </c>
      <c r="D44" s="967"/>
      <c r="E44" s="991">
        <v>53050036</v>
      </c>
      <c r="F44" s="975"/>
      <c r="G44" s="975"/>
      <c r="H44" s="964"/>
      <c r="I44" s="967"/>
      <c r="J44" s="967"/>
      <c r="K44" s="970"/>
      <c r="L44" s="2055"/>
      <c r="M44" s="66"/>
      <c r="N44" s="74"/>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row>
    <row r="45" spans="1:105" s="51" customFormat="1" ht="3" customHeight="1">
      <c r="A45" s="66"/>
      <c r="B45" s="54"/>
      <c r="C45" s="971"/>
      <c r="D45" s="854"/>
      <c r="E45" s="975"/>
      <c r="F45" s="975"/>
      <c r="G45" s="975"/>
      <c r="H45" s="964"/>
      <c r="I45" s="967"/>
      <c r="J45" s="994"/>
      <c r="K45" s="964"/>
      <c r="L45" s="995"/>
      <c r="M45" s="66"/>
      <c r="N45" s="74"/>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row>
    <row r="46" spans="1:105" s="51" customFormat="1" ht="15" customHeight="1">
      <c r="A46" s="66"/>
      <c r="B46" s="54"/>
      <c r="C46" s="993" t="s">
        <v>190</v>
      </c>
      <c r="D46" s="967"/>
      <c r="E46" s="978">
        <v>656160954</v>
      </c>
      <c r="F46" s="975"/>
      <c r="G46" s="975"/>
      <c r="H46" s="964"/>
      <c r="I46" s="967"/>
      <c r="J46" s="967"/>
      <c r="K46" s="970"/>
      <c r="L46" s="979"/>
      <c r="M46" s="66"/>
      <c r="N46" s="74"/>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row>
    <row r="47" spans="1:105" s="51" customFormat="1" ht="27.75" customHeight="1">
      <c r="A47" s="66"/>
      <c r="B47" s="54"/>
      <c r="C47" s="971"/>
      <c r="D47" s="967"/>
      <c r="E47" s="964"/>
      <c r="F47" s="964"/>
      <c r="G47" s="964"/>
      <c r="H47" s="964"/>
      <c r="I47" s="2040"/>
      <c r="J47" s="2040"/>
      <c r="K47" s="2040"/>
      <c r="L47" s="992"/>
      <c r="M47" s="66"/>
      <c r="N47" s="74"/>
      <c r="O47" s="66"/>
      <c r="P47" s="66"/>
      <c r="Q47" s="66"/>
      <c r="R47" s="66"/>
      <c r="S47" s="66"/>
      <c r="T47" s="66"/>
      <c r="U47" s="66"/>
      <c r="V47" s="66"/>
      <c r="W47" s="66"/>
      <c r="X47" s="66"/>
      <c r="Y47" s="66"/>
      <c r="Z47" s="66"/>
      <c r="AA47" s="66"/>
      <c r="AB47" s="66"/>
      <c r="AC47" s="66"/>
      <c r="AD47" s="66"/>
      <c r="AE47" s="66"/>
      <c r="AF47" s="66"/>
      <c r="AG47" s="66"/>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6"/>
      <c r="BI47" s="66"/>
      <c r="BJ47" s="66"/>
      <c r="BK47" s="66"/>
      <c r="BL47" s="66"/>
      <c r="BM47" s="66"/>
      <c r="BN47" s="66"/>
      <c r="BO47" s="66"/>
      <c r="BP47" s="66"/>
      <c r="BQ47" s="66"/>
      <c r="BR47" s="66"/>
      <c r="BS47" s="66"/>
      <c r="BT47" s="66"/>
      <c r="BU47" s="66"/>
      <c r="BV47" s="66"/>
      <c r="BW47" s="66"/>
      <c r="BX47" s="66"/>
      <c r="BY47" s="66"/>
      <c r="BZ47" s="66"/>
      <c r="CA47" s="66"/>
      <c r="CB47" s="66"/>
      <c r="CC47" s="66"/>
      <c r="CD47" s="66"/>
      <c r="CE47" s="66"/>
      <c r="CF47" s="66"/>
      <c r="CG47" s="66"/>
      <c r="CH47" s="66"/>
      <c r="CI47" s="66"/>
      <c r="CJ47" s="66"/>
      <c r="CK47" s="66"/>
      <c r="CL47" s="66"/>
      <c r="CM47" s="66"/>
      <c r="CN47" s="66"/>
      <c r="CO47" s="66"/>
      <c r="CP47" s="66"/>
      <c r="CQ47" s="66"/>
      <c r="CR47" s="66"/>
      <c r="CS47" s="66"/>
      <c r="CT47" s="66"/>
      <c r="CU47" s="66"/>
      <c r="CV47" s="66"/>
      <c r="CW47" s="66"/>
      <c r="CX47" s="66"/>
      <c r="CY47" s="66"/>
      <c r="CZ47" s="66"/>
      <c r="DA47" s="66"/>
    </row>
    <row r="48" spans="1:105" s="51" customFormat="1" ht="4.5" customHeight="1">
      <c r="A48" s="66"/>
      <c r="B48" s="54"/>
      <c r="C48" s="993"/>
      <c r="D48" s="854"/>
      <c r="E48" s="964"/>
      <c r="F48" s="964"/>
      <c r="G48" s="964"/>
      <c r="H48" s="964"/>
      <c r="I48" s="967"/>
      <c r="J48" s="967"/>
      <c r="K48" s="973"/>
      <c r="L48" s="979"/>
      <c r="M48" s="66"/>
      <c r="N48" s="74"/>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row>
    <row r="49" spans="1:105" s="51" customFormat="1" ht="4.5" customHeight="1">
      <c r="A49" s="66"/>
      <c r="B49" s="54"/>
      <c r="C49" s="993"/>
      <c r="D49" s="854"/>
      <c r="E49" s="964"/>
      <c r="F49" s="964"/>
      <c r="G49" s="964"/>
      <c r="H49" s="964"/>
      <c r="I49" s="967"/>
      <c r="J49" s="967"/>
      <c r="K49" s="973"/>
      <c r="L49" s="979"/>
      <c r="M49" s="66"/>
      <c r="N49" s="74"/>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row>
    <row r="50" spans="1:105" s="51" customFormat="1" ht="15" customHeight="1">
      <c r="A50" s="66"/>
      <c r="B50" s="54"/>
      <c r="C50" s="971" t="s">
        <v>280</v>
      </c>
      <c r="D50" s="967"/>
      <c r="E50" s="996">
        <v>43006</v>
      </c>
      <c r="F50" s="964"/>
      <c r="G50" s="964"/>
      <c r="H50" s="964"/>
      <c r="I50" s="967"/>
      <c r="J50" s="967"/>
      <c r="K50" s="997" t="s">
        <v>2061</v>
      </c>
      <c r="L50" s="979"/>
      <c r="M50" s="66"/>
      <c r="N50" s="74"/>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row>
    <row r="51" spans="1:105" s="51" customFormat="1" ht="4.5" customHeight="1">
      <c r="A51" s="66"/>
      <c r="B51" s="54"/>
      <c r="C51" s="993"/>
      <c r="D51" s="854"/>
      <c r="E51" s="986"/>
      <c r="F51" s="964"/>
      <c r="G51" s="964"/>
      <c r="H51" s="964"/>
      <c r="I51" s="967"/>
      <c r="J51" s="967"/>
      <c r="K51" s="973"/>
      <c r="L51" s="979"/>
      <c r="M51" s="66"/>
      <c r="N51" s="74"/>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row>
    <row r="52" spans="1:105" s="51" customFormat="1" ht="15" customHeight="1">
      <c r="A52" s="66"/>
      <c r="B52" s="54"/>
      <c r="C52" s="971" t="s">
        <v>281</v>
      </c>
      <c r="D52" s="967"/>
      <c r="E52" s="1192">
        <v>43008</v>
      </c>
      <c r="F52" s="964"/>
      <c r="G52" s="964"/>
      <c r="H52" s="964"/>
      <c r="I52" s="967"/>
      <c r="J52" s="976"/>
      <c r="K52" s="973"/>
      <c r="L52" s="979"/>
      <c r="M52" s="66"/>
      <c r="N52" s="74"/>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row>
    <row r="53" spans="1:105" s="51" customFormat="1" ht="15" customHeight="1">
      <c r="A53" s="66"/>
      <c r="B53" s="54"/>
      <c r="C53" s="53"/>
      <c r="D53" s="53"/>
      <c r="E53" s="52"/>
      <c r="F53" s="53"/>
      <c r="G53" s="53"/>
      <c r="H53" s="53"/>
      <c r="I53" s="53"/>
      <c r="J53" s="53"/>
      <c r="K53" s="52"/>
      <c r="L53" s="60"/>
      <c r="M53" s="66"/>
      <c r="N53" s="74"/>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row>
    <row r="54" spans="1:105" s="51" customFormat="1" ht="13.5" thickBot="1">
      <c r="A54" s="66"/>
      <c r="B54" s="61"/>
      <c r="C54" s="62"/>
      <c r="D54" s="63"/>
      <c r="E54" s="63"/>
      <c r="F54" s="63"/>
      <c r="G54" s="63"/>
      <c r="H54" s="63"/>
      <c r="I54" s="63"/>
      <c r="J54" s="63"/>
      <c r="K54" s="64"/>
      <c r="L54" s="65"/>
      <c r="M54" s="66"/>
      <c r="N54" s="74"/>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6"/>
      <c r="BJ54" s="66"/>
      <c r="BK54" s="66"/>
      <c r="BL54" s="66"/>
      <c r="BM54" s="66"/>
      <c r="BN54" s="66"/>
      <c r="BO54" s="66"/>
      <c r="BP54" s="66"/>
      <c r="BQ54" s="66"/>
      <c r="BR54" s="66"/>
      <c r="BS54" s="66"/>
      <c r="BT54" s="66"/>
      <c r="BU54" s="66"/>
      <c r="BV54" s="66"/>
      <c r="BW54" s="66"/>
      <c r="BX54" s="66"/>
      <c r="BY54" s="66"/>
      <c r="BZ54" s="66"/>
      <c r="CA54" s="66"/>
      <c r="CB54" s="66"/>
      <c r="CC54" s="66"/>
      <c r="CD54" s="66"/>
      <c r="CE54" s="66"/>
      <c r="CF54" s="66"/>
      <c r="CG54" s="66"/>
      <c r="CH54" s="66"/>
      <c r="CI54" s="66"/>
      <c r="CJ54" s="66"/>
      <c r="CK54" s="66"/>
      <c r="CL54" s="66"/>
      <c r="CM54" s="66"/>
      <c r="CN54" s="66"/>
      <c r="CO54" s="66"/>
      <c r="CP54" s="66"/>
      <c r="CQ54" s="66"/>
      <c r="CR54" s="66"/>
      <c r="CS54" s="66"/>
      <c r="CT54" s="66"/>
      <c r="CU54" s="66"/>
      <c r="CV54" s="66"/>
      <c r="CW54" s="66"/>
      <c r="CX54" s="66"/>
      <c r="CY54" s="66"/>
      <c r="CZ54" s="66"/>
      <c r="DA54" s="66"/>
    </row>
    <row r="55" spans="1:105" s="66" customFormat="1">
      <c r="C55" s="67"/>
      <c r="K55" s="68"/>
      <c r="L55" s="69"/>
      <c r="N55" s="74"/>
    </row>
    <row r="56" spans="1:105" s="66" customFormat="1" ht="4.5" customHeight="1">
      <c r="K56" s="70"/>
      <c r="L56" s="69"/>
      <c r="N56" s="74"/>
    </row>
    <row r="57" spans="1:105" s="66" customFormat="1">
      <c r="F57" s="71"/>
      <c r="K57" s="72"/>
      <c r="N57" s="74"/>
    </row>
    <row r="58" spans="1:105" s="66" customFormat="1">
      <c r="K58" s="72"/>
      <c r="N58" s="74"/>
    </row>
    <row r="59" spans="1:105" s="66" customFormat="1">
      <c r="K59" s="72"/>
      <c r="N59" s="74"/>
    </row>
    <row r="60" spans="1:105" s="66" customFormat="1">
      <c r="K60" s="72"/>
      <c r="N60" s="74"/>
    </row>
    <row r="61" spans="1:105" s="66" customFormat="1">
      <c r="K61" s="72"/>
    </row>
    <row r="62" spans="1:105" s="66" customFormat="1">
      <c r="K62" s="72"/>
    </row>
    <row r="63" spans="1:105" s="66" customFormat="1">
      <c r="K63" s="72"/>
    </row>
    <row r="64" spans="1:105" s="66" customFormat="1">
      <c r="K64" s="72"/>
    </row>
    <row r="65" spans="11:11" s="66" customFormat="1">
      <c r="K65" s="72"/>
    </row>
    <row r="66" spans="11:11" s="66" customFormat="1">
      <c r="K66" s="72"/>
    </row>
    <row r="67" spans="11:11" s="66" customFormat="1">
      <c r="K67" s="72"/>
    </row>
    <row r="68" spans="11:11" s="66" customFormat="1">
      <c r="K68" s="72"/>
    </row>
    <row r="69" spans="11:11" s="66" customFormat="1">
      <c r="K69" s="72"/>
    </row>
    <row r="70" spans="11:11" s="66" customFormat="1">
      <c r="K70" s="72"/>
    </row>
    <row r="71" spans="11:11" s="66" customFormat="1">
      <c r="K71" s="72"/>
    </row>
    <row r="72" spans="11:11" s="66" customFormat="1">
      <c r="K72" s="72"/>
    </row>
    <row r="73" spans="11:11" s="66" customFormat="1">
      <c r="K73" s="72"/>
    </row>
    <row r="74" spans="11:11" s="66" customFormat="1">
      <c r="K74" s="72"/>
    </row>
    <row r="75" spans="11:11" s="66" customFormat="1">
      <c r="K75" s="72"/>
    </row>
    <row r="76" spans="11:11" s="66" customFormat="1">
      <c r="K76" s="72"/>
    </row>
    <row r="77" spans="11:11" s="66" customFormat="1">
      <c r="K77" s="72"/>
    </row>
    <row r="78" spans="11:11" s="66" customFormat="1">
      <c r="K78" s="72"/>
    </row>
    <row r="79" spans="11:11" s="66" customFormat="1">
      <c r="K79" s="72"/>
    </row>
    <row r="80" spans="11:11" s="66" customFormat="1">
      <c r="K80" s="72"/>
    </row>
    <row r="81" spans="11:11" s="66" customFormat="1">
      <c r="K81" s="72"/>
    </row>
    <row r="82" spans="11:11" s="66" customFormat="1">
      <c r="K82" s="72"/>
    </row>
    <row r="83" spans="11:11" s="66" customFormat="1">
      <c r="K83" s="72"/>
    </row>
    <row r="84" spans="11:11" s="66" customFormat="1">
      <c r="K84" s="72"/>
    </row>
    <row r="85" spans="11:11" s="66" customFormat="1">
      <c r="K85" s="72"/>
    </row>
    <row r="86" spans="11:11" s="66" customFormat="1">
      <c r="K86" s="72"/>
    </row>
    <row r="87" spans="11:11" s="66" customFormat="1">
      <c r="K87" s="72"/>
    </row>
    <row r="88" spans="11:11" s="66" customFormat="1">
      <c r="K88" s="72"/>
    </row>
    <row r="89" spans="11:11" s="66" customFormat="1">
      <c r="K89" s="72"/>
    </row>
    <row r="90" spans="11:11" s="66" customFormat="1">
      <c r="K90" s="72"/>
    </row>
    <row r="91" spans="11:11" s="66" customFormat="1">
      <c r="K91" s="72"/>
    </row>
    <row r="92" spans="11:11" s="66" customFormat="1">
      <c r="K92" s="72"/>
    </row>
    <row r="93" spans="11:11" s="66" customFormat="1">
      <c r="K93" s="72"/>
    </row>
    <row r="94" spans="11:11" s="66" customFormat="1">
      <c r="K94" s="72"/>
    </row>
    <row r="95" spans="11:11" s="66" customFormat="1">
      <c r="K95" s="72"/>
    </row>
    <row r="96" spans="11:11" s="66" customFormat="1">
      <c r="K96" s="72"/>
    </row>
    <row r="97" spans="11:11" s="66" customFormat="1">
      <c r="K97" s="72"/>
    </row>
    <row r="98" spans="11:11" s="66" customFormat="1">
      <c r="K98" s="72"/>
    </row>
    <row r="99" spans="11:11" s="66" customFormat="1">
      <c r="K99" s="72"/>
    </row>
    <row r="100" spans="11:11" s="66" customFormat="1">
      <c r="K100" s="72"/>
    </row>
    <row r="101" spans="11:11" s="66" customFormat="1">
      <c r="K101" s="72"/>
    </row>
    <row r="102" spans="11:11" s="66" customFormat="1">
      <c r="K102" s="72"/>
    </row>
    <row r="103" spans="11:11" s="66" customFormat="1">
      <c r="K103" s="72"/>
    </row>
    <row r="104" spans="11:11" s="66" customFormat="1">
      <c r="K104" s="72"/>
    </row>
    <row r="105" spans="11:11" s="66" customFormat="1">
      <c r="K105" s="72"/>
    </row>
    <row r="106" spans="11:11" s="66" customFormat="1">
      <c r="K106" s="72"/>
    </row>
    <row r="107" spans="11:11" s="66" customFormat="1">
      <c r="K107" s="72"/>
    </row>
    <row r="108" spans="11:11" s="66" customFormat="1">
      <c r="K108" s="72"/>
    </row>
    <row r="109" spans="11:11" s="66" customFormat="1">
      <c r="K109" s="72"/>
    </row>
    <row r="110" spans="11:11" s="66" customFormat="1">
      <c r="K110" s="72"/>
    </row>
    <row r="111" spans="11:11" s="66" customFormat="1">
      <c r="K111" s="72"/>
    </row>
    <row r="112" spans="11:11" s="66" customFormat="1">
      <c r="K112" s="72"/>
    </row>
    <row r="113" spans="11:11" s="66" customFormat="1">
      <c r="K113" s="72"/>
    </row>
    <row r="114" spans="11:11" s="66" customFormat="1">
      <c r="K114" s="72"/>
    </row>
    <row r="115" spans="11:11" s="66" customFormat="1">
      <c r="K115" s="72"/>
    </row>
    <row r="116" spans="11:11" s="66" customFormat="1">
      <c r="K116" s="72"/>
    </row>
    <row r="117" spans="11:11" s="66" customFormat="1">
      <c r="K117" s="72"/>
    </row>
    <row r="118" spans="11:11" s="66" customFormat="1">
      <c r="K118" s="72"/>
    </row>
    <row r="119" spans="11:11" s="66" customFormat="1">
      <c r="K119" s="72"/>
    </row>
    <row r="120" spans="11:11" s="66" customFormat="1">
      <c r="K120" s="72"/>
    </row>
    <row r="121" spans="11:11" s="66" customFormat="1">
      <c r="K121" s="72"/>
    </row>
    <row r="122" spans="11:11" s="66" customFormat="1">
      <c r="K122" s="72"/>
    </row>
    <row r="123" spans="11:11" s="66" customFormat="1">
      <c r="K123" s="72"/>
    </row>
    <row r="124" spans="11:11" s="66" customFormat="1">
      <c r="K124" s="72"/>
    </row>
    <row r="125" spans="11:11" s="66" customFormat="1">
      <c r="K125" s="72"/>
    </row>
    <row r="126" spans="11:11" s="66" customFormat="1">
      <c r="K126" s="72"/>
    </row>
    <row r="127" spans="11:11" s="66" customFormat="1">
      <c r="K127" s="72"/>
    </row>
    <row r="128" spans="11:11" s="66" customFormat="1">
      <c r="K128" s="72"/>
    </row>
    <row r="129" spans="11:11" s="66" customFormat="1">
      <c r="K129" s="72"/>
    </row>
    <row r="130" spans="11:11" s="66" customFormat="1">
      <c r="K130" s="72"/>
    </row>
    <row r="131" spans="11:11" s="66" customFormat="1">
      <c r="K131" s="72"/>
    </row>
    <row r="132" spans="11:11" s="66" customFormat="1">
      <c r="K132" s="72"/>
    </row>
    <row r="133" spans="11:11" s="66" customFormat="1">
      <c r="K133" s="72"/>
    </row>
    <row r="134" spans="11:11" s="66" customFormat="1">
      <c r="K134" s="72"/>
    </row>
    <row r="135" spans="11:11" s="66" customFormat="1">
      <c r="K135" s="72"/>
    </row>
    <row r="136" spans="11:11" s="66" customFormat="1">
      <c r="K136" s="72"/>
    </row>
    <row r="137" spans="11:11" s="66" customFormat="1">
      <c r="K137" s="72"/>
    </row>
    <row r="138" spans="11:11" s="66" customFormat="1">
      <c r="K138" s="72"/>
    </row>
    <row r="139" spans="11:11" s="66" customFormat="1">
      <c r="K139" s="72"/>
    </row>
    <row r="140" spans="11:11" s="66" customFormat="1">
      <c r="K140" s="72"/>
    </row>
    <row r="141" spans="11:11" s="66" customFormat="1">
      <c r="K141" s="72"/>
    </row>
    <row r="142" spans="11:11" s="66" customFormat="1">
      <c r="K142" s="72"/>
    </row>
    <row r="143" spans="11:11" s="66" customFormat="1">
      <c r="K143" s="72"/>
    </row>
    <row r="144" spans="11:11" s="66" customFormat="1">
      <c r="K144" s="72"/>
    </row>
    <row r="145" spans="11:11" s="66" customFormat="1">
      <c r="K145" s="72"/>
    </row>
    <row r="146" spans="11:11" s="66" customFormat="1">
      <c r="K146" s="72"/>
    </row>
    <row r="147" spans="11:11" s="66" customFormat="1">
      <c r="K147" s="72"/>
    </row>
    <row r="148" spans="11:11" s="66" customFormat="1">
      <c r="K148" s="72"/>
    </row>
    <row r="149" spans="11:11" s="66" customFormat="1">
      <c r="K149" s="72"/>
    </row>
    <row r="150" spans="11:11" s="66" customFormat="1">
      <c r="K150" s="72"/>
    </row>
    <row r="151" spans="11:11" s="66" customFormat="1">
      <c r="K151" s="72"/>
    </row>
    <row r="152" spans="11:11" s="66" customFormat="1">
      <c r="K152" s="72"/>
    </row>
    <row r="153" spans="11:11" s="66" customFormat="1">
      <c r="K153" s="72"/>
    </row>
    <row r="154" spans="11:11" s="66" customFormat="1">
      <c r="K154" s="72"/>
    </row>
    <row r="155" spans="11:11" s="66" customFormat="1">
      <c r="K155" s="72"/>
    </row>
    <row r="156" spans="11:11" s="66" customFormat="1">
      <c r="K156" s="72"/>
    </row>
    <row r="157" spans="11:11" s="66" customFormat="1">
      <c r="K157" s="72"/>
    </row>
    <row r="158" spans="11:11" s="66" customFormat="1">
      <c r="K158" s="72"/>
    </row>
    <row r="159" spans="11:11" s="66" customFormat="1">
      <c r="K159" s="72"/>
    </row>
    <row r="160" spans="11:11" s="66" customFormat="1">
      <c r="K160" s="72"/>
    </row>
    <row r="161" spans="11:11" s="66" customFormat="1">
      <c r="K161" s="72"/>
    </row>
    <row r="162" spans="11:11" s="66" customFormat="1">
      <c r="K162" s="72"/>
    </row>
    <row r="163" spans="11:11" s="66" customFormat="1">
      <c r="K163" s="72"/>
    </row>
    <row r="164" spans="11:11" s="66" customFormat="1">
      <c r="K164" s="72"/>
    </row>
    <row r="165" spans="11:11" s="66" customFormat="1">
      <c r="K165" s="72"/>
    </row>
    <row r="166" spans="11:11" s="66" customFormat="1">
      <c r="K166" s="72"/>
    </row>
    <row r="167" spans="11:11" s="66" customFormat="1">
      <c r="K167" s="72"/>
    </row>
    <row r="168" spans="11:11" s="66" customFormat="1">
      <c r="K168" s="72"/>
    </row>
    <row r="169" spans="11:11" s="66" customFormat="1">
      <c r="K169" s="72"/>
    </row>
    <row r="170" spans="11:11" s="66" customFormat="1">
      <c r="K170" s="72"/>
    </row>
    <row r="171" spans="11:11" s="66" customFormat="1">
      <c r="K171" s="72"/>
    </row>
    <row r="172" spans="11:11" s="66" customFormat="1">
      <c r="K172" s="72"/>
    </row>
    <row r="173" spans="11:11" s="66" customFormat="1">
      <c r="K173" s="72"/>
    </row>
    <row r="174" spans="11:11" s="66" customFormat="1">
      <c r="K174" s="72"/>
    </row>
    <row r="175" spans="11:11" s="66" customFormat="1">
      <c r="K175" s="72"/>
    </row>
    <row r="176" spans="11:11" s="66" customFormat="1">
      <c r="K176" s="72"/>
    </row>
    <row r="177" spans="11:11" s="66" customFormat="1">
      <c r="K177" s="72"/>
    </row>
    <row r="178" spans="11:11" s="66" customFormat="1">
      <c r="K178" s="72"/>
    </row>
    <row r="179" spans="11:11" s="66" customFormat="1">
      <c r="K179" s="72"/>
    </row>
    <row r="180" spans="11:11" s="66" customFormat="1">
      <c r="K180" s="72"/>
    </row>
    <row r="181" spans="11:11" s="66" customFormat="1">
      <c r="K181" s="72"/>
    </row>
    <row r="182" spans="11:11" s="66" customFormat="1">
      <c r="K182" s="72"/>
    </row>
    <row r="183" spans="11:11" s="66" customFormat="1">
      <c r="K183" s="72"/>
    </row>
    <row r="184" spans="11:11" s="66" customFormat="1">
      <c r="K184" s="72"/>
    </row>
    <row r="185" spans="11:11" s="66" customFormat="1">
      <c r="K185" s="72"/>
    </row>
    <row r="186" spans="11:11" s="66" customFormat="1">
      <c r="K186" s="72"/>
    </row>
    <row r="187" spans="11:11" s="66" customFormat="1">
      <c r="K187" s="72"/>
    </row>
    <row r="188" spans="11:11" s="66" customFormat="1">
      <c r="K188" s="72"/>
    </row>
    <row r="189" spans="11:11" s="66" customFormat="1">
      <c r="K189" s="72"/>
    </row>
    <row r="190" spans="11:11" s="66" customFormat="1">
      <c r="K190" s="72"/>
    </row>
    <row r="191" spans="11:11" s="66" customFormat="1">
      <c r="K191" s="72"/>
    </row>
    <row r="192" spans="11:11" s="66" customFormat="1">
      <c r="K192" s="72"/>
    </row>
    <row r="193" spans="11:11" s="66" customFormat="1">
      <c r="K193" s="72"/>
    </row>
    <row r="194" spans="11:11" s="66" customFormat="1">
      <c r="K194" s="72"/>
    </row>
    <row r="195" spans="11:11" s="66" customFormat="1">
      <c r="K195" s="72"/>
    </row>
    <row r="196" spans="11:11" s="66" customFormat="1">
      <c r="K196" s="72"/>
    </row>
    <row r="197" spans="11:11" s="66" customFormat="1">
      <c r="K197" s="72"/>
    </row>
    <row r="198" spans="11:11" s="66" customFormat="1">
      <c r="K198" s="72"/>
    </row>
    <row r="199" spans="11:11" s="66" customFormat="1">
      <c r="K199" s="72"/>
    </row>
    <row r="200" spans="11:11" s="66" customFormat="1">
      <c r="K200" s="72"/>
    </row>
    <row r="201" spans="11:11" s="66" customFormat="1">
      <c r="K201" s="72"/>
    </row>
    <row r="202" spans="11:11" s="66" customFormat="1">
      <c r="K202" s="72"/>
    </row>
    <row r="203" spans="11:11" s="66" customFormat="1">
      <c r="K203" s="72"/>
    </row>
    <row r="204" spans="11:11" s="66" customFormat="1">
      <c r="K204" s="72"/>
    </row>
    <row r="205" spans="11:11" s="66" customFormat="1">
      <c r="K205" s="72"/>
    </row>
    <row r="206" spans="11:11" s="66" customFormat="1">
      <c r="K206" s="72"/>
    </row>
    <row r="207" spans="11:11" s="66" customFormat="1">
      <c r="K207" s="72"/>
    </row>
    <row r="208" spans="11:11" s="66" customFormat="1">
      <c r="K208" s="72"/>
    </row>
    <row r="209" spans="11:11" s="66" customFormat="1">
      <c r="K209" s="72"/>
    </row>
    <row r="210" spans="11:11" s="66" customFormat="1">
      <c r="K210" s="72"/>
    </row>
    <row r="211" spans="11:11" s="66" customFormat="1">
      <c r="K211" s="72"/>
    </row>
    <row r="212" spans="11:11" s="66" customFormat="1">
      <c r="K212" s="72"/>
    </row>
    <row r="213" spans="11:11" s="66" customFormat="1">
      <c r="K213" s="72"/>
    </row>
    <row r="214" spans="11:11" s="66" customFormat="1">
      <c r="K214" s="72"/>
    </row>
    <row r="215" spans="11:11" s="66" customFormat="1">
      <c r="K215" s="72"/>
    </row>
    <row r="216" spans="11:11" s="66" customFormat="1">
      <c r="K216" s="72"/>
    </row>
    <row r="217" spans="11:11" s="66" customFormat="1">
      <c r="K217" s="72"/>
    </row>
    <row r="218" spans="11:11" s="66" customFormat="1">
      <c r="K218" s="72"/>
    </row>
    <row r="219" spans="11:11" s="66" customFormat="1">
      <c r="K219" s="72"/>
    </row>
    <row r="220" spans="11:11" s="66" customFormat="1">
      <c r="K220" s="72"/>
    </row>
    <row r="221" spans="11:11" s="66" customFormat="1">
      <c r="K221" s="72"/>
    </row>
    <row r="222" spans="11:11" s="66" customFormat="1">
      <c r="K222" s="72"/>
    </row>
    <row r="223" spans="11:11" s="66" customFormat="1">
      <c r="K223" s="72"/>
    </row>
    <row r="224" spans="11:11" s="66" customFormat="1">
      <c r="K224" s="72"/>
    </row>
    <row r="225" spans="11:11" s="66" customFormat="1">
      <c r="K225" s="72"/>
    </row>
    <row r="226" spans="11:11" s="66" customFormat="1">
      <c r="K226" s="72"/>
    </row>
    <row r="227" spans="11:11" s="66" customFormat="1">
      <c r="K227" s="72"/>
    </row>
    <row r="228" spans="11:11" s="66" customFormat="1">
      <c r="K228" s="72"/>
    </row>
    <row r="229" spans="11:11" s="66" customFormat="1">
      <c r="K229" s="72"/>
    </row>
    <row r="230" spans="11:11" s="66" customFormat="1">
      <c r="K230" s="72"/>
    </row>
    <row r="231" spans="11:11" s="66" customFormat="1">
      <c r="K231" s="72"/>
    </row>
    <row r="232" spans="11:11" s="66" customFormat="1">
      <c r="K232" s="72"/>
    </row>
    <row r="233" spans="11:11" s="66" customFormat="1">
      <c r="K233" s="72"/>
    </row>
    <row r="234" spans="11:11" s="66" customFormat="1">
      <c r="K234" s="72"/>
    </row>
    <row r="235" spans="11:11" s="66" customFormat="1">
      <c r="K235" s="72"/>
    </row>
    <row r="236" spans="11:11" s="66" customFormat="1">
      <c r="K236" s="72"/>
    </row>
    <row r="237" spans="11:11" s="66" customFormat="1">
      <c r="K237" s="72"/>
    </row>
    <row r="238" spans="11:11" s="66" customFormat="1">
      <c r="K238" s="72"/>
    </row>
    <row r="239" spans="11:11" s="66" customFormat="1">
      <c r="K239" s="72"/>
    </row>
    <row r="240" spans="11:11" s="66" customFormat="1">
      <c r="K240" s="72"/>
    </row>
    <row r="241" spans="11:11" s="66" customFormat="1">
      <c r="K241" s="72"/>
    </row>
    <row r="242" spans="11:11" s="66" customFormat="1">
      <c r="K242" s="72"/>
    </row>
    <row r="243" spans="11:11" s="66" customFormat="1">
      <c r="K243" s="72"/>
    </row>
    <row r="244" spans="11:11" s="66" customFormat="1">
      <c r="K244" s="72"/>
    </row>
    <row r="245" spans="11:11" s="66" customFormat="1">
      <c r="K245" s="72"/>
    </row>
    <row r="246" spans="11:11" s="66" customFormat="1">
      <c r="K246" s="72"/>
    </row>
    <row r="247" spans="11:11" s="66" customFormat="1">
      <c r="K247" s="72"/>
    </row>
    <row r="248" spans="11:11" s="66" customFormat="1">
      <c r="K248" s="72"/>
    </row>
    <row r="249" spans="11:11" s="66" customFormat="1">
      <c r="K249" s="72"/>
    </row>
    <row r="250" spans="11:11" s="66" customFormat="1">
      <c r="K250" s="72"/>
    </row>
    <row r="251" spans="11:11" s="66" customFormat="1">
      <c r="K251" s="72"/>
    </row>
    <row r="252" spans="11:11" s="66" customFormat="1">
      <c r="K252" s="72"/>
    </row>
    <row r="253" spans="11:11" s="66" customFormat="1">
      <c r="K253" s="72"/>
    </row>
    <row r="254" spans="11:11" s="66" customFormat="1">
      <c r="K254" s="72"/>
    </row>
    <row r="255" spans="11:11" s="66" customFormat="1">
      <c r="K255" s="72"/>
    </row>
    <row r="256" spans="11:11" s="66" customFormat="1">
      <c r="K256" s="72"/>
    </row>
    <row r="257" spans="11:11" s="66" customFormat="1">
      <c r="K257" s="72"/>
    </row>
    <row r="258" spans="11:11" s="66" customFormat="1">
      <c r="K258" s="72"/>
    </row>
    <row r="259" spans="11:11" s="66" customFormat="1">
      <c r="K259" s="72"/>
    </row>
    <row r="260" spans="11:11" s="66" customFormat="1">
      <c r="K260" s="72"/>
    </row>
    <row r="261" spans="11:11" s="66" customFormat="1">
      <c r="K261" s="72"/>
    </row>
    <row r="262" spans="11:11" s="66" customFormat="1">
      <c r="K262" s="72"/>
    </row>
    <row r="263" spans="11:11" s="66" customFormat="1">
      <c r="K263" s="72"/>
    </row>
    <row r="264" spans="11:11" s="66" customFormat="1">
      <c r="K264" s="72"/>
    </row>
    <row r="265" spans="11:11" s="66" customFormat="1">
      <c r="K265" s="72"/>
    </row>
    <row r="266" spans="11:11" s="66" customFormat="1">
      <c r="K266" s="72"/>
    </row>
    <row r="267" spans="11:11" s="66" customFormat="1">
      <c r="K267" s="72"/>
    </row>
    <row r="268" spans="11:11" s="66" customFormat="1">
      <c r="K268" s="72"/>
    </row>
    <row r="269" spans="11:11" s="66" customFormat="1">
      <c r="K269" s="72"/>
    </row>
    <row r="270" spans="11:11" s="66" customFormat="1">
      <c r="K270" s="72"/>
    </row>
    <row r="271" spans="11:11" s="66" customFormat="1">
      <c r="K271" s="72"/>
    </row>
    <row r="272" spans="11:11" s="66" customFormat="1">
      <c r="K272" s="72"/>
    </row>
    <row r="273" spans="11:11" s="66" customFormat="1">
      <c r="K273" s="72"/>
    </row>
    <row r="274" spans="11:11" s="66" customFormat="1">
      <c r="K274" s="72"/>
    </row>
    <row r="275" spans="11:11" s="66" customFormat="1">
      <c r="K275" s="72"/>
    </row>
    <row r="276" spans="11:11" s="66" customFormat="1">
      <c r="K276" s="72"/>
    </row>
    <row r="277" spans="11:11" s="66" customFormat="1">
      <c r="K277" s="72"/>
    </row>
    <row r="278" spans="11:11" s="66" customFormat="1">
      <c r="K278" s="72"/>
    </row>
    <row r="279" spans="11:11" s="66" customFormat="1">
      <c r="K279" s="72"/>
    </row>
    <row r="280" spans="11:11" s="66" customFormat="1">
      <c r="K280" s="72"/>
    </row>
    <row r="281" spans="11:11" s="66" customFormat="1">
      <c r="K281" s="72"/>
    </row>
    <row r="282" spans="11:11" s="66" customFormat="1">
      <c r="K282" s="72"/>
    </row>
    <row r="283" spans="11:11" s="66" customFormat="1">
      <c r="K283" s="72"/>
    </row>
    <row r="284" spans="11:11" s="66" customFormat="1">
      <c r="K284" s="72"/>
    </row>
    <row r="285" spans="11:11" s="66" customFormat="1">
      <c r="K285" s="72"/>
    </row>
    <row r="286" spans="11:11" s="66" customFormat="1">
      <c r="K286" s="72"/>
    </row>
    <row r="287" spans="11:11" s="66" customFormat="1">
      <c r="K287" s="72"/>
    </row>
    <row r="288" spans="11:11" s="66" customFormat="1">
      <c r="K288" s="72"/>
    </row>
    <row r="289" spans="11:11" s="66" customFormat="1">
      <c r="K289" s="72"/>
    </row>
    <row r="290" spans="11:11" s="66" customFormat="1">
      <c r="K290" s="72"/>
    </row>
    <row r="291" spans="11:11" s="66" customFormat="1">
      <c r="K291" s="72"/>
    </row>
    <row r="292" spans="11:11" s="66" customFormat="1">
      <c r="K292" s="72"/>
    </row>
    <row r="293" spans="11:11" s="66" customFormat="1">
      <c r="K293" s="72"/>
    </row>
    <row r="294" spans="11:11" s="66" customFormat="1">
      <c r="K294" s="72"/>
    </row>
    <row r="295" spans="11:11" s="66" customFormat="1">
      <c r="K295" s="72"/>
    </row>
    <row r="296" spans="11:11" s="66" customFormat="1">
      <c r="K296" s="72"/>
    </row>
    <row r="297" spans="11:11" s="66" customFormat="1">
      <c r="K297" s="72"/>
    </row>
    <row r="298" spans="11:11" s="66" customFormat="1">
      <c r="K298" s="72"/>
    </row>
    <row r="299" spans="11:11" s="66" customFormat="1">
      <c r="K299" s="72"/>
    </row>
    <row r="300" spans="11:11" s="66" customFormat="1">
      <c r="K300" s="72"/>
    </row>
    <row r="301" spans="11:11" s="66" customFormat="1">
      <c r="K301" s="72"/>
    </row>
    <row r="302" spans="11:11" s="66" customFormat="1">
      <c r="K302" s="72"/>
    </row>
    <row r="303" spans="11:11" s="66" customFormat="1">
      <c r="K303" s="72"/>
    </row>
    <row r="304" spans="11:11" s="66" customFormat="1">
      <c r="K304" s="72"/>
    </row>
    <row r="305" spans="11:11" s="66" customFormat="1">
      <c r="K305" s="72"/>
    </row>
    <row r="306" spans="11:11" s="66" customFormat="1">
      <c r="K306" s="72"/>
    </row>
    <row r="307" spans="11:11" s="66" customFormat="1">
      <c r="K307" s="72"/>
    </row>
    <row r="308" spans="11:11" s="66" customFormat="1">
      <c r="K308" s="72"/>
    </row>
    <row r="309" spans="11:11" s="66" customFormat="1">
      <c r="K309" s="72"/>
    </row>
    <row r="310" spans="11:11" s="66" customFormat="1">
      <c r="K310" s="72"/>
    </row>
    <row r="311" spans="11:11" s="66" customFormat="1">
      <c r="K311" s="72"/>
    </row>
    <row r="312" spans="11:11" s="66" customFormat="1">
      <c r="K312" s="72"/>
    </row>
    <row r="313" spans="11:11" s="66" customFormat="1">
      <c r="K313" s="72"/>
    </row>
    <row r="314" spans="11:11" s="66" customFormat="1">
      <c r="K314" s="72"/>
    </row>
    <row r="315" spans="11:11" s="66" customFormat="1">
      <c r="K315" s="72"/>
    </row>
    <row r="316" spans="11:11" s="66" customFormat="1">
      <c r="K316" s="72"/>
    </row>
    <row r="317" spans="11:11" s="66" customFormat="1">
      <c r="K317" s="72"/>
    </row>
    <row r="318" spans="11:11" s="66" customFormat="1">
      <c r="K318" s="72"/>
    </row>
    <row r="319" spans="11:11" s="66" customFormat="1">
      <c r="K319" s="72"/>
    </row>
    <row r="320" spans="11:11" s="66" customFormat="1">
      <c r="K320" s="72"/>
    </row>
    <row r="321" spans="11:11" s="66" customFormat="1">
      <c r="K321" s="72"/>
    </row>
    <row r="322" spans="11:11" s="66" customFormat="1">
      <c r="K322" s="72"/>
    </row>
    <row r="323" spans="11:11" s="66" customFormat="1">
      <c r="K323" s="72"/>
    </row>
    <row r="324" spans="11:11" s="66" customFormat="1">
      <c r="K324" s="72"/>
    </row>
    <row r="325" spans="11:11" s="66" customFormat="1">
      <c r="K325" s="72"/>
    </row>
    <row r="326" spans="11:11" s="66" customFormat="1">
      <c r="K326" s="72"/>
    </row>
    <row r="327" spans="11:11" s="66" customFormat="1">
      <c r="K327" s="72"/>
    </row>
    <row r="328" spans="11:11" s="66" customFormat="1">
      <c r="K328" s="72"/>
    </row>
    <row r="329" spans="11:11" s="66" customFormat="1">
      <c r="K329" s="72"/>
    </row>
    <row r="330" spans="11:11" s="66" customFormat="1">
      <c r="K330" s="72"/>
    </row>
    <row r="331" spans="11:11" s="66" customFormat="1">
      <c r="K331" s="72"/>
    </row>
    <row r="332" spans="11:11" s="66" customFormat="1">
      <c r="K332" s="72"/>
    </row>
    <row r="333" spans="11:11" s="66" customFormat="1">
      <c r="K333" s="72"/>
    </row>
    <row r="334" spans="11:11" s="66" customFormat="1">
      <c r="K334" s="72"/>
    </row>
    <row r="335" spans="11:11" s="66" customFormat="1">
      <c r="K335" s="72"/>
    </row>
    <row r="336" spans="11:11" s="66" customFormat="1">
      <c r="K336" s="72"/>
    </row>
    <row r="337" spans="11:11" s="66" customFormat="1">
      <c r="K337" s="72"/>
    </row>
    <row r="338" spans="11:11" s="66" customFormat="1">
      <c r="K338" s="72"/>
    </row>
    <row r="339" spans="11:11" s="66" customFormat="1">
      <c r="K339" s="72"/>
    </row>
    <row r="340" spans="11:11" s="66" customFormat="1">
      <c r="K340" s="72"/>
    </row>
    <row r="341" spans="11:11" s="66" customFormat="1">
      <c r="K341" s="72"/>
    </row>
    <row r="342" spans="11:11" s="66" customFormat="1">
      <c r="K342" s="72"/>
    </row>
    <row r="343" spans="11:11" s="66" customFormat="1">
      <c r="K343" s="72"/>
    </row>
    <row r="344" spans="11:11" s="66" customFormat="1">
      <c r="K344" s="72"/>
    </row>
    <row r="345" spans="11:11" s="66" customFormat="1">
      <c r="K345" s="72"/>
    </row>
    <row r="346" spans="11:11" s="66" customFormat="1">
      <c r="K346" s="72"/>
    </row>
    <row r="347" spans="11:11" s="66" customFormat="1">
      <c r="K347" s="72"/>
    </row>
    <row r="348" spans="11:11" s="66" customFormat="1">
      <c r="K348" s="72"/>
    </row>
    <row r="349" spans="11:11" s="66" customFormat="1">
      <c r="K349" s="72"/>
    </row>
    <row r="350" spans="11:11" s="66" customFormat="1">
      <c r="K350" s="72"/>
    </row>
    <row r="351" spans="11:11" s="66" customFormat="1">
      <c r="K351" s="72"/>
    </row>
    <row r="352" spans="11:11" s="66" customFormat="1">
      <c r="K352" s="72"/>
    </row>
    <row r="353" spans="11:11" s="66" customFormat="1">
      <c r="K353" s="72"/>
    </row>
    <row r="354" spans="11:11" s="66" customFormat="1">
      <c r="K354" s="72"/>
    </row>
    <row r="355" spans="11:11" s="66" customFormat="1">
      <c r="K355" s="72"/>
    </row>
    <row r="356" spans="11:11" s="66" customFormat="1">
      <c r="K356" s="72"/>
    </row>
    <row r="357" spans="11:11" s="66" customFormat="1">
      <c r="K357" s="72"/>
    </row>
    <row r="358" spans="11:11" s="66" customFormat="1">
      <c r="K358" s="72"/>
    </row>
    <row r="359" spans="11:11" s="66" customFormat="1">
      <c r="K359" s="72"/>
    </row>
    <row r="360" spans="11:11" s="66" customFormat="1">
      <c r="K360" s="72"/>
    </row>
    <row r="361" spans="11:11" s="66" customFormat="1">
      <c r="K361" s="72"/>
    </row>
    <row r="362" spans="11:11" s="66" customFormat="1">
      <c r="K362" s="72"/>
    </row>
    <row r="363" spans="11:11" s="66" customFormat="1">
      <c r="K363" s="72"/>
    </row>
    <row r="364" spans="11:11" s="66" customFormat="1">
      <c r="K364" s="72"/>
    </row>
    <row r="365" spans="11:11" s="66" customFormat="1">
      <c r="K365" s="72"/>
    </row>
    <row r="366" spans="11:11" s="66" customFormat="1">
      <c r="K366" s="72"/>
    </row>
    <row r="367" spans="11:11" s="66" customFormat="1">
      <c r="K367" s="72"/>
    </row>
    <row r="368" spans="11:11" s="66" customFormat="1">
      <c r="K368" s="72"/>
    </row>
    <row r="369" spans="11:11" s="66" customFormat="1">
      <c r="K369" s="72"/>
    </row>
    <row r="370" spans="11:11" s="66" customFormat="1">
      <c r="K370" s="72"/>
    </row>
    <row r="371" spans="11:11" s="66" customFormat="1">
      <c r="K371" s="72"/>
    </row>
    <row r="372" spans="11:11" s="66" customFormat="1">
      <c r="K372" s="72"/>
    </row>
    <row r="373" spans="11:11" s="66" customFormat="1">
      <c r="K373" s="72"/>
    </row>
    <row r="374" spans="11:11" s="66" customFormat="1">
      <c r="K374" s="72"/>
    </row>
    <row r="375" spans="11:11" s="66" customFormat="1">
      <c r="K375" s="72"/>
    </row>
    <row r="376" spans="11:11" s="66" customFormat="1">
      <c r="K376" s="72"/>
    </row>
    <row r="377" spans="11:11" s="66" customFormat="1">
      <c r="K377" s="72"/>
    </row>
    <row r="378" spans="11:11" s="66" customFormat="1">
      <c r="K378" s="72"/>
    </row>
    <row r="379" spans="11:11" s="66" customFormat="1">
      <c r="K379" s="72"/>
    </row>
    <row r="380" spans="11:11" s="66" customFormat="1">
      <c r="K380" s="72"/>
    </row>
    <row r="381" spans="11:11" s="66" customFormat="1">
      <c r="K381" s="72"/>
    </row>
    <row r="382" spans="11:11" s="66" customFormat="1">
      <c r="K382" s="72"/>
    </row>
    <row r="383" spans="11:11" s="66" customFormat="1">
      <c r="K383" s="72"/>
    </row>
    <row r="384" spans="11:11" s="66" customFormat="1">
      <c r="K384" s="72"/>
    </row>
    <row r="385" spans="11:11" s="66" customFormat="1">
      <c r="K385" s="72"/>
    </row>
    <row r="386" spans="11:11" s="66" customFormat="1">
      <c r="K386" s="72"/>
    </row>
    <row r="387" spans="11:11" s="66" customFormat="1">
      <c r="K387" s="72"/>
    </row>
    <row r="388" spans="11:11" s="66" customFormat="1">
      <c r="K388" s="72"/>
    </row>
    <row r="389" spans="11:11" s="66" customFormat="1">
      <c r="K389" s="72"/>
    </row>
    <row r="390" spans="11:11" s="66" customFormat="1">
      <c r="K390" s="72"/>
    </row>
    <row r="391" spans="11:11" s="66" customFormat="1">
      <c r="K391" s="72"/>
    </row>
    <row r="392" spans="11:11" s="66" customFormat="1">
      <c r="K392" s="72"/>
    </row>
    <row r="393" spans="11:11" s="66" customFormat="1">
      <c r="K393" s="72"/>
    </row>
    <row r="394" spans="11:11" s="66" customFormat="1">
      <c r="K394" s="72"/>
    </row>
    <row r="395" spans="11:11" s="66" customFormat="1">
      <c r="K395" s="72"/>
    </row>
    <row r="396" spans="11:11" s="66" customFormat="1">
      <c r="K396" s="72"/>
    </row>
    <row r="397" spans="11:11" s="66" customFormat="1">
      <c r="K397" s="72"/>
    </row>
    <row r="398" spans="11:11" s="66" customFormat="1">
      <c r="K398" s="72"/>
    </row>
    <row r="399" spans="11:11" s="66" customFormat="1">
      <c r="K399" s="72"/>
    </row>
    <row r="400" spans="11:11" s="66" customFormat="1">
      <c r="K400" s="72"/>
    </row>
    <row r="401" spans="11:11" s="66" customFormat="1">
      <c r="K401" s="72"/>
    </row>
    <row r="402" spans="11:11" s="66" customFormat="1">
      <c r="K402" s="72"/>
    </row>
    <row r="403" spans="11:11" s="66" customFormat="1">
      <c r="K403" s="72"/>
    </row>
    <row r="404" spans="11:11" s="66" customFormat="1">
      <c r="K404" s="72"/>
    </row>
    <row r="405" spans="11:11" s="66" customFormat="1">
      <c r="K405" s="72"/>
    </row>
    <row r="406" spans="11:11" s="66" customFormat="1">
      <c r="K406" s="72"/>
    </row>
    <row r="407" spans="11:11" s="66" customFormat="1">
      <c r="K407" s="72"/>
    </row>
    <row r="408" spans="11:11" s="66" customFormat="1">
      <c r="K408" s="72"/>
    </row>
    <row r="409" spans="11:11" s="66" customFormat="1">
      <c r="K409" s="72"/>
    </row>
    <row r="410" spans="11:11" s="66" customFormat="1">
      <c r="K410" s="72"/>
    </row>
    <row r="411" spans="11:11" s="66" customFormat="1">
      <c r="K411" s="72"/>
    </row>
    <row r="412" spans="11:11" s="66" customFormat="1">
      <c r="K412" s="72"/>
    </row>
    <row r="413" spans="11:11" s="66" customFormat="1">
      <c r="K413" s="72"/>
    </row>
    <row r="414" spans="11:11" s="66" customFormat="1">
      <c r="K414" s="72"/>
    </row>
    <row r="415" spans="11:11" s="66" customFormat="1">
      <c r="K415" s="72"/>
    </row>
    <row r="416" spans="11:11" s="66" customFormat="1">
      <c r="K416" s="72"/>
    </row>
    <row r="417" spans="11:11" s="66" customFormat="1">
      <c r="K417" s="72"/>
    </row>
    <row r="418" spans="11:11" s="66" customFormat="1">
      <c r="K418" s="72"/>
    </row>
    <row r="419" spans="11:11" s="66" customFormat="1">
      <c r="K419" s="72"/>
    </row>
    <row r="420" spans="11:11" s="66" customFormat="1">
      <c r="K420" s="72"/>
    </row>
    <row r="421" spans="11:11" s="66" customFormat="1">
      <c r="K421" s="72"/>
    </row>
    <row r="422" spans="11:11" s="66" customFormat="1">
      <c r="K422" s="72"/>
    </row>
    <row r="423" spans="11:11" s="66" customFormat="1">
      <c r="K423" s="72"/>
    </row>
    <row r="424" spans="11:11" s="66" customFormat="1">
      <c r="K424" s="72"/>
    </row>
    <row r="425" spans="11:11" s="66" customFormat="1">
      <c r="K425" s="72"/>
    </row>
    <row r="426" spans="11:11" s="66" customFormat="1">
      <c r="K426" s="72"/>
    </row>
    <row r="427" spans="11:11" s="66" customFormat="1">
      <c r="K427" s="72"/>
    </row>
    <row r="428" spans="11:11" s="66" customFormat="1">
      <c r="K428" s="72"/>
    </row>
    <row r="429" spans="11:11" s="66" customFormat="1">
      <c r="K429" s="72"/>
    </row>
    <row r="430" spans="11:11" s="66" customFormat="1">
      <c r="K430" s="72"/>
    </row>
    <row r="431" spans="11:11" s="66" customFormat="1">
      <c r="K431" s="72"/>
    </row>
    <row r="432" spans="11:11" s="66" customFormat="1">
      <c r="K432" s="72"/>
    </row>
    <row r="433" spans="11:11" s="66" customFormat="1">
      <c r="K433" s="72"/>
    </row>
    <row r="434" spans="11:11" s="66" customFormat="1">
      <c r="K434" s="72"/>
    </row>
    <row r="435" spans="11:11" s="66" customFormat="1">
      <c r="K435" s="72"/>
    </row>
    <row r="436" spans="11:11" s="66" customFormat="1">
      <c r="K436" s="72"/>
    </row>
    <row r="437" spans="11:11" s="66" customFormat="1">
      <c r="K437" s="72"/>
    </row>
    <row r="438" spans="11:11" s="66" customFormat="1">
      <c r="K438" s="72"/>
    </row>
    <row r="439" spans="11:11" s="66" customFormat="1">
      <c r="K439" s="72"/>
    </row>
    <row r="440" spans="11:11" s="66" customFormat="1">
      <c r="K440" s="72"/>
    </row>
    <row r="441" spans="11:11" s="66" customFormat="1">
      <c r="K441" s="72"/>
    </row>
    <row r="442" spans="11:11" s="66" customFormat="1">
      <c r="K442" s="72"/>
    </row>
    <row r="443" spans="11:11" s="66" customFormat="1">
      <c r="K443" s="72"/>
    </row>
    <row r="444" spans="11:11" s="66" customFormat="1">
      <c r="K444" s="72"/>
    </row>
    <row r="445" spans="11:11" s="66" customFormat="1">
      <c r="K445" s="72"/>
    </row>
    <row r="446" spans="11:11" s="66" customFormat="1">
      <c r="K446" s="72"/>
    </row>
    <row r="447" spans="11:11" s="66" customFormat="1">
      <c r="K447" s="72"/>
    </row>
    <row r="448" spans="11:11" s="66" customFormat="1">
      <c r="K448" s="72"/>
    </row>
    <row r="449" spans="11:11" s="66" customFormat="1">
      <c r="K449" s="72"/>
    </row>
    <row r="450" spans="11:11" s="66" customFormat="1">
      <c r="K450" s="72"/>
    </row>
    <row r="451" spans="11:11" s="66" customFormat="1">
      <c r="K451" s="72"/>
    </row>
    <row r="452" spans="11:11" s="66" customFormat="1">
      <c r="K452" s="72"/>
    </row>
    <row r="453" spans="11:11" s="66" customFormat="1">
      <c r="K453" s="72"/>
    </row>
    <row r="454" spans="11:11" s="66" customFormat="1">
      <c r="K454" s="72"/>
    </row>
    <row r="455" spans="11:11" s="66" customFormat="1">
      <c r="K455" s="72"/>
    </row>
    <row r="456" spans="11:11" s="66" customFormat="1">
      <c r="K456" s="72"/>
    </row>
    <row r="457" spans="11:11" s="66" customFormat="1">
      <c r="K457" s="72"/>
    </row>
    <row r="458" spans="11:11" s="66" customFormat="1">
      <c r="K458" s="72"/>
    </row>
    <row r="459" spans="11:11" s="66" customFormat="1">
      <c r="K459" s="72"/>
    </row>
    <row r="460" spans="11:11" s="66" customFormat="1">
      <c r="K460" s="72"/>
    </row>
    <row r="461" spans="11:11" s="66" customFormat="1">
      <c r="K461" s="72"/>
    </row>
    <row r="462" spans="11:11" s="66" customFormat="1">
      <c r="K462" s="72"/>
    </row>
    <row r="463" spans="11:11" s="66" customFormat="1">
      <c r="K463" s="72"/>
    </row>
    <row r="464" spans="11:11" s="66" customFormat="1">
      <c r="K464" s="72"/>
    </row>
    <row r="465" spans="11:11" s="66" customFormat="1">
      <c r="K465" s="72"/>
    </row>
    <row r="466" spans="11:11" s="66" customFormat="1">
      <c r="K466" s="72"/>
    </row>
    <row r="467" spans="11:11" s="66" customFormat="1">
      <c r="K467" s="72"/>
    </row>
    <row r="468" spans="11:11" s="66" customFormat="1">
      <c r="K468" s="72"/>
    </row>
    <row r="469" spans="11:11" s="66" customFormat="1">
      <c r="K469" s="72"/>
    </row>
    <row r="470" spans="11:11" s="66" customFormat="1">
      <c r="K470" s="72"/>
    </row>
    <row r="471" spans="11:11" s="66" customFormat="1">
      <c r="K471" s="72"/>
    </row>
    <row r="472" spans="11:11" s="66" customFormat="1">
      <c r="K472" s="72"/>
    </row>
    <row r="473" spans="11:11" s="66" customFormat="1">
      <c r="K473" s="72"/>
    </row>
    <row r="474" spans="11:11" s="66" customFormat="1">
      <c r="K474" s="72"/>
    </row>
    <row r="475" spans="11:11" s="66" customFormat="1">
      <c r="K475" s="72"/>
    </row>
    <row r="476" spans="11:11" s="66" customFormat="1">
      <c r="K476" s="72"/>
    </row>
    <row r="477" spans="11:11" s="66" customFormat="1">
      <c r="K477" s="72"/>
    </row>
    <row r="478" spans="11:11" s="66" customFormat="1">
      <c r="K478" s="72"/>
    </row>
    <row r="479" spans="11:11" s="66" customFormat="1">
      <c r="K479" s="72"/>
    </row>
    <row r="480" spans="11:11" s="66" customFormat="1">
      <c r="K480" s="72"/>
    </row>
    <row r="481" spans="11:11" s="66" customFormat="1">
      <c r="K481" s="72"/>
    </row>
    <row r="482" spans="11:11" s="66" customFormat="1">
      <c r="K482" s="72"/>
    </row>
    <row r="483" spans="11:11" s="66" customFormat="1">
      <c r="K483" s="72"/>
    </row>
    <row r="484" spans="11:11" s="66" customFormat="1">
      <c r="K484" s="72"/>
    </row>
    <row r="485" spans="11:11" s="66" customFormat="1">
      <c r="K485" s="72"/>
    </row>
    <row r="486" spans="11:11" s="66" customFormat="1">
      <c r="K486" s="72"/>
    </row>
    <row r="487" spans="11:11" s="66" customFormat="1">
      <c r="K487" s="72"/>
    </row>
    <row r="488" spans="11:11" s="66" customFormat="1">
      <c r="K488" s="72"/>
    </row>
    <row r="489" spans="11:11" s="66" customFormat="1">
      <c r="K489" s="72"/>
    </row>
    <row r="490" spans="11:11" s="66" customFormat="1">
      <c r="K490" s="72"/>
    </row>
    <row r="491" spans="11:11" s="66" customFormat="1">
      <c r="K491" s="72"/>
    </row>
    <row r="492" spans="11:11" s="66" customFormat="1">
      <c r="K492" s="72"/>
    </row>
    <row r="493" spans="11:11" s="66" customFormat="1">
      <c r="K493" s="72"/>
    </row>
    <row r="494" spans="11:11" s="66" customFormat="1">
      <c r="K494" s="72"/>
    </row>
    <row r="495" spans="11:11" s="66" customFormat="1">
      <c r="K495" s="72"/>
    </row>
    <row r="496" spans="11:11" s="66" customFormat="1">
      <c r="K496" s="72"/>
    </row>
    <row r="497" spans="11:11" s="66" customFormat="1">
      <c r="K497" s="72"/>
    </row>
    <row r="498" spans="11:11" s="66" customFormat="1">
      <c r="K498" s="72"/>
    </row>
    <row r="499" spans="11:11" s="66" customFormat="1">
      <c r="K499" s="72"/>
    </row>
    <row r="500" spans="11:11" s="66" customFormat="1">
      <c r="K500" s="72"/>
    </row>
    <row r="501" spans="11:11" s="66" customFormat="1">
      <c r="K501" s="72"/>
    </row>
    <row r="502" spans="11:11" s="66" customFormat="1">
      <c r="K502" s="72"/>
    </row>
    <row r="503" spans="11:11" s="66" customFormat="1">
      <c r="K503" s="72"/>
    </row>
    <row r="504" spans="11:11" s="66" customFormat="1">
      <c r="K504" s="72"/>
    </row>
    <row r="505" spans="11:11" s="66" customFormat="1">
      <c r="K505" s="72"/>
    </row>
    <row r="506" spans="11:11" s="66" customFormat="1">
      <c r="K506" s="72"/>
    </row>
    <row r="507" spans="11:11" s="66" customFormat="1">
      <c r="K507" s="72"/>
    </row>
    <row r="508" spans="11:11" s="66" customFormat="1">
      <c r="K508" s="72"/>
    </row>
    <row r="509" spans="11:11" s="66" customFormat="1">
      <c r="K509" s="72"/>
    </row>
    <row r="510" spans="11:11" s="66" customFormat="1">
      <c r="K510" s="72"/>
    </row>
    <row r="511" spans="11:11" s="66" customFormat="1">
      <c r="K511" s="72"/>
    </row>
    <row r="512" spans="11:11" s="66" customFormat="1">
      <c r="K512" s="72"/>
    </row>
    <row r="513" spans="11:11" s="66" customFormat="1">
      <c r="K513" s="72"/>
    </row>
    <row r="514" spans="11:11" s="66" customFormat="1">
      <c r="K514" s="72"/>
    </row>
    <row r="515" spans="11:11" s="66" customFormat="1">
      <c r="K515" s="72"/>
    </row>
    <row r="516" spans="11:11" s="66" customFormat="1">
      <c r="K516" s="72"/>
    </row>
    <row r="517" spans="11:11" s="66" customFormat="1">
      <c r="K517" s="72"/>
    </row>
    <row r="518" spans="11:11" s="66" customFormat="1">
      <c r="K518" s="72"/>
    </row>
    <row r="519" spans="11:11" s="66" customFormat="1">
      <c r="K519" s="72"/>
    </row>
    <row r="520" spans="11:11" s="66" customFormat="1">
      <c r="K520" s="72"/>
    </row>
    <row r="521" spans="11:11" s="66" customFormat="1">
      <c r="K521" s="72"/>
    </row>
    <row r="522" spans="11:11" s="66" customFormat="1">
      <c r="K522" s="72"/>
    </row>
    <row r="523" spans="11:11" s="66" customFormat="1">
      <c r="K523" s="72"/>
    </row>
    <row r="524" spans="11:11" s="66" customFormat="1">
      <c r="K524" s="72"/>
    </row>
    <row r="525" spans="11:11" s="66" customFormat="1">
      <c r="K525" s="72"/>
    </row>
    <row r="526" spans="11:11" s="66" customFormat="1">
      <c r="K526" s="72"/>
    </row>
    <row r="527" spans="11:11" s="66" customFormat="1">
      <c r="K527" s="72"/>
    </row>
    <row r="528" spans="11:11" s="66" customFormat="1">
      <c r="K528" s="72"/>
    </row>
    <row r="529" spans="11:11" s="66" customFormat="1">
      <c r="K529" s="72"/>
    </row>
    <row r="530" spans="11:11" s="66" customFormat="1">
      <c r="K530" s="72"/>
    </row>
    <row r="531" spans="11:11" s="66" customFormat="1">
      <c r="K531" s="72"/>
    </row>
    <row r="532" spans="11:11" s="66" customFormat="1">
      <c r="K532" s="72"/>
    </row>
    <row r="533" spans="11:11" s="66" customFormat="1">
      <c r="K533" s="72"/>
    </row>
    <row r="534" spans="11:11" s="66" customFormat="1">
      <c r="K534" s="72"/>
    </row>
    <row r="535" spans="11:11" s="66" customFormat="1">
      <c r="K535" s="72"/>
    </row>
    <row r="536" spans="11:11" s="66" customFormat="1">
      <c r="K536" s="72"/>
    </row>
    <row r="537" spans="11:11" s="66" customFormat="1">
      <c r="K537" s="72"/>
    </row>
    <row r="538" spans="11:11" s="66" customFormat="1">
      <c r="K538" s="72"/>
    </row>
    <row r="539" spans="11:11" s="66" customFormat="1">
      <c r="K539" s="72"/>
    </row>
    <row r="540" spans="11:11" s="66" customFormat="1">
      <c r="K540" s="72"/>
    </row>
    <row r="541" spans="11:11" s="66" customFormat="1">
      <c r="K541" s="72"/>
    </row>
    <row r="542" spans="11:11" s="66" customFormat="1">
      <c r="K542" s="72"/>
    </row>
    <row r="543" spans="11:11" s="66" customFormat="1">
      <c r="K543" s="72"/>
    </row>
    <row r="544" spans="11:11" s="66" customFormat="1">
      <c r="K544" s="72"/>
    </row>
    <row r="545" spans="11:11" s="66" customFormat="1">
      <c r="K545" s="72"/>
    </row>
    <row r="546" spans="11:11" s="66" customFormat="1">
      <c r="K546" s="72"/>
    </row>
    <row r="547" spans="11:11" s="66" customFormat="1">
      <c r="K547" s="72"/>
    </row>
    <row r="548" spans="11:11" s="66" customFormat="1">
      <c r="K548" s="72"/>
    </row>
    <row r="549" spans="11:11" s="66" customFormat="1">
      <c r="K549" s="72"/>
    </row>
    <row r="550" spans="11:11" s="66" customFormat="1">
      <c r="K550" s="72"/>
    </row>
    <row r="551" spans="11:11" s="66" customFormat="1">
      <c r="K551" s="72"/>
    </row>
    <row r="552" spans="11:11" s="66" customFormat="1">
      <c r="K552" s="72"/>
    </row>
    <row r="553" spans="11:11" s="66" customFormat="1">
      <c r="K553" s="72"/>
    </row>
    <row r="554" spans="11:11" s="66" customFormat="1">
      <c r="K554" s="72"/>
    </row>
    <row r="555" spans="11:11" s="66" customFormat="1">
      <c r="K555" s="72"/>
    </row>
    <row r="556" spans="11:11" s="66" customFormat="1">
      <c r="K556" s="72"/>
    </row>
    <row r="557" spans="11:11" s="66" customFormat="1">
      <c r="K557" s="72"/>
    </row>
    <row r="558" spans="11:11" s="66" customFormat="1">
      <c r="K558" s="72"/>
    </row>
  </sheetData>
  <sheetProtection algorithmName="SHA-512" hashValue="xpySlLs3l0A8RHH+qmL/lwprvmEAsoynlGowMDf5wGDig2XsL7yGA2LrwI7cCQmP6Kh9rpqrqsQGFPovk9w/Aw==" saltValue="pFjsd7zqsYl3sa370vRLNg==" spinCount="100000" sheet="1" selectLockedCells="1"/>
  <protectedRanges>
    <protectedRange sqref="E9 E11 E13 E15 E17 E19 E21 E23 E25 E30 E32 E34 E36 E38 E40 E42 E44 E46 E50" name="Rango1"/>
  </protectedRanges>
  <mergeCells count="13">
    <mergeCell ref="K6:L6"/>
    <mergeCell ref="E9:H9"/>
    <mergeCell ref="E30:G30"/>
    <mergeCell ref="E42:G42"/>
    <mergeCell ref="L7:L9"/>
    <mergeCell ref="L42:L44"/>
    <mergeCell ref="K11:K15"/>
    <mergeCell ref="I47:K47"/>
    <mergeCell ref="E11:F11"/>
    <mergeCell ref="E19:F19"/>
    <mergeCell ref="E17:F17"/>
    <mergeCell ref="E15:F15"/>
    <mergeCell ref="E13:H13"/>
  </mergeCells>
  <phoneticPr fontId="6" type="noConversion"/>
  <dataValidations count="8">
    <dataValidation type="list" allowBlank="1" showInputMessage="1" showErrorMessage="1" sqref="E38">
      <formula1>"Centro,Levante,Noreste,Norte,Sur"</formula1>
    </dataValidation>
    <dataValidation type="list" allowBlank="1" showInputMessage="1" showErrorMessage="1" sqref="E23">
      <formula1>"Movistar,Vodafone,Yoigo,OMV"</formula1>
    </dataValidation>
    <dataValidation type="list" allowBlank="1" showInputMessage="1" showErrorMessage="1" sqref="E25">
      <formula1>"Movistar,Vodafone,Euskaltel,Telecable,R,Otro"</formula1>
    </dataValidation>
    <dataValidation type="textLength" operator="lessThanOrEqual" allowBlank="1" showInputMessage="1" showErrorMessage="1" errorTitle="Máximo de caracteres" error="Se ha fijado un máximo de 50 caracteres para este campo" sqref="E9:H9">
      <formula1>50</formula1>
    </dataValidation>
    <dataValidation type="textLength" operator="lessThanOrEqual" allowBlank="1" showInputMessage="1" showErrorMessage="1" errorTitle="Valor incorrecto" error="El texto introducido no se corresponde con un CIF válido" sqref="E11:F11">
      <formula1>11</formula1>
    </dataValidation>
    <dataValidation type="textLength" operator="lessThanOrEqual" allowBlank="1" showInputMessage="1" showErrorMessage="1" errorTitle="Máximo de caracteres" error="Se ha fijado un valor máximo de 60 caracteres para este campo" sqref="E13:H13">
      <formula1>60</formula1>
    </dataValidation>
    <dataValidation type="textLength" operator="lessThanOrEqual" allowBlank="1" showInputMessage="1" showErrorMessage="1" errorTitle="Máximo de caracteres" error="Se ha fijado un máximo de 30 caracteres para este campo" sqref="E15:F15">
      <formula1>30</formula1>
    </dataValidation>
    <dataValidation type="textLength" operator="lessThanOrEqual" allowBlank="1" showInputMessage="1" showErrorMessage="1" errorTitle="Máximo de caracteres" error="Se ha fijado un valor máximo de 20 caracteres para este campo" sqref="E17:F17">
      <formula1>20</formula1>
    </dataValidation>
  </dataValidations>
  <pageMargins left="0.75" right="0.75" top="1" bottom="1" header="0" footer="0"/>
  <pageSetup paperSize="9" scale="77" orientation="landscape" r:id="rId1"/>
  <headerFooter alignWithMargins="0"/>
  <rowBreaks count="1" manualBreakCount="1">
    <brk id="60" max="16383" man="1"/>
  </rowBreaks>
  <colBreaks count="1" manualBreakCount="1">
    <brk id="12"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indexed="11"/>
    <pageSetUpPr autoPageBreaks="0" fitToPage="1"/>
  </sheetPr>
  <dimension ref="A1:DM2004"/>
  <sheetViews>
    <sheetView showGridLines="0" showRowColHeaders="0" showOutlineSymbols="0" zoomScale="77" zoomScaleNormal="77" workbookViewId="0">
      <selection activeCell="E48" sqref="E48"/>
    </sheetView>
  </sheetViews>
  <sheetFormatPr baseColWidth="10" defaultColWidth="11.42578125" defaultRowHeight="12.75"/>
  <cols>
    <col min="1" max="1" width="6.28515625" style="66" customWidth="1"/>
    <col min="2" max="2" width="8" style="10" customWidth="1"/>
    <col min="3" max="3" width="2" style="1" customWidth="1"/>
    <col min="4" max="4" width="39.85546875" style="1" customWidth="1"/>
    <col min="5" max="5" width="11.42578125" style="1"/>
    <col min="6" max="6" width="13.85546875" style="1" customWidth="1"/>
    <col min="7" max="7" width="12.140625" style="1" customWidth="1"/>
    <col min="8" max="8" width="7.28515625" style="1" customWidth="1"/>
    <col min="9" max="9" width="6.42578125" style="1" customWidth="1"/>
    <col min="10" max="10" width="6.85546875" style="1" customWidth="1"/>
    <col min="11" max="12" width="22.7109375" style="1" customWidth="1"/>
    <col min="13" max="13" width="4.28515625" style="1" customWidth="1"/>
    <col min="14" max="14" width="32.42578125" style="1" customWidth="1"/>
    <col min="15" max="15" width="14.5703125" style="1" customWidth="1"/>
    <col min="16" max="17" width="2.140625" style="1" customWidth="1"/>
    <col min="18" max="18" width="9.7109375" style="1" customWidth="1"/>
    <col min="19" max="19" width="8.28515625" style="1" customWidth="1"/>
    <col min="20" max="20" width="12.28515625" style="66" customWidth="1"/>
    <col min="21" max="21" width="5.7109375" style="66" customWidth="1"/>
    <col min="22" max="22" width="20.5703125" style="66" customWidth="1"/>
    <col min="23" max="23" width="6.5703125" style="66" customWidth="1"/>
    <col min="24" max="24" width="15.28515625" style="66" customWidth="1"/>
    <col min="25" max="26" width="11.42578125" style="66"/>
    <col min="27" max="27" width="3.42578125" style="66" customWidth="1"/>
    <col min="28" max="28" width="18.7109375" style="66" customWidth="1"/>
    <col min="29" max="29" width="11.42578125" style="66"/>
    <col min="30" max="31" width="13.42578125" style="66" customWidth="1"/>
    <col min="32" max="32" width="13.5703125" style="66" customWidth="1"/>
    <col min="33" max="33" width="15.140625" style="66" customWidth="1"/>
    <col min="34" max="117" width="11.42578125" style="66"/>
    <col min="118" max="16384" width="11.42578125" style="47"/>
  </cols>
  <sheetData>
    <row r="1" spans="1:117" s="66" customFormat="1" ht="15.75" customHeight="1" thickBot="1"/>
    <row r="2" spans="1:117" ht="33" customHeight="1">
      <c r="B2" s="209"/>
      <c r="C2" s="210"/>
      <c r="D2" s="210"/>
      <c r="E2" s="210"/>
      <c r="F2" s="210"/>
      <c r="G2" s="210"/>
      <c r="H2" s="210"/>
      <c r="I2" s="211"/>
      <c r="J2" s="211"/>
      <c r="K2" s="211"/>
      <c r="L2" s="211"/>
      <c r="M2" s="211"/>
      <c r="N2" s="210"/>
      <c r="O2" s="210"/>
      <c r="P2" s="210"/>
      <c r="Q2" s="210"/>
      <c r="R2" s="210"/>
      <c r="S2" s="212"/>
      <c r="T2" s="73"/>
      <c r="U2" s="73"/>
      <c r="V2" s="73"/>
    </row>
    <row r="3" spans="1:117" ht="33" customHeight="1">
      <c r="B3" s="213"/>
      <c r="C3" s="46"/>
      <c r="D3" s="46"/>
      <c r="E3" s="46"/>
      <c r="F3" s="46"/>
      <c r="G3" s="46"/>
      <c r="H3" s="59" t="str">
        <f>'Seleccion de oferta'!K50</f>
        <v>SIN límites 9.0</v>
      </c>
      <c r="I3" s="49"/>
      <c r="J3" s="49"/>
      <c r="K3" s="49"/>
      <c r="L3" s="49"/>
      <c r="M3" s="49"/>
      <c r="N3" s="46"/>
      <c r="O3" s="46"/>
      <c r="P3" s="46"/>
      <c r="Q3" s="46"/>
      <c r="R3" s="46"/>
      <c r="S3" s="214"/>
      <c r="T3" s="73"/>
      <c r="U3" s="73"/>
      <c r="V3" s="73"/>
    </row>
    <row r="4" spans="1:117" ht="33" customHeight="1" thickBot="1">
      <c r="B4" s="213"/>
      <c r="C4" s="46"/>
      <c r="D4" s="46"/>
      <c r="E4" s="46"/>
      <c r="F4" s="46"/>
      <c r="G4" s="46"/>
      <c r="H4" s="46"/>
      <c r="I4" s="49"/>
      <c r="J4" s="49"/>
      <c r="K4" s="49"/>
      <c r="L4" s="49"/>
      <c r="M4" s="49"/>
      <c r="N4" s="46"/>
      <c r="O4" s="46"/>
      <c r="P4" s="46"/>
      <c r="Q4" s="46"/>
      <c r="R4" s="46"/>
      <c r="S4" s="214"/>
      <c r="T4" s="73"/>
      <c r="U4" s="73"/>
      <c r="V4" s="73"/>
    </row>
    <row r="5" spans="1:117" ht="33" customHeight="1" thickBot="1">
      <c r="B5" s="213"/>
      <c r="C5" s="2068" t="s">
        <v>1008</v>
      </c>
      <c r="D5" s="2069"/>
      <c r="E5" s="2069"/>
      <c r="F5" s="2069"/>
      <c r="G5" s="2069"/>
      <c r="H5" s="2069"/>
      <c r="I5" s="2069"/>
      <c r="J5" s="2069"/>
      <c r="K5" s="2069"/>
      <c r="L5" s="2069"/>
      <c r="M5" s="2069"/>
      <c r="N5" s="2069"/>
      <c r="O5" s="2069"/>
      <c r="P5" s="2069"/>
      <c r="Q5" s="2069"/>
      <c r="R5" s="2070"/>
      <c r="S5" s="214"/>
      <c r="T5" s="73"/>
      <c r="U5" s="73"/>
      <c r="V5" s="73"/>
    </row>
    <row r="6" spans="1:117" s="48" customFormat="1" ht="8.25" customHeight="1">
      <c r="A6" s="73"/>
      <c r="B6" s="215"/>
      <c r="C6" s="998"/>
      <c r="D6" s="998"/>
      <c r="E6" s="998"/>
      <c r="F6" s="998"/>
      <c r="G6" s="998"/>
      <c r="H6" s="998"/>
      <c r="I6" s="998"/>
      <c r="J6" s="998"/>
      <c r="K6" s="998"/>
      <c r="L6" s="998"/>
      <c r="M6" s="998"/>
      <c r="N6" s="998"/>
      <c r="O6" s="998"/>
      <c r="P6" s="998"/>
      <c r="Q6" s="998"/>
      <c r="R6" s="998"/>
      <c r="S6" s="216"/>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c r="DI6" s="73"/>
      <c r="DJ6" s="73"/>
      <c r="DK6" s="73"/>
      <c r="DL6" s="73"/>
      <c r="DM6" s="73"/>
    </row>
    <row r="7" spans="1:117" s="48" customFormat="1" ht="54.75" customHeight="1">
      <c r="A7" s="73"/>
      <c r="B7" s="215"/>
      <c r="C7" s="2091" t="s">
        <v>2025</v>
      </c>
      <c r="D7" s="2092"/>
      <c r="E7" s="2092"/>
      <c r="F7" s="2092"/>
      <c r="G7" s="2092"/>
      <c r="H7" s="2092"/>
      <c r="I7" s="2092"/>
      <c r="J7" s="2092"/>
      <c r="K7" s="2092"/>
      <c r="L7" s="2092"/>
      <c r="M7" s="2092"/>
      <c r="N7" s="2092"/>
      <c r="O7" s="2092"/>
      <c r="P7" s="2092"/>
      <c r="Q7" s="2092"/>
      <c r="R7" s="2093"/>
      <c r="S7" s="216"/>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c r="DI7" s="73"/>
      <c r="DJ7" s="73"/>
      <c r="DK7" s="73"/>
      <c r="DL7" s="73"/>
      <c r="DM7" s="73"/>
    </row>
    <row r="8" spans="1:117" s="48" customFormat="1" hidden="1">
      <c r="A8" s="73"/>
      <c r="B8" s="215"/>
      <c r="C8" s="999" t="s">
        <v>192</v>
      </c>
      <c r="D8" s="999"/>
      <c r="E8" s="1000"/>
      <c r="F8" s="867"/>
      <c r="G8" s="867"/>
      <c r="H8" s="867"/>
      <c r="I8" s="998"/>
      <c r="J8" s="998"/>
      <c r="K8" s="998"/>
      <c r="L8" s="998"/>
      <c r="M8" s="998"/>
      <c r="N8" s="998"/>
      <c r="O8" s="867"/>
      <c r="P8" s="998"/>
      <c r="Q8" s="998"/>
      <c r="R8" s="998"/>
      <c r="S8" s="216"/>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c r="DI8" s="73"/>
      <c r="DJ8" s="73"/>
      <c r="DK8" s="73"/>
      <c r="DL8" s="73"/>
      <c r="DM8" s="73"/>
    </row>
    <row r="9" spans="1:117" s="48" customFormat="1" ht="6.75" hidden="1" customHeight="1">
      <c r="A9" s="73"/>
      <c r="B9" s="215"/>
      <c r="C9" s="998"/>
      <c r="D9" s="998"/>
      <c r="E9" s="998"/>
      <c r="F9" s="998"/>
      <c r="G9" s="998"/>
      <c r="H9" s="998"/>
      <c r="I9" s="998"/>
      <c r="J9" s="998"/>
      <c r="K9" s="867"/>
      <c r="L9" s="867"/>
      <c r="M9" s="867"/>
      <c r="N9" s="998"/>
      <c r="O9" s="998"/>
      <c r="P9" s="998"/>
      <c r="Q9" s="998"/>
      <c r="R9" s="998"/>
      <c r="S9" s="216"/>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c r="DI9" s="73"/>
      <c r="DJ9" s="73"/>
      <c r="DK9" s="73"/>
      <c r="DL9" s="73"/>
      <c r="DM9" s="73"/>
    </row>
    <row r="10" spans="1:117" s="48" customFormat="1" hidden="1">
      <c r="A10" s="73"/>
      <c r="B10" s="215"/>
      <c r="C10" s="1001" t="s">
        <v>193</v>
      </c>
      <c r="D10" s="1001"/>
      <c r="E10" s="998" t="s">
        <v>211</v>
      </c>
      <c r="F10" s="998"/>
      <c r="G10" s="998"/>
      <c r="H10" s="998"/>
      <c r="I10" s="998"/>
      <c r="J10" s="2072" t="s">
        <v>63</v>
      </c>
      <c r="K10" s="2072"/>
      <c r="L10" s="998"/>
      <c r="M10" s="998"/>
      <c r="N10" s="1000"/>
      <c r="O10" s="998"/>
      <c r="P10" s="998"/>
      <c r="Q10" s="998"/>
      <c r="R10" s="867"/>
      <c r="S10" s="216"/>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row>
    <row r="11" spans="1:117" s="48" customFormat="1" ht="4.5" hidden="1" customHeight="1">
      <c r="A11" s="73"/>
      <c r="B11" s="215"/>
      <c r="C11" s="867"/>
      <c r="D11" s="867"/>
      <c r="E11" s="1002"/>
      <c r="F11" s="867"/>
      <c r="G11" s="867"/>
      <c r="H11" s="867"/>
      <c r="I11" s="867"/>
      <c r="J11" s="867"/>
      <c r="K11" s="867"/>
      <c r="L11" s="867"/>
      <c r="M11" s="867"/>
      <c r="N11" s="867"/>
      <c r="O11" s="867"/>
      <c r="P11" s="867"/>
      <c r="Q11" s="867"/>
      <c r="R11" s="867"/>
      <c r="S11" s="216"/>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row>
    <row r="12" spans="1:117" s="48" customFormat="1" hidden="1">
      <c r="A12" s="73"/>
      <c r="B12" s="215"/>
      <c r="C12" s="867" t="s">
        <v>194</v>
      </c>
      <c r="D12" s="867"/>
      <c r="E12" s="1000"/>
      <c r="F12" s="867"/>
      <c r="G12" s="867"/>
      <c r="H12" s="1001"/>
      <c r="I12" s="1001"/>
      <c r="J12" s="2072" t="s">
        <v>64</v>
      </c>
      <c r="K12" s="2072"/>
      <c r="L12" s="998"/>
      <c r="M12" s="998"/>
      <c r="N12" s="1003"/>
      <c r="O12" s="867"/>
      <c r="P12" s="867"/>
      <c r="Q12" s="867"/>
      <c r="R12" s="867"/>
      <c r="S12" s="216"/>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c r="DI12" s="73"/>
      <c r="DJ12" s="73"/>
      <c r="DK12" s="73"/>
      <c r="DL12" s="73"/>
      <c r="DM12" s="73"/>
    </row>
    <row r="13" spans="1:117" s="48" customFormat="1" ht="4.5" hidden="1" customHeight="1">
      <c r="A13" s="73"/>
      <c r="B13" s="215"/>
      <c r="C13" s="867"/>
      <c r="D13" s="867"/>
      <c r="E13" s="1002"/>
      <c r="F13" s="867"/>
      <c r="G13" s="867"/>
      <c r="H13" s="867"/>
      <c r="I13" s="867"/>
      <c r="J13" s="867"/>
      <c r="K13" s="867"/>
      <c r="L13" s="867"/>
      <c r="M13" s="867"/>
      <c r="N13" s="867"/>
      <c r="O13" s="867"/>
      <c r="P13" s="867"/>
      <c r="Q13" s="867"/>
      <c r="R13" s="867"/>
      <c r="S13" s="216"/>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row>
    <row r="14" spans="1:117" s="48" customFormat="1" hidden="1">
      <c r="A14" s="73"/>
      <c r="B14" s="215"/>
      <c r="C14" s="1001" t="s">
        <v>255</v>
      </c>
      <c r="D14" s="1001"/>
      <c r="E14" s="998" t="s">
        <v>211</v>
      </c>
      <c r="F14" s="998"/>
      <c r="G14" s="998"/>
      <c r="H14" s="998"/>
      <c r="I14" s="998"/>
      <c r="J14" s="2072" t="s">
        <v>72</v>
      </c>
      <c r="K14" s="2072"/>
      <c r="L14" s="998"/>
      <c r="M14" s="998"/>
      <c r="N14" s="1004"/>
      <c r="O14" s="999" t="s">
        <v>73</v>
      </c>
      <c r="P14" s="998"/>
      <c r="Q14" s="998"/>
      <c r="R14" s="867"/>
      <c r="S14" s="216"/>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row>
    <row r="15" spans="1:117" s="48" customFormat="1" ht="6.75" hidden="1" customHeight="1">
      <c r="A15" s="73"/>
      <c r="B15" s="215"/>
      <c r="C15" s="867"/>
      <c r="D15" s="867"/>
      <c r="E15" s="1002"/>
      <c r="F15" s="867"/>
      <c r="G15" s="867"/>
      <c r="H15" s="867"/>
      <c r="I15" s="867"/>
      <c r="J15" s="867"/>
      <c r="K15" s="867"/>
      <c r="L15" s="867"/>
      <c r="M15" s="867"/>
      <c r="N15" s="867"/>
      <c r="O15" s="867"/>
      <c r="P15" s="867"/>
      <c r="Q15" s="867"/>
      <c r="R15" s="867"/>
      <c r="S15" s="216"/>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row>
    <row r="16" spans="1:117" s="48" customFormat="1" ht="13.5" hidden="1" customHeight="1">
      <c r="A16" s="73"/>
      <c r="B16" s="215"/>
      <c r="C16" s="867" t="s">
        <v>256</v>
      </c>
      <c r="D16" s="867"/>
      <c r="E16" s="1005"/>
      <c r="F16" s="867"/>
      <c r="G16" s="867"/>
      <c r="H16" s="867"/>
      <c r="I16" s="867"/>
      <c r="J16" s="867"/>
      <c r="K16" s="867"/>
      <c r="L16" s="867"/>
      <c r="M16" s="867"/>
      <c r="N16" s="867"/>
      <c r="O16" s="867"/>
      <c r="P16" s="867"/>
      <c r="Q16" s="867"/>
      <c r="R16" s="867"/>
      <c r="S16" s="216"/>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row>
    <row r="17" spans="1:117" s="48" customFormat="1" ht="4.5" hidden="1" customHeight="1">
      <c r="A17" s="73"/>
      <c r="B17" s="215"/>
      <c r="C17" s="867"/>
      <c r="D17" s="867"/>
      <c r="E17" s="1006"/>
      <c r="F17" s="867"/>
      <c r="G17" s="867"/>
      <c r="H17" s="867"/>
      <c r="I17" s="867"/>
      <c r="J17" s="867"/>
      <c r="K17" s="867"/>
      <c r="L17" s="867"/>
      <c r="M17" s="867"/>
      <c r="N17" s="867"/>
      <c r="O17" s="867"/>
      <c r="P17" s="867"/>
      <c r="Q17" s="867"/>
      <c r="R17" s="867"/>
      <c r="S17" s="216"/>
      <c r="T17" s="73"/>
      <c r="U17" s="73"/>
      <c r="V17" s="73"/>
      <c r="W17" s="73"/>
      <c r="X17" s="73"/>
      <c r="Y17" s="73"/>
      <c r="Z17" s="73"/>
      <c r="AA17" s="73"/>
      <c r="AB17" s="73"/>
      <c r="AC17" s="73"/>
      <c r="AD17" s="73"/>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3"/>
      <c r="DA17" s="73"/>
      <c r="DB17" s="73"/>
      <c r="DC17" s="73"/>
      <c r="DD17" s="73"/>
      <c r="DE17" s="73"/>
      <c r="DF17" s="73"/>
      <c r="DG17" s="73"/>
      <c r="DH17" s="73"/>
      <c r="DI17" s="73"/>
      <c r="DJ17" s="73"/>
      <c r="DK17" s="73"/>
      <c r="DL17" s="73"/>
      <c r="DM17" s="73"/>
    </row>
    <row r="18" spans="1:117" s="48" customFormat="1" hidden="1">
      <c r="A18" s="73"/>
      <c r="B18" s="215"/>
      <c r="C18" s="867" t="s">
        <v>254</v>
      </c>
      <c r="D18" s="867"/>
      <c r="E18" s="1004"/>
      <c r="F18" s="1001"/>
      <c r="G18" s="1001"/>
      <c r="H18" s="867"/>
      <c r="I18" s="867"/>
      <c r="J18" s="867"/>
      <c r="K18" s="867"/>
      <c r="L18" s="867"/>
      <c r="M18" s="867"/>
      <c r="N18" s="867"/>
      <c r="O18" s="867"/>
      <c r="P18" s="867"/>
      <c r="Q18" s="867"/>
      <c r="R18" s="867"/>
      <c r="S18" s="216"/>
      <c r="T18" s="73"/>
      <c r="U18" s="73"/>
      <c r="V18" s="73"/>
      <c r="W18" s="73"/>
      <c r="X18" s="73"/>
      <c r="Y18" s="73"/>
      <c r="Z18" s="73"/>
      <c r="AA18" s="73"/>
      <c r="AB18" s="73"/>
      <c r="AC18" s="73"/>
      <c r="AD18" s="73"/>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c r="BS18" s="73"/>
      <c r="BT18" s="73"/>
      <c r="BU18" s="73"/>
      <c r="BV18" s="73"/>
      <c r="BW18" s="73"/>
      <c r="BX18" s="73"/>
      <c r="BY18" s="73"/>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3"/>
      <c r="DA18" s="73"/>
      <c r="DB18" s="73"/>
      <c r="DC18" s="73"/>
      <c r="DD18" s="73"/>
      <c r="DE18" s="73"/>
      <c r="DF18" s="73"/>
      <c r="DG18" s="73"/>
      <c r="DH18" s="73"/>
      <c r="DI18" s="73"/>
      <c r="DJ18" s="73"/>
      <c r="DK18" s="73"/>
      <c r="DL18" s="73"/>
      <c r="DM18" s="73"/>
    </row>
    <row r="19" spans="1:117" s="48" customFormat="1" ht="4.5" hidden="1" customHeight="1">
      <c r="A19" s="73"/>
      <c r="B19" s="215"/>
      <c r="C19" s="867"/>
      <c r="D19" s="867"/>
      <c r="E19" s="1006"/>
      <c r="F19" s="867"/>
      <c r="G19" s="867"/>
      <c r="H19" s="867"/>
      <c r="I19" s="867"/>
      <c r="J19" s="867"/>
      <c r="K19" s="867"/>
      <c r="L19" s="867"/>
      <c r="M19" s="867"/>
      <c r="N19" s="867"/>
      <c r="O19" s="867"/>
      <c r="P19" s="867"/>
      <c r="Q19" s="867"/>
      <c r="R19" s="867"/>
      <c r="S19" s="216"/>
      <c r="T19" s="73"/>
      <c r="U19" s="73"/>
      <c r="V19" s="73"/>
      <c r="W19" s="73"/>
      <c r="X19" s="73"/>
      <c r="Y19" s="73"/>
      <c r="Z19" s="73"/>
      <c r="AA19" s="73"/>
      <c r="AB19" s="73"/>
      <c r="AC19" s="73"/>
      <c r="AD19" s="73"/>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W19" s="73"/>
      <c r="BX19" s="73"/>
      <c r="BY19" s="73"/>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3"/>
      <c r="DA19" s="73"/>
      <c r="DB19" s="73"/>
      <c r="DC19" s="73"/>
      <c r="DD19" s="73"/>
      <c r="DE19" s="73"/>
      <c r="DF19" s="73"/>
      <c r="DG19" s="73"/>
      <c r="DH19" s="73"/>
      <c r="DI19" s="73"/>
      <c r="DJ19" s="73"/>
      <c r="DK19" s="73"/>
      <c r="DL19" s="73"/>
      <c r="DM19" s="73"/>
    </row>
    <row r="20" spans="1:117" s="48" customFormat="1" hidden="1">
      <c r="A20" s="73"/>
      <c r="B20" s="215"/>
      <c r="C20" s="867" t="s">
        <v>257</v>
      </c>
      <c r="D20" s="867"/>
      <c r="E20" s="1005"/>
      <c r="F20" s="1001"/>
      <c r="G20" s="1001"/>
      <c r="H20" s="867"/>
      <c r="I20" s="867"/>
      <c r="J20" s="867"/>
      <c r="K20" s="867"/>
      <c r="L20" s="867"/>
      <c r="M20" s="867"/>
      <c r="N20" s="867"/>
      <c r="O20" s="867"/>
      <c r="P20" s="867"/>
      <c r="Q20" s="867"/>
      <c r="R20" s="867"/>
      <c r="S20" s="216"/>
      <c r="T20" s="73"/>
      <c r="U20" s="73"/>
      <c r="V20" s="73"/>
      <c r="W20" s="73"/>
      <c r="X20" s="73"/>
      <c r="Y20" s="73"/>
      <c r="Z20" s="73"/>
      <c r="AA20" s="73"/>
      <c r="AB20" s="73"/>
      <c r="AC20" s="73"/>
      <c r="AD20" s="73"/>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c r="BS20" s="73"/>
      <c r="BT20" s="73"/>
      <c r="BU20" s="73"/>
      <c r="BV20" s="73"/>
      <c r="BW20" s="73"/>
      <c r="BX20" s="73"/>
      <c r="BY20" s="73"/>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3"/>
      <c r="DA20" s="73"/>
      <c r="DB20" s="73"/>
      <c r="DC20" s="73"/>
      <c r="DD20" s="73"/>
      <c r="DE20" s="73"/>
      <c r="DF20" s="73"/>
      <c r="DG20" s="73"/>
      <c r="DH20" s="73"/>
      <c r="DI20" s="73"/>
      <c r="DJ20" s="73"/>
      <c r="DK20" s="73"/>
      <c r="DL20" s="73"/>
      <c r="DM20" s="73"/>
    </row>
    <row r="21" spans="1:117" s="48" customFormat="1" ht="4.5" hidden="1" customHeight="1">
      <c r="A21" s="73"/>
      <c r="B21" s="215"/>
      <c r="C21" s="867"/>
      <c r="D21" s="867"/>
      <c r="E21" s="1006"/>
      <c r="F21" s="867"/>
      <c r="G21" s="867"/>
      <c r="H21" s="867"/>
      <c r="I21" s="867"/>
      <c r="J21" s="867"/>
      <c r="K21" s="867"/>
      <c r="L21" s="867"/>
      <c r="M21" s="867"/>
      <c r="N21" s="867"/>
      <c r="O21" s="867"/>
      <c r="P21" s="867"/>
      <c r="Q21" s="867"/>
      <c r="R21" s="867"/>
      <c r="S21" s="216"/>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3"/>
      <c r="DA21" s="73"/>
      <c r="DB21" s="73"/>
      <c r="DC21" s="73"/>
      <c r="DD21" s="73"/>
      <c r="DE21" s="73"/>
      <c r="DF21" s="73"/>
      <c r="DG21" s="73"/>
      <c r="DH21" s="73"/>
      <c r="DI21" s="73"/>
      <c r="DJ21" s="73"/>
      <c r="DK21" s="73"/>
      <c r="DL21" s="73"/>
      <c r="DM21" s="73"/>
    </row>
    <row r="22" spans="1:117" s="48" customFormat="1" hidden="1">
      <c r="A22" s="73"/>
      <c r="B22" s="215"/>
      <c r="C22" s="867" t="s">
        <v>258</v>
      </c>
      <c r="D22" s="867"/>
      <c r="E22" s="1005"/>
      <c r="F22" s="1001"/>
      <c r="G22" s="1001"/>
      <c r="H22" s="867"/>
      <c r="I22" s="867"/>
      <c r="J22" s="867"/>
      <c r="K22" s="867"/>
      <c r="L22" s="867"/>
      <c r="M22" s="867"/>
      <c r="N22" s="867"/>
      <c r="O22" s="867"/>
      <c r="P22" s="867"/>
      <c r="Q22" s="867"/>
      <c r="R22" s="867"/>
      <c r="S22" s="216"/>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c r="DM22" s="73"/>
    </row>
    <row r="23" spans="1:117" s="48" customFormat="1" hidden="1">
      <c r="A23" s="73"/>
      <c r="B23" s="215"/>
      <c r="C23" s="867"/>
      <c r="D23" s="867"/>
      <c r="E23" s="867"/>
      <c r="F23" s="867"/>
      <c r="G23" s="867"/>
      <c r="H23" s="867"/>
      <c r="I23" s="867"/>
      <c r="J23" s="867"/>
      <c r="K23" s="867"/>
      <c r="L23" s="867"/>
      <c r="M23" s="867"/>
      <c r="N23" s="867"/>
      <c r="O23" s="867"/>
      <c r="P23" s="867"/>
      <c r="Q23" s="867"/>
      <c r="R23" s="867"/>
      <c r="S23" s="216"/>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c r="DM23" s="73"/>
    </row>
    <row r="24" spans="1:117" s="48" customFormat="1" ht="26.25" hidden="1" customHeight="1">
      <c r="A24" s="73"/>
      <c r="B24" s="215"/>
      <c r="C24" s="1001" t="s">
        <v>199</v>
      </c>
      <c r="D24" s="1001"/>
      <c r="E24" s="1001"/>
      <c r="F24" s="867"/>
      <c r="G24" s="867"/>
      <c r="H24" s="867"/>
      <c r="I24" s="1007" t="s">
        <v>250</v>
      </c>
      <c r="J24" s="1007" t="s">
        <v>251</v>
      </c>
      <c r="K24" s="1007" t="s">
        <v>252</v>
      </c>
      <c r="L24" s="1007"/>
      <c r="M24" s="1007"/>
      <c r="N24" s="1007" t="s">
        <v>253</v>
      </c>
      <c r="O24" s="998" t="s">
        <v>198</v>
      </c>
      <c r="P24" s="998"/>
      <c r="Q24" s="998" t="s">
        <v>195</v>
      </c>
      <c r="R24" s="998" t="s">
        <v>196</v>
      </c>
      <c r="S24" s="217" t="s">
        <v>197</v>
      </c>
      <c r="T24" s="189" t="s">
        <v>241</v>
      </c>
      <c r="U24" s="189"/>
      <c r="V24" s="2058" t="s">
        <v>275</v>
      </c>
      <c r="W24" s="2058"/>
      <c r="X24" s="2058"/>
      <c r="Y24" s="2058"/>
      <c r="Z24" s="2058"/>
      <c r="AA24" s="2058"/>
      <c r="AB24" s="2058"/>
      <c r="AC24" s="2058"/>
      <c r="AD24" s="2058"/>
      <c r="AE24" s="2058"/>
      <c r="AF24" s="2058"/>
      <c r="AG24" s="2058"/>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M24" s="73"/>
      <c r="CN24" s="73"/>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c r="DM24" s="73"/>
    </row>
    <row r="25" spans="1:117" s="48" customFormat="1" ht="11.25" hidden="1" customHeight="1">
      <c r="A25" s="73"/>
      <c r="B25" s="215"/>
      <c r="C25" s="1001"/>
      <c r="D25" s="1001"/>
      <c r="E25" s="1001"/>
      <c r="F25" s="1007"/>
      <c r="G25" s="998"/>
      <c r="H25" s="998"/>
      <c r="I25" s="1007"/>
      <c r="J25" s="1007"/>
      <c r="K25" s="1007"/>
      <c r="L25" s="1007"/>
      <c r="M25" s="1007"/>
      <c r="N25" s="1007"/>
      <c r="O25" s="998"/>
      <c r="P25" s="998"/>
      <c r="Q25" s="998"/>
      <c r="R25" s="998"/>
      <c r="S25" s="217"/>
      <c r="T25" s="189"/>
      <c r="U25" s="189"/>
      <c r="V25" s="190"/>
      <c r="W25" s="190"/>
      <c r="X25" s="190"/>
      <c r="Y25" s="190"/>
      <c r="Z25" s="190"/>
      <c r="AA25" s="190"/>
      <c r="AB25" s="190"/>
      <c r="AC25" s="190"/>
      <c r="AD25" s="190"/>
      <c r="AE25" s="190"/>
      <c r="AF25" s="190"/>
      <c r="AG25" s="190"/>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M25" s="73"/>
      <c r="CN25" s="73"/>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c r="DM25" s="73"/>
    </row>
    <row r="26" spans="1:117" s="48" customFormat="1" ht="14.25" hidden="1" customHeight="1">
      <c r="A26" s="73"/>
      <c r="B26" s="215"/>
      <c r="C26" s="999" t="s">
        <v>216</v>
      </c>
      <c r="D26" s="999"/>
      <c r="E26" s="1008"/>
      <c r="F26" s="1008"/>
      <c r="G26" s="1008"/>
      <c r="H26" s="1009"/>
      <c r="I26" s="1010"/>
      <c r="J26" s="1009"/>
      <c r="K26" s="1010"/>
      <c r="L26" s="1010"/>
      <c r="M26" s="1010"/>
      <c r="N26" s="1009"/>
      <c r="O26" s="867"/>
      <c r="P26" s="867"/>
      <c r="Q26" s="867"/>
      <c r="R26" s="1011"/>
      <c r="S26" s="218"/>
      <c r="T26" s="191"/>
      <c r="U26" s="189"/>
      <c r="V26" s="73"/>
      <c r="W26" s="73"/>
      <c r="X26" s="73"/>
      <c r="Y26" s="73"/>
      <c r="Z26" s="73"/>
      <c r="AA26" s="73"/>
      <c r="AB26" s="192" t="s">
        <v>265</v>
      </c>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73"/>
      <c r="CQ26" s="73"/>
      <c r="CR26" s="73"/>
      <c r="CS26" s="73"/>
      <c r="CT26" s="73"/>
      <c r="CU26" s="73"/>
      <c r="CV26" s="73"/>
      <c r="CW26" s="73"/>
      <c r="CX26" s="73"/>
      <c r="CY26" s="73"/>
      <c r="CZ26" s="73"/>
      <c r="DA26" s="73"/>
      <c r="DB26" s="73"/>
      <c r="DC26" s="73"/>
      <c r="DD26" s="73"/>
      <c r="DE26" s="73"/>
      <c r="DF26" s="73"/>
      <c r="DG26" s="73"/>
      <c r="DH26" s="73"/>
      <c r="DI26" s="73"/>
      <c r="DJ26" s="73"/>
      <c r="DK26" s="73"/>
      <c r="DL26" s="73"/>
      <c r="DM26" s="73"/>
    </row>
    <row r="27" spans="1:117" s="48" customFormat="1" ht="15" hidden="1" customHeight="1">
      <c r="A27" s="73"/>
      <c r="B27" s="215"/>
      <c r="C27" s="867"/>
      <c r="D27" s="867"/>
      <c r="E27" s="999"/>
      <c r="F27" s="1012"/>
      <c r="G27" s="1012"/>
      <c r="H27" s="1012"/>
      <c r="I27" s="1012"/>
      <c r="J27" s="1012"/>
      <c r="K27" s="1012"/>
      <c r="L27" s="1012"/>
      <c r="M27" s="1012"/>
      <c r="N27" s="1012"/>
      <c r="O27" s="1013"/>
      <c r="P27" s="867"/>
      <c r="Q27" s="867"/>
      <c r="R27" s="867"/>
      <c r="S27" s="216"/>
      <c r="T27" s="73"/>
      <c r="U27" s="73"/>
      <c r="V27" s="73"/>
      <c r="W27" s="73"/>
      <c r="X27" s="73"/>
      <c r="Y27" s="73"/>
      <c r="Z27" s="73"/>
      <c r="AA27" s="73"/>
      <c r="AB27" s="73"/>
      <c r="AC27" s="73"/>
      <c r="AD27" s="193" t="s">
        <v>262</v>
      </c>
      <c r="AE27" s="193" t="s">
        <v>263</v>
      </c>
      <c r="AF27" s="193" t="s">
        <v>264</v>
      </c>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CP27" s="73"/>
      <c r="CQ27" s="73"/>
      <c r="CR27" s="73"/>
      <c r="CS27" s="73"/>
      <c r="CT27" s="73"/>
      <c r="CU27" s="73"/>
      <c r="CV27" s="73"/>
      <c r="CW27" s="73"/>
      <c r="CX27" s="73"/>
      <c r="CY27" s="73"/>
      <c r="CZ27" s="73"/>
      <c r="DA27" s="73"/>
      <c r="DB27" s="73"/>
      <c r="DC27" s="73"/>
      <c r="DD27" s="73"/>
      <c r="DE27" s="73"/>
      <c r="DF27" s="73"/>
      <c r="DG27" s="73"/>
      <c r="DH27" s="73"/>
      <c r="DI27" s="73"/>
      <c r="DJ27" s="73"/>
      <c r="DK27" s="73"/>
      <c r="DL27" s="73"/>
      <c r="DM27" s="73"/>
    </row>
    <row r="28" spans="1:117" s="48" customFormat="1" hidden="1">
      <c r="A28" s="73"/>
      <c r="B28" s="215"/>
      <c r="C28" s="867"/>
      <c r="D28" s="1014" t="s">
        <v>200</v>
      </c>
      <c r="E28" s="1014"/>
      <c r="F28" s="1015" t="e">
        <f>(G28*ITL_roam!K57)</f>
        <v>#REF!</v>
      </c>
      <c r="G28" s="1016"/>
      <c r="H28" s="1017"/>
      <c r="I28" s="1018"/>
      <c r="J28" s="1019"/>
      <c r="K28" s="1018"/>
      <c r="L28" s="1018"/>
      <c r="M28" s="1018"/>
      <c r="N28" s="1019"/>
      <c r="O28" s="1009">
        <f>I28*(1-J28)+K28*(1-N28)</f>
        <v>0</v>
      </c>
      <c r="P28" s="867"/>
      <c r="Q28" s="1020">
        <f>IF($G$88=0,0,G28/$G$88)</f>
        <v>0</v>
      </c>
      <c r="R28" s="1020">
        <f>IF($H$88=0,0,H28/$H$88)</f>
        <v>0</v>
      </c>
      <c r="S28" s="219">
        <f>IF((SUM($O$28:$O$86)+$O$100)=0,0,O28/(SUM($O$28:$O$86)+$O$100))</f>
        <v>0</v>
      </c>
      <c r="T28" s="194">
        <f>IF(H28&gt;0,(O28/H28),0)</f>
        <v>0</v>
      </c>
      <c r="U28" s="195"/>
      <c r="V28" s="192" t="s">
        <v>270</v>
      </c>
      <c r="W28" s="73"/>
      <c r="X28" s="73"/>
      <c r="Y28" s="73"/>
      <c r="Z28" s="73"/>
      <c r="AA28" s="73"/>
      <c r="AB28" s="192" t="s">
        <v>309</v>
      </c>
      <c r="AC28" s="73"/>
      <c r="AD28" s="196"/>
      <c r="AE28" s="196"/>
      <c r="AF28" s="197"/>
      <c r="AG28" s="73"/>
      <c r="AH28" s="73"/>
      <c r="AI28" s="73"/>
      <c r="AJ28" s="73"/>
      <c r="AK28" s="73"/>
      <c r="AL28" s="73"/>
      <c r="AM28" s="73"/>
      <c r="AN28" s="73"/>
      <c r="AO28" s="73"/>
      <c r="AP28" s="73"/>
      <c r="AQ28" s="73"/>
      <c r="AR28" s="73"/>
      <c r="AS28" s="73"/>
      <c r="AT28" s="73"/>
      <c r="AU28" s="73"/>
      <c r="AV28" s="73"/>
      <c r="AW28" s="73"/>
      <c r="AX28" s="73"/>
      <c r="AY28" s="73"/>
      <c r="AZ28" s="73"/>
      <c r="BA28" s="73"/>
      <c r="BB28" s="73"/>
      <c r="BC28" s="73"/>
      <c r="BD28" s="73"/>
      <c r="BE28" s="73"/>
      <c r="BF28" s="73"/>
      <c r="BG28" s="73"/>
      <c r="BH28" s="73"/>
      <c r="BI28" s="73"/>
      <c r="BJ28" s="73"/>
      <c r="BK28" s="73"/>
      <c r="BL28" s="73"/>
      <c r="BM28" s="73"/>
      <c r="BN28" s="73"/>
      <c r="BO28" s="73"/>
      <c r="BP28" s="73"/>
      <c r="BQ28" s="73"/>
      <c r="BR28" s="73"/>
      <c r="BS28" s="73"/>
      <c r="BT28" s="73"/>
      <c r="BU28" s="73"/>
      <c r="BV28" s="73"/>
      <c r="BW28" s="73"/>
      <c r="BX28" s="73"/>
      <c r="BY28" s="73"/>
      <c r="BZ28" s="73"/>
      <c r="CA28" s="73"/>
      <c r="CB28" s="73"/>
      <c r="CC28" s="73"/>
      <c r="CD28" s="73"/>
      <c r="CE28" s="73"/>
      <c r="CF28" s="73"/>
      <c r="CG28" s="73"/>
      <c r="CH28" s="73"/>
      <c r="CI28" s="73"/>
      <c r="CJ28" s="73"/>
      <c r="CK28" s="73"/>
      <c r="CL28" s="73"/>
      <c r="CM28" s="73"/>
      <c r="CN28" s="73"/>
      <c r="CO28" s="73"/>
      <c r="CP28" s="73"/>
      <c r="CQ28" s="73"/>
      <c r="CR28" s="73"/>
      <c r="CS28" s="73"/>
      <c r="CT28" s="73"/>
      <c r="CU28" s="73"/>
      <c r="CV28" s="73"/>
      <c r="CW28" s="73"/>
      <c r="CX28" s="73"/>
      <c r="CY28" s="73"/>
      <c r="CZ28" s="73"/>
      <c r="DA28" s="73"/>
      <c r="DB28" s="73"/>
      <c r="DC28" s="73"/>
      <c r="DD28" s="73"/>
      <c r="DE28" s="73"/>
      <c r="DF28" s="73"/>
      <c r="DG28" s="73"/>
      <c r="DH28" s="73"/>
      <c r="DI28" s="73"/>
      <c r="DJ28" s="73"/>
      <c r="DK28" s="73"/>
      <c r="DL28" s="73"/>
      <c r="DM28" s="73"/>
    </row>
    <row r="29" spans="1:117" s="48" customFormat="1" hidden="1">
      <c r="A29" s="73"/>
      <c r="B29" s="215"/>
      <c r="C29" s="867"/>
      <c r="D29" s="1014" t="s">
        <v>140</v>
      </c>
      <c r="E29" s="1014"/>
      <c r="F29" s="1015" t="e">
        <f>(G29*ITL_roam!K58)</f>
        <v>#REF!</v>
      </c>
      <c r="G29" s="1016"/>
      <c r="H29" s="1017"/>
      <c r="I29" s="1018"/>
      <c r="J29" s="1019"/>
      <c r="K29" s="1018"/>
      <c r="L29" s="1018"/>
      <c r="M29" s="1018"/>
      <c r="N29" s="1019"/>
      <c r="O29" s="1009">
        <f>I29*(1-J29)+K29*(1-N29)</f>
        <v>0</v>
      </c>
      <c r="P29" s="867"/>
      <c r="Q29" s="1020">
        <f>IF($G$88=0,0,G29/$G$88)</f>
        <v>0</v>
      </c>
      <c r="R29" s="1020">
        <f>IF($H$88=0,0,H29/$H$88)</f>
        <v>0</v>
      </c>
      <c r="S29" s="219">
        <f>IF((SUM($O$28:$O$86)+$O$100)=0,0,O29/(SUM($O$28:$O$86)+$O$100))</f>
        <v>0</v>
      </c>
      <c r="T29" s="194">
        <f>IF(H29&gt;0,(O29/H29),0)</f>
        <v>0</v>
      </c>
      <c r="U29" s="195"/>
      <c r="V29" s="73"/>
      <c r="W29" s="73"/>
      <c r="X29" s="193" t="s">
        <v>262</v>
      </c>
      <c r="Y29" s="193" t="s">
        <v>263</v>
      </c>
      <c r="Z29" s="193" t="s">
        <v>264</v>
      </c>
      <c r="AA29" s="73"/>
      <c r="AB29" s="73" t="s">
        <v>261</v>
      </c>
      <c r="AC29" s="198">
        <v>0.23</v>
      </c>
      <c r="AD29" s="199">
        <f>AC29*AD$28</f>
        <v>0</v>
      </c>
      <c r="AE29" s="199">
        <f>$AE$28*AC29</f>
        <v>0</v>
      </c>
      <c r="AF29" s="200">
        <f>AC29*AF$28</f>
        <v>0</v>
      </c>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3"/>
      <c r="DA29" s="73"/>
      <c r="DB29" s="73"/>
      <c r="DC29" s="73"/>
      <c r="DD29" s="73"/>
      <c r="DE29" s="73"/>
      <c r="DF29" s="73"/>
      <c r="DG29" s="73"/>
      <c r="DH29" s="73"/>
      <c r="DI29" s="73"/>
      <c r="DJ29" s="73"/>
      <c r="DK29" s="73"/>
      <c r="DL29" s="73"/>
      <c r="DM29" s="73"/>
    </row>
    <row r="30" spans="1:117" s="48" customFormat="1" hidden="1">
      <c r="A30" s="73"/>
      <c r="B30" s="215"/>
      <c r="C30" s="867"/>
      <c r="D30" s="1014" t="s">
        <v>139</v>
      </c>
      <c r="E30" s="1014"/>
      <c r="F30" s="1015"/>
      <c r="G30" s="1015"/>
      <c r="H30" s="1015"/>
      <c r="I30" s="1009"/>
      <c r="J30" s="1010"/>
      <c r="K30" s="1009"/>
      <c r="L30" s="1009"/>
      <c r="M30" s="1009"/>
      <c r="N30" s="1010"/>
      <c r="O30" s="1009"/>
      <c r="P30" s="867"/>
      <c r="Q30" s="1020"/>
      <c r="R30" s="1020"/>
      <c r="S30" s="219"/>
      <c r="T30" s="194"/>
      <c r="U30" s="195"/>
      <c r="V30" s="192" t="s">
        <v>310</v>
      </c>
      <c r="W30" s="73"/>
      <c r="X30" s="196"/>
      <c r="Y30" s="196"/>
      <c r="Z30" s="197"/>
      <c r="AA30" s="73"/>
      <c r="AB30" s="73"/>
      <c r="AC30" s="73"/>
      <c r="AD30" s="199"/>
      <c r="AE30" s="199"/>
      <c r="AF30" s="200"/>
      <c r="AG30" s="73"/>
      <c r="AH30" s="73"/>
      <c r="AI30" s="73"/>
      <c r="AJ30" s="73"/>
      <c r="AK30" s="73"/>
      <c r="AL30" s="73"/>
      <c r="AM30" s="73"/>
      <c r="AN30" s="73"/>
      <c r="AO30" s="73"/>
      <c r="AP30" s="73"/>
      <c r="AQ30" s="73"/>
      <c r="AR30" s="73"/>
      <c r="AS30" s="73"/>
      <c r="AT30" s="73"/>
      <c r="AU30" s="73"/>
      <c r="AV30" s="73"/>
      <c r="AW30" s="73"/>
      <c r="AX30" s="73"/>
      <c r="AY30" s="73"/>
      <c r="AZ30" s="73"/>
      <c r="BA30" s="73"/>
      <c r="BB30" s="73"/>
      <c r="BC30" s="73"/>
      <c r="BD30" s="73"/>
      <c r="BE30" s="73"/>
      <c r="BF30" s="73"/>
      <c r="BG30" s="73"/>
      <c r="BH30" s="73"/>
      <c r="BI30" s="73"/>
      <c r="BJ30" s="73"/>
      <c r="BK30" s="73"/>
      <c r="BL30" s="73"/>
      <c r="BM30" s="73"/>
      <c r="BN30" s="73"/>
      <c r="BO30" s="73"/>
      <c r="BP30" s="73"/>
      <c r="BQ30" s="73"/>
      <c r="BR30" s="73"/>
      <c r="BS30" s="73"/>
      <c r="BT30" s="73"/>
      <c r="BU30" s="73"/>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3"/>
      <c r="DA30" s="73"/>
      <c r="DB30" s="73"/>
      <c r="DC30" s="73"/>
      <c r="DD30" s="73"/>
      <c r="DE30" s="73"/>
      <c r="DF30" s="73"/>
      <c r="DG30" s="73"/>
      <c r="DH30" s="73"/>
      <c r="DI30" s="73"/>
      <c r="DJ30" s="73"/>
      <c r="DK30" s="73"/>
      <c r="DL30" s="73"/>
      <c r="DM30" s="73"/>
    </row>
    <row r="31" spans="1:117" s="48" customFormat="1" hidden="1">
      <c r="A31" s="73"/>
      <c r="B31" s="215"/>
      <c r="C31" s="867"/>
      <c r="D31" s="1021" t="s">
        <v>155</v>
      </c>
      <c r="E31" s="1021"/>
      <c r="F31" s="1015" t="e">
        <f>(G31*ITL_roam!K59)</f>
        <v>#REF!</v>
      </c>
      <c r="G31" s="1016"/>
      <c r="H31" s="1017"/>
      <c r="I31" s="1018"/>
      <c r="J31" s="1019"/>
      <c r="K31" s="1018"/>
      <c r="L31" s="1018"/>
      <c r="M31" s="1018"/>
      <c r="N31" s="1019"/>
      <c r="O31" s="1009">
        <f>I31*(1-J31)+K31*(1-N31)</f>
        <v>0</v>
      </c>
      <c r="P31" s="867"/>
      <c r="Q31" s="1020">
        <f>IF($G$88=0,0,G31/$G$88)</f>
        <v>0</v>
      </c>
      <c r="R31" s="1020">
        <f>IF($H$88=0,0,H31/$H$88)</f>
        <v>0</v>
      </c>
      <c r="S31" s="219">
        <f>IF((SUM($O$28:$O$86)+$O$100)=0,0,O31/(SUM($O$28:$O$86)+$O$100))</f>
        <v>0</v>
      </c>
      <c r="T31" s="194">
        <f>IF(H31&gt;0,(O31/H31),0)</f>
        <v>0</v>
      </c>
      <c r="U31" s="195"/>
      <c r="V31" s="73" t="s">
        <v>142</v>
      </c>
      <c r="W31" s="201">
        <v>0.34</v>
      </c>
      <c r="X31" s="199">
        <f>W31*X$30</f>
        <v>0</v>
      </c>
      <c r="Y31" s="199">
        <f>W31*Y$30</f>
        <v>0</v>
      </c>
      <c r="Z31" s="200">
        <f>W31*Z$30</f>
        <v>0</v>
      </c>
      <c r="AA31" s="73"/>
      <c r="AB31" s="73" t="s">
        <v>142</v>
      </c>
      <c r="AC31" s="198">
        <v>0.32</v>
      </c>
      <c r="AD31" s="199">
        <f>AC31*AD$28</f>
        <v>0</v>
      </c>
      <c r="AE31" s="199">
        <f>$AE$28*AC31</f>
        <v>0</v>
      </c>
      <c r="AF31" s="200">
        <f>AC31*AF$28</f>
        <v>0</v>
      </c>
      <c r="AG31" s="73"/>
      <c r="AH31" s="73"/>
      <c r="AI31" s="73"/>
      <c r="AJ31" s="73"/>
      <c r="AK31" s="73"/>
      <c r="AL31" s="73"/>
      <c r="AM31" s="73"/>
      <c r="AN31" s="73"/>
      <c r="AO31" s="73"/>
      <c r="AP31" s="73"/>
      <c r="AQ31" s="73"/>
      <c r="AR31" s="73"/>
      <c r="AS31" s="73"/>
      <c r="AT31" s="73"/>
      <c r="AU31" s="73"/>
      <c r="AV31" s="73"/>
      <c r="AW31" s="73"/>
      <c r="AX31" s="73"/>
      <c r="AY31" s="73"/>
      <c r="AZ31" s="73"/>
      <c r="BA31" s="73"/>
      <c r="BB31" s="73"/>
      <c r="BC31" s="73"/>
      <c r="BD31" s="73"/>
      <c r="BE31" s="73"/>
      <c r="BF31" s="73"/>
      <c r="BG31" s="73"/>
      <c r="BH31" s="73"/>
      <c r="BI31" s="73"/>
      <c r="BJ31" s="73"/>
      <c r="BK31" s="73"/>
      <c r="BL31" s="73"/>
      <c r="BM31" s="73"/>
      <c r="BN31" s="73"/>
      <c r="BO31" s="73"/>
      <c r="BP31" s="73"/>
      <c r="BQ31" s="73"/>
      <c r="BR31" s="73"/>
      <c r="BS31" s="73"/>
      <c r="BT31" s="73"/>
      <c r="BU31" s="73"/>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3"/>
      <c r="DA31" s="73"/>
      <c r="DB31" s="73"/>
      <c r="DC31" s="73"/>
      <c r="DD31" s="73"/>
      <c r="DE31" s="73"/>
      <c r="DF31" s="73"/>
      <c r="DG31" s="73"/>
      <c r="DH31" s="73"/>
      <c r="DI31" s="73"/>
      <c r="DJ31" s="73"/>
      <c r="DK31" s="73"/>
      <c r="DL31" s="73"/>
      <c r="DM31" s="73"/>
    </row>
    <row r="32" spans="1:117" s="48" customFormat="1" hidden="1">
      <c r="A32" s="73"/>
      <c r="B32" s="215"/>
      <c r="C32" s="867"/>
      <c r="D32" s="1021" t="s">
        <v>156</v>
      </c>
      <c r="E32" s="1021"/>
      <c r="F32" s="1015" t="e">
        <f>(G32*ITL_roam!K61)</f>
        <v>#REF!</v>
      </c>
      <c r="G32" s="1016"/>
      <c r="H32" s="1017"/>
      <c r="I32" s="1018"/>
      <c r="J32" s="1019"/>
      <c r="K32" s="1018"/>
      <c r="L32" s="1018"/>
      <c r="M32" s="1018"/>
      <c r="N32" s="1019"/>
      <c r="O32" s="1009">
        <f>I32*(1-J32)+K32*(1-N32)</f>
        <v>0</v>
      </c>
      <c r="P32" s="867"/>
      <c r="Q32" s="1020">
        <f>IF($G$88=0,0,G32/$G$88)</f>
        <v>0</v>
      </c>
      <c r="R32" s="1020">
        <f>IF($H$88=0,0,H32/$H$88)</f>
        <v>0</v>
      </c>
      <c r="S32" s="219">
        <f>IF((SUM($O$28:$O$86)+$O$100)=0,0,O32/(SUM($O$28:$O$86)+$O$100))</f>
        <v>0</v>
      </c>
      <c r="T32" s="194">
        <f>IF(H32&gt;0,(O32/H32),0)</f>
        <v>0</v>
      </c>
      <c r="U32" s="195"/>
      <c r="V32" s="73" t="s">
        <v>148</v>
      </c>
      <c r="W32" s="73"/>
      <c r="X32" s="196"/>
      <c r="Y32" s="196"/>
      <c r="Z32" s="197"/>
      <c r="AA32" s="73"/>
      <c r="AB32" s="73" t="s">
        <v>148</v>
      </c>
      <c r="AC32" s="198">
        <v>0.44</v>
      </c>
      <c r="AD32" s="199">
        <f>AC32*AD$28</f>
        <v>0</v>
      </c>
      <c r="AE32" s="199">
        <f>$AE$28*AC32</f>
        <v>0</v>
      </c>
      <c r="AF32" s="200">
        <f>AC32*AF$28</f>
        <v>0</v>
      </c>
      <c r="AG32" s="73"/>
      <c r="AH32" s="73"/>
      <c r="AI32" s="73"/>
      <c r="AJ32" s="73"/>
      <c r="AK32" s="73"/>
      <c r="AL32" s="73"/>
      <c r="AM32" s="73"/>
      <c r="AN32" s="73"/>
      <c r="AO32" s="73"/>
      <c r="AP32" s="73"/>
      <c r="AQ32" s="73"/>
      <c r="AR32" s="73"/>
      <c r="AS32" s="73"/>
      <c r="AT32" s="73"/>
      <c r="AU32" s="73"/>
      <c r="AV32" s="73"/>
      <c r="AW32" s="73"/>
      <c r="AX32" s="73"/>
      <c r="AY32" s="73"/>
      <c r="AZ32" s="73"/>
      <c r="BA32" s="73"/>
      <c r="BB32" s="73"/>
      <c r="BC32" s="73"/>
      <c r="BD32" s="73"/>
      <c r="BE32" s="73"/>
      <c r="BF32" s="73"/>
      <c r="BG32" s="73"/>
      <c r="BH32" s="73"/>
      <c r="BI32" s="73"/>
      <c r="BJ32" s="73"/>
      <c r="BK32" s="73"/>
      <c r="BL32" s="73"/>
      <c r="BM32" s="73"/>
      <c r="BN32" s="73"/>
      <c r="BO32" s="73"/>
      <c r="BP32" s="73"/>
      <c r="BQ32" s="73"/>
      <c r="BR32" s="73"/>
      <c r="BS32" s="73"/>
      <c r="BT32" s="73"/>
      <c r="BU32" s="73"/>
      <c r="BV32" s="73"/>
      <c r="BW32" s="73"/>
      <c r="BX32" s="73"/>
      <c r="BY32" s="73"/>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3"/>
      <c r="DA32" s="73"/>
      <c r="DB32" s="73"/>
      <c r="DC32" s="73"/>
      <c r="DD32" s="73"/>
      <c r="DE32" s="73"/>
      <c r="DF32" s="73"/>
      <c r="DG32" s="73"/>
      <c r="DH32" s="73"/>
      <c r="DI32" s="73"/>
      <c r="DJ32" s="73"/>
      <c r="DK32" s="73"/>
      <c r="DL32" s="73"/>
      <c r="DM32" s="73"/>
    </row>
    <row r="33" spans="1:117" s="48" customFormat="1" hidden="1">
      <c r="A33" s="73"/>
      <c r="B33" s="215"/>
      <c r="C33" s="867"/>
      <c r="D33" s="1021" t="s">
        <v>157</v>
      </c>
      <c r="E33" s="1021"/>
      <c r="F33" s="1015" t="e">
        <f>(G33*ITL_roam!K60)</f>
        <v>#REF!</v>
      </c>
      <c r="G33" s="1016"/>
      <c r="H33" s="1017"/>
      <c r="I33" s="1018"/>
      <c r="J33" s="1019"/>
      <c r="K33" s="1018"/>
      <c r="L33" s="1018"/>
      <c r="M33" s="1018"/>
      <c r="N33" s="1019"/>
      <c r="O33" s="1009">
        <f>I33*(1-J33)+K33*(1-N33)</f>
        <v>0</v>
      </c>
      <c r="P33" s="867"/>
      <c r="Q33" s="1020">
        <f>IF($G$88=0,0,G33/$G$88)</f>
        <v>0</v>
      </c>
      <c r="R33" s="1020">
        <f>IF($H$88=0,0,H33/$H$88)</f>
        <v>0</v>
      </c>
      <c r="S33" s="219">
        <f>IF((SUM($O$28:$O$86)+$O$100)=0,0,O33/(SUM($O$28:$O$86)+$O$100))</f>
        <v>0</v>
      </c>
      <c r="T33" s="194">
        <f>IF(H33&gt;0,(O33/H33),0)</f>
        <v>0</v>
      </c>
      <c r="U33" s="195"/>
      <c r="V33" s="73" t="s">
        <v>149</v>
      </c>
      <c r="W33" s="201">
        <v>0.65</v>
      </c>
      <c r="X33" s="199">
        <f>W33*X$30</f>
        <v>0</v>
      </c>
      <c r="Y33" s="199">
        <f>W33*Y$30</f>
        <v>0</v>
      </c>
      <c r="Z33" s="200">
        <f>W33*Z$30</f>
        <v>0</v>
      </c>
      <c r="AA33" s="73"/>
      <c r="AB33" s="73" t="s">
        <v>149</v>
      </c>
      <c r="AC33" s="73"/>
      <c r="AD33" s="196"/>
      <c r="AE33" s="196"/>
      <c r="AF33" s="197"/>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3"/>
      <c r="CA33" s="73"/>
      <c r="CB33" s="73"/>
      <c r="CC33" s="73"/>
      <c r="CD33" s="73"/>
      <c r="CE33" s="73"/>
      <c r="CF33" s="73"/>
      <c r="CG33" s="73"/>
      <c r="CH33" s="73"/>
      <c r="CI33" s="73"/>
      <c r="CJ33" s="73"/>
      <c r="CK33" s="73"/>
      <c r="CL33" s="73"/>
      <c r="CM33" s="73"/>
      <c r="CN33" s="73"/>
      <c r="CO33" s="73"/>
      <c r="CP33" s="73"/>
      <c r="CQ33" s="73"/>
      <c r="CR33" s="73"/>
      <c r="CS33" s="73"/>
      <c r="CT33" s="73"/>
      <c r="CU33" s="73"/>
      <c r="CV33" s="73"/>
      <c r="CW33" s="73"/>
      <c r="CX33" s="73"/>
      <c r="CY33" s="73"/>
      <c r="CZ33" s="73"/>
      <c r="DA33" s="73"/>
      <c r="DB33" s="73"/>
      <c r="DC33" s="73"/>
      <c r="DD33" s="73"/>
      <c r="DE33" s="73"/>
      <c r="DF33" s="73"/>
      <c r="DG33" s="73"/>
      <c r="DH33" s="73"/>
      <c r="DI33" s="73"/>
      <c r="DJ33" s="73"/>
      <c r="DK33" s="73"/>
      <c r="DL33" s="73"/>
      <c r="DM33" s="73"/>
    </row>
    <row r="34" spans="1:117" s="48" customFormat="1" hidden="1">
      <c r="A34" s="73"/>
      <c r="B34" s="215"/>
      <c r="C34" s="867"/>
      <c r="D34" s="1022" t="s">
        <v>62</v>
      </c>
      <c r="E34" s="1022"/>
      <c r="F34" s="1015" t="e">
        <f>(G34*ITL_roam!K62)</f>
        <v>#REF!</v>
      </c>
      <c r="G34" s="1016"/>
      <c r="H34" s="1017"/>
      <c r="I34" s="1018"/>
      <c r="J34" s="1019"/>
      <c r="K34" s="1018"/>
      <c r="L34" s="1018"/>
      <c r="M34" s="1018"/>
      <c r="N34" s="1019"/>
      <c r="O34" s="1009">
        <f>I34*(1-J34)+K34*(1-N34)</f>
        <v>0</v>
      </c>
      <c r="P34" s="867"/>
      <c r="Q34" s="1020">
        <f>IF($G$88=0,0,G34/$G$88)</f>
        <v>0</v>
      </c>
      <c r="R34" s="1020">
        <f>IF($H$88=0,0,H34/$H$88)</f>
        <v>0</v>
      </c>
      <c r="S34" s="219">
        <f>IF((SUM($O$28:$O$86)+$O$100)=0,0,O34/(SUM($O$28:$O$86)+$O$100))</f>
        <v>0</v>
      </c>
      <c r="T34" s="194">
        <f>IF(H34&gt;0,(O34/H34),0)</f>
        <v>0</v>
      </c>
      <c r="U34" s="195"/>
      <c r="V34" s="73" t="s">
        <v>271</v>
      </c>
      <c r="W34" s="201">
        <v>0.01</v>
      </c>
      <c r="X34" s="202">
        <f>$W$34*X30</f>
        <v>0</v>
      </c>
      <c r="Y34" s="202">
        <f>$W$34*Y30</f>
        <v>0</v>
      </c>
      <c r="Z34" s="200">
        <f>$W$34*Z30</f>
        <v>0</v>
      </c>
      <c r="AA34" s="73"/>
      <c r="AB34" s="73" t="s">
        <v>271</v>
      </c>
      <c r="AC34" s="198">
        <v>0.01</v>
      </c>
      <c r="AD34" s="199">
        <f>AC34*AD$28</f>
        <v>0</v>
      </c>
      <c r="AE34" s="199">
        <f>$AE$28*AC34</f>
        <v>0</v>
      </c>
      <c r="AF34" s="200">
        <f>AC34*AF$28</f>
        <v>0</v>
      </c>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3"/>
      <c r="CA34" s="73"/>
      <c r="CB34" s="73"/>
      <c r="CC34" s="73"/>
      <c r="CD34" s="73"/>
      <c r="CE34" s="73"/>
      <c r="CF34" s="73"/>
      <c r="CG34" s="73"/>
      <c r="CH34" s="73"/>
      <c r="CI34" s="73"/>
      <c r="CJ34" s="73"/>
      <c r="CK34" s="73"/>
      <c r="CL34" s="73"/>
      <c r="CM34" s="73"/>
      <c r="CN34" s="73"/>
      <c r="CO34" s="73"/>
      <c r="CP34" s="73"/>
      <c r="CQ34" s="73"/>
      <c r="CR34" s="73"/>
      <c r="CS34" s="73"/>
      <c r="CT34" s="73"/>
      <c r="CU34" s="73"/>
      <c r="CV34" s="73"/>
      <c r="CW34" s="73"/>
      <c r="CX34" s="73"/>
      <c r="CY34" s="73"/>
      <c r="CZ34" s="73"/>
      <c r="DA34" s="73"/>
      <c r="DB34" s="73"/>
      <c r="DC34" s="73"/>
      <c r="DD34" s="73"/>
      <c r="DE34" s="73"/>
      <c r="DF34" s="73"/>
      <c r="DG34" s="73"/>
      <c r="DH34" s="73"/>
      <c r="DI34" s="73"/>
      <c r="DJ34" s="73"/>
      <c r="DK34" s="73"/>
      <c r="DL34" s="73"/>
      <c r="DM34" s="73"/>
    </row>
    <row r="35" spans="1:117" s="48" customFormat="1" hidden="1">
      <c r="A35" s="73"/>
      <c r="B35" s="215"/>
      <c r="C35" s="867"/>
      <c r="D35" s="1014" t="s">
        <v>231</v>
      </c>
      <c r="E35" s="1014"/>
      <c r="F35" s="1015" t="e">
        <f>(G35*ITL_roam!K65)</f>
        <v>#REF!</v>
      </c>
      <c r="G35" s="1016"/>
      <c r="H35" s="1017"/>
      <c r="I35" s="1018"/>
      <c r="J35" s="1019"/>
      <c r="K35" s="1018"/>
      <c r="L35" s="1018"/>
      <c r="M35" s="1018"/>
      <c r="N35" s="1019"/>
      <c r="O35" s="1009">
        <f>I35*(1-J35)+K35*(1-N35)</f>
        <v>0</v>
      </c>
      <c r="P35" s="867"/>
      <c r="Q35" s="1020">
        <f>IF($G$88=0,0,G35/$G$88)</f>
        <v>0</v>
      </c>
      <c r="R35" s="1020">
        <f>IF($H$88=0,0,H35/$H$88)</f>
        <v>0</v>
      </c>
      <c r="S35" s="219">
        <f>IF((SUM($O$28:$O$86)+$O$100)=0,0,O35/(SUM($O$28:$O$86)+$O$100))</f>
        <v>0</v>
      </c>
      <c r="T35" s="194">
        <f>IF(H35&gt;0,(O35/H35),0)</f>
        <v>0</v>
      </c>
      <c r="U35" s="195"/>
      <c r="V35" s="73"/>
      <c r="W35" s="201"/>
      <c r="X35" s="202"/>
      <c r="Y35" s="202"/>
      <c r="Z35" s="200"/>
      <c r="AA35" s="73"/>
      <c r="AB35" s="73"/>
      <c r="AC35" s="198"/>
      <c r="AD35" s="199"/>
      <c r="AE35" s="199"/>
      <c r="AF35" s="199"/>
      <c r="AG35" s="200"/>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3"/>
      <c r="CA35" s="73"/>
      <c r="CB35" s="73"/>
      <c r="CC35" s="73"/>
      <c r="CD35" s="73"/>
      <c r="CE35" s="73"/>
      <c r="CF35" s="73"/>
      <c r="CG35" s="73"/>
      <c r="CH35" s="73"/>
      <c r="CI35" s="73"/>
      <c r="CJ35" s="73"/>
      <c r="CK35" s="73"/>
      <c r="CL35" s="73"/>
      <c r="CM35" s="73"/>
      <c r="CN35" s="73"/>
      <c r="CO35" s="73"/>
      <c r="CP35" s="73"/>
      <c r="CQ35" s="73"/>
      <c r="CR35" s="73"/>
      <c r="CS35" s="73"/>
      <c r="CT35" s="73"/>
      <c r="CU35" s="73"/>
      <c r="CV35" s="73"/>
      <c r="CW35" s="73"/>
      <c r="CX35" s="73"/>
      <c r="CY35" s="73"/>
      <c r="CZ35" s="73"/>
      <c r="DA35" s="73"/>
      <c r="DB35" s="73"/>
      <c r="DC35" s="73"/>
      <c r="DD35" s="73"/>
      <c r="DE35" s="73"/>
      <c r="DF35" s="73"/>
      <c r="DG35" s="73"/>
      <c r="DH35" s="73"/>
      <c r="DI35" s="73"/>
      <c r="DJ35" s="73"/>
      <c r="DK35" s="73"/>
      <c r="DL35" s="73"/>
      <c r="DM35" s="73"/>
    </row>
    <row r="36" spans="1:117" ht="6" hidden="1" customHeight="1">
      <c r="B36" s="213"/>
      <c r="C36" s="967"/>
      <c r="D36" s="974"/>
      <c r="E36" s="974"/>
      <c r="F36" s="964"/>
      <c r="G36" s="964"/>
      <c r="H36" s="1008"/>
      <c r="I36" s="1009"/>
      <c r="J36" s="1010"/>
      <c r="K36" s="1009"/>
      <c r="L36" s="1009"/>
      <c r="M36" s="1009"/>
      <c r="N36" s="1010"/>
      <c r="O36" s="1009"/>
      <c r="P36" s="867"/>
      <c r="Q36" s="1020"/>
      <c r="R36" s="1020"/>
      <c r="S36" s="220"/>
      <c r="T36" s="194"/>
      <c r="U36" s="195"/>
    </row>
    <row r="37" spans="1:117" ht="10.5" customHeight="1">
      <c r="B37" s="213"/>
      <c r="C37" s="967"/>
      <c r="D37" s="967"/>
      <c r="E37" s="967"/>
      <c r="F37" s="964"/>
      <c r="G37" s="964"/>
      <c r="H37" s="1008"/>
      <c r="I37" s="1009"/>
      <c r="J37" s="1010"/>
      <c r="K37" s="1009"/>
      <c r="L37" s="1009"/>
      <c r="M37" s="1009"/>
      <c r="N37" s="1010"/>
      <c r="O37" s="1009"/>
      <c r="P37" s="867"/>
      <c r="Q37" s="867"/>
      <c r="R37" s="867"/>
      <c r="S37" s="220"/>
      <c r="T37" s="194"/>
      <c r="U37" s="195"/>
    </row>
    <row r="38" spans="1:117" ht="10.5" customHeight="1">
      <c r="B38" s="213"/>
      <c r="C38" s="967"/>
      <c r="D38" s="967"/>
      <c r="E38" s="967"/>
      <c r="F38" s="964"/>
      <c r="G38" s="964"/>
      <c r="H38" s="1008"/>
      <c r="I38" s="1009"/>
      <c r="J38" s="1010"/>
      <c r="K38" s="1009"/>
      <c r="L38" s="1009"/>
      <c r="M38" s="1009"/>
      <c r="N38" s="1010"/>
      <c r="O38" s="1009"/>
      <c r="P38" s="867"/>
      <c r="Q38" s="867"/>
      <c r="R38" s="867"/>
      <c r="S38" s="220"/>
      <c r="T38" s="194"/>
      <c r="U38" s="195"/>
    </row>
    <row r="39" spans="1:117" ht="10.5" customHeight="1" thickBot="1">
      <c r="B39" s="213"/>
      <c r="C39" s="967"/>
      <c r="D39" s="967"/>
      <c r="E39" s="967"/>
      <c r="F39" s="964"/>
      <c r="G39" s="964"/>
      <c r="H39" s="1008"/>
      <c r="I39" s="1009"/>
      <c r="J39" s="1010"/>
      <c r="K39" s="1009"/>
      <c r="L39" s="1009"/>
      <c r="M39" s="1009"/>
      <c r="N39" s="1010"/>
      <c r="O39" s="1009"/>
      <c r="P39" s="867"/>
      <c r="Q39" s="867"/>
      <c r="R39" s="867"/>
      <c r="S39" s="220"/>
      <c r="T39" s="194"/>
      <c r="U39" s="195"/>
    </row>
    <row r="40" spans="1:117" ht="18" customHeight="1" thickBot="1">
      <c r="B40" s="213"/>
      <c r="C40" s="2079" t="s">
        <v>894</v>
      </c>
      <c r="D40" s="2080"/>
      <c r="E40" s="2080"/>
      <c r="F40" s="2080"/>
      <c r="G40" s="2081"/>
      <c r="H40" s="1008"/>
      <c r="I40" s="1009"/>
      <c r="J40" s="2079" t="s">
        <v>895</v>
      </c>
      <c r="K40" s="2080"/>
      <c r="L40" s="2080"/>
      <c r="M40" s="2080"/>
      <c r="N40" s="2080"/>
      <c r="O40" s="2080"/>
      <c r="P40" s="2080"/>
      <c r="Q40" s="2080"/>
      <c r="R40" s="2081"/>
      <c r="S40" s="220"/>
      <c r="T40" s="194"/>
      <c r="U40" s="195"/>
    </row>
    <row r="41" spans="1:117" ht="10.15" customHeight="1">
      <c r="B41" s="213"/>
      <c r="C41" s="967"/>
      <c r="D41" s="967"/>
      <c r="E41" s="967"/>
      <c r="F41" s="964"/>
      <c r="G41" s="964"/>
      <c r="H41" s="1008"/>
      <c r="I41" s="1009"/>
      <c r="J41" s="1010"/>
      <c r="K41" s="1009"/>
      <c r="L41" s="1009"/>
      <c r="M41" s="1009"/>
      <c r="N41" s="1010"/>
      <c r="O41" s="1009"/>
      <c r="P41" s="867"/>
      <c r="Q41" s="867"/>
      <c r="R41" s="867"/>
      <c r="S41" s="220"/>
      <c r="T41" s="194"/>
      <c r="U41" s="195"/>
    </row>
    <row r="42" spans="1:117" ht="10.15" customHeight="1">
      <c r="B42" s="213"/>
      <c r="C42" s="2096" t="s">
        <v>950</v>
      </c>
      <c r="D42" s="2097"/>
      <c r="E42" s="2097"/>
      <c r="F42" s="2097"/>
      <c r="G42" s="2098"/>
      <c r="H42" s="1008"/>
      <c r="I42" s="1009"/>
      <c r="J42" s="2102" t="s">
        <v>951</v>
      </c>
      <c r="K42" s="2102"/>
      <c r="L42" s="2102"/>
      <c r="M42" s="2102"/>
      <c r="N42" s="2102"/>
      <c r="O42" s="2102"/>
      <c r="P42" s="2102"/>
      <c r="Q42" s="2102"/>
      <c r="R42" s="2102"/>
      <c r="S42" s="220"/>
      <c r="T42" s="194"/>
      <c r="U42" s="195"/>
    </row>
    <row r="43" spans="1:117" ht="28.9" customHeight="1" thickBot="1">
      <c r="B43" s="213"/>
      <c r="C43" s="2099"/>
      <c r="D43" s="2100"/>
      <c r="E43" s="2100"/>
      <c r="F43" s="2100"/>
      <c r="G43" s="2101"/>
      <c r="H43" s="1008"/>
      <c r="I43" s="1009"/>
      <c r="J43" s="2103"/>
      <c r="K43" s="2103"/>
      <c r="L43" s="2103"/>
      <c r="M43" s="2103"/>
      <c r="N43" s="2103"/>
      <c r="O43" s="2103"/>
      <c r="P43" s="2103"/>
      <c r="Q43" s="2103"/>
      <c r="R43" s="2103"/>
      <c r="S43" s="220"/>
      <c r="T43" s="194"/>
      <c r="U43" s="195"/>
    </row>
    <row r="44" spans="1:117" ht="15.75" thickBot="1">
      <c r="B44" s="213"/>
      <c r="C44" s="967"/>
      <c r="D44" s="967"/>
      <c r="E44" s="967"/>
      <c r="F44" s="964"/>
      <c r="G44" s="964"/>
      <c r="H44" s="1008"/>
      <c r="I44" s="1009"/>
      <c r="J44" s="2079" t="s">
        <v>893</v>
      </c>
      <c r="K44" s="2080"/>
      <c r="L44" s="2080"/>
      <c r="M44" s="2080"/>
      <c r="N44" s="2080"/>
      <c r="O44" s="2080"/>
      <c r="P44" s="2080"/>
      <c r="Q44" s="2080"/>
      <c r="R44" s="2081"/>
      <c r="S44" s="220"/>
      <c r="T44" s="194"/>
      <c r="U44" s="195"/>
    </row>
    <row r="45" spans="1:117" ht="10.5" customHeight="1" thickBot="1">
      <c r="B45" s="213"/>
      <c r="C45" s="967"/>
      <c r="D45" s="967"/>
      <c r="E45" s="967"/>
      <c r="F45" s="964"/>
      <c r="G45" s="964"/>
      <c r="H45" s="1008"/>
      <c r="I45" s="1009"/>
      <c r="J45" s="1023"/>
      <c r="K45" s="1024"/>
      <c r="L45" s="1024"/>
      <c r="M45" s="1024"/>
      <c r="N45" s="1024"/>
      <c r="O45" s="1024"/>
      <c r="P45" s="1024"/>
      <c r="Q45" s="1024"/>
      <c r="R45" s="1025"/>
      <c r="S45" s="220"/>
      <c r="T45" s="194"/>
      <c r="U45" s="195"/>
    </row>
    <row r="46" spans="1:117" ht="15.75" thickBot="1">
      <c r="B46" s="213"/>
      <c r="C46" s="1026"/>
      <c r="D46" s="1027"/>
      <c r="E46" s="1027"/>
      <c r="F46" s="1027"/>
      <c r="G46" s="1028"/>
      <c r="H46" s="1008"/>
      <c r="I46" s="1009"/>
      <c r="J46" s="1029"/>
      <c r="K46" s="2086" t="s">
        <v>896</v>
      </c>
      <c r="L46" s="2086"/>
      <c r="M46" s="2086"/>
      <c r="N46" s="2086"/>
      <c r="O46" s="2086"/>
      <c r="P46" s="1030"/>
      <c r="Q46" s="1030"/>
      <c r="R46" s="1031"/>
      <c r="S46" s="220"/>
      <c r="T46" s="194"/>
      <c r="U46" s="195"/>
    </row>
    <row r="47" spans="1:117" s="1544" customFormat="1" ht="20.25" customHeight="1" thickBot="1">
      <c r="A47" s="1529"/>
      <c r="B47" s="1530"/>
      <c r="C47" s="1531"/>
      <c r="D47" s="1532"/>
      <c r="E47" s="1533" t="s">
        <v>248</v>
      </c>
      <c r="F47" s="1534" t="s">
        <v>138</v>
      </c>
      <c r="G47" s="1535"/>
      <c r="H47" s="1536"/>
      <c r="I47" s="1537"/>
      <c r="J47" s="1538"/>
      <c r="K47" s="2084" t="s">
        <v>1429</v>
      </c>
      <c r="L47" s="2085"/>
      <c r="M47" s="1536"/>
      <c r="N47" s="2084" t="s">
        <v>1430</v>
      </c>
      <c r="O47" s="2085"/>
      <c r="P47" s="1539"/>
      <c r="Q47" s="1539"/>
      <c r="R47" s="1540"/>
      <c r="S47" s="1541"/>
      <c r="T47" s="1542"/>
      <c r="U47" s="1543"/>
      <c r="V47" s="1529"/>
      <c r="W47" s="1529"/>
      <c r="X47" s="1529"/>
      <c r="Y47" s="1529"/>
      <c r="Z47" s="1529"/>
      <c r="AA47" s="1529"/>
      <c r="AB47" s="1529"/>
      <c r="AC47" s="1529"/>
      <c r="AD47" s="1529"/>
      <c r="AE47" s="1529"/>
      <c r="AF47" s="1529"/>
      <c r="AG47" s="1529"/>
      <c r="AH47" s="1529"/>
      <c r="AI47" s="1529"/>
      <c r="AJ47" s="1529"/>
      <c r="AK47" s="1529"/>
      <c r="AL47" s="1529"/>
      <c r="AM47" s="1529"/>
      <c r="AN47" s="1529"/>
      <c r="AO47" s="1529"/>
      <c r="AP47" s="1529"/>
      <c r="AQ47" s="1529"/>
      <c r="AR47" s="1529"/>
      <c r="AS47" s="1529"/>
      <c r="AT47" s="1529"/>
      <c r="AU47" s="1529"/>
      <c r="AV47" s="1529"/>
      <c r="AW47" s="1529"/>
      <c r="AX47" s="1529"/>
      <c r="AY47" s="1529"/>
      <c r="AZ47" s="1529"/>
      <c r="BA47" s="1529"/>
      <c r="BB47" s="1529"/>
      <c r="BC47" s="1529"/>
      <c r="BD47" s="1529"/>
      <c r="BE47" s="1529"/>
      <c r="BF47" s="1529"/>
      <c r="BG47" s="1529"/>
      <c r="BH47" s="1529"/>
      <c r="BI47" s="1529"/>
      <c r="BJ47" s="1529"/>
      <c r="BK47" s="1529"/>
      <c r="BL47" s="1529"/>
      <c r="BM47" s="1529"/>
      <c r="BN47" s="1529"/>
      <c r="BO47" s="1529"/>
      <c r="BP47" s="1529"/>
      <c r="BQ47" s="1529"/>
      <c r="BR47" s="1529"/>
      <c r="BS47" s="1529"/>
      <c r="BT47" s="1529"/>
      <c r="BU47" s="1529"/>
      <c r="BV47" s="1529"/>
      <c r="BW47" s="1529"/>
      <c r="BX47" s="1529"/>
      <c r="BY47" s="1529"/>
      <c r="BZ47" s="1529"/>
      <c r="CA47" s="1529"/>
      <c r="CB47" s="1529"/>
      <c r="CC47" s="1529"/>
      <c r="CD47" s="1529"/>
      <c r="CE47" s="1529"/>
      <c r="CF47" s="1529"/>
      <c r="CG47" s="1529"/>
      <c r="CH47" s="1529"/>
      <c r="CI47" s="1529"/>
      <c r="CJ47" s="1529"/>
      <c r="CK47" s="1529"/>
      <c r="CL47" s="1529"/>
      <c r="CM47" s="1529"/>
      <c r="CN47" s="1529"/>
      <c r="CO47" s="1529"/>
      <c r="CP47" s="1529"/>
      <c r="CQ47" s="1529"/>
      <c r="CR47" s="1529"/>
      <c r="CS47" s="1529"/>
      <c r="CT47" s="1529"/>
      <c r="CU47" s="1529"/>
      <c r="CV47" s="1529"/>
      <c r="CW47" s="1529"/>
      <c r="CX47" s="1529"/>
      <c r="CY47" s="1529"/>
      <c r="CZ47" s="1529"/>
      <c r="DA47" s="1529"/>
      <c r="DB47" s="1529"/>
      <c r="DC47" s="1529"/>
      <c r="DD47" s="1529"/>
      <c r="DE47" s="1529"/>
      <c r="DF47" s="1529"/>
      <c r="DG47" s="1529"/>
      <c r="DH47" s="1529"/>
      <c r="DI47" s="1529"/>
      <c r="DJ47" s="1529"/>
      <c r="DK47" s="1529"/>
      <c r="DL47" s="1529"/>
      <c r="DM47" s="1529"/>
    </row>
    <row r="48" spans="1:117" ht="33" customHeight="1">
      <c r="B48" s="213"/>
      <c r="C48" s="1032"/>
      <c r="D48" s="1034" t="s">
        <v>767</v>
      </c>
      <c r="E48" s="1035"/>
      <c r="F48" s="1036"/>
      <c r="G48" s="1037"/>
      <c r="H48" s="1008"/>
      <c r="I48" s="1009"/>
      <c r="J48" s="1029"/>
      <c r="K48" s="1038" t="s">
        <v>898</v>
      </c>
      <c r="L48" s="1035"/>
      <c r="M48" s="1009"/>
      <c r="N48" s="1038" t="s">
        <v>899</v>
      </c>
      <c r="O48" s="1035"/>
      <c r="P48" s="867"/>
      <c r="Q48" s="867"/>
      <c r="R48" s="1039"/>
      <c r="S48" s="220"/>
      <c r="T48" s="194"/>
      <c r="U48" s="195"/>
    </row>
    <row r="49" spans="1:117" ht="18" customHeight="1">
      <c r="B49" s="213"/>
      <c r="C49" s="1032"/>
      <c r="D49" s="1040"/>
      <c r="E49" s="1040"/>
      <c r="F49" s="1040"/>
      <c r="G49" s="1037"/>
      <c r="H49" s="1008"/>
      <c r="I49" s="1009"/>
      <c r="J49" s="1029"/>
      <c r="K49" s="2090" t="s">
        <v>1010</v>
      </c>
      <c r="L49" s="2090"/>
      <c r="M49" s="2090"/>
      <c r="N49" s="2090"/>
      <c r="O49" s="2090"/>
      <c r="P49" s="867"/>
      <c r="Q49" s="867"/>
      <c r="R49" s="1039"/>
      <c r="S49" s="220"/>
      <c r="T49" s="194"/>
      <c r="U49" s="195"/>
    </row>
    <row r="50" spans="1:117" ht="31.5" customHeight="1">
      <c r="B50" s="213"/>
      <c r="C50" s="1032"/>
      <c r="D50" s="967"/>
      <c r="E50" s="967"/>
      <c r="F50" s="964"/>
      <c r="G50" s="1037"/>
      <c r="H50" s="1008"/>
      <c r="I50" s="1009"/>
      <c r="J50" s="1029"/>
      <c r="K50" s="1041"/>
      <c r="L50" s="1041"/>
      <c r="M50" s="1041"/>
      <c r="N50" s="1042" t="s">
        <v>900</v>
      </c>
      <c r="O50" s="1035"/>
      <c r="P50" s="867"/>
      <c r="Q50" s="867"/>
      <c r="R50" s="1039"/>
      <c r="S50" s="220"/>
      <c r="T50" s="194"/>
      <c r="U50" s="195"/>
    </row>
    <row r="51" spans="1:117" ht="31.5" customHeight="1">
      <c r="B51" s="213"/>
      <c r="C51" s="1032"/>
      <c r="D51" s="2094" t="s">
        <v>316</v>
      </c>
      <c r="E51" s="2095"/>
      <c r="F51" s="1515" t="s">
        <v>317</v>
      </c>
      <c r="G51" s="1043"/>
      <c r="H51" s="1008"/>
      <c r="I51" s="1009"/>
      <c r="J51" s="1029"/>
      <c r="K51" s="1041"/>
      <c r="L51" s="1041"/>
      <c r="M51" s="1009"/>
      <c r="N51" s="1042" t="s">
        <v>901</v>
      </c>
      <c r="O51" s="1035"/>
      <c r="P51" s="867"/>
      <c r="Q51" s="867"/>
      <c r="R51" s="1039"/>
      <c r="S51" s="220"/>
      <c r="T51" s="194"/>
      <c r="U51" s="195"/>
    </row>
    <row r="52" spans="1:117" ht="25.5">
      <c r="B52" s="213"/>
      <c r="C52" s="1032"/>
      <c r="D52" s="2082" t="s">
        <v>1473</v>
      </c>
      <c r="E52" s="2083"/>
      <c r="F52" s="1044"/>
      <c r="G52" s="1045"/>
      <c r="H52" s="1008"/>
      <c r="I52" s="1009"/>
      <c r="J52" s="1029"/>
      <c r="K52" s="1046"/>
      <c r="L52" s="1009"/>
      <c r="M52" s="1009"/>
      <c r="N52" s="1042" t="s">
        <v>902</v>
      </c>
      <c r="O52" s="1035"/>
      <c r="P52" s="867"/>
      <c r="Q52" s="867"/>
      <c r="R52" s="1039"/>
      <c r="S52" s="220"/>
      <c r="T52" s="194"/>
      <c r="U52" s="195"/>
    </row>
    <row r="53" spans="1:117" ht="25.5">
      <c r="B53" s="213"/>
      <c r="C53" s="1032"/>
      <c r="D53" s="2063" t="s">
        <v>1431</v>
      </c>
      <c r="E53" s="2063"/>
      <c r="F53" s="1044"/>
      <c r="G53" s="1045"/>
      <c r="H53" s="1008"/>
      <c r="I53" s="1009"/>
      <c r="J53" s="1029"/>
      <c r="K53" s="1009"/>
      <c r="L53" s="1009"/>
      <c r="M53" s="1009"/>
      <c r="N53" s="1042" t="s">
        <v>903</v>
      </c>
      <c r="O53" s="1035"/>
      <c r="P53" s="867"/>
      <c r="Q53" s="867"/>
      <c r="R53" s="1039"/>
      <c r="S53" s="220"/>
      <c r="T53" s="194"/>
      <c r="U53" s="195"/>
    </row>
    <row r="54" spans="1:117" ht="18" customHeight="1" thickBot="1">
      <c r="B54" s="213"/>
      <c r="C54" s="1032"/>
      <c r="D54" s="2063" t="s">
        <v>1009</v>
      </c>
      <c r="E54" s="2063"/>
      <c r="F54" s="1044"/>
      <c r="G54" s="1037"/>
      <c r="H54" s="1008"/>
      <c r="I54" s="1009"/>
      <c r="J54" s="1047"/>
      <c r="K54" s="1048"/>
      <c r="L54" s="1048"/>
      <c r="M54" s="1048"/>
      <c r="N54" s="1049"/>
      <c r="O54" s="1048"/>
      <c r="P54" s="1050"/>
      <c r="Q54" s="1050"/>
      <c r="R54" s="1051"/>
      <c r="S54" s="220"/>
      <c r="T54" s="194"/>
      <c r="U54" s="195"/>
    </row>
    <row r="55" spans="1:117" ht="18" customHeight="1" thickBot="1">
      <c r="B55" s="213"/>
      <c r="C55" s="1032"/>
      <c r="D55" s="2063" t="s">
        <v>320</v>
      </c>
      <c r="E55" s="2063"/>
      <c r="F55" s="1044"/>
      <c r="G55" s="1037"/>
      <c r="H55" s="1008"/>
      <c r="I55" s="1009"/>
      <c r="J55" s="1010"/>
      <c r="K55" s="1009"/>
      <c r="L55" s="1009"/>
      <c r="M55" s="1009"/>
      <c r="N55" s="1010"/>
      <c r="O55" s="1009"/>
      <c r="P55" s="867"/>
      <c r="Q55" s="867"/>
      <c r="R55" s="867"/>
      <c r="S55" s="220"/>
      <c r="T55" s="194"/>
      <c r="U55" s="195"/>
    </row>
    <row r="56" spans="1:117" s="50" customFormat="1" ht="17.25" customHeight="1" thickBot="1">
      <c r="A56" s="205"/>
      <c r="B56" s="221"/>
      <c r="C56" s="1032"/>
      <c r="D56" s="2063" t="s">
        <v>321</v>
      </c>
      <c r="E56" s="2063"/>
      <c r="F56" s="1044"/>
      <c r="G56" s="1037"/>
      <c r="H56" s="1052"/>
      <c r="I56" s="1053"/>
      <c r="J56" s="2079" t="s">
        <v>904</v>
      </c>
      <c r="K56" s="2080"/>
      <c r="L56" s="2080"/>
      <c r="M56" s="2080"/>
      <c r="N56" s="2080"/>
      <c r="O56" s="2080"/>
      <c r="P56" s="2080"/>
      <c r="Q56" s="2080"/>
      <c r="R56" s="2081"/>
      <c r="S56" s="222"/>
      <c r="T56" s="203"/>
      <c r="U56" s="204"/>
      <c r="V56" s="205"/>
      <c r="W56" s="205"/>
      <c r="X56" s="205"/>
      <c r="Y56" s="205"/>
      <c r="Z56" s="205"/>
      <c r="AA56" s="205"/>
      <c r="AB56" s="205"/>
      <c r="AC56" s="205"/>
      <c r="AD56" s="205"/>
      <c r="AE56" s="205"/>
      <c r="AF56" s="205"/>
      <c r="AG56" s="205"/>
      <c r="AH56" s="205"/>
      <c r="AI56" s="205"/>
      <c r="AJ56" s="205"/>
      <c r="AK56" s="205"/>
      <c r="AL56" s="205"/>
      <c r="AM56" s="205"/>
      <c r="AN56" s="205"/>
      <c r="AO56" s="205"/>
      <c r="AP56" s="205"/>
      <c r="AQ56" s="205"/>
      <c r="AR56" s="205"/>
      <c r="AS56" s="205"/>
      <c r="AT56" s="205"/>
      <c r="AU56" s="205"/>
      <c r="AV56" s="205"/>
      <c r="AW56" s="205"/>
      <c r="AX56" s="205"/>
      <c r="AY56" s="205"/>
      <c r="AZ56" s="205"/>
      <c r="BA56" s="205"/>
      <c r="BB56" s="205"/>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row>
    <row r="57" spans="1:117" ht="17.25" customHeight="1">
      <c r="B57" s="213"/>
      <c r="C57" s="1032"/>
      <c r="D57" s="2063" t="s">
        <v>322</v>
      </c>
      <c r="E57" s="2063"/>
      <c r="F57" s="1044"/>
      <c r="G57" s="1037"/>
      <c r="H57" s="1008"/>
      <c r="I57" s="1009"/>
      <c r="J57" s="1023"/>
      <c r="K57" s="1054"/>
      <c r="L57" s="1054"/>
      <c r="M57" s="1054"/>
      <c r="N57" s="1055"/>
      <c r="O57" s="1054"/>
      <c r="P57" s="1056"/>
      <c r="Q57" s="1056"/>
      <c r="R57" s="1057"/>
      <c r="S57" s="220"/>
      <c r="T57" s="194"/>
      <c r="U57" s="195"/>
    </row>
    <row r="58" spans="1:117" ht="15" customHeight="1">
      <c r="B58" s="213"/>
      <c r="C58" s="1032"/>
      <c r="D58" s="2064" t="s">
        <v>295</v>
      </c>
      <c r="E58" s="2064"/>
      <c r="F58" s="1058">
        <f>SUM(F52:F57)</f>
        <v>0</v>
      </c>
      <c r="G58" s="1037"/>
      <c r="H58" s="867"/>
      <c r="I58" s="1018"/>
      <c r="J58" s="1059"/>
      <c r="K58" s="1018"/>
      <c r="L58" s="1018"/>
      <c r="M58" s="1018"/>
      <c r="N58" s="1060" t="s">
        <v>248</v>
      </c>
      <c r="O58" s="1033" t="s">
        <v>138</v>
      </c>
      <c r="P58" s="1061"/>
      <c r="Q58" s="1061"/>
      <c r="R58" s="1062"/>
      <c r="S58" s="219"/>
      <c r="T58" s="194">
        <f>IF(F48&gt;0,(O58/F48),0)</f>
        <v>0</v>
      </c>
      <c r="U58" s="195"/>
      <c r="Z58" s="206"/>
    </row>
    <row r="59" spans="1:117" ht="18" customHeight="1" thickBot="1">
      <c r="B59" s="213"/>
      <c r="C59" s="1063"/>
      <c r="D59" s="1050"/>
      <c r="E59" s="1050"/>
      <c r="F59" s="1064" t="str">
        <f>IF(AND(F58&lt;&gt;1,F48&gt;0),"ERROR: DEBE SUMAR 100%", " ")</f>
        <v xml:space="preserve"> </v>
      </c>
      <c r="G59" s="1065"/>
      <c r="H59" s="964"/>
      <c r="I59" s="1066"/>
      <c r="J59" s="1067"/>
      <c r="K59" s="2087" t="s">
        <v>144</v>
      </c>
      <c r="L59" s="2088"/>
      <c r="M59" s="2089"/>
      <c r="N59" s="1035"/>
      <c r="O59" s="1036"/>
      <c r="P59" s="1068"/>
      <c r="Q59" s="1068"/>
      <c r="R59" s="1043"/>
      <c r="S59" s="223"/>
      <c r="T59" s="194"/>
      <c r="U59" s="195"/>
    </row>
    <row r="60" spans="1:117" ht="20.25" customHeight="1">
      <c r="B60" s="213"/>
      <c r="C60" s="1041"/>
      <c r="D60" s="1041"/>
      <c r="E60" s="1041"/>
      <c r="F60" s="1041"/>
      <c r="G60" s="1041"/>
      <c r="H60" s="964"/>
      <c r="I60" s="1066"/>
      <c r="J60" s="1067"/>
      <c r="K60" s="2087" t="s">
        <v>145</v>
      </c>
      <c r="L60" s="2088"/>
      <c r="M60" s="2089"/>
      <c r="N60" s="1035"/>
      <c r="O60" s="1036"/>
      <c r="P60" s="967"/>
      <c r="Q60" s="967"/>
      <c r="R60" s="1043"/>
      <c r="S60" s="223"/>
      <c r="T60" s="194"/>
      <c r="U60" s="195"/>
    </row>
    <row r="61" spans="1:117" ht="13.5" customHeight="1">
      <c r="B61" s="213"/>
      <c r="C61" s="1041"/>
      <c r="D61" s="1041"/>
      <c r="E61" s="1041"/>
      <c r="F61" s="1041"/>
      <c r="G61" s="1041"/>
      <c r="H61" s="964"/>
      <c r="I61" s="1066"/>
      <c r="J61" s="1067"/>
      <c r="K61" s="867"/>
      <c r="L61" s="867"/>
      <c r="M61" s="867"/>
      <c r="N61" s="867"/>
      <c r="O61" s="867"/>
      <c r="P61" s="967"/>
      <c r="Q61" s="967"/>
      <c r="R61" s="1043"/>
      <c r="S61" s="223"/>
      <c r="T61" s="194"/>
      <c r="U61" s="195"/>
    </row>
    <row r="62" spans="1:117" ht="15" customHeight="1">
      <c r="B62" s="213"/>
      <c r="C62" s="1041"/>
      <c r="D62" s="1041"/>
      <c r="E62" s="1041"/>
      <c r="F62" s="1041"/>
      <c r="G62" s="1041"/>
      <c r="H62" s="967"/>
      <c r="I62" s="967"/>
      <c r="J62" s="1067"/>
      <c r="K62" s="2065" t="s">
        <v>316</v>
      </c>
      <c r="L62" s="2066"/>
      <c r="M62" s="2066"/>
      <c r="N62" s="2067"/>
      <c r="O62" s="1069" t="s">
        <v>317</v>
      </c>
      <c r="P62" s="967"/>
      <c r="Q62" s="967"/>
      <c r="R62" s="1043"/>
      <c r="S62" s="223"/>
      <c r="T62" s="194"/>
      <c r="U62" s="195"/>
    </row>
    <row r="63" spans="1:117" ht="15" hidden="1" customHeight="1">
      <c r="B63" s="213"/>
      <c r="C63" s="1041"/>
      <c r="D63" s="1041"/>
      <c r="E63" s="1041"/>
      <c r="F63" s="1041"/>
      <c r="G63" s="1041"/>
      <c r="H63" s="967"/>
      <c r="I63" s="967"/>
      <c r="J63" s="1067"/>
      <c r="K63" s="2073" t="s">
        <v>892</v>
      </c>
      <c r="L63" s="2074"/>
      <c r="M63" s="2074"/>
      <c r="N63" s="2075"/>
      <c r="O63" s="1527"/>
      <c r="P63" s="967"/>
      <c r="Q63" s="967"/>
      <c r="R63" s="1043"/>
      <c r="S63" s="223"/>
      <c r="T63" s="194"/>
      <c r="U63" s="195"/>
    </row>
    <row r="64" spans="1:117" ht="15" customHeight="1">
      <c r="B64" s="213"/>
      <c r="C64" s="1041"/>
      <c r="D64" s="1041"/>
      <c r="E64" s="1041"/>
      <c r="F64" s="1041"/>
      <c r="G64" s="1041"/>
      <c r="H64" s="967"/>
      <c r="I64" s="967"/>
      <c r="J64" s="1067"/>
      <c r="K64" s="2073" t="s">
        <v>312</v>
      </c>
      <c r="L64" s="2074"/>
      <c r="M64" s="2074"/>
      <c r="N64" s="2075"/>
      <c r="O64" s="1044"/>
      <c r="P64" s="967"/>
      <c r="Q64" s="967"/>
      <c r="R64" s="1043"/>
      <c r="S64" s="223"/>
      <c r="T64" s="194"/>
      <c r="U64" s="195"/>
    </row>
    <row r="65" spans="1:117" ht="15" customHeight="1">
      <c r="B65" s="213"/>
      <c r="C65" s="1041"/>
      <c r="D65" s="1041"/>
      <c r="E65" s="1041"/>
      <c r="F65" s="1041"/>
      <c r="G65" s="1041"/>
      <c r="H65" s="964"/>
      <c r="I65" s="1066"/>
      <c r="J65" s="1067"/>
      <c r="K65" s="2073" t="s">
        <v>327</v>
      </c>
      <c r="L65" s="2074"/>
      <c r="M65" s="2074"/>
      <c r="N65" s="2075"/>
      <c r="O65" s="1044"/>
      <c r="P65" s="967"/>
      <c r="Q65" s="967"/>
      <c r="R65" s="1043"/>
      <c r="S65" s="223"/>
      <c r="T65" s="194"/>
      <c r="U65" s="195"/>
    </row>
    <row r="66" spans="1:117" ht="15" customHeight="1">
      <c r="B66" s="213"/>
      <c r="C66" s="1041"/>
      <c r="D66" s="1041"/>
      <c r="E66" s="1041"/>
      <c r="F66" s="1041"/>
      <c r="G66" s="1041"/>
      <c r="H66" s="964"/>
      <c r="I66" s="1066"/>
      <c r="J66" s="1067"/>
      <c r="K66" s="2076" t="s">
        <v>295</v>
      </c>
      <c r="L66" s="2077"/>
      <c r="M66" s="2077"/>
      <c r="N66" s="2078"/>
      <c r="O66" s="1528">
        <f>SUM(O63:O65)</f>
        <v>0</v>
      </c>
      <c r="P66" s="967"/>
      <c r="Q66" s="967"/>
      <c r="R66" s="1043"/>
      <c r="S66" s="223"/>
      <c r="T66" s="194"/>
      <c r="U66" s="195"/>
    </row>
    <row r="67" spans="1:117" ht="15" customHeight="1">
      <c r="B67" s="213"/>
      <c r="C67" s="1041"/>
      <c r="D67" s="1041"/>
      <c r="E67" s="1041"/>
      <c r="F67" s="1041"/>
      <c r="G67" s="1041"/>
      <c r="H67" s="964"/>
      <c r="I67" s="1066"/>
      <c r="J67" s="1067"/>
      <c r="K67" s="867"/>
      <c r="L67" s="867"/>
      <c r="M67" s="867"/>
      <c r="N67" s="867"/>
      <c r="O67" s="1070" t="str">
        <f>IF(AND(O66&lt;&gt;1,(O59+O60)&gt;0),"ERROR: DEBE SUMAR 100%", " ")</f>
        <v xml:space="preserve"> </v>
      </c>
      <c r="P67" s="967"/>
      <c r="Q67" s="967"/>
      <c r="R67" s="1043"/>
      <c r="S67" s="223"/>
      <c r="T67" s="194"/>
      <c r="U67" s="195"/>
    </row>
    <row r="68" spans="1:117" ht="15" customHeight="1">
      <c r="B68" s="213"/>
      <c r="C68" s="1041"/>
      <c r="D68" s="1041"/>
      <c r="E68" s="1041"/>
      <c r="F68" s="1041"/>
      <c r="G68" s="1041"/>
      <c r="H68" s="964"/>
      <c r="I68" s="1066"/>
      <c r="J68" s="1071"/>
      <c r="K68" s="629"/>
      <c r="L68" s="629"/>
      <c r="M68" s="629"/>
      <c r="N68" s="629"/>
      <c r="O68" s="629"/>
      <c r="P68" s="629"/>
      <c r="Q68" s="629"/>
      <c r="R68" s="1072"/>
      <c r="S68" s="223"/>
      <c r="T68" s="194"/>
      <c r="U68" s="195"/>
    </row>
    <row r="69" spans="1:117" ht="7.5" customHeight="1">
      <c r="B69" s="213"/>
      <c r="C69" s="1041"/>
      <c r="D69" s="1041"/>
      <c r="E69" s="1041"/>
      <c r="F69" s="1041"/>
      <c r="G69" s="1041"/>
      <c r="H69" s="964"/>
      <c r="I69" s="1066"/>
      <c r="J69" s="1071"/>
      <c r="K69" s="629"/>
      <c r="L69" s="629"/>
      <c r="M69" s="629"/>
      <c r="N69" s="629"/>
      <c r="O69" s="629"/>
      <c r="P69" s="629"/>
      <c r="Q69" s="629"/>
      <c r="R69" s="1072"/>
      <c r="S69" s="223"/>
      <c r="T69" s="194"/>
      <c r="U69" s="195"/>
    </row>
    <row r="70" spans="1:117" ht="8.25" customHeight="1" thickBot="1">
      <c r="B70" s="213"/>
      <c r="C70" s="1041"/>
      <c r="D70" s="1041"/>
      <c r="E70" s="1041"/>
      <c r="F70" s="1041"/>
      <c r="G70" s="1041"/>
      <c r="H70" s="964"/>
      <c r="I70" s="1066"/>
      <c r="J70" s="1073"/>
      <c r="K70" s="1074"/>
      <c r="L70" s="1074"/>
      <c r="M70" s="1074"/>
      <c r="N70" s="1074"/>
      <c r="O70" s="1074"/>
      <c r="P70" s="1074"/>
      <c r="Q70" s="1074"/>
      <c r="R70" s="1075"/>
      <c r="S70" s="223"/>
      <c r="T70" s="194"/>
      <c r="U70" s="195"/>
    </row>
    <row r="71" spans="1:117" s="48" customFormat="1" ht="15" customHeight="1" thickBot="1">
      <c r="A71" s="73"/>
      <c r="B71" s="224"/>
      <c r="C71" s="2060"/>
      <c r="D71" s="2060"/>
      <c r="E71" s="2060"/>
      <c r="F71" s="1076"/>
      <c r="G71" s="1076"/>
      <c r="H71" s="1076"/>
      <c r="I71" s="1077"/>
      <c r="J71" s="1078"/>
      <c r="K71" s="1077"/>
      <c r="L71" s="1077"/>
      <c r="M71" s="1077"/>
      <c r="N71" s="1078"/>
      <c r="O71" s="1077"/>
      <c r="P71" s="1079"/>
      <c r="Q71" s="1079"/>
      <c r="R71" s="1079"/>
      <c r="S71" s="225"/>
      <c r="T71" s="194"/>
      <c r="U71" s="195"/>
      <c r="V71" s="73"/>
      <c r="W71" s="73"/>
      <c r="X71" s="73"/>
      <c r="Y71" s="73"/>
      <c r="Z71" s="73"/>
      <c r="AA71" s="73"/>
      <c r="AB71" s="73"/>
      <c r="AC71" s="73"/>
      <c r="AD71" s="73"/>
      <c r="AE71" s="73"/>
      <c r="AF71" s="73"/>
      <c r="AG71" s="73"/>
      <c r="AH71" s="73"/>
      <c r="AI71" s="73"/>
      <c r="AJ71" s="73"/>
      <c r="AK71" s="73"/>
      <c r="AL71" s="73"/>
      <c r="AM71" s="73"/>
      <c r="AN71" s="73"/>
      <c r="AO71" s="73"/>
      <c r="AP71" s="73"/>
      <c r="AQ71" s="73"/>
      <c r="AR71" s="73"/>
      <c r="AS71" s="73"/>
      <c r="AT71" s="73"/>
      <c r="AU71" s="73"/>
      <c r="AV71" s="73"/>
      <c r="AW71" s="73"/>
      <c r="AX71" s="73"/>
      <c r="AY71" s="73"/>
      <c r="AZ71" s="73"/>
      <c r="BA71" s="73"/>
      <c r="BB71" s="73"/>
      <c r="BC71" s="73"/>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A71" s="73"/>
      <c r="CB71" s="73"/>
      <c r="CC71" s="73"/>
      <c r="CD71" s="73"/>
      <c r="CE71" s="73"/>
      <c r="CF71" s="73"/>
      <c r="CG71" s="73"/>
      <c r="CH71" s="73"/>
      <c r="CI71" s="73"/>
      <c r="CJ71" s="73"/>
      <c r="CK71" s="73"/>
      <c r="CL71" s="73"/>
      <c r="CM71" s="73"/>
      <c r="CN71" s="73"/>
      <c r="CO71" s="73"/>
      <c r="CP71" s="73"/>
      <c r="CQ71" s="73"/>
      <c r="CR71" s="73"/>
      <c r="CS71" s="73"/>
      <c r="CT71" s="73"/>
      <c r="CU71" s="73"/>
      <c r="CV71" s="73"/>
      <c r="CW71" s="73"/>
      <c r="CX71" s="73"/>
      <c r="CY71" s="73"/>
      <c r="CZ71" s="73"/>
      <c r="DA71" s="73"/>
      <c r="DB71" s="73"/>
      <c r="DC71" s="73"/>
      <c r="DD71" s="73"/>
      <c r="DE71" s="73"/>
      <c r="DF71" s="73"/>
      <c r="DG71" s="73"/>
      <c r="DH71" s="73"/>
      <c r="DI71" s="73"/>
      <c r="DJ71" s="73"/>
      <c r="DK71" s="73"/>
      <c r="DL71" s="73"/>
      <c r="DM71" s="73"/>
    </row>
    <row r="72" spans="1:117" s="73" customFormat="1" ht="9.75" hidden="1" customHeight="1">
      <c r="C72" s="1080"/>
      <c r="D72" s="1080"/>
      <c r="E72" s="1081"/>
      <c r="F72" s="1082"/>
      <c r="G72" s="1082"/>
      <c r="H72" s="1082"/>
      <c r="I72" s="1083"/>
      <c r="J72" s="1084"/>
      <c r="K72" s="1083"/>
      <c r="L72" s="1083"/>
      <c r="M72" s="1083"/>
      <c r="N72" s="1084"/>
      <c r="O72" s="1083"/>
      <c r="P72" s="1080"/>
      <c r="Q72" s="1080"/>
      <c r="R72" s="1080"/>
      <c r="S72" s="191"/>
      <c r="T72" s="194"/>
      <c r="U72" s="195"/>
    </row>
    <row r="73" spans="1:117" s="73" customFormat="1" ht="15" hidden="1" customHeight="1">
      <c r="C73" s="1080"/>
      <c r="D73" s="1080"/>
      <c r="E73" s="1080"/>
      <c r="F73" s="1085" t="e">
        <f>(N59*ITL_roam!K64)</f>
        <v>#REF!</v>
      </c>
      <c r="G73" s="1080"/>
      <c r="H73" s="1080"/>
      <c r="I73" s="1086"/>
      <c r="J73" s="1087"/>
      <c r="K73" s="1086"/>
      <c r="L73" s="1086"/>
      <c r="M73" s="1086"/>
      <c r="N73" s="1087"/>
      <c r="O73" s="1083">
        <f>I73*(1-J73)+K73*(1-N73)</f>
        <v>0</v>
      </c>
      <c r="P73" s="1080"/>
      <c r="Q73" s="1088">
        <f>IF($G$88=0,0,N59/$G$88)</f>
        <v>0</v>
      </c>
      <c r="R73" s="1088">
        <f>IF($H$88=0,0,O59/$H$88)</f>
        <v>0</v>
      </c>
      <c r="S73" s="208">
        <f>IF((SUM($O$28:$O$86)+$O$100)=0,0,O73/(SUM($O$28:$O$86)+$O$100))</f>
        <v>0</v>
      </c>
      <c r="T73" s="194">
        <f>IF(O59&gt;0,(O73/O59),0)</f>
        <v>0</v>
      </c>
      <c r="U73" s="195"/>
    </row>
    <row r="74" spans="1:117" s="73" customFormat="1" ht="15" hidden="1" customHeight="1">
      <c r="C74" s="1080"/>
      <c r="D74" s="1080"/>
      <c r="E74" s="1080"/>
      <c r="F74" s="1085" t="e">
        <f>(N60*ITL_roam!K64)</f>
        <v>#REF!</v>
      </c>
      <c r="G74" s="1080"/>
      <c r="H74" s="1080"/>
      <c r="I74" s="1086"/>
      <c r="J74" s="1087"/>
      <c r="K74" s="1086"/>
      <c r="L74" s="1086"/>
      <c r="M74" s="1086"/>
      <c r="N74" s="1087"/>
      <c r="O74" s="1083">
        <f>I74*(1-J74)+K74*(1-N74)</f>
        <v>0</v>
      </c>
      <c r="P74" s="1080"/>
      <c r="Q74" s="1088">
        <f>IF($G$88=0,0,N60/$G$88)</f>
        <v>0</v>
      </c>
      <c r="R74" s="1088">
        <f>IF($H$88=0,0,O60/$H$88)</f>
        <v>0</v>
      </c>
      <c r="S74" s="208">
        <f>IF((SUM($O$28:$O$86)+$O$100)=0,0,O74/(SUM($O$28:$O$86)+$O$100))</f>
        <v>0</v>
      </c>
      <c r="T74" s="194">
        <f>IF(O60&gt;0,(O74/O60),0)</f>
        <v>0</v>
      </c>
      <c r="U74" s="195"/>
    </row>
    <row r="75" spans="1:117" s="73" customFormat="1" ht="15" hidden="1" customHeight="1">
      <c r="C75" s="1080"/>
      <c r="D75" s="1080"/>
      <c r="E75" s="1080"/>
      <c r="F75" s="1082"/>
      <c r="G75" s="1082"/>
      <c r="H75" s="1082"/>
      <c r="I75" s="1083"/>
      <c r="J75" s="1084"/>
      <c r="K75" s="1083"/>
      <c r="L75" s="1083"/>
      <c r="M75" s="1083"/>
      <c r="N75" s="1084"/>
      <c r="O75" s="1083"/>
      <c r="P75" s="1080"/>
      <c r="Q75" s="1080"/>
      <c r="R75" s="1080"/>
      <c r="S75" s="191"/>
      <c r="T75" s="194"/>
      <c r="U75" s="195"/>
    </row>
    <row r="76" spans="1:117" s="73" customFormat="1" ht="15" hidden="1" customHeight="1">
      <c r="C76" s="1080"/>
      <c r="D76" s="1080"/>
      <c r="E76" s="1089"/>
      <c r="F76" s="1080"/>
      <c r="G76" s="1090" t="str">
        <f>CONCATENATE("En caso de desconocerse el dato, la herramienta, en base al volumen de minutos indicado y las medias de uso por usuario, asumirá ",ITL_roam!J6, " usuarios")</f>
        <v>En caso de desconocerse el dato, la herramienta, en base al volumen de minutos indicado y las medias de uso por usuario, asumirá 0 usuarios</v>
      </c>
      <c r="H76" s="1083"/>
      <c r="I76" s="1083"/>
      <c r="J76" s="1083"/>
      <c r="K76" s="1083"/>
      <c r="L76" s="1083"/>
      <c r="M76" s="1083"/>
      <c r="N76" s="1083"/>
      <c r="O76" s="1083"/>
      <c r="P76" s="1083"/>
      <c r="Q76" s="1080"/>
      <c r="R76" s="1080"/>
      <c r="S76" s="191"/>
      <c r="T76" s="194"/>
      <c r="U76" s="195"/>
    </row>
    <row r="77" spans="1:117" s="73" customFormat="1" ht="7.5" hidden="1" customHeight="1">
      <c r="C77" s="1080"/>
      <c r="D77" s="1089"/>
      <c r="E77" s="1089"/>
      <c r="F77" s="1082"/>
      <c r="G77" s="1083"/>
      <c r="H77" s="1083"/>
      <c r="I77" s="1083"/>
      <c r="J77" s="1083"/>
      <c r="K77" s="1083"/>
      <c r="L77" s="1083"/>
      <c r="M77" s="1083"/>
      <c r="N77" s="1083"/>
      <c r="O77" s="1083"/>
      <c r="P77" s="1083"/>
      <c r="Q77" s="1080"/>
      <c r="R77" s="1080"/>
      <c r="S77" s="191"/>
      <c r="T77" s="194"/>
      <c r="U77" s="195"/>
    </row>
    <row r="78" spans="1:117" s="73" customFormat="1" ht="15" hidden="1" customHeight="1">
      <c r="C78" s="1080"/>
      <c r="D78" s="2061" t="s">
        <v>1</v>
      </c>
      <c r="E78" s="2061"/>
      <c r="F78" s="1080"/>
      <c r="G78" s="1090" t="s">
        <v>13</v>
      </c>
      <c r="H78" s="1083"/>
      <c r="I78" s="1083"/>
      <c r="J78" s="1083"/>
      <c r="K78" s="1083"/>
      <c r="L78" s="1083"/>
      <c r="M78" s="1083"/>
      <c r="N78" s="1083"/>
      <c r="O78" s="1083"/>
      <c r="P78" s="1083"/>
      <c r="Q78" s="1080"/>
      <c r="R78" s="1080"/>
      <c r="S78" s="191"/>
      <c r="T78" s="194"/>
      <c r="U78" s="195"/>
    </row>
    <row r="79" spans="1:117" s="73" customFormat="1" ht="15" hidden="1" customHeight="1">
      <c r="C79" s="1080"/>
      <c r="D79" s="1080"/>
      <c r="E79" s="1080"/>
      <c r="F79" s="1082"/>
      <c r="G79" s="1082"/>
      <c r="H79" s="1082"/>
      <c r="I79" s="1083"/>
      <c r="J79" s="1084"/>
      <c r="K79" s="1083"/>
      <c r="L79" s="1083"/>
      <c r="M79" s="1083"/>
      <c r="N79" s="1084"/>
      <c r="O79" s="1083"/>
      <c r="P79" s="1080"/>
      <c r="Q79" s="1080"/>
      <c r="R79" s="1080"/>
      <c r="S79" s="191"/>
      <c r="T79" s="194"/>
      <c r="U79" s="195"/>
    </row>
    <row r="80" spans="1:117" s="73" customFormat="1" ht="15" hidden="1" customHeight="1">
      <c r="C80" s="1080"/>
      <c r="D80" s="1080"/>
      <c r="E80" s="1080"/>
      <c r="F80" s="1082"/>
      <c r="G80" s="1082"/>
      <c r="H80" s="1082"/>
      <c r="I80" s="1083"/>
      <c r="J80" s="1084"/>
      <c r="K80" s="1083"/>
      <c r="L80" s="1083"/>
      <c r="M80" s="1083"/>
      <c r="N80" s="1084"/>
      <c r="O80" s="1083"/>
      <c r="P80" s="1080"/>
      <c r="Q80" s="1080"/>
      <c r="R80" s="1080"/>
      <c r="S80" s="191"/>
      <c r="T80" s="194"/>
      <c r="U80" s="195"/>
    </row>
    <row r="81" spans="3:21" s="73" customFormat="1" ht="15" hidden="1" customHeight="1">
      <c r="C81" s="1080"/>
      <c r="D81" s="1080"/>
      <c r="E81" s="1080"/>
      <c r="F81" s="1082"/>
      <c r="G81" s="1082"/>
      <c r="H81" s="1082"/>
      <c r="I81" s="1083"/>
      <c r="J81" s="1084"/>
      <c r="K81" s="1083"/>
      <c r="L81" s="1083"/>
      <c r="M81" s="1083"/>
      <c r="N81" s="1084"/>
      <c r="O81" s="1083"/>
      <c r="P81" s="1080"/>
      <c r="Q81" s="1080"/>
      <c r="R81" s="1080"/>
      <c r="S81" s="191"/>
      <c r="T81" s="194"/>
      <c r="U81" s="195"/>
    </row>
    <row r="82" spans="3:21" s="73" customFormat="1" ht="15" hidden="1" customHeight="1">
      <c r="C82" s="1080"/>
      <c r="D82" s="1080"/>
      <c r="E82" s="1080"/>
      <c r="F82" s="1082"/>
      <c r="G82" s="1082"/>
      <c r="H82" s="1082"/>
      <c r="I82" s="1083"/>
      <c r="J82" s="1084"/>
      <c r="K82" s="1083"/>
      <c r="L82" s="1083"/>
      <c r="M82" s="1083"/>
      <c r="N82" s="1084"/>
      <c r="O82" s="1083"/>
      <c r="P82" s="1080"/>
      <c r="Q82" s="1080"/>
      <c r="R82" s="1080"/>
      <c r="S82" s="191"/>
      <c r="T82" s="194"/>
      <c r="U82" s="195"/>
    </row>
    <row r="83" spans="3:21" s="73" customFormat="1" ht="15" hidden="1" customHeight="1">
      <c r="C83" s="1080"/>
      <c r="D83" s="1080"/>
      <c r="E83" s="1080"/>
      <c r="F83" s="1082"/>
      <c r="G83" s="1082"/>
      <c r="H83" s="1082"/>
      <c r="I83" s="1083"/>
      <c r="J83" s="1084"/>
      <c r="K83" s="1083"/>
      <c r="L83" s="1083"/>
      <c r="M83" s="1083"/>
      <c r="N83" s="1084"/>
      <c r="O83" s="1083"/>
      <c r="P83" s="1080"/>
      <c r="Q83" s="1080"/>
      <c r="R83" s="1080"/>
      <c r="S83" s="191"/>
      <c r="T83" s="194"/>
      <c r="U83" s="195"/>
    </row>
    <row r="84" spans="3:21" s="73" customFormat="1" ht="15" hidden="1" customHeight="1">
      <c r="C84" s="1080"/>
      <c r="D84" s="1080"/>
      <c r="E84" s="1080"/>
      <c r="F84" s="1082"/>
      <c r="G84" s="1082"/>
      <c r="H84" s="1082"/>
      <c r="I84" s="1083"/>
      <c r="J84" s="1084"/>
      <c r="K84" s="1083"/>
      <c r="L84" s="1083"/>
      <c r="M84" s="1083"/>
      <c r="N84" s="1084"/>
      <c r="O84" s="1083"/>
      <c r="P84" s="1080"/>
      <c r="Q84" s="1080"/>
      <c r="R84" s="1080"/>
      <c r="S84" s="191"/>
      <c r="T84" s="194"/>
      <c r="U84" s="195"/>
    </row>
    <row r="85" spans="3:21" s="73" customFormat="1" hidden="1">
      <c r="C85" s="1080"/>
      <c r="D85" s="1080"/>
      <c r="E85" s="1080"/>
      <c r="F85" s="1085"/>
      <c r="G85" s="1085"/>
      <c r="H85" s="1085"/>
      <c r="I85" s="1083"/>
      <c r="J85" s="1084"/>
      <c r="K85" s="1083"/>
      <c r="L85" s="1083"/>
      <c r="M85" s="1083"/>
      <c r="N85" s="1084"/>
      <c r="O85" s="1083"/>
      <c r="P85" s="1080"/>
      <c r="Q85" s="1088"/>
      <c r="R85" s="1088"/>
      <c r="S85" s="191"/>
      <c r="T85" s="194"/>
      <c r="U85" s="195"/>
    </row>
    <row r="86" spans="3:21" s="73" customFormat="1" hidden="1">
      <c r="C86" s="1080"/>
      <c r="D86" s="1080"/>
      <c r="E86" s="1080"/>
      <c r="F86" s="1091" t="str">
        <f>IF(AND(O66&lt;&gt;1,OR(O59&gt;0,O60&gt;0)),"ERROR: DEBE SUMAR 100%", " ")</f>
        <v xml:space="preserve"> </v>
      </c>
      <c r="G86" s="1080"/>
      <c r="H86" s="1080"/>
      <c r="I86" s="1080"/>
      <c r="J86" s="1080"/>
      <c r="K86" s="1080"/>
      <c r="L86" s="1080"/>
      <c r="M86" s="1080"/>
      <c r="N86" s="1080"/>
      <c r="O86" s="1080"/>
      <c r="P86" s="1080"/>
      <c r="Q86" s="1080"/>
      <c r="R86" s="1080"/>
      <c r="U86" s="195"/>
    </row>
    <row r="87" spans="3:21" s="73" customFormat="1" ht="12" hidden="1" customHeight="1">
      <c r="C87" s="1092"/>
      <c r="D87" s="1080"/>
      <c r="E87" s="1080"/>
      <c r="F87" s="1093"/>
      <c r="G87" s="1093"/>
      <c r="H87" s="1093"/>
      <c r="I87" s="1093"/>
      <c r="J87" s="1093"/>
      <c r="K87" s="1093"/>
      <c r="L87" s="1093"/>
      <c r="M87" s="1093"/>
      <c r="N87" s="1093"/>
      <c r="O87" s="1094"/>
      <c r="P87" s="1080"/>
      <c r="Q87" s="1088"/>
      <c r="R87" s="1088"/>
      <c r="S87" s="208"/>
      <c r="T87" s="194"/>
      <c r="U87" s="207"/>
    </row>
    <row r="88" spans="3:21" s="73" customFormat="1" ht="15" hidden="1" customHeight="1">
      <c r="C88" s="2059" t="s">
        <v>208</v>
      </c>
      <c r="D88" s="2059"/>
      <c r="E88" s="2059"/>
      <c r="F88" s="1095" t="e">
        <f>SUM(F31:F34)+SUM(F73:F74)+SUM(F28:F29)+#REF!+F35</f>
        <v>#REF!</v>
      </c>
      <c r="G88" s="1095">
        <f>SUM(G31:G47)+SUM(G73:G86)+SUM(G28:G29)</f>
        <v>0</v>
      </c>
      <c r="H88" s="1095">
        <f>SUM(H31:H34)+SUM(O59:O60)+SUM(H28:H29)+F48+H35</f>
        <v>0</v>
      </c>
      <c r="I88" s="1095"/>
      <c r="J88" s="1095"/>
      <c r="K88" s="1095"/>
      <c r="L88" s="1095"/>
      <c r="M88" s="1095"/>
      <c r="N88" s="1095"/>
      <c r="O88" s="1096" t="e">
        <f>IF(SUM(O31:O34)+SUM(O73:O74)+SUM(O28:O29)+O58+O35+E20*E12&gt;E16*E12*(1-E18),SUM(O31:O34)+SUM(O73:O74)+SUM(O28:O29)+O58+O35+E20*E12,E16*E12*(1-E18))</f>
        <v>#VALUE!</v>
      </c>
      <c r="P88" s="1080"/>
      <c r="Q88" s="1088"/>
      <c r="R88" s="1080"/>
      <c r="T88" s="194" t="e">
        <f>O88/H88</f>
        <v>#VALUE!</v>
      </c>
      <c r="U88" s="195"/>
    </row>
    <row r="89" spans="3:21" s="73" customFormat="1" hidden="1">
      <c r="C89" s="1092"/>
      <c r="D89" s="1092"/>
      <c r="E89" s="1092"/>
      <c r="F89" s="1093"/>
      <c r="G89" s="1093"/>
      <c r="H89" s="1093" t="e">
        <f>H88/E12</f>
        <v>#DIV/0!</v>
      </c>
      <c r="I89" s="1093"/>
      <c r="J89" s="1093"/>
      <c r="K89" s="1093"/>
      <c r="L89" s="1093"/>
      <c r="M89" s="1093"/>
      <c r="N89" s="1093"/>
      <c r="O89" s="1097"/>
      <c r="P89" s="1080"/>
      <c r="Q89" s="1088"/>
      <c r="R89" s="1080"/>
      <c r="T89" s="207"/>
      <c r="U89" s="207"/>
    </row>
    <row r="90" spans="3:21" s="73" customFormat="1" ht="27" hidden="1" customHeight="1">
      <c r="C90" s="1098" t="s">
        <v>305</v>
      </c>
      <c r="D90" s="1098"/>
      <c r="E90" s="1098"/>
      <c r="F90" s="1080"/>
      <c r="G90" s="1099"/>
      <c r="H90" s="1099" t="s">
        <v>214</v>
      </c>
      <c r="I90" s="1100" t="s">
        <v>259</v>
      </c>
      <c r="J90" s="1100" t="s">
        <v>220</v>
      </c>
      <c r="K90" s="1100" t="s">
        <v>252</v>
      </c>
      <c r="L90" s="1100"/>
      <c r="M90" s="1100"/>
      <c r="N90" s="1100" t="s">
        <v>253</v>
      </c>
      <c r="O90" s="1099" t="s">
        <v>198</v>
      </c>
      <c r="P90" s="1080"/>
      <c r="Q90" s="1099" t="s">
        <v>202</v>
      </c>
      <c r="R90" s="1080"/>
      <c r="S90" s="189" t="s">
        <v>197</v>
      </c>
      <c r="T90" s="189" t="s">
        <v>241</v>
      </c>
      <c r="U90" s="189"/>
    </row>
    <row r="91" spans="3:21" s="73" customFormat="1" ht="4.5" hidden="1" customHeight="1">
      <c r="C91" s="1092"/>
      <c r="D91" s="1092"/>
      <c r="E91" s="1092"/>
      <c r="F91" s="1080"/>
      <c r="G91" s="1093"/>
      <c r="H91" s="1093"/>
      <c r="I91" s="1080"/>
      <c r="J91" s="1080"/>
      <c r="K91" s="1080"/>
      <c r="L91" s="1080"/>
      <c r="M91" s="1080"/>
      <c r="N91" s="1080"/>
      <c r="O91" s="1097"/>
      <c r="P91" s="1080"/>
      <c r="Q91" s="1080"/>
      <c r="R91" s="1080"/>
      <c r="T91" s="207"/>
      <c r="U91" s="207"/>
    </row>
    <row r="92" spans="3:21" s="73" customFormat="1" hidden="1">
      <c r="C92" s="1092" t="s">
        <v>203</v>
      </c>
      <c r="D92" s="1092"/>
      <c r="E92" s="1092"/>
      <c r="F92" s="1080"/>
      <c r="G92" s="1093"/>
      <c r="H92" s="1085"/>
      <c r="I92" s="1083"/>
      <c r="J92" s="1082"/>
      <c r="K92" s="1082"/>
      <c r="L92" s="1082"/>
      <c r="M92" s="1082"/>
      <c r="N92" s="1082"/>
      <c r="O92" s="1083"/>
      <c r="P92" s="1080"/>
      <c r="Q92" s="1080"/>
      <c r="R92" s="1080"/>
      <c r="T92" s="207"/>
      <c r="U92" s="207"/>
    </row>
    <row r="93" spans="3:21" s="73" customFormat="1" hidden="1">
      <c r="C93" s="1080"/>
      <c r="D93" s="1101" t="s">
        <v>204</v>
      </c>
      <c r="E93" s="1098"/>
      <c r="F93" s="1080"/>
      <c r="G93" s="1102"/>
      <c r="H93" s="1103"/>
      <c r="I93" s="1086"/>
      <c r="J93" s="1087"/>
      <c r="K93" s="1086"/>
      <c r="L93" s="1086"/>
      <c r="M93" s="1086"/>
      <c r="N93" s="1087"/>
      <c r="O93" s="1083">
        <f t="shared" ref="O93:O98" si="0">I93*(1-J93)+K93*(1-N93)</f>
        <v>0</v>
      </c>
      <c r="P93" s="1080"/>
      <c r="Q93" s="1088">
        <f t="shared" ref="Q93:Q98" si="1">IF($H$100=0,0,H93/$H$100)</f>
        <v>0</v>
      </c>
      <c r="R93" s="1080"/>
      <c r="S93" s="208">
        <f t="shared" ref="S93:S98" si="2">IF((SUM($O$28:$O$86)+$O$100)=0,0,O93/(SUM($O$28:$O$86)+$O$100))</f>
        <v>0</v>
      </c>
      <c r="T93" s="194">
        <f t="shared" ref="T93:T98" si="3">IF(H93&gt;0,(O93/H93),0)</f>
        <v>0</v>
      </c>
      <c r="U93" s="195"/>
    </row>
    <row r="94" spans="3:21" s="73" customFormat="1" hidden="1">
      <c r="C94" s="1080"/>
      <c r="D94" s="1101" t="s">
        <v>205</v>
      </c>
      <c r="E94" s="1098"/>
      <c r="F94" s="1080"/>
      <c r="G94" s="1102"/>
      <c r="H94" s="1103"/>
      <c r="I94" s="1086"/>
      <c r="J94" s="1087"/>
      <c r="K94" s="1086"/>
      <c r="L94" s="1086"/>
      <c r="M94" s="1086"/>
      <c r="N94" s="1087"/>
      <c r="O94" s="1083">
        <f t="shared" si="0"/>
        <v>0</v>
      </c>
      <c r="P94" s="1080"/>
      <c r="Q94" s="1088">
        <f t="shared" si="1"/>
        <v>0</v>
      </c>
      <c r="R94" s="1080"/>
      <c r="S94" s="208">
        <f t="shared" si="2"/>
        <v>0</v>
      </c>
      <c r="T94" s="194">
        <f t="shared" si="3"/>
        <v>0</v>
      </c>
      <c r="U94" s="195"/>
    </row>
    <row r="95" spans="3:21" s="73" customFormat="1" hidden="1">
      <c r="C95" s="1080"/>
      <c r="D95" s="1101" t="s">
        <v>143</v>
      </c>
      <c r="E95" s="1098"/>
      <c r="F95" s="1080"/>
      <c r="G95" s="1102"/>
      <c r="H95" s="1103"/>
      <c r="I95" s="1086"/>
      <c r="J95" s="1087"/>
      <c r="K95" s="1086"/>
      <c r="L95" s="1086"/>
      <c r="M95" s="1086"/>
      <c r="N95" s="1087"/>
      <c r="O95" s="1083">
        <f t="shared" si="0"/>
        <v>0</v>
      </c>
      <c r="P95" s="1080"/>
      <c r="Q95" s="1088">
        <f t="shared" si="1"/>
        <v>0</v>
      </c>
      <c r="R95" s="1080"/>
      <c r="S95" s="208">
        <f t="shared" si="2"/>
        <v>0</v>
      </c>
      <c r="T95" s="194">
        <f t="shared" si="3"/>
        <v>0</v>
      </c>
      <c r="U95" s="195"/>
    </row>
    <row r="96" spans="3:21" s="73" customFormat="1" hidden="1">
      <c r="C96" s="1080"/>
      <c r="D96" s="1101" t="s">
        <v>206</v>
      </c>
      <c r="E96" s="1098"/>
      <c r="F96" s="1080"/>
      <c r="G96" s="1102"/>
      <c r="H96" s="1103"/>
      <c r="I96" s="1086"/>
      <c r="J96" s="1087"/>
      <c r="K96" s="1086"/>
      <c r="L96" s="1086"/>
      <c r="M96" s="1086"/>
      <c r="N96" s="1087"/>
      <c r="O96" s="1083">
        <f t="shared" si="0"/>
        <v>0</v>
      </c>
      <c r="P96" s="1080"/>
      <c r="Q96" s="1088">
        <f t="shared" si="1"/>
        <v>0</v>
      </c>
      <c r="R96" s="1080"/>
      <c r="S96" s="208">
        <f t="shared" si="2"/>
        <v>0</v>
      </c>
      <c r="T96" s="194">
        <f t="shared" si="3"/>
        <v>0</v>
      </c>
      <c r="U96" s="195"/>
    </row>
    <row r="97" spans="3:21" s="73" customFormat="1" hidden="1">
      <c r="C97" s="1080"/>
      <c r="D97" s="1101" t="s">
        <v>244</v>
      </c>
      <c r="E97" s="1098"/>
      <c r="F97" s="1080"/>
      <c r="G97" s="1102"/>
      <c r="H97" s="1103"/>
      <c r="I97" s="1086"/>
      <c r="J97" s="1087"/>
      <c r="K97" s="1086"/>
      <c r="L97" s="1086"/>
      <c r="M97" s="1086"/>
      <c r="N97" s="1087"/>
      <c r="O97" s="1083">
        <f t="shared" si="0"/>
        <v>0</v>
      </c>
      <c r="P97" s="1080"/>
      <c r="Q97" s="1088">
        <f t="shared" si="1"/>
        <v>0</v>
      </c>
      <c r="R97" s="1080"/>
      <c r="S97" s="208">
        <f t="shared" si="2"/>
        <v>0</v>
      </c>
      <c r="T97" s="194">
        <f t="shared" si="3"/>
        <v>0</v>
      </c>
      <c r="U97" s="195"/>
    </row>
    <row r="98" spans="3:21" s="73" customFormat="1" hidden="1">
      <c r="C98" s="1098" t="s">
        <v>152</v>
      </c>
      <c r="D98" s="1098"/>
      <c r="E98" s="1098"/>
      <c r="F98" s="1080"/>
      <c r="G98" s="1102"/>
      <c r="H98" s="1103"/>
      <c r="I98" s="1086"/>
      <c r="J98" s="1087"/>
      <c r="K98" s="1086"/>
      <c r="L98" s="1086"/>
      <c r="M98" s="1086"/>
      <c r="N98" s="1087"/>
      <c r="O98" s="1083">
        <f t="shared" si="0"/>
        <v>0</v>
      </c>
      <c r="P98" s="1080"/>
      <c r="Q98" s="1088">
        <f t="shared" si="1"/>
        <v>0</v>
      </c>
      <c r="R98" s="1080"/>
      <c r="S98" s="208">
        <f t="shared" si="2"/>
        <v>0</v>
      </c>
      <c r="T98" s="194">
        <f t="shared" si="3"/>
        <v>0</v>
      </c>
      <c r="U98" s="195"/>
    </row>
    <row r="99" spans="3:21" s="73" customFormat="1" ht="6" hidden="1" customHeight="1">
      <c r="C99" s="1098"/>
      <c r="D99" s="1098"/>
      <c r="E99" s="1098"/>
      <c r="F99" s="1080"/>
      <c r="G99" s="1093"/>
      <c r="H99" s="1093"/>
      <c r="I99" s="1094"/>
      <c r="J99" s="1080"/>
      <c r="K99" s="1080"/>
      <c r="L99" s="1080"/>
      <c r="M99" s="1080"/>
      <c r="N99" s="1080"/>
      <c r="O99" s="1080"/>
      <c r="P99" s="1080"/>
      <c r="Q99" s="1080"/>
      <c r="R99" s="1080"/>
    </row>
    <row r="100" spans="3:21" s="73" customFormat="1" hidden="1">
      <c r="C100" s="2059" t="s">
        <v>209</v>
      </c>
      <c r="D100" s="2059"/>
      <c r="E100" s="2059"/>
      <c r="F100" s="1080"/>
      <c r="G100" s="1104"/>
      <c r="H100" s="1095">
        <f>SUM(H93:H98)</f>
        <v>0</v>
      </c>
      <c r="I100" s="1096"/>
      <c r="J100" s="1082"/>
      <c r="K100" s="1082"/>
      <c r="L100" s="1082"/>
      <c r="M100" s="1082"/>
      <c r="N100" s="1082"/>
      <c r="O100" s="1096">
        <f>SUM(O93:O98)</f>
        <v>0</v>
      </c>
      <c r="P100" s="1080"/>
      <c r="Q100" s="1080"/>
      <c r="R100" s="1080"/>
    </row>
    <row r="101" spans="3:21" s="73" customFormat="1" hidden="1">
      <c r="C101" s="1080"/>
      <c r="D101" s="1080"/>
      <c r="E101" s="1080"/>
      <c r="F101" s="1080"/>
      <c r="G101" s="1080"/>
      <c r="H101" s="1080"/>
      <c r="I101" s="1080"/>
      <c r="J101" s="1080"/>
      <c r="K101" s="1080"/>
      <c r="L101" s="1080"/>
      <c r="M101" s="1080"/>
      <c r="N101" s="1080"/>
      <c r="O101" s="1094"/>
      <c r="P101" s="1080"/>
      <c r="Q101" s="1080"/>
      <c r="R101" s="1080"/>
      <c r="T101" s="207"/>
      <c r="U101" s="207"/>
    </row>
    <row r="102" spans="3:21" s="73" customFormat="1" ht="18" hidden="1" customHeight="1">
      <c r="C102" s="1098" t="s">
        <v>207</v>
      </c>
      <c r="D102" s="1098"/>
      <c r="E102" s="1098"/>
      <c r="F102" s="1098"/>
      <c r="G102" s="1098"/>
      <c r="H102" s="1098"/>
      <c r="I102" s="1098"/>
      <c r="J102" s="1098"/>
      <c r="K102" s="1098"/>
      <c r="L102" s="1098"/>
      <c r="M102" s="1098"/>
      <c r="N102" s="1098"/>
      <c r="O102" s="1105" t="e">
        <f>O88+O100+E22</f>
        <v>#VALUE!</v>
      </c>
      <c r="P102" s="1091"/>
      <c r="Q102" s="1080"/>
      <c r="R102" s="1080"/>
      <c r="S102" s="198"/>
      <c r="T102" s="207"/>
      <c r="U102" s="207"/>
    </row>
    <row r="103" spans="3:21" s="73" customFormat="1" hidden="1">
      <c r="C103" s="1080"/>
      <c r="D103" s="1080"/>
      <c r="E103" s="1080"/>
      <c r="F103" s="1080"/>
      <c r="G103" s="1080"/>
      <c r="H103" s="1080"/>
      <c r="I103" s="1080"/>
      <c r="J103" s="1080"/>
      <c r="K103" s="1080"/>
      <c r="L103" s="1080"/>
      <c r="M103" s="1080"/>
      <c r="N103" s="1080"/>
      <c r="O103" s="1080"/>
      <c r="P103" s="1080"/>
      <c r="Q103" s="1080"/>
      <c r="R103" s="1080"/>
    </row>
    <row r="104" spans="3:21" s="73" customFormat="1" ht="18" hidden="1">
      <c r="C104" s="1106" t="s">
        <v>300</v>
      </c>
      <c r="D104" s="1106"/>
      <c r="E104" s="1106"/>
      <c r="F104" s="1106"/>
      <c r="G104" s="1106"/>
      <c r="H104" s="1106"/>
      <c r="I104" s="1106"/>
      <c r="J104" s="1106"/>
      <c r="K104" s="1106"/>
      <c r="L104" s="1106"/>
      <c r="M104" s="1106"/>
      <c r="N104" s="1106"/>
      <c r="O104" s="1106"/>
      <c r="P104" s="1106"/>
      <c r="Q104" s="1106"/>
      <c r="R104" s="1106"/>
    </row>
    <row r="105" spans="3:21" s="73" customFormat="1" hidden="1">
      <c r="C105" s="1080"/>
      <c r="D105" s="1080"/>
      <c r="E105" s="1080"/>
      <c r="F105" s="1080"/>
      <c r="G105" s="1080"/>
      <c r="H105" s="1080"/>
      <c r="I105" s="1080"/>
      <c r="J105" s="1080"/>
      <c r="K105" s="1080"/>
      <c r="L105" s="1080"/>
      <c r="M105" s="1080"/>
      <c r="N105" s="1080"/>
      <c r="O105" s="1080"/>
      <c r="P105" s="1080"/>
      <c r="Q105" s="1080"/>
      <c r="R105" s="1080"/>
    </row>
    <row r="106" spans="3:21" s="73" customFormat="1" hidden="1">
      <c r="C106" s="1080" t="s">
        <v>282</v>
      </c>
      <c r="D106" s="1080"/>
      <c r="E106" s="1107"/>
      <c r="F106" s="1080"/>
      <c r="G106" s="1080"/>
      <c r="H106" s="1080"/>
      <c r="I106" s="1080"/>
      <c r="J106" s="1080"/>
      <c r="K106" s="1080"/>
      <c r="L106" s="1080"/>
      <c r="M106" s="1080"/>
      <c r="N106" s="1080"/>
      <c r="O106" s="1080"/>
      <c r="P106" s="1080"/>
      <c r="Q106" s="1080"/>
      <c r="R106" s="1080"/>
    </row>
    <row r="107" spans="3:21" s="73" customFormat="1" hidden="1">
      <c r="C107" s="1080" t="s">
        <v>283</v>
      </c>
      <c r="D107" s="1080"/>
      <c r="E107" s="1103"/>
      <c r="F107" s="1080"/>
      <c r="G107" s="1080"/>
      <c r="H107" s="1080"/>
      <c r="I107" s="1080"/>
      <c r="J107" s="1080"/>
      <c r="K107" s="1080"/>
      <c r="L107" s="1080"/>
      <c r="M107" s="1080"/>
      <c r="N107" s="1080"/>
      <c r="O107" s="1080"/>
      <c r="P107" s="1080"/>
      <c r="Q107" s="1080"/>
      <c r="R107" s="1080"/>
    </row>
    <row r="108" spans="3:21" s="73" customFormat="1" hidden="1">
      <c r="C108" s="1080"/>
      <c r="D108" s="1080"/>
      <c r="E108" s="1080"/>
      <c r="F108" s="1080"/>
      <c r="G108" s="1080"/>
      <c r="H108" s="1080"/>
      <c r="I108" s="1080"/>
      <c r="J108" s="1080"/>
      <c r="K108" s="1080"/>
      <c r="L108" s="1080"/>
      <c r="M108" s="1080"/>
      <c r="N108" s="1080"/>
      <c r="O108" s="1080"/>
      <c r="P108" s="1080"/>
      <c r="Q108" s="1080"/>
      <c r="R108" s="1080"/>
    </row>
    <row r="109" spans="3:21" s="73" customFormat="1" ht="18" hidden="1" customHeight="1">
      <c r="C109" s="1098" t="s">
        <v>284</v>
      </c>
      <c r="D109" s="1098"/>
      <c r="E109" s="1098"/>
      <c r="F109" s="1098"/>
      <c r="G109" s="1098"/>
      <c r="H109" s="1098"/>
      <c r="I109" s="1098"/>
      <c r="J109" s="1098"/>
      <c r="K109" s="1098"/>
      <c r="L109" s="1098"/>
      <c r="M109" s="1098"/>
      <c r="N109" s="1098"/>
      <c r="O109" s="1105" t="e">
        <f>O102*(1-E106)</f>
        <v>#VALUE!</v>
      </c>
      <c r="P109" s="1080"/>
      <c r="Q109" s="1080"/>
      <c r="R109" s="1080"/>
    </row>
    <row r="110" spans="3:21" s="73" customFormat="1" hidden="1">
      <c r="C110" s="1080"/>
      <c r="D110" s="1080"/>
      <c r="E110" s="1080"/>
      <c r="F110" s="1080"/>
      <c r="G110" s="1080"/>
      <c r="H110" s="1080"/>
      <c r="I110" s="1080"/>
      <c r="J110" s="1080"/>
      <c r="K110" s="1080"/>
      <c r="L110" s="1080"/>
      <c r="M110" s="1080"/>
      <c r="N110" s="1080"/>
      <c r="O110" s="1080"/>
      <c r="P110" s="1080"/>
      <c r="Q110" s="1080"/>
      <c r="R110" s="1080"/>
    </row>
    <row r="111" spans="3:21" s="73" customFormat="1" hidden="1">
      <c r="C111" s="1080"/>
      <c r="D111" s="1080"/>
      <c r="E111" s="1080"/>
      <c r="F111" s="1080"/>
      <c r="G111" s="1080"/>
      <c r="H111" s="1080"/>
      <c r="I111" s="1080"/>
      <c r="J111" s="1080"/>
      <c r="K111" s="1080"/>
      <c r="L111" s="1080"/>
      <c r="M111" s="1080"/>
      <c r="N111" s="1080"/>
      <c r="O111" s="1080"/>
      <c r="P111" s="1080"/>
      <c r="Q111" s="1080"/>
      <c r="R111" s="1080"/>
    </row>
    <row r="112" spans="3:21" s="73" customFormat="1" ht="18" hidden="1">
      <c r="C112" s="1106" t="s">
        <v>289</v>
      </c>
      <c r="D112" s="1106"/>
      <c r="E112" s="1106"/>
      <c r="F112" s="1106"/>
      <c r="G112" s="1106"/>
      <c r="H112" s="1106"/>
      <c r="I112" s="1106"/>
      <c r="J112" s="1106"/>
      <c r="K112" s="1106"/>
      <c r="L112" s="1106"/>
      <c r="M112" s="1106"/>
      <c r="N112" s="1106"/>
      <c r="O112" s="1106"/>
      <c r="P112" s="1106"/>
      <c r="Q112" s="1106"/>
      <c r="R112" s="1106"/>
    </row>
    <row r="113" spans="3:18" s="73" customFormat="1" hidden="1">
      <c r="C113" s="1080"/>
      <c r="D113" s="1080"/>
      <c r="E113" s="1080"/>
      <c r="F113" s="1080"/>
      <c r="G113" s="1080"/>
      <c r="H113" s="1080"/>
      <c r="I113" s="1080"/>
      <c r="J113" s="1080"/>
      <c r="K113" s="1080"/>
      <c r="L113" s="1080"/>
      <c r="M113" s="1080"/>
      <c r="N113" s="1080"/>
      <c r="O113" s="1080"/>
      <c r="P113" s="1080"/>
      <c r="Q113" s="1080"/>
      <c r="R113" s="1080"/>
    </row>
    <row r="114" spans="3:18" s="73" customFormat="1" ht="15.75" hidden="1">
      <c r="C114" s="1108" t="s">
        <v>213</v>
      </c>
      <c r="D114" s="1080"/>
      <c r="E114" s="1080"/>
      <c r="F114" s="1080"/>
      <c r="G114" s="1080"/>
      <c r="H114" s="1080"/>
      <c r="I114" s="1080"/>
      <c r="J114" s="1080"/>
      <c r="K114" s="1080"/>
      <c r="L114" s="1080"/>
      <c r="M114" s="1080"/>
      <c r="N114" s="1080"/>
      <c r="O114" s="1080"/>
      <c r="P114" s="1080"/>
      <c r="Q114" s="1080"/>
      <c r="R114" s="1080"/>
    </row>
    <row r="115" spans="3:18" s="73" customFormat="1" hidden="1">
      <c r="C115" s="1080" t="s">
        <v>212</v>
      </c>
      <c r="D115" s="1091"/>
      <c r="E115" s="1080"/>
      <c r="F115" s="1082">
        <f>E12</f>
        <v>0</v>
      </c>
      <c r="G115" s="1082"/>
      <c r="H115" s="1080"/>
      <c r="I115" s="1080"/>
      <c r="J115" s="1080"/>
      <c r="K115" s="1080"/>
      <c r="L115" s="1080"/>
      <c r="M115" s="1080"/>
      <c r="N115" s="1080"/>
      <c r="O115" s="1080"/>
      <c r="P115" s="1080"/>
      <c r="Q115" s="1080"/>
      <c r="R115" s="1080"/>
    </row>
    <row r="116" spans="3:18" s="73" customFormat="1" hidden="1">
      <c r="C116" s="1109" t="s">
        <v>286</v>
      </c>
      <c r="D116" s="1080"/>
      <c r="E116" s="1080"/>
      <c r="F116" s="1080"/>
      <c r="G116" s="1110"/>
      <c r="H116" s="1080"/>
      <c r="I116" s="1080"/>
      <c r="J116" s="1080"/>
      <c r="K116" s="1080"/>
      <c r="L116" s="1080"/>
      <c r="M116" s="1080"/>
      <c r="N116" s="1080"/>
      <c r="O116" s="1080"/>
      <c r="P116" s="1080"/>
      <c r="Q116" s="1080"/>
      <c r="R116" s="1080"/>
    </row>
    <row r="117" spans="3:18" s="73" customFormat="1" hidden="1">
      <c r="C117" s="1080" t="s">
        <v>285</v>
      </c>
      <c r="D117" s="1091"/>
      <c r="E117" s="1080"/>
      <c r="F117" s="1083" t="e">
        <f>F120*(1-E106)</f>
        <v>#VALUE!</v>
      </c>
      <c r="G117" s="1080"/>
      <c r="H117" s="1080"/>
      <c r="I117" s="1080"/>
      <c r="J117" s="1080"/>
      <c r="K117" s="1080"/>
      <c r="L117" s="1080"/>
      <c r="M117" s="1080"/>
      <c r="N117" s="1080"/>
      <c r="O117" s="1080"/>
      <c r="P117" s="1080"/>
      <c r="Q117" s="1080"/>
      <c r="R117" s="1080"/>
    </row>
    <row r="118" spans="3:18" s="73" customFormat="1" hidden="1">
      <c r="C118" s="1080" t="s">
        <v>260</v>
      </c>
      <c r="D118" s="1080"/>
      <c r="E118" s="1080"/>
      <c r="F118" s="1083" t="e">
        <f>IF(O109&gt;0,O109/F115,0)</f>
        <v>#VALUE!</v>
      </c>
      <c r="G118" s="1080"/>
      <c r="H118" s="1080"/>
      <c r="I118" s="1080"/>
      <c r="J118" s="1080"/>
      <c r="K118" s="1080"/>
      <c r="L118" s="1080"/>
      <c r="M118" s="1080"/>
      <c r="N118" s="1080"/>
      <c r="O118" s="1080"/>
      <c r="P118" s="1080"/>
      <c r="Q118" s="1080"/>
      <c r="R118" s="1080"/>
    </row>
    <row r="119" spans="3:18" s="73" customFormat="1" hidden="1">
      <c r="C119" s="1109" t="s">
        <v>287</v>
      </c>
      <c r="D119" s="1080"/>
      <c r="E119" s="1080"/>
      <c r="F119" s="1080"/>
      <c r="G119" s="1080"/>
      <c r="H119" s="1080"/>
      <c r="I119" s="1080"/>
      <c r="J119" s="1080"/>
      <c r="K119" s="1080"/>
      <c r="L119" s="1080"/>
      <c r="M119" s="1080"/>
      <c r="N119" s="1080"/>
      <c r="O119" s="1080"/>
      <c r="P119" s="1080"/>
      <c r="Q119" s="1080"/>
      <c r="R119" s="1080"/>
    </row>
    <row r="120" spans="3:18" s="73" customFormat="1" hidden="1">
      <c r="C120" s="1080" t="s">
        <v>285</v>
      </c>
      <c r="D120" s="1091"/>
      <c r="E120" s="1080"/>
      <c r="F120" s="1083" t="e">
        <f>IF(O102&gt;0,(O102-O95-O96-O73-O74-O58)/F115,0)</f>
        <v>#VALUE!</v>
      </c>
      <c r="G120" s="1080"/>
      <c r="H120" s="1080"/>
      <c r="I120" s="1080"/>
      <c r="J120" s="1080"/>
      <c r="K120" s="1080"/>
      <c r="L120" s="1080"/>
      <c r="M120" s="1080"/>
      <c r="N120" s="1080"/>
      <c r="O120" s="1080"/>
      <c r="P120" s="1080"/>
      <c r="Q120" s="1080"/>
      <c r="R120" s="1080"/>
    </row>
    <row r="121" spans="3:18" s="73" customFormat="1" hidden="1">
      <c r="C121" s="1080" t="s">
        <v>260</v>
      </c>
      <c r="D121" s="1080"/>
      <c r="E121" s="1080"/>
      <c r="F121" s="1083" t="e">
        <f>IF(O102&gt;0,O102/F115,0)</f>
        <v>#VALUE!</v>
      </c>
      <c r="G121" s="1080"/>
      <c r="H121" s="1080"/>
      <c r="I121" s="1080"/>
      <c r="J121" s="1080"/>
      <c r="K121" s="1080"/>
      <c r="L121" s="1080"/>
      <c r="M121" s="1080"/>
      <c r="N121" s="1080"/>
      <c r="O121" s="1080"/>
      <c r="P121" s="1080"/>
      <c r="Q121" s="1080"/>
      <c r="R121" s="1080"/>
    </row>
    <row r="122" spans="3:18" s="73" customFormat="1" hidden="1">
      <c r="C122" s="1080"/>
      <c r="D122" s="1080"/>
      <c r="E122" s="1080"/>
      <c r="F122" s="1080"/>
      <c r="G122" s="1080"/>
      <c r="H122" s="1080"/>
      <c r="I122" s="1080"/>
      <c r="J122" s="1080"/>
      <c r="K122" s="1080"/>
      <c r="L122" s="1080"/>
      <c r="M122" s="1080"/>
      <c r="N122" s="1080"/>
      <c r="O122" s="1080"/>
      <c r="P122" s="1080"/>
      <c r="Q122" s="1080"/>
      <c r="R122" s="1080"/>
    </row>
    <row r="123" spans="3:18" s="73" customFormat="1" ht="18" hidden="1">
      <c r="C123" s="1106"/>
      <c r="D123" s="1106" t="s">
        <v>290</v>
      </c>
      <c r="E123" s="1106"/>
      <c r="F123" s="1106"/>
      <c r="G123" s="1106"/>
      <c r="H123" s="1106"/>
      <c r="I123" s="1106"/>
      <c r="J123" s="1106"/>
      <c r="K123" s="1106"/>
      <c r="L123" s="1106"/>
      <c r="M123" s="1106"/>
      <c r="N123" s="1106"/>
      <c r="O123" s="1106"/>
      <c r="P123" s="1106"/>
      <c r="Q123" s="1106"/>
      <c r="R123" s="1106"/>
    </row>
    <row r="124" spans="3:18" s="73" customFormat="1" hidden="1">
      <c r="C124" s="1080"/>
      <c r="D124" s="1099"/>
      <c r="E124" s="1099"/>
      <c r="F124" s="1099"/>
      <c r="G124" s="1099"/>
      <c r="H124" s="1099"/>
      <c r="I124" s="1099"/>
      <c r="J124" s="1099"/>
      <c r="K124" s="1099"/>
      <c r="L124" s="1099"/>
      <c r="M124" s="1099"/>
      <c r="N124" s="1099"/>
      <c r="O124" s="1099"/>
      <c r="P124" s="1099"/>
      <c r="Q124" s="1099"/>
      <c r="R124" s="1099"/>
    </row>
    <row r="125" spans="3:18" s="73" customFormat="1" hidden="1">
      <c r="C125" s="1092" t="s">
        <v>192</v>
      </c>
      <c r="D125" s="1080"/>
      <c r="E125" s="1111"/>
      <c r="F125" s="1080"/>
      <c r="G125" s="1080"/>
      <c r="H125" s="1080"/>
      <c r="I125" s="1099"/>
      <c r="J125" s="1099"/>
      <c r="K125" s="1099"/>
      <c r="L125" s="1099"/>
      <c r="M125" s="1099"/>
      <c r="N125" s="1099"/>
      <c r="O125" s="1099"/>
      <c r="P125" s="1080"/>
      <c r="Q125" s="1099"/>
      <c r="R125" s="1099"/>
    </row>
    <row r="126" spans="3:18" s="73" customFormat="1" hidden="1">
      <c r="C126" s="1080"/>
      <c r="D126" s="1099"/>
      <c r="E126" s="1099"/>
      <c r="F126" s="1099"/>
      <c r="G126" s="1099"/>
      <c r="H126" s="1099"/>
      <c r="I126" s="1099"/>
      <c r="J126" s="1099"/>
      <c r="K126" s="1099"/>
      <c r="L126" s="1099"/>
      <c r="M126" s="1099"/>
      <c r="N126" s="1099"/>
      <c r="O126" s="1099"/>
      <c r="P126" s="1099"/>
      <c r="Q126" s="1099"/>
      <c r="R126" s="1099"/>
    </row>
    <row r="127" spans="3:18" s="73" customFormat="1" ht="18" hidden="1">
      <c r="C127" s="1106" t="s">
        <v>291</v>
      </c>
      <c r="D127" s="1080"/>
      <c r="E127" s="1091"/>
      <c r="F127" s="1099"/>
      <c r="G127" s="1099"/>
      <c r="H127" s="1099"/>
      <c r="I127" s="1099"/>
      <c r="J127" s="1099"/>
      <c r="K127" s="1099"/>
      <c r="L127" s="1099"/>
      <c r="M127" s="1099"/>
      <c r="N127" s="1099"/>
      <c r="O127" s="1099"/>
      <c r="P127" s="1099"/>
      <c r="Q127" s="1099"/>
      <c r="R127" s="1099"/>
    </row>
    <row r="128" spans="3:18" s="73" customFormat="1" hidden="1">
      <c r="C128" s="1080"/>
      <c r="D128" s="1080"/>
      <c r="E128" s="1080"/>
      <c r="F128" s="1080"/>
      <c r="G128" s="1080"/>
      <c r="H128" s="1080"/>
      <c r="I128" s="1080"/>
      <c r="J128" s="1080"/>
      <c r="K128" s="1080"/>
      <c r="L128" s="1080"/>
      <c r="M128" s="1080"/>
      <c r="N128" s="1080"/>
      <c r="O128" s="1080"/>
      <c r="P128" s="1080"/>
      <c r="Q128" s="1080"/>
      <c r="R128" s="1080"/>
    </row>
    <row r="129" spans="3:18" s="73" customFormat="1" hidden="1">
      <c r="C129" s="1112" t="s">
        <v>258</v>
      </c>
      <c r="D129" s="1080"/>
      <c r="E129" s="1086"/>
      <c r="F129" s="1080"/>
      <c r="G129" s="1082"/>
      <c r="H129" s="1082"/>
      <c r="I129" s="1082"/>
      <c r="J129" s="1082"/>
      <c r="K129" s="1082"/>
      <c r="L129" s="1082"/>
      <c r="M129" s="1082"/>
      <c r="N129" s="1080"/>
      <c r="O129" s="1080"/>
      <c r="P129" s="1080"/>
      <c r="Q129" s="1080"/>
      <c r="R129" s="1080"/>
    </row>
    <row r="130" spans="3:18" s="73" customFormat="1" hidden="1">
      <c r="C130" s="1080"/>
      <c r="D130" s="1080"/>
      <c r="E130" s="1080"/>
      <c r="F130" s="1080"/>
      <c r="G130" s="1082"/>
      <c r="H130" s="1082"/>
      <c r="I130" s="1082"/>
      <c r="J130" s="1082"/>
      <c r="K130" s="1082"/>
      <c r="L130" s="1082"/>
      <c r="M130" s="1082"/>
      <c r="N130" s="1080"/>
      <c r="O130" s="1080"/>
      <c r="P130" s="1080"/>
      <c r="Q130" s="1080"/>
      <c r="R130" s="1080"/>
    </row>
    <row r="131" spans="3:18" s="73" customFormat="1" ht="24.75" hidden="1" customHeight="1">
      <c r="C131" s="1080"/>
      <c r="D131" s="1100" t="s">
        <v>292</v>
      </c>
      <c r="E131" s="1100" t="s">
        <v>211</v>
      </c>
      <c r="F131" s="1100" t="s">
        <v>293</v>
      </c>
      <c r="G131" s="1100" t="s">
        <v>294</v>
      </c>
      <c r="H131" s="1100" t="s">
        <v>242</v>
      </c>
      <c r="I131" s="1080"/>
      <c r="J131" s="1080"/>
      <c r="K131" s="1080"/>
      <c r="L131" s="1080"/>
      <c r="M131" s="1080"/>
      <c r="N131" s="1080"/>
      <c r="O131" s="1080"/>
      <c r="P131" s="1080"/>
      <c r="Q131" s="1080"/>
      <c r="R131" s="1080"/>
    </row>
    <row r="132" spans="3:18" s="73" customFormat="1" hidden="1">
      <c r="C132" s="1080"/>
      <c r="D132" s="1089" t="s">
        <v>346</v>
      </c>
      <c r="E132" s="1113"/>
      <c r="F132" s="1086"/>
      <c r="G132" s="1114"/>
      <c r="H132" s="1083">
        <f>F132*(1-G132)*E132</f>
        <v>0</v>
      </c>
      <c r="I132" s="1080"/>
      <c r="J132" s="1080"/>
      <c r="K132" s="1080"/>
      <c r="L132" s="1080"/>
      <c r="M132" s="1080"/>
      <c r="N132" s="1080"/>
      <c r="O132" s="1080"/>
      <c r="P132" s="1080"/>
      <c r="Q132" s="1080"/>
      <c r="R132" s="1080"/>
    </row>
    <row r="133" spans="3:18" s="73" customFormat="1" hidden="1">
      <c r="C133" s="1080"/>
      <c r="D133" s="1089" t="s">
        <v>347</v>
      </c>
      <c r="E133" s="1113"/>
      <c r="F133" s="1086"/>
      <c r="G133" s="1114"/>
      <c r="H133" s="1083">
        <f>F133*(1-G133)*E133</f>
        <v>0</v>
      </c>
      <c r="I133" s="1080"/>
      <c r="J133" s="1080"/>
      <c r="K133" s="1080"/>
      <c r="L133" s="1080"/>
      <c r="M133" s="1080"/>
      <c r="N133" s="1080"/>
      <c r="O133" s="1080"/>
      <c r="P133" s="1080"/>
      <c r="Q133" s="1080"/>
      <c r="R133" s="1080"/>
    </row>
    <row r="134" spans="3:18" s="73" customFormat="1" hidden="1">
      <c r="C134" s="1080"/>
      <c r="D134" s="1089" t="s">
        <v>348</v>
      </c>
      <c r="E134" s="1113"/>
      <c r="F134" s="1086"/>
      <c r="G134" s="1114"/>
      <c r="H134" s="1083">
        <f>F134*(1-G134)*E134</f>
        <v>0</v>
      </c>
      <c r="I134" s="1080"/>
      <c r="J134" s="1080"/>
      <c r="K134" s="1080"/>
      <c r="L134" s="1080"/>
      <c r="M134" s="1080"/>
      <c r="N134" s="1080"/>
      <c r="O134" s="1080"/>
      <c r="P134" s="1080"/>
      <c r="Q134" s="1080"/>
      <c r="R134" s="1080"/>
    </row>
    <row r="135" spans="3:18" s="73" customFormat="1" hidden="1">
      <c r="C135" s="1080"/>
      <c r="D135" s="1115" t="s">
        <v>295</v>
      </c>
      <c r="E135" s="1116">
        <f>SUM(E132:E134)</f>
        <v>0</v>
      </c>
      <c r="F135" s="1080"/>
      <c r="G135" s="1080"/>
      <c r="H135" s="1096">
        <f>SUM(H132:H134)</f>
        <v>0</v>
      </c>
      <c r="I135" s="1080"/>
      <c r="J135" s="1080"/>
      <c r="K135" s="1080"/>
      <c r="L135" s="1080"/>
      <c r="M135" s="1080"/>
      <c r="N135" s="1080"/>
      <c r="O135" s="1080"/>
      <c r="P135" s="1080"/>
      <c r="Q135" s="1080"/>
      <c r="R135" s="1080"/>
    </row>
    <row r="136" spans="3:18" s="73" customFormat="1" hidden="1">
      <c r="C136" s="1080"/>
      <c r="D136" s="1080"/>
      <c r="E136" s="1080"/>
      <c r="F136" s="1080"/>
      <c r="G136" s="1080"/>
      <c r="H136" s="1080"/>
      <c r="I136" s="1080"/>
      <c r="J136" s="1080"/>
      <c r="K136" s="1080"/>
      <c r="L136" s="1080"/>
      <c r="M136" s="1080"/>
      <c r="N136" s="1080"/>
      <c r="O136" s="1080"/>
      <c r="P136" s="1080"/>
      <c r="Q136" s="1080"/>
      <c r="R136" s="1080"/>
    </row>
    <row r="137" spans="3:18" s="73" customFormat="1" hidden="1">
      <c r="C137" s="1080"/>
      <c r="D137" s="1115" t="s">
        <v>298</v>
      </c>
      <c r="E137" s="1080"/>
      <c r="F137" s="1080"/>
      <c r="G137" s="1080"/>
      <c r="H137" s="1096">
        <f>E129+H135</f>
        <v>0</v>
      </c>
      <c r="I137" s="1080"/>
      <c r="J137" s="1080"/>
      <c r="K137" s="1080"/>
      <c r="L137" s="1080"/>
      <c r="M137" s="1080"/>
      <c r="N137" s="1080"/>
      <c r="O137" s="1080"/>
      <c r="P137" s="1080"/>
      <c r="Q137" s="1080"/>
      <c r="R137" s="1080"/>
    </row>
    <row r="138" spans="3:18" s="73" customFormat="1" hidden="1">
      <c r="C138" s="1080"/>
      <c r="D138" s="1080"/>
      <c r="E138" s="1080"/>
      <c r="F138" s="1080"/>
      <c r="G138" s="1080"/>
      <c r="H138" s="1080"/>
      <c r="I138" s="1080"/>
      <c r="J138" s="1080"/>
      <c r="K138" s="1080"/>
      <c r="L138" s="1080"/>
      <c r="M138" s="1080"/>
      <c r="N138" s="1080"/>
      <c r="O138" s="1080"/>
      <c r="P138" s="1080"/>
      <c r="Q138" s="1080"/>
      <c r="R138" s="1080"/>
    </row>
    <row r="139" spans="3:18" s="73" customFormat="1" hidden="1">
      <c r="C139" s="1080"/>
      <c r="D139" s="1080"/>
      <c r="E139" s="1080"/>
      <c r="F139" s="1080"/>
      <c r="G139" s="1080"/>
      <c r="H139" s="1080"/>
      <c r="I139" s="1080"/>
      <c r="J139" s="1080"/>
      <c r="K139" s="1080"/>
      <c r="L139" s="1080"/>
      <c r="M139" s="1080"/>
      <c r="N139" s="1080"/>
      <c r="O139" s="1080"/>
      <c r="P139" s="1080"/>
      <c r="Q139" s="1080"/>
      <c r="R139" s="1080"/>
    </row>
    <row r="140" spans="3:18" s="73" customFormat="1" ht="18" hidden="1">
      <c r="C140" s="1080"/>
      <c r="D140" s="1106" t="s">
        <v>296</v>
      </c>
      <c r="E140" s="1091"/>
      <c r="F140" s="1099"/>
      <c r="G140" s="1099"/>
      <c r="H140" s="1099"/>
      <c r="I140" s="1099"/>
      <c r="J140" s="1099"/>
      <c r="K140" s="1099"/>
      <c r="L140" s="1099"/>
      <c r="M140" s="1099"/>
      <c r="N140" s="1099"/>
      <c r="O140" s="1099"/>
      <c r="P140" s="1099"/>
      <c r="Q140" s="1080"/>
      <c r="R140" s="1080"/>
    </row>
    <row r="141" spans="3:18" s="73" customFormat="1" hidden="1">
      <c r="C141" s="1080"/>
      <c r="D141" s="1080"/>
      <c r="E141" s="1080"/>
      <c r="F141" s="1117"/>
      <c r="G141" s="1080"/>
      <c r="H141" s="1080"/>
      <c r="I141" s="1080"/>
      <c r="J141" s="1080"/>
      <c r="K141" s="1080"/>
      <c r="L141" s="1080"/>
      <c r="M141" s="1080"/>
      <c r="N141" s="1080"/>
      <c r="O141" s="1080"/>
      <c r="P141" s="1080"/>
      <c r="Q141" s="1080"/>
      <c r="R141" s="1080"/>
    </row>
    <row r="142" spans="3:18" s="73" customFormat="1" hidden="1">
      <c r="C142" s="1080"/>
      <c r="D142" s="1112" t="s">
        <v>258</v>
      </c>
      <c r="E142" s="1086"/>
      <c r="F142" s="1080"/>
      <c r="G142" s="1080"/>
      <c r="H142" s="1080"/>
      <c r="I142" s="1080"/>
      <c r="J142" s="1080"/>
      <c r="K142" s="1080"/>
      <c r="L142" s="1080"/>
      <c r="M142" s="1080"/>
      <c r="N142" s="1080"/>
      <c r="O142" s="1080"/>
      <c r="P142" s="1080"/>
      <c r="Q142" s="1080"/>
      <c r="R142" s="1080"/>
    </row>
    <row r="143" spans="3:18" s="73" customFormat="1" hidden="1">
      <c r="C143" s="1080"/>
      <c r="D143" s="1080"/>
      <c r="E143" s="1080"/>
      <c r="F143" s="1082"/>
      <c r="G143" s="1082"/>
      <c r="H143" s="1082"/>
      <c r="I143" s="1080"/>
      <c r="J143" s="1080"/>
      <c r="K143" s="1082"/>
      <c r="L143" s="1082"/>
      <c r="M143" s="1082"/>
      <c r="N143" s="1080"/>
      <c r="O143" s="1080"/>
      <c r="P143" s="1080"/>
      <c r="Q143" s="1080"/>
      <c r="R143" s="1080"/>
    </row>
    <row r="144" spans="3:18" s="73" customFormat="1" ht="24" hidden="1" customHeight="1">
      <c r="C144" s="1080"/>
      <c r="D144" s="1100" t="s">
        <v>292</v>
      </c>
      <c r="E144" s="1100" t="s">
        <v>211</v>
      </c>
      <c r="F144" s="1100" t="s">
        <v>293</v>
      </c>
      <c r="G144" s="1100" t="s">
        <v>294</v>
      </c>
      <c r="H144" s="1100" t="s">
        <v>242</v>
      </c>
      <c r="I144" s="1080"/>
      <c r="J144" s="1080"/>
      <c r="K144" s="1082"/>
      <c r="L144" s="1082"/>
      <c r="M144" s="1082"/>
      <c r="N144" s="1080"/>
      <c r="O144" s="1080"/>
      <c r="P144" s="1080"/>
      <c r="Q144" s="1080"/>
      <c r="R144" s="1080"/>
    </row>
    <row r="145" spans="3:18" s="73" customFormat="1" hidden="1">
      <c r="C145" s="1080"/>
      <c r="D145" s="1089" t="s">
        <v>306</v>
      </c>
      <c r="E145" s="1118"/>
      <c r="F145" s="1083"/>
      <c r="G145" s="1081"/>
      <c r="H145" s="1083">
        <f>F145*(1-G145)*E145</f>
        <v>0</v>
      </c>
      <c r="I145" s="1080"/>
      <c r="J145" s="1080"/>
      <c r="K145" s="1081"/>
      <c r="L145" s="1081"/>
      <c r="M145" s="1081"/>
      <c r="N145" s="1080"/>
      <c r="O145" s="1080"/>
      <c r="P145" s="1080"/>
      <c r="Q145" s="1080"/>
      <c r="R145" s="1080"/>
    </row>
    <row r="146" spans="3:18" s="73" customFormat="1" hidden="1">
      <c r="C146" s="1080"/>
      <c r="D146" s="1089" t="s">
        <v>349</v>
      </c>
      <c r="E146" s="1113"/>
      <c r="F146" s="1086"/>
      <c r="G146" s="1114"/>
      <c r="H146" s="1083">
        <f>F146*(1-G146)*E146</f>
        <v>0</v>
      </c>
      <c r="I146" s="1080"/>
      <c r="J146" s="1080"/>
      <c r="K146" s="1081"/>
      <c r="L146" s="1081"/>
      <c r="M146" s="1081"/>
      <c r="N146" s="1080"/>
      <c r="O146" s="1080"/>
      <c r="P146" s="1080"/>
      <c r="Q146" s="1080"/>
      <c r="R146" s="1080"/>
    </row>
    <row r="147" spans="3:18" s="73" customFormat="1" hidden="1">
      <c r="C147" s="1080"/>
      <c r="D147" s="1089" t="s">
        <v>110</v>
      </c>
      <c r="E147" s="1113"/>
      <c r="F147" s="1086"/>
      <c r="G147" s="1114"/>
      <c r="H147" s="1083">
        <f>F147*(1-G147)*E147</f>
        <v>0</v>
      </c>
      <c r="I147" s="1080"/>
      <c r="J147" s="1080"/>
      <c r="K147" s="1081"/>
      <c r="L147" s="1081"/>
      <c r="M147" s="1081"/>
      <c r="N147" s="1080"/>
      <c r="O147" s="1080"/>
      <c r="P147" s="1080"/>
      <c r="Q147" s="1080"/>
      <c r="R147" s="1080"/>
    </row>
    <row r="148" spans="3:18" s="73" customFormat="1" hidden="1">
      <c r="C148" s="1080"/>
      <c r="D148" s="1089" t="s">
        <v>111</v>
      </c>
      <c r="E148" s="1113"/>
      <c r="F148" s="1086"/>
      <c r="G148" s="1114"/>
      <c r="H148" s="1083">
        <f>F148*(1-G148)*E148</f>
        <v>0</v>
      </c>
      <c r="I148" s="1080"/>
      <c r="J148" s="1080"/>
      <c r="K148" s="1081"/>
      <c r="L148" s="1081"/>
      <c r="M148" s="1081"/>
      <c r="N148" s="1080"/>
      <c r="O148" s="1080"/>
      <c r="P148" s="1080"/>
      <c r="Q148" s="1080"/>
      <c r="R148" s="1080"/>
    </row>
    <row r="149" spans="3:18" s="73" customFormat="1" hidden="1">
      <c r="C149" s="1080"/>
      <c r="D149" s="1115" t="s">
        <v>295</v>
      </c>
      <c r="E149" s="1116">
        <f>SUM(E145:E148)</f>
        <v>0</v>
      </c>
      <c r="F149" s="1080"/>
      <c r="G149" s="1080"/>
      <c r="H149" s="1096">
        <f>SUM(H145:H148)</f>
        <v>0</v>
      </c>
      <c r="I149" s="1080"/>
      <c r="J149" s="1080"/>
      <c r="K149" s="1080"/>
      <c r="L149" s="1080"/>
      <c r="M149" s="1080"/>
      <c r="N149" s="1080"/>
      <c r="O149" s="1080"/>
      <c r="P149" s="1080"/>
      <c r="Q149" s="1080"/>
      <c r="R149" s="1080"/>
    </row>
    <row r="150" spans="3:18" s="73" customFormat="1" hidden="1">
      <c r="C150" s="1080"/>
      <c r="D150" s="1080"/>
      <c r="E150" s="1080"/>
      <c r="F150" s="1080"/>
      <c r="G150" s="1080"/>
      <c r="H150" s="1080"/>
      <c r="I150" s="1080"/>
      <c r="J150" s="1080"/>
      <c r="K150" s="1080"/>
      <c r="L150" s="1080"/>
      <c r="M150" s="1080"/>
      <c r="N150" s="1080"/>
      <c r="O150" s="1080"/>
      <c r="P150" s="1080"/>
      <c r="Q150" s="1080"/>
      <c r="R150" s="1080"/>
    </row>
    <row r="151" spans="3:18" s="73" customFormat="1" ht="15.75" hidden="1" customHeight="1">
      <c r="C151" s="1080"/>
      <c r="D151" s="1115" t="s">
        <v>299</v>
      </c>
      <c r="E151" s="1080"/>
      <c r="F151" s="1080"/>
      <c r="G151" s="1080"/>
      <c r="H151" s="1080"/>
      <c r="I151" s="1080"/>
      <c r="J151" s="1080"/>
      <c r="K151" s="1096">
        <f>E142+H149</f>
        <v>0</v>
      </c>
      <c r="L151" s="1096"/>
      <c r="M151" s="1096"/>
      <c r="N151" s="1080"/>
      <c r="O151" s="1080"/>
      <c r="P151" s="1080"/>
      <c r="Q151" s="1080"/>
      <c r="R151" s="1080"/>
    </row>
    <row r="152" spans="3:18" s="73" customFormat="1" ht="7.5" hidden="1" customHeight="1">
      <c r="C152" s="1080"/>
      <c r="D152" s="1080"/>
      <c r="E152" s="1080"/>
      <c r="F152" s="1080"/>
      <c r="G152" s="1080"/>
      <c r="H152" s="1080"/>
      <c r="I152" s="1080"/>
      <c r="J152" s="1080"/>
      <c r="K152" s="1080"/>
      <c r="L152" s="1080"/>
      <c r="M152" s="1080"/>
      <c r="N152" s="1080"/>
      <c r="O152" s="1080"/>
      <c r="P152" s="1080"/>
      <c r="Q152" s="1080"/>
      <c r="R152" s="1080"/>
    </row>
    <row r="153" spans="3:18" s="73" customFormat="1" ht="15.75" hidden="1" customHeight="1">
      <c r="C153" s="1080"/>
      <c r="D153" s="1115" t="s">
        <v>297</v>
      </c>
      <c r="E153" s="1080"/>
      <c r="F153" s="1080"/>
      <c r="G153" s="1080"/>
      <c r="H153" s="1080"/>
      <c r="I153" s="1080"/>
      <c r="J153" s="1080"/>
      <c r="K153" s="1096">
        <f>H137+K151</f>
        <v>0</v>
      </c>
      <c r="L153" s="1096"/>
      <c r="M153" s="1096"/>
      <c r="N153" s="1080"/>
      <c r="O153" s="1080"/>
      <c r="P153" s="1080"/>
      <c r="Q153" s="1080"/>
      <c r="R153" s="1080"/>
    </row>
    <row r="154" spans="3:18" s="73" customFormat="1" hidden="1">
      <c r="C154" s="1080"/>
      <c r="D154" s="1080"/>
      <c r="E154" s="1080"/>
      <c r="F154" s="1080"/>
      <c r="G154" s="1080"/>
      <c r="H154" s="1080"/>
      <c r="I154" s="1080"/>
      <c r="J154" s="1080"/>
      <c r="K154" s="1080"/>
      <c r="L154" s="1080"/>
      <c r="M154" s="1080"/>
      <c r="N154" s="1080"/>
      <c r="O154" s="1080"/>
      <c r="P154" s="1080"/>
      <c r="Q154" s="1080"/>
      <c r="R154" s="1080"/>
    </row>
    <row r="155" spans="3:18" s="73" customFormat="1" ht="18" hidden="1">
      <c r="C155" s="1080"/>
      <c r="D155" s="1106" t="s">
        <v>301</v>
      </c>
      <c r="E155" s="1106"/>
      <c r="F155" s="1106"/>
      <c r="G155" s="1106"/>
      <c r="H155" s="1106"/>
      <c r="I155" s="1106"/>
      <c r="J155" s="1106"/>
      <c r="K155" s="1106"/>
      <c r="L155" s="1106"/>
      <c r="M155" s="1106"/>
      <c r="N155" s="1106"/>
      <c r="O155" s="1106"/>
      <c r="P155" s="1106"/>
      <c r="Q155" s="1106"/>
      <c r="R155" s="1080"/>
    </row>
    <row r="156" spans="3:18" s="73" customFormat="1" hidden="1">
      <c r="C156" s="1080"/>
      <c r="D156" s="1080"/>
      <c r="E156" s="1080"/>
      <c r="F156" s="1080"/>
      <c r="G156" s="1080"/>
      <c r="H156" s="1080"/>
      <c r="I156" s="1080"/>
      <c r="J156" s="1080"/>
      <c r="K156" s="1080"/>
      <c r="L156" s="1080"/>
      <c r="M156" s="1080"/>
      <c r="N156" s="1080"/>
      <c r="O156" s="1080"/>
      <c r="P156" s="1080"/>
      <c r="Q156" s="1080"/>
      <c r="R156" s="1080"/>
    </row>
    <row r="157" spans="3:18" s="73" customFormat="1" ht="15.75" hidden="1">
      <c r="C157" s="1080"/>
      <c r="D157" s="1108" t="s">
        <v>302</v>
      </c>
      <c r="E157" s="1080"/>
      <c r="F157" s="1080"/>
      <c r="G157" s="1080"/>
      <c r="H157" s="1080"/>
      <c r="I157" s="1080"/>
      <c r="J157" s="1080"/>
      <c r="K157" s="1080"/>
      <c r="L157" s="1080"/>
      <c r="M157" s="1080"/>
      <c r="N157" s="1080"/>
      <c r="O157" s="1080"/>
      <c r="P157" s="1080"/>
      <c r="Q157" s="1080"/>
      <c r="R157" s="1080"/>
    </row>
    <row r="158" spans="3:18" s="73" customFormat="1" hidden="1">
      <c r="C158" s="1080"/>
      <c r="D158" s="1080" t="s">
        <v>303</v>
      </c>
      <c r="E158" s="1118">
        <f>E135+E149</f>
        <v>0</v>
      </c>
      <c r="F158" s="1080"/>
      <c r="G158" s="1080"/>
      <c r="H158" s="1082"/>
      <c r="I158" s="1080"/>
      <c r="J158" s="1080"/>
      <c r="K158" s="1080"/>
      <c r="L158" s="1080"/>
      <c r="M158" s="1080"/>
      <c r="N158" s="1080"/>
      <c r="O158" s="1080"/>
      <c r="P158" s="1080"/>
      <c r="Q158" s="1080"/>
      <c r="R158" s="1080"/>
    </row>
    <row r="159" spans="3:18" s="73" customFormat="1" hidden="1">
      <c r="C159" s="1080"/>
      <c r="D159" s="1080" t="s">
        <v>304</v>
      </c>
      <c r="E159" s="1083">
        <f>IF(E158&gt;0,K153/E158,0)</f>
        <v>0</v>
      </c>
      <c r="F159" s="1080"/>
      <c r="G159" s="1080"/>
      <c r="H159" s="1080"/>
      <c r="I159" s="1080"/>
      <c r="J159" s="1080"/>
      <c r="K159" s="1080"/>
      <c r="L159" s="1080"/>
      <c r="M159" s="1080"/>
      <c r="N159" s="1080"/>
      <c r="O159" s="1080"/>
      <c r="P159" s="1080"/>
      <c r="Q159" s="1080"/>
      <c r="R159" s="1080"/>
    </row>
    <row r="160" spans="3:18" s="73" customFormat="1" hidden="1">
      <c r="C160" s="1080"/>
      <c r="D160" s="1080"/>
      <c r="E160" s="1080"/>
      <c r="F160" s="1080"/>
      <c r="G160" s="1080"/>
      <c r="H160" s="1080"/>
      <c r="I160" s="1080"/>
      <c r="J160" s="1080"/>
      <c r="K160" s="1080"/>
      <c r="L160" s="1080"/>
      <c r="M160" s="1080"/>
      <c r="N160" s="1080"/>
      <c r="O160" s="1080"/>
      <c r="P160" s="1080"/>
      <c r="Q160" s="1080"/>
      <c r="R160" s="1080"/>
    </row>
    <row r="161" spans="3:18" s="73" customFormat="1" ht="18" hidden="1">
      <c r="C161" s="1106"/>
      <c r="D161" s="1106" t="s">
        <v>132</v>
      </c>
      <c r="E161" s="1106"/>
      <c r="F161" s="1106"/>
      <c r="G161" s="1106"/>
      <c r="H161" s="1106"/>
      <c r="I161" s="1106"/>
      <c r="J161" s="1106"/>
      <c r="K161" s="1106"/>
      <c r="L161" s="1106"/>
      <c r="M161" s="1106"/>
      <c r="N161" s="1106"/>
      <c r="O161" s="1106"/>
      <c r="P161" s="1106"/>
      <c r="Q161" s="1106"/>
      <c r="R161" s="1106"/>
    </row>
    <row r="162" spans="3:18" s="73" customFormat="1" ht="9" hidden="1" customHeight="1">
      <c r="C162" s="1080"/>
      <c r="D162" s="1080"/>
      <c r="E162" s="1080"/>
      <c r="F162" s="1080"/>
      <c r="G162" s="1080"/>
      <c r="H162" s="1080"/>
      <c r="I162" s="1080"/>
      <c r="J162" s="1080"/>
      <c r="K162" s="1080"/>
      <c r="L162" s="1080"/>
      <c r="M162" s="1080"/>
      <c r="N162" s="1080"/>
      <c r="O162" s="1080"/>
      <c r="P162" s="1080"/>
      <c r="Q162" s="1080"/>
      <c r="R162" s="1080"/>
    </row>
    <row r="163" spans="3:18" s="73" customFormat="1" hidden="1">
      <c r="C163" s="1092" t="s">
        <v>192</v>
      </c>
      <c r="D163" s="1080"/>
      <c r="E163" s="1111"/>
      <c r="F163" s="1080"/>
      <c r="G163" s="1080"/>
      <c r="H163" s="1080"/>
      <c r="I163" s="1080"/>
      <c r="J163" s="1080"/>
      <c r="K163" s="1080"/>
      <c r="L163" s="1080"/>
      <c r="M163" s="1080"/>
      <c r="N163" s="1080"/>
      <c r="O163" s="1080"/>
      <c r="P163" s="1080"/>
      <c r="Q163" s="1080"/>
      <c r="R163" s="1080"/>
    </row>
    <row r="164" spans="3:18" s="73" customFormat="1" hidden="1">
      <c r="C164" s="1080"/>
      <c r="D164" s="1080"/>
      <c r="E164" s="1080"/>
      <c r="F164" s="1080"/>
      <c r="G164" s="1080"/>
      <c r="H164" s="1080"/>
      <c r="I164" s="1080"/>
      <c r="J164" s="1080"/>
      <c r="K164" s="1080"/>
      <c r="L164" s="1080"/>
      <c r="M164" s="1080"/>
      <c r="N164" s="1080"/>
      <c r="O164" s="1080"/>
      <c r="P164" s="1080"/>
      <c r="Q164" s="1080"/>
      <c r="R164" s="1080"/>
    </row>
    <row r="165" spans="3:18" s="73" customFormat="1" ht="15" hidden="1" customHeight="1">
      <c r="C165" s="1091" t="s">
        <v>338</v>
      </c>
      <c r="D165" s="1119"/>
      <c r="E165" s="1120"/>
      <c r="F165" s="1120"/>
      <c r="G165" s="1120"/>
      <c r="H165" s="1120"/>
      <c r="I165" s="1120"/>
      <c r="J165" s="1120"/>
      <c r="K165" s="1120"/>
      <c r="L165" s="1120"/>
      <c r="M165" s="1120"/>
      <c r="N165" s="1120"/>
      <c r="O165" s="1120"/>
      <c r="P165" s="1080"/>
      <c r="Q165" s="1080"/>
      <c r="R165" s="1080"/>
    </row>
    <row r="166" spans="3:18" s="73" customFormat="1" ht="5.25" hidden="1" customHeight="1">
      <c r="C166" s="1080"/>
      <c r="D166" s="1080"/>
      <c r="E166" s="1117"/>
      <c r="F166" s="1080"/>
      <c r="G166" s="1080"/>
      <c r="H166" s="1080"/>
      <c r="I166" s="1080"/>
      <c r="J166" s="1080"/>
      <c r="K166" s="1080"/>
      <c r="L166" s="1080"/>
      <c r="M166" s="1080"/>
      <c r="N166" s="1080"/>
      <c r="O166" s="1080"/>
      <c r="P166" s="1080"/>
      <c r="Q166" s="1080"/>
      <c r="R166" s="1080"/>
    </row>
    <row r="167" spans="3:18" s="73" customFormat="1" hidden="1">
      <c r="C167" s="1080" t="s">
        <v>338</v>
      </c>
      <c r="D167" s="1080"/>
      <c r="E167" s="1111"/>
      <c r="F167" s="1080"/>
      <c r="G167" s="1080"/>
      <c r="H167" s="1080"/>
      <c r="I167" s="1080"/>
      <c r="J167" s="1080"/>
      <c r="K167" s="1080"/>
      <c r="L167" s="1080"/>
      <c r="M167" s="1080"/>
      <c r="N167" s="1080"/>
      <c r="O167" s="1080"/>
      <c r="P167" s="1080"/>
      <c r="Q167" s="1080"/>
      <c r="R167" s="1080"/>
    </row>
    <row r="168" spans="3:18" s="73" customFormat="1" ht="8.25" hidden="1" customHeight="1">
      <c r="C168" s="1080"/>
      <c r="D168" s="1080"/>
      <c r="E168" s="1080"/>
      <c r="F168" s="1080"/>
      <c r="G168" s="1080"/>
      <c r="H168" s="1080"/>
      <c r="I168" s="1080"/>
      <c r="J168" s="1080"/>
      <c r="K168" s="1080"/>
      <c r="L168" s="1080"/>
      <c r="M168" s="1080"/>
      <c r="N168" s="1080"/>
      <c r="O168" s="1080"/>
      <c r="P168" s="1080"/>
      <c r="Q168" s="1080"/>
      <c r="R168" s="1080"/>
    </row>
    <row r="169" spans="3:18" s="73" customFormat="1" ht="15" hidden="1" customHeight="1">
      <c r="C169" s="1119" t="s">
        <v>255</v>
      </c>
      <c r="D169" s="1119"/>
      <c r="E169" s="1120"/>
      <c r="F169" s="1120"/>
      <c r="G169" s="1120"/>
      <c r="H169" s="1120"/>
      <c r="I169" s="1120"/>
      <c r="J169" s="1120"/>
      <c r="K169" s="1120"/>
      <c r="L169" s="1120"/>
      <c r="M169" s="1120"/>
      <c r="N169" s="1120"/>
      <c r="O169" s="1120"/>
      <c r="P169" s="1080"/>
      <c r="Q169" s="1080"/>
      <c r="R169" s="1080"/>
    </row>
    <row r="170" spans="3:18" s="73" customFormat="1" ht="7.5" hidden="1" customHeight="1">
      <c r="C170" s="1080"/>
      <c r="D170" s="1080"/>
      <c r="E170" s="1080"/>
      <c r="F170" s="1080"/>
      <c r="G170" s="1080"/>
      <c r="H170" s="1080"/>
      <c r="I170" s="1080"/>
      <c r="J170" s="1080"/>
      <c r="K170" s="1080"/>
      <c r="L170" s="1080"/>
      <c r="M170" s="1080"/>
      <c r="N170" s="1080"/>
      <c r="O170" s="1080"/>
      <c r="P170" s="1080"/>
      <c r="Q170" s="1080"/>
      <c r="R170" s="1080"/>
    </row>
    <row r="171" spans="3:18" s="73" customFormat="1" hidden="1">
      <c r="C171" s="1080" t="s">
        <v>258</v>
      </c>
      <c r="D171" s="1080"/>
      <c r="E171" s="1086"/>
      <c r="F171" s="1080"/>
      <c r="G171" s="1080"/>
      <c r="H171" s="1080"/>
      <c r="I171" s="1080"/>
      <c r="J171" s="1080"/>
      <c r="K171" s="1080"/>
      <c r="L171" s="1080"/>
      <c r="M171" s="1080"/>
      <c r="N171" s="1080"/>
      <c r="O171" s="1080"/>
      <c r="P171" s="1080"/>
      <c r="Q171" s="1080"/>
      <c r="R171" s="1080"/>
    </row>
    <row r="172" spans="3:18" s="73" customFormat="1" hidden="1">
      <c r="C172" s="1080"/>
      <c r="D172" s="1080"/>
      <c r="E172" s="1080"/>
      <c r="F172" s="1080"/>
      <c r="G172" s="1080"/>
      <c r="H172" s="1080"/>
      <c r="I172" s="1080"/>
      <c r="J172" s="1080"/>
      <c r="K172" s="1080"/>
      <c r="L172" s="1080"/>
      <c r="M172" s="1080"/>
      <c r="N172" s="1080"/>
      <c r="O172" s="1080"/>
      <c r="P172" s="1080"/>
      <c r="Q172" s="1080"/>
      <c r="R172" s="1080"/>
    </row>
    <row r="173" spans="3:18" s="73" customFormat="1" ht="14.25" hidden="1" customHeight="1">
      <c r="C173" s="2062" t="s">
        <v>124</v>
      </c>
      <c r="D173" s="2062"/>
      <c r="E173" s="1120"/>
      <c r="F173" s="1120"/>
      <c r="G173" s="1120"/>
      <c r="H173" s="1120"/>
      <c r="I173" s="1120"/>
      <c r="J173" s="1120"/>
      <c r="K173" s="1120"/>
      <c r="L173" s="1120"/>
      <c r="M173" s="1120"/>
      <c r="N173" s="1120"/>
      <c r="O173" s="1120"/>
      <c r="P173" s="1080"/>
      <c r="Q173" s="1080"/>
      <c r="R173" s="1080"/>
    </row>
    <row r="174" spans="3:18" s="73" customFormat="1" hidden="1">
      <c r="C174" s="1080"/>
      <c r="D174" s="1080"/>
      <c r="E174" s="1080"/>
      <c r="F174" s="1080"/>
      <c r="G174" s="1080"/>
      <c r="H174" s="1080"/>
      <c r="I174" s="1080"/>
      <c r="J174" s="1080"/>
      <c r="K174" s="1080"/>
      <c r="L174" s="1080"/>
      <c r="M174" s="1080"/>
      <c r="N174" s="1080"/>
      <c r="O174" s="1080"/>
      <c r="P174" s="1080"/>
      <c r="Q174" s="1080"/>
      <c r="R174" s="1080"/>
    </row>
    <row r="175" spans="3:18" s="73" customFormat="1" ht="25.5" hidden="1">
      <c r="C175" s="1121"/>
      <c r="D175" s="1100" t="s">
        <v>292</v>
      </c>
      <c r="E175" s="1100" t="s">
        <v>211</v>
      </c>
      <c r="F175" s="1100" t="s">
        <v>293</v>
      </c>
      <c r="G175" s="1100" t="s">
        <v>294</v>
      </c>
      <c r="H175" s="1100" t="s">
        <v>242</v>
      </c>
      <c r="I175" s="1080"/>
      <c r="J175" s="1080"/>
      <c r="K175" s="1080"/>
      <c r="L175" s="1080"/>
      <c r="M175" s="1080"/>
      <c r="N175" s="1080"/>
      <c r="O175" s="1080"/>
      <c r="P175" s="1080"/>
      <c r="Q175" s="1080"/>
      <c r="R175" s="1080"/>
    </row>
    <row r="176" spans="3:18" s="73" customFormat="1" hidden="1">
      <c r="C176" s="1080"/>
      <c r="D176" s="1089" t="s">
        <v>119</v>
      </c>
      <c r="E176" s="1113"/>
      <c r="F176" s="1086"/>
      <c r="G176" s="1114"/>
      <c r="H176" s="1122">
        <f>E176*F176*(1-G176)</f>
        <v>0</v>
      </c>
      <c r="I176" s="1080"/>
      <c r="J176" s="1080"/>
      <c r="K176" s="1080"/>
      <c r="L176" s="1080"/>
      <c r="M176" s="1080"/>
      <c r="N176" s="1080"/>
      <c r="O176" s="1080"/>
      <c r="P176" s="1080"/>
      <c r="Q176" s="1080"/>
      <c r="R176" s="1080"/>
    </row>
    <row r="177" spans="3:18" s="73" customFormat="1" hidden="1">
      <c r="C177" s="1080"/>
      <c r="D177" s="1089" t="s">
        <v>120</v>
      </c>
      <c r="E177" s="1113"/>
      <c r="F177" s="1086"/>
      <c r="G177" s="1114"/>
      <c r="H177" s="1122">
        <f>E177*F177*(1-G177)</f>
        <v>0</v>
      </c>
      <c r="I177" s="1080"/>
      <c r="J177" s="1080"/>
      <c r="K177" s="1080"/>
      <c r="L177" s="1080"/>
      <c r="M177" s="1080"/>
      <c r="N177" s="1080"/>
      <c r="O177" s="1080"/>
      <c r="P177" s="1080"/>
      <c r="Q177" s="1080"/>
      <c r="R177" s="1080"/>
    </row>
    <row r="178" spans="3:18" s="73" customFormat="1" hidden="1">
      <c r="C178" s="1080"/>
      <c r="D178" s="1089" t="s">
        <v>121</v>
      </c>
      <c r="E178" s="1113"/>
      <c r="F178" s="1086"/>
      <c r="G178" s="1114"/>
      <c r="H178" s="1122">
        <f>E178*F178*(1-G178)</f>
        <v>0</v>
      </c>
      <c r="I178" s="1080"/>
      <c r="J178" s="1080"/>
      <c r="K178" s="1080"/>
      <c r="L178" s="1080"/>
      <c r="M178" s="1080"/>
      <c r="N178" s="1080"/>
      <c r="O178" s="1080"/>
      <c r="P178" s="1080"/>
      <c r="Q178" s="1080"/>
      <c r="R178" s="1080"/>
    </row>
    <row r="179" spans="3:18" s="73" customFormat="1" ht="25.5" hidden="1" customHeight="1">
      <c r="C179" s="1080"/>
      <c r="D179" s="1123" t="s">
        <v>109</v>
      </c>
      <c r="E179" s="1124"/>
      <c r="F179" s="1125"/>
      <c r="G179" s="1126"/>
      <c r="H179" s="1127">
        <f>E179*F179*(1-G179)</f>
        <v>0</v>
      </c>
      <c r="I179" s="1080"/>
      <c r="J179" s="1080"/>
      <c r="K179" s="1080"/>
      <c r="L179" s="1080"/>
      <c r="M179" s="1080"/>
      <c r="N179" s="1080"/>
      <c r="O179" s="1080"/>
      <c r="P179" s="1080"/>
      <c r="Q179" s="1080"/>
      <c r="R179" s="1080"/>
    </row>
    <row r="180" spans="3:18" s="73" customFormat="1" hidden="1">
      <c r="C180" s="1080"/>
      <c r="D180" s="1089" t="s">
        <v>123</v>
      </c>
      <c r="E180" s="1113"/>
      <c r="F180" s="1086"/>
      <c r="G180" s="1114"/>
      <c r="H180" s="1122">
        <f>E180*F180*(1-G180)</f>
        <v>0</v>
      </c>
      <c r="I180" s="1080"/>
      <c r="J180" s="1080"/>
      <c r="K180" s="1080"/>
      <c r="L180" s="1080"/>
      <c r="M180" s="1080"/>
      <c r="N180" s="1080"/>
      <c r="O180" s="1080"/>
      <c r="P180" s="1080"/>
      <c r="Q180" s="1080"/>
      <c r="R180" s="1080"/>
    </row>
    <row r="181" spans="3:18" s="73" customFormat="1" hidden="1">
      <c r="C181" s="1128"/>
      <c r="D181" s="1115" t="s">
        <v>295</v>
      </c>
      <c r="E181" s="1129"/>
      <c r="F181" s="1130"/>
      <c r="G181" s="1080"/>
      <c r="H181" s="1096">
        <f>SUM(H176:H180)</f>
        <v>0</v>
      </c>
      <c r="I181" s="1080"/>
      <c r="J181" s="1080"/>
      <c r="K181" s="1080"/>
      <c r="L181" s="1080"/>
      <c r="M181" s="1080"/>
      <c r="N181" s="1080"/>
      <c r="O181" s="1080"/>
      <c r="P181" s="1080"/>
      <c r="Q181" s="1080"/>
      <c r="R181" s="1080"/>
    </row>
    <row r="182" spans="3:18" s="73" customFormat="1" hidden="1">
      <c r="C182" s="1128"/>
      <c r="D182" s="1115"/>
      <c r="E182" s="1129"/>
      <c r="F182" s="1130"/>
      <c r="G182" s="1080"/>
      <c r="H182" s="1096"/>
      <c r="I182" s="1080"/>
      <c r="J182" s="1080"/>
      <c r="K182" s="1080"/>
      <c r="L182" s="1080"/>
      <c r="M182" s="1080"/>
      <c r="N182" s="1080"/>
      <c r="O182" s="1080"/>
      <c r="P182" s="1080"/>
      <c r="Q182" s="1080"/>
      <c r="R182" s="1080"/>
    </row>
    <row r="183" spans="3:18" s="73" customFormat="1" ht="38.25" hidden="1">
      <c r="C183" s="2062" t="s">
        <v>277</v>
      </c>
      <c r="D183" s="2062"/>
      <c r="E183" s="1120" t="s">
        <v>215</v>
      </c>
      <c r="F183" s="1120" t="s">
        <v>138</v>
      </c>
      <c r="G183" s="1131" t="s">
        <v>250</v>
      </c>
      <c r="H183" s="1131" t="s">
        <v>251</v>
      </c>
      <c r="I183" s="1131" t="s">
        <v>252</v>
      </c>
      <c r="J183" s="1131" t="s">
        <v>253</v>
      </c>
      <c r="K183" s="1120" t="s">
        <v>198</v>
      </c>
      <c r="L183" s="1120"/>
      <c r="M183" s="1120"/>
      <c r="N183" s="1080"/>
      <c r="O183" s="1099"/>
      <c r="P183" s="1099"/>
      <c r="Q183" s="1099"/>
      <c r="R183" s="1099"/>
    </row>
    <row r="184" spans="3:18" s="73" customFormat="1" hidden="1">
      <c r="C184" s="1091"/>
      <c r="D184" s="1091"/>
      <c r="E184" s="1099"/>
      <c r="F184" s="1099"/>
      <c r="G184" s="1100"/>
      <c r="H184" s="1100"/>
      <c r="I184" s="1100"/>
      <c r="J184" s="1100"/>
      <c r="K184" s="1099"/>
      <c r="L184" s="1099"/>
      <c r="M184" s="1099"/>
      <c r="N184" s="1080"/>
      <c r="O184" s="1099"/>
      <c r="P184" s="1099"/>
      <c r="Q184" s="1099"/>
      <c r="R184" s="1099"/>
    </row>
    <row r="185" spans="3:18" s="73" customFormat="1" hidden="1">
      <c r="C185" s="1092" t="s">
        <v>216</v>
      </c>
      <c r="D185" s="1092"/>
      <c r="E185" s="1082"/>
      <c r="F185" s="1083"/>
      <c r="G185" s="1084"/>
      <c r="H185" s="1083"/>
      <c r="I185" s="1084"/>
      <c r="J185" s="1083"/>
      <c r="K185" s="1080"/>
      <c r="L185" s="1080"/>
      <c r="M185" s="1080"/>
      <c r="N185" s="1080"/>
      <c r="O185" s="1080"/>
      <c r="P185" s="1132"/>
      <c r="Q185" s="1133"/>
      <c r="R185" s="1132"/>
    </row>
    <row r="186" spans="3:18" s="73" customFormat="1" hidden="1">
      <c r="C186" s="1080"/>
      <c r="D186" s="1080"/>
      <c r="E186" s="1093"/>
      <c r="F186" s="1093"/>
      <c r="G186" s="1093"/>
      <c r="H186" s="1093"/>
      <c r="I186" s="1093"/>
      <c r="J186" s="1093"/>
      <c r="K186" s="1097"/>
      <c r="L186" s="1097"/>
      <c r="M186" s="1097"/>
      <c r="N186" s="1080"/>
      <c r="O186" s="1080"/>
      <c r="P186" s="1080"/>
      <c r="Q186" s="1080"/>
      <c r="R186" s="1080"/>
    </row>
    <row r="187" spans="3:18" s="73" customFormat="1" hidden="1">
      <c r="C187" s="1080"/>
      <c r="D187" s="1098" t="s">
        <v>140</v>
      </c>
      <c r="E187" s="1103"/>
      <c r="F187" s="1103"/>
      <c r="G187" s="1086"/>
      <c r="H187" s="1087"/>
      <c r="I187" s="1086"/>
      <c r="J187" s="1087"/>
      <c r="K187" s="1083">
        <f>G187*(1-H187)+I187*(1-J187)</f>
        <v>0</v>
      </c>
      <c r="L187" s="1083"/>
      <c r="M187" s="1083"/>
      <c r="N187" s="1080"/>
      <c r="O187" s="1088"/>
      <c r="P187" s="1088"/>
      <c r="Q187" s="1088"/>
      <c r="R187" s="1133"/>
    </row>
    <row r="188" spans="3:18" s="73" customFormat="1" hidden="1">
      <c r="C188" s="1080"/>
      <c r="D188" s="1098" t="s">
        <v>139</v>
      </c>
      <c r="E188" s="1103"/>
      <c r="F188" s="1103"/>
      <c r="G188" s="1086"/>
      <c r="H188" s="1087"/>
      <c r="I188" s="1086"/>
      <c r="J188" s="1087"/>
      <c r="K188" s="1083">
        <f>G188*(1-H188)+I188*(1-J188)</f>
        <v>0</v>
      </c>
      <c r="L188" s="1083"/>
      <c r="M188" s="1083"/>
      <c r="N188" s="1080"/>
      <c r="O188" s="1080"/>
      <c r="P188" s="1080"/>
      <c r="Q188" s="1132"/>
      <c r="R188" s="1133"/>
    </row>
    <row r="189" spans="3:18" s="73" customFormat="1" hidden="1">
      <c r="C189" s="1080"/>
      <c r="D189" s="1098" t="s">
        <v>231</v>
      </c>
      <c r="E189" s="1103"/>
      <c r="F189" s="1103"/>
      <c r="G189" s="1086"/>
      <c r="H189" s="1087"/>
      <c r="I189" s="1086"/>
      <c r="J189" s="1087"/>
      <c r="K189" s="1083">
        <f>G189*(1-H189)+I189*(1-J189)</f>
        <v>0</v>
      </c>
      <c r="L189" s="1083"/>
      <c r="M189" s="1083"/>
      <c r="N189" s="1080"/>
      <c r="O189" s="1088"/>
      <c r="P189" s="1088"/>
      <c r="Q189" s="1088"/>
      <c r="R189" s="1133"/>
    </row>
    <row r="190" spans="3:18" s="73" customFormat="1" hidden="1">
      <c r="C190" s="1080"/>
      <c r="D190" s="1112"/>
      <c r="E190" s="1112"/>
      <c r="F190" s="1082"/>
      <c r="G190" s="1082"/>
      <c r="H190" s="1082"/>
      <c r="I190" s="1083"/>
      <c r="J190" s="1084"/>
      <c r="K190" s="1096">
        <f>SUM(K187:K189)</f>
        <v>0</v>
      </c>
      <c r="L190" s="1096"/>
      <c r="M190" s="1096"/>
      <c r="N190" s="1084"/>
      <c r="O190" s="1088"/>
      <c r="P190" s="1088"/>
      <c r="Q190" s="1132"/>
      <c r="R190" s="1133"/>
    </row>
    <row r="191" spans="3:18" s="73" customFormat="1" hidden="1">
      <c r="C191" s="1080"/>
      <c r="D191" s="1112"/>
      <c r="E191" s="1112"/>
      <c r="F191" s="1082"/>
      <c r="G191" s="1082"/>
      <c r="H191" s="1082"/>
      <c r="I191" s="1083"/>
      <c r="J191" s="1084"/>
      <c r="K191" s="1096"/>
      <c r="L191" s="1096"/>
      <c r="M191" s="1096"/>
      <c r="N191" s="1084"/>
      <c r="O191" s="1088"/>
      <c r="P191" s="1088"/>
      <c r="Q191" s="1132"/>
      <c r="R191" s="1133"/>
    </row>
    <row r="192" spans="3:18" s="73" customFormat="1" hidden="1">
      <c r="C192" s="2059" t="s">
        <v>201</v>
      </c>
      <c r="D192" s="2059"/>
      <c r="E192" s="2059"/>
      <c r="F192" s="1082"/>
      <c r="G192" s="1082"/>
      <c r="H192" s="1082"/>
      <c r="I192" s="1083"/>
      <c r="J192" s="1084"/>
      <c r="K192" s="1083"/>
      <c r="L192" s="1083"/>
      <c r="M192" s="1083"/>
      <c r="N192" s="1084"/>
      <c r="O192" s="1080"/>
      <c r="P192" s="1080"/>
      <c r="Q192" s="1132"/>
      <c r="R192" s="1133"/>
    </row>
    <row r="193" spans="3:20" s="73" customFormat="1" hidden="1">
      <c r="C193" s="1080"/>
      <c r="D193" s="1080"/>
      <c r="E193" s="1080"/>
      <c r="F193" s="1082"/>
      <c r="G193" s="1082"/>
      <c r="H193" s="1082"/>
      <c r="I193" s="1083"/>
      <c r="J193" s="1084"/>
      <c r="K193" s="1083"/>
      <c r="L193" s="1083"/>
      <c r="M193" s="1083"/>
      <c r="N193" s="1084"/>
      <c r="O193" s="1080"/>
      <c r="P193" s="1080"/>
      <c r="Q193" s="1132"/>
      <c r="R193" s="1133"/>
    </row>
    <row r="194" spans="3:20" s="73" customFormat="1" hidden="1">
      <c r="C194" s="1080"/>
      <c r="D194" s="1112" t="s">
        <v>122</v>
      </c>
      <c r="E194" s="1103"/>
      <c r="F194" s="1103"/>
      <c r="G194" s="1086"/>
      <c r="H194" s="1087"/>
      <c r="I194" s="1086"/>
      <c r="J194" s="1107"/>
      <c r="K194" s="1083">
        <f>G194*(1-H194)+I194*(1-J194)</f>
        <v>0</v>
      </c>
      <c r="L194" s="1083"/>
      <c r="M194" s="1083"/>
      <c r="N194" s="1080"/>
      <c r="O194" s="1088"/>
      <c r="P194" s="1088"/>
      <c r="Q194" s="1088"/>
      <c r="R194" s="1133"/>
    </row>
    <row r="195" spans="3:20" s="73" customFormat="1" hidden="1">
      <c r="C195" s="1080"/>
      <c r="D195" s="1080"/>
      <c r="E195" s="1080"/>
      <c r="F195" s="1082"/>
      <c r="G195" s="1082"/>
      <c r="H195" s="1082"/>
      <c r="I195" s="1083"/>
      <c r="J195" s="1084"/>
      <c r="K195" s="1083"/>
      <c r="L195" s="1083"/>
      <c r="M195" s="1083"/>
      <c r="N195" s="1084"/>
      <c r="O195" s="1083"/>
      <c r="P195" s="1080"/>
      <c r="Q195" s="1080"/>
      <c r="R195" s="1080"/>
      <c r="S195" s="191"/>
      <c r="T195" s="194"/>
    </row>
    <row r="196" spans="3:20" s="73" customFormat="1" hidden="1">
      <c r="C196" s="1080"/>
      <c r="D196" s="1080" t="s">
        <v>366</v>
      </c>
      <c r="E196" s="1103"/>
      <c r="F196" s="1092" t="str">
        <f>IF(AND(F194&gt;0,ISBLANK(E196)),"DEBE INDICAR EL NÚMERO DE EXTENSIONES QUE HACEN TRÁFICO"," ")</f>
        <v xml:space="preserve"> </v>
      </c>
      <c r="G196" s="1082"/>
      <c r="H196" s="1082"/>
      <c r="I196" s="1083"/>
      <c r="J196" s="1084"/>
      <c r="K196" s="1083"/>
      <c r="L196" s="1083"/>
      <c r="M196" s="1083"/>
      <c r="N196" s="1084"/>
      <c r="O196" s="1083"/>
      <c r="P196" s="1080"/>
      <c r="Q196" s="1080"/>
      <c r="R196" s="1080"/>
      <c r="S196" s="191"/>
      <c r="T196" s="194"/>
    </row>
    <row r="197" spans="3:20" s="73" customFormat="1" hidden="1">
      <c r="C197" s="1080"/>
      <c r="D197" s="1080"/>
      <c r="E197" s="1080"/>
      <c r="F197" s="1082"/>
      <c r="G197" s="1082"/>
      <c r="H197" s="1082"/>
      <c r="I197" s="1083"/>
      <c r="J197" s="1084"/>
      <c r="K197" s="1083"/>
      <c r="L197" s="1083"/>
      <c r="M197" s="1083"/>
      <c r="N197" s="1084"/>
      <c r="O197" s="1083"/>
      <c r="P197" s="1080"/>
      <c r="Q197" s="1080"/>
      <c r="R197" s="1080"/>
      <c r="S197" s="191"/>
      <c r="T197" s="194"/>
    </row>
    <row r="198" spans="3:20" s="73" customFormat="1" hidden="1">
      <c r="C198" s="1080"/>
      <c r="D198" s="2057" t="s">
        <v>165</v>
      </c>
      <c r="E198" s="2057"/>
      <c r="F198" s="1082"/>
      <c r="G198" s="2057" t="s">
        <v>166</v>
      </c>
      <c r="H198" s="2057"/>
      <c r="I198" s="2057"/>
      <c r="J198" s="2057"/>
      <c r="K198" s="1083"/>
      <c r="L198" s="1083"/>
      <c r="M198" s="1083"/>
      <c r="N198" s="1084"/>
      <c r="O198" s="1083"/>
      <c r="P198" s="1080"/>
      <c r="Q198" s="1080"/>
      <c r="R198" s="1080"/>
      <c r="S198" s="191"/>
      <c r="T198" s="194"/>
    </row>
    <row r="199" spans="3:20" s="73" customFormat="1" ht="8.25" hidden="1" customHeight="1">
      <c r="C199" s="1080"/>
      <c r="D199" s="1080"/>
      <c r="E199" s="1080"/>
      <c r="F199" s="1082"/>
      <c r="G199" s="1082"/>
      <c r="H199" s="1082"/>
      <c r="I199" s="1083"/>
      <c r="J199" s="1084"/>
      <c r="K199" s="1083"/>
      <c r="L199" s="1083"/>
      <c r="M199" s="1083"/>
      <c r="N199" s="1084"/>
      <c r="O199" s="1083"/>
      <c r="P199" s="1080"/>
      <c r="Q199" s="1080"/>
      <c r="R199" s="1080"/>
      <c r="S199" s="191"/>
      <c r="T199" s="194"/>
    </row>
    <row r="200" spans="3:20" s="73" customFormat="1" hidden="1">
      <c r="C200" s="1080"/>
      <c r="D200" s="1082" t="s">
        <v>316</v>
      </c>
      <c r="E200" s="1082" t="s">
        <v>317</v>
      </c>
      <c r="F200" s="1082"/>
      <c r="G200" s="2071" t="s">
        <v>316</v>
      </c>
      <c r="H200" s="2071"/>
      <c r="I200" s="2071"/>
      <c r="J200" s="1082" t="s">
        <v>317</v>
      </c>
      <c r="K200" s="1083"/>
      <c r="L200" s="1083"/>
      <c r="M200" s="1083"/>
      <c r="N200" s="1084"/>
      <c r="O200" s="1083"/>
      <c r="P200" s="1080"/>
      <c r="Q200" s="1080"/>
      <c r="R200" s="1080"/>
      <c r="S200" s="191"/>
      <c r="T200" s="194"/>
    </row>
    <row r="201" spans="3:20" s="73" customFormat="1" hidden="1">
      <c r="C201" s="1080"/>
      <c r="D201" s="1082" t="s">
        <v>319</v>
      </c>
      <c r="E201" s="1114"/>
      <c r="F201" s="1081"/>
      <c r="G201" s="2071" t="s">
        <v>183</v>
      </c>
      <c r="H201" s="2071"/>
      <c r="I201" s="2071"/>
      <c r="J201" s="1114"/>
      <c r="K201" s="1083"/>
      <c r="L201" s="1083"/>
      <c r="M201" s="1083"/>
      <c r="N201" s="1084"/>
      <c r="O201" s="1083"/>
      <c r="P201" s="1080"/>
      <c r="Q201" s="1080"/>
      <c r="R201" s="1080"/>
      <c r="S201" s="191"/>
      <c r="T201" s="194"/>
    </row>
    <row r="202" spans="3:20" s="73" customFormat="1" hidden="1">
      <c r="C202" s="1080"/>
      <c r="D202" s="1082" t="s">
        <v>137</v>
      </c>
      <c r="E202" s="1114"/>
      <c r="F202" s="1082"/>
      <c r="G202" s="2071" t="s">
        <v>167</v>
      </c>
      <c r="H202" s="2071"/>
      <c r="I202" s="2071"/>
      <c r="J202" s="1114"/>
      <c r="K202" s="1083"/>
      <c r="L202" s="1083"/>
      <c r="M202" s="1083"/>
      <c r="N202" s="1084"/>
      <c r="O202" s="1083"/>
      <c r="P202" s="1080"/>
      <c r="Q202" s="1080"/>
      <c r="R202" s="1080"/>
      <c r="S202" s="191"/>
      <c r="T202" s="194"/>
    </row>
    <row r="203" spans="3:20" s="73" customFormat="1" hidden="1">
      <c r="C203" s="1080"/>
      <c r="D203" s="1082" t="s">
        <v>363</v>
      </c>
      <c r="E203" s="1114"/>
      <c r="F203" s="1082"/>
      <c r="G203" s="2071" t="s">
        <v>168</v>
      </c>
      <c r="H203" s="2071"/>
      <c r="I203" s="2071"/>
      <c r="J203" s="1114"/>
      <c r="K203" s="1083"/>
      <c r="L203" s="1083"/>
      <c r="M203" s="1083"/>
      <c r="N203" s="1084"/>
      <c r="O203" s="1083"/>
      <c r="P203" s="1080"/>
      <c r="Q203" s="1080"/>
      <c r="R203" s="1080"/>
      <c r="S203" s="191"/>
      <c r="T203" s="194"/>
    </row>
    <row r="204" spans="3:20" s="73" customFormat="1" hidden="1">
      <c r="C204" s="1080"/>
      <c r="D204" s="1082" t="s">
        <v>318</v>
      </c>
      <c r="E204" s="1114"/>
      <c r="F204" s="1082"/>
      <c r="G204" s="2071" t="s">
        <v>169</v>
      </c>
      <c r="H204" s="2071"/>
      <c r="I204" s="2071"/>
      <c r="J204" s="1114"/>
      <c r="K204" s="1083"/>
      <c r="L204" s="1083"/>
      <c r="M204" s="1083"/>
      <c r="N204" s="1084"/>
      <c r="O204" s="1083"/>
      <c r="P204" s="1080"/>
      <c r="Q204" s="1080"/>
      <c r="R204" s="1080"/>
      <c r="S204" s="191"/>
      <c r="T204" s="194"/>
    </row>
    <row r="205" spans="3:20" s="73" customFormat="1" hidden="1">
      <c r="C205" s="1080"/>
      <c r="D205" s="1082" t="s">
        <v>365</v>
      </c>
      <c r="E205" s="1114"/>
      <c r="F205" s="1082"/>
      <c r="G205" s="2071" t="s">
        <v>170</v>
      </c>
      <c r="H205" s="2071"/>
      <c r="I205" s="2071"/>
      <c r="J205" s="1114"/>
      <c r="K205" s="1083"/>
      <c r="L205" s="1083"/>
      <c r="M205" s="1083"/>
      <c r="N205" s="1084"/>
      <c r="O205" s="1083"/>
      <c r="P205" s="1080"/>
      <c r="Q205" s="1080"/>
      <c r="R205" s="1080"/>
      <c r="S205" s="191"/>
      <c r="T205" s="194"/>
    </row>
    <row r="206" spans="3:20" s="73" customFormat="1" hidden="1">
      <c r="C206" s="1080"/>
      <c r="D206" s="1082" t="s">
        <v>320</v>
      </c>
      <c r="E206" s="1114"/>
      <c r="F206" s="1082"/>
      <c r="G206" s="2071" t="s">
        <v>171</v>
      </c>
      <c r="H206" s="2071"/>
      <c r="I206" s="2071"/>
      <c r="J206" s="1114"/>
      <c r="K206" s="1083"/>
      <c r="L206" s="1083"/>
      <c r="M206" s="1083"/>
      <c r="N206" s="1084"/>
      <c r="O206" s="1083"/>
      <c r="P206" s="1080"/>
      <c r="Q206" s="1080"/>
      <c r="R206" s="1080"/>
      <c r="S206" s="191"/>
      <c r="T206" s="194"/>
    </row>
    <row r="207" spans="3:20" s="73" customFormat="1" hidden="1">
      <c r="C207" s="1080"/>
      <c r="D207" s="1082" t="s">
        <v>321</v>
      </c>
      <c r="E207" s="1114"/>
      <c r="F207" s="1080"/>
      <c r="G207" s="2071" t="s">
        <v>172</v>
      </c>
      <c r="H207" s="2071"/>
      <c r="I207" s="2071"/>
      <c r="J207" s="1114"/>
      <c r="K207" s="1083"/>
      <c r="L207" s="1083"/>
      <c r="M207" s="1083"/>
      <c r="N207" s="1084"/>
      <c r="O207" s="1083"/>
      <c r="P207" s="1080"/>
      <c r="Q207" s="1080"/>
      <c r="R207" s="1080"/>
      <c r="S207" s="191"/>
      <c r="T207" s="194"/>
    </row>
    <row r="208" spans="3:20" s="73" customFormat="1" hidden="1">
      <c r="C208" s="1080"/>
      <c r="D208" s="1082" t="s">
        <v>322</v>
      </c>
      <c r="E208" s="1114"/>
      <c r="F208" s="1080"/>
      <c r="G208" s="2071" t="s">
        <v>173</v>
      </c>
      <c r="H208" s="2071"/>
      <c r="I208" s="2071"/>
      <c r="J208" s="1114"/>
      <c r="K208" s="1080"/>
      <c r="L208" s="1080"/>
      <c r="M208" s="1080"/>
      <c r="N208" s="1080"/>
      <c r="O208" s="1080"/>
      <c r="P208" s="1080"/>
      <c r="Q208" s="1080"/>
      <c r="R208" s="1080"/>
    </row>
    <row r="209" spans="3:18" s="73" customFormat="1" hidden="1">
      <c r="C209" s="1080"/>
      <c r="D209" s="1080"/>
      <c r="E209" s="1081">
        <f>SUM(E201:E208)</f>
        <v>0</v>
      </c>
      <c r="F209" s="1080"/>
      <c r="G209" s="1080"/>
      <c r="H209" s="1080"/>
      <c r="I209" s="1080"/>
      <c r="J209" s="1081">
        <f>SUM(J201:J208)</f>
        <v>0</v>
      </c>
      <c r="K209" s="1092" t="str">
        <f>IF(AND(J209&lt;&gt;1,F194&gt;0),"ERROR: DEBE SUMAR 100%", " ")</f>
        <v xml:space="preserve"> </v>
      </c>
      <c r="L209" s="1092"/>
      <c r="M209" s="1092"/>
      <c r="N209" s="1080"/>
      <c r="O209" s="1080"/>
      <c r="P209" s="1080"/>
      <c r="Q209" s="1080"/>
      <c r="R209" s="1080"/>
    </row>
    <row r="210" spans="3:18" s="73" customFormat="1" hidden="1">
      <c r="C210" s="1080"/>
      <c r="D210" s="1080"/>
      <c r="E210" s="1080"/>
      <c r="F210" s="1080"/>
      <c r="G210" s="1080"/>
      <c r="H210" s="1080"/>
      <c r="I210" s="1080"/>
      <c r="J210" s="1080"/>
      <c r="K210" s="1080"/>
      <c r="L210" s="1080"/>
      <c r="M210" s="1080"/>
      <c r="N210" s="1080"/>
      <c r="O210" s="1080"/>
      <c r="P210" s="1080"/>
      <c r="Q210" s="1080"/>
      <c r="R210" s="1080"/>
    </row>
    <row r="211" spans="3:18" s="73" customFormat="1" ht="15" hidden="1" customHeight="1">
      <c r="C211" s="1119" t="s">
        <v>127</v>
      </c>
      <c r="D211" s="1119"/>
      <c r="E211" s="1120"/>
      <c r="F211" s="1120"/>
      <c r="G211" s="1120"/>
      <c r="H211" s="1120"/>
      <c r="I211" s="1120"/>
      <c r="J211" s="1120"/>
      <c r="K211" s="1120"/>
      <c r="L211" s="1120"/>
      <c r="M211" s="1120"/>
      <c r="N211" s="1120"/>
      <c r="O211" s="1120"/>
      <c r="P211" s="1080"/>
      <c r="Q211" s="1080"/>
      <c r="R211" s="1080"/>
    </row>
    <row r="212" spans="3:18" s="73" customFormat="1" hidden="1">
      <c r="C212" s="1080"/>
      <c r="D212" s="1080"/>
      <c r="E212" s="1080"/>
      <c r="F212" s="1080"/>
      <c r="G212" s="1080"/>
      <c r="H212" s="1080"/>
      <c r="I212" s="1080"/>
      <c r="J212" s="1080"/>
      <c r="K212" s="1080"/>
      <c r="L212" s="1080"/>
      <c r="M212" s="1080"/>
      <c r="N212" s="1080"/>
      <c r="O212" s="1080"/>
      <c r="P212" s="1080"/>
      <c r="Q212" s="1080"/>
      <c r="R212" s="1080"/>
    </row>
    <row r="213" spans="3:18" s="73" customFormat="1" ht="25.5" hidden="1">
      <c r="C213" s="1121"/>
      <c r="D213" s="1100" t="s">
        <v>292</v>
      </c>
      <c r="E213" s="1100" t="s">
        <v>130</v>
      </c>
      <c r="F213" s="1112"/>
      <c r="G213" s="1100"/>
      <c r="H213" s="1080"/>
      <c r="I213" s="1080"/>
      <c r="J213" s="1080"/>
      <c r="K213" s="1080"/>
      <c r="L213" s="1080"/>
      <c r="M213" s="1080"/>
      <c r="N213" s="1080"/>
      <c r="O213" s="1080"/>
      <c r="P213" s="1080"/>
      <c r="Q213" s="1080"/>
      <c r="R213" s="1080"/>
    </row>
    <row r="214" spans="3:18" s="73" customFormat="1" hidden="1">
      <c r="C214" s="1080"/>
      <c r="D214" s="1082" t="s">
        <v>125</v>
      </c>
      <c r="E214" s="1086"/>
      <c r="F214" s="1081"/>
      <c r="G214" s="1122"/>
      <c r="H214" s="1080"/>
      <c r="I214" s="1080"/>
      <c r="J214" s="1080"/>
      <c r="K214" s="1080"/>
      <c r="L214" s="1080"/>
      <c r="M214" s="1080"/>
      <c r="N214" s="1080"/>
      <c r="O214" s="1080"/>
      <c r="P214" s="1080"/>
      <c r="Q214" s="1080"/>
      <c r="R214" s="1080"/>
    </row>
    <row r="215" spans="3:18" s="73" customFormat="1" hidden="1">
      <c r="C215" s="1080"/>
      <c r="D215" s="1082" t="s">
        <v>126</v>
      </c>
      <c r="E215" s="1086"/>
      <c r="F215" s="1081"/>
      <c r="G215" s="1122"/>
      <c r="H215" s="1080"/>
      <c r="I215" s="1080"/>
      <c r="J215" s="1080"/>
      <c r="K215" s="1080"/>
      <c r="L215" s="1080"/>
      <c r="M215" s="1080"/>
      <c r="N215" s="1080"/>
      <c r="O215" s="1080"/>
      <c r="P215" s="1080"/>
      <c r="Q215" s="1080"/>
      <c r="R215" s="1080"/>
    </row>
    <row r="216" spans="3:18" s="73" customFormat="1" hidden="1">
      <c r="C216" s="1080"/>
      <c r="D216" s="1082" t="s">
        <v>128</v>
      </c>
      <c r="E216" s="1086"/>
      <c r="F216" s="1081"/>
      <c r="G216" s="1122"/>
      <c r="H216" s="1080"/>
      <c r="I216" s="1080"/>
      <c r="J216" s="1080"/>
      <c r="K216" s="1080"/>
      <c r="L216" s="1080"/>
      <c r="M216" s="1080"/>
      <c r="N216" s="1080"/>
      <c r="O216" s="1080"/>
      <c r="P216" s="1080"/>
      <c r="Q216" s="1080"/>
      <c r="R216" s="1080"/>
    </row>
    <row r="217" spans="3:18" s="73" customFormat="1" hidden="1">
      <c r="C217" s="1080"/>
      <c r="D217" s="1082" t="s">
        <v>131</v>
      </c>
      <c r="E217" s="1086"/>
      <c r="F217" s="1080"/>
      <c r="G217" s="1122"/>
      <c r="H217" s="1080"/>
      <c r="I217" s="1080"/>
      <c r="J217" s="1080"/>
      <c r="K217" s="1080"/>
      <c r="L217" s="1080"/>
      <c r="M217" s="1080"/>
      <c r="N217" s="1080"/>
      <c r="O217" s="1080"/>
      <c r="P217" s="1080"/>
      <c r="Q217" s="1080"/>
      <c r="R217" s="1080"/>
    </row>
    <row r="218" spans="3:18" s="73" customFormat="1" hidden="1">
      <c r="C218" s="1080"/>
      <c r="D218" s="1082" t="s">
        <v>129</v>
      </c>
      <c r="E218" s="1086"/>
      <c r="F218" s="1134"/>
      <c r="G218" s="1122"/>
      <c r="H218" s="1080"/>
      <c r="I218" s="1080"/>
      <c r="J218" s="1080"/>
      <c r="K218" s="1080"/>
      <c r="L218" s="1080"/>
      <c r="M218" s="1080"/>
      <c r="N218" s="1080"/>
      <c r="O218" s="1080"/>
      <c r="P218" s="1080"/>
      <c r="Q218" s="1080"/>
      <c r="R218" s="1080"/>
    </row>
    <row r="219" spans="3:18" s="73" customFormat="1" hidden="1">
      <c r="C219" s="1128"/>
      <c r="D219" s="1115" t="s">
        <v>295</v>
      </c>
      <c r="E219" s="1135">
        <f>SUM(E214:E218)</f>
        <v>0</v>
      </c>
      <c r="F219" s="1080"/>
      <c r="G219" s="1096"/>
      <c r="H219" s="1080"/>
      <c r="I219" s="1080"/>
      <c r="J219" s="1080"/>
      <c r="K219" s="1080"/>
      <c r="L219" s="1080"/>
      <c r="M219" s="1080"/>
      <c r="N219" s="1080"/>
      <c r="O219" s="1080"/>
      <c r="P219" s="1080"/>
      <c r="Q219" s="1080"/>
      <c r="R219" s="1080"/>
    </row>
    <row r="220" spans="3:18" s="73" customFormat="1" hidden="1">
      <c r="C220" s="1128"/>
      <c r="D220" s="1115"/>
      <c r="E220" s="1135"/>
      <c r="F220" s="1080"/>
      <c r="G220" s="1096"/>
      <c r="H220" s="1080"/>
      <c r="I220" s="1080"/>
      <c r="J220" s="1080"/>
      <c r="K220" s="1080"/>
      <c r="L220" s="1080"/>
      <c r="M220" s="1080"/>
      <c r="N220" s="1080"/>
      <c r="O220" s="1080"/>
      <c r="P220" s="1080"/>
      <c r="Q220" s="1080"/>
      <c r="R220" s="1080"/>
    </row>
    <row r="221" spans="3:18" s="73" customFormat="1" hidden="1">
      <c r="C221" s="1119" t="s">
        <v>177</v>
      </c>
      <c r="D221" s="1119"/>
      <c r="E221" s="1120"/>
      <c r="F221" s="1120"/>
      <c r="G221" s="1120"/>
      <c r="H221" s="1120"/>
      <c r="I221" s="1120"/>
      <c r="J221" s="1120"/>
      <c r="K221" s="1120"/>
      <c r="L221" s="1120"/>
      <c r="M221" s="1120"/>
      <c r="N221" s="1080"/>
      <c r="O221" s="1080"/>
      <c r="P221" s="1080"/>
      <c r="Q221" s="1080"/>
      <c r="R221" s="1080"/>
    </row>
    <row r="222" spans="3:18" s="73" customFormat="1" hidden="1">
      <c r="C222" s="1080"/>
      <c r="D222" s="1080"/>
      <c r="E222" s="1080"/>
      <c r="F222" s="1080"/>
      <c r="G222" s="1080"/>
      <c r="H222" s="1080"/>
      <c r="I222" s="1080"/>
      <c r="J222" s="1080"/>
      <c r="K222" s="1080"/>
      <c r="L222" s="1080"/>
      <c r="M222" s="1080"/>
      <c r="N222" s="1080"/>
      <c r="O222" s="1080"/>
      <c r="P222" s="1080"/>
      <c r="Q222" s="1080"/>
      <c r="R222" s="1080"/>
    </row>
    <row r="223" spans="3:18" s="73" customFormat="1" ht="25.5" hidden="1">
      <c r="C223" s="1121"/>
      <c r="D223" s="1100" t="s">
        <v>292</v>
      </c>
      <c r="E223" s="1100" t="s">
        <v>130</v>
      </c>
      <c r="F223" s="1112"/>
      <c r="G223" s="1100"/>
      <c r="H223" s="1080"/>
      <c r="I223" s="1080"/>
      <c r="J223" s="1080"/>
      <c r="K223" s="1080"/>
      <c r="L223" s="1080"/>
      <c r="M223" s="1080"/>
      <c r="N223" s="1080"/>
      <c r="O223" s="1080"/>
      <c r="P223" s="1080"/>
      <c r="Q223" s="1080"/>
      <c r="R223" s="1080"/>
    </row>
    <row r="224" spans="3:18" s="73" customFormat="1" hidden="1">
      <c r="C224" s="1080"/>
      <c r="D224" s="1082" t="s">
        <v>184</v>
      </c>
      <c r="E224" s="1086"/>
      <c r="F224" s="1081"/>
      <c r="G224" s="1122"/>
      <c r="H224" s="1080"/>
      <c r="I224" s="1080"/>
      <c r="J224" s="1080"/>
      <c r="K224" s="1080"/>
      <c r="L224" s="1080"/>
      <c r="M224" s="1080"/>
      <c r="N224" s="1080"/>
      <c r="O224" s="1080"/>
      <c r="P224" s="1080"/>
      <c r="Q224" s="1080"/>
      <c r="R224" s="1080"/>
    </row>
    <row r="225" spans="3:18" s="73" customFormat="1" hidden="1">
      <c r="C225" s="1080"/>
      <c r="D225" s="1082" t="s">
        <v>178</v>
      </c>
      <c r="E225" s="1086"/>
      <c r="F225" s="1081"/>
      <c r="G225" s="1122"/>
      <c r="H225" s="1080"/>
      <c r="I225" s="1080"/>
      <c r="J225" s="1080"/>
      <c r="K225" s="1080"/>
      <c r="L225" s="1080"/>
      <c r="M225" s="1080"/>
      <c r="N225" s="1080"/>
      <c r="O225" s="1080"/>
      <c r="P225" s="1080"/>
      <c r="Q225" s="1080"/>
      <c r="R225" s="1080"/>
    </row>
    <row r="226" spans="3:18" s="73" customFormat="1" hidden="1">
      <c r="C226" s="1128"/>
      <c r="D226" s="1115" t="s">
        <v>295</v>
      </c>
      <c r="E226" s="1135">
        <f>SUM(E224:E225)</f>
        <v>0</v>
      </c>
      <c r="F226" s="1080"/>
      <c r="G226" s="1096"/>
      <c r="H226" s="1080"/>
      <c r="I226" s="1080"/>
      <c r="J226" s="1080"/>
      <c r="K226" s="1080"/>
      <c r="L226" s="1080"/>
      <c r="M226" s="1080"/>
      <c r="N226" s="1080"/>
      <c r="O226" s="1080"/>
      <c r="P226" s="1080"/>
      <c r="Q226" s="1080"/>
      <c r="R226" s="1080"/>
    </row>
    <row r="227" spans="3:18" s="73" customFormat="1" hidden="1">
      <c r="C227" s="1080"/>
      <c r="D227" s="1080"/>
      <c r="E227" s="1080"/>
      <c r="F227" s="1080"/>
      <c r="G227" s="1080"/>
      <c r="H227" s="1080"/>
      <c r="I227" s="1080"/>
      <c r="J227" s="1080"/>
      <c r="K227" s="1080"/>
      <c r="L227" s="1080"/>
      <c r="M227" s="1080"/>
      <c r="N227" s="1080"/>
      <c r="O227" s="1080"/>
      <c r="P227" s="1080"/>
      <c r="Q227" s="1080"/>
      <c r="R227" s="1080"/>
    </row>
    <row r="228" spans="3:18" s="73" customFormat="1" ht="18" hidden="1">
      <c r="C228" s="1106" t="s">
        <v>45</v>
      </c>
      <c r="D228" s="1106"/>
      <c r="E228" s="1106"/>
      <c r="F228" s="1106"/>
      <c r="G228" s="1106"/>
      <c r="H228" s="1106"/>
      <c r="I228" s="1106"/>
      <c r="J228" s="1106"/>
      <c r="K228" s="1106"/>
      <c r="L228" s="1106"/>
      <c r="M228" s="1106"/>
      <c r="N228" s="1106"/>
      <c r="O228" s="1106"/>
      <c r="P228" s="1106"/>
      <c r="Q228" s="1106"/>
      <c r="R228" s="1080"/>
    </row>
    <row r="229" spans="3:18" s="73" customFormat="1" hidden="1">
      <c r="C229" s="1080"/>
      <c r="D229" s="1080"/>
      <c r="E229" s="1080"/>
      <c r="F229" s="1080"/>
      <c r="G229" s="1080"/>
      <c r="H229" s="1080"/>
      <c r="I229" s="1080"/>
      <c r="J229" s="1080"/>
      <c r="K229" s="1080"/>
      <c r="L229" s="1080"/>
      <c r="M229" s="1080"/>
      <c r="N229" s="1080"/>
      <c r="O229" s="1080"/>
      <c r="P229" s="1080"/>
      <c r="Q229" s="1080"/>
      <c r="R229" s="1080"/>
    </row>
    <row r="230" spans="3:18" s="73" customFormat="1" hidden="1">
      <c r="C230" s="1080" t="s">
        <v>46</v>
      </c>
      <c r="D230" s="1080"/>
      <c r="E230" s="1118">
        <f>E176+E177*2+E178*30</f>
        <v>0</v>
      </c>
      <c r="F230" s="1080"/>
      <c r="G230" s="1080"/>
      <c r="H230" s="1080"/>
      <c r="I230" s="1080"/>
      <c r="J230" s="1080"/>
      <c r="K230" s="1080"/>
      <c r="L230" s="1080"/>
      <c r="M230" s="1080"/>
      <c r="N230" s="1080"/>
      <c r="O230" s="1080"/>
      <c r="P230" s="1080"/>
      <c r="Q230" s="1080"/>
      <c r="R230" s="1080"/>
    </row>
    <row r="231" spans="3:18" s="73" customFormat="1" ht="6.75" hidden="1" customHeight="1">
      <c r="C231" s="1080"/>
      <c r="D231" s="1080"/>
      <c r="E231" s="1080"/>
      <c r="F231" s="1080"/>
      <c r="G231" s="1080"/>
      <c r="H231" s="1080"/>
      <c r="I231" s="1080"/>
      <c r="J231" s="1080"/>
      <c r="K231" s="1080"/>
      <c r="L231" s="1080"/>
      <c r="M231" s="1080"/>
      <c r="N231" s="1080"/>
      <c r="O231" s="1080"/>
      <c r="P231" s="1080"/>
      <c r="Q231" s="1080"/>
      <c r="R231" s="1080"/>
    </row>
    <row r="232" spans="3:18" s="73" customFormat="1" hidden="1">
      <c r="C232" s="1080" t="s">
        <v>49</v>
      </c>
      <c r="D232" s="1080"/>
      <c r="E232" s="1118">
        <f>E167</f>
        <v>0</v>
      </c>
      <c r="F232" s="1080"/>
      <c r="G232" s="1080"/>
      <c r="H232" s="1080"/>
      <c r="I232" s="1080"/>
      <c r="J232" s="1080"/>
      <c r="K232" s="1080"/>
      <c r="L232" s="1080"/>
      <c r="M232" s="1080"/>
      <c r="N232" s="1080"/>
      <c r="O232" s="1080"/>
      <c r="P232" s="1080"/>
      <c r="Q232" s="1080"/>
      <c r="R232" s="1080"/>
    </row>
    <row r="233" spans="3:18" s="73" customFormat="1" ht="6.75" hidden="1" customHeight="1">
      <c r="C233" s="1080"/>
      <c r="D233" s="1080"/>
      <c r="E233" s="1080"/>
      <c r="F233" s="1080"/>
      <c r="G233" s="1080"/>
      <c r="H233" s="1080"/>
      <c r="I233" s="1080"/>
      <c r="J233" s="1080"/>
      <c r="K233" s="1080"/>
      <c r="L233" s="1080"/>
      <c r="M233" s="1080"/>
      <c r="N233" s="1080"/>
      <c r="O233" s="1080"/>
      <c r="P233" s="1080"/>
      <c r="Q233" s="1080"/>
      <c r="R233" s="1080"/>
    </row>
    <row r="234" spans="3:18" s="73" customFormat="1" hidden="1">
      <c r="C234" s="1080" t="s">
        <v>47</v>
      </c>
      <c r="D234" s="1080"/>
      <c r="E234" s="1083">
        <f>H181+E171+K194+K190+E219+E226</f>
        <v>0</v>
      </c>
      <c r="F234" s="1080"/>
      <c r="G234" s="1080"/>
      <c r="H234" s="1080"/>
      <c r="I234" s="1080"/>
      <c r="J234" s="1080"/>
      <c r="K234" s="1080"/>
      <c r="L234" s="1080"/>
      <c r="M234" s="1080"/>
      <c r="N234" s="1080"/>
      <c r="O234" s="1080"/>
      <c r="P234" s="1080"/>
      <c r="Q234" s="1080"/>
      <c r="R234" s="1080"/>
    </row>
    <row r="235" spans="3:18" s="73" customFormat="1" ht="6.75" hidden="1" customHeight="1">
      <c r="C235" s="1080"/>
      <c r="D235" s="1080"/>
      <c r="E235" s="1080"/>
      <c r="F235" s="1080"/>
      <c r="G235" s="1080"/>
      <c r="H235" s="1080"/>
      <c r="I235" s="1080"/>
      <c r="J235" s="1080"/>
      <c r="K235" s="1080"/>
      <c r="L235" s="1080"/>
      <c r="M235" s="1080"/>
      <c r="N235" s="1080"/>
      <c r="O235" s="1080"/>
      <c r="P235" s="1080"/>
      <c r="Q235" s="1080"/>
      <c r="R235" s="1080"/>
    </row>
    <row r="236" spans="3:18" s="73" customFormat="1" hidden="1">
      <c r="C236" s="1080" t="s">
        <v>48</v>
      </c>
      <c r="D236" s="1080"/>
      <c r="E236" s="1083" t="e">
        <f>E234/E230</f>
        <v>#DIV/0!</v>
      </c>
      <c r="F236" s="1080"/>
      <c r="G236" s="1080"/>
      <c r="H236" s="1080"/>
      <c r="I236" s="1080"/>
      <c r="J236" s="1080"/>
      <c r="K236" s="1080"/>
      <c r="L236" s="1080"/>
      <c r="M236" s="1080"/>
      <c r="N236" s="1080"/>
      <c r="O236" s="1080"/>
      <c r="P236" s="1080"/>
      <c r="Q236" s="1080"/>
      <c r="R236" s="1080"/>
    </row>
    <row r="237" spans="3:18" s="73" customFormat="1" ht="6.75" hidden="1" customHeight="1">
      <c r="C237" s="1080"/>
      <c r="D237" s="1080"/>
      <c r="E237" s="1080"/>
      <c r="F237" s="1080"/>
      <c r="G237" s="1080"/>
      <c r="H237" s="1080"/>
      <c r="I237" s="1080"/>
      <c r="J237" s="1080"/>
      <c r="K237" s="1080"/>
      <c r="L237" s="1080"/>
      <c r="M237" s="1080"/>
      <c r="N237" s="1080"/>
      <c r="O237" s="1080"/>
      <c r="P237" s="1080"/>
      <c r="Q237" s="1080"/>
      <c r="R237" s="1080"/>
    </row>
    <row r="238" spans="3:18" s="73" customFormat="1" hidden="1">
      <c r="C238" s="1080" t="s">
        <v>52</v>
      </c>
      <c r="D238" s="1080"/>
      <c r="E238" s="1083" t="e">
        <f>E234/E167</f>
        <v>#DIV/0!</v>
      </c>
      <c r="F238" s="1080"/>
      <c r="G238" s="1080"/>
      <c r="H238" s="1080"/>
      <c r="I238" s="1080"/>
      <c r="J238" s="1080"/>
      <c r="K238" s="1080"/>
      <c r="L238" s="1080"/>
      <c r="M238" s="1080"/>
      <c r="N238" s="1080"/>
      <c r="O238" s="1080"/>
      <c r="P238" s="1080"/>
      <c r="Q238" s="1080"/>
      <c r="R238" s="1080"/>
    </row>
    <row r="239" spans="3:18" s="73" customFormat="1" hidden="1">
      <c r="C239" s="1080"/>
      <c r="D239" s="1080"/>
      <c r="E239" s="1080"/>
      <c r="F239" s="1080"/>
      <c r="G239" s="1080"/>
      <c r="H239" s="1080"/>
      <c r="I239" s="1080"/>
      <c r="J239" s="1080"/>
      <c r="K239" s="1080"/>
      <c r="L239" s="1080"/>
      <c r="M239" s="1080"/>
      <c r="N239" s="1080"/>
      <c r="O239" s="1080"/>
      <c r="P239" s="1080"/>
      <c r="Q239" s="1080"/>
      <c r="R239" s="1080"/>
    </row>
    <row r="240" spans="3:18" s="73" customFormat="1" hidden="1">
      <c r="C240" s="1080"/>
      <c r="D240" s="1080"/>
      <c r="E240" s="1080"/>
      <c r="F240" s="1080"/>
      <c r="G240" s="1080"/>
      <c r="H240" s="1080"/>
      <c r="I240" s="1080"/>
      <c r="J240" s="1080"/>
      <c r="K240" s="1080"/>
      <c r="L240" s="1080"/>
      <c r="M240" s="1080"/>
      <c r="N240" s="1080"/>
      <c r="O240" s="1080"/>
      <c r="P240" s="1080"/>
      <c r="Q240" s="1080"/>
      <c r="R240" s="1080"/>
    </row>
    <row r="241" spans="3:18" s="73" customFormat="1" hidden="1">
      <c r="C241" s="1080"/>
      <c r="D241" s="1080"/>
      <c r="E241" s="1080"/>
      <c r="F241" s="1080"/>
      <c r="G241" s="1080"/>
      <c r="H241" s="1080"/>
      <c r="I241" s="1080"/>
      <c r="J241" s="1080"/>
      <c r="K241" s="1080"/>
      <c r="L241" s="1080"/>
      <c r="M241" s="1080"/>
      <c r="N241" s="1080"/>
      <c r="O241" s="1080"/>
      <c r="P241" s="1080"/>
      <c r="Q241" s="1080"/>
      <c r="R241" s="1080"/>
    </row>
    <row r="242" spans="3:18" s="73" customFormat="1" hidden="1">
      <c r="C242" s="1080"/>
      <c r="D242" s="1080"/>
      <c r="E242" s="1080"/>
      <c r="F242" s="1080"/>
      <c r="G242" s="1080"/>
      <c r="H242" s="1080"/>
      <c r="I242" s="1080"/>
      <c r="J242" s="1080"/>
      <c r="K242" s="1080"/>
      <c r="L242" s="1080"/>
      <c r="M242" s="1080"/>
      <c r="N242" s="1080"/>
      <c r="O242" s="1080"/>
      <c r="P242" s="1080"/>
      <c r="Q242" s="1080"/>
      <c r="R242" s="1080"/>
    </row>
    <row r="243" spans="3:18" s="73" customFormat="1" hidden="1">
      <c r="C243" s="1080"/>
      <c r="D243" s="1080"/>
      <c r="E243" s="1080"/>
      <c r="F243" s="1080"/>
      <c r="G243" s="1080"/>
      <c r="H243" s="1080"/>
      <c r="I243" s="1080"/>
      <c r="J243" s="1080"/>
      <c r="K243" s="1080"/>
      <c r="L243" s="1080"/>
      <c r="M243" s="1080"/>
      <c r="N243" s="1080"/>
      <c r="O243" s="1080"/>
      <c r="P243" s="1080"/>
      <c r="Q243" s="1080"/>
      <c r="R243" s="1080"/>
    </row>
    <row r="244" spans="3:18" s="73" customFormat="1" hidden="1">
      <c r="C244" s="1080"/>
      <c r="D244" s="1080"/>
      <c r="E244" s="1080"/>
      <c r="F244" s="1080"/>
      <c r="G244" s="1080"/>
      <c r="H244" s="1080"/>
      <c r="I244" s="1080"/>
      <c r="J244" s="1080"/>
      <c r="K244" s="1080"/>
      <c r="L244" s="1080"/>
      <c r="M244" s="1080"/>
      <c r="N244" s="1080"/>
      <c r="O244" s="1080"/>
      <c r="P244" s="1080"/>
      <c r="Q244" s="1080"/>
      <c r="R244" s="1080"/>
    </row>
    <row r="245" spans="3:18" s="73" customFormat="1" hidden="1">
      <c r="C245" s="1080"/>
      <c r="D245" s="1080"/>
      <c r="E245" s="1080"/>
      <c r="F245" s="1080"/>
      <c r="G245" s="1080"/>
      <c r="H245" s="1080"/>
      <c r="I245" s="1080"/>
      <c r="J245" s="1080"/>
      <c r="K245" s="1080"/>
      <c r="L245" s="1080"/>
      <c r="M245" s="1080"/>
      <c r="N245" s="1080"/>
      <c r="O245" s="1080"/>
      <c r="P245" s="1080"/>
      <c r="Q245" s="1080"/>
      <c r="R245" s="1080"/>
    </row>
    <row r="246" spans="3:18" s="73" customFormat="1" hidden="1">
      <c r="C246" s="1080"/>
      <c r="D246" s="1080"/>
      <c r="E246" s="1080"/>
      <c r="F246" s="1080"/>
      <c r="G246" s="1080"/>
      <c r="H246" s="1080"/>
      <c r="I246" s="1080"/>
      <c r="J246" s="1080"/>
      <c r="K246" s="1080"/>
      <c r="L246" s="1080"/>
      <c r="M246" s="1080"/>
      <c r="N246" s="1080"/>
      <c r="O246" s="1080"/>
      <c r="P246" s="1080"/>
      <c r="Q246" s="1080"/>
      <c r="R246" s="1080"/>
    </row>
    <row r="247" spans="3:18" s="73" customFormat="1" hidden="1">
      <c r="C247" s="1080"/>
      <c r="D247" s="1080"/>
      <c r="E247" s="1080"/>
      <c r="F247" s="1080"/>
      <c r="G247" s="1080"/>
      <c r="H247" s="1080"/>
      <c r="I247" s="1080"/>
      <c r="J247" s="1080"/>
      <c r="K247" s="1080"/>
      <c r="L247" s="1080"/>
      <c r="M247" s="1080"/>
      <c r="N247" s="1080"/>
      <c r="O247" s="1080"/>
      <c r="P247" s="1080"/>
      <c r="Q247" s="1080"/>
      <c r="R247" s="1080"/>
    </row>
    <row r="248" spans="3:18" s="73" customFormat="1" hidden="1">
      <c r="C248" s="1080"/>
      <c r="D248" s="1080"/>
      <c r="E248" s="1080"/>
      <c r="F248" s="1080"/>
      <c r="G248" s="1080"/>
      <c r="H248" s="1080"/>
      <c r="I248" s="1080"/>
      <c r="J248" s="1080"/>
      <c r="K248" s="1080"/>
      <c r="L248" s="1080"/>
      <c r="M248" s="1080"/>
      <c r="N248" s="1080"/>
      <c r="O248" s="1080"/>
      <c r="P248" s="1080"/>
      <c r="Q248" s="1080"/>
      <c r="R248" s="1080"/>
    </row>
    <row r="249" spans="3:18" s="73" customFormat="1" hidden="1">
      <c r="C249" s="1080"/>
      <c r="D249" s="1080"/>
      <c r="E249" s="1080"/>
      <c r="F249" s="1080"/>
      <c r="G249" s="1080"/>
      <c r="H249" s="1080"/>
      <c r="I249" s="1080"/>
      <c r="J249" s="1080"/>
      <c r="K249" s="1080"/>
      <c r="L249" s="1080"/>
      <c r="M249" s="1080"/>
      <c r="N249" s="1080"/>
      <c r="O249" s="1080"/>
      <c r="P249" s="1080"/>
      <c r="Q249" s="1080"/>
      <c r="R249" s="1080"/>
    </row>
    <row r="250" spans="3:18" s="73" customFormat="1" hidden="1">
      <c r="C250" s="1080"/>
      <c r="D250" s="1080"/>
      <c r="E250" s="1080"/>
      <c r="F250" s="1080"/>
      <c r="G250" s="1080"/>
      <c r="H250" s="1080"/>
      <c r="I250" s="1080"/>
      <c r="J250" s="1080"/>
      <c r="K250" s="1080"/>
      <c r="L250" s="1080"/>
      <c r="M250" s="1080"/>
      <c r="N250" s="1080"/>
      <c r="O250" s="1080"/>
      <c r="P250" s="1080"/>
      <c r="Q250" s="1080"/>
      <c r="R250" s="1080"/>
    </row>
    <row r="251" spans="3:18" s="73" customFormat="1" hidden="1">
      <c r="C251" s="1080"/>
      <c r="D251" s="1080"/>
      <c r="E251" s="1080"/>
      <c r="F251" s="1080"/>
      <c r="G251" s="1080"/>
      <c r="H251" s="1080"/>
      <c r="I251" s="1080"/>
      <c r="J251" s="1080"/>
      <c r="K251" s="1080"/>
      <c r="L251" s="1080"/>
      <c r="M251" s="1080"/>
      <c r="N251" s="1080"/>
      <c r="O251" s="1080"/>
      <c r="P251" s="1080"/>
      <c r="Q251" s="1080"/>
      <c r="R251" s="1080"/>
    </row>
    <row r="252" spans="3:18" s="73" customFormat="1" hidden="1">
      <c r="C252" s="1080"/>
      <c r="D252" s="1080"/>
      <c r="E252" s="1080"/>
      <c r="F252" s="1080"/>
      <c r="G252" s="1080"/>
      <c r="H252" s="1080"/>
      <c r="I252" s="1080"/>
      <c r="J252" s="1080"/>
      <c r="K252" s="1080"/>
      <c r="L252" s="1080"/>
      <c r="M252" s="1080"/>
      <c r="N252" s="1080"/>
      <c r="O252" s="1080"/>
      <c r="P252" s="1080"/>
      <c r="Q252" s="1080"/>
      <c r="R252" s="1080"/>
    </row>
    <row r="253" spans="3:18" s="73" customFormat="1" hidden="1">
      <c r="C253" s="1080"/>
      <c r="D253" s="1080"/>
      <c r="E253" s="1080"/>
      <c r="F253" s="1080"/>
      <c r="G253" s="1080"/>
      <c r="H253" s="1080"/>
      <c r="I253" s="1080"/>
      <c r="J253" s="1080"/>
      <c r="K253" s="1080"/>
      <c r="L253" s="1080"/>
      <c r="M253" s="1080"/>
      <c r="N253" s="1080"/>
      <c r="O253" s="1080"/>
      <c r="P253" s="1080"/>
      <c r="Q253" s="1080"/>
      <c r="R253" s="1080"/>
    </row>
    <row r="254" spans="3:18" s="73" customFormat="1" hidden="1">
      <c r="C254" s="1080"/>
      <c r="D254" s="1080"/>
      <c r="E254" s="1080"/>
      <c r="F254" s="1080"/>
      <c r="G254" s="1080"/>
      <c r="H254" s="1080"/>
      <c r="I254" s="1080"/>
      <c r="J254" s="1080"/>
      <c r="K254" s="1080"/>
      <c r="L254" s="1080"/>
      <c r="M254" s="1080"/>
      <c r="N254" s="1080"/>
      <c r="O254" s="1080"/>
      <c r="P254" s="1080"/>
      <c r="Q254" s="1080"/>
      <c r="R254" s="1080"/>
    </row>
    <row r="255" spans="3:18" s="73" customFormat="1" hidden="1">
      <c r="C255" s="1080"/>
      <c r="D255" s="1080"/>
      <c r="E255" s="1080"/>
      <c r="F255" s="1080"/>
      <c r="G255" s="1080"/>
      <c r="H255" s="1080"/>
      <c r="I255" s="1080"/>
      <c r="J255" s="1080"/>
      <c r="K255" s="1080"/>
      <c r="L255" s="1080"/>
      <c r="M255" s="1080"/>
      <c r="N255" s="1080"/>
      <c r="O255" s="1080"/>
      <c r="P255" s="1080"/>
      <c r="Q255" s="1080"/>
      <c r="R255" s="1080"/>
    </row>
    <row r="256" spans="3:18" s="73" customFormat="1" hidden="1">
      <c r="C256" s="1080"/>
      <c r="D256" s="1080"/>
      <c r="E256" s="1080"/>
      <c r="F256" s="1080"/>
      <c r="G256" s="1080"/>
      <c r="H256" s="1080"/>
      <c r="I256" s="1080"/>
      <c r="J256" s="1080"/>
      <c r="K256" s="1080"/>
      <c r="L256" s="1080"/>
      <c r="M256" s="1080"/>
      <c r="N256" s="1080"/>
      <c r="O256" s="1080"/>
      <c r="P256" s="1080"/>
      <c r="Q256" s="1080"/>
      <c r="R256" s="1080"/>
    </row>
    <row r="257" spans="3:18" s="73" customFormat="1" hidden="1">
      <c r="C257" s="1080"/>
      <c r="D257" s="1080"/>
      <c r="E257" s="1080"/>
      <c r="F257" s="1080"/>
      <c r="G257" s="1080"/>
      <c r="H257" s="1080"/>
      <c r="I257" s="1080"/>
      <c r="J257" s="1080"/>
      <c r="K257" s="1080"/>
      <c r="L257" s="1080"/>
      <c r="M257" s="1080"/>
      <c r="N257" s="1080"/>
      <c r="O257" s="1080"/>
      <c r="P257" s="1080"/>
      <c r="Q257" s="1080"/>
      <c r="R257" s="1080"/>
    </row>
    <row r="258" spans="3:18" s="73" customFormat="1" hidden="1">
      <c r="C258" s="1080"/>
      <c r="D258" s="1080"/>
      <c r="E258" s="1080"/>
      <c r="F258" s="1080"/>
      <c r="G258" s="1080"/>
      <c r="H258" s="1080"/>
      <c r="I258" s="1080"/>
      <c r="J258" s="1080"/>
      <c r="K258" s="1080"/>
      <c r="L258" s="1080"/>
      <c r="M258" s="1080"/>
      <c r="N258" s="1080"/>
      <c r="O258" s="1080"/>
      <c r="P258" s="1080"/>
      <c r="Q258" s="1080"/>
      <c r="R258" s="1080"/>
    </row>
    <row r="259" spans="3:18" s="73" customFormat="1" hidden="1">
      <c r="C259" s="1080"/>
      <c r="D259" s="1080"/>
      <c r="E259" s="1080"/>
      <c r="F259" s="1080"/>
      <c r="G259" s="1080"/>
      <c r="H259" s="1080"/>
      <c r="I259" s="1080"/>
      <c r="J259" s="1080"/>
      <c r="K259" s="1080"/>
      <c r="L259" s="1080"/>
      <c r="M259" s="1080"/>
      <c r="N259" s="1080"/>
      <c r="O259" s="1080"/>
      <c r="P259" s="1080"/>
      <c r="Q259" s="1080"/>
      <c r="R259" s="1080"/>
    </row>
    <row r="260" spans="3:18" s="73" customFormat="1" hidden="1">
      <c r="C260" s="1080"/>
      <c r="D260" s="1080"/>
      <c r="E260" s="1080"/>
      <c r="F260" s="1080"/>
      <c r="G260" s="1080"/>
      <c r="H260" s="1080"/>
      <c r="I260" s="1080"/>
      <c r="J260" s="1080"/>
      <c r="K260" s="1080"/>
      <c r="L260" s="1080"/>
      <c r="M260" s="1080"/>
      <c r="N260" s="1080"/>
      <c r="O260" s="1080"/>
      <c r="P260" s="1080"/>
      <c r="Q260" s="1080"/>
      <c r="R260" s="1080"/>
    </row>
    <row r="261" spans="3:18" s="73" customFormat="1" hidden="1">
      <c r="C261" s="1080"/>
      <c r="D261" s="1080"/>
      <c r="E261" s="1080"/>
      <c r="F261" s="1080"/>
      <c r="G261" s="1080"/>
      <c r="H261" s="1080"/>
      <c r="I261" s="1080"/>
      <c r="J261" s="1080"/>
      <c r="K261" s="1080"/>
      <c r="L261" s="1080"/>
      <c r="M261" s="1080"/>
      <c r="N261" s="1080"/>
      <c r="O261" s="1080"/>
      <c r="P261" s="1080"/>
      <c r="Q261" s="1080"/>
      <c r="R261" s="1080"/>
    </row>
    <row r="262" spans="3:18" s="73" customFormat="1" hidden="1">
      <c r="C262" s="1080"/>
      <c r="D262" s="1080"/>
      <c r="E262" s="1080"/>
      <c r="F262" s="1080"/>
      <c r="G262" s="1080"/>
      <c r="H262" s="1080"/>
      <c r="I262" s="1080"/>
      <c r="J262" s="1080"/>
      <c r="K262" s="1080"/>
      <c r="L262" s="1080"/>
      <c r="M262" s="1080"/>
      <c r="N262" s="1080"/>
      <c r="O262" s="1080"/>
      <c r="P262" s="1080"/>
      <c r="Q262" s="1080"/>
      <c r="R262" s="1080"/>
    </row>
    <row r="263" spans="3:18" s="73" customFormat="1" hidden="1">
      <c r="C263" s="1080"/>
      <c r="D263" s="1080"/>
      <c r="E263" s="1080"/>
      <c r="F263" s="1080"/>
      <c r="G263" s="1080"/>
      <c r="H263" s="1080"/>
      <c r="I263" s="1080"/>
      <c r="J263" s="1080"/>
      <c r="K263" s="1080"/>
      <c r="L263" s="1080"/>
      <c r="M263" s="1080"/>
      <c r="N263" s="1080"/>
      <c r="O263" s="1080"/>
      <c r="P263" s="1080"/>
      <c r="Q263" s="1080"/>
      <c r="R263" s="1080"/>
    </row>
    <row r="264" spans="3:18" s="73" customFormat="1" hidden="1">
      <c r="C264" s="1080"/>
      <c r="D264" s="1080"/>
      <c r="E264" s="1080"/>
      <c r="F264" s="1080"/>
      <c r="G264" s="1080"/>
      <c r="H264" s="1080"/>
      <c r="I264" s="1080"/>
      <c r="J264" s="1080"/>
      <c r="K264" s="1080"/>
      <c r="L264" s="1080"/>
      <c r="M264" s="1080"/>
      <c r="N264" s="1080"/>
      <c r="O264" s="1080"/>
      <c r="P264" s="1080"/>
      <c r="Q264" s="1080"/>
      <c r="R264" s="1080"/>
    </row>
    <row r="265" spans="3:18" s="73" customFormat="1" hidden="1">
      <c r="C265" s="1080"/>
      <c r="D265" s="1080"/>
      <c r="E265" s="1080"/>
      <c r="F265" s="1080"/>
      <c r="G265" s="1080"/>
      <c r="H265" s="1080"/>
      <c r="I265" s="1080"/>
      <c r="J265" s="1080"/>
      <c r="K265" s="1080"/>
      <c r="L265" s="1080"/>
      <c r="M265" s="1080"/>
      <c r="N265" s="1080"/>
      <c r="O265" s="1080"/>
      <c r="P265" s="1080"/>
      <c r="Q265" s="1080"/>
      <c r="R265" s="1080"/>
    </row>
    <row r="266" spans="3:18" s="73" customFormat="1" hidden="1">
      <c r="C266" s="1080"/>
      <c r="D266" s="1080"/>
      <c r="E266" s="1080"/>
      <c r="F266" s="1080"/>
      <c r="G266" s="1080"/>
      <c r="H266" s="1080"/>
      <c r="I266" s="1080"/>
      <c r="J266" s="1080"/>
      <c r="K266" s="1080"/>
      <c r="L266" s="1080"/>
      <c r="M266" s="1080"/>
      <c r="N266" s="1080"/>
      <c r="O266" s="1080"/>
      <c r="P266" s="1080"/>
      <c r="Q266" s="1080"/>
      <c r="R266" s="1080"/>
    </row>
    <row r="267" spans="3:18" s="73" customFormat="1" hidden="1">
      <c r="C267" s="1080"/>
      <c r="D267" s="1080"/>
      <c r="E267" s="1080"/>
      <c r="F267" s="1080"/>
      <c r="G267" s="1080"/>
      <c r="H267" s="1080"/>
      <c r="I267" s="1080"/>
      <c r="J267" s="1080"/>
      <c r="K267" s="1080"/>
      <c r="L267" s="1080"/>
      <c r="M267" s="1080"/>
      <c r="N267" s="1080"/>
      <c r="O267" s="1080"/>
      <c r="P267" s="1080"/>
      <c r="Q267" s="1080"/>
      <c r="R267" s="1080"/>
    </row>
    <row r="268" spans="3:18" s="73" customFormat="1" hidden="1">
      <c r="C268" s="1080"/>
      <c r="D268" s="1080"/>
      <c r="E268" s="1080"/>
      <c r="F268" s="1080"/>
      <c r="G268" s="1080"/>
      <c r="H268" s="1080"/>
      <c r="I268" s="1080"/>
      <c r="J268" s="1080"/>
      <c r="K268" s="1080"/>
      <c r="L268" s="1080"/>
      <c r="M268" s="1080"/>
      <c r="N268" s="1080"/>
      <c r="O268" s="1080"/>
      <c r="P268" s="1080"/>
      <c r="Q268" s="1080"/>
      <c r="R268" s="1080"/>
    </row>
    <row r="269" spans="3:18" s="73" customFormat="1" hidden="1">
      <c r="C269" s="1080"/>
      <c r="D269" s="1080"/>
      <c r="E269" s="1080"/>
      <c r="F269" s="1080"/>
      <c r="G269" s="1080"/>
      <c r="H269" s="1080"/>
      <c r="I269" s="1080"/>
      <c r="J269" s="1080"/>
      <c r="K269" s="1080"/>
      <c r="L269" s="1080"/>
      <c r="M269" s="1080"/>
      <c r="N269" s="1080"/>
      <c r="O269" s="1080"/>
      <c r="P269" s="1080"/>
      <c r="Q269" s="1080"/>
      <c r="R269" s="1080"/>
    </row>
    <row r="270" spans="3:18" s="73" customFormat="1" hidden="1">
      <c r="C270" s="1080"/>
      <c r="D270" s="1080"/>
      <c r="E270" s="1080"/>
      <c r="F270" s="1080"/>
      <c r="G270" s="1080"/>
      <c r="H270" s="1080"/>
      <c r="I270" s="1080"/>
      <c r="J270" s="1080"/>
      <c r="K270" s="1080"/>
      <c r="L270" s="1080"/>
      <c r="M270" s="1080"/>
      <c r="N270" s="1080"/>
      <c r="O270" s="1080"/>
      <c r="P270" s="1080"/>
      <c r="Q270" s="1080"/>
      <c r="R270" s="1080"/>
    </row>
    <row r="271" spans="3:18" s="73" customFormat="1" hidden="1">
      <c r="C271" s="1080"/>
      <c r="D271" s="1080"/>
      <c r="E271" s="1080"/>
      <c r="F271" s="1080"/>
      <c r="G271" s="1080"/>
      <c r="H271" s="1080"/>
      <c r="I271" s="1080"/>
      <c r="J271" s="1080"/>
      <c r="K271" s="1080"/>
      <c r="L271" s="1080"/>
      <c r="M271" s="1080"/>
      <c r="N271" s="1080"/>
      <c r="O271" s="1080"/>
      <c r="P271" s="1080"/>
      <c r="Q271" s="1080"/>
      <c r="R271" s="1080"/>
    </row>
    <row r="272" spans="3:18" s="73" customFormat="1" hidden="1">
      <c r="C272" s="1080"/>
      <c r="D272" s="1080"/>
      <c r="E272" s="1080"/>
      <c r="F272" s="1080"/>
      <c r="G272" s="1080"/>
      <c r="H272" s="1080"/>
      <c r="I272" s="1080"/>
      <c r="J272" s="1080"/>
      <c r="K272" s="1080"/>
      <c r="L272" s="1080"/>
      <c r="M272" s="1080"/>
      <c r="N272" s="1080"/>
      <c r="O272" s="1080"/>
      <c r="P272" s="1080"/>
      <c r="Q272" s="1080"/>
      <c r="R272" s="1080"/>
    </row>
    <row r="273" spans="3:18" s="73" customFormat="1" hidden="1">
      <c r="C273" s="1080"/>
      <c r="D273" s="1080"/>
      <c r="E273" s="1080"/>
      <c r="F273" s="1080"/>
      <c r="G273" s="1080"/>
      <c r="H273" s="1080"/>
      <c r="I273" s="1080"/>
      <c r="J273" s="1080"/>
      <c r="K273" s="1080"/>
      <c r="L273" s="1080"/>
      <c r="M273" s="1080"/>
      <c r="N273" s="1080"/>
      <c r="O273" s="1080"/>
      <c r="P273" s="1080"/>
      <c r="Q273" s="1080"/>
      <c r="R273" s="1080"/>
    </row>
    <row r="274" spans="3:18" s="73" customFormat="1" hidden="1">
      <c r="C274" s="1080"/>
      <c r="D274" s="1080"/>
      <c r="E274" s="1080"/>
      <c r="F274" s="1080"/>
      <c r="G274" s="1080"/>
      <c r="H274" s="1080"/>
      <c r="I274" s="1080"/>
      <c r="J274" s="1080"/>
      <c r="K274" s="1080"/>
      <c r="L274" s="1080"/>
      <c r="M274" s="1080"/>
      <c r="N274" s="1080"/>
      <c r="O274" s="1080"/>
      <c r="P274" s="1080"/>
      <c r="Q274" s="1080"/>
      <c r="R274" s="1080"/>
    </row>
    <row r="275" spans="3:18" s="73" customFormat="1" hidden="1">
      <c r="C275" s="1080"/>
      <c r="D275" s="1080"/>
      <c r="E275" s="1080"/>
      <c r="F275" s="1080"/>
      <c r="G275" s="1080"/>
      <c r="H275" s="1080"/>
      <c r="I275" s="1080"/>
      <c r="J275" s="1080"/>
      <c r="K275" s="1080"/>
      <c r="L275" s="1080"/>
      <c r="M275" s="1080"/>
      <c r="N275" s="1080"/>
      <c r="O275" s="1080"/>
      <c r="P275" s="1080"/>
      <c r="Q275" s="1080"/>
      <c r="R275" s="1080"/>
    </row>
    <row r="276" spans="3:18" s="73" customFormat="1" hidden="1">
      <c r="C276" s="1080"/>
      <c r="D276" s="1080"/>
      <c r="E276" s="1080"/>
      <c r="F276" s="1080"/>
      <c r="G276" s="1080"/>
      <c r="H276" s="1080"/>
      <c r="I276" s="1080"/>
      <c r="J276" s="1080"/>
      <c r="K276" s="1080"/>
      <c r="L276" s="1080"/>
      <c r="M276" s="1080"/>
      <c r="N276" s="1080"/>
      <c r="O276" s="1080"/>
      <c r="P276" s="1080"/>
      <c r="Q276" s="1080"/>
      <c r="R276" s="1080"/>
    </row>
    <row r="277" spans="3:18" s="73" customFormat="1" hidden="1">
      <c r="C277" s="1080"/>
      <c r="D277" s="1080"/>
      <c r="E277" s="1080"/>
      <c r="F277" s="1080"/>
      <c r="G277" s="1080"/>
      <c r="H277" s="1080"/>
      <c r="I277" s="1080"/>
      <c r="J277" s="1080"/>
      <c r="K277" s="1080"/>
      <c r="L277" s="1080"/>
      <c r="M277" s="1080"/>
      <c r="N277" s="1080"/>
      <c r="O277" s="1080"/>
      <c r="P277" s="1080"/>
      <c r="Q277" s="1080"/>
      <c r="R277" s="1080"/>
    </row>
    <row r="278" spans="3:18" s="73" customFormat="1" hidden="1">
      <c r="C278" s="1080"/>
      <c r="D278" s="1080"/>
      <c r="E278" s="1080"/>
      <c r="F278" s="1080"/>
      <c r="G278" s="1080"/>
      <c r="H278" s="1080"/>
      <c r="I278" s="1080"/>
      <c r="J278" s="1080"/>
      <c r="K278" s="1080"/>
      <c r="L278" s="1080"/>
      <c r="M278" s="1080"/>
      <c r="N278" s="1080"/>
      <c r="O278" s="1080"/>
      <c r="P278" s="1080"/>
      <c r="Q278" s="1080"/>
      <c r="R278" s="1080"/>
    </row>
    <row r="279" spans="3:18" s="73" customFormat="1" hidden="1">
      <c r="C279" s="1080"/>
      <c r="D279" s="1080"/>
      <c r="E279" s="1080"/>
      <c r="F279" s="1080"/>
      <c r="G279" s="1080"/>
      <c r="H279" s="1080"/>
      <c r="I279" s="1080"/>
      <c r="J279" s="1080"/>
      <c r="K279" s="1080"/>
      <c r="L279" s="1080"/>
      <c r="M279" s="1080"/>
      <c r="N279" s="1080"/>
      <c r="O279" s="1080"/>
      <c r="P279" s="1080"/>
      <c r="Q279" s="1080"/>
      <c r="R279" s="1080"/>
    </row>
    <row r="280" spans="3:18" s="73" customFormat="1" hidden="1">
      <c r="C280" s="1080"/>
      <c r="D280" s="1080"/>
      <c r="E280" s="1080"/>
      <c r="F280" s="1080"/>
      <c r="G280" s="1080"/>
      <c r="H280" s="1080"/>
      <c r="I280" s="1080"/>
      <c r="J280" s="1080"/>
      <c r="K280" s="1080"/>
      <c r="L280" s="1080"/>
      <c r="M280" s="1080"/>
      <c r="N280" s="1080"/>
      <c r="O280" s="1080"/>
      <c r="P280" s="1080"/>
      <c r="Q280" s="1080"/>
      <c r="R280" s="1080"/>
    </row>
    <row r="281" spans="3:18" s="73" customFormat="1" hidden="1">
      <c r="C281" s="1080"/>
      <c r="D281" s="1080"/>
      <c r="E281" s="1080"/>
      <c r="F281" s="1080"/>
      <c r="G281" s="1080"/>
      <c r="H281" s="1080"/>
      <c r="I281" s="1080"/>
      <c r="J281" s="1080"/>
      <c r="K281" s="1080"/>
      <c r="L281" s="1080"/>
      <c r="M281" s="1080"/>
      <c r="N281" s="1080"/>
      <c r="O281" s="1080"/>
      <c r="P281" s="1080"/>
      <c r="Q281" s="1080"/>
      <c r="R281" s="1080"/>
    </row>
    <row r="282" spans="3:18" s="73" customFormat="1" hidden="1">
      <c r="C282" s="1080"/>
      <c r="D282" s="1080"/>
      <c r="E282" s="1080"/>
      <c r="F282" s="1080"/>
      <c r="G282" s="1080"/>
      <c r="H282" s="1080"/>
      <c r="I282" s="1080"/>
      <c r="J282" s="1080"/>
      <c r="K282" s="1080"/>
      <c r="L282" s="1080"/>
      <c r="M282" s="1080"/>
      <c r="N282" s="1080"/>
      <c r="O282" s="1080"/>
      <c r="P282" s="1080"/>
      <c r="Q282" s="1080"/>
      <c r="R282" s="1080"/>
    </row>
    <row r="283" spans="3:18" s="73" customFormat="1" hidden="1">
      <c r="C283" s="1080"/>
      <c r="D283" s="1080"/>
      <c r="E283" s="1080"/>
      <c r="F283" s="1080"/>
      <c r="G283" s="1080"/>
      <c r="H283" s="1080"/>
      <c r="I283" s="1080"/>
      <c r="J283" s="1080"/>
      <c r="K283" s="1080"/>
      <c r="L283" s="1080"/>
      <c r="M283" s="1080"/>
      <c r="N283" s="1080"/>
      <c r="O283" s="1080"/>
      <c r="P283" s="1080"/>
      <c r="Q283" s="1080"/>
      <c r="R283" s="1080"/>
    </row>
    <row r="284" spans="3:18" s="73" customFormat="1" hidden="1">
      <c r="C284" s="1080"/>
      <c r="D284" s="1080"/>
      <c r="E284" s="1080"/>
      <c r="F284" s="1080"/>
      <c r="G284" s="1080"/>
      <c r="H284" s="1080"/>
      <c r="I284" s="1080"/>
      <c r="J284" s="1080"/>
      <c r="K284" s="1080"/>
      <c r="L284" s="1080"/>
      <c r="M284" s="1080"/>
      <c r="N284" s="1080"/>
      <c r="O284" s="1080"/>
      <c r="P284" s="1080"/>
      <c r="Q284" s="1080"/>
      <c r="R284" s="1080"/>
    </row>
    <row r="285" spans="3:18" s="73" customFormat="1" hidden="1">
      <c r="C285" s="1080"/>
      <c r="D285" s="1080"/>
      <c r="E285" s="1080"/>
      <c r="F285" s="1080"/>
      <c r="G285" s="1080"/>
      <c r="H285" s="1080"/>
      <c r="I285" s="1080"/>
      <c r="J285" s="1080"/>
      <c r="K285" s="1080"/>
      <c r="L285" s="1080"/>
      <c r="M285" s="1080"/>
      <c r="N285" s="1080"/>
      <c r="O285" s="1080"/>
      <c r="P285" s="1080"/>
      <c r="Q285" s="1080"/>
      <c r="R285" s="1080"/>
    </row>
    <row r="286" spans="3:18" s="73" customFormat="1" hidden="1">
      <c r="C286" s="1080"/>
      <c r="D286" s="1080"/>
      <c r="E286" s="1080"/>
      <c r="F286" s="1080"/>
      <c r="G286" s="1080"/>
      <c r="H286" s="1080"/>
      <c r="I286" s="1080"/>
      <c r="J286" s="1080"/>
      <c r="K286" s="1080"/>
      <c r="L286" s="1080"/>
      <c r="M286" s="1080"/>
      <c r="N286" s="1080"/>
      <c r="O286" s="1080"/>
      <c r="P286" s="1080"/>
      <c r="Q286" s="1080"/>
      <c r="R286" s="1080"/>
    </row>
    <row r="287" spans="3:18" s="73" customFormat="1" hidden="1">
      <c r="C287" s="1080"/>
      <c r="D287" s="1080"/>
      <c r="E287" s="1080"/>
      <c r="F287" s="1080"/>
      <c r="G287" s="1080"/>
      <c r="H287" s="1080"/>
      <c r="I287" s="1080"/>
      <c r="J287" s="1080"/>
      <c r="K287" s="1080"/>
      <c r="L287" s="1080"/>
      <c r="M287" s="1080"/>
      <c r="N287" s="1080"/>
      <c r="O287" s="1080"/>
      <c r="P287" s="1080"/>
      <c r="Q287" s="1080"/>
      <c r="R287" s="1080"/>
    </row>
    <row r="288" spans="3:18" s="73" customFormat="1" hidden="1">
      <c r="C288" s="1080"/>
      <c r="D288" s="1080"/>
      <c r="E288" s="1080"/>
      <c r="F288" s="1080"/>
      <c r="G288" s="1080"/>
      <c r="H288" s="1080"/>
      <c r="I288" s="1080"/>
      <c r="J288" s="1080"/>
      <c r="K288" s="1080"/>
      <c r="L288" s="1080"/>
      <c r="M288" s="1080"/>
      <c r="N288" s="1080"/>
      <c r="O288" s="1080"/>
      <c r="P288" s="1080"/>
      <c r="Q288" s="1080"/>
      <c r="R288" s="1080"/>
    </row>
    <row r="289" spans="3:18" s="73" customFormat="1" hidden="1">
      <c r="C289" s="1080"/>
      <c r="D289" s="1080"/>
      <c r="E289" s="1080"/>
      <c r="F289" s="1080"/>
      <c r="G289" s="1080"/>
      <c r="H289" s="1080"/>
      <c r="I289" s="1080"/>
      <c r="J289" s="1080"/>
      <c r="K289" s="1080"/>
      <c r="L289" s="1080"/>
      <c r="M289" s="1080"/>
      <c r="N289" s="1080"/>
      <c r="O289" s="1080"/>
      <c r="P289" s="1080"/>
      <c r="Q289" s="1080"/>
      <c r="R289" s="1080"/>
    </row>
    <row r="290" spans="3:18" s="73" customFormat="1" hidden="1">
      <c r="C290" s="1080"/>
      <c r="D290" s="1080"/>
      <c r="E290" s="1080"/>
      <c r="F290" s="1080"/>
      <c r="G290" s="1080"/>
      <c r="H290" s="1080"/>
      <c r="I290" s="1080"/>
      <c r="J290" s="1080"/>
      <c r="K290" s="1080"/>
      <c r="L290" s="1080"/>
      <c r="M290" s="1080"/>
      <c r="N290" s="1080"/>
      <c r="O290" s="1080"/>
      <c r="P290" s="1080"/>
      <c r="Q290" s="1080"/>
      <c r="R290" s="1080"/>
    </row>
    <row r="291" spans="3:18" s="73" customFormat="1" hidden="1">
      <c r="C291" s="1080"/>
      <c r="D291" s="1080"/>
      <c r="E291" s="1080"/>
      <c r="F291" s="1080"/>
      <c r="G291" s="1080"/>
      <c r="H291" s="1080"/>
      <c r="I291" s="1080"/>
      <c r="J291" s="1080"/>
      <c r="K291" s="1080"/>
      <c r="L291" s="1080"/>
      <c r="M291" s="1080"/>
      <c r="N291" s="1080"/>
      <c r="O291" s="1080"/>
      <c r="P291" s="1080"/>
      <c r="Q291" s="1080"/>
      <c r="R291" s="1080"/>
    </row>
    <row r="292" spans="3:18" s="73" customFormat="1" hidden="1">
      <c r="C292" s="1080"/>
      <c r="D292" s="1080"/>
      <c r="E292" s="1080"/>
      <c r="F292" s="1080"/>
      <c r="G292" s="1080"/>
      <c r="H292" s="1080"/>
      <c r="I292" s="1080"/>
      <c r="J292" s="1080"/>
      <c r="K292" s="1080"/>
      <c r="L292" s="1080"/>
      <c r="M292" s="1080"/>
      <c r="N292" s="1080"/>
      <c r="O292" s="1080"/>
      <c r="P292" s="1080"/>
      <c r="Q292" s="1080"/>
      <c r="R292" s="1080"/>
    </row>
    <row r="293" spans="3:18" s="73" customFormat="1" hidden="1">
      <c r="C293" s="1080"/>
      <c r="D293" s="1080"/>
      <c r="E293" s="1080"/>
      <c r="F293" s="1080"/>
      <c r="G293" s="1080"/>
      <c r="H293" s="1080"/>
      <c r="I293" s="1080"/>
      <c r="J293" s="1080"/>
      <c r="K293" s="1080"/>
      <c r="L293" s="1080"/>
      <c r="M293" s="1080"/>
      <c r="N293" s="1080"/>
      <c r="O293" s="1080"/>
      <c r="P293" s="1080"/>
      <c r="Q293" s="1080"/>
      <c r="R293" s="1080"/>
    </row>
    <row r="294" spans="3:18" s="73" customFormat="1" hidden="1">
      <c r="C294" s="1080"/>
      <c r="D294" s="1080"/>
      <c r="E294" s="1080"/>
      <c r="F294" s="1080"/>
      <c r="G294" s="1080"/>
      <c r="H294" s="1080"/>
      <c r="I294" s="1080"/>
      <c r="J294" s="1080"/>
      <c r="K294" s="1080"/>
      <c r="L294" s="1080"/>
      <c r="M294" s="1080"/>
      <c r="N294" s="1080"/>
      <c r="O294" s="1080"/>
      <c r="P294" s="1080"/>
      <c r="Q294" s="1080"/>
      <c r="R294" s="1080"/>
    </row>
    <row r="295" spans="3:18" s="73" customFormat="1" hidden="1">
      <c r="C295" s="1080"/>
      <c r="D295" s="1080"/>
      <c r="E295" s="1080"/>
      <c r="F295" s="1080"/>
      <c r="G295" s="1080"/>
      <c r="H295" s="1080"/>
      <c r="I295" s="1080"/>
      <c r="J295" s="1080"/>
      <c r="K295" s="1080"/>
      <c r="L295" s="1080"/>
      <c r="M295" s="1080"/>
      <c r="N295" s="1080"/>
      <c r="O295" s="1080"/>
      <c r="P295" s="1080"/>
      <c r="Q295" s="1080"/>
      <c r="R295" s="1080"/>
    </row>
    <row r="296" spans="3:18" s="73" customFormat="1" hidden="1">
      <c r="C296" s="1080"/>
      <c r="D296" s="1080"/>
      <c r="E296" s="1080"/>
      <c r="F296" s="1080"/>
      <c r="G296" s="1080"/>
      <c r="H296" s="1080"/>
      <c r="I296" s="1080"/>
      <c r="J296" s="1080"/>
      <c r="K296" s="1080"/>
      <c r="L296" s="1080"/>
      <c r="M296" s="1080"/>
      <c r="N296" s="1080"/>
      <c r="O296" s="1080"/>
      <c r="P296" s="1080"/>
      <c r="Q296" s="1080"/>
      <c r="R296" s="1080"/>
    </row>
    <row r="297" spans="3:18" s="73" customFormat="1" hidden="1">
      <c r="C297" s="1080"/>
      <c r="D297" s="1080"/>
      <c r="E297" s="1080"/>
      <c r="F297" s="1080"/>
      <c r="G297" s="1080"/>
      <c r="H297" s="1080"/>
      <c r="I297" s="1080"/>
      <c r="J297" s="1080"/>
      <c r="K297" s="1080"/>
      <c r="L297" s="1080"/>
      <c r="M297" s="1080"/>
      <c r="N297" s="1080"/>
      <c r="O297" s="1080"/>
      <c r="P297" s="1080"/>
      <c r="Q297" s="1080"/>
      <c r="R297" s="1080"/>
    </row>
    <row r="298" spans="3:18" s="73" customFormat="1" hidden="1">
      <c r="C298" s="1080"/>
      <c r="D298" s="1080"/>
      <c r="E298" s="1080"/>
      <c r="F298" s="1080"/>
      <c r="G298" s="1080"/>
      <c r="H298" s="1080"/>
      <c r="I298" s="1080"/>
      <c r="J298" s="1080"/>
      <c r="K298" s="1080"/>
      <c r="L298" s="1080"/>
      <c r="M298" s="1080"/>
      <c r="N298" s="1080"/>
      <c r="O298" s="1080"/>
      <c r="P298" s="1080"/>
      <c r="Q298" s="1080"/>
      <c r="R298" s="1080"/>
    </row>
    <row r="299" spans="3:18" s="73" customFormat="1" hidden="1">
      <c r="C299" s="1080"/>
      <c r="D299" s="1080"/>
      <c r="E299" s="1080"/>
      <c r="F299" s="1080"/>
      <c r="G299" s="1080"/>
      <c r="H299" s="1080"/>
      <c r="I299" s="1080"/>
      <c r="J299" s="1080"/>
      <c r="K299" s="1080"/>
      <c r="L299" s="1080"/>
      <c r="M299" s="1080"/>
      <c r="N299" s="1080"/>
      <c r="O299" s="1080"/>
      <c r="P299" s="1080"/>
      <c r="Q299" s="1080"/>
      <c r="R299" s="1080"/>
    </row>
    <row r="300" spans="3:18" s="73" customFormat="1" hidden="1">
      <c r="C300" s="1080"/>
      <c r="D300" s="1080"/>
      <c r="E300" s="1080"/>
      <c r="F300" s="1080"/>
      <c r="G300" s="1080"/>
      <c r="H300" s="1080"/>
      <c r="I300" s="1080"/>
      <c r="J300" s="1080"/>
      <c r="K300" s="1080"/>
      <c r="L300" s="1080"/>
      <c r="M300" s="1080"/>
      <c r="N300" s="1080"/>
      <c r="O300" s="1080"/>
      <c r="P300" s="1080"/>
      <c r="Q300" s="1080"/>
      <c r="R300" s="1080"/>
    </row>
    <row r="301" spans="3:18" s="73" customFormat="1" hidden="1">
      <c r="C301" s="1080"/>
      <c r="D301" s="1080"/>
      <c r="E301" s="1080"/>
      <c r="F301" s="1080"/>
      <c r="G301" s="1080"/>
      <c r="H301" s="1080"/>
      <c r="I301" s="1080"/>
      <c r="J301" s="1080"/>
      <c r="K301" s="1080"/>
      <c r="L301" s="1080"/>
      <c r="M301" s="1080"/>
      <c r="N301" s="1080"/>
      <c r="O301" s="1080"/>
      <c r="P301" s="1080"/>
      <c r="Q301" s="1080"/>
      <c r="R301" s="1080"/>
    </row>
    <row r="302" spans="3:18" s="73" customFormat="1" hidden="1">
      <c r="C302" s="1080"/>
      <c r="D302" s="1080"/>
      <c r="E302" s="1080"/>
      <c r="F302" s="1080"/>
      <c r="G302" s="1080"/>
      <c r="H302" s="1080"/>
      <c r="I302" s="1080"/>
      <c r="J302" s="1080"/>
      <c r="K302" s="1080"/>
      <c r="L302" s="1080"/>
      <c r="M302" s="1080"/>
      <c r="N302" s="1080"/>
      <c r="O302" s="1080"/>
      <c r="P302" s="1080"/>
      <c r="Q302" s="1080"/>
      <c r="R302" s="1080"/>
    </row>
    <row r="303" spans="3:18" s="73" customFormat="1" hidden="1">
      <c r="C303" s="1080"/>
      <c r="D303" s="1080"/>
      <c r="E303" s="1080"/>
      <c r="F303" s="1080"/>
      <c r="G303" s="1080"/>
      <c r="H303" s="1080"/>
      <c r="I303" s="1080"/>
      <c r="J303" s="1080"/>
      <c r="K303" s="1080"/>
      <c r="L303" s="1080"/>
      <c r="M303" s="1080"/>
      <c r="N303" s="1080"/>
      <c r="O303" s="1080"/>
      <c r="P303" s="1080"/>
      <c r="Q303" s="1080"/>
      <c r="R303" s="1080"/>
    </row>
    <row r="304" spans="3:18" s="73" customFormat="1" hidden="1">
      <c r="C304" s="1080"/>
      <c r="D304" s="1080"/>
      <c r="E304" s="1080"/>
      <c r="F304" s="1080"/>
      <c r="G304" s="1080"/>
      <c r="H304" s="1080"/>
      <c r="I304" s="1080"/>
      <c r="J304" s="1080"/>
      <c r="K304" s="1080"/>
      <c r="L304" s="1080"/>
      <c r="M304" s="1080"/>
      <c r="N304" s="1080"/>
      <c r="O304" s="1080"/>
      <c r="P304" s="1080"/>
      <c r="Q304" s="1080"/>
      <c r="R304" s="1080"/>
    </row>
    <row r="305" spans="3:18" s="73" customFormat="1" hidden="1">
      <c r="C305" s="1080"/>
      <c r="D305" s="1080"/>
      <c r="E305" s="1080"/>
      <c r="F305" s="1080"/>
      <c r="G305" s="1080"/>
      <c r="H305" s="1080"/>
      <c r="I305" s="1080"/>
      <c r="J305" s="1080"/>
      <c r="K305" s="1080"/>
      <c r="L305" s="1080"/>
      <c r="M305" s="1080"/>
      <c r="N305" s="1080"/>
      <c r="O305" s="1080"/>
      <c r="P305" s="1080"/>
      <c r="Q305" s="1080"/>
      <c r="R305" s="1080"/>
    </row>
    <row r="306" spans="3:18" s="73" customFormat="1" hidden="1">
      <c r="C306" s="1080"/>
      <c r="D306" s="1080"/>
      <c r="E306" s="1080"/>
      <c r="F306" s="1080"/>
      <c r="G306" s="1080"/>
      <c r="H306" s="1080"/>
      <c r="I306" s="1080"/>
      <c r="J306" s="1080"/>
      <c r="K306" s="1080"/>
      <c r="L306" s="1080"/>
      <c r="M306" s="1080"/>
      <c r="N306" s="1080"/>
      <c r="O306" s="1080"/>
      <c r="P306" s="1080"/>
      <c r="Q306" s="1080"/>
      <c r="R306" s="1080"/>
    </row>
    <row r="307" spans="3:18" s="73" customFormat="1" hidden="1">
      <c r="C307" s="1080"/>
      <c r="D307" s="1080"/>
      <c r="E307" s="1080"/>
      <c r="F307" s="1080"/>
      <c r="G307" s="1080"/>
      <c r="H307" s="1080"/>
      <c r="I307" s="1080"/>
      <c r="J307" s="1080"/>
      <c r="K307" s="1080"/>
      <c r="L307" s="1080"/>
      <c r="M307" s="1080"/>
      <c r="N307" s="1080"/>
      <c r="O307" s="1080"/>
      <c r="P307" s="1080"/>
      <c r="Q307" s="1080"/>
      <c r="R307" s="1080"/>
    </row>
    <row r="308" spans="3:18" s="73" customFormat="1" hidden="1">
      <c r="C308" s="1080"/>
      <c r="D308" s="1080"/>
      <c r="E308" s="1080"/>
      <c r="F308" s="1080"/>
      <c r="G308" s="1080"/>
      <c r="H308" s="1080"/>
      <c r="I308" s="1080"/>
      <c r="J308" s="1080"/>
      <c r="K308" s="1080"/>
      <c r="L308" s="1080"/>
      <c r="M308" s="1080"/>
      <c r="N308" s="1080"/>
      <c r="O308" s="1080"/>
      <c r="P308" s="1080"/>
      <c r="Q308" s="1080"/>
      <c r="R308" s="1080"/>
    </row>
    <row r="309" spans="3:18" s="73" customFormat="1" hidden="1">
      <c r="C309" s="1080"/>
      <c r="D309" s="1080"/>
      <c r="E309" s="1080"/>
      <c r="F309" s="1080"/>
      <c r="G309" s="1080"/>
      <c r="H309" s="1080"/>
      <c r="I309" s="1080"/>
      <c r="J309" s="1080"/>
      <c r="K309" s="1080"/>
      <c r="L309" s="1080"/>
      <c r="M309" s="1080"/>
      <c r="N309" s="1080"/>
      <c r="O309" s="1080"/>
      <c r="P309" s="1080"/>
      <c r="Q309" s="1080"/>
      <c r="R309" s="1080"/>
    </row>
    <row r="310" spans="3:18" s="73" customFormat="1" hidden="1">
      <c r="C310" s="1080"/>
      <c r="D310" s="1080"/>
      <c r="E310" s="1080"/>
      <c r="F310" s="1080"/>
      <c r="G310" s="1080"/>
      <c r="H310" s="1080"/>
      <c r="I310" s="1080"/>
      <c r="J310" s="1080"/>
      <c r="K310" s="1080"/>
      <c r="L310" s="1080"/>
      <c r="M310" s="1080"/>
      <c r="N310" s="1080"/>
      <c r="O310" s="1080"/>
      <c r="P310" s="1080"/>
      <c r="Q310" s="1080"/>
      <c r="R310" s="1080"/>
    </row>
    <row r="311" spans="3:18" s="73" customFormat="1" hidden="1">
      <c r="C311" s="1080"/>
      <c r="D311" s="1080"/>
      <c r="E311" s="1080"/>
      <c r="F311" s="1080"/>
      <c r="G311" s="1080"/>
      <c r="H311" s="1080"/>
      <c r="I311" s="1080"/>
      <c r="J311" s="1080"/>
      <c r="K311" s="1080"/>
      <c r="L311" s="1080"/>
      <c r="M311" s="1080"/>
      <c r="N311" s="1080"/>
      <c r="O311" s="1080"/>
      <c r="P311" s="1080"/>
      <c r="Q311" s="1080"/>
      <c r="R311" s="1080"/>
    </row>
    <row r="312" spans="3:18" s="73" customFormat="1" hidden="1">
      <c r="C312" s="1080"/>
      <c r="D312" s="1080"/>
      <c r="E312" s="1080"/>
      <c r="F312" s="1080"/>
      <c r="G312" s="1080"/>
      <c r="H312" s="1080"/>
      <c r="I312" s="1080"/>
      <c r="J312" s="1080"/>
      <c r="K312" s="1080"/>
      <c r="L312" s="1080"/>
      <c r="M312" s="1080"/>
      <c r="N312" s="1080"/>
      <c r="O312" s="1080"/>
      <c r="P312" s="1080"/>
      <c r="Q312" s="1080"/>
      <c r="R312" s="1080"/>
    </row>
    <row r="313" spans="3:18" s="73" customFormat="1" hidden="1">
      <c r="C313" s="1080"/>
      <c r="D313" s="1080"/>
      <c r="E313" s="1080"/>
      <c r="F313" s="1080"/>
      <c r="G313" s="1080"/>
      <c r="H313" s="1080"/>
      <c r="I313" s="1080"/>
      <c r="J313" s="1080"/>
      <c r="K313" s="1080"/>
      <c r="L313" s="1080"/>
      <c r="M313" s="1080"/>
      <c r="N313" s="1080"/>
      <c r="O313" s="1080"/>
      <c r="P313" s="1080"/>
      <c r="Q313" s="1080"/>
      <c r="R313" s="1080"/>
    </row>
    <row r="314" spans="3:18" s="73" customFormat="1" hidden="1">
      <c r="C314" s="1080"/>
      <c r="D314" s="1080"/>
      <c r="E314" s="1080"/>
      <c r="F314" s="1080"/>
      <c r="G314" s="1080"/>
      <c r="H314" s="1080"/>
      <c r="I314" s="1080"/>
      <c r="J314" s="1080"/>
      <c r="K314" s="1080"/>
      <c r="L314" s="1080"/>
      <c r="M314" s="1080"/>
      <c r="N314" s="1080"/>
      <c r="O314" s="1080"/>
      <c r="P314" s="1080"/>
      <c r="Q314" s="1080"/>
      <c r="R314" s="1080"/>
    </row>
    <row r="315" spans="3:18" s="73" customFormat="1" hidden="1">
      <c r="C315" s="1080"/>
      <c r="D315" s="1080"/>
      <c r="E315" s="1080"/>
      <c r="F315" s="1080"/>
      <c r="G315" s="1080"/>
      <c r="H315" s="1080"/>
      <c r="I315" s="1080"/>
      <c r="J315" s="1080"/>
      <c r="K315" s="1080"/>
      <c r="L315" s="1080"/>
      <c r="M315" s="1080"/>
      <c r="N315" s="1080"/>
      <c r="O315" s="1080"/>
      <c r="P315" s="1080"/>
      <c r="Q315" s="1080"/>
      <c r="R315" s="1080"/>
    </row>
    <row r="316" spans="3:18" s="73" customFormat="1" hidden="1">
      <c r="C316" s="1080"/>
      <c r="D316" s="1080"/>
      <c r="E316" s="1080"/>
      <c r="F316" s="1080"/>
      <c r="G316" s="1080"/>
      <c r="H316" s="1080"/>
      <c r="I316" s="1080"/>
      <c r="J316" s="1080"/>
      <c r="K316" s="1080"/>
      <c r="L316" s="1080"/>
      <c r="M316" s="1080"/>
      <c r="N316" s="1080"/>
      <c r="O316" s="1080"/>
      <c r="P316" s="1080"/>
      <c r="Q316" s="1080"/>
      <c r="R316" s="1080"/>
    </row>
    <row r="317" spans="3:18" s="73" customFormat="1" hidden="1">
      <c r="C317" s="1080"/>
      <c r="D317" s="1080"/>
      <c r="E317" s="1080"/>
      <c r="F317" s="1080"/>
      <c r="G317" s="1080"/>
      <c r="H317" s="1080"/>
      <c r="I317" s="1080"/>
      <c r="J317" s="1080"/>
      <c r="K317" s="1080"/>
      <c r="L317" s="1080"/>
      <c r="M317" s="1080"/>
      <c r="N317" s="1080"/>
      <c r="O317" s="1080"/>
      <c r="P317" s="1080"/>
      <c r="Q317" s="1080"/>
      <c r="R317" s="1080"/>
    </row>
    <row r="318" spans="3:18" s="73" customFormat="1" hidden="1">
      <c r="C318" s="1080"/>
      <c r="D318" s="1080"/>
      <c r="E318" s="1080"/>
      <c r="F318" s="1080"/>
      <c r="G318" s="1080"/>
      <c r="H318" s="1080"/>
      <c r="I318" s="1080"/>
      <c r="J318" s="1080"/>
      <c r="K318" s="1080"/>
      <c r="L318" s="1080"/>
      <c r="M318" s="1080"/>
      <c r="N318" s="1080"/>
      <c r="O318" s="1080"/>
      <c r="P318" s="1080"/>
      <c r="Q318" s="1080"/>
      <c r="R318" s="1080"/>
    </row>
    <row r="319" spans="3:18" s="73" customFormat="1" hidden="1">
      <c r="C319" s="1080"/>
      <c r="D319" s="1080"/>
      <c r="E319" s="1080"/>
      <c r="F319" s="1080"/>
      <c r="G319" s="1080"/>
      <c r="H319" s="1080"/>
      <c r="I319" s="1080"/>
      <c r="J319" s="1080"/>
      <c r="K319" s="1080"/>
      <c r="L319" s="1080"/>
      <c r="M319" s="1080"/>
      <c r="N319" s="1080"/>
      <c r="O319" s="1080"/>
      <c r="P319" s="1080"/>
      <c r="Q319" s="1080"/>
      <c r="R319" s="1080"/>
    </row>
    <row r="320" spans="3:18" s="73" customFormat="1" hidden="1">
      <c r="C320" s="1080"/>
      <c r="D320" s="1080"/>
      <c r="E320" s="1080"/>
      <c r="F320" s="1080"/>
      <c r="G320" s="1080"/>
      <c r="H320" s="1080"/>
      <c r="I320" s="1080"/>
      <c r="J320" s="1080"/>
      <c r="K320" s="1080"/>
      <c r="L320" s="1080"/>
      <c r="M320" s="1080"/>
      <c r="N320" s="1080"/>
      <c r="O320" s="1080"/>
      <c r="P320" s="1080"/>
      <c r="Q320" s="1080"/>
      <c r="R320" s="1080"/>
    </row>
    <row r="321" spans="3:18" s="73" customFormat="1" hidden="1">
      <c r="C321" s="1080"/>
      <c r="D321" s="1080"/>
      <c r="E321" s="1080"/>
      <c r="F321" s="1080"/>
      <c r="G321" s="1080"/>
      <c r="H321" s="1080"/>
      <c r="I321" s="1080"/>
      <c r="J321" s="1080"/>
      <c r="K321" s="1080"/>
      <c r="L321" s="1080"/>
      <c r="M321" s="1080"/>
      <c r="N321" s="1080"/>
      <c r="O321" s="1080"/>
      <c r="P321" s="1080"/>
      <c r="Q321" s="1080"/>
      <c r="R321" s="1080"/>
    </row>
    <row r="322" spans="3:18" s="73" customFormat="1" hidden="1">
      <c r="C322" s="1080"/>
      <c r="D322" s="1080"/>
      <c r="E322" s="1080"/>
      <c r="F322" s="1080"/>
      <c r="G322" s="1080"/>
      <c r="H322" s="1080"/>
      <c r="I322" s="1080"/>
      <c r="J322" s="1080"/>
      <c r="K322" s="1080"/>
      <c r="L322" s="1080"/>
      <c r="M322" s="1080"/>
      <c r="N322" s="1080"/>
      <c r="O322" s="1080"/>
      <c r="P322" s="1080"/>
      <c r="Q322" s="1080"/>
      <c r="R322" s="1080"/>
    </row>
    <row r="323" spans="3:18" s="73" customFormat="1" hidden="1">
      <c r="C323" s="1080"/>
      <c r="D323" s="1080"/>
      <c r="E323" s="1080"/>
      <c r="F323" s="1080"/>
      <c r="G323" s="1080"/>
      <c r="H323" s="1080"/>
      <c r="I323" s="1080"/>
      <c r="J323" s="1080"/>
      <c r="K323" s="1080"/>
      <c r="L323" s="1080"/>
      <c r="M323" s="1080"/>
      <c r="N323" s="1080"/>
      <c r="O323" s="1080"/>
      <c r="P323" s="1080"/>
      <c r="Q323" s="1080"/>
      <c r="R323" s="1080"/>
    </row>
    <row r="324" spans="3:18" s="73" customFormat="1" hidden="1">
      <c r="C324" s="1080"/>
      <c r="D324" s="1080"/>
      <c r="E324" s="1080"/>
      <c r="F324" s="1080"/>
      <c r="G324" s="1080"/>
      <c r="H324" s="1080"/>
      <c r="I324" s="1080"/>
      <c r="J324" s="1080"/>
      <c r="K324" s="1080"/>
      <c r="L324" s="1080"/>
      <c r="M324" s="1080"/>
      <c r="N324" s="1080"/>
      <c r="O324" s="1080"/>
      <c r="P324" s="1080"/>
      <c r="Q324" s="1080"/>
      <c r="R324" s="1080"/>
    </row>
    <row r="325" spans="3:18" s="73" customFormat="1" hidden="1">
      <c r="C325" s="1080"/>
      <c r="D325" s="1080"/>
      <c r="E325" s="1080"/>
      <c r="F325" s="1080"/>
      <c r="G325" s="1080"/>
      <c r="H325" s="1080"/>
      <c r="I325" s="1080"/>
      <c r="J325" s="1080"/>
      <c r="K325" s="1080"/>
      <c r="L325" s="1080"/>
      <c r="M325" s="1080"/>
      <c r="N325" s="1080"/>
      <c r="O325" s="1080"/>
      <c r="P325" s="1080"/>
      <c r="Q325" s="1080"/>
      <c r="R325" s="1080"/>
    </row>
    <row r="326" spans="3:18" s="73" customFormat="1" hidden="1">
      <c r="C326" s="1080"/>
      <c r="D326" s="1080"/>
      <c r="E326" s="1080"/>
      <c r="F326" s="1080"/>
      <c r="G326" s="1080"/>
      <c r="H326" s="1080"/>
      <c r="I326" s="1080"/>
      <c r="J326" s="1080"/>
      <c r="K326" s="1080"/>
      <c r="L326" s="1080"/>
      <c r="M326" s="1080"/>
      <c r="N326" s="1080"/>
      <c r="O326" s="1080"/>
      <c r="P326" s="1080"/>
      <c r="Q326" s="1080"/>
      <c r="R326" s="1080"/>
    </row>
    <row r="327" spans="3:18" s="73" customFormat="1" hidden="1">
      <c r="C327" s="1080"/>
      <c r="D327" s="1080"/>
      <c r="E327" s="1080"/>
      <c r="F327" s="1080"/>
      <c r="G327" s="1080"/>
      <c r="H327" s="1080"/>
      <c r="I327" s="1080"/>
      <c r="J327" s="1080"/>
      <c r="K327" s="1080"/>
      <c r="L327" s="1080"/>
      <c r="M327" s="1080"/>
      <c r="N327" s="1080"/>
      <c r="O327" s="1080"/>
      <c r="P327" s="1080"/>
      <c r="Q327" s="1080"/>
      <c r="R327" s="1080"/>
    </row>
    <row r="328" spans="3:18" s="73" customFormat="1" hidden="1">
      <c r="C328" s="1080"/>
      <c r="D328" s="1080"/>
      <c r="E328" s="1080"/>
      <c r="F328" s="1080"/>
      <c r="G328" s="1080"/>
      <c r="H328" s="1080"/>
      <c r="I328" s="1080"/>
      <c r="J328" s="1080"/>
      <c r="K328" s="1080"/>
      <c r="L328" s="1080"/>
      <c r="M328" s="1080"/>
      <c r="N328" s="1080"/>
      <c r="O328" s="1080"/>
      <c r="P328" s="1080"/>
      <c r="Q328" s="1080"/>
      <c r="R328" s="1080"/>
    </row>
    <row r="329" spans="3:18" s="73" customFormat="1" hidden="1">
      <c r="C329" s="1080"/>
      <c r="D329" s="1080"/>
      <c r="E329" s="1080"/>
      <c r="F329" s="1080"/>
      <c r="G329" s="1080"/>
      <c r="H329" s="1080"/>
      <c r="I329" s="1080"/>
      <c r="J329" s="1080"/>
      <c r="K329" s="1080"/>
      <c r="L329" s="1080"/>
      <c r="M329" s="1080"/>
      <c r="N329" s="1080"/>
      <c r="O329" s="1080"/>
      <c r="P329" s="1080"/>
      <c r="Q329" s="1080"/>
      <c r="R329" s="1080"/>
    </row>
    <row r="330" spans="3:18" s="73" customFormat="1" hidden="1">
      <c r="C330" s="1080"/>
      <c r="D330" s="1080"/>
      <c r="E330" s="1080"/>
      <c r="F330" s="1080"/>
      <c r="G330" s="1080"/>
      <c r="H330" s="1080"/>
      <c r="I330" s="1080"/>
      <c r="J330" s="1080"/>
      <c r="K330" s="1080"/>
      <c r="L330" s="1080"/>
      <c r="M330" s="1080"/>
      <c r="N330" s="1080"/>
      <c r="O330" s="1080"/>
      <c r="P330" s="1080"/>
      <c r="Q330" s="1080"/>
      <c r="R330" s="1080"/>
    </row>
    <row r="331" spans="3:18" s="73" customFormat="1" hidden="1">
      <c r="C331" s="1080"/>
      <c r="D331" s="1080"/>
      <c r="E331" s="1080"/>
      <c r="F331" s="1080"/>
      <c r="G331" s="1080"/>
      <c r="H331" s="1080"/>
      <c r="I331" s="1080"/>
      <c r="J331" s="1080"/>
      <c r="K331" s="1080"/>
      <c r="L331" s="1080"/>
      <c r="M331" s="1080"/>
      <c r="N331" s="1080"/>
      <c r="O331" s="1080"/>
      <c r="P331" s="1080"/>
      <c r="Q331" s="1080"/>
      <c r="R331" s="1080"/>
    </row>
    <row r="332" spans="3:18" s="73" customFormat="1" hidden="1">
      <c r="C332" s="1080"/>
      <c r="D332" s="1080"/>
      <c r="E332" s="1080"/>
      <c r="F332" s="1080"/>
      <c r="G332" s="1080"/>
      <c r="H332" s="1080"/>
      <c r="I332" s="1080"/>
      <c r="J332" s="1080"/>
      <c r="K332" s="1080"/>
      <c r="L332" s="1080"/>
      <c r="M332" s="1080"/>
      <c r="N332" s="1080"/>
      <c r="O332" s="1080"/>
      <c r="P332" s="1080"/>
      <c r="Q332" s="1080"/>
      <c r="R332" s="1080"/>
    </row>
    <row r="333" spans="3:18" s="73" customFormat="1" hidden="1">
      <c r="C333" s="1080"/>
      <c r="D333" s="1080"/>
      <c r="E333" s="1080"/>
      <c r="F333" s="1080"/>
      <c r="G333" s="1080"/>
      <c r="H333" s="1080"/>
      <c r="I333" s="1080"/>
      <c r="J333" s="1080"/>
      <c r="K333" s="1080"/>
      <c r="L333" s="1080"/>
      <c r="M333" s="1080"/>
      <c r="N333" s="1080"/>
      <c r="O333" s="1080"/>
      <c r="P333" s="1080"/>
      <c r="Q333" s="1080"/>
      <c r="R333" s="1080"/>
    </row>
    <row r="334" spans="3:18" s="73" customFormat="1" hidden="1">
      <c r="C334" s="1080"/>
      <c r="D334" s="1080"/>
      <c r="E334" s="1080"/>
      <c r="F334" s="1080"/>
      <c r="G334" s="1080"/>
      <c r="H334" s="1080"/>
      <c r="I334" s="1080"/>
      <c r="J334" s="1080"/>
      <c r="K334" s="1080"/>
      <c r="L334" s="1080"/>
      <c r="M334" s="1080"/>
      <c r="N334" s="1080"/>
      <c r="O334" s="1080"/>
      <c r="P334" s="1080"/>
      <c r="Q334" s="1080"/>
      <c r="R334" s="1080"/>
    </row>
    <row r="335" spans="3:18" s="73" customFormat="1" hidden="1">
      <c r="C335" s="1080"/>
      <c r="D335" s="1080"/>
      <c r="E335" s="1080"/>
      <c r="F335" s="1080"/>
      <c r="G335" s="1080"/>
      <c r="H335" s="1080"/>
      <c r="I335" s="1080"/>
      <c r="J335" s="1080"/>
      <c r="K335" s="1080"/>
      <c r="L335" s="1080"/>
      <c r="M335" s="1080"/>
      <c r="N335" s="1080"/>
      <c r="O335" s="1080"/>
      <c r="P335" s="1080"/>
      <c r="Q335" s="1080"/>
      <c r="R335" s="1080"/>
    </row>
    <row r="336" spans="3:18" s="73" customFormat="1" hidden="1">
      <c r="C336" s="1080"/>
      <c r="D336" s="1080"/>
      <c r="E336" s="1080"/>
      <c r="F336" s="1080"/>
      <c r="G336" s="1080"/>
      <c r="H336" s="1080"/>
      <c r="I336" s="1080"/>
      <c r="J336" s="1080"/>
      <c r="K336" s="1080"/>
      <c r="L336" s="1080"/>
      <c r="M336" s="1080"/>
      <c r="N336" s="1080"/>
      <c r="O336" s="1080"/>
      <c r="P336" s="1080"/>
      <c r="Q336" s="1080"/>
      <c r="R336" s="1080"/>
    </row>
    <row r="337" spans="3:18" s="73" customFormat="1" hidden="1">
      <c r="C337" s="1080"/>
      <c r="D337" s="1080"/>
      <c r="E337" s="1080"/>
      <c r="F337" s="1080"/>
      <c r="G337" s="1080"/>
      <c r="H337" s="1080"/>
      <c r="I337" s="1080"/>
      <c r="J337" s="1080"/>
      <c r="K337" s="1080"/>
      <c r="L337" s="1080"/>
      <c r="M337" s="1080"/>
      <c r="N337" s="1080"/>
      <c r="O337" s="1080"/>
      <c r="P337" s="1080"/>
      <c r="Q337" s="1080"/>
      <c r="R337" s="1080"/>
    </row>
    <row r="338" spans="3:18" s="73" customFormat="1" hidden="1">
      <c r="C338" s="1080"/>
      <c r="D338" s="1080"/>
      <c r="E338" s="1080"/>
      <c r="F338" s="1080"/>
      <c r="G338" s="1080"/>
      <c r="H338" s="1080"/>
      <c r="I338" s="1080"/>
      <c r="J338" s="1080"/>
      <c r="K338" s="1080"/>
      <c r="L338" s="1080"/>
      <c r="M338" s="1080"/>
      <c r="N338" s="1080"/>
      <c r="O338" s="1080"/>
      <c r="P338" s="1080"/>
      <c r="Q338" s="1080"/>
      <c r="R338" s="1080"/>
    </row>
    <row r="339" spans="3:18" s="73" customFormat="1" hidden="1">
      <c r="C339" s="1080"/>
      <c r="D339" s="1080"/>
      <c r="E339" s="1080"/>
      <c r="F339" s="1080"/>
      <c r="G339" s="1080"/>
      <c r="H339" s="1080"/>
      <c r="I339" s="1080"/>
      <c r="J339" s="1080"/>
      <c r="K339" s="1080"/>
      <c r="L339" s="1080"/>
      <c r="M339" s="1080"/>
      <c r="N339" s="1080"/>
      <c r="O339" s="1080"/>
      <c r="P339" s="1080"/>
      <c r="Q339" s="1080"/>
      <c r="R339" s="1080"/>
    </row>
    <row r="340" spans="3:18" s="73" customFormat="1" hidden="1">
      <c r="C340" s="1080"/>
      <c r="D340" s="1080"/>
      <c r="E340" s="1080"/>
      <c r="F340" s="1080"/>
      <c r="G340" s="1080"/>
      <c r="H340" s="1080"/>
      <c r="I340" s="1080"/>
      <c r="J340" s="1080"/>
      <c r="K340" s="1080"/>
      <c r="L340" s="1080"/>
      <c r="M340" s="1080"/>
      <c r="N340" s="1080"/>
      <c r="O340" s="1080"/>
      <c r="P340" s="1080"/>
      <c r="Q340" s="1080"/>
      <c r="R340" s="1080"/>
    </row>
    <row r="341" spans="3:18" s="73" customFormat="1" hidden="1">
      <c r="C341" s="1080"/>
      <c r="D341" s="1080"/>
      <c r="E341" s="1080"/>
      <c r="F341" s="1080"/>
      <c r="G341" s="1080"/>
      <c r="H341" s="1080"/>
      <c r="I341" s="1080"/>
      <c r="J341" s="1080"/>
      <c r="K341" s="1080"/>
      <c r="L341" s="1080"/>
      <c r="M341" s="1080"/>
      <c r="N341" s="1080"/>
      <c r="O341" s="1080"/>
      <c r="P341" s="1080"/>
      <c r="Q341" s="1080"/>
      <c r="R341" s="1080"/>
    </row>
    <row r="342" spans="3:18" s="73" customFormat="1" hidden="1">
      <c r="C342" s="1080"/>
      <c r="D342" s="1080"/>
      <c r="E342" s="1080"/>
      <c r="F342" s="1080"/>
      <c r="G342" s="1080"/>
      <c r="H342" s="1080"/>
      <c r="I342" s="1080"/>
      <c r="J342" s="1080"/>
      <c r="K342" s="1080"/>
      <c r="L342" s="1080"/>
      <c r="M342" s="1080"/>
      <c r="N342" s="1080"/>
      <c r="O342" s="1080"/>
      <c r="P342" s="1080"/>
      <c r="Q342" s="1080"/>
      <c r="R342" s="1080"/>
    </row>
    <row r="343" spans="3:18" s="73" customFormat="1" hidden="1">
      <c r="C343" s="1080"/>
      <c r="D343" s="1080"/>
      <c r="E343" s="1080"/>
      <c r="F343" s="1080"/>
      <c r="G343" s="1080"/>
      <c r="H343" s="1080"/>
      <c r="I343" s="1080"/>
      <c r="J343" s="1080"/>
      <c r="K343" s="1080"/>
      <c r="L343" s="1080"/>
      <c r="M343" s="1080"/>
      <c r="N343" s="1080"/>
      <c r="O343" s="1080"/>
      <c r="P343" s="1080"/>
      <c r="Q343" s="1080"/>
      <c r="R343" s="1080"/>
    </row>
    <row r="344" spans="3:18" s="73" customFormat="1" hidden="1">
      <c r="C344" s="1080"/>
      <c r="D344" s="1080"/>
      <c r="E344" s="1080"/>
      <c r="F344" s="1080"/>
      <c r="G344" s="1080"/>
      <c r="H344" s="1080"/>
      <c r="I344" s="1080"/>
      <c r="J344" s="1080"/>
      <c r="K344" s="1080"/>
      <c r="L344" s="1080"/>
      <c r="M344" s="1080"/>
      <c r="N344" s="1080"/>
      <c r="O344" s="1080"/>
      <c r="P344" s="1080"/>
      <c r="Q344" s="1080"/>
      <c r="R344" s="1080"/>
    </row>
    <row r="345" spans="3:18" s="73" customFormat="1" hidden="1">
      <c r="C345" s="1080"/>
      <c r="D345" s="1080"/>
      <c r="E345" s="1080"/>
      <c r="F345" s="1080"/>
      <c r="G345" s="1080"/>
      <c r="H345" s="1080"/>
      <c r="I345" s="1080"/>
      <c r="J345" s="1080"/>
      <c r="K345" s="1080"/>
      <c r="L345" s="1080"/>
      <c r="M345" s="1080"/>
      <c r="N345" s="1080"/>
      <c r="O345" s="1080"/>
      <c r="P345" s="1080"/>
      <c r="Q345" s="1080"/>
      <c r="R345" s="1080"/>
    </row>
    <row r="346" spans="3:18" s="73" customFormat="1" hidden="1">
      <c r="C346" s="1080"/>
      <c r="D346" s="1080"/>
      <c r="E346" s="1080"/>
      <c r="F346" s="1080"/>
      <c r="G346" s="1080"/>
      <c r="H346" s="1080"/>
      <c r="I346" s="1080"/>
      <c r="J346" s="1080"/>
      <c r="K346" s="1080"/>
      <c r="L346" s="1080"/>
      <c r="M346" s="1080"/>
      <c r="N346" s="1080"/>
      <c r="O346" s="1080"/>
      <c r="P346" s="1080"/>
      <c r="Q346" s="1080"/>
      <c r="R346" s="1080"/>
    </row>
    <row r="347" spans="3:18" s="73" customFormat="1" hidden="1">
      <c r="C347" s="1080"/>
      <c r="D347" s="1080"/>
      <c r="E347" s="1080"/>
      <c r="F347" s="1080"/>
      <c r="G347" s="1080"/>
      <c r="H347" s="1080"/>
      <c r="I347" s="1080"/>
      <c r="J347" s="1080"/>
      <c r="K347" s="1080"/>
      <c r="L347" s="1080"/>
      <c r="M347" s="1080"/>
      <c r="N347" s="1080"/>
      <c r="O347" s="1080"/>
      <c r="P347" s="1080"/>
      <c r="Q347" s="1080"/>
      <c r="R347" s="1080"/>
    </row>
    <row r="348" spans="3:18" s="73" customFormat="1" hidden="1">
      <c r="C348" s="1080"/>
      <c r="D348" s="1080"/>
      <c r="E348" s="1080"/>
      <c r="F348" s="1080"/>
      <c r="G348" s="1080"/>
      <c r="H348" s="1080"/>
      <c r="I348" s="1080"/>
      <c r="J348" s="1080"/>
      <c r="K348" s="1080"/>
      <c r="L348" s="1080"/>
      <c r="M348" s="1080"/>
      <c r="N348" s="1080"/>
      <c r="O348" s="1080"/>
      <c r="P348" s="1080"/>
      <c r="Q348" s="1080"/>
      <c r="R348" s="1080"/>
    </row>
    <row r="349" spans="3:18" s="73" customFormat="1" hidden="1">
      <c r="C349" s="1080"/>
      <c r="D349" s="1080"/>
      <c r="E349" s="1080"/>
      <c r="F349" s="1080"/>
      <c r="G349" s="1080"/>
      <c r="H349" s="1080"/>
      <c r="I349" s="1080"/>
      <c r="J349" s="1080"/>
      <c r="K349" s="1080"/>
      <c r="L349" s="1080"/>
      <c r="M349" s="1080"/>
      <c r="N349" s="1080"/>
      <c r="O349" s="1080"/>
      <c r="P349" s="1080"/>
      <c r="Q349" s="1080"/>
      <c r="R349" s="1080"/>
    </row>
    <row r="350" spans="3:18" s="73" customFormat="1" hidden="1">
      <c r="C350" s="1080"/>
      <c r="D350" s="1080"/>
      <c r="E350" s="1080"/>
      <c r="F350" s="1080"/>
      <c r="G350" s="1080"/>
      <c r="H350" s="1080"/>
      <c r="I350" s="1080"/>
      <c r="J350" s="1080"/>
      <c r="K350" s="1080"/>
      <c r="L350" s="1080"/>
      <c r="M350" s="1080"/>
      <c r="N350" s="1080"/>
      <c r="O350" s="1080"/>
      <c r="P350" s="1080"/>
      <c r="Q350" s="1080"/>
      <c r="R350" s="1080"/>
    </row>
    <row r="351" spans="3:18" s="73" customFormat="1" hidden="1">
      <c r="C351" s="1080"/>
      <c r="D351" s="1080"/>
      <c r="E351" s="1080"/>
      <c r="F351" s="1080"/>
      <c r="G351" s="1080"/>
      <c r="H351" s="1080"/>
      <c r="I351" s="1080"/>
      <c r="J351" s="1080"/>
      <c r="K351" s="1080"/>
      <c r="L351" s="1080"/>
      <c r="M351" s="1080"/>
      <c r="N351" s="1080"/>
      <c r="O351" s="1080"/>
      <c r="P351" s="1080"/>
      <c r="Q351" s="1080"/>
      <c r="R351" s="1080"/>
    </row>
    <row r="352" spans="3:18" s="73" customFormat="1" hidden="1">
      <c r="C352" s="1080"/>
      <c r="D352" s="1080"/>
      <c r="E352" s="1080"/>
      <c r="F352" s="1080"/>
      <c r="G352" s="1080"/>
      <c r="H352" s="1080"/>
      <c r="I352" s="1080"/>
      <c r="J352" s="1080"/>
      <c r="K352" s="1080"/>
      <c r="L352" s="1080"/>
      <c r="M352" s="1080"/>
      <c r="N352" s="1080"/>
      <c r="O352" s="1080"/>
      <c r="P352" s="1080"/>
      <c r="Q352" s="1080"/>
      <c r="R352" s="1080"/>
    </row>
    <row r="353" spans="3:18" s="73" customFormat="1" hidden="1">
      <c r="C353" s="1080"/>
      <c r="D353" s="1080"/>
      <c r="E353" s="1080"/>
      <c r="F353" s="1080"/>
      <c r="G353" s="1080"/>
      <c r="H353" s="1080"/>
      <c r="I353" s="1080"/>
      <c r="J353" s="1080"/>
      <c r="K353" s="1080"/>
      <c r="L353" s="1080"/>
      <c r="M353" s="1080"/>
      <c r="N353" s="1080"/>
      <c r="O353" s="1080"/>
      <c r="P353" s="1080"/>
      <c r="Q353" s="1080"/>
      <c r="R353" s="1080"/>
    </row>
    <row r="354" spans="3:18" s="73" customFormat="1" hidden="1">
      <c r="C354" s="1080"/>
      <c r="D354" s="1080"/>
      <c r="E354" s="1080"/>
      <c r="F354" s="1080"/>
      <c r="G354" s="1080"/>
      <c r="H354" s="1080"/>
      <c r="I354" s="1080"/>
      <c r="J354" s="1080"/>
      <c r="K354" s="1080"/>
      <c r="L354" s="1080"/>
      <c r="M354" s="1080"/>
      <c r="N354" s="1080"/>
      <c r="O354" s="1080"/>
      <c r="P354" s="1080"/>
      <c r="Q354" s="1080"/>
      <c r="R354" s="1080"/>
    </row>
    <row r="355" spans="3:18" s="73" customFormat="1" hidden="1">
      <c r="C355" s="1080"/>
      <c r="D355" s="1080"/>
      <c r="E355" s="1080"/>
      <c r="F355" s="1080"/>
      <c r="G355" s="1080"/>
      <c r="H355" s="1080"/>
      <c r="I355" s="1080"/>
      <c r="J355" s="1080"/>
      <c r="K355" s="1080"/>
      <c r="L355" s="1080"/>
      <c r="M355" s="1080"/>
      <c r="N355" s="1080"/>
      <c r="O355" s="1080"/>
      <c r="P355" s="1080"/>
      <c r="Q355" s="1080"/>
      <c r="R355" s="1080"/>
    </row>
    <row r="356" spans="3:18" s="73" customFormat="1" hidden="1">
      <c r="C356" s="1080"/>
      <c r="D356" s="1080"/>
      <c r="E356" s="1080"/>
      <c r="F356" s="1080"/>
      <c r="G356" s="1080"/>
      <c r="H356" s="1080"/>
      <c r="I356" s="1080"/>
      <c r="J356" s="1080"/>
      <c r="K356" s="1080"/>
      <c r="L356" s="1080"/>
      <c r="M356" s="1080"/>
      <c r="N356" s="1080"/>
      <c r="O356" s="1080"/>
      <c r="P356" s="1080"/>
      <c r="Q356" s="1080"/>
      <c r="R356" s="1080"/>
    </row>
    <row r="357" spans="3:18" s="73" customFormat="1" hidden="1">
      <c r="C357" s="1080"/>
      <c r="D357" s="1080"/>
      <c r="E357" s="1080"/>
      <c r="F357" s="1080"/>
      <c r="G357" s="1080"/>
      <c r="H357" s="1080"/>
      <c r="I357" s="1080"/>
      <c r="J357" s="1080"/>
      <c r="K357" s="1080"/>
      <c r="L357" s="1080"/>
      <c r="M357" s="1080"/>
      <c r="N357" s="1080"/>
      <c r="O357" s="1080"/>
      <c r="P357" s="1080"/>
      <c r="Q357" s="1080"/>
      <c r="R357" s="1080"/>
    </row>
    <row r="358" spans="3:18" s="73" customFormat="1" hidden="1">
      <c r="C358" s="1080"/>
      <c r="D358" s="1080"/>
      <c r="E358" s="1080"/>
      <c r="F358" s="1080"/>
      <c r="G358" s="1080"/>
      <c r="H358" s="1080"/>
      <c r="I358" s="1080"/>
      <c r="J358" s="1080"/>
      <c r="K358" s="1080"/>
      <c r="L358" s="1080"/>
      <c r="M358" s="1080"/>
      <c r="N358" s="1080"/>
      <c r="O358" s="1080"/>
      <c r="P358" s="1080"/>
      <c r="Q358" s="1080"/>
      <c r="R358" s="1080"/>
    </row>
    <row r="359" spans="3:18" s="73" customFormat="1" hidden="1">
      <c r="C359" s="1080"/>
      <c r="D359" s="1080"/>
      <c r="E359" s="1080"/>
      <c r="F359" s="1080"/>
      <c r="G359" s="1080"/>
      <c r="H359" s="1080"/>
      <c r="I359" s="1080"/>
      <c r="J359" s="1080"/>
      <c r="K359" s="1080"/>
      <c r="L359" s="1080"/>
      <c r="M359" s="1080"/>
      <c r="N359" s="1080"/>
      <c r="O359" s="1080"/>
      <c r="P359" s="1080"/>
      <c r="Q359" s="1080"/>
      <c r="R359" s="1080"/>
    </row>
    <row r="360" spans="3:18" s="73" customFormat="1" hidden="1">
      <c r="C360" s="1080"/>
      <c r="D360" s="1080"/>
      <c r="E360" s="1080"/>
      <c r="F360" s="1080"/>
      <c r="G360" s="1080"/>
      <c r="H360" s="1080"/>
      <c r="I360" s="1080"/>
      <c r="J360" s="1080"/>
      <c r="K360" s="1080"/>
      <c r="L360" s="1080"/>
      <c r="M360" s="1080"/>
      <c r="N360" s="1080"/>
      <c r="O360" s="1080"/>
      <c r="P360" s="1080"/>
      <c r="Q360" s="1080"/>
      <c r="R360" s="1080"/>
    </row>
    <row r="361" spans="3:18" s="73" customFormat="1" hidden="1">
      <c r="C361" s="1080"/>
      <c r="D361" s="1080"/>
      <c r="E361" s="1080"/>
      <c r="F361" s="1080"/>
      <c r="G361" s="1080"/>
      <c r="H361" s="1080"/>
      <c r="I361" s="1080"/>
      <c r="J361" s="1080"/>
      <c r="K361" s="1080"/>
      <c r="L361" s="1080"/>
      <c r="M361" s="1080"/>
      <c r="N361" s="1080"/>
      <c r="O361" s="1080"/>
      <c r="P361" s="1080"/>
      <c r="Q361" s="1080"/>
      <c r="R361" s="1080"/>
    </row>
    <row r="362" spans="3:18" s="73" customFormat="1" hidden="1">
      <c r="C362" s="1080"/>
      <c r="D362" s="1080"/>
      <c r="E362" s="1080"/>
      <c r="F362" s="1080"/>
      <c r="G362" s="1080"/>
      <c r="H362" s="1080"/>
      <c r="I362" s="1080"/>
      <c r="J362" s="1080"/>
      <c r="K362" s="1080"/>
      <c r="L362" s="1080"/>
      <c r="M362" s="1080"/>
      <c r="N362" s="1080"/>
      <c r="O362" s="1080"/>
      <c r="P362" s="1080"/>
      <c r="Q362" s="1080"/>
      <c r="R362" s="1080"/>
    </row>
    <row r="363" spans="3:18" s="73" customFormat="1" hidden="1">
      <c r="C363" s="1080"/>
      <c r="D363" s="1080"/>
      <c r="E363" s="1080"/>
      <c r="F363" s="1080"/>
      <c r="G363" s="1080"/>
      <c r="H363" s="1080"/>
      <c r="I363" s="1080"/>
      <c r="J363" s="1080"/>
      <c r="K363" s="1080"/>
      <c r="L363" s="1080"/>
      <c r="M363" s="1080"/>
      <c r="N363" s="1080"/>
      <c r="O363" s="1080"/>
      <c r="P363" s="1080"/>
      <c r="Q363" s="1080"/>
      <c r="R363" s="1080"/>
    </row>
    <row r="364" spans="3:18" s="73" customFormat="1" hidden="1">
      <c r="C364" s="1080"/>
      <c r="D364" s="1080"/>
      <c r="E364" s="1080"/>
      <c r="F364" s="1080"/>
      <c r="G364" s="1080"/>
      <c r="H364" s="1080"/>
      <c r="I364" s="1080"/>
      <c r="J364" s="1080"/>
      <c r="K364" s="1080"/>
      <c r="L364" s="1080"/>
      <c r="M364" s="1080"/>
      <c r="N364" s="1080"/>
      <c r="O364" s="1080"/>
      <c r="P364" s="1080"/>
      <c r="Q364" s="1080"/>
      <c r="R364" s="1080"/>
    </row>
    <row r="365" spans="3:18" s="73" customFormat="1" hidden="1">
      <c r="C365" s="1080"/>
      <c r="D365" s="1080"/>
      <c r="E365" s="1080"/>
      <c r="F365" s="1080"/>
      <c r="G365" s="1080"/>
      <c r="H365" s="1080"/>
      <c r="I365" s="1080"/>
      <c r="J365" s="1080"/>
      <c r="K365" s="1080"/>
      <c r="L365" s="1080"/>
      <c r="M365" s="1080"/>
      <c r="N365" s="1080"/>
      <c r="O365" s="1080"/>
      <c r="P365" s="1080"/>
      <c r="Q365" s="1080"/>
      <c r="R365" s="1080"/>
    </row>
    <row r="366" spans="3:18" s="73" customFormat="1" hidden="1">
      <c r="C366" s="1080"/>
      <c r="D366" s="1080"/>
      <c r="E366" s="1080"/>
      <c r="F366" s="1080"/>
      <c r="G366" s="1080"/>
      <c r="H366" s="1080"/>
      <c r="I366" s="1080"/>
      <c r="J366" s="1080"/>
      <c r="K366" s="1080"/>
      <c r="L366" s="1080"/>
      <c r="M366" s="1080"/>
      <c r="N366" s="1080"/>
      <c r="O366" s="1080"/>
      <c r="P366" s="1080"/>
      <c r="Q366" s="1080"/>
      <c r="R366" s="1080"/>
    </row>
    <row r="367" spans="3:18" s="73" customFormat="1" hidden="1">
      <c r="C367" s="1080"/>
      <c r="D367" s="1080"/>
      <c r="E367" s="1080"/>
      <c r="F367" s="1080"/>
      <c r="G367" s="1080"/>
      <c r="H367" s="1080"/>
      <c r="I367" s="1080"/>
      <c r="J367" s="1080"/>
      <c r="K367" s="1080"/>
      <c r="L367" s="1080"/>
      <c r="M367" s="1080"/>
      <c r="N367" s="1080"/>
      <c r="O367" s="1080"/>
      <c r="P367" s="1080"/>
      <c r="Q367" s="1080"/>
      <c r="R367" s="1080"/>
    </row>
    <row r="368" spans="3:18" s="73" customFormat="1" hidden="1">
      <c r="C368" s="1080"/>
      <c r="D368" s="1080"/>
      <c r="E368" s="1080"/>
      <c r="F368" s="1080"/>
      <c r="G368" s="1080"/>
      <c r="H368" s="1080"/>
      <c r="I368" s="1080"/>
      <c r="J368" s="1080"/>
      <c r="K368" s="1080"/>
      <c r="L368" s="1080"/>
      <c r="M368" s="1080"/>
      <c r="N368" s="1080"/>
      <c r="O368" s="1080"/>
      <c r="P368" s="1080"/>
      <c r="Q368" s="1080"/>
      <c r="R368" s="1080"/>
    </row>
    <row r="369" spans="3:18" s="73" customFormat="1" hidden="1">
      <c r="C369" s="1080"/>
      <c r="D369" s="1080"/>
      <c r="E369" s="1080"/>
      <c r="F369" s="1080"/>
      <c r="G369" s="1080"/>
      <c r="H369" s="1080"/>
      <c r="I369" s="1080"/>
      <c r="J369" s="1080"/>
      <c r="K369" s="1080"/>
      <c r="L369" s="1080"/>
      <c r="M369" s="1080"/>
      <c r="N369" s="1080"/>
      <c r="O369" s="1080"/>
      <c r="P369" s="1080"/>
      <c r="Q369" s="1080"/>
      <c r="R369" s="1080"/>
    </row>
    <row r="370" spans="3:18" s="73" customFormat="1" hidden="1">
      <c r="C370" s="1080"/>
      <c r="D370" s="1080"/>
      <c r="E370" s="1080"/>
      <c r="F370" s="1080"/>
      <c r="G370" s="1080"/>
      <c r="H370" s="1080"/>
      <c r="I370" s="1080"/>
      <c r="J370" s="1080"/>
      <c r="K370" s="1080"/>
      <c r="L370" s="1080"/>
      <c r="M370" s="1080"/>
      <c r="N370" s="1080"/>
      <c r="O370" s="1080"/>
      <c r="P370" s="1080"/>
      <c r="Q370" s="1080"/>
      <c r="R370" s="1080"/>
    </row>
    <row r="371" spans="3:18" s="73" customFormat="1" hidden="1">
      <c r="C371" s="1080"/>
      <c r="D371" s="1080"/>
      <c r="E371" s="1080"/>
      <c r="F371" s="1080"/>
      <c r="G371" s="1080"/>
      <c r="H371" s="1080"/>
      <c r="I371" s="1080"/>
      <c r="J371" s="1080"/>
      <c r="K371" s="1080"/>
      <c r="L371" s="1080"/>
      <c r="M371" s="1080"/>
      <c r="N371" s="1080"/>
      <c r="O371" s="1080"/>
      <c r="P371" s="1080"/>
      <c r="Q371" s="1080"/>
      <c r="R371" s="1080"/>
    </row>
    <row r="372" spans="3:18" s="73" customFormat="1" hidden="1">
      <c r="C372" s="1080"/>
      <c r="D372" s="1080"/>
      <c r="E372" s="1080"/>
      <c r="F372" s="1080"/>
      <c r="G372" s="1080"/>
      <c r="H372" s="1080"/>
      <c r="I372" s="1080"/>
      <c r="J372" s="1080"/>
      <c r="K372" s="1080"/>
      <c r="L372" s="1080"/>
      <c r="M372" s="1080"/>
      <c r="N372" s="1080"/>
      <c r="O372" s="1080"/>
      <c r="P372" s="1080"/>
      <c r="Q372" s="1080"/>
      <c r="R372" s="1080"/>
    </row>
    <row r="373" spans="3:18" s="73" customFormat="1" hidden="1">
      <c r="C373" s="1080"/>
      <c r="D373" s="1080"/>
      <c r="E373" s="1080"/>
      <c r="F373" s="1080"/>
      <c r="G373" s="1080"/>
      <c r="H373" s="1080"/>
      <c r="I373" s="1080"/>
      <c r="J373" s="1080"/>
      <c r="K373" s="1080"/>
      <c r="L373" s="1080"/>
      <c r="M373" s="1080"/>
      <c r="N373" s="1080"/>
      <c r="O373" s="1080"/>
      <c r="P373" s="1080"/>
      <c r="Q373" s="1080"/>
      <c r="R373" s="1080"/>
    </row>
    <row r="374" spans="3:18" s="73" customFormat="1" hidden="1">
      <c r="C374" s="1080"/>
      <c r="D374" s="1080"/>
      <c r="E374" s="1080"/>
      <c r="F374" s="1080"/>
      <c r="G374" s="1080"/>
      <c r="H374" s="1080"/>
      <c r="I374" s="1080"/>
      <c r="J374" s="1080"/>
      <c r="K374" s="1080"/>
      <c r="L374" s="1080"/>
      <c r="M374" s="1080"/>
      <c r="N374" s="1080"/>
      <c r="O374" s="1080"/>
      <c r="P374" s="1080"/>
      <c r="Q374" s="1080"/>
      <c r="R374" s="1080"/>
    </row>
    <row r="375" spans="3:18" s="73" customFormat="1" hidden="1">
      <c r="C375" s="1080"/>
      <c r="D375" s="1080"/>
      <c r="E375" s="1080"/>
      <c r="F375" s="1080"/>
      <c r="G375" s="1080"/>
      <c r="H375" s="1080"/>
      <c r="I375" s="1080"/>
      <c r="J375" s="1080"/>
      <c r="K375" s="1080"/>
      <c r="L375" s="1080"/>
      <c r="M375" s="1080"/>
      <c r="N375" s="1080"/>
      <c r="O375" s="1080"/>
      <c r="P375" s="1080"/>
      <c r="Q375" s="1080"/>
      <c r="R375" s="1080"/>
    </row>
    <row r="376" spans="3:18" s="73" customFormat="1" hidden="1">
      <c r="C376" s="1080"/>
      <c r="D376" s="1080"/>
      <c r="E376" s="1080"/>
      <c r="F376" s="1080"/>
      <c r="G376" s="1080"/>
      <c r="H376" s="1080"/>
      <c r="I376" s="1080"/>
      <c r="J376" s="1080"/>
      <c r="K376" s="1080"/>
      <c r="L376" s="1080"/>
      <c r="M376" s="1080"/>
      <c r="N376" s="1080"/>
      <c r="O376" s="1080"/>
      <c r="P376" s="1080"/>
      <c r="Q376" s="1080"/>
      <c r="R376" s="1080"/>
    </row>
    <row r="377" spans="3:18" s="73" customFormat="1" hidden="1">
      <c r="C377" s="1080"/>
      <c r="D377" s="1080"/>
      <c r="E377" s="1080"/>
      <c r="F377" s="1080"/>
      <c r="G377" s="1080"/>
      <c r="H377" s="1080"/>
      <c r="I377" s="1080"/>
      <c r="J377" s="1080"/>
      <c r="K377" s="1080"/>
      <c r="L377" s="1080"/>
      <c r="M377" s="1080"/>
      <c r="N377" s="1080"/>
      <c r="O377" s="1080"/>
      <c r="P377" s="1080"/>
      <c r="Q377" s="1080"/>
      <c r="R377" s="1080"/>
    </row>
    <row r="378" spans="3:18" s="73" customFormat="1" hidden="1">
      <c r="C378" s="1080"/>
      <c r="D378" s="1080"/>
      <c r="E378" s="1080"/>
      <c r="F378" s="1080"/>
      <c r="G378" s="1080"/>
      <c r="H378" s="1080"/>
      <c r="I378" s="1080"/>
      <c r="J378" s="1080"/>
      <c r="K378" s="1080"/>
      <c r="L378" s="1080"/>
      <c r="M378" s="1080"/>
      <c r="N378" s="1080"/>
      <c r="O378" s="1080"/>
      <c r="P378" s="1080"/>
      <c r="Q378" s="1080"/>
      <c r="R378" s="1080"/>
    </row>
    <row r="379" spans="3:18" s="73" customFormat="1" hidden="1">
      <c r="C379" s="1080"/>
      <c r="D379" s="1080"/>
      <c r="E379" s="1080"/>
      <c r="F379" s="1080"/>
      <c r="G379" s="1080"/>
      <c r="H379" s="1080"/>
      <c r="I379" s="1080"/>
      <c r="J379" s="1080"/>
      <c r="K379" s="1080"/>
      <c r="L379" s="1080"/>
      <c r="M379" s="1080"/>
      <c r="N379" s="1080"/>
      <c r="O379" s="1080"/>
      <c r="P379" s="1080"/>
      <c r="Q379" s="1080"/>
      <c r="R379" s="1080"/>
    </row>
    <row r="380" spans="3:18" s="73" customFormat="1" hidden="1">
      <c r="C380" s="1080"/>
      <c r="D380" s="1080"/>
      <c r="E380" s="1080"/>
      <c r="F380" s="1080"/>
      <c r="G380" s="1080"/>
      <c r="H380" s="1080"/>
      <c r="I380" s="1080"/>
      <c r="J380" s="1080"/>
      <c r="K380" s="1080"/>
      <c r="L380" s="1080"/>
      <c r="M380" s="1080"/>
      <c r="N380" s="1080"/>
      <c r="O380" s="1080"/>
      <c r="P380" s="1080"/>
      <c r="Q380" s="1080"/>
      <c r="R380" s="1080"/>
    </row>
    <row r="381" spans="3:18" s="73" customFormat="1" hidden="1">
      <c r="C381" s="1080"/>
      <c r="D381" s="1080"/>
      <c r="E381" s="1080"/>
      <c r="F381" s="1080"/>
      <c r="G381" s="1080"/>
      <c r="H381" s="1080"/>
      <c r="I381" s="1080"/>
      <c r="J381" s="1080"/>
      <c r="K381" s="1080"/>
      <c r="L381" s="1080"/>
      <c r="M381" s="1080"/>
      <c r="N381" s="1080"/>
      <c r="O381" s="1080"/>
      <c r="P381" s="1080"/>
      <c r="Q381" s="1080"/>
      <c r="R381" s="1080"/>
    </row>
    <row r="382" spans="3:18" s="73" customFormat="1" hidden="1">
      <c r="C382" s="1080"/>
      <c r="D382" s="1080"/>
      <c r="E382" s="1080"/>
      <c r="F382" s="1080"/>
      <c r="G382" s="1080"/>
      <c r="H382" s="1080"/>
      <c r="I382" s="1080"/>
      <c r="J382" s="1080"/>
      <c r="K382" s="1080"/>
      <c r="L382" s="1080"/>
      <c r="M382" s="1080"/>
      <c r="N382" s="1080"/>
      <c r="O382" s="1080"/>
      <c r="P382" s="1080"/>
      <c r="Q382" s="1080"/>
      <c r="R382" s="1080"/>
    </row>
    <row r="383" spans="3:18" s="73" customFormat="1" hidden="1">
      <c r="C383" s="1080"/>
      <c r="D383" s="1080"/>
      <c r="E383" s="1080"/>
      <c r="F383" s="1080"/>
      <c r="G383" s="1080"/>
      <c r="H383" s="1080"/>
      <c r="I383" s="1080"/>
      <c r="J383" s="1080"/>
      <c r="K383" s="1080"/>
      <c r="L383" s="1080"/>
      <c r="M383" s="1080"/>
      <c r="N383" s="1080"/>
      <c r="O383" s="1080"/>
      <c r="P383" s="1080"/>
      <c r="Q383" s="1080"/>
      <c r="R383" s="1080"/>
    </row>
    <row r="384" spans="3:18" s="73" customFormat="1" hidden="1">
      <c r="C384" s="1080"/>
      <c r="D384" s="1080"/>
      <c r="E384" s="1080"/>
      <c r="F384" s="1080"/>
      <c r="G384" s="1080"/>
      <c r="H384" s="1080"/>
      <c r="I384" s="1080"/>
      <c r="J384" s="1080"/>
      <c r="K384" s="1080"/>
      <c r="L384" s="1080"/>
      <c r="M384" s="1080"/>
      <c r="N384" s="1080"/>
      <c r="O384" s="1080"/>
      <c r="P384" s="1080"/>
      <c r="Q384" s="1080"/>
      <c r="R384" s="1080"/>
    </row>
    <row r="385" spans="3:18" s="73" customFormat="1" hidden="1">
      <c r="C385" s="1080"/>
      <c r="D385" s="1080"/>
      <c r="E385" s="1080"/>
      <c r="F385" s="1080"/>
      <c r="G385" s="1080"/>
      <c r="H385" s="1080"/>
      <c r="I385" s="1080"/>
      <c r="J385" s="1080"/>
      <c r="K385" s="1080"/>
      <c r="L385" s="1080"/>
      <c r="M385" s="1080"/>
      <c r="N385" s="1080"/>
      <c r="O385" s="1080"/>
      <c r="P385" s="1080"/>
      <c r="Q385" s="1080"/>
      <c r="R385" s="1080"/>
    </row>
    <row r="386" spans="3:18" s="73" customFormat="1" hidden="1">
      <c r="C386" s="1080"/>
      <c r="D386" s="1080"/>
      <c r="E386" s="1080"/>
      <c r="F386" s="1080"/>
      <c r="G386" s="1080"/>
      <c r="H386" s="1080"/>
      <c r="I386" s="1080"/>
      <c r="J386" s="1080"/>
      <c r="K386" s="1080"/>
      <c r="L386" s="1080"/>
      <c r="M386" s="1080"/>
      <c r="N386" s="1080"/>
      <c r="O386" s="1080"/>
      <c r="P386" s="1080"/>
      <c r="Q386" s="1080"/>
      <c r="R386" s="1080"/>
    </row>
    <row r="387" spans="3:18" s="73" customFormat="1" hidden="1">
      <c r="C387" s="1080"/>
      <c r="D387" s="1080"/>
      <c r="E387" s="1080"/>
      <c r="F387" s="1080"/>
      <c r="G387" s="1080"/>
      <c r="H387" s="1080"/>
      <c r="I387" s="1080"/>
      <c r="J387" s="1080"/>
      <c r="K387" s="1080"/>
      <c r="L387" s="1080"/>
      <c r="M387" s="1080"/>
      <c r="N387" s="1080"/>
      <c r="O387" s="1080"/>
      <c r="P387" s="1080"/>
      <c r="Q387" s="1080"/>
      <c r="R387" s="1080"/>
    </row>
    <row r="388" spans="3:18" s="73" customFormat="1" hidden="1">
      <c r="C388" s="1080"/>
      <c r="D388" s="1080"/>
      <c r="E388" s="1080"/>
      <c r="F388" s="1080"/>
      <c r="G388" s="1080"/>
      <c r="H388" s="1080"/>
      <c r="I388" s="1080"/>
      <c r="J388" s="1080"/>
      <c r="K388" s="1080"/>
      <c r="L388" s="1080"/>
      <c r="M388" s="1080"/>
      <c r="N388" s="1080"/>
      <c r="O388" s="1080"/>
      <c r="P388" s="1080"/>
      <c r="Q388" s="1080"/>
      <c r="R388" s="1080"/>
    </row>
    <row r="389" spans="3:18" s="73" customFormat="1" hidden="1">
      <c r="C389" s="1080"/>
      <c r="D389" s="1080"/>
      <c r="E389" s="1080"/>
      <c r="F389" s="1080"/>
      <c r="G389" s="1080"/>
      <c r="H389" s="1080"/>
      <c r="I389" s="1080"/>
      <c r="J389" s="1080"/>
      <c r="K389" s="1080"/>
      <c r="L389" s="1080"/>
      <c r="M389" s="1080"/>
      <c r="N389" s="1080"/>
      <c r="O389" s="1080"/>
      <c r="P389" s="1080"/>
      <c r="Q389" s="1080"/>
      <c r="R389" s="1080"/>
    </row>
    <row r="390" spans="3:18" s="73" customFormat="1" hidden="1">
      <c r="C390" s="1080"/>
      <c r="D390" s="1080"/>
      <c r="E390" s="1080"/>
      <c r="F390" s="1080"/>
      <c r="G390" s="1080"/>
      <c r="H390" s="1080"/>
      <c r="I390" s="1080"/>
      <c r="J390" s="1080"/>
      <c r="K390" s="1080"/>
      <c r="L390" s="1080"/>
      <c r="M390" s="1080"/>
      <c r="N390" s="1080"/>
      <c r="O390" s="1080"/>
      <c r="P390" s="1080"/>
      <c r="Q390" s="1080"/>
      <c r="R390" s="1080"/>
    </row>
    <row r="391" spans="3:18" s="73" customFormat="1" hidden="1">
      <c r="C391" s="1080"/>
      <c r="D391" s="1080"/>
      <c r="E391" s="1080"/>
      <c r="F391" s="1080"/>
      <c r="G391" s="1080"/>
      <c r="H391" s="1080"/>
      <c r="I391" s="1080"/>
      <c r="J391" s="1080"/>
      <c r="K391" s="1080"/>
      <c r="L391" s="1080"/>
      <c r="M391" s="1080"/>
      <c r="N391" s="1080"/>
      <c r="O391" s="1080"/>
      <c r="P391" s="1080"/>
      <c r="Q391" s="1080"/>
      <c r="R391" s="1080"/>
    </row>
    <row r="392" spans="3:18" s="73" customFormat="1" hidden="1">
      <c r="C392" s="1080"/>
      <c r="D392" s="1080"/>
      <c r="E392" s="1080"/>
      <c r="F392" s="1080"/>
      <c r="G392" s="1080"/>
      <c r="H392" s="1080"/>
      <c r="I392" s="1080"/>
      <c r="J392" s="1080"/>
      <c r="K392" s="1080"/>
      <c r="L392" s="1080"/>
      <c r="M392" s="1080"/>
      <c r="N392" s="1080"/>
      <c r="O392" s="1080"/>
      <c r="P392" s="1080"/>
      <c r="Q392" s="1080"/>
      <c r="R392" s="1080"/>
    </row>
    <row r="393" spans="3:18" s="73" customFormat="1" hidden="1">
      <c r="C393" s="1080"/>
      <c r="D393" s="1080"/>
      <c r="E393" s="1080"/>
      <c r="F393" s="1080"/>
      <c r="G393" s="1080"/>
      <c r="H393" s="1080"/>
      <c r="I393" s="1080"/>
      <c r="J393" s="1080"/>
      <c r="K393" s="1080"/>
      <c r="L393" s="1080"/>
      <c r="M393" s="1080"/>
      <c r="N393" s="1080"/>
      <c r="O393" s="1080"/>
      <c r="P393" s="1080"/>
      <c r="Q393" s="1080"/>
      <c r="R393" s="1080"/>
    </row>
    <row r="394" spans="3:18" s="73" customFormat="1" hidden="1">
      <c r="C394" s="1080"/>
      <c r="D394" s="1080"/>
      <c r="E394" s="1080"/>
      <c r="F394" s="1080"/>
      <c r="G394" s="1080"/>
      <c r="H394" s="1080"/>
      <c r="I394" s="1080"/>
      <c r="J394" s="1080"/>
      <c r="K394" s="1080"/>
      <c r="L394" s="1080"/>
      <c r="M394" s="1080"/>
      <c r="N394" s="1080"/>
      <c r="O394" s="1080"/>
      <c r="P394" s="1080"/>
      <c r="Q394" s="1080"/>
      <c r="R394" s="1080"/>
    </row>
    <row r="395" spans="3:18" s="73" customFormat="1" hidden="1">
      <c r="C395" s="1080"/>
      <c r="D395" s="1080"/>
      <c r="E395" s="1080"/>
      <c r="F395" s="1080"/>
      <c r="G395" s="1080"/>
      <c r="H395" s="1080"/>
      <c r="I395" s="1080"/>
      <c r="J395" s="1080"/>
      <c r="K395" s="1080"/>
      <c r="L395" s="1080"/>
      <c r="M395" s="1080"/>
      <c r="N395" s="1080"/>
      <c r="O395" s="1080"/>
      <c r="P395" s="1080"/>
      <c r="Q395" s="1080"/>
      <c r="R395" s="1080"/>
    </row>
    <row r="396" spans="3:18" s="73" customFormat="1" hidden="1">
      <c r="C396" s="1080"/>
      <c r="D396" s="1080"/>
      <c r="E396" s="1080"/>
      <c r="F396" s="1080"/>
      <c r="G396" s="1080"/>
      <c r="H396" s="1080"/>
      <c r="I396" s="1080"/>
      <c r="J396" s="1080"/>
      <c r="K396" s="1080"/>
      <c r="L396" s="1080"/>
      <c r="M396" s="1080"/>
      <c r="N396" s="1080"/>
      <c r="O396" s="1080"/>
      <c r="P396" s="1080"/>
      <c r="Q396" s="1080"/>
      <c r="R396" s="1080"/>
    </row>
    <row r="397" spans="3:18" s="73" customFormat="1" hidden="1">
      <c r="C397" s="1080"/>
      <c r="D397" s="1080"/>
      <c r="E397" s="1080"/>
      <c r="F397" s="1080"/>
      <c r="G397" s="1080"/>
      <c r="H397" s="1080"/>
      <c r="I397" s="1080"/>
      <c r="J397" s="1080"/>
      <c r="K397" s="1080"/>
      <c r="L397" s="1080"/>
      <c r="M397" s="1080"/>
      <c r="N397" s="1080"/>
      <c r="O397" s="1080"/>
      <c r="P397" s="1080"/>
      <c r="Q397" s="1080"/>
      <c r="R397" s="1080"/>
    </row>
    <row r="398" spans="3:18" s="73" customFormat="1" hidden="1">
      <c r="C398" s="1080"/>
      <c r="D398" s="1080"/>
      <c r="E398" s="1080"/>
      <c r="F398" s="1080"/>
      <c r="G398" s="1080"/>
      <c r="H398" s="1080"/>
      <c r="I398" s="1080"/>
      <c r="J398" s="1080"/>
      <c r="K398" s="1080"/>
      <c r="L398" s="1080"/>
      <c r="M398" s="1080"/>
      <c r="N398" s="1080"/>
      <c r="O398" s="1080"/>
      <c r="P398" s="1080"/>
      <c r="Q398" s="1080"/>
      <c r="R398" s="1080"/>
    </row>
    <row r="399" spans="3:18" s="73" customFormat="1" hidden="1">
      <c r="C399" s="1080"/>
      <c r="D399" s="1080"/>
      <c r="E399" s="1080"/>
      <c r="F399" s="1080"/>
      <c r="G399" s="1080"/>
      <c r="H399" s="1080"/>
      <c r="I399" s="1080"/>
      <c r="J399" s="1080"/>
      <c r="K399" s="1080"/>
      <c r="L399" s="1080"/>
      <c r="M399" s="1080"/>
      <c r="N399" s="1080"/>
      <c r="O399" s="1080"/>
      <c r="P399" s="1080"/>
      <c r="Q399" s="1080"/>
      <c r="R399" s="1080"/>
    </row>
    <row r="400" spans="3:18" s="73" customFormat="1" hidden="1">
      <c r="C400" s="1080"/>
      <c r="D400" s="1080"/>
      <c r="E400" s="1080"/>
      <c r="F400" s="1080"/>
      <c r="G400" s="1080"/>
      <c r="H400" s="1080"/>
      <c r="I400" s="1080"/>
      <c r="J400" s="1080"/>
      <c r="K400" s="1080"/>
      <c r="L400" s="1080"/>
      <c r="M400" s="1080"/>
      <c r="N400" s="1080"/>
      <c r="O400" s="1080"/>
      <c r="P400" s="1080"/>
      <c r="Q400" s="1080"/>
      <c r="R400" s="1080"/>
    </row>
    <row r="401" spans="3:18" s="73" customFormat="1" hidden="1">
      <c r="C401" s="1080"/>
      <c r="D401" s="1080"/>
      <c r="E401" s="1080"/>
      <c r="F401" s="1080"/>
      <c r="G401" s="1080"/>
      <c r="H401" s="1080"/>
      <c r="I401" s="1080"/>
      <c r="J401" s="1080"/>
      <c r="K401" s="1080"/>
      <c r="L401" s="1080"/>
      <c r="M401" s="1080"/>
      <c r="N401" s="1080"/>
      <c r="O401" s="1080"/>
      <c r="P401" s="1080"/>
      <c r="Q401" s="1080"/>
      <c r="R401" s="1080"/>
    </row>
    <row r="402" spans="3:18" s="73" customFormat="1" hidden="1">
      <c r="C402" s="1080"/>
      <c r="D402" s="1080"/>
      <c r="E402" s="1080"/>
      <c r="F402" s="1080"/>
      <c r="G402" s="1080"/>
      <c r="H402" s="1080"/>
      <c r="I402" s="1080"/>
      <c r="J402" s="1080"/>
      <c r="K402" s="1080"/>
      <c r="L402" s="1080"/>
      <c r="M402" s="1080"/>
      <c r="N402" s="1080"/>
      <c r="O402" s="1080"/>
      <c r="P402" s="1080"/>
      <c r="Q402" s="1080"/>
      <c r="R402" s="1080"/>
    </row>
    <row r="403" spans="3:18" s="73" customFormat="1" hidden="1">
      <c r="C403" s="1080"/>
      <c r="D403" s="1080"/>
      <c r="E403" s="1080"/>
      <c r="F403" s="1080"/>
      <c r="G403" s="1080"/>
      <c r="H403" s="1080"/>
      <c r="I403" s="1080"/>
      <c r="J403" s="1080"/>
      <c r="K403" s="1080"/>
      <c r="L403" s="1080"/>
      <c r="M403" s="1080"/>
      <c r="N403" s="1080"/>
      <c r="O403" s="1080"/>
      <c r="P403" s="1080"/>
      <c r="Q403" s="1080"/>
      <c r="R403" s="1080"/>
    </row>
    <row r="404" spans="3:18" s="73" customFormat="1" hidden="1">
      <c r="C404" s="1080"/>
      <c r="D404" s="1080"/>
      <c r="E404" s="1080"/>
      <c r="F404" s="1080"/>
      <c r="G404" s="1080"/>
      <c r="H404" s="1080"/>
      <c r="I404" s="1080"/>
      <c r="J404" s="1080"/>
      <c r="K404" s="1080"/>
      <c r="L404" s="1080"/>
      <c r="M404" s="1080"/>
      <c r="N404" s="1080"/>
      <c r="O404" s="1080"/>
      <c r="P404" s="1080"/>
      <c r="Q404" s="1080"/>
      <c r="R404" s="1080"/>
    </row>
    <row r="405" spans="3:18" s="73" customFormat="1" hidden="1">
      <c r="C405" s="1080"/>
      <c r="D405" s="1080"/>
      <c r="E405" s="1080"/>
      <c r="F405" s="1080"/>
      <c r="G405" s="1080"/>
      <c r="H405" s="1080"/>
      <c r="I405" s="1080"/>
      <c r="J405" s="1080"/>
      <c r="K405" s="1080"/>
      <c r="L405" s="1080"/>
      <c r="M405" s="1080"/>
      <c r="N405" s="1080"/>
      <c r="O405" s="1080"/>
      <c r="P405" s="1080"/>
      <c r="Q405" s="1080"/>
      <c r="R405" s="1080"/>
    </row>
    <row r="406" spans="3:18" s="73" customFormat="1" hidden="1">
      <c r="C406" s="1080"/>
      <c r="D406" s="1080"/>
      <c r="E406" s="1080"/>
      <c r="F406" s="1080"/>
      <c r="G406" s="1080"/>
      <c r="H406" s="1080"/>
      <c r="I406" s="1080"/>
      <c r="J406" s="1080"/>
      <c r="K406" s="1080"/>
      <c r="L406" s="1080"/>
      <c r="M406" s="1080"/>
      <c r="N406" s="1080"/>
      <c r="O406" s="1080"/>
      <c r="P406" s="1080"/>
      <c r="Q406" s="1080"/>
      <c r="R406" s="1080"/>
    </row>
    <row r="407" spans="3:18" s="73" customFormat="1" hidden="1">
      <c r="C407" s="1080"/>
      <c r="D407" s="1080"/>
      <c r="E407" s="1080"/>
      <c r="F407" s="1080"/>
      <c r="G407" s="1080"/>
      <c r="H407" s="1080"/>
      <c r="I407" s="1080"/>
      <c r="J407" s="1080"/>
      <c r="K407" s="1080"/>
      <c r="L407" s="1080"/>
      <c r="M407" s="1080"/>
      <c r="N407" s="1080"/>
      <c r="O407" s="1080"/>
      <c r="P407" s="1080"/>
      <c r="Q407" s="1080"/>
      <c r="R407" s="1080"/>
    </row>
    <row r="408" spans="3:18" s="73" customFormat="1" hidden="1">
      <c r="C408" s="1080"/>
      <c r="D408" s="1080"/>
      <c r="E408" s="1080"/>
      <c r="F408" s="1080"/>
      <c r="G408" s="1080"/>
      <c r="H408" s="1080"/>
      <c r="I408" s="1080"/>
      <c r="J408" s="1080"/>
      <c r="K408" s="1080"/>
      <c r="L408" s="1080"/>
      <c r="M408" s="1080"/>
      <c r="N408" s="1080"/>
      <c r="O408" s="1080"/>
      <c r="P408" s="1080"/>
      <c r="Q408" s="1080"/>
      <c r="R408" s="1080"/>
    </row>
    <row r="409" spans="3:18" s="73" customFormat="1" hidden="1">
      <c r="C409" s="1080"/>
      <c r="D409" s="1080"/>
      <c r="E409" s="1080"/>
      <c r="F409" s="1080"/>
      <c r="G409" s="1080"/>
      <c r="H409" s="1080"/>
      <c r="I409" s="1080"/>
      <c r="J409" s="1080"/>
      <c r="K409" s="1080"/>
      <c r="L409" s="1080"/>
      <c r="M409" s="1080"/>
      <c r="N409" s="1080"/>
      <c r="O409" s="1080"/>
      <c r="P409" s="1080"/>
      <c r="Q409" s="1080"/>
      <c r="R409" s="1080"/>
    </row>
    <row r="410" spans="3:18" s="73" customFormat="1" hidden="1">
      <c r="C410" s="1080"/>
      <c r="D410" s="1080"/>
      <c r="E410" s="1080"/>
      <c r="F410" s="1080"/>
      <c r="G410" s="1080"/>
      <c r="H410" s="1080"/>
      <c r="I410" s="1080"/>
      <c r="J410" s="1080"/>
      <c r="K410" s="1080"/>
      <c r="L410" s="1080"/>
      <c r="M410" s="1080"/>
      <c r="N410" s="1080"/>
      <c r="O410" s="1080"/>
      <c r="P410" s="1080"/>
      <c r="Q410" s="1080"/>
      <c r="R410" s="1080"/>
    </row>
    <row r="411" spans="3:18" s="73" customFormat="1" hidden="1">
      <c r="C411" s="1080"/>
      <c r="D411" s="1080"/>
      <c r="E411" s="1080"/>
      <c r="F411" s="1080"/>
      <c r="G411" s="1080"/>
      <c r="H411" s="1080"/>
      <c r="I411" s="1080"/>
      <c r="J411" s="1080"/>
      <c r="K411" s="1080"/>
      <c r="L411" s="1080"/>
      <c r="M411" s="1080"/>
      <c r="N411" s="1080"/>
      <c r="O411" s="1080"/>
      <c r="P411" s="1080"/>
      <c r="Q411" s="1080"/>
      <c r="R411" s="1080"/>
    </row>
    <row r="412" spans="3:18" s="73" customFormat="1" hidden="1">
      <c r="C412" s="1080"/>
      <c r="D412" s="1080"/>
      <c r="E412" s="1080"/>
      <c r="F412" s="1080"/>
      <c r="G412" s="1080"/>
      <c r="H412" s="1080"/>
      <c r="I412" s="1080"/>
      <c r="J412" s="1080"/>
      <c r="K412" s="1080"/>
      <c r="L412" s="1080"/>
      <c r="M412" s="1080"/>
      <c r="N412" s="1080"/>
      <c r="O412" s="1080"/>
      <c r="P412" s="1080"/>
      <c r="Q412" s="1080"/>
      <c r="R412" s="1080"/>
    </row>
    <row r="413" spans="3:18" s="73" customFormat="1" hidden="1">
      <c r="C413" s="1080"/>
      <c r="D413" s="1080"/>
      <c r="E413" s="1080"/>
      <c r="F413" s="1080"/>
      <c r="G413" s="1080"/>
      <c r="H413" s="1080"/>
      <c r="I413" s="1080"/>
      <c r="J413" s="1080"/>
      <c r="K413" s="1080"/>
      <c r="L413" s="1080"/>
      <c r="M413" s="1080"/>
      <c r="N413" s="1080"/>
      <c r="O413" s="1080"/>
      <c r="P413" s="1080"/>
      <c r="Q413" s="1080"/>
      <c r="R413" s="1080"/>
    </row>
    <row r="414" spans="3:18" s="73" customFormat="1" hidden="1">
      <c r="C414" s="1080"/>
      <c r="D414" s="1080"/>
      <c r="E414" s="1080"/>
      <c r="F414" s="1080"/>
      <c r="G414" s="1080"/>
      <c r="H414" s="1080"/>
      <c r="I414" s="1080"/>
      <c r="J414" s="1080"/>
      <c r="K414" s="1080"/>
      <c r="L414" s="1080"/>
      <c r="M414" s="1080"/>
      <c r="N414" s="1080"/>
      <c r="O414" s="1080"/>
      <c r="P414" s="1080"/>
      <c r="Q414" s="1080"/>
      <c r="R414" s="1080"/>
    </row>
    <row r="415" spans="3:18" s="73" customFormat="1" hidden="1">
      <c r="C415" s="1080"/>
      <c r="D415" s="1080"/>
      <c r="E415" s="1080"/>
      <c r="F415" s="1080"/>
      <c r="G415" s="1080"/>
      <c r="H415" s="1080"/>
      <c r="I415" s="1080"/>
      <c r="J415" s="1080"/>
      <c r="K415" s="1080"/>
      <c r="L415" s="1080"/>
      <c r="M415" s="1080"/>
      <c r="N415" s="1080"/>
      <c r="O415" s="1080"/>
      <c r="P415" s="1080"/>
      <c r="Q415" s="1080"/>
      <c r="R415" s="1080"/>
    </row>
    <row r="416" spans="3:18" s="73" customFormat="1" hidden="1">
      <c r="C416" s="1080"/>
      <c r="D416" s="1080"/>
      <c r="E416" s="1080"/>
      <c r="F416" s="1080"/>
      <c r="G416" s="1080"/>
      <c r="H416" s="1080"/>
      <c r="I416" s="1080"/>
      <c r="J416" s="1080"/>
      <c r="K416" s="1080"/>
      <c r="L416" s="1080"/>
      <c r="M416" s="1080"/>
      <c r="N416" s="1080"/>
      <c r="O416" s="1080"/>
      <c r="P416" s="1080"/>
      <c r="Q416" s="1080"/>
      <c r="R416" s="1080"/>
    </row>
    <row r="417" spans="3:18" s="73" customFormat="1" hidden="1">
      <c r="C417" s="1080"/>
      <c r="D417" s="1080"/>
      <c r="E417" s="1080"/>
      <c r="F417" s="1080"/>
      <c r="G417" s="1080"/>
      <c r="H417" s="1080"/>
      <c r="I417" s="1080"/>
      <c r="J417" s="1080"/>
      <c r="K417" s="1080"/>
      <c r="L417" s="1080"/>
      <c r="M417" s="1080"/>
      <c r="N417" s="1080"/>
      <c r="O417" s="1080"/>
      <c r="P417" s="1080"/>
      <c r="Q417" s="1080"/>
      <c r="R417" s="1080"/>
    </row>
    <row r="418" spans="3:18" s="73" customFormat="1" hidden="1">
      <c r="C418" s="1080"/>
      <c r="D418" s="1080"/>
      <c r="E418" s="1080"/>
      <c r="F418" s="1080"/>
      <c r="G418" s="1080"/>
      <c r="H418" s="1080"/>
      <c r="I418" s="1080"/>
      <c r="J418" s="1080"/>
      <c r="K418" s="1080"/>
      <c r="L418" s="1080"/>
      <c r="M418" s="1080"/>
      <c r="N418" s="1080"/>
      <c r="O418" s="1080"/>
      <c r="P418" s="1080"/>
      <c r="Q418" s="1080"/>
      <c r="R418" s="1080"/>
    </row>
    <row r="419" spans="3:18" s="73" customFormat="1" hidden="1">
      <c r="C419" s="1080"/>
      <c r="D419" s="1080"/>
      <c r="E419" s="1080"/>
      <c r="F419" s="1080"/>
      <c r="G419" s="1080"/>
      <c r="H419" s="1080"/>
      <c r="I419" s="1080"/>
      <c r="J419" s="1080"/>
      <c r="K419" s="1080"/>
      <c r="L419" s="1080"/>
      <c r="M419" s="1080"/>
      <c r="N419" s="1080"/>
      <c r="O419" s="1080"/>
      <c r="P419" s="1080"/>
      <c r="Q419" s="1080"/>
      <c r="R419" s="1080"/>
    </row>
    <row r="420" spans="3:18" s="73" customFormat="1" hidden="1">
      <c r="C420" s="1080"/>
      <c r="D420" s="1080"/>
      <c r="E420" s="1080"/>
      <c r="F420" s="1080"/>
      <c r="G420" s="1080"/>
      <c r="H420" s="1080"/>
      <c r="I420" s="1080"/>
      <c r="J420" s="1080"/>
      <c r="K420" s="1080"/>
      <c r="L420" s="1080"/>
      <c r="M420" s="1080"/>
      <c r="N420" s="1080"/>
      <c r="O420" s="1080"/>
      <c r="P420" s="1080"/>
      <c r="Q420" s="1080"/>
      <c r="R420" s="1080"/>
    </row>
    <row r="421" spans="3:18" s="73" customFormat="1" hidden="1">
      <c r="C421" s="1080"/>
      <c r="D421" s="1080"/>
      <c r="E421" s="1080"/>
      <c r="F421" s="1080"/>
      <c r="G421" s="1080"/>
      <c r="H421" s="1080"/>
      <c r="I421" s="1080"/>
      <c r="J421" s="1080"/>
      <c r="K421" s="1080"/>
      <c r="L421" s="1080"/>
      <c r="M421" s="1080"/>
      <c r="N421" s="1080"/>
      <c r="O421" s="1080"/>
      <c r="P421" s="1080"/>
      <c r="Q421" s="1080"/>
      <c r="R421" s="1080"/>
    </row>
    <row r="422" spans="3:18" s="73" customFormat="1" hidden="1">
      <c r="C422" s="1080"/>
      <c r="D422" s="1080"/>
      <c r="E422" s="1080"/>
      <c r="F422" s="1080"/>
      <c r="G422" s="1080"/>
      <c r="H422" s="1080"/>
      <c r="I422" s="1080"/>
      <c r="J422" s="1080"/>
      <c r="K422" s="1080"/>
      <c r="L422" s="1080"/>
      <c r="M422" s="1080"/>
      <c r="N422" s="1080"/>
      <c r="O422" s="1080"/>
      <c r="P422" s="1080"/>
      <c r="Q422" s="1080"/>
      <c r="R422" s="1080"/>
    </row>
    <row r="423" spans="3:18" s="73" customFormat="1" hidden="1">
      <c r="C423" s="1080"/>
      <c r="D423" s="1080"/>
      <c r="E423" s="1080"/>
      <c r="F423" s="1080"/>
      <c r="G423" s="1080"/>
      <c r="H423" s="1080"/>
      <c r="I423" s="1080"/>
      <c r="J423" s="1080"/>
      <c r="K423" s="1080"/>
      <c r="L423" s="1080"/>
      <c r="M423" s="1080"/>
      <c r="N423" s="1080"/>
      <c r="O423" s="1080"/>
      <c r="P423" s="1080"/>
      <c r="Q423" s="1080"/>
      <c r="R423" s="1080"/>
    </row>
    <row r="424" spans="3:18" s="73" customFormat="1" hidden="1">
      <c r="C424" s="1080"/>
      <c r="D424" s="1080"/>
      <c r="E424" s="1080"/>
      <c r="F424" s="1080"/>
      <c r="G424" s="1080"/>
      <c r="H424" s="1080"/>
      <c r="I424" s="1080"/>
      <c r="J424" s="1080"/>
      <c r="K424" s="1080"/>
      <c r="L424" s="1080"/>
      <c r="M424" s="1080"/>
      <c r="N424" s="1080"/>
      <c r="O424" s="1080"/>
      <c r="P424" s="1080"/>
      <c r="Q424" s="1080"/>
      <c r="R424" s="1080"/>
    </row>
    <row r="425" spans="3:18" s="73" customFormat="1" hidden="1">
      <c r="C425" s="1080"/>
      <c r="D425" s="1080"/>
      <c r="E425" s="1080"/>
      <c r="F425" s="1080"/>
      <c r="G425" s="1080"/>
      <c r="H425" s="1080"/>
      <c r="I425" s="1080"/>
      <c r="J425" s="1080"/>
      <c r="K425" s="1080"/>
      <c r="L425" s="1080"/>
      <c r="M425" s="1080"/>
      <c r="N425" s="1080"/>
      <c r="O425" s="1080"/>
      <c r="P425" s="1080"/>
      <c r="Q425" s="1080"/>
      <c r="R425" s="1080"/>
    </row>
    <row r="426" spans="3:18" s="73" customFormat="1" hidden="1">
      <c r="C426" s="1080"/>
      <c r="D426" s="1080"/>
      <c r="E426" s="1080"/>
      <c r="F426" s="1080"/>
      <c r="G426" s="1080"/>
      <c r="H426" s="1080"/>
      <c r="I426" s="1080"/>
      <c r="J426" s="1080"/>
      <c r="K426" s="1080"/>
      <c r="L426" s="1080"/>
      <c r="M426" s="1080"/>
      <c r="N426" s="1080"/>
      <c r="O426" s="1080"/>
      <c r="P426" s="1080"/>
      <c r="Q426" s="1080"/>
      <c r="R426" s="1080"/>
    </row>
    <row r="427" spans="3:18" s="73" customFormat="1" hidden="1">
      <c r="C427" s="1080"/>
      <c r="D427" s="1080"/>
      <c r="E427" s="1080"/>
      <c r="F427" s="1080"/>
      <c r="G427" s="1080"/>
      <c r="H427" s="1080"/>
      <c r="I427" s="1080"/>
      <c r="J427" s="1080"/>
      <c r="K427" s="1080"/>
      <c r="L427" s="1080"/>
      <c r="M427" s="1080"/>
      <c r="N427" s="1080"/>
      <c r="O427" s="1080"/>
      <c r="P427" s="1080"/>
      <c r="Q427" s="1080"/>
      <c r="R427" s="1080"/>
    </row>
    <row r="428" spans="3:18" s="73" customFormat="1" hidden="1">
      <c r="C428" s="1080"/>
      <c r="D428" s="1080"/>
      <c r="E428" s="1080"/>
      <c r="F428" s="1080"/>
      <c r="G428" s="1080"/>
      <c r="H428" s="1080"/>
      <c r="I428" s="1080"/>
      <c r="J428" s="1080"/>
      <c r="K428" s="1080"/>
      <c r="L428" s="1080"/>
      <c r="M428" s="1080"/>
      <c r="N428" s="1080"/>
      <c r="O428" s="1080"/>
      <c r="P428" s="1080"/>
      <c r="Q428" s="1080"/>
      <c r="R428" s="1080"/>
    </row>
    <row r="429" spans="3:18" s="73" customFormat="1" hidden="1">
      <c r="C429" s="1080"/>
      <c r="D429" s="1080"/>
      <c r="E429" s="1080"/>
      <c r="F429" s="1080"/>
      <c r="G429" s="1080"/>
      <c r="H429" s="1080"/>
      <c r="I429" s="1080"/>
      <c r="J429" s="1080"/>
      <c r="K429" s="1080"/>
      <c r="L429" s="1080"/>
      <c r="M429" s="1080"/>
      <c r="N429" s="1080"/>
      <c r="O429" s="1080"/>
      <c r="P429" s="1080"/>
      <c r="Q429" s="1080"/>
      <c r="R429" s="1080"/>
    </row>
    <row r="430" spans="3:18" s="73" customFormat="1" hidden="1">
      <c r="C430" s="1080"/>
      <c r="D430" s="1080"/>
      <c r="E430" s="1080"/>
      <c r="F430" s="1080"/>
      <c r="G430" s="1080"/>
      <c r="H430" s="1080"/>
      <c r="I430" s="1080"/>
      <c r="J430" s="1080"/>
      <c r="K430" s="1080"/>
      <c r="L430" s="1080"/>
      <c r="M430" s="1080"/>
      <c r="N430" s="1080"/>
      <c r="O430" s="1080"/>
      <c r="P430" s="1080"/>
      <c r="Q430" s="1080"/>
      <c r="R430" s="1080"/>
    </row>
    <row r="431" spans="3:18" s="73" customFormat="1" hidden="1">
      <c r="C431" s="1080"/>
      <c r="D431" s="1080"/>
      <c r="E431" s="1080"/>
      <c r="F431" s="1080"/>
      <c r="G431" s="1080"/>
      <c r="H431" s="1080"/>
      <c r="I431" s="1080"/>
      <c r="J431" s="1080"/>
      <c r="K431" s="1080"/>
      <c r="L431" s="1080"/>
      <c r="M431" s="1080"/>
      <c r="N431" s="1080"/>
      <c r="O431" s="1080"/>
      <c r="P431" s="1080"/>
      <c r="Q431" s="1080"/>
      <c r="R431" s="1080"/>
    </row>
    <row r="432" spans="3:18" s="73" customFormat="1" hidden="1">
      <c r="C432" s="1080"/>
      <c r="D432" s="1080"/>
      <c r="E432" s="1080"/>
      <c r="F432" s="1080"/>
      <c r="G432" s="1080"/>
      <c r="H432" s="1080"/>
      <c r="I432" s="1080"/>
      <c r="J432" s="1080"/>
      <c r="K432" s="1080"/>
      <c r="L432" s="1080"/>
      <c r="M432" s="1080"/>
      <c r="N432" s="1080"/>
      <c r="O432" s="1080"/>
      <c r="P432" s="1080"/>
      <c r="Q432" s="1080"/>
      <c r="R432" s="1080"/>
    </row>
    <row r="433" spans="3:18" s="73" customFormat="1" hidden="1">
      <c r="C433" s="1080"/>
      <c r="D433" s="1080"/>
      <c r="E433" s="1080"/>
      <c r="F433" s="1080"/>
      <c r="G433" s="1080"/>
      <c r="H433" s="1080"/>
      <c r="I433" s="1080"/>
      <c r="J433" s="1080"/>
      <c r="K433" s="1080"/>
      <c r="L433" s="1080"/>
      <c r="M433" s="1080"/>
      <c r="N433" s="1080"/>
      <c r="O433" s="1080"/>
      <c r="P433" s="1080"/>
      <c r="Q433" s="1080"/>
      <c r="R433" s="1080"/>
    </row>
    <row r="434" spans="3:18" s="73" customFormat="1" hidden="1">
      <c r="C434" s="1080"/>
      <c r="D434" s="1080"/>
      <c r="E434" s="1080"/>
      <c r="F434" s="1080"/>
      <c r="G434" s="1080"/>
      <c r="H434" s="1080"/>
      <c r="I434" s="1080"/>
      <c r="J434" s="1080"/>
      <c r="K434" s="1080"/>
      <c r="L434" s="1080"/>
      <c r="M434" s="1080"/>
      <c r="N434" s="1080"/>
      <c r="O434" s="1080"/>
      <c r="P434" s="1080"/>
      <c r="Q434" s="1080"/>
      <c r="R434" s="1080"/>
    </row>
    <row r="435" spans="3:18" s="73" customFormat="1" hidden="1">
      <c r="C435" s="1080"/>
      <c r="D435" s="1080"/>
      <c r="E435" s="1080"/>
      <c r="F435" s="1080"/>
      <c r="G435" s="1080"/>
      <c r="H435" s="1080"/>
      <c r="I435" s="1080"/>
      <c r="J435" s="1080"/>
      <c r="K435" s="1080"/>
      <c r="L435" s="1080"/>
      <c r="M435" s="1080"/>
      <c r="N435" s="1080"/>
      <c r="O435" s="1080"/>
      <c r="P435" s="1080"/>
      <c r="Q435" s="1080"/>
      <c r="R435" s="1080"/>
    </row>
    <row r="436" spans="3:18" s="73" customFormat="1" hidden="1">
      <c r="C436" s="1080"/>
      <c r="D436" s="1080"/>
      <c r="E436" s="1080"/>
      <c r="F436" s="1080"/>
      <c r="G436" s="1080"/>
      <c r="H436" s="1080"/>
      <c r="I436" s="1080"/>
      <c r="J436" s="1080"/>
      <c r="K436" s="1080"/>
      <c r="L436" s="1080"/>
      <c r="M436" s="1080"/>
      <c r="N436" s="1080"/>
      <c r="O436" s="1080"/>
      <c r="P436" s="1080"/>
      <c r="Q436" s="1080"/>
      <c r="R436" s="1080"/>
    </row>
    <row r="437" spans="3:18" s="73" customFormat="1" hidden="1">
      <c r="C437" s="1080"/>
      <c r="D437" s="1080"/>
      <c r="E437" s="1080"/>
      <c r="F437" s="1080"/>
      <c r="G437" s="1080"/>
      <c r="H437" s="1080"/>
      <c r="I437" s="1080"/>
      <c r="J437" s="1080"/>
      <c r="K437" s="1080"/>
      <c r="L437" s="1080"/>
      <c r="M437" s="1080"/>
      <c r="N437" s="1080"/>
      <c r="O437" s="1080"/>
      <c r="P437" s="1080"/>
      <c r="Q437" s="1080"/>
      <c r="R437" s="1080"/>
    </row>
    <row r="438" spans="3:18" s="73" customFormat="1" hidden="1">
      <c r="C438" s="1080"/>
      <c r="D438" s="1080"/>
      <c r="E438" s="1080"/>
      <c r="F438" s="1080"/>
      <c r="G438" s="1080"/>
      <c r="H438" s="1080"/>
      <c r="I438" s="1080"/>
      <c r="J438" s="1080"/>
      <c r="K438" s="1080"/>
      <c r="L438" s="1080"/>
      <c r="M438" s="1080"/>
      <c r="N438" s="1080"/>
      <c r="O438" s="1080"/>
      <c r="P438" s="1080"/>
      <c r="Q438" s="1080"/>
      <c r="R438" s="1080"/>
    </row>
    <row r="439" spans="3:18" s="73" customFormat="1" hidden="1">
      <c r="C439" s="1080"/>
      <c r="D439" s="1080"/>
      <c r="E439" s="1080"/>
      <c r="F439" s="1080"/>
      <c r="G439" s="1080"/>
      <c r="H439" s="1080"/>
      <c r="I439" s="1080"/>
      <c r="J439" s="1080"/>
      <c r="K439" s="1080"/>
      <c r="L439" s="1080"/>
      <c r="M439" s="1080"/>
      <c r="N439" s="1080"/>
      <c r="O439" s="1080"/>
      <c r="P439" s="1080"/>
      <c r="Q439" s="1080"/>
      <c r="R439" s="1080"/>
    </row>
    <row r="440" spans="3:18" s="73" customFormat="1" hidden="1">
      <c r="C440" s="1080"/>
      <c r="D440" s="1080"/>
      <c r="E440" s="1080"/>
      <c r="F440" s="1080"/>
      <c r="G440" s="1080"/>
      <c r="H440" s="1080"/>
      <c r="I440" s="1080"/>
      <c r="J440" s="1080"/>
      <c r="K440" s="1080"/>
      <c r="L440" s="1080"/>
      <c r="M440" s="1080"/>
      <c r="N440" s="1080"/>
      <c r="O440" s="1080"/>
      <c r="P440" s="1080"/>
      <c r="Q440" s="1080"/>
      <c r="R440" s="1080"/>
    </row>
    <row r="441" spans="3:18" s="73" customFormat="1" hidden="1">
      <c r="C441" s="1080"/>
      <c r="D441" s="1080"/>
      <c r="E441" s="1080"/>
      <c r="F441" s="1080"/>
      <c r="G441" s="1080"/>
      <c r="H441" s="1080"/>
      <c r="I441" s="1080"/>
      <c r="J441" s="1080"/>
      <c r="K441" s="1080"/>
      <c r="L441" s="1080"/>
      <c r="M441" s="1080"/>
      <c r="N441" s="1080"/>
      <c r="O441" s="1080"/>
      <c r="P441" s="1080"/>
      <c r="Q441" s="1080"/>
      <c r="R441" s="1080"/>
    </row>
    <row r="442" spans="3:18" s="73" customFormat="1" hidden="1">
      <c r="C442" s="1080"/>
      <c r="D442" s="1080"/>
      <c r="E442" s="1080"/>
      <c r="F442" s="1080"/>
      <c r="G442" s="1080"/>
      <c r="H442" s="1080"/>
      <c r="I442" s="1080"/>
      <c r="J442" s="1080"/>
      <c r="K442" s="1080"/>
      <c r="L442" s="1080"/>
      <c r="M442" s="1080"/>
      <c r="N442" s="1080"/>
      <c r="O442" s="1080"/>
      <c r="P442" s="1080"/>
      <c r="Q442" s="1080"/>
      <c r="R442" s="1080"/>
    </row>
    <row r="443" spans="3:18" s="73" customFormat="1" hidden="1">
      <c r="C443" s="1080"/>
      <c r="D443" s="1080"/>
      <c r="E443" s="1080"/>
      <c r="F443" s="1080"/>
      <c r="G443" s="1080"/>
      <c r="H443" s="1080"/>
      <c r="I443" s="1080"/>
      <c r="J443" s="1080"/>
      <c r="K443" s="1080"/>
      <c r="L443" s="1080"/>
      <c r="M443" s="1080"/>
      <c r="N443" s="1080"/>
      <c r="O443" s="1080"/>
      <c r="P443" s="1080"/>
      <c r="Q443" s="1080"/>
      <c r="R443" s="1080"/>
    </row>
    <row r="444" spans="3:18" s="73" customFormat="1" hidden="1">
      <c r="C444" s="1080"/>
      <c r="D444" s="1080"/>
      <c r="E444" s="1080"/>
      <c r="F444" s="1080"/>
      <c r="G444" s="1080"/>
      <c r="H444" s="1080"/>
      <c r="I444" s="1080"/>
      <c r="J444" s="1080"/>
      <c r="K444" s="1080"/>
      <c r="L444" s="1080"/>
      <c r="M444" s="1080"/>
      <c r="N444" s="1080"/>
      <c r="O444" s="1080"/>
      <c r="P444" s="1080"/>
      <c r="Q444" s="1080"/>
      <c r="R444" s="1080"/>
    </row>
    <row r="445" spans="3:18" s="73" customFormat="1" hidden="1">
      <c r="C445" s="1080"/>
      <c r="D445" s="1080"/>
      <c r="E445" s="1080"/>
      <c r="F445" s="1080"/>
      <c r="G445" s="1080"/>
      <c r="H445" s="1080"/>
      <c r="I445" s="1080"/>
      <c r="J445" s="1080"/>
      <c r="K445" s="1080"/>
      <c r="L445" s="1080"/>
      <c r="M445" s="1080"/>
      <c r="N445" s="1080"/>
      <c r="O445" s="1080"/>
      <c r="P445" s="1080"/>
      <c r="Q445" s="1080"/>
      <c r="R445" s="1080"/>
    </row>
    <row r="446" spans="3:18" s="73" customFormat="1" hidden="1">
      <c r="C446" s="1080"/>
      <c r="D446" s="1080"/>
      <c r="E446" s="1080"/>
      <c r="F446" s="1080"/>
      <c r="G446" s="1080"/>
      <c r="H446" s="1080"/>
      <c r="I446" s="1080"/>
      <c r="J446" s="1080"/>
      <c r="K446" s="1080"/>
      <c r="L446" s="1080"/>
      <c r="M446" s="1080"/>
      <c r="N446" s="1080"/>
      <c r="O446" s="1080"/>
      <c r="P446" s="1080"/>
      <c r="Q446" s="1080"/>
      <c r="R446" s="1080"/>
    </row>
    <row r="447" spans="3:18" s="73" customFormat="1" hidden="1">
      <c r="C447" s="1080"/>
      <c r="D447" s="1080"/>
      <c r="E447" s="1080"/>
      <c r="F447" s="1080"/>
      <c r="G447" s="1080"/>
      <c r="H447" s="1080"/>
      <c r="I447" s="1080"/>
      <c r="J447" s="1080"/>
      <c r="K447" s="1080"/>
      <c r="L447" s="1080"/>
      <c r="M447" s="1080"/>
      <c r="N447" s="1080"/>
      <c r="O447" s="1080"/>
      <c r="P447" s="1080"/>
      <c r="Q447" s="1080"/>
      <c r="R447" s="1080"/>
    </row>
    <row r="448" spans="3:18" s="73" customFormat="1" hidden="1">
      <c r="C448" s="1080"/>
      <c r="D448" s="1080"/>
      <c r="E448" s="1080"/>
      <c r="F448" s="1080"/>
      <c r="G448" s="1080"/>
      <c r="H448" s="1080"/>
      <c r="I448" s="1080"/>
      <c r="J448" s="1080"/>
      <c r="K448" s="1080"/>
      <c r="L448" s="1080"/>
      <c r="M448" s="1080"/>
      <c r="N448" s="1080"/>
      <c r="O448" s="1080"/>
      <c r="P448" s="1080"/>
      <c r="Q448" s="1080"/>
      <c r="R448" s="1080"/>
    </row>
    <row r="449" spans="3:18" s="73" customFormat="1" hidden="1">
      <c r="C449" s="1080"/>
      <c r="D449" s="1080"/>
      <c r="E449" s="1080"/>
      <c r="F449" s="1080"/>
      <c r="G449" s="1080"/>
      <c r="H449" s="1080"/>
      <c r="I449" s="1080"/>
      <c r="J449" s="1080"/>
      <c r="K449" s="1080"/>
      <c r="L449" s="1080"/>
      <c r="M449" s="1080"/>
      <c r="N449" s="1080"/>
      <c r="O449" s="1080"/>
      <c r="P449" s="1080"/>
      <c r="Q449" s="1080"/>
      <c r="R449" s="1080"/>
    </row>
    <row r="450" spans="3:18" s="73" customFormat="1" hidden="1">
      <c r="C450" s="1080"/>
      <c r="D450" s="1080"/>
      <c r="E450" s="1080"/>
      <c r="F450" s="1080"/>
      <c r="G450" s="1080"/>
      <c r="H450" s="1080"/>
      <c r="I450" s="1080"/>
      <c r="J450" s="1080"/>
      <c r="K450" s="1080"/>
      <c r="L450" s="1080"/>
      <c r="M450" s="1080"/>
      <c r="N450" s="1080"/>
      <c r="O450" s="1080"/>
      <c r="P450" s="1080"/>
      <c r="Q450" s="1080"/>
      <c r="R450" s="1080"/>
    </row>
    <row r="451" spans="3:18" s="73" customFormat="1" hidden="1">
      <c r="C451" s="1080"/>
      <c r="D451" s="1080"/>
      <c r="E451" s="1080"/>
      <c r="F451" s="1080"/>
      <c r="G451" s="1080"/>
      <c r="H451" s="1080"/>
      <c r="I451" s="1080"/>
      <c r="J451" s="1080"/>
      <c r="K451" s="1080"/>
      <c r="L451" s="1080"/>
      <c r="M451" s="1080"/>
      <c r="N451" s="1080"/>
      <c r="O451" s="1080"/>
      <c r="P451" s="1080"/>
      <c r="Q451" s="1080"/>
      <c r="R451" s="1080"/>
    </row>
    <row r="452" spans="3:18" s="73" customFormat="1" hidden="1">
      <c r="C452" s="1080"/>
      <c r="D452" s="1080"/>
      <c r="E452" s="1080"/>
      <c r="F452" s="1080"/>
      <c r="G452" s="1080"/>
      <c r="H452" s="1080"/>
      <c r="I452" s="1080"/>
      <c r="J452" s="1080"/>
      <c r="K452" s="1080"/>
      <c r="L452" s="1080"/>
      <c r="M452" s="1080"/>
      <c r="N452" s="1080"/>
      <c r="O452" s="1080"/>
      <c r="P452" s="1080"/>
      <c r="Q452" s="1080"/>
      <c r="R452" s="1080"/>
    </row>
    <row r="453" spans="3:18" s="73" customFormat="1" hidden="1">
      <c r="C453" s="1080"/>
      <c r="D453" s="1080"/>
      <c r="E453" s="1080"/>
      <c r="F453" s="1080"/>
      <c r="G453" s="1080"/>
      <c r="H453" s="1080"/>
      <c r="I453" s="1080"/>
      <c r="J453" s="1080"/>
      <c r="K453" s="1080"/>
      <c r="L453" s="1080"/>
      <c r="M453" s="1080"/>
      <c r="N453" s="1080"/>
      <c r="O453" s="1080"/>
      <c r="P453" s="1080"/>
      <c r="Q453" s="1080"/>
      <c r="R453" s="1080"/>
    </row>
    <row r="454" spans="3:18" s="73" customFormat="1" hidden="1">
      <c r="C454" s="1080"/>
      <c r="D454" s="1080"/>
      <c r="E454" s="1080"/>
      <c r="F454" s="1080"/>
      <c r="G454" s="1080"/>
      <c r="H454" s="1080"/>
      <c r="I454" s="1080"/>
      <c r="J454" s="1080"/>
      <c r="K454" s="1080"/>
      <c r="L454" s="1080"/>
      <c r="M454" s="1080"/>
      <c r="N454" s="1080"/>
      <c r="O454" s="1080"/>
      <c r="P454" s="1080"/>
      <c r="Q454" s="1080"/>
      <c r="R454" s="1080"/>
    </row>
    <row r="455" spans="3:18" s="73" customFormat="1" hidden="1">
      <c r="C455" s="1080"/>
      <c r="D455" s="1080"/>
      <c r="E455" s="1080"/>
      <c r="F455" s="1080"/>
      <c r="G455" s="1080"/>
      <c r="H455" s="1080"/>
      <c r="I455" s="1080"/>
      <c r="J455" s="1080"/>
      <c r="K455" s="1080"/>
      <c r="L455" s="1080"/>
      <c r="M455" s="1080"/>
      <c r="N455" s="1080"/>
      <c r="O455" s="1080"/>
      <c r="P455" s="1080"/>
      <c r="Q455" s="1080"/>
      <c r="R455" s="1080"/>
    </row>
    <row r="456" spans="3:18" s="73" customFormat="1" hidden="1">
      <c r="C456" s="1080"/>
      <c r="D456" s="1080"/>
      <c r="E456" s="1080"/>
      <c r="F456" s="1080"/>
      <c r="G456" s="1080"/>
      <c r="H456" s="1080"/>
      <c r="I456" s="1080"/>
      <c r="J456" s="1080"/>
      <c r="K456" s="1080"/>
      <c r="L456" s="1080"/>
      <c r="M456" s="1080"/>
      <c r="N456" s="1080"/>
      <c r="O456" s="1080"/>
      <c r="P456" s="1080"/>
      <c r="Q456" s="1080"/>
      <c r="R456" s="1080"/>
    </row>
    <row r="457" spans="3:18" s="73" customFormat="1" hidden="1">
      <c r="C457" s="1080"/>
      <c r="D457" s="1080"/>
      <c r="E457" s="1080"/>
      <c r="F457" s="1080"/>
      <c r="G457" s="1080"/>
      <c r="H457" s="1080"/>
      <c r="I457" s="1080"/>
      <c r="J457" s="1080"/>
      <c r="K457" s="1080"/>
      <c r="L457" s="1080"/>
      <c r="M457" s="1080"/>
      <c r="N457" s="1080"/>
      <c r="O457" s="1080"/>
      <c r="P457" s="1080"/>
      <c r="Q457" s="1080"/>
      <c r="R457" s="1080"/>
    </row>
    <row r="458" spans="3:18" s="73" customFormat="1" hidden="1">
      <c r="C458" s="1080"/>
      <c r="D458" s="1080"/>
      <c r="E458" s="1080"/>
      <c r="F458" s="1080"/>
      <c r="G458" s="1080"/>
      <c r="H458" s="1080"/>
      <c r="I458" s="1080"/>
      <c r="J458" s="1080"/>
      <c r="K458" s="1080"/>
      <c r="L458" s="1080"/>
      <c r="M458" s="1080"/>
      <c r="N458" s="1080"/>
      <c r="O458" s="1080"/>
      <c r="P458" s="1080"/>
      <c r="Q458" s="1080"/>
      <c r="R458" s="1080"/>
    </row>
    <row r="459" spans="3:18" s="73" customFormat="1" hidden="1">
      <c r="C459" s="1080"/>
      <c r="D459" s="1080"/>
      <c r="E459" s="1080"/>
      <c r="F459" s="1080"/>
      <c r="G459" s="1080"/>
      <c r="H459" s="1080"/>
      <c r="I459" s="1080"/>
      <c r="J459" s="1080"/>
      <c r="K459" s="1080"/>
      <c r="L459" s="1080"/>
      <c r="M459" s="1080"/>
      <c r="N459" s="1080"/>
      <c r="O459" s="1080"/>
      <c r="P459" s="1080"/>
      <c r="Q459" s="1080"/>
      <c r="R459" s="1080"/>
    </row>
    <row r="460" spans="3:18" s="73" customFormat="1" hidden="1">
      <c r="C460" s="1080"/>
      <c r="D460" s="1080"/>
      <c r="E460" s="1080"/>
      <c r="F460" s="1080"/>
      <c r="G460" s="1080"/>
      <c r="H460" s="1080"/>
      <c r="I460" s="1080"/>
      <c r="J460" s="1080"/>
      <c r="K460" s="1080"/>
      <c r="L460" s="1080"/>
      <c r="M460" s="1080"/>
      <c r="N460" s="1080"/>
      <c r="O460" s="1080"/>
      <c r="P460" s="1080"/>
      <c r="Q460" s="1080"/>
      <c r="R460" s="1080"/>
    </row>
    <row r="461" spans="3:18" s="73" customFormat="1" hidden="1">
      <c r="C461" s="1080"/>
      <c r="D461" s="1080"/>
      <c r="E461" s="1080"/>
      <c r="F461" s="1080"/>
      <c r="G461" s="1080"/>
      <c r="H461" s="1080"/>
      <c r="I461" s="1080"/>
      <c r="J461" s="1080"/>
      <c r="K461" s="1080"/>
      <c r="L461" s="1080"/>
      <c r="M461" s="1080"/>
      <c r="N461" s="1080"/>
      <c r="O461" s="1080"/>
      <c r="P461" s="1080"/>
      <c r="Q461" s="1080"/>
      <c r="R461" s="1080"/>
    </row>
    <row r="462" spans="3:18" s="73" customFormat="1" hidden="1">
      <c r="C462" s="1080"/>
      <c r="D462" s="1080"/>
      <c r="E462" s="1080"/>
      <c r="F462" s="1080"/>
      <c r="G462" s="1080"/>
      <c r="H462" s="1080"/>
      <c r="I462" s="1080"/>
      <c r="J462" s="1080"/>
      <c r="K462" s="1080"/>
      <c r="L462" s="1080"/>
      <c r="M462" s="1080"/>
      <c r="N462" s="1080"/>
      <c r="O462" s="1080"/>
      <c r="P462" s="1080"/>
      <c r="Q462" s="1080"/>
      <c r="R462" s="1080"/>
    </row>
    <row r="463" spans="3:18" s="73" customFormat="1" hidden="1">
      <c r="C463" s="1080"/>
      <c r="D463" s="1080"/>
      <c r="E463" s="1080"/>
      <c r="F463" s="1080"/>
      <c r="G463" s="1080"/>
      <c r="H463" s="1080"/>
      <c r="I463" s="1080"/>
      <c r="J463" s="1080"/>
      <c r="K463" s="1080"/>
      <c r="L463" s="1080"/>
      <c r="M463" s="1080"/>
      <c r="N463" s="1080"/>
      <c r="O463" s="1080"/>
      <c r="P463" s="1080"/>
      <c r="Q463" s="1080"/>
      <c r="R463" s="1080"/>
    </row>
    <row r="464" spans="3:18" s="73" customFormat="1" hidden="1">
      <c r="C464" s="1080"/>
      <c r="D464" s="1080"/>
      <c r="E464" s="1080"/>
      <c r="F464" s="1080"/>
      <c r="G464" s="1080"/>
      <c r="H464" s="1080"/>
      <c r="I464" s="1080"/>
      <c r="J464" s="1080"/>
      <c r="K464" s="1080"/>
      <c r="L464" s="1080"/>
      <c r="M464" s="1080"/>
      <c r="N464" s="1080"/>
      <c r="O464" s="1080"/>
      <c r="P464" s="1080"/>
      <c r="Q464" s="1080"/>
      <c r="R464" s="1080"/>
    </row>
    <row r="465" spans="3:18" s="73" customFormat="1" hidden="1">
      <c r="C465" s="1080"/>
      <c r="D465" s="1080"/>
      <c r="E465" s="1080"/>
      <c r="F465" s="1080"/>
      <c r="G465" s="1080"/>
      <c r="H465" s="1080"/>
      <c r="I465" s="1080"/>
      <c r="J465" s="1080"/>
      <c r="K465" s="1080"/>
      <c r="L465" s="1080"/>
      <c r="M465" s="1080"/>
      <c r="N465" s="1080"/>
      <c r="O465" s="1080"/>
      <c r="P465" s="1080"/>
      <c r="Q465" s="1080"/>
      <c r="R465" s="1080"/>
    </row>
    <row r="466" spans="3:18" s="73" customFormat="1" hidden="1">
      <c r="C466" s="1080"/>
      <c r="D466" s="1080"/>
      <c r="E466" s="1080"/>
      <c r="F466" s="1080"/>
      <c r="G466" s="1080"/>
      <c r="H466" s="1080"/>
      <c r="I466" s="1080"/>
      <c r="J466" s="1080"/>
      <c r="K466" s="1080"/>
      <c r="L466" s="1080"/>
      <c r="M466" s="1080"/>
      <c r="N466" s="1080"/>
      <c r="O466" s="1080"/>
      <c r="P466" s="1080"/>
      <c r="Q466" s="1080"/>
      <c r="R466" s="1080"/>
    </row>
    <row r="467" spans="3:18" s="73" customFormat="1" hidden="1">
      <c r="C467" s="1080"/>
      <c r="D467" s="1080"/>
      <c r="E467" s="1080"/>
      <c r="F467" s="1080"/>
      <c r="G467" s="1080"/>
      <c r="H467" s="1080"/>
      <c r="I467" s="1080"/>
      <c r="J467" s="1080"/>
      <c r="K467" s="1080"/>
      <c r="L467" s="1080"/>
      <c r="M467" s="1080"/>
      <c r="N467" s="1080"/>
      <c r="O467" s="1080"/>
      <c r="P467" s="1080"/>
      <c r="Q467" s="1080"/>
      <c r="R467" s="1080"/>
    </row>
    <row r="468" spans="3:18" s="73" customFormat="1" hidden="1">
      <c r="C468" s="1080"/>
      <c r="D468" s="1080"/>
      <c r="E468" s="1080"/>
      <c r="F468" s="1080"/>
      <c r="G468" s="1080"/>
      <c r="H468" s="1080"/>
      <c r="I468" s="1080"/>
      <c r="J468" s="1080"/>
      <c r="K468" s="1080"/>
      <c r="L468" s="1080"/>
      <c r="M468" s="1080"/>
      <c r="N468" s="1080"/>
      <c r="O468" s="1080"/>
      <c r="P468" s="1080"/>
      <c r="Q468" s="1080"/>
      <c r="R468" s="1080"/>
    </row>
    <row r="469" spans="3:18" s="73" customFormat="1" hidden="1">
      <c r="C469" s="1080"/>
      <c r="D469" s="1080"/>
      <c r="E469" s="1080"/>
      <c r="F469" s="1080"/>
      <c r="G469" s="1080"/>
      <c r="H469" s="1080"/>
      <c r="I469" s="1080"/>
      <c r="J469" s="1080"/>
      <c r="K469" s="1080"/>
      <c r="L469" s="1080"/>
      <c r="M469" s="1080"/>
      <c r="N469" s="1080"/>
      <c r="O469" s="1080"/>
      <c r="P469" s="1080"/>
      <c r="Q469" s="1080"/>
      <c r="R469" s="1080"/>
    </row>
    <row r="470" spans="3:18" s="73" customFormat="1" hidden="1">
      <c r="C470" s="1080"/>
      <c r="D470" s="1080"/>
      <c r="E470" s="1080"/>
      <c r="F470" s="1080"/>
      <c r="G470" s="1080"/>
      <c r="H470" s="1080"/>
      <c r="I470" s="1080"/>
      <c r="J470" s="1080"/>
      <c r="K470" s="1080"/>
      <c r="L470" s="1080"/>
      <c r="M470" s="1080"/>
      <c r="N470" s="1080"/>
      <c r="O470" s="1080"/>
      <c r="P470" s="1080"/>
      <c r="Q470" s="1080"/>
      <c r="R470" s="1080"/>
    </row>
    <row r="471" spans="3:18" s="73" customFormat="1" hidden="1">
      <c r="C471" s="1080"/>
      <c r="D471" s="1080"/>
      <c r="E471" s="1080"/>
      <c r="F471" s="1080"/>
      <c r="G471" s="1080"/>
      <c r="H471" s="1080"/>
      <c r="I471" s="1080"/>
      <c r="J471" s="1080"/>
      <c r="K471" s="1080"/>
      <c r="L471" s="1080"/>
      <c r="M471" s="1080"/>
      <c r="N471" s="1080"/>
      <c r="O471" s="1080"/>
      <c r="P471" s="1080"/>
      <c r="Q471" s="1080"/>
      <c r="R471" s="1080"/>
    </row>
    <row r="472" spans="3:18" s="73" customFormat="1" hidden="1">
      <c r="C472" s="1080"/>
      <c r="D472" s="1080"/>
      <c r="E472" s="1080"/>
      <c r="F472" s="1080"/>
      <c r="G472" s="1080"/>
      <c r="H472" s="1080"/>
      <c r="I472" s="1080"/>
      <c r="J472" s="1080"/>
      <c r="K472" s="1080"/>
      <c r="L472" s="1080"/>
      <c r="M472" s="1080"/>
      <c r="N472" s="1080"/>
      <c r="O472" s="1080"/>
      <c r="P472" s="1080"/>
      <c r="Q472" s="1080"/>
      <c r="R472" s="1080"/>
    </row>
    <row r="473" spans="3:18" s="73" customFormat="1" hidden="1">
      <c r="C473" s="1080"/>
      <c r="D473" s="1080"/>
      <c r="E473" s="1080"/>
      <c r="F473" s="1080"/>
      <c r="G473" s="1080"/>
      <c r="H473" s="1080"/>
      <c r="I473" s="1080"/>
      <c r="J473" s="1080"/>
      <c r="K473" s="1080"/>
      <c r="L473" s="1080"/>
      <c r="M473" s="1080"/>
      <c r="N473" s="1080"/>
      <c r="O473" s="1080"/>
      <c r="P473" s="1080"/>
      <c r="Q473" s="1080"/>
      <c r="R473" s="1080"/>
    </row>
    <row r="474" spans="3:18" s="73" customFormat="1" hidden="1">
      <c r="C474" s="1080"/>
      <c r="D474" s="1080"/>
      <c r="E474" s="1080"/>
      <c r="F474" s="1080"/>
      <c r="G474" s="1080"/>
      <c r="H474" s="1080"/>
      <c r="I474" s="1080"/>
      <c r="J474" s="1080"/>
      <c r="K474" s="1080"/>
      <c r="L474" s="1080"/>
      <c r="M474" s="1080"/>
      <c r="N474" s="1080"/>
      <c r="O474" s="1080"/>
      <c r="P474" s="1080"/>
      <c r="Q474" s="1080"/>
      <c r="R474" s="1080"/>
    </row>
    <row r="475" spans="3:18" s="73" customFormat="1" hidden="1">
      <c r="C475" s="1080"/>
      <c r="D475" s="1080"/>
      <c r="E475" s="1080"/>
      <c r="F475" s="1080"/>
      <c r="G475" s="1080"/>
      <c r="H475" s="1080"/>
      <c r="I475" s="1080"/>
      <c r="J475" s="1080"/>
      <c r="K475" s="1080"/>
      <c r="L475" s="1080"/>
      <c r="M475" s="1080"/>
      <c r="N475" s="1080"/>
      <c r="O475" s="1080"/>
      <c r="P475" s="1080"/>
      <c r="Q475" s="1080"/>
      <c r="R475" s="1080"/>
    </row>
    <row r="476" spans="3:18" s="73" customFormat="1" hidden="1">
      <c r="C476" s="1080"/>
      <c r="D476" s="1080"/>
      <c r="E476" s="1080"/>
      <c r="F476" s="1080"/>
      <c r="G476" s="1080"/>
      <c r="H476" s="1080"/>
      <c r="I476" s="1080"/>
      <c r="J476" s="1080"/>
      <c r="K476" s="1080"/>
      <c r="L476" s="1080"/>
      <c r="M476" s="1080"/>
      <c r="N476" s="1080"/>
      <c r="O476" s="1080"/>
      <c r="P476" s="1080"/>
      <c r="Q476" s="1080"/>
      <c r="R476" s="1080"/>
    </row>
    <row r="477" spans="3:18" s="73" customFormat="1" hidden="1">
      <c r="C477" s="1080"/>
      <c r="D477" s="1080"/>
      <c r="E477" s="1080"/>
      <c r="F477" s="1080"/>
      <c r="G477" s="1080"/>
      <c r="H477" s="1080"/>
      <c r="I477" s="1080"/>
      <c r="J477" s="1080"/>
      <c r="K477" s="1080"/>
      <c r="L477" s="1080"/>
      <c r="M477" s="1080"/>
      <c r="N477" s="1080"/>
      <c r="O477" s="1080"/>
      <c r="P477" s="1080"/>
      <c r="Q477" s="1080"/>
      <c r="R477" s="1080"/>
    </row>
    <row r="478" spans="3:18" s="73" customFormat="1" hidden="1">
      <c r="C478" s="1080"/>
      <c r="D478" s="1080"/>
      <c r="E478" s="1080"/>
      <c r="F478" s="1080"/>
      <c r="G478" s="1080"/>
      <c r="H478" s="1080"/>
      <c r="I478" s="1080"/>
      <c r="J478" s="1080"/>
      <c r="K478" s="1080"/>
      <c r="L478" s="1080"/>
      <c r="M478" s="1080"/>
      <c r="N478" s="1080"/>
      <c r="O478" s="1080"/>
      <c r="P478" s="1080"/>
      <c r="Q478" s="1080"/>
      <c r="R478" s="1080"/>
    </row>
    <row r="479" spans="3:18" s="73" customFormat="1" hidden="1">
      <c r="C479" s="1080"/>
      <c r="D479" s="1080"/>
      <c r="E479" s="1080"/>
      <c r="F479" s="1080"/>
      <c r="G479" s="1080"/>
      <c r="H479" s="1080"/>
      <c r="I479" s="1080"/>
      <c r="J479" s="1080"/>
      <c r="K479" s="1080"/>
      <c r="L479" s="1080"/>
      <c r="M479" s="1080"/>
      <c r="N479" s="1080"/>
      <c r="O479" s="1080"/>
      <c r="P479" s="1080"/>
      <c r="Q479" s="1080"/>
      <c r="R479" s="1080"/>
    </row>
    <row r="480" spans="3:18" s="73" customFormat="1" hidden="1">
      <c r="C480" s="1080"/>
      <c r="D480" s="1080"/>
      <c r="E480" s="1080"/>
      <c r="F480" s="1080"/>
      <c r="G480" s="1080"/>
      <c r="H480" s="1080"/>
      <c r="I480" s="1080"/>
      <c r="J480" s="1080"/>
      <c r="K480" s="1080"/>
      <c r="L480" s="1080"/>
      <c r="M480" s="1080"/>
      <c r="N480" s="1080"/>
      <c r="O480" s="1080"/>
      <c r="P480" s="1080"/>
      <c r="Q480" s="1080"/>
      <c r="R480" s="1080"/>
    </row>
    <row r="481" spans="3:18" s="73" customFormat="1" hidden="1">
      <c r="C481" s="1080"/>
      <c r="D481" s="1080"/>
      <c r="E481" s="1080"/>
      <c r="F481" s="1080"/>
      <c r="G481" s="1080"/>
      <c r="H481" s="1080"/>
      <c r="I481" s="1080"/>
      <c r="J481" s="1080"/>
      <c r="K481" s="1080"/>
      <c r="L481" s="1080"/>
      <c r="M481" s="1080"/>
      <c r="N481" s="1080"/>
      <c r="O481" s="1080"/>
      <c r="P481" s="1080"/>
      <c r="Q481" s="1080"/>
      <c r="R481" s="1080"/>
    </row>
    <row r="482" spans="3:18" s="73" customFormat="1" hidden="1">
      <c r="C482" s="1080"/>
      <c r="D482" s="1080"/>
      <c r="E482" s="1080"/>
      <c r="F482" s="1080"/>
      <c r="G482" s="1080"/>
      <c r="H482" s="1080"/>
      <c r="I482" s="1080"/>
      <c r="J482" s="1080"/>
      <c r="K482" s="1080"/>
      <c r="L482" s="1080"/>
      <c r="M482" s="1080"/>
      <c r="N482" s="1080"/>
      <c r="O482" s="1080"/>
      <c r="P482" s="1080"/>
      <c r="Q482" s="1080"/>
      <c r="R482" s="1080"/>
    </row>
    <row r="483" spans="3:18" s="73" customFormat="1" hidden="1">
      <c r="C483" s="1080"/>
      <c r="D483" s="1080"/>
      <c r="E483" s="1080"/>
      <c r="F483" s="1080"/>
      <c r="G483" s="1080"/>
      <c r="H483" s="1080"/>
      <c r="I483" s="1080"/>
      <c r="J483" s="1080"/>
      <c r="K483" s="1080"/>
      <c r="L483" s="1080"/>
      <c r="M483" s="1080"/>
      <c r="N483" s="1080"/>
      <c r="O483" s="1080"/>
      <c r="P483" s="1080"/>
      <c r="Q483" s="1080"/>
      <c r="R483" s="1080"/>
    </row>
    <row r="484" spans="3:18" s="73" customFormat="1" hidden="1">
      <c r="C484" s="1080"/>
      <c r="D484" s="1080"/>
      <c r="E484" s="1080"/>
      <c r="F484" s="1080"/>
      <c r="G484" s="1080"/>
      <c r="H484" s="1080"/>
      <c r="I484" s="1080"/>
      <c r="J484" s="1080"/>
      <c r="K484" s="1080"/>
      <c r="L484" s="1080"/>
      <c r="M484" s="1080"/>
      <c r="N484" s="1080"/>
      <c r="O484" s="1080"/>
      <c r="P484" s="1080"/>
      <c r="Q484" s="1080"/>
      <c r="R484" s="1080"/>
    </row>
    <row r="485" spans="3:18" s="73" customFormat="1" hidden="1">
      <c r="C485" s="1080"/>
      <c r="D485" s="1080"/>
      <c r="E485" s="1080"/>
      <c r="F485" s="1080"/>
      <c r="G485" s="1080"/>
      <c r="H485" s="1080"/>
      <c r="I485" s="1080"/>
      <c r="J485" s="1080"/>
      <c r="K485" s="1080"/>
      <c r="L485" s="1080"/>
      <c r="M485" s="1080"/>
      <c r="N485" s="1080"/>
      <c r="O485" s="1080"/>
      <c r="P485" s="1080"/>
      <c r="Q485" s="1080"/>
      <c r="R485" s="1080"/>
    </row>
    <row r="486" spans="3:18" s="73" customFormat="1" hidden="1">
      <c r="C486" s="1080"/>
      <c r="D486" s="1080"/>
      <c r="E486" s="1080"/>
      <c r="F486" s="1080"/>
      <c r="G486" s="1080"/>
      <c r="H486" s="1080"/>
      <c r="I486" s="1080"/>
      <c r="J486" s="1080"/>
      <c r="K486" s="1080"/>
      <c r="L486" s="1080"/>
      <c r="M486" s="1080"/>
      <c r="N486" s="1080"/>
      <c r="O486" s="1080"/>
      <c r="P486" s="1080"/>
      <c r="Q486" s="1080"/>
      <c r="R486" s="1080"/>
    </row>
    <row r="487" spans="3:18" s="73" customFormat="1" hidden="1">
      <c r="C487" s="1080"/>
      <c r="D487" s="1080"/>
      <c r="E487" s="1080"/>
      <c r="F487" s="1080"/>
      <c r="G487" s="1080"/>
      <c r="H487" s="1080"/>
      <c r="I487" s="1080"/>
      <c r="J487" s="1080"/>
      <c r="K487" s="1080"/>
      <c r="L487" s="1080"/>
      <c r="M487" s="1080"/>
      <c r="N487" s="1080"/>
      <c r="O487" s="1080"/>
      <c r="P487" s="1080"/>
      <c r="Q487" s="1080"/>
      <c r="R487" s="1080"/>
    </row>
    <row r="488" spans="3:18" s="73" customFormat="1" hidden="1">
      <c r="C488" s="1080"/>
      <c r="D488" s="1080"/>
      <c r="E488" s="1080"/>
      <c r="F488" s="1080"/>
      <c r="G488" s="1080"/>
      <c r="H488" s="1080"/>
      <c r="I488" s="1080"/>
      <c r="J488" s="1080"/>
      <c r="K488" s="1080"/>
      <c r="L488" s="1080"/>
      <c r="M488" s="1080"/>
      <c r="N488" s="1080"/>
      <c r="O488" s="1080"/>
      <c r="P488" s="1080"/>
      <c r="Q488" s="1080"/>
      <c r="R488" s="1080"/>
    </row>
    <row r="489" spans="3:18" s="73" customFormat="1" hidden="1">
      <c r="C489" s="1080"/>
      <c r="D489" s="1080"/>
      <c r="E489" s="1080"/>
      <c r="F489" s="1080"/>
      <c r="G489" s="1080"/>
      <c r="H489" s="1080"/>
      <c r="I489" s="1080"/>
      <c r="J489" s="1080"/>
      <c r="K489" s="1080"/>
      <c r="L489" s="1080"/>
      <c r="M489" s="1080"/>
      <c r="N489" s="1080"/>
      <c r="O489" s="1080"/>
      <c r="P489" s="1080"/>
      <c r="Q489" s="1080"/>
      <c r="R489" s="1080"/>
    </row>
    <row r="490" spans="3:18" s="73" customFormat="1" hidden="1">
      <c r="C490" s="1080"/>
      <c r="D490" s="1080"/>
      <c r="E490" s="1080"/>
      <c r="F490" s="1080"/>
      <c r="G490" s="1080"/>
      <c r="H490" s="1080"/>
      <c r="I490" s="1080"/>
      <c r="J490" s="1080"/>
      <c r="K490" s="1080"/>
      <c r="L490" s="1080"/>
      <c r="M490" s="1080"/>
      <c r="N490" s="1080"/>
      <c r="O490" s="1080"/>
      <c r="P490" s="1080"/>
      <c r="Q490" s="1080"/>
      <c r="R490" s="1080"/>
    </row>
    <row r="491" spans="3:18" s="73" customFormat="1" hidden="1">
      <c r="C491" s="1080"/>
      <c r="D491" s="1080"/>
      <c r="E491" s="1080"/>
      <c r="F491" s="1080"/>
      <c r="G491" s="1080"/>
      <c r="H491" s="1080"/>
      <c r="I491" s="1080"/>
      <c r="J491" s="1080"/>
      <c r="K491" s="1080"/>
      <c r="L491" s="1080"/>
      <c r="M491" s="1080"/>
      <c r="N491" s="1080"/>
      <c r="O491" s="1080"/>
      <c r="P491" s="1080"/>
      <c r="Q491" s="1080"/>
      <c r="R491" s="1080"/>
    </row>
    <row r="492" spans="3:18" s="73" customFormat="1" hidden="1">
      <c r="C492" s="1080"/>
      <c r="D492" s="1080"/>
      <c r="E492" s="1080"/>
      <c r="F492" s="1080"/>
      <c r="G492" s="1080"/>
      <c r="H492" s="1080"/>
      <c r="I492" s="1080"/>
      <c r="J492" s="1080"/>
      <c r="K492" s="1080"/>
      <c r="L492" s="1080"/>
      <c r="M492" s="1080"/>
      <c r="N492" s="1080"/>
      <c r="O492" s="1080"/>
      <c r="P492" s="1080"/>
      <c r="Q492" s="1080"/>
      <c r="R492" s="1080"/>
    </row>
    <row r="493" spans="3:18" s="73" customFormat="1" hidden="1">
      <c r="C493" s="1080"/>
      <c r="D493" s="1080"/>
      <c r="E493" s="1080"/>
      <c r="F493" s="1080"/>
      <c r="G493" s="1080"/>
      <c r="H493" s="1080"/>
      <c r="I493" s="1080"/>
      <c r="J493" s="1080"/>
      <c r="K493" s="1080"/>
      <c r="L493" s="1080"/>
      <c r="M493" s="1080"/>
      <c r="N493" s="1080"/>
      <c r="O493" s="1080"/>
      <c r="P493" s="1080"/>
      <c r="Q493" s="1080"/>
      <c r="R493" s="1080"/>
    </row>
    <row r="494" spans="3:18" s="73" customFormat="1" hidden="1">
      <c r="C494" s="1080"/>
      <c r="D494" s="1080"/>
      <c r="E494" s="1080"/>
      <c r="F494" s="1080"/>
      <c r="G494" s="1080"/>
      <c r="H494" s="1080"/>
      <c r="I494" s="1080"/>
      <c r="J494" s="1080"/>
      <c r="K494" s="1080"/>
      <c r="L494" s="1080"/>
      <c r="M494" s="1080"/>
      <c r="N494" s="1080"/>
      <c r="O494" s="1080"/>
      <c r="P494" s="1080"/>
      <c r="Q494" s="1080"/>
      <c r="R494" s="1080"/>
    </row>
    <row r="495" spans="3:18" s="73" customFormat="1" hidden="1">
      <c r="C495" s="1080"/>
      <c r="D495" s="1080"/>
      <c r="E495" s="1080"/>
      <c r="F495" s="1080"/>
      <c r="G495" s="1080"/>
      <c r="H495" s="1080"/>
      <c r="I495" s="1080"/>
      <c r="J495" s="1080"/>
      <c r="K495" s="1080"/>
      <c r="L495" s="1080"/>
      <c r="M495" s="1080"/>
      <c r="N495" s="1080"/>
      <c r="O495" s="1080"/>
      <c r="P495" s="1080"/>
      <c r="Q495" s="1080"/>
      <c r="R495" s="1080"/>
    </row>
    <row r="496" spans="3:18" s="73" customFormat="1" hidden="1">
      <c r="C496" s="1080"/>
      <c r="D496" s="1080"/>
      <c r="E496" s="1080"/>
      <c r="F496" s="1080"/>
      <c r="G496" s="1080"/>
      <c r="H496" s="1080"/>
      <c r="I496" s="1080"/>
      <c r="J496" s="1080"/>
      <c r="K496" s="1080"/>
      <c r="L496" s="1080"/>
      <c r="M496" s="1080"/>
      <c r="N496" s="1080"/>
      <c r="O496" s="1080"/>
      <c r="P496" s="1080"/>
      <c r="Q496" s="1080"/>
      <c r="R496" s="1080"/>
    </row>
    <row r="497" spans="3:18" s="73" customFormat="1" hidden="1">
      <c r="C497" s="1080"/>
      <c r="D497" s="1080"/>
      <c r="E497" s="1080"/>
      <c r="F497" s="1080"/>
      <c r="G497" s="1080"/>
      <c r="H497" s="1080"/>
      <c r="I497" s="1080"/>
      <c r="J497" s="1080"/>
      <c r="K497" s="1080"/>
      <c r="L497" s="1080"/>
      <c r="M497" s="1080"/>
      <c r="N497" s="1080"/>
      <c r="O497" s="1080"/>
      <c r="P497" s="1080"/>
      <c r="Q497" s="1080"/>
      <c r="R497" s="1080"/>
    </row>
    <row r="498" spans="3:18" s="73" customFormat="1" hidden="1">
      <c r="C498" s="1080"/>
      <c r="D498" s="1080"/>
      <c r="E498" s="1080"/>
      <c r="F498" s="1080"/>
      <c r="G498" s="1080"/>
      <c r="H498" s="1080"/>
      <c r="I498" s="1080"/>
      <c r="J498" s="1080"/>
      <c r="K498" s="1080"/>
      <c r="L498" s="1080"/>
      <c r="M498" s="1080"/>
      <c r="N498" s="1080"/>
      <c r="O498" s="1080"/>
      <c r="P498" s="1080"/>
      <c r="Q498" s="1080"/>
      <c r="R498" s="1080"/>
    </row>
    <row r="499" spans="3:18" s="73" customFormat="1" hidden="1">
      <c r="C499" s="1080"/>
      <c r="D499" s="1080"/>
      <c r="E499" s="1080"/>
      <c r="F499" s="1080"/>
      <c r="G499" s="1080"/>
      <c r="H499" s="1080"/>
      <c r="I499" s="1080"/>
      <c r="J499" s="1080"/>
      <c r="K499" s="1080"/>
      <c r="L499" s="1080"/>
      <c r="M499" s="1080"/>
      <c r="N499" s="1080"/>
      <c r="O499" s="1080"/>
      <c r="P499" s="1080"/>
      <c r="Q499" s="1080"/>
      <c r="R499" s="1080"/>
    </row>
    <row r="500" spans="3:18" s="73" customFormat="1" hidden="1">
      <c r="C500" s="1080"/>
      <c r="D500" s="1080"/>
      <c r="E500" s="1080"/>
      <c r="F500" s="1080"/>
      <c r="G500" s="1080"/>
      <c r="H500" s="1080"/>
      <c r="I500" s="1080"/>
      <c r="J500" s="1080"/>
      <c r="K500" s="1080"/>
      <c r="L500" s="1080"/>
      <c r="M500" s="1080"/>
      <c r="N500" s="1080"/>
      <c r="O500" s="1080"/>
      <c r="P500" s="1080"/>
      <c r="Q500" s="1080"/>
      <c r="R500" s="1080"/>
    </row>
    <row r="501" spans="3:18" s="73" customFormat="1" hidden="1">
      <c r="C501" s="1080"/>
      <c r="D501" s="1080"/>
      <c r="E501" s="1080"/>
      <c r="F501" s="1080"/>
      <c r="G501" s="1080"/>
      <c r="H501" s="1080"/>
      <c r="I501" s="1080"/>
      <c r="J501" s="1080"/>
      <c r="K501" s="1080"/>
      <c r="L501" s="1080"/>
      <c r="M501" s="1080"/>
      <c r="N501" s="1080"/>
      <c r="O501" s="1080"/>
      <c r="P501" s="1080"/>
      <c r="Q501" s="1080"/>
      <c r="R501" s="1080"/>
    </row>
    <row r="502" spans="3:18" s="73" customFormat="1" hidden="1">
      <c r="C502" s="1080"/>
      <c r="D502" s="1080"/>
      <c r="E502" s="1080"/>
      <c r="F502" s="1080"/>
      <c r="G502" s="1080"/>
      <c r="H502" s="1080"/>
      <c r="I502" s="1080"/>
      <c r="J502" s="1080"/>
      <c r="K502" s="1080"/>
      <c r="L502" s="1080"/>
      <c r="M502" s="1080"/>
      <c r="N502" s="1080"/>
      <c r="O502" s="1080"/>
      <c r="P502" s="1080"/>
      <c r="Q502" s="1080"/>
      <c r="R502" s="1080"/>
    </row>
    <row r="503" spans="3:18" s="73" customFormat="1" hidden="1">
      <c r="C503" s="1080"/>
      <c r="D503" s="1080"/>
      <c r="E503" s="1080"/>
      <c r="F503" s="1080"/>
      <c r="G503" s="1080"/>
      <c r="H503" s="1080"/>
      <c r="I503" s="1080"/>
      <c r="J503" s="1080"/>
      <c r="K503" s="1080"/>
      <c r="L503" s="1080"/>
      <c r="M503" s="1080"/>
      <c r="N503" s="1080"/>
      <c r="O503" s="1080"/>
      <c r="P503" s="1080"/>
      <c r="Q503" s="1080"/>
      <c r="R503" s="1080"/>
    </row>
    <row r="504" spans="3:18" s="73" customFormat="1" hidden="1">
      <c r="C504" s="1080"/>
      <c r="D504" s="1080"/>
      <c r="E504" s="1080"/>
      <c r="F504" s="1080"/>
      <c r="G504" s="1080"/>
      <c r="H504" s="1080"/>
      <c r="I504" s="1080"/>
      <c r="J504" s="1080"/>
      <c r="K504" s="1080"/>
      <c r="L504" s="1080"/>
      <c r="M504" s="1080"/>
      <c r="N504" s="1080"/>
      <c r="O504" s="1080"/>
      <c r="P504" s="1080"/>
      <c r="Q504" s="1080"/>
      <c r="R504" s="1080"/>
    </row>
    <row r="505" spans="3:18" s="73" customFormat="1" hidden="1">
      <c r="C505" s="1080"/>
      <c r="D505" s="1080"/>
      <c r="E505" s="1080"/>
      <c r="F505" s="1080"/>
      <c r="G505" s="1080"/>
      <c r="H505" s="1080"/>
      <c r="I505" s="1080"/>
      <c r="J505" s="1080"/>
      <c r="K505" s="1080"/>
      <c r="L505" s="1080"/>
      <c r="M505" s="1080"/>
      <c r="N505" s="1080"/>
      <c r="O505" s="1080"/>
      <c r="P505" s="1080"/>
      <c r="Q505" s="1080"/>
      <c r="R505" s="1080"/>
    </row>
    <row r="506" spans="3:18" s="73" customFormat="1" hidden="1">
      <c r="C506" s="1080"/>
      <c r="D506" s="1080"/>
      <c r="E506" s="1080"/>
      <c r="F506" s="1080"/>
      <c r="G506" s="1080"/>
      <c r="H506" s="1080"/>
      <c r="I506" s="1080"/>
      <c r="J506" s="1080"/>
      <c r="K506" s="1080"/>
      <c r="L506" s="1080"/>
      <c r="M506" s="1080"/>
      <c r="N506" s="1080"/>
      <c r="O506" s="1080"/>
      <c r="P506" s="1080"/>
      <c r="Q506" s="1080"/>
      <c r="R506" s="1080"/>
    </row>
    <row r="507" spans="3:18" s="73" customFormat="1" hidden="1">
      <c r="C507" s="1080"/>
      <c r="D507" s="1080"/>
      <c r="E507" s="1080"/>
      <c r="F507" s="1080"/>
      <c r="G507" s="1080"/>
      <c r="H507" s="1080"/>
      <c r="I507" s="1080"/>
      <c r="J507" s="1080"/>
      <c r="K507" s="1080"/>
      <c r="L507" s="1080"/>
      <c r="M507" s="1080"/>
      <c r="N507" s="1080"/>
      <c r="O507" s="1080"/>
      <c r="P507" s="1080"/>
      <c r="Q507" s="1080"/>
      <c r="R507" s="1080"/>
    </row>
    <row r="508" spans="3:18" s="73" customFormat="1" hidden="1">
      <c r="C508" s="1080"/>
      <c r="D508" s="1080"/>
      <c r="E508" s="1080"/>
      <c r="F508" s="1080"/>
      <c r="G508" s="1080"/>
      <c r="H508" s="1080"/>
      <c r="I508" s="1080"/>
      <c r="J508" s="1080"/>
      <c r="K508" s="1080"/>
      <c r="L508" s="1080"/>
      <c r="M508" s="1080"/>
      <c r="N508" s="1080"/>
      <c r="O508" s="1080"/>
      <c r="P508" s="1080"/>
      <c r="Q508" s="1080"/>
      <c r="R508" s="1080"/>
    </row>
    <row r="509" spans="3:18" s="73" customFormat="1" hidden="1">
      <c r="C509" s="1080"/>
      <c r="D509" s="1080"/>
      <c r="E509" s="1080"/>
      <c r="F509" s="1080"/>
      <c r="G509" s="1080"/>
      <c r="H509" s="1080"/>
      <c r="I509" s="1080"/>
      <c r="J509" s="1080"/>
      <c r="K509" s="1080"/>
      <c r="L509" s="1080"/>
      <c r="M509" s="1080"/>
      <c r="N509" s="1080"/>
      <c r="O509" s="1080"/>
      <c r="P509" s="1080"/>
      <c r="Q509" s="1080"/>
      <c r="R509" s="1080"/>
    </row>
    <row r="510" spans="3:18" s="73" customFormat="1" hidden="1">
      <c r="C510" s="1080"/>
      <c r="D510" s="1080"/>
      <c r="E510" s="1080"/>
      <c r="F510" s="1080"/>
      <c r="G510" s="1080"/>
      <c r="H510" s="1080"/>
      <c r="I510" s="1080"/>
      <c r="J510" s="1080"/>
      <c r="K510" s="1080"/>
      <c r="L510" s="1080"/>
      <c r="M510" s="1080"/>
      <c r="N510" s="1080"/>
      <c r="O510" s="1080"/>
      <c r="P510" s="1080"/>
      <c r="Q510" s="1080"/>
      <c r="R510" s="1080"/>
    </row>
    <row r="511" spans="3:18" s="73" customFormat="1" hidden="1">
      <c r="C511" s="1080"/>
      <c r="D511" s="1080"/>
      <c r="E511" s="1080"/>
      <c r="F511" s="1080"/>
      <c r="G511" s="1080"/>
      <c r="H511" s="1080"/>
      <c r="I511" s="1080"/>
      <c r="J511" s="1080"/>
      <c r="K511" s="1080"/>
      <c r="L511" s="1080"/>
      <c r="M511" s="1080"/>
      <c r="N511" s="1080"/>
      <c r="O511" s="1080"/>
      <c r="P511" s="1080"/>
      <c r="Q511" s="1080"/>
      <c r="R511" s="1080"/>
    </row>
    <row r="512" spans="3:18" s="73" customFormat="1" hidden="1">
      <c r="C512" s="1080"/>
      <c r="D512" s="1080"/>
      <c r="E512" s="1080"/>
      <c r="F512" s="1080"/>
      <c r="G512" s="1080"/>
      <c r="H512" s="1080"/>
      <c r="I512" s="1080"/>
      <c r="J512" s="1080"/>
      <c r="K512" s="1080"/>
      <c r="L512" s="1080"/>
      <c r="M512" s="1080"/>
      <c r="N512" s="1080"/>
      <c r="O512" s="1080"/>
      <c r="P512" s="1080"/>
      <c r="Q512" s="1080"/>
      <c r="R512" s="1080"/>
    </row>
    <row r="513" spans="3:18" s="73" customFormat="1" hidden="1">
      <c r="C513" s="1080"/>
      <c r="D513" s="1080"/>
      <c r="E513" s="1080"/>
      <c r="F513" s="1080"/>
      <c r="G513" s="1080"/>
      <c r="H513" s="1080"/>
      <c r="I513" s="1080"/>
      <c r="J513" s="1080"/>
      <c r="K513" s="1080"/>
      <c r="L513" s="1080"/>
      <c r="M513" s="1080"/>
      <c r="N513" s="1080"/>
      <c r="O513" s="1080"/>
      <c r="P513" s="1080"/>
      <c r="Q513" s="1080"/>
      <c r="R513" s="1080"/>
    </row>
    <row r="514" spans="3:18" s="73" customFormat="1" hidden="1">
      <c r="C514" s="1080"/>
      <c r="D514" s="1080"/>
      <c r="E514" s="1080"/>
      <c r="F514" s="1080"/>
      <c r="G514" s="1080"/>
      <c r="H514" s="1080"/>
      <c r="I514" s="1080"/>
      <c r="J514" s="1080"/>
      <c r="K514" s="1080"/>
      <c r="L514" s="1080"/>
      <c r="M514" s="1080"/>
      <c r="N514" s="1080"/>
      <c r="O514" s="1080"/>
      <c r="P514" s="1080"/>
      <c r="Q514" s="1080"/>
      <c r="R514" s="1080"/>
    </row>
    <row r="515" spans="3:18" s="73" customFormat="1" hidden="1">
      <c r="C515" s="1080"/>
      <c r="D515" s="1080"/>
      <c r="E515" s="1080"/>
      <c r="F515" s="1080"/>
      <c r="G515" s="1080"/>
      <c r="H515" s="1080"/>
      <c r="I515" s="1080"/>
      <c r="J515" s="1080"/>
      <c r="K515" s="1080"/>
      <c r="L515" s="1080"/>
      <c r="M515" s="1080"/>
      <c r="N515" s="1080"/>
      <c r="O515" s="1080"/>
      <c r="P515" s="1080"/>
      <c r="Q515" s="1080"/>
      <c r="R515" s="1080"/>
    </row>
    <row r="516" spans="3:18" s="73" customFormat="1" hidden="1">
      <c r="C516" s="1080"/>
      <c r="D516" s="1080"/>
      <c r="E516" s="1080"/>
      <c r="F516" s="1080"/>
      <c r="G516" s="1080"/>
      <c r="H516" s="1080"/>
      <c r="I516" s="1080"/>
      <c r="J516" s="1080"/>
      <c r="K516" s="1080"/>
      <c r="L516" s="1080"/>
      <c r="M516" s="1080"/>
      <c r="N516" s="1080"/>
      <c r="O516" s="1080"/>
      <c r="P516" s="1080"/>
      <c r="Q516" s="1080"/>
      <c r="R516" s="1080"/>
    </row>
    <row r="517" spans="3:18" s="73" customFormat="1" hidden="1">
      <c r="C517" s="1080"/>
      <c r="D517" s="1080"/>
      <c r="E517" s="1080"/>
      <c r="F517" s="1080"/>
      <c r="G517" s="1080"/>
      <c r="H517" s="1080"/>
      <c r="I517" s="1080"/>
      <c r="J517" s="1080"/>
      <c r="K517" s="1080"/>
      <c r="L517" s="1080"/>
      <c r="M517" s="1080"/>
      <c r="N517" s="1080"/>
      <c r="O517" s="1080"/>
      <c r="P517" s="1080"/>
      <c r="Q517" s="1080"/>
      <c r="R517" s="1080"/>
    </row>
    <row r="518" spans="3:18" s="73" customFormat="1" hidden="1">
      <c r="C518" s="1080"/>
      <c r="D518" s="1080"/>
      <c r="E518" s="1080"/>
      <c r="F518" s="1080"/>
      <c r="G518" s="1080"/>
      <c r="H518" s="1080"/>
      <c r="I518" s="1080"/>
      <c r="J518" s="1080"/>
      <c r="K518" s="1080"/>
      <c r="L518" s="1080"/>
      <c r="M518" s="1080"/>
      <c r="N518" s="1080"/>
      <c r="O518" s="1080"/>
      <c r="P518" s="1080"/>
      <c r="Q518" s="1080"/>
      <c r="R518" s="1080"/>
    </row>
    <row r="519" spans="3:18" s="73" customFormat="1" hidden="1">
      <c r="C519" s="1080"/>
      <c r="D519" s="1080"/>
      <c r="E519" s="1080"/>
      <c r="F519" s="1080"/>
      <c r="G519" s="1080"/>
      <c r="H519" s="1080"/>
      <c r="I519" s="1080"/>
      <c r="J519" s="1080"/>
      <c r="K519" s="1080"/>
      <c r="L519" s="1080"/>
      <c r="M519" s="1080"/>
      <c r="N519" s="1080"/>
      <c r="O519" s="1080"/>
      <c r="P519" s="1080"/>
      <c r="Q519" s="1080"/>
      <c r="R519" s="1080"/>
    </row>
    <row r="520" spans="3:18" s="73" customFormat="1" hidden="1">
      <c r="C520" s="1080"/>
      <c r="D520" s="1080"/>
      <c r="E520" s="1080"/>
      <c r="F520" s="1080"/>
      <c r="G520" s="1080"/>
      <c r="H520" s="1080"/>
      <c r="I520" s="1080"/>
      <c r="J520" s="1080"/>
      <c r="K520" s="1080"/>
      <c r="L520" s="1080"/>
      <c r="M520" s="1080"/>
      <c r="N520" s="1080"/>
      <c r="O520" s="1080"/>
      <c r="P520" s="1080"/>
      <c r="Q520" s="1080"/>
      <c r="R520" s="1080"/>
    </row>
    <row r="521" spans="3:18" s="73" customFormat="1" hidden="1">
      <c r="C521" s="1080"/>
      <c r="D521" s="1080"/>
      <c r="E521" s="1080"/>
      <c r="F521" s="1080"/>
      <c r="G521" s="1080"/>
      <c r="H521" s="1080"/>
      <c r="I521" s="1080"/>
      <c r="J521" s="1080"/>
      <c r="K521" s="1080"/>
      <c r="L521" s="1080"/>
      <c r="M521" s="1080"/>
      <c r="N521" s="1080"/>
      <c r="O521" s="1080"/>
      <c r="P521" s="1080"/>
      <c r="Q521" s="1080"/>
      <c r="R521" s="1080"/>
    </row>
    <row r="522" spans="3:18" s="73" customFormat="1" hidden="1">
      <c r="C522" s="1080"/>
      <c r="D522" s="1080"/>
      <c r="E522" s="1080"/>
      <c r="F522" s="1080"/>
      <c r="G522" s="1080"/>
      <c r="H522" s="1080"/>
      <c r="I522" s="1080"/>
      <c r="J522" s="1080"/>
      <c r="K522" s="1080"/>
      <c r="L522" s="1080"/>
      <c r="M522" s="1080"/>
      <c r="N522" s="1080"/>
      <c r="O522" s="1080"/>
      <c r="P522" s="1080"/>
      <c r="Q522" s="1080"/>
      <c r="R522" s="1080"/>
    </row>
    <row r="523" spans="3:18" s="73" customFormat="1" hidden="1">
      <c r="C523" s="1080"/>
      <c r="D523" s="1080"/>
      <c r="E523" s="1080"/>
      <c r="F523" s="1080"/>
      <c r="G523" s="1080"/>
      <c r="H523" s="1080"/>
      <c r="I523" s="1080"/>
      <c r="J523" s="1080"/>
      <c r="K523" s="1080"/>
      <c r="L523" s="1080"/>
      <c r="M523" s="1080"/>
      <c r="N523" s="1080"/>
      <c r="O523" s="1080"/>
      <c r="P523" s="1080"/>
      <c r="Q523" s="1080"/>
      <c r="R523" s="1080"/>
    </row>
    <row r="524" spans="3:18" s="73" customFormat="1">
      <c r="C524" s="1080"/>
      <c r="D524" s="1080"/>
      <c r="E524" s="1080"/>
      <c r="F524" s="1080"/>
      <c r="G524" s="1080"/>
      <c r="H524" s="1080"/>
      <c r="I524" s="1080"/>
      <c r="J524" s="1080"/>
      <c r="K524" s="1080"/>
      <c r="L524" s="1080"/>
      <c r="M524" s="1080"/>
      <c r="N524" s="1080"/>
      <c r="O524" s="1080"/>
      <c r="P524" s="1080"/>
      <c r="Q524" s="1080"/>
      <c r="R524" s="1080"/>
    </row>
    <row r="525" spans="3:18" s="73" customFormat="1">
      <c r="C525" s="1080"/>
      <c r="D525" s="1080"/>
      <c r="E525" s="1080"/>
      <c r="F525" s="1080"/>
      <c r="G525" s="1080"/>
      <c r="H525" s="1080"/>
      <c r="I525" s="1080"/>
      <c r="J525" s="1080"/>
      <c r="K525" s="1080"/>
      <c r="L525" s="1080"/>
      <c r="M525" s="1080"/>
      <c r="N525" s="1080"/>
      <c r="O525" s="1080"/>
      <c r="P525" s="1080"/>
      <c r="Q525" s="1080"/>
      <c r="R525" s="1080"/>
    </row>
    <row r="526" spans="3:18" s="73" customFormat="1">
      <c r="C526" s="1080"/>
      <c r="D526" s="1080"/>
      <c r="E526" s="1080"/>
      <c r="F526" s="1080"/>
      <c r="G526" s="1080"/>
      <c r="H526" s="1080"/>
      <c r="I526" s="1080"/>
      <c r="J526" s="1080"/>
      <c r="K526" s="1080"/>
      <c r="L526" s="1080"/>
      <c r="M526" s="1080"/>
      <c r="N526" s="1080"/>
      <c r="O526" s="1080"/>
      <c r="P526" s="1080"/>
      <c r="Q526" s="1080"/>
      <c r="R526" s="1080"/>
    </row>
    <row r="527" spans="3:18" s="73" customFormat="1">
      <c r="C527" s="1080"/>
      <c r="D527" s="1080"/>
      <c r="E527" s="1080"/>
      <c r="F527" s="1080"/>
      <c r="G527" s="1080"/>
      <c r="H527" s="1080"/>
      <c r="I527" s="1080"/>
      <c r="J527" s="1080"/>
      <c r="K527" s="1080"/>
      <c r="L527" s="1080"/>
      <c r="M527" s="1080"/>
      <c r="N527" s="1080"/>
      <c r="O527" s="1080"/>
      <c r="P527" s="1080"/>
      <c r="Q527" s="1080"/>
      <c r="R527" s="1080"/>
    </row>
    <row r="528" spans="3:18" s="73" customFormat="1">
      <c r="C528" s="1080"/>
      <c r="D528" s="1080"/>
      <c r="E528" s="1080"/>
      <c r="F528" s="1080"/>
      <c r="G528" s="1080"/>
      <c r="H528" s="1080"/>
      <c r="I528" s="1080"/>
      <c r="J528" s="1080"/>
      <c r="K528" s="1080"/>
      <c r="L528" s="1080"/>
      <c r="M528" s="1080"/>
      <c r="N528" s="1080"/>
      <c r="O528" s="1080"/>
      <c r="P528" s="1080"/>
      <c r="Q528" s="1080"/>
      <c r="R528" s="1080"/>
    </row>
    <row r="529" spans="3:18" s="73" customFormat="1">
      <c r="C529" s="1080"/>
      <c r="D529" s="1080"/>
      <c r="E529" s="1080"/>
      <c r="F529" s="1080"/>
      <c r="G529" s="1080"/>
      <c r="H529" s="1080"/>
      <c r="I529" s="1080"/>
      <c r="J529" s="1080"/>
      <c r="K529" s="1080"/>
      <c r="L529" s="1080"/>
      <c r="M529" s="1080"/>
      <c r="N529" s="1080"/>
      <c r="O529" s="1080"/>
      <c r="P529" s="1080"/>
      <c r="Q529" s="1080"/>
      <c r="R529" s="1080"/>
    </row>
    <row r="530" spans="3:18" s="73" customFormat="1">
      <c r="C530" s="1080"/>
      <c r="D530" s="1080"/>
      <c r="E530" s="1080"/>
      <c r="F530" s="1080"/>
      <c r="G530" s="1080"/>
      <c r="H530" s="1080"/>
      <c r="I530" s="1080"/>
      <c r="J530" s="1080"/>
      <c r="K530" s="1080"/>
      <c r="L530" s="1080"/>
      <c r="M530" s="1080"/>
      <c r="N530" s="1080"/>
      <c r="O530" s="1080"/>
      <c r="P530" s="1080"/>
      <c r="Q530" s="1080"/>
      <c r="R530" s="1080"/>
    </row>
    <row r="531" spans="3:18" s="73" customFormat="1">
      <c r="C531" s="1080"/>
      <c r="D531" s="1080"/>
      <c r="E531" s="1080"/>
      <c r="F531" s="1080"/>
      <c r="G531" s="1080"/>
      <c r="H531" s="1080"/>
      <c r="I531" s="1080"/>
      <c r="J531" s="1080"/>
      <c r="K531" s="1080"/>
      <c r="L531" s="1080"/>
      <c r="M531" s="1080"/>
      <c r="N531" s="1080"/>
      <c r="O531" s="1080"/>
      <c r="P531" s="1080"/>
      <c r="Q531" s="1080"/>
      <c r="R531" s="1080"/>
    </row>
    <row r="532" spans="3:18" s="73" customFormat="1">
      <c r="C532" s="1080"/>
      <c r="D532" s="1080"/>
      <c r="E532" s="1080"/>
      <c r="F532" s="1080"/>
      <c r="G532" s="1080"/>
      <c r="H532" s="1080"/>
      <c r="I532" s="1080"/>
      <c r="J532" s="1080"/>
      <c r="K532" s="1080"/>
      <c r="L532" s="1080"/>
      <c r="M532" s="1080"/>
      <c r="N532" s="1080"/>
      <c r="O532" s="1080"/>
      <c r="P532" s="1080"/>
      <c r="Q532" s="1080"/>
      <c r="R532" s="1080"/>
    </row>
    <row r="533" spans="3:18" s="73" customFormat="1">
      <c r="C533" s="1080"/>
      <c r="D533" s="1080"/>
      <c r="E533" s="1080"/>
      <c r="F533" s="1080"/>
      <c r="G533" s="1080"/>
      <c r="H533" s="1080"/>
      <c r="I533" s="1080"/>
      <c r="J533" s="1080"/>
      <c r="K533" s="1080"/>
      <c r="L533" s="1080"/>
      <c r="M533" s="1080"/>
      <c r="N533" s="1080"/>
      <c r="O533" s="1080"/>
      <c r="P533" s="1080"/>
      <c r="Q533" s="1080"/>
      <c r="R533" s="1080"/>
    </row>
    <row r="534" spans="3:18" s="73" customFormat="1">
      <c r="C534" s="1080"/>
      <c r="D534" s="1080"/>
      <c r="E534" s="1080"/>
      <c r="F534" s="1080"/>
      <c r="G534" s="1080"/>
      <c r="H534" s="1080"/>
      <c r="I534" s="1080"/>
      <c r="J534" s="1080"/>
      <c r="K534" s="1080"/>
      <c r="L534" s="1080"/>
      <c r="M534" s="1080"/>
      <c r="N534" s="1080"/>
      <c r="O534" s="1080"/>
      <c r="P534" s="1080"/>
      <c r="Q534" s="1080"/>
      <c r="R534" s="1080"/>
    </row>
    <row r="535" spans="3:18" s="73" customFormat="1">
      <c r="C535" s="1080"/>
      <c r="D535" s="1080"/>
      <c r="E535" s="1080"/>
      <c r="F535" s="1080"/>
      <c r="G535" s="1080"/>
      <c r="H535" s="1080"/>
      <c r="I535" s="1080"/>
      <c r="J535" s="1080"/>
      <c r="K535" s="1080"/>
      <c r="L535" s="1080"/>
      <c r="M535" s="1080"/>
      <c r="N535" s="1080"/>
      <c r="O535" s="1080"/>
      <c r="P535" s="1080"/>
      <c r="Q535" s="1080"/>
      <c r="R535" s="1080"/>
    </row>
    <row r="536" spans="3:18" s="73" customFormat="1">
      <c r="C536" s="1080"/>
      <c r="D536" s="1080"/>
      <c r="E536" s="1080"/>
      <c r="F536" s="1080"/>
      <c r="G536" s="1080"/>
      <c r="H536" s="1080"/>
      <c r="I536" s="1080"/>
      <c r="J536" s="1080"/>
      <c r="K536" s="1080"/>
      <c r="L536" s="1080"/>
      <c r="M536" s="1080"/>
      <c r="N536" s="1080"/>
      <c r="O536" s="1080"/>
      <c r="P536" s="1080"/>
      <c r="Q536" s="1080"/>
      <c r="R536" s="1080"/>
    </row>
    <row r="537" spans="3:18" s="73" customFormat="1">
      <c r="C537" s="1080"/>
      <c r="D537" s="1080"/>
      <c r="E537" s="1080"/>
      <c r="F537" s="1080"/>
      <c r="G537" s="1080"/>
      <c r="H537" s="1080"/>
      <c r="I537" s="1080"/>
      <c r="J537" s="1080"/>
      <c r="K537" s="1080"/>
      <c r="L537" s="1080"/>
      <c r="M537" s="1080"/>
      <c r="N537" s="1080"/>
      <c r="O537" s="1080"/>
      <c r="P537" s="1080"/>
      <c r="Q537" s="1080"/>
      <c r="R537" s="1080"/>
    </row>
    <row r="538" spans="3:18" s="73" customFormat="1">
      <c r="C538" s="1080"/>
      <c r="D538" s="1080"/>
      <c r="E538" s="1080"/>
      <c r="F538" s="1080"/>
      <c r="G538" s="1080"/>
      <c r="H538" s="1080"/>
      <c r="I538" s="1080"/>
      <c r="J538" s="1080"/>
      <c r="K538" s="1080"/>
      <c r="L538" s="1080"/>
      <c r="M538" s="1080"/>
      <c r="N538" s="1080"/>
      <c r="O538" s="1080"/>
      <c r="P538" s="1080"/>
      <c r="Q538" s="1080"/>
      <c r="R538" s="1080"/>
    </row>
    <row r="539" spans="3:18" s="73" customFormat="1">
      <c r="C539" s="1080"/>
      <c r="D539" s="1080"/>
      <c r="E539" s="1080"/>
      <c r="F539" s="1080"/>
      <c r="G539" s="1080"/>
      <c r="H539" s="1080"/>
      <c r="I539" s="1080"/>
      <c r="J539" s="1080"/>
      <c r="K539" s="1080"/>
      <c r="L539" s="1080"/>
      <c r="M539" s="1080"/>
      <c r="N539" s="1080"/>
      <c r="O539" s="1080"/>
      <c r="P539" s="1080"/>
      <c r="Q539" s="1080"/>
      <c r="R539" s="1080"/>
    </row>
    <row r="540" spans="3:18" s="73" customFormat="1">
      <c r="C540" s="1080"/>
      <c r="D540" s="1080"/>
      <c r="E540" s="1080"/>
      <c r="F540" s="1080"/>
      <c r="G540" s="1080"/>
      <c r="H540" s="1080"/>
      <c r="I540" s="1080"/>
      <c r="J540" s="1080"/>
      <c r="K540" s="1080"/>
      <c r="L540" s="1080"/>
      <c r="M540" s="1080"/>
      <c r="N540" s="1080"/>
      <c r="O540" s="1080"/>
      <c r="P540" s="1080"/>
      <c r="Q540" s="1080"/>
      <c r="R540" s="1080"/>
    </row>
    <row r="541" spans="3:18" s="73" customFormat="1">
      <c r="C541" s="1080"/>
      <c r="D541" s="1080"/>
      <c r="E541" s="1080"/>
      <c r="F541" s="1080"/>
      <c r="G541" s="1080"/>
      <c r="H541" s="1080"/>
      <c r="I541" s="1080"/>
      <c r="J541" s="1080"/>
      <c r="K541" s="1080"/>
      <c r="L541" s="1080"/>
      <c r="M541" s="1080"/>
      <c r="N541" s="1080"/>
      <c r="O541" s="1080"/>
      <c r="P541" s="1080"/>
      <c r="Q541" s="1080"/>
      <c r="R541" s="1080"/>
    </row>
    <row r="542" spans="3:18" s="73" customFormat="1">
      <c r="C542" s="1080"/>
      <c r="D542" s="1080"/>
      <c r="E542" s="1080"/>
      <c r="F542" s="1080"/>
      <c r="G542" s="1080"/>
      <c r="H542" s="1080"/>
      <c r="I542" s="1080"/>
      <c r="J542" s="1080"/>
      <c r="K542" s="1080"/>
      <c r="L542" s="1080"/>
      <c r="M542" s="1080"/>
      <c r="N542" s="1080"/>
      <c r="O542" s="1080"/>
      <c r="P542" s="1080"/>
      <c r="Q542" s="1080"/>
      <c r="R542" s="1080"/>
    </row>
    <row r="543" spans="3:18" s="73" customFormat="1">
      <c r="C543" s="1080"/>
      <c r="D543" s="1080"/>
      <c r="E543" s="1080"/>
      <c r="F543" s="1080"/>
      <c r="G543" s="1080"/>
      <c r="H543" s="1080"/>
      <c r="I543" s="1080"/>
      <c r="J543" s="1080"/>
      <c r="K543" s="1080"/>
      <c r="L543" s="1080"/>
      <c r="M543" s="1080"/>
      <c r="N543" s="1080"/>
      <c r="O543" s="1080"/>
      <c r="P543" s="1080"/>
      <c r="Q543" s="1080"/>
      <c r="R543" s="1080"/>
    </row>
    <row r="544" spans="3:18" s="73" customFormat="1">
      <c r="C544" s="1080"/>
      <c r="D544" s="1080"/>
      <c r="E544" s="1080"/>
      <c r="F544" s="1080"/>
      <c r="G544" s="1080"/>
      <c r="H544" s="1080"/>
      <c r="I544" s="1080"/>
      <c r="J544" s="1080"/>
      <c r="K544" s="1080"/>
      <c r="L544" s="1080"/>
      <c r="M544" s="1080"/>
      <c r="N544" s="1080"/>
      <c r="O544" s="1080"/>
      <c r="P544" s="1080"/>
      <c r="Q544" s="1080"/>
      <c r="R544" s="1080"/>
    </row>
    <row r="545" spans="3:18" s="73" customFormat="1">
      <c r="C545" s="1080"/>
      <c r="D545" s="1080"/>
      <c r="E545" s="1080"/>
      <c r="F545" s="1080"/>
      <c r="G545" s="1080"/>
      <c r="H545" s="1080"/>
      <c r="I545" s="1080"/>
      <c r="J545" s="1080"/>
      <c r="K545" s="1080"/>
      <c r="L545" s="1080"/>
      <c r="M545" s="1080"/>
      <c r="N545" s="1080"/>
      <c r="O545" s="1080"/>
      <c r="P545" s="1080"/>
      <c r="Q545" s="1080"/>
      <c r="R545" s="1080"/>
    </row>
    <row r="546" spans="3:18" s="73" customFormat="1">
      <c r="C546" s="1080"/>
      <c r="D546" s="1080"/>
      <c r="E546" s="1080"/>
      <c r="F546" s="1080"/>
      <c r="G546" s="1080"/>
      <c r="H546" s="1080"/>
      <c r="I546" s="1080"/>
      <c r="J546" s="1080"/>
      <c r="K546" s="1080"/>
      <c r="L546" s="1080"/>
      <c r="M546" s="1080"/>
      <c r="N546" s="1080"/>
      <c r="O546" s="1080"/>
      <c r="P546" s="1080"/>
      <c r="Q546" s="1080"/>
      <c r="R546" s="1080"/>
    </row>
    <row r="547" spans="3:18" s="73" customFormat="1">
      <c r="C547" s="1080"/>
      <c r="D547" s="1080"/>
      <c r="E547" s="1080"/>
      <c r="F547" s="1080"/>
      <c r="G547" s="1080"/>
      <c r="H547" s="1080"/>
      <c r="I547" s="1080"/>
      <c r="J547" s="1080"/>
      <c r="K547" s="1080"/>
      <c r="L547" s="1080"/>
      <c r="M547" s="1080"/>
      <c r="N547" s="1080"/>
      <c r="O547" s="1080"/>
      <c r="P547" s="1080"/>
      <c r="Q547" s="1080"/>
      <c r="R547" s="1080"/>
    </row>
    <row r="548" spans="3:18" s="73" customFormat="1">
      <c r="C548" s="1080"/>
      <c r="D548" s="1080"/>
      <c r="E548" s="1080"/>
      <c r="F548" s="1080"/>
      <c r="G548" s="1080"/>
      <c r="H548" s="1080"/>
      <c r="I548" s="1080"/>
      <c r="J548" s="1080"/>
      <c r="K548" s="1080"/>
      <c r="L548" s="1080"/>
      <c r="M548" s="1080"/>
      <c r="N548" s="1080"/>
      <c r="O548" s="1080"/>
      <c r="P548" s="1080"/>
      <c r="Q548" s="1080"/>
      <c r="R548" s="1080"/>
    </row>
    <row r="549" spans="3:18" s="73" customFormat="1">
      <c r="C549" s="1080"/>
      <c r="D549" s="1080"/>
      <c r="E549" s="1080"/>
      <c r="F549" s="1080"/>
      <c r="G549" s="1080"/>
      <c r="H549" s="1080"/>
      <c r="I549" s="1080"/>
      <c r="J549" s="1080"/>
      <c r="K549" s="1080"/>
      <c r="L549" s="1080"/>
      <c r="M549" s="1080"/>
      <c r="N549" s="1080"/>
      <c r="O549" s="1080"/>
      <c r="P549" s="1080"/>
      <c r="Q549" s="1080"/>
      <c r="R549" s="1080"/>
    </row>
    <row r="550" spans="3:18" s="73" customFormat="1">
      <c r="C550" s="1080"/>
      <c r="D550" s="1080"/>
      <c r="E550" s="1080"/>
      <c r="F550" s="1080"/>
      <c r="G550" s="1080"/>
      <c r="H550" s="1080"/>
      <c r="I550" s="1080"/>
      <c r="J550" s="1080"/>
      <c r="K550" s="1080"/>
      <c r="L550" s="1080"/>
      <c r="M550" s="1080"/>
      <c r="N550" s="1080"/>
      <c r="O550" s="1080"/>
      <c r="P550" s="1080"/>
      <c r="Q550" s="1080"/>
      <c r="R550" s="1080"/>
    </row>
    <row r="551" spans="3:18" s="73" customFormat="1">
      <c r="C551" s="1080"/>
      <c r="D551" s="1080"/>
      <c r="E551" s="1080"/>
      <c r="F551" s="1080"/>
      <c r="G551" s="1080"/>
      <c r="H551" s="1080"/>
      <c r="I551" s="1080"/>
      <c r="J551" s="1080"/>
      <c r="K551" s="1080"/>
      <c r="L551" s="1080"/>
      <c r="M551" s="1080"/>
      <c r="N551" s="1080"/>
      <c r="O551" s="1080"/>
      <c r="P551" s="1080"/>
      <c r="Q551" s="1080"/>
      <c r="R551" s="1080"/>
    </row>
    <row r="552" spans="3:18" s="73" customFormat="1">
      <c r="C552" s="1080"/>
      <c r="D552" s="1080"/>
      <c r="E552" s="1080"/>
      <c r="F552" s="1080"/>
      <c r="G552" s="1080"/>
      <c r="H552" s="1080"/>
      <c r="I552" s="1080"/>
      <c r="J552" s="1080"/>
      <c r="K552" s="1080"/>
      <c r="L552" s="1080"/>
      <c r="M552" s="1080"/>
      <c r="N552" s="1080"/>
      <c r="O552" s="1080"/>
      <c r="P552" s="1080"/>
      <c r="Q552" s="1080"/>
      <c r="R552" s="1080"/>
    </row>
    <row r="553" spans="3:18" s="73" customFormat="1">
      <c r="C553" s="1080"/>
      <c r="D553" s="1080"/>
      <c r="E553" s="1080"/>
      <c r="F553" s="1080"/>
      <c r="G553" s="1080"/>
      <c r="H553" s="1080"/>
      <c r="I553" s="1080"/>
      <c r="J553" s="1080"/>
      <c r="K553" s="1080"/>
      <c r="L553" s="1080"/>
      <c r="M553" s="1080"/>
      <c r="N553" s="1080"/>
      <c r="O553" s="1080"/>
      <c r="P553" s="1080"/>
      <c r="Q553" s="1080"/>
      <c r="R553" s="1080"/>
    </row>
    <row r="554" spans="3:18" s="73" customFormat="1">
      <c r="C554" s="1080"/>
      <c r="D554" s="1080"/>
      <c r="E554" s="1080"/>
      <c r="F554" s="1080"/>
      <c r="G554" s="1080"/>
      <c r="H554" s="1080"/>
      <c r="I554" s="1080"/>
      <c r="J554" s="1080"/>
      <c r="K554" s="1080"/>
      <c r="L554" s="1080"/>
      <c r="M554" s="1080"/>
      <c r="N554" s="1080"/>
      <c r="O554" s="1080"/>
      <c r="P554" s="1080"/>
      <c r="Q554" s="1080"/>
      <c r="R554" s="1080"/>
    </row>
    <row r="555" spans="3:18" s="73" customFormat="1">
      <c r="C555" s="1080"/>
      <c r="D555" s="1080"/>
      <c r="E555" s="1080"/>
      <c r="F555" s="1080"/>
      <c r="G555" s="1080"/>
      <c r="H555" s="1080"/>
      <c r="I555" s="1080"/>
      <c r="J555" s="1080"/>
      <c r="K555" s="1080"/>
      <c r="L555" s="1080"/>
      <c r="M555" s="1080"/>
      <c r="N555" s="1080"/>
      <c r="O555" s="1080"/>
      <c r="P555" s="1080"/>
      <c r="Q555" s="1080"/>
      <c r="R555" s="1080"/>
    </row>
    <row r="556" spans="3:18" s="73" customFormat="1"/>
    <row r="557" spans="3:18" s="73" customFormat="1"/>
    <row r="558" spans="3:18" s="73" customFormat="1"/>
    <row r="559" spans="3:18" s="73" customFormat="1"/>
    <row r="560" spans="3:18" s="73" customFormat="1"/>
    <row r="561" s="73" customFormat="1"/>
    <row r="562" s="73" customFormat="1"/>
    <row r="563" s="73" customFormat="1"/>
    <row r="564" s="73" customFormat="1"/>
    <row r="565" s="73" customFormat="1"/>
    <row r="566" s="73" customFormat="1"/>
    <row r="567" s="73" customFormat="1"/>
    <row r="568" s="73" customFormat="1"/>
    <row r="569" s="73" customFormat="1"/>
    <row r="570" s="73" customFormat="1"/>
    <row r="571" s="73" customFormat="1"/>
    <row r="572" s="73" customFormat="1"/>
    <row r="573" s="73" customFormat="1"/>
    <row r="574" s="73" customFormat="1"/>
    <row r="575" s="73" customFormat="1"/>
    <row r="576" s="73" customFormat="1"/>
    <row r="577" s="73" customFormat="1"/>
    <row r="578" s="73" customFormat="1"/>
    <row r="579" s="73" customFormat="1"/>
    <row r="580" s="73" customFormat="1"/>
    <row r="581" s="73" customFormat="1"/>
    <row r="582" s="73" customFormat="1"/>
    <row r="583" s="73" customFormat="1"/>
    <row r="584" s="73" customFormat="1"/>
    <row r="585" s="73" customFormat="1"/>
    <row r="586" s="73" customFormat="1"/>
    <row r="587" s="73" customFormat="1"/>
    <row r="588" s="73" customFormat="1"/>
    <row r="589" s="73" customFormat="1"/>
    <row r="590" s="73" customFormat="1"/>
    <row r="591" s="73" customFormat="1"/>
    <row r="592" s="73" customFormat="1"/>
    <row r="593" s="73" customFormat="1"/>
    <row r="594" s="73" customFormat="1"/>
    <row r="595" s="73" customFormat="1"/>
    <row r="596" s="73" customFormat="1"/>
    <row r="597" s="73" customFormat="1"/>
    <row r="598" s="73" customFormat="1"/>
    <row r="599" s="73" customFormat="1"/>
    <row r="600" s="73" customFormat="1"/>
    <row r="601" s="73" customFormat="1"/>
    <row r="602" s="73" customFormat="1"/>
    <row r="603" s="73" customFormat="1"/>
    <row r="604" s="73" customFormat="1"/>
    <row r="605" s="73" customFormat="1"/>
    <row r="606" s="73" customFormat="1"/>
    <row r="607" s="73" customFormat="1"/>
    <row r="608" s="73" customFormat="1"/>
    <row r="609" s="73" customFormat="1"/>
    <row r="610" s="73" customFormat="1"/>
    <row r="611" s="73" customFormat="1"/>
    <row r="612" s="73" customFormat="1"/>
    <row r="613" s="73" customFormat="1"/>
    <row r="614" s="73" customFormat="1"/>
    <row r="615" s="73" customFormat="1"/>
    <row r="616" s="73" customFormat="1"/>
    <row r="617" s="73" customFormat="1"/>
    <row r="618" s="73" customFormat="1"/>
    <row r="619" s="73" customFormat="1"/>
    <row r="620" s="73" customFormat="1"/>
    <row r="621" s="73" customFormat="1"/>
    <row r="622" s="73" customFormat="1"/>
    <row r="623" s="73" customFormat="1"/>
    <row r="624" s="73" customFormat="1"/>
    <row r="625" s="73" customFormat="1"/>
    <row r="626" s="73" customFormat="1"/>
    <row r="627" s="73" customFormat="1"/>
    <row r="628" s="73" customFormat="1"/>
    <row r="629" s="73" customFormat="1"/>
    <row r="630" s="73" customFormat="1"/>
    <row r="631" s="73" customFormat="1"/>
    <row r="632" s="73" customFormat="1"/>
    <row r="633" s="73" customFormat="1"/>
    <row r="634" s="73" customFormat="1"/>
    <row r="635" s="73" customFormat="1"/>
    <row r="636" s="73" customFormat="1"/>
    <row r="637" s="73" customFormat="1"/>
    <row r="638" s="73" customFormat="1"/>
    <row r="639" s="73" customFormat="1"/>
    <row r="640" s="73" customFormat="1"/>
    <row r="641" s="73" customFormat="1"/>
    <row r="642" s="73" customFormat="1"/>
    <row r="643" s="73" customFormat="1"/>
    <row r="644" s="73" customFormat="1"/>
    <row r="645" s="73" customFormat="1"/>
    <row r="646" s="73" customFormat="1"/>
    <row r="647" s="73" customFormat="1"/>
    <row r="648" s="73" customFormat="1"/>
    <row r="649" s="73" customFormat="1"/>
    <row r="650" s="73" customFormat="1"/>
    <row r="651" s="73" customFormat="1"/>
    <row r="652" s="73" customFormat="1"/>
    <row r="653" s="73" customFormat="1"/>
    <row r="654" s="73" customFormat="1"/>
    <row r="655" s="73" customFormat="1"/>
    <row r="656" s="73" customFormat="1"/>
    <row r="657" s="73" customFormat="1"/>
    <row r="658" s="73" customFormat="1"/>
    <row r="659" s="73" customFormat="1"/>
    <row r="660" s="73" customFormat="1"/>
    <row r="661" s="73" customFormat="1"/>
    <row r="662" s="73" customFormat="1"/>
    <row r="663" s="73" customFormat="1"/>
    <row r="664" s="73" customFormat="1"/>
    <row r="665" s="73" customFormat="1"/>
    <row r="666" s="73" customFormat="1"/>
    <row r="667" s="73" customFormat="1"/>
    <row r="668" s="73" customFormat="1"/>
    <row r="669" s="73" customFormat="1"/>
    <row r="670" s="73" customFormat="1"/>
    <row r="671" s="73" customFormat="1"/>
    <row r="672" s="73" customFormat="1"/>
    <row r="673" s="73" customFormat="1"/>
    <row r="674" s="73" customFormat="1"/>
    <row r="675" s="73" customFormat="1"/>
    <row r="676" s="73" customFormat="1"/>
    <row r="677" s="73" customFormat="1"/>
    <row r="678" s="73" customFormat="1"/>
    <row r="679" s="73" customFormat="1"/>
    <row r="680" s="73" customFormat="1"/>
    <row r="681" s="73" customFormat="1"/>
    <row r="682" s="73" customFormat="1"/>
    <row r="683" s="73" customFormat="1"/>
    <row r="684" s="73" customFormat="1"/>
    <row r="685" s="73" customFormat="1"/>
    <row r="686" s="73" customFormat="1"/>
    <row r="687" s="73" customFormat="1"/>
    <row r="688" s="73" customFormat="1"/>
    <row r="689" s="73" customFormat="1"/>
    <row r="690" s="73" customFormat="1"/>
    <row r="691" s="73" customFormat="1"/>
    <row r="692" s="73" customFormat="1"/>
    <row r="693" s="73" customFormat="1"/>
    <row r="694" s="73" customFormat="1"/>
    <row r="695" s="73" customFormat="1"/>
    <row r="696" s="73" customFormat="1"/>
    <row r="697" s="73" customFormat="1"/>
    <row r="698" s="73" customFormat="1"/>
    <row r="699" s="73" customFormat="1"/>
    <row r="700" s="73" customFormat="1"/>
    <row r="701" s="73" customFormat="1"/>
    <row r="702" s="73" customFormat="1"/>
    <row r="703" s="73" customFormat="1"/>
    <row r="704" s="73" customFormat="1"/>
    <row r="705" s="73" customFormat="1"/>
    <row r="706" s="73" customFormat="1"/>
    <row r="707" s="73" customFormat="1"/>
    <row r="708" s="73" customFormat="1"/>
    <row r="709" s="73" customFormat="1"/>
    <row r="710" s="73" customFormat="1"/>
    <row r="711" s="73" customFormat="1"/>
    <row r="712" s="73" customFormat="1"/>
    <row r="713" s="73" customFormat="1"/>
    <row r="714" s="73" customFormat="1"/>
    <row r="715" s="73" customFormat="1"/>
    <row r="716" s="73" customFormat="1"/>
    <row r="717" s="73" customFormat="1"/>
    <row r="718" s="73" customFormat="1"/>
    <row r="719" s="73" customFormat="1"/>
    <row r="720" s="73" customFormat="1"/>
    <row r="721" s="73" customFormat="1"/>
    <row r="722" s="73" customFormat="1"/>
    <row r="723" s="73" customFormat="1"/>
    <row r="724" s="73" customFormat="1"/>
    <row r="725" s="73" customFormat="1"/>
    <row r="726" s="73" customFormat="1"/>
    <row r="727" s="73" customFormat="1"/>
    <row r="728" s="73" customFormat="1"/>
    <row r="729" s="73" customFormat="1"/>
    <row r="730" s="73" customFormat="1"/>
    <row r="731" s="73" customFormat="1"/>
    <row r="732" s="73" customFormat="1"/>
    <row r="733" s="73" customFormat="1"/>
    <row r="734" s="73" customFormat="1"/>
    <row r="735" s="73" customFormat="1"/>
    <row r="736" s="73" customFormat="1"/>
    <row r="737" s="73" customFormat="1"/>
    <row r="738" s="73" customFormat="1"/>
    <row r="739" s="73" customFormat="1"/>
    <row r="740" s="73" customFormat="1"/>
    <row r="741" s="73" customFormat="1"/>
    <row r="742" s="73" customFormat="1"/>
    <row r="743" s="73" customFormat="1"/>
    <row r="744" s="73" customFormat="1"/>
    <row r="745" s="73" customFormat="1"/>
    <row r="746" s="73" customFormat="1"/>
    <row r="747" s="73" customFormat="1"/>
    <row r="748" s="73" customFormat="1"/>
    <row r="749" s="73" customFormat="1"/>
    <row r="750" s="73" customFormat="1"/>
    <row r="751" s="73" customFormat="1"/>
    <row r="752" s="73" customFormat="1"/>
    <row r="753" s="73" customFormat="1"/>
    <row r="754" s="73" customFormat="1"/>
    <row r="755" s="73" customFormat="1"/>
    <row r="756" s="73" customFormat="1"/>
    <row r="757" s="73" customFormat="1"/>
    <row r="758" s="73" customFormat="1"/>
    <row r="759" s="73" customFormat="1"/>
    <row r="760" s="73" customFormat="1"/>
    <row r="761" s="73" customFormat="1"/>
    <row r="762" s="73" customFormat="1"/>
    <row r="763" s="73" customFormat="1"/>
    <row r="764" s="73" customFormat="1"/>
    <row r="765" s="73" customFormat="1"/>
    <row r="766" s="73" customFormat="1"/>
    <row r="767" s="73" customFormat="1"/>
    <row r="768" s="73" customFormat="1"/>
    <row r="769" s="73" customFormat="1"/>
    <row r="770" s="73" customFormat="1"/>
    <row r="771" s="73" customFormat="1"/>
    <row r="772" s="73" customFormat="1"/>
    <row r="773" s="73" customFormat="1"/>
    <row r="774" s="73" customFormat="1"/>
    <row r="775" s="73" customFormat="1"/>
    <row r="776" s="73" customFormat="1"/>
    <row r="777" s="73" customFormat="1"/>
    <row r="778" s="73" customFormat="1"/>
    <row r="779" s="73" customFormat="1"/>
    <row r="780" s="73" customFormat="1"/>
    <row r="781" s="73" customFormat="1"/>
    <row r="782" s="73" customFormat="1"/>
    <row r="783" s="73" customFormat="1"/>
    <row r="784" s="73" customFormat="1"/>
    <row r="785" s="73" customFormat="1"/>
    <row r="786" s="73" customFormat="1"/>
    <row r="787" s="73" customFormat="1"/>
    <row r="788" s="73" customFormat="1"/>
    <row r="789" s="73" customFormat="1"/>
    <row r="790" s="73" customFormat="1"/>
    <row r="791" s="73" customFormat="1"/>
    <row r="792" s="73" customFormat="1"/>
    <row r="793" s="73" customFormat="1"/>
    <row r="794" s="73" customFormat="1"/>
    <row r="795" s="73" customFormat="1"/>
    <row r="796" s="73" customFormat="1"/>
    <row r="797" s="73" customFormat="1"/>
    <row r="798" s="73" customFormat="1"/>
    <row r="799" s="73" customFormat="1"/>
    <row r="800" s="73" customFormat="1"/>
    <row r="801" s="73" customFormat="1"/>
    <row r="802" s="73" customFormat="1"/>
    <row r="803" s="73" customFormat="1"/>
    <row r="804" s="73" customFormat="1"/>
    <row r="805" s="73" customFormat="1"/>
    <row r="806" s="73" customFormat="1"/>
    <row r="807" s="73" customFormat="1"/>
    <row r="808" s="73" customFormat="1"/>
    <row r="809" s="73" customFormat="1"/>
    <row r="810" s="73" customFormat="1"/>
    <row r="811" s="73" customFormat="1"/>
    <row r="812" s="73" customFormat="1"/>
    <row r="813" s="73" customFormat="1"/>
    <row r="814" s="73" customFormat="1"/>
    <row r="815" s="73" customFormat="1"/>
    <row r="816" s="73" customFormat="1"/>
    <row r="817" s="73" customFormat="1"/>
    <row r="818" s="73" customFormat="1"/>
    <row r="819" s="73" customFormat="1"/>
    <row r="820" s="73" customFormat="1"/>
    <row r="821" s="73" customFormat="1"/>
    <row r="822" s="73" customFormat="1"/>
    <row r="823" s="73" customFormat="1"/>
    <row r="824" s="73" customFormat="1"/>
    <row r="825" s="73" customFormat="1"/>
    <row r="826" s="73" customFormat="1"/>
    <row r="827" s="73" customFormat="1"/>
    <row r="828" s="73" customFormat="1"/>
    <row r="829" s="73" customFormat="1"/>
    <row r="830" s="73" customFormat="1"/>
    <row r="831" s="73" customFormat="1"/>
    <row r="832" s="73" customFormat="1"/>
    <row r="833" s="73" customFormat="1"/>
    <row r="834" s="73" customFormat="1"/>
    <row r="835" s="73" customFormat="1"/>
    <row r="836" s="73" customFormat="1"/>
    <row r="837" s="73" customFormat="1"/>
    <row r="838" s="73" customFormat="1"/>
    <row r="839" s="73" customFormat="1"/>
    <row r="840" s="73" customFormat="1"/>
    <row r="841" s="73" customFormat="1"/>
    <row r="842" s="73" customFormat="1"/>
    <row r="843" s="73" customFormat="1"/>
    <row r="844" s="73" customFormat="1"/>
    <row r="845" s="73" customFormat="1"/>
    <row r="846" s="73" customFormat="1"/>
    <row r="847" s="73" customFormat="1"/>
    <row r="848" s="73" customFormat="1"/>
    <row r="849" s="73" customFormat="1"/>
    <row r="850" s="73" customFormat="1"/>
    <row r="851" s="73" customFormat="1"/>
    <row r="852" s="73" customFormat="1"/>
    <row r="853" s="73" customFormat="1"/>
    <row r="854" s="73" customFormat="1"/>
    <row r="855" s="73" customFormat="1"/>
    <row r="856" s="73" customFormat="1"/>
    <row r="857" s="73" customFormat="1"/>
    <row r="858" s="73" customFormat="1"/>
    <row r="859" s="73" customFormat="1"/>
    <row r="860" s="73" customFormat="1"/>
    <row r="861" s="73" customFormat="1"/>
    <row r="862" s="73" customFormat="1"/>
    <row r="863" s="73" customFormat="1"/>
    <row r="864" s="73" customFormat="1"/>
    <row r="865" s="73" customFormat="1"/>
    <row r="866" s="73" customFormat="1"/>
    <row r="867" s="73" customFormat="1"/>
    <row r="868" s="73" customFormat="1"/>
    <row r="869" s="73" customFormat="1"/>
    <row r="870" s="73" customFormat="1"/>
    <row r="871" s="73" customFormat="1"/>
    <row r="872" s="73" customFormat="1"/>
    <row r="873" s="73" customFormat="1"/>
    <row r="874" s="73" customFormat="1"/>
    <row r="875" s="73" customFormat="1"/>
    <row r="876" s="73" customFormat="1"/>
    <row r="877" s="73" customFormat="1"/>
    <row r="878" s="73" customFormat="1"/>
    <row r="879" s="73" customFormat="1"/>
    <row r="880" s="73" customFormat="1"/>
    <row r="881" s="73" customFormat="1"/>
    <row r="882" s="73" customFormat="1"/>
    <row r="883" s="73" customFormat="1"/>
    <row r="884" s="73" customFormat="1"/>
    <row r="885" s="73" customFormat="1"/>
    <row r="886" s="73" customFormat="1"/>
    <row r="887" s="73" customFormat="1"/>
    <row r="888" s="73" customFormat="1"/>
    <row r="889" s="73" customFormat="1"/>
    <row r="890" s="73" customFormat="1"/>
    <row r="891" s="73" customFormat="1"/>
    <row r="892" s="73" customFormat="1"/>
    <row r="893" s="73" customFormat="1"/>
    <row r="894" s="73" customFormat="1"/>
    <row r="895" s="73" customFormat="1"/>
    <row r="896" s="73" customFormat="1"/>
    <row r="897" s="73" customFormat="1"/>
    <row r="898" s="73" customFormat="1"/>
    <row r="899" s="73" customFormat="1"/>
    <row r="900" s="73" customFormat="1"/>
    <row r="901" s="73" customFormat="1"/>
    <row r="902" s="73" customFormat="1"/>
    <row r="903" s="73" customFormat="1"/>
    <row r="904" s="73" customFormat="1"/>
    <row r="905" s="73" customFormat="1"/>
    <row r="906" s="73" customFormat="1"/>
    <row r="907" s="73" customFormat="1"/>
    <row r="908" s="73" customFormat="1"/>
    <row r="909" s="73" customFormat="1"/>
    <row r="910" s="73" customFormat="1"/>
    <row r="911" s="73" customFormat="1"/>
    <row r="912" s="73" customFormat="1"/>
    <row r="913" s="73" customFormat="1"/>
    <row r="914" s="73" customFormat="1"/>
    <row r="915" s="73" customFormat="1"/>
    <row r="916" s="73" customFormat="1"/>
    <row r="917" s="73" customFormat="1"/>
    <row r="918" s="73" customFormat="1"/>
    <row r="919" s="73" customFormat="1"/>
    <row r="920" s="73" customFormat="1"/>
    <row r="921" s="73" customFormat="1"/>
    <row r="922" s="73" customFormat="1"/>
    <row r="923" s="73" customFormat="1"/>
    <row r="924" s="73" customFormat="1"/>
    <row r="925" s="73" customFormat="1"/>
    <row r="926" s="73" customFormat="1"/>
    <row r="927" s="73" customFormat="1"/>
    <row r="928" s="73" customFormat="1"/>
    <row r="929" s="73" customFormat="1"/>
    <row r="930" s="73" customFormat="1"/>
    <row r="931" s="73" customFormat="1"/>
    <row r="932" s="73" customFormat="1"/>
    <row r="933" s="73" customFormat="1"/>
    <row r="934" s="73" customFormat="1"/>
    <row r="935" s="73" customFormat="1"/>
    <row r="936" s="73" customFormat="1"/>
    <row r="937" s="73" customFormat="1"/>
    <row r="938" s="73" customFormat="1"/>
    <row r="939" s="73" customFormat="1"/>
    <row r="940" s="73" customFormat="1"/>
    <row r="941" s="73" customFormat="1"/>
    <row r="942" s="73" customFormat="1"/>
    <row r="943" s="73" customFormat="1"/>
    <row r="944" s="73" customFormat="1"/>
    <row r="945" s="73" customFormat="1"/>
    <row r="946" s="73" customFormat="1"/>
    <row r="947" s="73" customFormat="1"/>
    <row r="948" s="73" customFormat="1"/>
    <row r="949" s="73" customFormat="1"/>
    <row r="950" s="73" customFormat="1"/>
    <row r="951" s="73" customFormat="1"/>
    <row r="952" s="73" customFormat="1"/>
    <row r="953" s="73" customFormat="1"/>
    <row r="954" s="73" customFormat="1"/>
    <row r="955" s="73" customFormat="1"/>
    <row r="956" s="73" customFormat="1"/>
    <row r="957" s="73" customFormat="1"/>
    <row r="958" s="73" customFormat="1"/>
    <row r="959" s="73" customFormat="1"/>
    <row r="960" s="73" customFormat="1"/>
    <row r="961" s="73" customFormat="1"/>
    <row r="962" s="73" customFormat="1"/>
    <row r="963" s="73" customFormat="1"/>
    <row r="964" s="73" customFormat="1"/>
    <row r="965" s="73" customFormat="1"/>
    <row r="966" s="73" customFormat="1"/>
    <row r="967" s="73" customFormat="1"/>
    <row r="968" s="73" customFormat="1"/>
    <row r="969" s="73" customFormat="1"/>
    <row r="970" s="73" customFormat="1"/>
    <row r="971" s="73" customFormat="1"/>
    <row r="972" s="73" customFormat="1"/>
    <row r="973" s="73" customFormat="1"/>
    <row r="974" s="73" customFormat="1"/>
    <row r="975" s="73" customFormat="1"/>
    <row r="976" s="73" customFormat="1"/>
    <row r="977" s="73" customFormat="1"/>
    <row r="978" s="73" customFormat="1"/>
    <row r="979" s="73" customFormat="1"/>
    <row r="980" s="73" customFormat="1"/>
    <row r="981" s="73" customFormat="1"/>
    <row r="982" s="73" customFormat="1"/>
    <row r="983" s="73" customFormat="1"/>
    <row r="984" s="73" customFormat="1"/>
    <row r="985" s="73" customFormat="1"/>
    <row r="986" s="73" customFormat="1"/>
    <row r="987" s="73" customFormat="1"/>
    <row r="988" s="73" customFormat="1"/>
    <row r="989" s="73" customFormat="1"/>
    <row r="990" s="73" customFormat="1"/>
    <row r="991" s="73" customFormat="1"/>
    <row r="992" s="73" customFormat="1"/>
    <row r="993" s="73" customFormat="1"/>
    <row r="994" s="73" customFormat="1"/>
    <row r="995" s="73" customFormat="1"/>
    <row r="996" s="73" customFormat="1"/>
    <row r="997" s="73" customFormat="1"/>
    <row r="998" s="73" customFormat="1"/>
    <row r="999" s="73" customFormat="1"/>
    <row r="1000" s="73" customFormat="1"/>
    <row r="1001" s="73" customFormat="1"/>
    <row r="1002" s="73" customFormat="1"/>
    <row r="1003" s="73" customFormat="1"/>
    <row r="1004" s="73" customFormat="1"/>
    <row r="1005" s="73" customFormat="1"/>
    <row r="1006" s="73" customFormat="1"/>
    <row r="1007" s="73" customFormat="1"/>
    <row r="1008" s="73" customFormat="1"/>
    <row r="1009" s="73" customFormat="1"/>
    <row r="1010" s="73" customFormat="1"/>
    <row r="1011" s="73" customFormat="1"/>
    <row r="1012" s="73" customFormat="1"/>
    <row r="1013" s="73" customFormat="1"/>
    <row r="1014" s="73" customFormat="1"/>
    <row r="1015" s="73" customFormat="1"/>
    <row r="1016" s="73" customFormat="1"/>
    <row r="1017" s="73" customFormat="1"/>
    <row r="1018" s="73" customFormat="1"/>
    <row r="1019" s="73" customFormat="1"/>
    <row r="1020" s="73" customFormat="1"/>
    <row r="1021" s="73" customFormat="1"/>
    <row r="1022" s="73" customFormat="1"/>
    <row r="1023" s="73" customFormat="1"/>
    <row r="1024" s="73" customFormat="1"/>
    <row r="1025" spans="1:117" s="73" customFormat="1"/>
    <row r="1026" spans="1:117" s="73" customFormat="1"/>
    <row r="1027" spans="1:117" s="73" customFormat="1"/>
    <row r="1028" spans="1:117" s="73" customFormat="1"/>
    <row r="1029" spans="1:117" s="73" customFormat="1"/>
    <row r="1030" spans="1:117" s="73" customFormat="1"/>
    <row r="1031" spans="1:117" s="73" customFormat="1"/>
    <row r="1032" spans="1:117" s="73" customFormat="1"/>
    <row r="1033" spans="1:117" s="73" customFormat="1"/>
    <row r="1034" spans="1:117" s="73" customFormat="1"/>
    <row r="1035" spans="1:117" s="73" customFormat="1"/>
    <row r="1036" spans="1:117" s="73" customFormat="1"/>
    <row r="1037" spans="1:117" s="73" customFormat="1"/>
    <row r="1038" spans="1:117" s="48" customFormat="1">
      <c r="A1038" s="73"/>
      <c r="T1038" s="73"/>
      <c r="U1038" s="73"/>
      <c r="V1038" s="73"/>
      <c r="W1038" s="73"/>
      <c r="X1038" s="73"/>
      <c r="Y1038" s="73"/>
      <c r="Z1038" s="73"/>
      <c r="AA1038" s="73"/>
      <c r="AB1038" s="73"/>
      <c r="AC1038" s="73"/>
      <c r="AD1038" s="73"/>
      <c r="AE1038" s="73"/>
      <c r="AF1038" s="73"/>
      <c r="AG1038" s="73"/>
      <c r="AH1038" s="73"/>
      <c r="AI1038" s="73"/>
      <c r="AJ1038" s="73"/>
      <c r="AK1038" s="73"/>
      <c r="AL1038" s="73"/>
      <c r="AM1038" s="73"/>
      <c r="AN1038" s="73"/>
      <c r="AO1038" s="73"/>
      <c r="AP1038" s="73"/>
      <c r="AQ1038" s="73"/>
      <c r="AR1038" s="73"/>
      <c r="AS1038" s="73"/>
      <c r="AT1038" s="73"/>
      <c r="AU1038" s="73"/>
      <c r="AV1038" s="73"/>
      <c r="AW1038" s="73"/>
      <c r="AX1038" s="73"/>
      <c r="AY1038" s="73"/>
      <c r="AZ1038" s="73"/>
      <c r="BA1038" s="73"/>
      <c r="BB1038" s="73"/>
      <c r="BC1038" s="73"/>
      <c r="BD1038" s="73"/>
      <c r="BE1038" s="73"/>
      <c r="BF1038" s="73"/>
      <c r="BG1038" s="73"/>
      <c r="BH1038" s="73"/>
      <c r="BI1038" s="73"/>
      <c r="BJ1038" s="73"/>
      <c r="BK1038" s="73"/>
      <c r="BL1038" s="73"/>
      <c r="BM1038" s="73"/>
      <c r="BN1038" s="73"/>
      <c r="BO1038" s="73"/>
      <c r="BP1038" s="73"/>
      <c r="BQ1038" s="73"/>
      <c r="BR1038" s="73"/>
      <c r="BS1038" s="73"/>
      <c r="BT1038" s="73"/>
      <c r="BU1038" s="73"/>
      <c r="BV1038" s="73"/>
      <c r="BW1038" s="73"/>
      <c r="BX1038" s="73"/>
      <c r="BY1038" s="73"/>
      <c r="BZ1038" s="73"/>
      <c r="CA1038" s="73"/>
      <c r="CB1038" s="73"/>
      <c r="CC1038" s="73"/>
      <c r="CD1038" s="73"/>
      <c r="CE1038" s="73"/>
      <c r="CF1038" s="73"/>
      <c r="CG1038" s="73"/>
      <c r="CH1038" s="73"/>
      <c r="CI1038" s="73"/>
      <c r="CJ1038" s="73"/>
      <c r="CK1038" s="73"/>
      <c r="CL1038" s="73"/>
      <c r="CM1038" s="73"/>
      <c r="CN1038" s="73"/>
      <c r="CO1038" s="73"/>
      <c r="CP1038" s="73"/>
      <c r="CQ1038" s="73"/>
      <c r="CR1038" s="73"/>
      <c r="CS1038" s="73"/>
      <c r="CT1038" s="73"/>
      <c r="CU1038" s="73"/>
      <c r="CV1038" s="73"/>
      <c r="CW1038" s="73"/>
      <c r="CX1038" s="73"/>
      <c r="CY1038" s="73"/>
      <c r="CZ1038" s="73"/>
      <c r="DA1038" s="73"/>
      <c r="DB1038" s="73"/>
      <c r="DC1038" s="73"/>
      <c r="DD1038" s="73"/>
      <c r="DE1038" s="73"/>
      <c r="DF1038" s="73"/>
      <c r="DG1038" s="73"/>
      <c r="DH1038" s="73"/>
      <c r="DI1038" s="73"/>
      <c r="DJ1038" s="73"/>
      <c r="DK1038" s="73"/>
      <c r="DL1038" s="73"/>
      <c r="DM1038" s="73"/>
    </row>
    <row r="1039" spans="1:117" s="48" customFormat="1">
      <c r="A1039" s="73"/>
      <c r="T1039" s="73"/>
      <c r="U1039" s="73"/>
      <c r="V1039" s="73"/>
      <c r="W1039" s="73"/>
      <c r="X1039" s="73"/>
      <c r="Y1039" s="73"/>
      <c r="Z1039" s="73"/>
      <c r="AA1039" s="73"/>
      <c r="AB1039" s="73"/>
      <c r="AC1039" s="73"/>
      <c r="AD1039" s="73"/>
      <c r="AE1039" s="73"/>
      <c r="AF1039" s="73"/>
      <c r="AG1039" s="73"/>
      <c r="AH1039" s="73"/>
      <c r="AI1039" s="73"/>
      <c r="AJ1039" s="73"/>
      <c r="AK1039" s="73"/>
      <c r="AL1039" s="73"/>
      <c r="AM1039" s="73"/>
      <c r="AN1039" s="73"/>
      <c r="AO1039" s="73"/>
      <c r="AP1039" s="73"/>
      <c r="AQ1039" s="73"/>
      <c r="AR1039" s="73"/>
      <c r="AS1039" s="73"/>
      <c r="AT1039" s="73"/>
      <c r="AU1039" s="73"/>
      <c r="AV1039" s="73"/>
      <c r="AW1039" s="73"/>
      <c r="AX1039" s="73"/>
      <c r="AY1039" s="73"/>
      <c r="AZ1039" s="73"/>
      <c r="BA1039" s="73"/>
      <c r="BB1039" s="73"/>
      <c r="BC1039" s="73"/>
      <c r="BD1039" s="73"/>
      <c r="BE1039" s="73"/>
      <c r="BF1039" s="73"/>
      <c r="BG1039" s="73"/>
      <c r="BH1039" s="73"/>
      <c r="BI1039" s="73"/>
      <c r="BJ1039" s="73"/>
      <c r="BK1039" s="73"/>
      <c r="BL1039" s="73"/>
      <c r="BM1039" s="73"/>
      <c r="BN1039" s="73"/>
      <c r="BO1039" s="73"/>
      <c r="BP1039" s="73"/>
      <c r="BQ1039" s="73"/>
      <c r="BR1039" s="73"/>
      <c r="BS1039" s="73"/>
      <c r="BT1039" s="73"/>
      <c r="BU1039" s="73"/>
      <c r="BV1039" s="73"/>
      <c r="BW1039" s="73"/>
      <c r="BX1039" s="73"/>
      <c r="BY1039" s="73"/>
      <c r="BZ1039" s="73"/>
      <c r="CA1039" s="73"/>
      <c r="CB1039" s="73"/>
      <c r="CC1039" s="73"/>
      <c r="CD1039" s="73"/>
      <c r="CE1039" s="73"/>
      <c r="CF1039" s="73"/>
      <c r="CG1039" s="73"/>
      <c r="CH1039" s="73"/>
      <c r="CI1039" s="73"/>
      <c r="CJ1039" s="73"/>
      <c r="CK1039" s="73"/>
      <c r="CL1039" s="73"/>
      <c r="CM1039" s="73"/>
      <c r="CN1039" s="73"/>
      <c r="CO1039" s="73"/>
      <c r="CP1039" s="73"/>
      <c r="CQ1039" s="73"/>
      <c r="CR1039" s="73"/>
      <c r="CS1039" s="73"/>
      <c r="CT1039" s="73"/>
      <c r="CU1039" s="73"/>
      <c r="CV1039" s="73"/>
      <c r="CW1039" s="73"/>
      <c r="CX1039" s="73"/>
      <c r="CY1039" s="73"/>
      <c r="CZ1039" s="73"/>
      <c r="DA1039" s="73"/>
      <c r="DB1039" s="73"/>
      <c r="DC1039" s="73"/>
      <c r="DD1039" s="73"/>
      <c r="DE1039" s="73"/>
      <c r="DF1039" s="73"/>
      <c r="DG1039" s="73"/>
      <c r="DH1039" s="73"/>
      <c r="DI1039" s="73"/>
      <c r="DJ1039" s="73"/>
      <c r="DK1039" s="73"/>
      <c r="DL1039" s="73"/>
      <c r="DM1039" s="73"/>
    </row>
    <row r="1040" spans="1:117" s="48" customFormat="1">
      <c r="A1040" s="73"/>
      <c r="T1040" s="73"/>
      <c r="U1040" s="73"/>
      <c r="V1040" s="73"/>
      <c r="W1040" s="73"/>
      <c r="X1040" s="73"/>
      <c r="Y1040" s="73"/>
      <c r="Z1040" s="73"/>
      <c r="AA1040" s="73"/>
      <c r="AB1040" s="73"/>
      <c r="AC1040" s="73"/>
      <c r="AD1040" s="73"/>
      <c r="AE1040" s="73"/>
      <c r="AF1040" s="73"/>
      <c r="AG1040" s="73"/>
      <c r="AH1040" s="73"/>
      <c r="AI1040" s="73"/>
      <c r="AJ1040" s="73"/>
      <c r="AK1040" s="73"/>
      <c r="AL1040" s="73"/>
      <c r="AM1040" s="73"/>
      <c r="AN1040" s="73"/>
      <c r="AO1040" s="73"/>
      <c r="AP1040" s="73"/>
      <c r="AQ1040" s="73"/>
      <c r="AR1040" s="73"/>
      <c r="AS1040" s="73"/>
      <c r="AT1040" s="73"/>
      <c r="AU1040" s="73"/>
      <c r="AV1040" s="73"/>
      <c r="AW1040" s="73"/>
      <c r="AX1040" s="73"/>
      <c r="AY1040" s="73"/>
      <c r="AZ1040" s="73"/>
      <c r="BA1040" s="73"/>
      <c r="BB1040" s="73"/>
      <c r="BC1040" s="73"/>
      <c r="BD1040" s="73"/>
      <c r="BE1040" s="73"/>
      <c r="BF1040" s="73"/>
      <c r="BG1040" s="73"/>
      <c r="BH1040" s="73"/>
      <c r="BI1040" s="73"/>
      <c r="BJ1040" s="73"/>
      <c r="BK1040" s="73"/>
      <c r="BL1040" s="73"/>
      <c r="BM1040" s="73"/>
      <c r="BN1040" s="73"/>
      <c r="BO1040" s="73"/>
      <c r="BP1040" s="73"/>
      <c r="BQ1040" s="73"/>
      <c r="BR1040" s="73"/>
      <c r="BS1040" s="73"/>
      <c r="BT1040" s="73"/>
      <c r="BU1040" s="73"/>
      <c r="BV1040" s="73"/>
      <c r="BW1040" s="73"/>
      <c r="BX1040" s="73"/>
      <c r="BY1040" s="73"/>
      <c r="BZ1040" s="73"/>
      <c r="CA1040" s="73"/>
      <c r="CB1040" s="73"/>
      <c r="CC1040" s="73"/>
      <c r="CD1040" s="73"/>
      <c r="CE1040" s="73"/>
      <c r="CF1040" s="73"/>
      <c r="CG1040" s="73"/>
      <c r="CH1040" s="73"/>
      <c r="CI1040" s="73"/>
      <c r="CJ1040" s="73"/>
      <c r="CK1040" s="73"/>
      <c r="CL1040" s="73"/>
      <c r="CM1040" s="73"/>
      <c r="CN1040" s="73"/>
      <c r="CO1040" s="73"/>
      <c r="CP1040" s="73"/>
      <c r="CQ1040" s="73"/>
      <c r="CR1040" s="73"/>
      <c r="CS1040" s="73"/>
      <c r="CT1040" s="73"/>
      <c r="CU1040" s="73"/>
      <c r="CV1040" s="73"/>
      <c r="CW1040" s="73"/>
      <c r="CX1040" s="73"/>
      <c r="CY1040" s="73"/>
      <c r="CZ1040" s="73"/>
      <c r="DA1040" s="73"/>
      <c r="DB1040" s="73"/>
      <c r="DC1040" s="73"/>
      <c r="DD1040" s="73"/>
      <c r="DE1040" s="73"/>
      <c r="DF1040" s="73"/>
      <c r="DG1040" s="73"/>
      <c r="DH1040" s="73"/>
      <c r="DI1040" s="73"/>
      <c r="DJ1040" s="73"/>
      <c r="DK1040" s="73"/>
      <c r="DL1040" s="73"/>
      <c r="DM1040" s="73"/>
    </row>
    <row r="1041" spans="1:117" s="48" customFormat="1">
      <c r="A1041" s="73"/>
      <c r="T1041" s="73"/>
      <c r="U1041" s="73"/>
      <c r="V1041" s="73"/>
      <c r="W1041" s="73"/>
      <c r="X1041" s="73"/>
      <c r="Y1041" s="73"/>
      <c r="Z1041" s="73"/>
      <c r="AA1041" s="73"/>
      <c r="AB1041" s="73"/>
      <c r="AC1041" s="73"/>
      <c r="AD1041" s="73"/>
      <c r="AE1041" s="73"/>
      <c r="AF1041" s="73"/>
      <c r="AG1041" s="73"/>
      <c r="AH1041" s="73"/>
      <c r="AI1041" s="73"/>
      <c r="AJ1041" s="73"/>
      <c r="AK1041" s="73"/>
      <c r="AL1041" s="73"/>
      <c r="AM1041" s="73"/>
      <c r="AN1041" s="73"/>
      <c r="AO1041" s="73"/>
      <c r="AP1041" s="73"/>
      <c r="AQ1041" s="73"/>
      <c r="AR1041" s="73"/>
      <c r="AS1041" s="73"/>
      <c r="AT1041" s="73"/>
      <c r="AU1041" s="73"/>
      <c r="AV1041" s="73"/>
      <c r="AW1041" s="73"/>
      <c r="AX1041" s="73"/>
      <c r="AY1041" s="73"/>
      <c r="AZ1041" s="73"/>
      <c r="BA1041" s="73"/>
      <c r="BB1041" s="73"/>
      <c r="BC1041" s="73"/>
      <c r="BD1041" s="73"/>
      <c r="BE1041" s="73"/>
      <c r="BF1041" s="73"/>
      <c r="BG1041" s="73"/>
      <c r="BH1041" s="73"/>
      <c r="BI1041" s="73"/>
      <c r="BJ1041" s="73"/>
      <c r="BK1041" s="73"/>
      <c r="BL1041" s="73"/>
      <c r="BM1041" s="73"/>
      <c r="BN1041" s="73"/>
      <c r="BO1041" s="73"/>
      <c r="BP1041" s="73"/>
      <c r="BQ1041" s="73"/>
      <c r="BR1041" s="73"/>
      <c r="BS1041" s="73"/>
      <c r="BT1041" s="73"/>
      <c r="BU1041" s="73"/>
      <c r="BV1041" s="73"/>
      <c r="BW1041" s="73"/>
      <c r="BX1041" s="73"/>
      <c r="BY1041" s="73"/>
      <c r="BZ1041" s="73"/>
      <c r="CA1041" s="73"/>
      <c r="CB1041" s="73"/>
      <c r="CC1041" s="73"/>
      <c r="CD1041" s="73"/>
      <c r="CE1041" s="73"/>
      <c r="CF1041" s="73"/>
      <c r="CG1041" s="73"/>
      <c r="CH1041" s="73"/>
      <c r="CI1041" s="73"/>
      <c r="CJ1041" s="73"/>
      <c r="CK1041" s="73"/>
      <c r="CL1041" s="73"/>
      <c r="CM1041" s="73"/>
      <c r="CN1041" s="73"/>
      <c r="CO1041" s="73"/>
      <c r="CP1041" s="73"/>
      <c r="CQ1041" s="73"/>
      <c r="CR1041" s="73"/>
      <c r="CS1041" s="73"/>
      <c r="CT1041" s="73"/>
      <c r="CU1041" s="73"/>
      <c r="CV1041" s="73"/>
      <c r="CW1041" s="73"/>
      <c r="CX1041" s="73"/>
      <c r="CY1041" s="73"/>
      <c r="CZ1041" s="73"/>
      <c r="DA1041" s="73"/>
      <c r="DB1041" s="73"/>
      <c r="DC1041" s="73"/>
      <c r="DD1041" s="73"/>
      <c r="DE1041" s="73"/>
      <c r="DF1041" s="73"/>
      <c r="DG1041" s="73"/>
      <c r="DH1041" s="73"/>
      <c r="DI1041" s="73"/>
      <c r="DJ1041" s="73"/>
      <c r="DK1041" s="73"/>
      <c r="DL1041" s="73"/>
      <c r="DM1041" s="73"/>
    </row>
    <row r="1042" spans="1:117" s="48" customFormat="1">
      <c r="A1042" s="73"/>
      <c r="T1042" s="73"/>
      <c r="U1042" s="73"/>
      <c r="V1042" s="73"/>
      <c r="W1042" s="73"/>
      <c r="X1042" s="73"/>
      <c r="Y1042" s="73"/>
      <c r="Z1042" s="73"/>
      <c r="AA1042" s="73"/>
      <c r="AB1042" s="73"/>
      <c r="AC1042" s="73"/>
      <c r="AD1042" s="73"/>
      <c r="AE1042" s="73"/>
      <c r="AF1042" s="73"/>
      <c r="AG1042" s="73"/>
      <c r="AH1042" s="73"/>
      <c r="AI1042" s="73"/>
      <c r="AJ1042" s="73"/>
      <c r="AK1042" s="73"/>
      <c r="AL1042" s="73"/>
      <c r="AM1042" s="73"/>
      <c r="AN1042" s="73"/>
      <c r="AO1042" s="73"/>
      <c r="AP1042" s="73"/>
      <c r="AQ1042" s="73"/>
      <c r="AR1042" s="73"/>
      <c r="AS1042" s="73"/>
      <c r="AT1042" s="73"/>
      <c r="AU1042" s="73"/>
      <c r="AV1042" s="73"/>
      <c r="AW1042" s="73"/>
      <c r="AX1042" s="73"/>
      <c r="AY1042" s="73"/>
      <c r="AZ1042" s="73"/>
      <c r="BA1042" s="73"/>
      <c r="BB1042" s="73"/>
      <c r="BC1042" s="73"/>
      <c r="BD1042" s="73"/>
      <c r="BE1042" s="73"/>
      <c r="BF1042" s="73"/>
      <c r="BG1042" s="73"/>
      <c r="BH1042" s="73"/>
      <c r="BI1042" s="73"/>
      <c r="BJ1042" s="73"/>
      <c r="BK1042" s="73"/>
      <c r="BL1042" s="73"/>
      <c r="BM1042" s="73"/>
      <c r="BN1042" s="73"/>
      <c r="BO1042" s="73"/>
      <c r="BP1042" s="73"/>
      <c r="BQ1042" s="73"/>
      <c r="BR1042" s="73"/>
      <c r="BS1042" s="73"/>
      <c r="BT1042" s="73"/>
      <c r="BU1042" s="73"/>
      <c r="BV1042" s="73"/>
      <c r="BW1042" s="73"/>
      <c r="BX1042" s="73"/>
      <c r="BY1042" s="73"/>
      <c r="BZ1042" s="73"/>
      <c r="CA1042" s="73"/>
      <c r="CB1042" s="73"/>
      <c r="CC1042" s="73"/>
      <c r="CD1042" s="73"/>
      <c r="CE1042" s="73"/>
      <c r="CF1042" s="73"/>
      <c r="CG1042" s="73"/>
      <c r="CH1042" s="73"/>
      <c r="CI1042" s="73"/>
      <c r="CJ1042" s="73"/>
      <c r="CK1042" s="73"/>
      <c r="CL1042" s="73"/>
      <c r="CM1042" s="73"/>
      <c r="CN1042" s="73"/>
      <c r="CO1042" s="73"/>
      <c r="CP1042" s="73"/>
      <c r="CQ1042" s="73"/>
      <c r="CR1042" s="73"/>
      <c r="CS1042" s="73"/>
      <c r="CT1042" s="73"/>
      <c r="CU1042" s="73"/>
      <c r="CV1042" s="73"/>
      <c r="CW1042" s="73"/>
      <c r="CX1042" s="73"/>
      <c r="CY1042" s="73"/>
      <c r="CZ1042" s="73"/>
      <c r="DA1042" s="73"/>
      <c r="DB1042" s="73"/>
      <c r="DC1042" s="73"/>
      <c r="DD1042" s="73"/>
      <c r="DE1042" s="73"/>
      <c r="DF1042" s="73"/>
      <c r="DG1042" s="73"/>
      <c r="DH1042" s="73"/>
      <c r="DI1042" s="73"/>
      <c r="DJ1042" s="73"/>
      <c r="DK1042" s="73"/>
      <c r="DL1042" s="73"/>
      <c r="DM1042" s="73"/>
    </row>
    <row r="1043" spans="1:117" s="48" customFormat="1">
      <c r="A1043" s="73"/>
      <c r="T1043" s="73"/>
      <c r="U1043" s="73"/>
      <c r="V1043" s="73"/>
      <c r="W1043" s="73"/>
      <c r="X1043" s="73"/>
      <c r="Y1043" s="73"/>
      <c r="Z1043" s="73"/>
      <c r="AA1043" s="73"/>
      <c r="AB1043" s="73"/>
      <c r="AC1043" s="73"/>
      <c r="AD1043" s="73"/>
      <c r="AE1043" s="73"/>
      <c r="AF1043" s="73"/>
      <c r="AG1043" s="73"/>
      <c r="AH1043" s="73"/>
      <c r="AI1043" s="73"/>
      <c r="AJ1043" s="73"/>
      <c r="AK1043" s="73"/>
      <c r="AL1043" s="73"/>
      <c r="AM1043" s="73"/>
      <c r="AN1043" s="73"/>
      <c r="AO1043" s="73"/>
      <c r="AP1043" s="73"/>
      <c r="AQ1043" s="73"/>
      <c r="AR1043" s="73"/>
      <c r="AS1043" s="73"/>
      <c r="AT1043" s="73"/>
      <c r="AU1043" s="73"/>
      <c r="AV1043" s="73"/>
      <c r="AW1043" s="73"/>
      <c r="AX1043" s="73"/>
      <c r="AY1043" s="73"/>
      <c r="AZ1043" s="73"/>
      <c r="BA1043" s="73"/>
      <c r="BB1043" s="73"/>
      <c r="BC1043" s="73"/>
      <c r="BD1043" s="73"/>
      <c r="BE1043" s="73"/>
      <c r="BF1043" s="73"/>
      <c r="BG1043" s="73"/>
      <c r="BH1043" s="73"/>
      <c r="BI1043" s="73"/>
      <c r="BJ1043" s="73"/>
      <c r="BK1043" s="73"/>
      <c r="BL1043" s="73"/>
      <c r="BM1043" s="73"/>
      <c r="BN1043" s="73"/>
      <c r="BO1043" s="73"/>
      <c r="BP1043" s="73"/>
      <c r="BQ1043" s="73"/>
      <c r="BR1043" s="73"/>
      <c r="BS1043" s="73"/>
      <c r="BT1043" s="73"/>
      <c r="BU1043" s="73"/>
      <c r="BV1043" s="73"/>
      <c r="BW1043" s="73"/>
      <c r="BX1043" s="73"/>
      <c r="BY1043" s="73"/>
      <c r="BZ1043" s="73"/>
      <c r="CA1043" s="73"/>
      <c r="CB1043" s="73"/>
      <c r="CC1043" s="73"/>
      <c r="CD1043" s="73"/>
      <c r="CE1043" s="73"/>
      <c r="CF1043" s="73"/>
      <c r="CG1043" s="73"/>
      <c r="CH1043" s="73"/>
      <c r="CI1043" s="73"/>
      <c r="CJ1043" s="73"/>
      <c r="CK1043" s="73"/>
      <c r="CL1043" s="73"/>
      <c r="CM1043" s="73"/>
      <c r="CN1043" s="73"/>
      <c r="CO1043" s="73"/>
      <c r="CP1043" s="73"/>
      <c r="CQ1043" s="73"/>
      <c r="CR1043" s="73"/>
      <c r="CS1043" s="73"/>
      <c r="CT1043" s="73"/>
      <c r="CU1043" s="73"/>
      <c r="CV1043" s="73"/>
      <c r="CW1043" s="73"/>
      <c r="CX1043" s="73"/>
      <c r="CY1043" s="73"/>
      <c r="CZ1043" s="73"/>
      <c r="DA1043" s="73"/>
      <c r="DB1043" s="73"/>
      <c r="DC1043" s="73"/>
      <c r="DD1043" s="73"/>
      <c r="DE1043" s="73"/>
      <c r="DF1043" s="73"/>
      <c r="DG1043" s="73"/>
      <c r="DH1043" s="73"/>
      <c r="DI1043" s="73"/>
      <c r="DJ1043" s="73"/>
      <c r="DK1043" s="73"/>
      <c r="DL1043" s="73"/>
      <c r="DM1043" s="73"/>
    </row>
    <row r="1044" spans="1:117" s="48" customFormat="1">
      <c r="A1044" s="73"/>
      <c r="T1044" s="73"/>
      <c r="U1044" s="73"/>
      <c r="V1044" s="73"/>
      <c r="W1044" s="73"/>
      <c r="X1044" s="73"/>
      <c r="Y1044" s="73"/>
      <c r="Z1044" s="73"/>
      <c r="AA1044" s="73"/>
      <c r="AB1044" s="73"/>
      <c r="AC1044" s="73"/>
      <c r="AD1044" s="73"/>
      <c r="AE1044" s="73"/>
      <c r="AF1044" s="73"/>
      <c r="AG1044" s="73"/>
      <c r="AH1044" s="73"/>
      <c r="AI1044" s="73"/>
      <c r="AJ1044" s="73"/>
      <c r="AK1044" s="73"/>
      <c r="AL1044" s="73"/>
      <c r="AM1044" s="73"/>
      <c r="AN1044" s="73"/>
      <c r="AO1044" s="73"/>
      <c r="AP1044" s="73"/>
      <c r="AQ1044" s="73"/>
      <c r="AR1044" s="73"/>
      <c r="AS1044" s="73"/>
      <c r="AT1044" s="73"/>
      <c r="AU1044" s="73"/>
      <c r="AV1044" s="73"/>
      <c r="AW1044" s="73"/>
      <c r="AX1044" s="73"/>
      <c r="AY1044" s="73"/>
      <c r="AZ1044" s="73"/>
      <c r="BA1044" s="73"/>
      <c r="BB1044" s="73"/>
      <c r="BC1044" s="73"/>
      <c r="BD1044" s="73"/>
      <c r="BE1044" s="73"/>
      <c r="BF1044" s="73"/>
      <c r="BG1044" s="73"/>
      <c r="BH1044" s="73"/>
      <c r="BI1044" s="73"/>
      <c r="BJ1044" s="73"/>
      <c r="BK1044" s="73"/>
      <c r="BL1044" s="73"/>
      <c r="BM1044" s="73"/>
      <c r="BN1044" s="73"/>
      <c r="BO1044" s="73"/>
      <c r="BP1044" s="73"/>
      <c r="BQ1044" s="73"/>
      <c r="BR1044" s="73"/>
      <c r="BS1044" s="73"/>
      <c r="BT1044" s="73"/>
      <c r="BU1044" s="73"/>
      <c r="BV1044" s="73"/>
      <c r="BW1044" s="73"/>
      <c r="BX1044" s="73"/>
      <c r="BY1044" s="73"/>
      <c r="BZ1044" s="73"/>
      <c r="CA1044" s="73"/>
      <c r="CB1044" s="73"/>
      <c r="CC1044" s="73"/>
      <c r="CD1044" s="73"/>
      <c r="CE1044" s="73"/>
      <c r="CF1044" s="73"/>
      <c r="CG1044" s="73"/>
      <c r="CH1044" s="73"/>
      <c r="CI1044" s="73"/>
      <c r="CJ1044" s="73"/>
      <c r="CK1044" s="73"/>
      <c r="CL1044" s="73"/>
      <c r="CM1044" s="73"/>
      <c r="CN1044" s="73"/>
      <c r="CO1044" s="73"/>
      <c r="CP1044" s="73"/>
      <c r="CQ1044" s="73"/>
      <c r="CR1044" s="73"/>
      <c r="CS1044" s="73"/>
      <c r="CT1044" s="73"/>
      <c r="CU1044" s="73"/>
      <c r="CV1044" s="73"/>
      <c r="CW1044" s="73"/>
      <c r="CX1044" s="73"/>
      <c r="CY1044" s="73"/>
      <c r="CZ1044" s="73"/>
      <c r="DA1044" s="73"/>
      <c r="DB1044" s="73"/>
      <c r="DC1044" s="73"/>
      <c r="DD1044" s="73"/>
      <c r="DE1044" s="73"/>
      <c r="DF1044" s="73"/>
      <c r="DG1044" s="73"/>
      <c r="DH1044" s="73"/>
      <c r="DI1044" s="73"/>
      <c r="DJ1044" s="73"/>
      <c r="DK1044" s="73"/>
      <c r="DL1044" s="73"/>
      <c r="DM1044" s="73"/>
    </row>
    <row r="1045" spans="1:117" s="48" customFormat="1">
      <c r="A1045" s="73"/>
      <c r="T1045" s="73"/>
      <c r="U1045" s="73"/>
      <c r="V1045" s="73"/>
      <c r="W1045" s="73"/>
      <c r="X1045" s="73"/>
      <c r="Y1045" s="73"/>
      <c r="Z1045" s="73"/>
      <c r="AA1045" s="73"/>
      <c r="AB1045" s="73"/>
      <c r="AC1045" s="73"/>
      <c r="AD1045" s="73"/>
      <c r="AE1045" s="73"/>
      <c r="AF1045" s="73"/>
      <c r="AG1045" s="73"/>
      <c r="AH1045" s="73"/>
      <c r="AI1045" s="73"/>
      <c r="AJ1045" s="73"/>
      <c r="AK1045" s="73"/>
      <c r="AL1045" s="73"/>
      <c r="AM1045" s="73"/>
      <c r="AN1045" s="73"/>
      <c r="AO1045" s="73"/>
      <c r="AP1045" s="73"/>
      <c r="AQ1045" s="73"/>
      <c r="AR1045" s="73"/>
      <c r="AS1045" s="73"/>
      <c r="AT1045" s="73"/>
      <c r="AU1045" s="73"/>
      <c r="AV1045" s="73"/>
      <c r="AW1045" s="73"/>
      <c r="AX1045" s="73"/>
      <c r="AY1045" s="73"/>
      <c r="AZ1045" s="73"/>
      <c r="BA1045" s="73"/>
      <c r="BB1045" s="73"/>
      <c r="BC1045" s="73"/>
      <c r="BD1045" s="73"/>
      <c r="BE1045" s="73"/>
      <c r="BF1045" s="73"/>
      <c r="BG1045" s="73"/>
      <c r="BH1045" s="73"/>
      <c r="BI1045" s="73"/>
      <c r="BJ1045" s="73"/>
      <c r="BK1045" s="73"/>
      <c r="BL1045" s="73"/>
      <c r="BM1045" s="73"/>
      <c r="BN1045" s="73"/>
      <c r="BO1045" s="73"/>
      <c r="BP1045" s="73"/>
      <c r="BQ1045" s="73"/>
      <c r="BR1045" s="73"/>
      <c r="BS1045" s="73"/>
      <c r="BT1045" s="73"/>
      <c r="BU1045" s="73"/>
      <c r="BV1045" s="73"/>
      <c r="BW1045" s="73"/>
      <c r="BX1045" s="73"/>
      <c r="BY1045" s="73"/>
      <c r="BZ1045" s="73"/>
      <c r="CA1045" s="73"/>
      <c r="CB1045" s="73"/>
      <c r="CC1045" s="73"/>
      <c r="CD1045" s="73"/>
      <c r="CE1045" s="73"/>
      <c r="CF1045" s="73"/>
      <c r="CG1045" s="73"/>
      <c r="CH1045" s="73"/>
      <c r="CI1045" s="73"/>
      <c r="CJ1045" s="73"/>
      <c r="CK1045" s="73"/>
      <c r="CL1045" s="73"/>
      <c r="CM1045" s="73"/>
      <c r="CN1045" s="73"/>
      <c r="CO1045" s="73"/>
      <c r="CP1045" s="73"/>
      <c r="CQ1045" s="73"/>
      <c r="CR1045" s="73"/>
      <c r="CS1045" s="73"/>
      <c r="CT1045" s="73"/>
      <c r="CU1045" s="73"/>
      <c r="CV1045" s="73"/>
      <c r="CW1045" s="73"/>
      <c r="CX1045" s="73"/>
      <c r="CY1045" s="73"/>
      <c r="CZ1045" s="73"/>
      <c r="DA1045" s="73"/>
      <c r="DB1045" s="73"/>
      <c r="DC1045" s="73"/>
      <c r="DD1045" s="73"/>
      <c r="DE1045" s="73"/>
      <c r="DF1045" s="73"/>
      <c r="DG1045" s="73"/>
      <c r="DH1045" s="73"/>
      <c r="DI1045" s="73"/>
      <c r="DJ1045" s="73"/>
      <c r="DK1045" s="73"/>
      <c r="DL1045" s="73"/>
      <c r="DM1045" s="73"/>
    </row>
    <row r="1046" spans="1:117" s="48" customFormat="1">
      <c r="A1046" s="73"/>
      <c r="T1046" s="73"/>
      <c r="U1046" s="73"/>
      <c r="V1046" s="73"/>
      <c r="W1046" s="73"/>
      <c r="X1046" s="73"/>
      <c r="Y1046" s="73"/>
      <c r="Z1046" s="73"/>
      <c r="AA1046" s="73"/>
      <c r="AB1046" s="73"/>
      <c r="AC1046" s="73"/>
      <c r="AD1046" s="73"/>
      <c r="AE1046" s="73"/>
      <c r="AF1046" s="73"/>
      <c r="AG1046" s="73"/>
      <c r="AH1046" s="73"/>
      <c r="AI1046" s="73"/>
      <c r="AJ1046" s="73"/>
      <c r="AK1046" s="73"/>
      <c r="AL1046" s="73"/>
      <c r="AM1046" s="73"/>
      <c r="AN1046" s="73"/>
      <c r="AO1046" s="73"/>
      <c r="AP1046" s="73"/>
      <c r="AQ1046" s="73"/>
      <c r="AR1046" s="73"/>
      <c r="AS1046" s="73"/>
      <c r="AT1046" s="73"/>
      <c r="AU1046" s="73"/>
      <c r="AV1046" s="73"/>
      <c r="AW1046" s="73"/>
      <c r="AX1046" s="73"/>
      <c r="AY1046" s="73"/>
      <c r="AZ1046" s="73"/>
      <c r="BA1046" s="73"/>
      <c r="BB1046" s="73"/>
      <c r="BC1046" s="73"/>
      <c r="BD1046" s="73"/>
      <c r="BE1046" s="73"/>
      <c r="BF1046" s="73"/>
      <c r="BG1046" s="73"/>
      <c r="BH1046" s="73"/>
      <c r="BI1046" s="73"/>
      <c r="BJ1046" s="73"/>
      <c r="BK1046" s="73"/>
      <c r="BL1046" s="73"/>
      <c r="BM1046" s="73"/>
      <c r="BN1046" s="73"/>
      <c r="BO1046" s="73"/>
      <c r="BP1046" s="73"/>
      <c r="BQ1046" s="73"/>
      <c r="BR1046" s="73"/>
      <c r="BS1046" s="73"/>
      <c r="BT1046" s="73"/>
      <c r="BU1046" s="73"/>
      <c r="BV1046" s="73"/>
      <c r="BW1046" s="73"/>
      <c r="BX1046" s="73"/>
      <c r="BY1046" s="73"/>
      <c r="BZ1046" s="73"/>
      <c r="CA1046" s="73"/>
      <c r="CB1046" s="73"/>
      <c r="CC1046" s="73"/>
      <c r="CD1046" s="73"/>
      <c r="CE1046" s="73"/>
      <c r="CF1046" s="73"/>
      <c r="CG1046" s="73"/>
      <c r="CH1046" s="73"/>
      <c r="CI1046" s="73"/>
      <c r="CJ1046" s="73"/>
      <c r="CK1046" s="73"/>
      <c r="CL1046" s="73"/>
      <c r="CM1046" s="73"/>
      <c r="CN1046" s="73"/>
      <c r="CO1046" s="73"/>
      <c r="CP1046" s="73"/>
      <c r="CQ1046" s="73"/>
      <c r="CR1046" s="73"/>
      <c r="CS1046" s="73"/>
      <c r="CT1046" s="73"/>
      <c r="CU1046" s="73"/>
      <c r="CV1046" s="73"/>
      <c r="CW1046" s="73"/>
      <c r="CX1046" s="73"/>
      <c r="CY1046" s="73"/>
      <c r="CZ1046" s="73"/>
      <c r="DA1046" s="73"/>
      <c r="DB1046" s="73"/>
      <c r="DC1046" s="73"/>
      <c r="DD1046" s="73"/>
      <c r="DE1046" s="73"/>
      <c r="DF1046" s="73"/>
      <c r="DG1046" s="73"/>
      <c r="DH1046" s="73"/>
      <c r="DI1046" s="73"/>
      <c r="DJ1046" s="73"/>
      <c r="DK1046" s="73"/>
      <c r="DL1046" s="73"/>
      <c r="DM1046" s="73"/>
    </row>
    <row r="1047" spans="1:117" s="48" customFormat="1">
      <c r="A1047" s="73"/>
      <c r="T1047" s="73"/>
      <c r="U1047" s="73"/>
      <c r="V1047" s="73"/>
      <c r="W1047" s="73"/>
      <c r="X1047" s="73"/>
      <c r="Y1047" s="73"/>
      <c r="Z1047" s="73"/>
      <c r="AA1047" s="73"/>
      <c r="AB1047" s="73"/>
      <c r="AC1047" s="73"/>
      <c r="AD1047" s="73"/>
      <c r="AE1047" s="73"/>
      <c r="AF1047" s="73"/>
      <c r="AG1047" s="73"/>
      <c r="AH1047" s="73"/>
      <c r="AI1047" s="73"/>
      <c r="AJ1047" s="73"/>
      <c r="AK1047" s="73"/>
      <c r="AL1047" s="73"/>
      <c r="AM1047" s="73"/>
      <c r="AN1047" s="73"/>
      <c r="AO1047" s="73"/>
      <c r="AP1047" s="73"/>
      <c r="AQ1047" s="73"/>
      <c r="AR1047" s="73"/>
      <c r="AS1047" s="73"/>
      <c r="AT1047" s="73"/>
      <c r="AU1047" s="73"/>
      <c r="AV1047" s="73"/>
      <c r="AW1047" s="73"/>
      <c r="AX1047" s="73"/>
      <c r="AY1047" s="73"/>
      <c r="AZ1047" s="73"/>
      <c r="BA1047" s="73"/>
      <c r="BB1047" s="73"/>
      <c r="BC1047" s="73"/>
      <c r="BD1047" s="73"/>
      <c r="BE1047" s="73"/>
      <c r="BF1047" s="73"/>
      <c r="BG1047" s="73"/>
      <c r="BH1047" s="73"/>
      <c r="BI1047" s="73"/>
      <c r="BJ1047" s="73"/>
      <c r="BK1047" s="73"/>
      <c r="BL1047" s="73"/>
      <c r="BM1047" s="73"/>
      <c r="BN1047" s="73"/>
      <c r="BO1047" s="73"/>
      <c r="BP1047" s="73"/>
      <c r="BQ1047" s="73"/>
      <c r="BR1047" s="73"/>
      <c r="BS1047" s="73"/>
      <c r="BT1047" s="73"/>
      <c r="BU1047" s="73"/>
      <c r="BV1047" s="73"/>
      <c r="BW1047" s="73"/>
      <c r="BX1047" s="73"/>
      <c r="BY1047" s="73"/>
      <c r="BZ1047" s="73"/>
      <c r="CA1047" s="73"/>
      <c r="CB1047" s="73"/>
      <c r="CC1047" s="73"/>
      <c r="CD1047" s="73"/>
      <c r="CE1047" s="73"/>
      <c r="CF1047" s="73"/>
      <c r="CG1047" s="73"/>
      <c r="CH1047" s="73"/>
      <c r="CI1047" s="73"/>
      <c r="CJ1047" s="73"/>
      <c r="CK1047" s="73"/>
      <c r="CL1047" s="73"/>
      <c r="CM1047" s="73"/>
      <c r="CN1047" s="73"/>
      <c r="CO1047" s="73"/>
      <c r="CP1047" s="73"/>
      <c r="CQ1047" s="73"/>
      <c r="CR1047" s="73"/>
      <c r="CS1047" s="73"/>
      <c r="CT1047" s="73"/>
      <c r="CU1047" s="73"/>
      <c r="CV1047" s="73"/>
      <c r="CW1047" s="73"/>
      <c r="CX1047" s="73"/>
      <c r="CY1047" s="73"/>
      <c r="CZ1047" s="73"/>
      <c r="DA1047" s="73"/>
      <c r="DB1047" s="73"/>
      <c r="DC1047" s="73"/>
      <c r="DD1047" s="73"/>
      <c r="DE1047" s="73"/>
      <c r="DF1047" s="73"/>
      <c r="DG1047" s="73"/>
      <c r="DH1047" s="73"/>
      <c r="DI1047" s="73"/>
      <c r="DJ1047" s="73"/>
      <c r="DK1047" s="73"/>
      <c r="DL1047" s="73"/>
      <c r="DM1047" s="73"/>
    </row>
    <row r="1048" spans="1:117" s="48" customFormat="1">
      <c r="A1048" s="73"/>
      <c r="T1048" s="73"/>
      <c r="U1048" s="73"/>
      <c r="V1048" s="73"/>
      <c r="W1048" s="73"/>
      <c r="X1048" s="73"/>
      <c r="Y1048" s="73"/>
      <c r="Z1048" s="73"/>
      <c r="AA1048" s="73"/>
      <c r="AB1048" s="73"/>
      <c r="AC1048" s="73"/>
      <c r="AD1048" s="73"/>
      <c r="AE1048" s="73"/>
      <c r="AF1048" s="73"/>
      <c r="AG1048" s="73"/>
      <c r="AH1048" s="73"/>
      <c r="AI1048" s="73"/>
      <c r="AJ1048" s="73"/>
      <c r="AK1048" s="73"/>
      <c r="AL1048" s="73"/>
      <c r="AM1048" s="73"/>
      <c r="AN1048" s="73"/>
      <c r="AO1048" s="73"/>
      <c r="AP1048" s="73"/>
      <c r="AQ1048" s="73"/>
      <c r="AR1048" s="73"/>
      <c r="AS1048" s="73"/>
      <c r="AT1048" s="73"/>
      <c r="AU1048" s="73"/>
      <c r="AV1048" s="73"/>
      <c r="AW1048" s="73"/>
      <c r="AX1048" s="73"/>
      <c r="AY1048" s="73"/>
      <c r="AZ1048" s="73"/>
      <c r="BA1048" s="73"/>
      <c r="BB1048" s="73"/>
      <c r="BC1048" s="73"/>
      <c r="BD1048" s="73"/>
      <c r="BE1048" s="73"/>
      <c r="BF1048" s="73"/>
      <c r="BG1048" s="73"/>
      <c r="BH1048" s="73"/>
      <c r="BI1048" s="73"/>
      <c r="BJ1048" s="73"/>
      <c r="BK1048" s="73"/>
      <c r="BL1048" s="73"/>
      <c r="BM1048" s="73"/>
      <c r="BN1048" s="73"/>
      <c r="BO1048" s="73"/>
      <c r="BP1048" s="73"/>
      <c r="BQ1048" s="73"/>
      <c r="BR1048" s="73"/>
      <c r="BS1048" s="73"/>
      <c r="BT1048" s="73"/>
      <c r="BU1048" s="73"/>
      <c r="BV1048" s="73"/>
      <c r="BW1048" s="73"/>
      <c r="BX1048" s="73"/>
      <c r="BY1048" s="73"/>
      <c r="BZ1048" s="73"/>
      <c r="CA1048" s="73"/>
      <c r="CB1048" s="73"/>
      <c r="CC1048" s="73"/>
      <c r="CD1048" s="73"/>
      <c r="CE1048" s="73"/>
      <c r="CF1048" s="73"/>
      <c r="CG1048" s="73"/>
      <c r="CH1048" s="73"/>
      <c r="CI1048" s="73"/>
      <c r="CJ1048" s="73"/>
      <c r="CK1048" s="73"/>
      <c r="CL1048" s="73"/>
      <c r="CM1048" s="73"/>
      <c r="CN1048" s="73"/>
      <c r="CO1048" s="73"/>
      <c r="CP1048" s="73"/>
      <c r="CQ1048" s="73"/>
      <c r="CR1048" s="73"/>
      <c r="CS1048" s="73"/>
      <c r="CT1048" s="73"/>
      <c r="CU1048" s="73"/>
      <c r="CV1048" s="73"/>
      <c r="CW1048" s="73"/>
      <c r="CX1048" s="73"/>
      <c r="CY1048" s="73"/>
      <c r="CZ1048" s="73"/>
      <c r="DA1048" s="73"/>
      <c r="DB1048" s="73"/>
      <c r="DC1048" s="73"/>
      <c r="DD1048" s="73"/>
      <c r="DE1048" s="73"/>
      <c r="DF1048" s="73"/>
      <c r="DG1048" s="73"/>
      <c r="DH1048" s="73"/>
      <c r="DI1048" s="73"/>
      <c r="DJ1048" s="73"/>
      <c r="DK1048" s="73"/>
      <c r="DL1048" s="73"/>
      <c r="DM1048" s="73"/>
    </row>
    <row r="1049" spans="1:117" s="48" customFormat="1">
      <c r="A1049" s="73"/>
      <c r="T1049" s="73"/>
      <c r="U1049" s="73"/>
      <c r="V1049" s="73"/>
      <c r="W1049" s="73"/>
      <c r="X1049" s="73"/>
      <c r="Y1049" s="73"/>
      <c r="Z1049" s="73"/>
      <c r="AA1049" s="73"/>
      <c r="AB1049" s="73"/>
      <c r="AC1049" s="73"/>
      <c r="AD1049" s="73"/>
      <c r="AE1049" s="73"/>
      <c r="AF1049" s="73"/>
      <c r="AG1049" s="73"/>
      <c r="AH1049" s="73"/>
      <c r="AI1049" s="73"/>
      <c r="AJ1049" s="73"/>
      <c r="AK1049" s="73"/>
      <c r="AL1049" s="73"/>
      <c r="AM1049" s="73"/>
      <c r="AN1049" s="73"/>
      <c r="AO1049" s="73"/>
      <c r="AP1049" s="73"/>
      <c r="AQ1049" s="73"/>
      <c r="AR1049" s="73"/>
      <c r="AS1049" s="73"/>
      <c r="AT1049" s="73"/>
      <c r="AU1049" s="73"/>
      <c r="AV1049" s="73"/>
      <c r="AW1049" s="73"/>
      <c r="AX1049" s="73"/>
      <c r="AY1049" s="73"/>
      <c r="AZ1049" s="73"/>
      <c r="BA1049" s="73"/>
      <c r="BB1049" s="73"/>
      <c r="BC1049" s="73"/>
      <c r="BD1049" s="73"/>
      <c r="BE1049" s="73"/>
      <c r="BF1049" s="73"/>
      <c r="BG1049" s="73"/>
      <c r="BH1049" s="73"/>
      <c r="BI1049" s="73"/>
      <c r="BJ1049" s="73"/>
      <c r="BK1049" s="73"/>
      <c r="BL1049" s="73"/>
      <c r="BM1049" s="73"/>
      <c r="BN1049" s="73"/>
      <c r="BO1049" s="73"/>
      <c r="BP1049" s="73"/>
      <c r="BQ1049" s="73"/>
      <c r="BR1049" s="73"/>
      <c r="BS1049" s="73"/>
      <c r="BT1049" s="73"/>
      <c r="BU1049" s="73"/>
      <c r="BV1049" s="73"/>
      <c r="BW1049" s="73"/>
      <c r="BX1049" s="73"/>
      <c r="BY1049" s="73"/>
      <c r="BZ1049" s="73"/>
      <c r="CA1049" s="73"/>
      <c r="CB1049" s="73"/>
      <c r="CC1049" s="73"/>
      <c r="CD1049" s="73"/>
      <c r="CE1049" s="73"/>
      <c r="CF1049" s="73"/>
      <c r="CG1049" s="73"/>
      <c r="CH1049" s="73"/>
      <c r="CI1049" s="73"/>
      <c r="CJ1049" s="73"/>
      <c r="CK1049" s="73"/>
      <c r="CL1049" s="73"/>
      <c r="CM1049" s="73"/>
      <c r="CN1049" s="73"/>
      <c r="CO1049" s="73"/>
      <c r="CP1049" s="73"/>
      <c r="CQ1049" s="73"/>
      <c r="CR1049" s="73"/>
      <c r="CS1049" s="73"/>
      <c r="CT1049" s="73"/>
      <c r="CU1049" s="73"/>
      <c r="CV1049" s="73"/>
      <c r="CW1049" s="73"/>
      <c r="CX1049" s="73"/>
      <c r="CY1049" s="73"/>
      <c r="CZ1049" s="73"/>
      <c r="DA1049" s="73"/>
      <c r="DB1049" s="73"/>
      <c r="DC1049" s="73"/>
      <c r="DD1049" s="73"/>
      <c r="DE1049" s="73"/>
      <c r="DF1049" s="73"/>
      <c r="DG1049" s="73"/>
      <c r="DH1049" s="73"/>
      <c r="DI1049" s="73"/>
      <c r="DJ1049" s="73"/>
      <c r="DK1049" s="73"/>
      <c r="DL1049" s="73"/>
      <c r="DM1049" s="73"/>
    </row>
    <row r="1050" spans="1:117" s="48" customFormat="1">
      <c r="A1050" s="73"/>
      <c r="T1050" s="73"/>
      <c r="U1050" s="73"/>
      <c r="V1050" s="73"/>
      <c r="W1050" s="73"/>
      <c r="X1050" s="73"/>
      <c r="Y1050" s="73"/>
      <c r="Z1050" s="73"/>
      <c r="AA1050" s="73"/>
      <c r="AB1050" s="73"/>
      <c r="AC1050" s="73"/>
      <c r="AD1050" s="73"/>
      <c r="AE1050" s="73"/>
      <c r="AF1050" s="73"/>
      <c r="AG1050" s="73"/>
      <c r="AH1050" s="73"/>
      <c r="AI1050" s="73"/>
      <c r="AJ1050" s="73"/>
      <c r="AK1050" s="73"/>
      <c r="AL1050" s="73"/>
      <c r="AM1050" s="73"/>
      <c r="AN1050" s="73"/>
      <c r="AO1050" s="73"/>
      <c r="AP1050" s="73"/>
      <c r="AQ1050" s="73"/>
      <c r="AR1050" s="73"/>
      <c r="AS1050" s="73"/>
      <c r="AT1050" s="73"/>
      <c r="AU1050" s="73"/>
      <c r="AV1050" s="73"/>
      <c r="AW1050" s="73"/>
      <c r="AX1050" s="73"/>
      <c r="AY1050" s="73"/>
      <c r="AZ1050" s="73"/>
      <c r="BA1050" s="73"/>
      <c r="BB1050" s="73"/>
      <c r="BC1050" s="73"/>
      <c r="BD1050" s="73"/>
      <c r="BE1050" s="73"/>
      <c r="BF1050" s="73"/>
      <c r="BG1050" s="73"/>
      <c r="BH1050" s="73"/>
      <c r="BI1050" s="73"/>
      <c r="BJ1050" s="73"/>
      <c r="BK1050" s="73"/>
      <c r="BL1050" s="73"/>
      <c r="BM1050" s="73"/>
      <c r="BN1050" s="73"/>
      <c r="BO1050" s="73"/>
      <c r="BP1050" s="73"/>
      <c r="BQ1050" s="73"/>
      <c r="BR1050" s="73"/>
      <c r="BS1050" s="73"/>
      <c r="BT1050" s="73"/>
      <c r="BU1050" s="73"/>
      <c r="BV1050" s="73"/>
      <c r="BW1050" s="73"/>
      <c r="BX1050" s="73"/>
      <c r="BY1050" s="73"/>
      <c r="BZ1050" s="73"/>
      <c r="CA1050" s="73"/>
      <c r="CB1050" s="73"/>
      <c r="CC1050" s="73"/>
      <c r="CD1050" s="73"/>
      <c r="CE1050" s="73"/>
      <c r="CF1050" s="73"/>
      <c r="CG1050" s="73"/>
      <c r="CH1050" s="73"/>
      <c r="CI1050" s="73"/>
      <c r="CJ1050" s="73"/>
      <c r="CK1050" s="73"/>
      <c r="CL1050" s="73"/>
      <c r="CM1050" s="73"/>
      <c r="CN1050" s="73"/>
      <c r="CO1050" s="73"/>
      <c r="CP1050" s="73"/>
      <c r="CQ1050" s="73"/>
      <c r="CR1050" s="73"/>
      <c r="CS1050" s="73"/>
      <c r="CT1050" s="73"/>
      <c r="CU1050" s="73"/>
      <c r="CV1050" s="73"/>
      <c r="CW1050" s="73"/>
      <c r="CX1050" s="73"/>
      <c r="CY1050" s="73"/>
      <c r="CZ1050" s="73"/>
      <c r="DA1050" s="73"/>
      <c r="DB1050" s="73"/>
      <c r="DC1050" s="73"/>
      <c r="DD1050" s="73"/>
      <c r="DE1050" s="73"/>
      <c r="DF1050" s="73"/>
      <c r="DG1050" s="73"/>
      <c r="DH1050" s="73"/>
      <c r="DI1050" s="73"/>
      <c r="DJ1050" s="73"/>
      <c r="DK1050" s="73"/>
      <c r="DL1050" s="73"/>
      <c r="DM1050" s="73"/>
    </row>
    <row r="1051" spans="1:117" s="48" customFormat="1">
      <c r="A1051" s="73"/>
      <c r="T1051" s="73"/>
      <c r="U1051" s="73"/>
      <c r="V1051" s="73"/>
      <c r="W1051" s="73"/>
      <c r="X1051" s="73"/>
      <c r="Y1051" s="73"/>
      <c r="Z1051" s="73"/>
      <c r="AA1051" s="73"/>
      <c r="AB1051" s="73"/>
      <c r="AC1051" s="73"/>
      <c r="AD1051" s="73"/>
      <c r="AE1051" s="73"/>
      <c r="AF1051" s="73"/>
      <c r="AG1051" s="73"/>
      <c r="AH1051" s="73"/>
      <c r="AI1051" s="73"/>
      <c r="AJ1051" s="73"/>
      <c r="AK1051" s="73"/>
      <c r="AL1051" s="73"/>
      <c r="AM1051" s="73"/>
      <c r="AN1051" s="73"/>
      <c r="AO1051" s="73"/>
      <c r="AP1051" s="73"/>
      <c r="AQ1051" s="73"/>
      <c r="AR1051" s="73"/>
      <c r="AS1051" s="73"/>
      <c r="AT1051" s="73"/>
      <c r="AU1051" s="73"/>
      <c r="AV1051" s="73"/>
      <c r="AW1051" s="73"/>
      <c r="AX1051" s="73"/>
      <c r="AY1051" s="73"/>
      <c r="AZ1051" s="73"/>
      <c r="BA1051" s="73"/>
      <c r="BB1051" s="73"/>
      <c r="BC1051" s="73"/>
      <c r="BD1051" s="73"/>
      <c r="BE1051" s="73"/>
      <c r="BF1051" s="73"/>
      <c r="BG1051" s="73"/>
      <c r="BH1051" s="73"/>
      <c r="BI1051" s="73"/>
      <c r="BJ1051" s="73"/>
      <c r="BK1051" s="73"/>
      <c r="BL1051" s="73"/>
      <c r="BM1051" s="73"/>
      <c r="BN1051" s="73"/>
      <c r="BO1051" s="73"/>
      <c r="BP1051" s="73"/>
      <c r="BQ1051" s="73"/>
      <c r="BR1051" s="73"/>
      <c r="BS1051" s="73"/>
      <c r="BT1051" s="73"/>
      <c r="BU1051" s="73"/>
      <c r="BV1051" s="73"/>
      <c r="BW1051" s="73"/>
      <c r="BX1051" s="73"/>
      <c r="BY1051" s="73"/>
      <c r="BZ1051" s="73"/>
      <c r="CA1051" s="73"/>
      <c r="CB1051" s="73"/>
      <c r="CC1051" s="73"/>
      <c r="CD1051" s="73"/>
      <c r="CE1051" s="73"/>
      <c r="CF1051" s="73"/>
      <c r="CG1051" s="73"/>
      <c r="CH1051" s="73"/>
      <c r="CI1051" s="73"/>
      <c r="CJ1051" s="73"/>
      <c r="CK1051" s="73"/>
      <c r="CL1051" s="73"/>
      <c r="CM1051" s="73"/>
      <c r="CN1051" s="73"/>
      <c r="CO1051" s="73"/>
      <c r="CP1051" s="73"/>
      <c r="CQ1051" s="73"/>
      <c r="CR1051" s="73"/>
      <c r="CS1051" s="73"/>
      <c r="CT1051" s="73"/>
      <c r="CU1051" s="73"/>
      <c r="CV1051" s="73"/>
      <c r="CW1051" s="73"/>
      <c r="CX1051" s="73"/>
      <c r="CY1051" s="73"/>
      <c r="CZ1051" s="73"/>
      <c r="DA1051" s="73"/>
      <c r="DB1051" s="73"/>
      <c r="DC1051" s="73"/>
      <c r="DD1051" s="73"/>
      <c r="DE1051" s="73"/>
      <c r="DF1051" s="73"/>
      <c r="DG1051" s="73"/>
      <c r="DH1051" s="73"/>
      <c r="DI1051" s="73"/>
      <c r="DJ1051" s="73"/>
      <c r="DK1051" s="73"/>
      <c r="DL1051" s="73"/>
      <c r="DM1051" s="73"/>
    </row>
    <row r="1052" spans="1:117" s="48" customFormat="1">
      <c r="A1052" s="73"/>
      <c r="T1052" s="73"/>
      <c r="U1052" s="73"/>
      <c r="V1052" s="73"/>
      <c r="W1052" s="73"/>
      <c r="X1052" s="73"/>
      <c r="Y1052" s="73"/>
      <c r="Z1052" s="73"/>
      <c r="AA1052" s="73"/>
      <c r="AB1052" s="73"/>
      <c r="AC1052" s="73"/>
      <c r="AD1052" s="73"/>
      <c r="AE1052" s="73"/>
      <c r="AF1052" s="73"/>
      <c r="AG1052" s="73"/>
      <c r="AH1052" s="73"/>
      <c r="AI1052" s="73"/>
      <c r="AJ1052" s="73"/>
      <c r="AK1052" s="73"/>
      <c r="AL1052" s="73"/>
      <c r="AM1052" s="73"/>
      <c r="AN1052" s="73"/>
      <c r="AO1052" s="73"/>
      <c r="AP1052" s="73"/>
      <c r="AQ1052" s="73"/>
      <c r="AR1052" s="73"/>
      <c r="AS1052" s="73"/>
      <c r="AT1052" s="73"/>
      <c r="AU1052" s="73"/>
      <c r="AV1052" s="73"/>
      <c r="AW1052" s="73"/>
      <c r="AX1052" s="73"/>
      <c r="AY1052" s="73"/>
      <c r="AZ1052" s="73"/>
      <c r="BA1052" s="73"/>
      <c r="BB1052" s="73"/>
      <c r="BC1052" s="73"/>
      <c r="BD1052" s="73"/>
      <c r="BE1052" s="73"/>
      <c r="BF1052" s="73"/>
      <c r="BG1052" s="73"/>
      <c r="BH1052" s="73"/>
      <c r="BI1052" s="73"/>
      <c r="BJ1052" s="73"/>
      <c r="BK1052" s="73"/>
      <c r="BL1052" s="73"/>
      <c r="BM1052" s="73"/>
      <c r="BN1052" s="73"/>
      <c r="BO1052" s="73"/>
      <c r="BP1052" s="73"/>
      <c r="BQ1052" s="73"/>
      <c r="BR1052" s="73"/>
      <c r="BS1052" s="73"/>
      <c r="BT1052" s="73"/>
      <c r="BU1052" s="73"/>
      <c r="BV1052" s="73"/>
      <c r="BW1052" s="73"/>
      <c r="BX1052" s="73"/>
      <c r="BY1052" s="73"/>
      <c r="BZ1052" s="73"/>
      <c r="CA1052" s="73"/>
      <c r="CB1052" s="73"/>
      <c r="CC1052" s="73"/>
      <c r="CD1052" s="73"/>
      <c r="CE1052" s="73"/>
      <c r="CF1052" s="73"/>
      <c r="CG1052" s="73"/>
      <c r="CH1052" s="73"/>
      <c r="CI1052" s="73"/>
      <c r="CJ1052" s="73"/>
      <c r="CK1052" s="73"/>
      <c r="CL1052" s="73"/>
      <c r="CM1052" s="73"/>
      <c r="CN1052" s="73"/>
      <c r="CO1052" s="73"/>
      <c r="CP1052" s="73"/>
      <c r="CQ1052" s="73"/>
      <c r="CR1052" s="73"/>
      <c r="CS1052" s="73"/>
      <c r="CT1052" s="73"/>
      <c r="CU1052" s="73"/>
      <c r="CV1052" s="73"/>
      <c r="CW1052" s="73"/>
      <c r="CX1052" s="73"/>
      <c r="CY1052" s="73"/>
      <c r="CZ1052" s="73"/>
      <c r="DA1052" s="73"/>
      <c r="DB1052" s="73"/>
      <c r="DC1052" s="73"/>
      <c r="DD1052" s="73"/>
      <c r="DE1052" s="73"/>
      <c r="DF1052" s="73"/>
      <c r="DG1052" s="73"/>
      <c r="DH1052" s="73"/>
      <c r="DI1052" s="73"/>
      <c r="DJ1052" s="73"/>
      <c r="DK1052" s="73"/>
      <c r="DL1052" s="73"/>
      <c r="DM1052" s="73"/>
    </row>
    <row r="1053" spans="1:117" s="48" customFormat="1">
      <c r="A1053" s="73"/>
      <c r="T1053" s="73"/>
      <c r="U1053" s="73"/>
      <c r="V1053" s="73"/>
      <c r="W1053" s="73"/>
      <c r="X1053" s="73"/>
      <c r="Y1053" s="73"/>
      <c r="Z1053" s="73"/>
      <c r="AA1053" s="73"/>
      <c r="AB1053" s="73"/>
      <c r="AC1053" s="73"/>
      <c r="AD1053" s="73"/>
      <c r="AE1053" s="73"/>
      <c r="AF1053" s="73"/>
      <c r="AG1053" s="73"/>
      <c r="AH1053" s="73"/>
      <c r="AI1053" s="73"/>
      <c r="AJ1053" s="73"/>
      <c r="AK1053" s="73"/>
      <c r="AL1053" s="73"/>
      <c r="AM1053" s="73"/>
      <c r="AN1053" s="73"/>
      <c r="AO1053" s="73"/>
      <c r="AP1053" s="73"/>
      <c r="AQ1053" s="73"/>
      <c r="AR1053" s="73"/>
      <c r="AS1053" s="73"/>
      <c r="AT1053" s="73"/>
      <c r="AU1053" s="73"/>
      <c r="AV1053" s="73"/>
      <c r="AW1053" s="73"/>
      <c r="AX1053" s="73"/>
      <c r="AY1053" s="73"/>
      <c r="AZ1053" s="73"/>
      <c r="BA1053" s="73"/>
      <c r="BB1053" s="73"/>
      <c r="BC1053" s="73"/>
      <c r="BD1053" s="73"/>
      <c r="BE1053" s="73"/>
      <c r="BF1053" s="73"/>
      <c r="BG1053" s="73"/>
      <c r="BH1053" s="73"/>
      <c r="BI1053" s="73"/>
      <c r="BJ1053" s="73"/>
      <c r="BK1053" s="73"/>
      <c r="BL1053" s="73"/>
      <c r="BM1053" s="73"/>
      <c r="BN1053" s="73"/>
      <c r="BO1053" s="73"/>
      <c r="BP1053" s="73"/>
      <c r="BQ1053" s="73"/>
      <c r="BR1053" s="73"/>
      <c r="BS1053" s="73"/>
      <c r="BT1053" s="73"/>
      <c r="BU1053" s="73"/>
      <c r="BV1053" s="73"/>
      <c r="BW1053" s="73"/>
      <c r="BX1053" s="73"/>
      <c r="BY1053" s="73"/>
      <c r="BZ1053" s="73"/>
      <c r="CA1053" s="73"/>
      <c r="CB1053" s="73"/>
      <c r="CC1053" s="73"/>
      <c r="CD1053" s="73"/>
      <c r="CE1053" s="73"/>
      <c r="CF1053" s="73"/>
      <c r="CG1053" s="73"/>
      <c r="CH1053" s="73"/>
      <c r="CI1053" s="73"/>
      <c r="CJ1053" s="73"/>
      <c r="CK1053" s="73"/>
      <c r="CL1053" s="73"/>
      <c r="CM1053" s="73"/>
      <c r="CN1053" s="73"/>
      <c r="CO1053" s="73"/>
      <c r="CP1053" s="73"/>
      <c r="CQ1053" s="73"/>
      <c r="CR1053" s="73"/>
      <c r="CS1053" s="73"/>
      <c r="CT1053" s="73"/>
      <c r="CU1053" s="73"/>
      <c r="CV1053" s="73"/>
      <c r="CW1053" s="73"/>
      <c r="CX1053" s="73"/>
      <c r="CY1053" s="73"/>
      <c r="CZ1053" s="73"/>
      <c r="DA1053" s="73"/>
      <c r="DB1053" s="73"/>
      <c r="DC1053" s="73"/>
      <c r="DD1053" s="73"/>
      <c r="DE1053" s="73"/>
      <c r="DF1053" s="73"/>
      <c r="DG1053" s="73"/>
      <c r="DH1053" s="73"/>
      <c r="DI1053" s="73"/>
      <c r="DJ1053" s="73"/>
      <c r="DK1053" s="73"/>
      <c r="DL1053" s="73"/>
      <c r="DM1053" s="73"/>
    </row>
    <row r="1054" spans="1:117" s="48" customFormat="1">
      <c r="A1054" s="73"/>
      <c r="T1054" s="73"/>
      <c r="U1054" s="73"/>
      <c r="V1054" s="73"/>
      <c r="W1054" s="73"/>
      <c r="X1054" s="73"/>
      <c r="Y1054" s="73"/>
      <c r="Z1054" s="73"/>
      <c r="AA1054" s="73"/>
      <c r="AB1054" s="73"/>
      <c r="AC1054" s="73"/>
      <c r="AD1054" s="73"/>
      <c r="AE1054" s="73"/>
      <c r="AF1054" s="73"/>
      <c r="AG1054" s="73"/>
      <c r="AH1054" s="73"/>
      <c r="AI1054" s="73"/>
      <c r="AJ1054" s="73"/>
      <c r="AK1054" s="73"/>
      <c r="AL1054" s="73"/>
      <c r="AM1054" s="73"/>
      <c r="AN1054" s="73"/>
      <c r="AO1054" s="73"/>
      <c r="AP1054" s="73"/>
      <c r="AQ1054" s="73"/>
      <c r="AR1054" s="73"/>
      <c r="AS1054" s="73"/>
      <c r="AT1054" s="73"/>
      <c r="AU1054" s="73"/>
      <c r="AV1054" s="73"/>
      <c r="AW1054" s="73"/>
      <c r="AX1054" s="73"/>
      <c r="AY1054" s="73"/>
      <c r="AZ1054" s="73"/>
      <c r="BA1054" s="73"/>
      <c r="BB1054" s="73"/>
      <c r="BC1054" s="73"/>
      <c r="BD1054" s="73"/>
      <c r="BE1054" s="73"/>
      <c r="BF1054" s="73"/>
      <c r="BG1054" s="73"/>
      <c r="BH1054" s="73"/>
      <c r="BI1054" s="73"/>
      <c r="BJ1054" s="73"/>
      <c r="BK1054" s="73"/>
      <c r="BL1054" s="73"/>
      <c r="BM1054" s="73"/>
      <c r="BN1054" s="73"/>
      <c r="BO1054" s="73"/>
      <c r="BP1054" s="73"/>
      <c r="BQ1054" s="73"/>
      <c r="BR1054" s="73"/>
      <c r="BS1054" s="73"/>
      <c r="BT1054" s="73"/>
      <c r="BU1054" s="73"/>
      <c r="BV1054" s="73"/>
      <c r="BW1054" s="73"/>
      <c r="BX1054" s="73"/>
      <c r="BY1054" s="73"/>
      <c r="BZ1054" s="73"/>
      <c r="CA1054" s="73"/>
      <c r="CB1054" s="73"/>
      <c r="CC1054" s="73"/>
      <c r="CD1054" s="73"/>
      <c r="CE1054" s="73"/>
      <c r="CF1054" s="73"/>
      <c r="CG1054" s="73"/>
      <c r="CH1054" s="73"/>
      <c r="CI1054" s="73"/>
      <c r="CJ1054" s="73"/>
      <c r="CK1054" s="73"/>
      <c r="CL1054" s="73"/>
      <c r="CM1054" s="73"/>
      <c r="CN1054" s="73"/>
      <c r="CO1054" s="73"/>
      <c r="CP1054" s="73"/>
      <c r="CQ1054" s="73"/>
      <c r="CR1054" s="73"/>
      <c r="CS1054" s="73"/>
      <c r="CT1054" s="73"/>
      <c r="CU1054" s="73"/>
      <c r="CV1054" s="73"/>
      <c r="CW1054" s="73"/>
      <c r="CX1054" s="73"/>
      <c r="CY1054" s="73"/>
      <c r="CZ1054" s="73"/>
      <c r="DA1054" s="73"/>
      <c r="DB1054" s="73"/>
      <c r="DC1054" s="73"/>
      <c r="DD1054" s="73"/>
      <c r="DE1054" s="73"/>
      <c r="DF1054" s="73"/>
      <c r="DG1054" s="73"/>
      <c r="DH1054" s="73"/>
      <c r="DI1054" s="73"/>
      <c r="DJ1054" s="73"/>
      <c r="DK1054" s="73"/>
      <c r="DL1054" s="73"/>
      <c r="DM1054" s="73"/>
    </row>
    <row r="1055" spans="1:117" s="48" customFormat="1">
      <c r="A1055" s="73"/>
      <c r="T1055" s="73"/>
      <c r="U1055" s="73"/>
      <c r="V1055" s="73"/>
      <c r="W1055" s="73"/>
      <c r="X1055" s="73"/>
      <c r="Y1055" s="73"/>
      <c r="Z1055" s="73"/>
      <c r="AA1055" s="73"/>
      <c r="AB1055" s="73"/>
      <c r="AC1055" s="73"/>
      <c r="AD1055" s="73"/>
      <c r="AE1055" s="73"/>
      <c r="AF1055" s="73"/>
      <c r="AG1055" s="73"/>
      <c r="AH1055" s="73"/>
      <c r="AI1055" s="73"/>
      <c r="AJ1055" s="73"/>
      <c r="AK1055" s="73"/>
      <c r="AL1055" s="73"/>
      <c r="AM1055" s="73"/>
      <c r="AN1055" s="73"/>
      <c r="AO1055" s="73"/>
      <c r="AP1055" s="73"/>
      <c r="AQ1055" s="73"/>
      <c r="AR1055" s="73"/>
      <c r="AS1055" s="73"/>
      <c r="AT1055" s="73"/>
      <c r="AU1055" s="73"/>
      <c r="AV1055" s="73"/>
      <c r="AW1055" s="73"/>
      <c r="AX1055" s="73"/>
      <c r="AY1055" s="73"/>
      <c r="AZ1055" s="73"/>
      <c r="BA1055" s="73"/>
      <c r="BB1055" s="73"/>
      <c r="BC1055" s="73"/>
      <c r="BD1055" s="73"/>
      <c r="BE1055" s="73"/>
      <c r="BF1055" s="73"/>
      <c r="BG1055" s="73"/>
      <c r="BH1055" s="73"/>
      <c r="BI1055" s="73"/>
      <c r="BJ1055" s="73"/>
      <c r="BK1055" s="73"/>
      <c r="BL1055" s="73"/>
      <c r="BM1055" s="73"/>
      <c r="BN1055" s="73"/>
      <c r="BO1055" s="73"/>
      <c r="BP1055" s="73"/>
      <c r="BQ1055" s="73"/>
      <c r="BR1055" s="73"/>
      <c r="BS1055" s="73"/>
      <c r="BT1055" s="73"/>
      <c r="BU1055" s="73"/>
      <c r="BV1055" s="73"/>
      <c r="BW1055" s="73"/>
      <c r="BX1055" s="73"/>
      <c r="BY1055" s="73"/>
      <c r="BZ1055" s="73"/>
      <c r="CA1055" s="73"/>
      <c r="CB1055" s="73"/>
      <c r="CC1055" s="73"/>
      <c r="CD1055" s="73"/>
      <c r="CE1055" s="73"/>
      <c r="CF1055" s="73"/>
      <c r="CG1055" s="73"/>
      <c r="CH1055" s="73"/>
      <c r="CI1055" s="73"/>
      <c r="CJ1055" s="73"/>
      <c r="CK1055" s="73"/>
      <c r="CL1055" s="73"/>
      <c r="CM1055" s="73"/>
      <c r="CN1055" s="73"/>
      <c r="CO1055" s="73"/>
      <c r="CP1055" s="73"/>
      <c r="CQ1055" s="73"/>
      <c r="CR1055" s="73"/>
      <c r="CS1055" s="73"/>
      <c r="CT1055" s="73"/>
      <c r="CU1055" s="73"/>
      <c r="CV1055" s="73"/>
      <c r="CW1055" s="73"/>
      <c r="CX1055" s="73"/>
      <c r="CY1055" s="73"/>
      <c r="CZ1055" s="73"/>
      <c r="DA1055" s="73"/>
      <c r="DB1055" s="73"/>
      <c r="DC1055" s="73"/>
      <c r="DD1055" s="73"/>
      <c r="DE1055" s="73"/>
      <c r="DF1055" s="73"/>
      <c r="DG1055" s="73"/>
      <c r="DH1055" s="73"/>
      <c r="DI1055" s="73"/>
      <c r="DJ1055" s="73"/>
      <c r="DK1055" s="73"/>
      <c r="DL1055" s="73"/>
      <c r="DM1055" s="73"/>
    </row>
    <row r="1056" spans="1:117" s="48" customFormat="1">
      <c r="A1056" s="73"/>
      <c r="T1056" s="73"/>
      <c r="U1056" s="73"/>
      <c r="V1056" s="73"/>
      <c r="W1056" s="73"/>
      <c r="X1056" s="73"/>
      <c r="Y1056" s="73"/>
      <c r="Z1056" s="73"/>
      <c r="AA1056" s="73"/>
      <c r="AB1056" s="73"/>
      <c r="AC1056" s="73"/>
      <c r="AD1056" s="73"/>
      <c r="AE1056" s="73"/>
      <c r="AF1056" s="73"/>
      <c r="AG1056" s="73"/>
      <c r="AH1056" s="73"/>
      <c r="AI1056" s="73"/>
      <c r="AJ1056" s="73"/>
      <c r="AK1056" s="73"/>
      <c r="AL1056" s="73"/>
      <c r="AM1056" s="73"/>
      <c r="AN1056" s="73"/>
      <c r="AO1056" s="73"/>
      <c r="AP1056" s="73"/>
      <c r="AQ1056" s="73"/>
      <c r="AR1056" s="73"/>
      <c r="AS1056" s="73"/>
      <c r="AT1056" s="73"/>
      <c r="AU1056" s="73"/>
      <c r="AV1056" s="73"/>
      <c r="AW1056" s="73"/>
      <c r="AX1056" s="73"/>
      <c r="AY1056" s="73"/>
      <c r="AZ1056" s="73"/>
      <c r="BA1056" s="73"/>
      <c r="BB1056" s="73"/>
      <c r="BC1056" s="73"/>
      <c r="BD1056" s="73"/>
      <c r="BE1056" s="73"/>
      <c r="BF1056" s="73"/>
      <c r="BG1056" s="73"/>
      <c r="BH1056" s="73"/>
      <c r="BI1056" s="73"/>
      <c r="BJ1056" s="73"/>
      <c r="BK1056" s="73"/>
      <c r="BL1056" s="73"/>
      <c r="BM1056" s="73"/>
      <c r="BN1056" s="73"/>
      <c r="BO1056" s="73"/>
      <c r="BP1056" s="73"/>
      <c r="BQ1056" s="73"/>
      <c r="BR1056" s="73"/>
      <c r="BS1056" s="73"/>
      <c r="BT1056" s="73"/>
      <c r="BU1056" s="73"/>
      <c r="BV1056" s="73"/>
      <c r="BW1056" s="73"/>
      <c r="BX1056" s="73"/>
      <c r="BY1056" s="73"/>
      <c r="BZ1056" s="73"/>
      <c r="CA1056" s="73"/>
      <c r="CB1056" s="73"/>
      <c r="CC1056" s="73"/>
      <c r="CD1056" s="73"/>
      <c r="CE1056" s="73"/>
      <c r="CF1056" s="73"/>
      <c r="CG1056" s="73"/>
      <c r="CH1056" s="73"/>
      <c r="CI1056" s="73"/>
      <c r="CJ1056" s="73"/>
      <c r="CK1056" s="73"/>
      <c r="CL1056" s="73"/>
      <c r="CM1056" s="73"/>
      <c r="CN1056" s="73"/>
      <c r="CO1056" s="73"/>
      <c r="CP1056" s="73"/>
      <c r="CQ1056" s="73"/>
      <c r="CR1056" s="73"/>
      <c r="CS1056" s="73"/>
      <c r="CT1056" s="73"/>
      <c r="CU1056" s="73"/>
      <c r="CV1056" s="73"/>
      <c r="CW1056" s="73"/>
      <c r="CX1056" s="73"/>
      <c r="CY1056" s="73"/>
      <c r="CZ1056" s="73"/>
      <c r="DA1056" s="73"/>
      <c r="DB1056" s="73"/>
      <c r="DC1056" s="73"/>
      <c r="DD1056" s="73"/>
      <c r="DE1056" s="73"/>
      <c r="DF1056" s="73"/>
      <c r="DG1056" s="73"/>
      <c r="DH1056" s="73"/>
      <c r="DI1056" s="73"/>
      <c r="DJ1056" s="73"/>
      <c r="DK1056" s="73"/>
      <c r="DL1056" s="73"/>
      <c r="DM1056" s="73"/>
    </row>
    <row r="1057" spans="1:117" s="48" customFormat="1">
      <c r="A1057" s="73"/>
      <c r="T1057" s="73"/>
      <c r="U1057" s="73"/>
      <c r="V1057" s="73"/>
      <c r="W1057" s="73"/>
      <c r="X1057" s="73"/>
      <c r="Y1057" s="73"/>
      <c r="Z1057" s="73"/>
      <c r="AA1057" s="73"/>
      <c r="AB1057" s="73"/>
      <c r="AC1057" s="73"/>
      <c r="AD1057" s="73"/>
      <c r="AE1057" s="73"/>
      <c r="AF1057" s="73"/>
      <c r="AG1057" s="73"/>
      <c r="AH1057" s="73"/>
      <c r="AI1057" s="73"/>
      <c r="AJ1057" s="73"/>
      <c r="AK1057" s="73"/>
      <c r="AL1057" s="73"/>
      <c r="AM1057" s="73"/>
      <c r="AN1057" s="73"/>
      <c r="AO1057" s="73"/>
      <c r="AP1057" s="73"/>
      <c r="AQ1057" s="73"/>
      <c r="AR1057" s="73"/>
      <c r="AS1057" s="73"/>
      <c r="AT1057" s="73"/>
      <c r="AU1057" s="73"/>
      <c r="AV1057" s="73"/>
      <c r="AW1057" s="73"/>
      <c r="AX1057" s="73"/>
      <c r="AY1057" s="73"/>
      <c r="AZ1057" s="73"/>
      <c r="BA1057" s="73"/>
      <c r="BB1057" s="73"/>
      <c r="BC1057" s="73"/>
      <c r="BD1057" s="73"/>
      <c r="BE1057" s="73"/>
      <c r="BF1057" s="73"/>
      <c r="BG1057" s="73"/>
      <c r="BH1057" s="73"/>
      <c r="BI1057" s="73"/>
      <c r="BJ1057" s="73"/>
      <c r="BK1057" s="73"/>
      <c r="BL1057" s="73"/>
      <c r="BM1057" s="73"/>
      <c r="BN1057" s="73"/>
      <c r="BO1057" s="73"/>
      <c r="BP1057" s="73"/>
      <c r="BQ1057" s="73"/>
      <c r="BR1057" s="73"/>
      <c r="BS1057" s="73"/>
      <c r="BT1057" s="73"/>
      <c r="BU1057" s="73"/>
      <c r="BV1057" s="73"/>
      <c r="BW1057" s="73"/>
      <c r="BX1057" s="73"/>
      <c r="BY1057" s="73"/>
      <c r="BZ1057" s="73"/>
      <c r="CA1057" s="73"/>
      <c r="CB1057" s="73"/>
      <c r="CC1057" s="73"/>
      <c r="CD1057" s="73"/>
      <c r="CE1057" s="73"/>
      <c r="CF1057" s="73"/>
      <c r="CG1057" s="73"/>
      <c r="CH1057" s="73"/>
      <c r="CI1057" s="73"/>
      <c r="CJ1057" s="73"/>
      <c r="CK1057" s="73"/>
      <c r="CL1057" s="73"/>
      <c r="CM1057" s="73"/>
      <c r="CN1057" s="73"/>
      <c r="CO1057" s="73"/>
      <c r="CP1057" s="73"/>
      <c r="CQ1057" s="73"/>
      <c r="CR1057" s="73"/>
      <c r="CS1057" s="73"/>
      <c r="CT1057" s="73"/>
      <c r="CU1057" s="73"/>
      <c r="CV1057" s="73"/>
      <c r="CW1057" s="73"/>
      <c r="CX1057" s="73"/>
      <c r="CY1057" s="73"/>
      <c r="CZ1057" s="73"/>
      <c r="DA1057" s="73"/>
      <c r="DB1057" s="73"/>
      <c r="DC1057" s="73"/>
      <c r="DD1057" s="73"/>
      <c r="DE1057" s="73"/>
      <c r="DF1057" s="73"/>
      <c r="DG1057" s="73"/>
      <c r="DH1057" s="73"/>
      <c r="DI1057" s="73"/>
      <c r="DJ1057" s="73"/>
      <c r="DK1057" s="73"/>
      <c r="DL1057" s="73"/>
      <c r="DM1057" s="73"/>
    </row>
    <row r="1058" spans="1:117" s="48" customFormat="1">
      <c r="A1058" s="73"/>
      <c r="T1058" s="73"/>
      <c r="U1058" s="73"/>
      <c r="V1058" s="73"/>
      <c r="W1058" s="73"/>
      <c r="X1058" s="73"/>
      <c r="Y1058" s="73"/>
      <c r="Z1058" s="73"/>
      <c r="AA1058" s="73"/>
      <c r="AB1058" s="73"/>
      <c r="AC1058" s="73"/>
      <c r="AD1058" s="73"/>
      <c r="AE1058" s="73"/>
      <c r="AF1058" s="73"/>
      <c r="AG1058" s="73"/>
      <c r="AH1058" s="73"/>
      <c r="AI1058" s="73"/>
      <c r="AJ1058" s="73"/>
      <c r="AK1058" s="73"/>
      <c r="AL1058" s="73"/>
      <c r="AM1058" s="73"/>
      <c r="AN1058" s="73"/>
      <c r="AO1058" s="73"/>
      <c r="AP1058" s="73"/>
      <c r="AQ1058" s="73"/>
      <c r="AR1058" s="73"/>
      <c r="AS1058" s="73"/>
      <c r="AT1058" s="73"/>
      <c r="AU1058" s="73"/>
      <c r="AV1058" s="73"/>
      <c r="AW1058" s="73"/>
      <c r="AX1058" s="73"/>
      <c r="AY1058" s="73"/>
      <c r="AZ1058" s="73"/>
      <c r="BA1058" s="73"/>
      <c r="BB1058" s="73"/>
      <c r="BC1058" s="73"/>
      <c r="BD1058" s="73"/>
      <c r="BE1058" s="73"/>
      <c r="BF1058" s="73"/>
      <c r="BG1058" s="73"/>
      <c r="BH1058" s="73"/>
      <c r="BI1058" s="73"/>
      <c r="BJ1058" s="73"/>
      <c r="BK1058" s="73"/>
      <c r="BL1058" s="73"/>
      <c r="BM1058" s="73"/>
      <c r="BN1058" s="73"/>
      <c r="BO1058" s="73"/>
      <c r="BP1058" s="73"/>
      <c r="BQ1058" s="73"/>
      <c r="BR1058" s="73"/>
      <c r="BS1058" s="73"/>
      <c r="BT1058" s="73"/>
      <c r="BU1058" s="73"/>
      <c r="BV1058" s="73"/>
      <c r="BW1058" s="73"/>
      <c r="BX1058" s="73"/>
      <c r="BY1058" s="73"/>
      <c r="BZ1058" s="73"/>
      <c r="CA1058" s="73"/>
      <c r="CB1058" s="73"/>
      <c r="CC1058" s="73"/>
      <c r="CD1058" s="73"/>
      <c r="CE1058" s="73"/>
      <c r="CF1058" s="73"/>
      <c r="CG1058" s="73"/>
      <c r="CH1058" s="73"/>
      <c r="CI1058" s="73"/>
      <c r="CJ1058" s="73"/>
      <c r="CK1058" s="73"/>
      <c r="CL1058" s="73"/>
      <c r="CM1058" s="73"/>
      <c r="CN1058" s="73"/>
      <c r="CO1058" s="73"/>
      <c r="CP1058" s="73"/>
      <c r="CQ1058" s="73"/>
      <c r="CR1058" s="73"/>
      <c r="CS1058" s="73"/>
      <c r="CT1058" s="73"/>
      <c r="CU1058" s="73"/>
      <c r="CV1058" s="73"/>
      <c r="CW1058" s="73"/>
      <c r="CX1058" s="73"/>
      <c r="CY1058" s="73"/>
      <c r="CZ1058" s="73"/>
      <c r="DA1058" s="73"/>
      <c r="DB1058" s="73"/>
      <c r="DC1058" s="73"/>
      <c r="DD1058" s="73"/>
      <c r="DE1058" s="73"/>
      <c r="DF1058" s="73"/>
      <c r="DG1058" s="73"/>
      <c r="DH1058" s="73"/>
      <c r="DI1058" s="73"/>
      <c r="DJ1058" s="73"/>
      <c r="DK1058" s="73"/>
      <c r="DL1058" s="73"/>
      <c r="DM1058" s="73"/>
    </row>
    <row r="1059" spans="1:117" s="48" customFormat="1">
      <c r="A1059" s="73"/>
      <c r="T1059" s="73"/>
      <c r="U1059" s="73"/>
      <c r="V1059" s="73"/>
      <c r="W1059" s="73"/>
      <c r="X1059" s="73"/>
      <c r="Y1059" s="73"/>
      <c r="Z1059" s="73"/>
      <c r="AA1059" s="73"/>
      <c r="AB1059" s="73"/>
      <c r="AC1059" s="73"/>
      <c r="AD1059" s="73"/>
      <c r="AE1059" s="73"/>
      <c r="AF1059" s="73"/>
      <c r="AG1059" s="73"/>
      <c r="AH1059" s="73"/>
      <c r="AI1059" s="73"/>
      <c r="AJ1059" s="73"/>
      <c r="AK1059" s="73"/>
      <c r="AL1059" s="73"/>
      <c r="AM1059" s="73"/>
      <c r="AN1059" s="73"/>
      <c r="AO1059" s="73"/>
      <c r="AP1059" s="73"/>
      <c r="AQ1059" s="73"/>
      <c r="AR1059" s="73"/>
      <c r="AS1059" s="73"/>
      <c r="AT1059" s="73"/>
      <c r="AU1059" s="73"/>
      <c r="AV1059" s="73"/>
      <c r="AW1059" s="73"/>
      <c r="AX1059" s="73"/>
      <c r="AY1059" s="73"/>
      <c r="AZ1059" s="73"/>
      <c r="BA1059" s="73"/>
      <c r="BB1059" s="73"/>
      <c r="BC1059" s="73"/>
      <c r="BD1059" s="73"/>
      <c r="BE1059" s="73"/>
      <c r="BF1059" s="73"/>
      <c r="BG1059" s="73"/>
      <c r="BH1059" s="73"/>
      <c r="BI1059" s="73"/>
      <c r="BJ1059" s="73"/>
      <c r="BK1059" s="73"/>
      <c r="BL1059" s="73"/>
      <c r="BM1059" s="73"/>
      <c r="BN1059" s="73"/>
      <c r="BO1059" s="73"/>
      <c r="BP1059" s="73"/>
      <c r="BQ1059" s="73"/>
      <c r="BR1059" s="73"/>
      <c r="BS1059" s="73"/>
      <c r="BT1059" s="73"/>
      <c r="BU1059" s="73"/>
      <c r="BV1059" s="73"/>
      <c r="BW1059" s="73"/>
      <c r="BX1059" s="73"/>
      <c r="BY1059" s="73"/>
      <c r="BZ1059" s="73"/>
      <c r="CA1059" s="73"/>
      <c r="CB1059" s="73"/>
      <c r="CC1059" s="73"/>
      <c r="CD1059" s="73"/>
      <c r="CE1059" s="73"/>
      <c r="CF1059" s="73"/>
      <c r="CG1059" s="73"/>
      <c r="CH1059" s="73"/>
      <c r="CI1059" s="73"/>
      <c r="CJ1059" s="73"/>
      <c r="CK1059" s="73"/>
      <c r="CL1059" s="73"/>
      <c r="CM1059" s="73"/>
      <c r="CN1059" s="73"/>
      <c r="CO1059" s="73"/>
      <c r="CP1059" s="73"/>
      <c r="CQ1059" s="73"/>
      <c r="CR1059" s="73"/>
      <c r="CS1059" s="73"/>
      <c r="CT1059" s="73"/>
      <c r="CU1059" s="73"/>
      <c r="CV1059" s="73"/>
      <c r="CW1059" s="73"/>
      <c r="CX1059" s="73"/>
      <c r="CY1059" s="73"/>
      <c r="CZ1059" s="73"/>
      <c r="DA1059" s="73"/>
      <c r="DB1059" s="73"/>
      <c r="DC1059" s="73"/>
      <c r="DD1059" s="73"/>
      <c r="DE1059" s="73"/>
      <c r="DF1059" s="73"/>
      <c r="DG1059" s="73"/>
      <c r="DH1059" s="73"/>
      <c r="DI1059" s="73"/>
      <c r="DJ1059" s="73"/>
      <c r="DK1059" s="73"/>
      <c r="DL1059" s="73"/>
      <c r="DM1059" s="73"/>
    </row>
    <row r="1060" spans="1:117" s="48" customFormat="1">
      <c r="A1060" s="73"/>
      <c r="T1060" s="73"/>
      <c r="U1060" s="73"/>
      <c r="V1060" s="73"/>
      <c r="W1060" s="73"/>
      <c r="X1060" s="73"/>
      <c r="Y1060" s="73"/>
      <c r="Z1060" s="73"/>
      <c r="AA1060" s="73"/>
      <c r="AB1060" s="73"/>
      <c r="AC1060" s="73"/>
      <c r="AD1060" s="73"/>
      <c r="AE1060" s="73"/>
      <c r="AF1060" s="73"/>
      <c r="AG1060" s="73"/>
      <c r="AH1060" s="73"/>
      <c r="AI1060" s="73"/>
      <c r="AJ1060" s="73"/>
      <c r="AK1060" s="73"/>
      <c r="AL1060" s="73"/>
      <c r="AM1060" s="73"/>
      <c r="AN1060" s="73"/>
      <c r="AO1060" s="73"/>
      <c r="AP1060" s="73"/>
      <c r="AQ1060" s="73"/>
      <c r="AR1060" s="73"/>
      <c r="AS1060" s="73"/>
      <c r="AT1060" s="73"/>
      <c r="AU1060" s="73"/>
      <c r="AV1060" s="73"/>
      <c r="AW1060" s="73"/>
      <c r="AX1060" s="73"/>
      <c r="AY1060" s="73"/>
      <c r="AZ1060" s="73"/>
      <c r="BA1060" s="73"/>
      <c r="BB1060" s="73"/>
      <c r="BC1060" s="73"/>
      <c r="BD1060" s="73"/>
      <c r="BE1060" s="73"/>
      <c r="BF1060" s="73"/>
      <c r="BG1060" s="73"/>
      <c r="BH1060" s="73"/>
      <c r="BI1060" s="73"/>
      <c r="BJ1060" s="73"/>
      <c r="BK1060" s="73"/>
      <c r="BL1060" s="73"/>
      <c r="BM1060" s="73"/>
      <c r="BN1060" s="73"/>
      <c r="BO1060" s="73"/>
      <c r="BP1060" s="73"/>
      <c r="BQ1060" s="73"/>
      <c r="BR1060" s="73"/>
      <c r="BS1060" s="73"/>
      <c r="BT1060" s="73"/>
      <c r="BU1060" s="73"/>
      <c r="BV1060" s="73"/>
      <c r="BW1060" s="73"/>
      <c r="BX1060" s="73"/>
      <c r="BY1060" s="73"/>
      <c r="BZ1060" s="73"/>
      <c r="CA1060" s="73"/>
      <c r="CB1060" s="73"/>
      <c r="CC1060" s="73"/>
      <c r="CD1060" s="73"/>
      <c r="CE1060" s="73"/>
      <c r="CF1060" s="73"/>
      <c r="CG1060" s="73"/>
      <c r="CH1060" s="73"/>
      <c r="CI1060" s="73"/>
      <c r="CJ1060" s="73"/>
      <c r="CK1060" s="73"/>
      <c r="CL1060" s="73"/>
      <c r="CM1060" s="73"/>
      <c r="CN1060" s="73"/>
      <c r="CO1060" s="73"/>
      <c r="CP1060" s="73"/>
      <c r="CQ1060" s="73"/>
      <c r="CR1060" s="73"/>
      <c r="CS1060" s="73"/>
      <c r="CT1060" s="73"/>
      <c r="CU1060" s="73"/>
      <c r="CV1060" s="73"/>
      <c r="CW1060" s="73"/>
      <c r="CX1060" s="73"/>
      <c r="CY1060" s="73"/>
      <c r="CZ1060" s="73"/>
      <c r="DA1060" s="73"/>
      <c r="DB1060" s="73"/>
      <c r="DC1060" s="73"/>
      <c r="DD1060" s="73"/>
      <c r="DE1060" s="73"/>
      <c r="DF1060" s="73"/>
      <c r="DG1060" s="73"/>
      <c r="DH1060" s="73"/>
      <c r="DI1060" s="73"/>
      <c r="DJ1060" s="73"/>
      <c r="DK1060" s="73"/>
      <c r="DL1060" s="73"/>
      <c r="DM1060" s="73"/>
    </row>
    <row r="1061" spans="1:117" s="48" customFormat="1">
      <c r="A1061" s="73"/>
      <c r="T1061" s="73"/>
      <c r="U1061" s="73"/>
      <c r="V1061" s="73"/>
      <c r="W1061" s="73"/>
      <c r="X1061" s="73"/>
      <c r="Y1061" s="73"/>
      <c r="Z1061" s="73"/>
      <c r="AA1061" s="73"/>
      <c r="AB1061" s="73"/>
      <c r="AC1061" s="73"/>
      <c r="AD1061" s="73"/>
      <c r="AE1061" s="73"/>
      <c r="AF1061" s="73"/>
      <c r="AG1061" s="73"/>
      <c r="AH1061" s="73"/>
      <c r="AI1061" s="73"/>
      <c r="AJ1061" s="73"/>
      <c r="AK1061" s="73"/>
      <c r="AL1061" s="73"/>
      <c r="AM1061" s="73"/>
      <c r="AN1061" s="73"/>
      <c r="AO1061" s="73"/>
      <c r="AP1061" s="73"/>
      <c r="AQ1061" s="73"/>
      <c r="AR1061" s="73"/>
      <c r="AS1061" s="73"/>
      <c r="AT1061" s="73"/>
      <c r="AU1061" s="73"/>
      <c r="AV1061" s="73"/>
      <c r="AW1061" s="73"/>
      <c r="AX1061" s="73"/>
      <c r="AY1061" s="73"/>
      <c r="AZ1061" s="73"/>
      <c r="BA1061" s="73"/>
      <c r="BB1061" s="73"/>
      <c r="BC1061" s="73"/>
      <c r="BD1061" s="73"/>
      <c r="BE1061" s="73"/>
      <c r="BF1061" s="73"/>
      <c r="BG1061" s="73"/>
      <c r="BH1061" s="73"/>
      <c r="BI1061" s="73"/>
      <c r="BJ1061" s="73"/>
      <c r="BK1061" s="73"/>
      <c r="BL1061" s="73"/>
      <c r="BM1061" s="73"/>
      <c r="BN1061" s="73"/>
      <c r="BO1061" s="73"/>
      <c r="BP1061" s="73"/>
      <c r="BQ1061" s="73"/>
      <c r="BR1061" s="73"/>
      <c r="BS1061" s="73"/>
      <c r="BT1061" s="73"/>
      <c r="BU1061" s="73"/>
      <c r="BV1061" s="73"/>
      <c r="BW1061" s="73"/>
      <c r="BX1061" s="73"/>
      <c r="BY1061" s="73"/>
      <c r="BZ1061" s="73"/>
      <c r="CA1061" s="73"/>
      <c r="CB1061" s="73"/>
      <c r="CC1061" s="73"/>
      <c r="CD1061" s="73"/>
      <c r="CE1061" s="73"/>
      <c r="CF1061" s="73"/>
      <c r="CG1061" s="73"/>
      <c r="CH1061" s="73"/>
      <c r="CI1061" s="73"/>
      <c r="CJ1061" s="73"/>
      <c r="CK1061" s="73"/>
      <c r="CL1061" s="73"/>
      <c r="CM1061" s="73"/>
      <c r="CN1061" s="73"/>
      <c r="CO1061" s="73"/>
      <c r="CP1061" s="73"/>
      <c r="CQ1061" s="73"/>
      <c r="CR1061" s="73"/>
      <c r="CS1061" s="73"/>
      <c r="CT1061" s="73"/>
      <c r="CU1061" s="73"/>
      <c r="CV1061" s="73"/>
      <c r="CW1061" s="73"/>
      <c r="CX1061" s="73"/>
      <c r="CY1061" s="73"/>
      <c r="CZ1061" s="73"/>
      <c r="DA1061" s="73"/>
      <c r="DB1061" s="73"/>
      <c r="DC1061" s="73"/>
      <c r="DD1061" s="73"/>
      <c r="DE1061" s="73"/>
      <c r="DF1061" s="73"/>
      <c r="DG1061" s="73"/>
      <c r="DH1061" s="73"/>
      <c r="DI1061" s="73"/>
      <c r="DJ1061" s="73"/>
      <c r="DK1061" s="73"/>
      <c r="DL1061" s="73"/>
      <c r="DM1061" s="73"/>
    </row>
    <row r="1062" spans="1:117" s="48" customFormat="1">
      <c r="A1062" s="73"/>
      <c r="T1062" s="73"/>
      <c r="U1062" s="73"/>
      <c r="V1062" s="73"/>
      <c r="W1062" s="73"/>
      <c r="X1062" s="73"/>
      <c r="Y1062" s="73"/>
      <c r="Z1062" s="73"/>
      <c r="AA1062" s="73"/>
      <c r="AB1062" s="73"/>
      <c r="AC1062" s="73"/>
      <c r="AD1062" s="73"/>
      <c r="AE1062" s="73"/>
      <c r="AF1062" s="73"/>
      <c r="AG1062" s="73"/>
      <c r="AH1062" s="73"/>
      <c r="AI1062" s="73"/>
      <c r="AJ1062" s="73"/>
      <c r="AK1062" s="73"/>
      <c r="AL1062" s="73"/>
      <c r="AM1062" s="73"/>
      <c r="AN1062" s="73"/>
      <c r="AO1062" s="73"/>
      <c r="AP1062" s="73"/>
      <c r="AQ1062" s="73"/>
      <c r="AR1062" s="73"/>
      <c r="AS1062" s="73"/>
      <c r="AT1062" s="73"/>
      <c r="AU1062" s="73"/>
      <c r="AV1062" s="73"/>
      <c r="AW1062" s="73"/>
      <c r="AX1062" s="73"/>
      <c r="AY1062" s="73"/>
      <c r="AZ1062" s="73"/>
      <c r="BA1062" s="73"/>
      <c r="BB1062" s="73"/>
      <c r="BC1062" s="73"/>
      <c r="BD1062" s="73"/>
      <c r="BE1062" s="73"/>
      <c r="BF1062" s="73"/>
      <c r="BG1062" s="73"/>
      <c r="BH1062" s="73"/>
      <c r="BI1062" s="73"/>
      <c r="BJ1062" s="73"/>
      <c r="BK1062" s="73"/>
      <c r="BL1062" s="73"/>
      <c r="BM1062" s="73"/>
      <c r="BN1062" s="73"/>
      <c r="BO1062" s="73"/>
      <c r="BP1062" s="73"/>
      <c r="BQ1062" s="73"/>
      <c r="BR1062" s="73"/>
      <c r="BS1062" s="73"/>
      <c r="BT1062" s="73"/>
      <c r="BU1062" s="73"/>
      <c r="BV1062" s="73"/>
      <c r="BW1062" s="73"/>
      <c r="BX1062" s="73"/>
      <c r="BY1062" s="73"/>
      <c r="BZ1062" s="73"/>
      <c r="CA1062" s="73"/>
      <c r="CB1062" s="73"/>
      <c r="CC1062" s="73"/>
      <c r="CD1062" s="73"/>
      <c r="CE1062" s="73"/>
      <c r="CF1062" s="73"/>
      <c r="CG1062" s="73"/>
      <c r="CH1062" s="73"/>
      <c r="CI1062" s="73"/>
      <c r="CJ1062" s="73"/>
      <c r="CK1062" s="73"/>
      <c r="CL1062" s="73"/>
      <c r="CM1062" s="73"/>
      <c r="CN1062" s="73"/>
      <c r="CO1062" s="73"/>
      <c r="CP1062" s="73"/>
      <c r="CQ1062" s="73"/>
      <c r="CR1062" s="73"/>
      <c r="CS1062" s="73"/>
      <c r="CT1062" s="73"/>
      <c r="CU1062" s="73"/>
      <c r="CV1062" s="73"/>
      <c r="CW1062" s="73"/>
      <c r="CX1062" s="73"/>
      <c r="CY1062" s="73"/>
      <c r="CZ1062" s="73"/>
      <c r="DA1062" s="73"/>
      <c r="DB1062" s="73"/>
      <c r="DC1062" s="73"/>
      <c r="DD1062" s="73"/>
      <c r="DE1062" s="73"/>
      <c r="DF1062" s="73"/>
      <c r="DG1062" s="73"/>
      <c r="DH1062" s="73"/>
      <c r="DI1062" s="73"/>
      <c r="DJ1062" s="73"/>
      <c r="DK1062" s="73"/>
      <c r="DL1062" s="73"/>
      <c r="DM1062" s="73"/>
    </row>
    <row r="1063" spans="1:117" s="48" customFormat="1">
      <c r="A1063" s="73"/>
      <c r="T1063" s="73"/>
      <c r="U1063" s="73"/>
      <c r="V1063" s="73"/>
      <c r="W1063" s="73"/>
      <c r="X1063" s="73"/>
      <c r="Y1063" s="73"/>
      <c r="Z1063" s="73"/>
      <c r="AA1063" s="73"/>
      <c r="AB1063" s="73"/>
      <c r="AC1063" s="73"/>
      <c r="AD1063" s="73"/>
      <c r="AE1063" s="73"/>
      <c r="AF1063" s="73"/>
      <c r="AG1063" s="73"/>
      <c r="AH1063" s="73"/>
      <c r="AI1063" s="73"/>
      <c r="AJ1063" s="73"/>
      <c r="AK1063" s="73"/>
      <c r="AL1063" s="73"/>
      <c r="AM1063" s="73"/>
      <c r="AN1063" s="73"/>
      <c r="AO1063" s="73"/>
      <c r="AP1063" s="73"/>
      <c r="AQ1063" s="73"/>
      <c r="AR1063" s="73"/>
      <c r="AS1063" s="73"/>
      <c r="AT1063" s="73"/>
      <c r="AU1063" s="73"/>
      <c r="AV1063" s="73"/>
      <c r="AW1063" s="73"/>
      <c r="AX1063" s="73"/>
      <c r="AY1063" s="73"/>
      <c r="AZ1063" s="73"/>
      <c r="BA1063" s="73"/>
      <c r="BB1063" s="73"/>
      <c r="BC1063" s="73"/>
      <c r="BD1063" s="73"/>
      <c r="BE1063" s="73"/>
      <c r="BF1063" s="73"/>
      <c r="BG1063" s="73"/>
      <c r="BH1063" s="73"/>
      <c r="BI1063" s="73"/>
      <c r="BJ1063" s="73"/>
      <c r="BK1063" s="73"/>
      <c r="BL1063" s="73"/>
      <c r="BM1063" s="73"/>
      <c r="BN1063" s="73"/>
      <c r="BO1063" s="73"/>
      <c r="BP1063" s="73"/>
      <c r="BQ1063" s="73"/>
      <c r="BR1063" s="73"/>
      <c r="BS1063" s="73"/>
      <c r="BT1063" s="73"/>
      <c r="BU1063" s="73"/>
      <c r="BV1063" s="73"/>
      <c r="BW1063" s="73"/>
      <c r="BX1063" s="73"/>
      <c r="BY1063" s="73"/>
      <c r="BZ1063" s="73"/>
      <c r="CA1063" s="73"/>
      <c r="CB1063" s="73"/>
      <c r="CC1063" s="73"/>
      <c r="CD1063" s="73"/>
      <c r="CE1063" s="73"/>
      <c r="CF1063" s="73"/>
      <c r="CG1063" s="73"/>
      <c r="CH1063" s="73"/>
      <c r="CI1063" s="73"/>
      <c r="CJ1063" s="73"/>
      <c r="CK1063" s="73"/>
      <c r="CL1063" s="73"/>
      <c r="CM1063" s="73"/>
      <c r="CN1063" s="73"/>
      <c r="CO1063" s="73"/>
      <c r="CP1063" s="73"/>
      <c r="CQ1063" s="73"/>
      <c r="CR1063" s="73"/>
      <c r="CS1063" s="73"/>
      <c r="CT1063" s="73"/>
      <c r="CU1063" s="73"/>
      <c r="CV1063" s="73"/>
      <c r="CW1063" s="73"/>
      <c r="CX1063" s="73"/>
      <c r="CY1063" s="73"/>
      <c r="CZ1063" s="73"/>
      <c r="DA1063" s="73"/>
      <c r="DB1063" s="73"/>
      <c r="DC1063" s="73"/>
      <c r="DD1063" s="73"/>
      <c r="DE1063" s="73"/>
      <c r="DF1063" s="73"/>
      <c r="DG1063" s="73"/>
      <c r="DH1063" s="73"/>
      <c r="DI1063" s="73"/>
      <c r="DJ1063" s="73"/>
      <c r="DK1063" s="73"/>
      <c r="DL1063" s="73"/>
      <c r="DM1063" s="73"/>
    </row>
    <row r="1064" spans="1:117" s="48" customFormat="1">
      <c r="A1064" s="73"/>
      <c r="T1064" s="73"/>
      <c r="U1064" s="73"/>
      <c r="V1064" s="73"/>
      <c r="W1064" s="73"/>
      <c r="X1064" s="73"/>
      <c r="Y1064" s="73"/>
      <c r="Z1064" s="73"/>
      <c r="AA1064" s="73"/>
      <c r="AB1064" s="73"/>
      <c r="AC1064" s="73"/>
      <c r="AD1064" s="73"/>
      <c r="AE1064" s="73"/>
      <c r="AF1064" s="73"/>
      <c r="AG1064" s="73"/>
      <c r="AH1064" s="73"/>
      <c r="AI1064" s="73"/>
      <c r="AJ1064" s="73"/>
      <c r="AK1064" s="73"/>
      <c r="AL1064" s="73"/>
      <c r="AM1064" s="73"/>
      <c r="AN1064" s="73"/>
      <c r="AO1064" s="73"/>
      <c r="AP1064" s="73"/>
      <c r="AQ1064" s="73"/>
      <c r="AR1064" s="73"/>
      <c r="AS1064" s="73"/>
      <c r="AT1064" s="73"/>
      <c r="AU1064" s="73"/>
      <c r="AV1064" s="73"/>
      <c r="AW1064" s="73"/>
      <c r="AX1064" s="73"/>
      <c r="AY1064" s="73"/>
      <c r="AZ1064" s="73"/>
      <c r="BA1064" s="73"/>
      <c r="BB1064" s="73"/>
      <c r="BC1064" s="73"/>
      <c r="BD1064" s="73"/>
      <c r="BE1064" s="73"/>
      <c r="BF1064" s="73"/>
      <c r="BG1064" s="73"/>
      <c r="BH1064" s="73"/>
      <c r="BI1064" s="73"/>
      <c r="BJ1064" s="73"/>
      <c r="BK1064" s="73"/>
      <c r="BL1064" s="73"/>
      <c r="BM1064" s="73"/>
      <c r="BN1064" s="73"/>
      <c r="BO1064" s="73"/>
      <c r="BP1064" s="73"/>
      <c r="BQ1064" s="73"/>
      <c r="BR1064" s="73"/>
      <c r="BS1064" s="73"/>
      <c r="BT1064" s="73"/>
      <c r="BU1064" s="73"/>
      <c r="BV1064" s="73"/>
      <c r="BW1064" s="73"/>
      <c r="BX1064" s="73"/>
      <c r="BY1064" s="73"/>
      <c r="BZ1064" s="73"/>
      <c r="CA1064" s="73"/>
      <c r="CB1064" s="73"/>
      <c r="CC1064" s="73"/>
      <c r="CD1064" s="73"/>
      <c r="CE1064" s="73"/>
      <c r="CF1064" s="73"/>
      <c r="CG1064" s="73"/>
      <c r="CH1064" s="73"/>
      <c r="CI1064" s="73"/>
      <c r="CJ1064" s="73"/>
      <c r="CK1064" s="73"/>
      <c r="CL1064" s="73"/>
      <c r="CM1064" s="73"/>
      <c r="CN1064" s="73"/>
      <c r="CO1064" s="73"/>
      <c r="CP1064" s="73"/>
      <c r="CQ1064" s="73"/>
      <c r="CR1064" s="73"/>
      <c r="CS1064" s="73"/>
      <c r="CT1064" s="73"/>
      <c r="CU1064" s="73"/>
      <c r="CV1064" s="73"/>
      <c r="CW1064" s="73"/>
      <c r="CX1064" s="73"/>
      <c r="CY1064" s="73"/>
      <c r="CZ1064" s="73"/>
      <c r="DA1064" s="73"/>
      <c r="DB1064" s="73"/>
      <c r="DC1064" s="73"/>
      <c r="DD1064" s="73"/>
      <c r="DE1064" s="73"/>
      <c r="DF1064" s="73"/>
      <c r="DG1064" s="73"/>
      <c r="DH1064" s="73"/>
      <c r="DI1064" s="73"/>
      <c r="DJ1064" s="73"/>
      <c r="DK1064" s="73"/>
      <c r="DL1064" s="73"/>
      <c r="DM1064" s="73"/>
    </row>
    <row r="1065" spans="1:117" s="48" customFormat="1">
      <c r="A1065" s="73"/>
      <c r="T1065" s="73"/>
      <c r="U1065" s="73"/>
      <c r="V1065" s="73"/>
      <c r="W1065" s="73"/>
      <c r="X1065" s="73"/>
      <c r="Y1065" s="73"/>
      <c r="Z1065" s="73"/>
      <c r="AA1065" s="73"/>
      <c r="AB1065" s="73"/>
      <c r="AC1065" s="73"/>
      <c r="AD1065" s="73"/>
      <c r="AE1065" s="73"/>
      <c r="AF1065" s="73"/>
      <c r="AG1065" s="73"/>
      <c r="AH1065" s="73"/>
      <c r="AI1065" s="73"/>
      <c r="AJ1065" s="73"/>
      <c r="AK1065" s="73"/>
      <c r="AL1065" s="73"/>
      <c r="AM1065" s="73"/>
      <c r="AN1065" s="73"/>
      <c r="AO1065" s="73"/>
      <c r="AP1065" s="73"/>
      <c r="AQ1065" s="73"/>
      <c r="AR1065" s="73"/>
      <c r="AS1065" s="73"/>
      <c r="AT1065" s="73"/>
      <c r="AU1065" s="73"/>
      <c r="AV1065" s="73"/>
      <c r="AW1065" s="73"/>
      <c r="AX1065" s="73"/>
      <c r="AY1065" s="73"/>
      <c r="AZ1065" s="73"/>
      <c r="BA1065" s="73"/>
      <c r="BB1065" s="73"/>
      <c r="BC1065" s="73"/>
      <c r="BD1065" s="73"/>
      <c r="BE1065" s="73"/>
      <c r="BF1065" s="73"/>
      <c r="BG1065" s="73"/>
      <c r="BH1065" s="73"/>
      <c r="BI1065" s="73"/>
      <c r="BJ1065" s="73"/>
      <c r="BK1065" s="73"/>
      <c r="BL1065" s="73"/>
      <c r="BM1065" s="73"/>
      <c r="BN1065" s="73"/>
      <c r="BO1065" s="73"/>
      <c r="BP1065" s="73"/>
      <c r="BQ1065" s="73"/>
      <c r="BR1065" s="73"/>
      <c r="BS1065" s="73"/>
      <c r="BT1065" s="73"/>
      <c r="BU1065" s="73"/>
      <c r="BV1065" s="73"/>
      <c r="BW1065" s="73"/>
      <c r="BX1065" s="73"/>
      <c r="BY1065" s="73"/>
      <c r="BZ1065" s="73"/>
      <c r="CA1065" s="73"/>
      <c r="CB1065" s="73"/>
      <c r="CC1065" s="73"/>
      <c r="CD1065" s="73"/>
      <c r="CE1065" s="73"/>
      <c r="CF1065" s="73"/>
      <c r="CG1065" s="73"/>
      <c r="CH1065" s="73"/>
      <c r="CI1065" s="73"/>
      <c r="CJ1065" s="73"/>
      <c r="CK1065" s="73"/>
      <c r="CL1065" s="73"/>
      <c r="CM1065" s="73"/>
      <c r="CN1065" s="73"/>
      <c r="CO1065" s="73"/>
      <c r="CP1065" s="73"/>
      <c r="CQ1065" s="73"/>
      <c r="CR1065" s="73"/>
      <c r="CS1065" s="73"/>
      <c r="CT1065" s="73"/>
      <c r="CU1065" s="73"/>
      <c r="CV1065" s="73"/>
      <c r="CW1065" s="73"/>
      <c r="CX1065" s="73"/>
      <c r="CY1065" s="73"/>
      <c r="CZ1065" s="73"/>
      <c r="DA1065" s="73"/>
      <c r="DB1065" s="73"/>
      <c r="DC1065" s="73"/>
      <c r="DD1065" s="73"/>
      <c r="DE1065" s="73"/>
      <c r="DF1065" s="73"/>
      <c r="DG1065" s="73"/>
      <c r="DH1065" s="73"/>
      <c r="DI1065" s="73"/>
      <c r="DJ1065" s="73"/>
      <c r="DK1065" s="73"/>
      <c r="DL1065" s="73"/>
      <c r="DM1065" s="73"/>
    </row>
    <row r="1066" spans="1:117" s="48" customFormat="1">
      <c r="A1066" s="73"/>
      <c r="T1066" s="73"/>
      <c r="U1066" s="73"/>
      <c r="V1066" s="73"/>
      <c r="W1066" s="73"/>
      <c r="X1066" s="73"/>
      <c r="Y1066" s="73"/>
      <c r="Z1066" s="73"/>
      <c r="AA1066" s="73"/>
      <c r="AB1066" s="73"/>
      <c r="AC1066" s="73"/>
      <c r="AD1066" s="73"/>
      <c r="AE1066" s="73"/>
      <c r="AF1066" s="73"/>
      <c r="AG1066" s="73"/>
      <c r="AH1066" s="73"/>
      <c r="AI1066" s="73"/>
      <c r="AJ1066" s="73"/>
      <c r="AK1066" s="73"/>
      <c r="AL1066" s="73"/>
      <c r="AM1066" s="73"/>
      <c r="AN1066" s="73"/>
      <c r="AO1066" s="73"/>
      <c r="AP1066" s="73"/>
      <c r="AQ1066" s="73"/>
      <c r="AR1066" s="73"/>
      <c r="AS1066" s="73"/>
      <c r="AT1066" s="73"/>
      <c r="AU1066" s="73"/>
      <c r="AV1066" s="73"/>
      <c r="AW1066" s="73"/>
      <c r="AX1066" s="73"/>
      <c r="AY1066" s="73"/>
      <c r="AZ1066" s="73"/>
      <c r="BA1066" s="73"/>
      <c r="BB1066" s="73"/>
      <c r="BC1066" s="73"/>
      <c r="BD1066" s="73"/>
      <c r="BE1066" s="73"/>
      <c r="BF1066" s="73"/>
      <c r="BG1066" s="73"/>
      <c r="BH1066" s="73"/>
      <c r="BI1066" s="73"/>
      <c r="BJ1066" s="73"/>
      <c r="BK1066" s="73"/>
      <c r="BL1066" s="73"/>
      <c r="BM1066" s="73"/>
      <c r="BN1066" s="73"/>
      <c r="BO1066" s="73"/>
      <c r="BP1066" s="73"/>
      <c r="BQ1066" s="73"/>
      <c r="BR1066" s="73"/>
      <c r="BS1066" s="73"/>
      <c r="BT1066" s="73"/>
      <c r="BU1066" s="73"/>
      <c r="BV1066" s="73"/>
      <c r="BW1066" s="73"/>
      <c r="BX1066" s="73"/>
      <c r="BY1066" s="73"/>
      <c r="BZ1066" s="73"/>
      <c r="CA1066" s="73"/>
      <c r="CB1066" s="73"/>
      <c r="CC1066" s="73"/>
      <c r="CD1066" s="73"/>
      <c r="CE1066" s="73"/>
      <c r="CF1066" s="73"/>
      <c r="CG1066" s="73"/>
      <c r="CH1066" s="73"/>
      <c r="CI1066" s="73"/>
      <c r="CJ1066" s="73"/>
      <c r="CK1066" s="73"/>
      <c r="CL1066" s="73"/>
      <c r="CM1066" s="73"/>
      <c r="CN1066" s="73"/>
      <c r="CO1066" s="73"/>
      <c r="CP1066" s="73"/>
      <c r="CQ1066" s="73"/>
      <c r="CR1066" s="73"/>
      <c r="CS1066" s="73"/>
      <c r="CT1066" s="73"/>
      <c r="CU1066" s="73"/>
      <c r="CV1066" s="73"/>
      <c r="CW1066" s="73"/>
      <c r="CX1066" s="73"/>
      <c r="CY1066" s="73"/>
      <c r="CZ1066" s="73"/>
      <c r="DA1066" s="73"/>
      <c r="DB1066" s="73"/>
      <c r="DC1066" s="73"/>
      <c r="DD1066" s="73"/>
      <c r="DE1066" s="73"/>
      <c r="DF1066" s="73"/>
      <c r="DG1066" s="73"/>
      <c r="DH1066" s="73"/>
      <c r="DI1066" s="73"/>
      <c r="DJ1066" s="73"/>
      <c r="DK1066" s="73"/>
      <c r="DL1066" s="73"/>
      <c r="DM1066" s="73"/>
    </row>
    <row r="1067" spans="1:117" s="48" customFormat="1">
      <c r="A1067" s="73"/>
      <c r="T1067" s="73"/>
      <c r="U1067" s="73"/>
      <c r="V1067" s="73"/>
      <c r="W1067" s="73"/>
      <c r="X1067" s="73"/>
      <c r="Y1067" s="73"/>
      <c r="Z1067" s="73"/>
      <c r="AA1067" s="73"/>
      <c r="AB1067" s="73"/>
      <c r="AC1067" s="73"/>
      <c r="AD1067" s="73"/>
      <c r="AE1067" s="73"/>
      <c r="AF1067" s="73"/>
      <c r="AG1067" s="73"/>
      <c r="AH1067" s="73"/>
      <c r="AI1067" s="73"/>
      <c r="AJ1067" s="73"/>
      <c r="AK1067" s="73"/>
      <c r="AL1067" s="73"/>
      <c r="AM1067" s="73"/>
      <c r="AN1067" s="73"/>
      <c r="AO1067" s="73"/>
      <c r="AP1067" s="73"/>
      <c r="AQ1067" s="73"/>
      <c r="AR1067" s="73"/>
      <c r="AS1067" s="73"/>
      <c r="AT1067" s="73"/>
      <c r="AU1067" s="73"/>
      <c r="AV1067" s="73"/>
      <c r="AW1067" s="73"/>
      <c r="AX1067" s="73"/>
      <c r="AY1067" s="73"/>
      <c r="AZ1067" s="73"/>
      <c r="BA1067" s="73"/>
      <c r="BB1067" s="73"/>
      <c r="BC1067" s="73"/>
      <c r="BD1067" s="73"/>
      <c r="BE1067" s="73"/>
      <c r="BF1067" s="73"/>
      <c r="BG1067" s="73"/>
      <c r="BH1067" s="73"/>
      <c r="BI1067" s="73"/>
      <c r="BJ1067" s="73"/>
      <c r="BK1067" s="73"/>
      <c r="BL1067" s="73"/>
      <c r="BM1067" s="73"/>
      <c r="BN1067" s="73"/>
      <c r="BO1067" s="73"/>
      <c r="BP1067" s="73"/>
      <c r="BQ1067" s="73"/>
      <c r="BR1067" s="73"/>
      <c r="BS1067" s="73"/>
      <c r="BT1067" s="73"/>
      <c r="BU1067" s="73"/>
      <c r="BV1067" s="73"/>
      <c r="BW1067" s="73"/>
      <c r="BX1067" s="73"/>
      <c r="BY1067" s="73"/>
      <c r="BZ1067" s="73"/>
      <c r="CA1067" s="73"/>
      <c r="CB1067" s="73"/>
      <c r="CC1067" s="73"/>
      <c r="CD1067" s="73"/>
      <c r="CE1067" s="73"/>
      <c r="CF1067" s="73"/>
      <c r="CG1067" s="73"/>
      <c r="CH1067" s="73"/>
      <c r="CI1067" s="73"/>
      <c r="CJ1067" s="73"/>
      <c r="CK1067" s="73"/>
      <c r="CL1067" s="73"/>
      <c r="CM1067" s="73"/>
      <c r="CN1067" s="73"/>
      <c r="CO1067" s="73"/>
      <c r="CP1067" s="73"/>
      <c r="CQ1067" s="73"/>
      <c r="CR1067" s="73"/>
      <c r="CS1067" s="73"/>
      <c r="CT1067" s="73"/>
      <c r="CU1067" s="73"/>
      <c r="CV1067" s="73"/>
      <c r="CW1067" s="73"/>
      <c r="CX1067" s="73"/>
      <c r="CY1067" s="73"/>
      <c r="CZ1067" s="73"/>
      <c r="DA1067" s="73"/>
      <c r="DB1067" s="73"/>
      <c r="DC1067" s="73"/>
      <c r="DD1067" s="73"/>
      <c r="DE1067" s="73"/>
      <c r="DF1067" s="73"/>
      <c r="DG1067" s="73"/>
      <c r="DH1067" s="73"/>
      <c r="DI1067" s="73"/>
      <c r="DJ1067" s="73"/>
      <c r="DK1067" s="73"/>
      <c r="DL1067" s="73"/>
      <c r="DM1067" s="73"/>
    </row>
    <row r="1068" spans="1:117" s="48" customFormat="1">
      <c r="A1068" s="73"/>
      <c r="T1068" s="73"/>
      <c r="U1068" s="73"/>
      <c r="V1068" s="73"/>
      <c r="W1068" s="73"/>
      <c r="X1068" s="73"/>
      <c r="Y1068" s="73"/>
      <c r="Z1068" s="73"/>
      <c r="AA1068" s="73"/>
      <c r="AB1068" s="73"/>
      <c r="AC1068" s="73"/>
      <c r="AD1068" s="73"/>
      <c r="AE1068" s="73"/>
      <c r="AF1068" s="73"/>
      <c r="AG1068" s="73"/>
      <c r="AH1068" s="73"/>
      <c r="AI1068" s="73"/>
      <c r="AJ1068" s="73"/>
      <c r="AK1068" s="73"/>
      <c r="AL1068" s="73"/>
      <c r="AM1068" s="73"/>
      <c r="AN1068" s="73"/>
      <c r="AO1068" s="73"/>
      <c r="AP1068" s="73"/>
      <c r="AQ1068" s="73"/>
      <c r="AR1068" s="73"/>
      <c r="AS1068" s="73"/>
      <c r="AT1068" s="73"/>
      <c r="AU1068" s="73"/>
      <c r="AV1068" s="73"/>
      <c r="AW1068" s="73"/>
      <c r="AX1068" s="73"/>
      <c r="AY1068" s="73"/>
      <c r="AZ1068" s="73"/>
      <c r="BA1068" s="73"/>
      <c r="BB1068" s="73"/>
      <c r="BC1068" s="73"/>
      <c r="BD1068" s="73"/>
      <c r="BE1068" s="73"/>
      <c r="BF1068" s="73"/>
      <c r="BG1068" s="73"/>
      <c r="BH1068" s="73"/>
      <c r="BI1068" s="73"/>
      <c r="BJ1068" s="73"/>
      <c r="BK1068" s="73"/>
      <c r="BL1068" s="73"/>
      <c r="BM1068" s="73"/>
      <c r="BN1068" s="73"/>
      <c r="BO1068" s="73"/>
      <c r="BP1068" s="73"/>
      <c r="BQ1068" s="73"/>
      <c r="BR1068" s="73"/>
      <c r="BS1068" s="73"/>
      <c r="BT1068" s="73"/>
      <c r="BU1068" s="73"/>
      <c r="BV1068" s="73"/>
      <c r="BW1068" s="73"/>
      <c r="BX1068" s="73"/>
      <c r="BY1068" s="73"/>
      <c r="BZ1068" s="73"/>
      <c r="CA1068" s="73"/>
      <c r="CB1068" s="73"/>
      <c r="CC1068" s="73"/>
      <c r="CD1068" s="73"/>
      <c r="CE1068" s="73"/>
      <c r="CF1068" s="73"/>
      <c r="CG1068" s="73"/>
      <c r="CH1068" s="73"/>
      <c r="CI1068" s="73"/>
      <c r="CJ1068" s="73"/>
      <c r="CK1068" s="73"/>
      <c r="CL1068" s="73"/>
      <c r="CM1068" s="73"/>
      <c r="CN1068" s="73"/>
      <c r="CO1068" s="73"/>
      <c r="CP1068" s="73"/>
      <c r="CQ1068" s="73"/>
      <c r="CR1068" s="73"/>
      <c r="CS1068" s="73"/>
      <c r="CT1068" s="73"/>
      <c r="CU1068" s="73"/>
      <c r="CV1068" s="73"/>
      <c r="CW1068" s="73"/>
      <c r="CX1068" s="73"/>
      <c r="CY1068" s="73"/>
      <c r="CZ1068" s="73"/>
      <c r="DA1068" s="73"/>
      <c r="DB1068" s="73"/>
      <c r="DC1068" s="73"/>
      <c r="DD1068" s="73"/>
      <c r="DE1068" s="73"/>
      <c r="DF1068" s="73"/>
      <c r="DG1068" s="73"/>
      <c r="DH1068" s="73"/>
      <c r="DI1068" s="73"/>
      <c r="DJ1068" s="73"/>
      <c r="DK1068" s="73"/>
      <c r="DL1068" s="73"/>
      <c r="DM1068" s="73"/>
    </row>
    <row r="1069" spans="1:117" s="48" customFormat="1">
      <c r="A1069" s="73"/>
      <c r="T1069" s="73"/>
      <c r="U1069" s="73"/>
      <c r="V1069" s="73"/>
      <c r="W1069" s="73"/>
      <c r="X1069" s="73"/>
      <c r="Y1069" s="73"/>
      <c r="Z1069" s="73"/>
      <c r="AA1069" s="73"/>
      <c r="AB1069" s="73"/>
      <c r="AC1069" s="73"/>
      <c r="AD1069" s="73"/>
      <c r="AE1069" s="73"/>
      <c r="AF1069" s="73"/>
      <c r="AG1069" s="73"/>
      <c r="AH1069" s="73"/>
      <c r="AI1069" s="73"/>
      <c r="AJ1069" s="73"/>
      <c r="AK1069" s="73"/>
      <c r="AL1069" s="73"/>
      <c r="AM1069" s="73"/>
      <c r="AN1069" s="73"/>
      <c r="AO1069" s="73"/>
      <c r="AP1069" s="73"/>
      <c r="AQ1069" s="73"/>
      <c r="AR1069" s="73"/>
      <c r="AS1069" s="73"/>
      <c r="AT1069" s="73"/>
      <c r="AU1069" s="73"/>
      <c r="AV1069" s="73"/>
      <c r="AW1069" s="73"/>
      <c r="AX1069" s="73"/>
      <c r="AY1069" s="73"/>
      <c r="AZ1069" s="73"/>
      <c r="BA1069" s="73"/>
      <c r="BB1069" s="73"/>
      <c r="BC1069" s="73"/>
      <c r="BD1069" s="73"/>
      <c r="BE1069" s="73"/>
      <c r="BF1069" s="73"/>
      <c r="BG1069" s="73"/>
      <c r="BH1069" s="73"/>
      <c r="BI1069" s="73"/>
      <c r="BJ1069" s="73"/>
      <c r="BK1069" s="73"/>
      <c r="BL1069" s="73"/>
      <c r="BM1069" s="73"/>
      <c r="BN1069" s="73"/>
      <c r="BO1069" s="73"/>
      <c r="BP1069" s="73"/>
      <c r="BQ1069" s="73"/>
      <c r="BR1069" s="73"/>
      <c r="BS1069" s="73"/>
      <c r="BT1069" s="73"/>
      <c r="BU1069" s="73"/>
      <c r="BV1069" s="73"/>
      <c r="BW1069" s="73"/>
      <c r="BX1069" s="73"/>
      <c r="BY1069" s="73"/>
      <c r="BZ1069" s="73"/>
      <c r="CA1069" s="73"/>
      <c r="CB1069" s="73"/>
      <c r="CC1069" s="73"/>
      <c r="CD1069" s="73"/>
      <c r="CE1069" s="73"/>
      <c r="CF1069" s="73"/>
      <c r="CG1069" s="73"/>
      <c r="CH1069" s="73"/>
      <c r="CI1069" s="73"/>
      <c r="CJ1069" s="73"/>
      <c r="CK1069" s="73"/>
      <c r="CL1069" s="73"/>
      <c r="CM1069" s="73"/>
      <c r="CN1069" s="73"/>
      <c r="CO1069" s="73"/>
      <c r="CP1069" s="73"/>
      <c r="CQ1069" s="73"/>
      <c r="CR1069" s="73"/>
      <c r="CS1069" s="73"/>
      <c r="CT1069" s="73"/>
      <c r="CU1069" s="73"/>
      <c r="CV1069" s="73"/>
      <c r="CW1069" s="73"/>
      <c r="CX1069" s="73"/>
      <c r="CY1069" s="73"/>
      <c r="CZ1069" s="73"/>
      <c r="DA1069" s="73"/>
      <c r="DB1069" s="73"/>
      <c r="DC1069" s="73"/>
      <c r="DD1069" s="73"/>
      <c r="DE1069" s="73"/>
      <c r="DF1069" s="73"/>
      <c r="DG1069" s="73"/>
      <c r="DH1069" s="73"/>
      <c r="DI1069" s="73"/>
      <c r="DJ1069" s="73"/>
      <c r="DK1069" s="73"/>
      <c r="DL1069" s="73"/>
      <c r="DM1069" s="73"/>
    </row>
    <row r="1070" spans="1:117" s="48" customFormat="1">
      <c r="A1070" s="73"/>
      <c r="T1070" s="73"/>
      <c r="U1070" s="73"/>
      <c r="V1070" s="73"/>
      <c r="W1070" s="73"/>
      <c r="X1070" s="73"/>
      <c r="Y1070" s="73"/>
      <c r="Z1070" s="73"/>
      <c r="AA1070" s="73"/>
      <c r="AB1070" s="73"/>
      <c r="AC1070" s="73"/>
      <c r="AD1070" s="73"/>
      <c r="AE1070" s="73"/>
      <c r="AF1070" s="73"/>
      <c r="AG1070" s="73"/>
      <c r="AH1070" s="73"/>
      <c r="AI1070" s="73"/>
      <c r="AJ1070" s="73"/>
      <c r="AK1070" s="73"/>
      <c r="AL1070" s="73"/>
      <c r="AM1070" s="73"/>
      <c r="AN1070" s="73"/>
      <c r="AO1070" s="73"/>
      <c r="AP1070" s="73"/>
      <c r="AQ1070" s="73"/>
      <c r="AR1070" s="73"/>
      <c r="AS1070" s="73"/>
      <c r="AT1070" s="73"/>
      <c r="AU1070" s="73"/>
      <c r="AV1070" s="73"/>
      <c r="AW1070" s="73"/>
      <c r="AX1070" s="73"/>
      <c r="AY1070" s="73"/>
      <c r="AZ1070" s="73"/>
      <c r="BA1070" s="73"/>
      <c r="BB1070" s="73"/>
      <c r="BC1070" s="73"/>
      <c r="BD1070" s="73"/>
      <c r="BE1070" s="73"/>
      <c r="BF1070" s="73"/>
      <c r="BG1070" s="73"/>
      <c r="BH1070" s="73"/>
      <c r="BI1070" s="73"/>
      <c r="BJ1070" s="73"/>
      <c r="BK1070" s="73"/>
      <c r="BL1070" s="73"/>
      <c r="BM1070" s="73"/>
      <c r="BN1070" s="73"/>
      <c r="BO1070" s="73"/>
      <c r="BP1070" s="73"/>
      <c r="BQ1070" s="73"/>
      <c r="BR1070" s="73"/>
      <c r="BS1070" s="73"/>
      <c r="BT1070" s="73"/>
      <c r="BU1070" s="73"/>
      <c r="BV1070" s="73"/>
      <c r="BW1070" s="73"/>
      <c r="BX1070" s="73"/>
      <c r="BY1070" s="73"/>
      <c r="BZ1070" s="73"/>
      <c r="CA1070" s="73"/>
      <c r="CB1070" s="73"/>
      <c r="CC1070" s="73"/>
      <c r="CD1070" s="73"/>
      <c r="CE1070" s="73"/>
      <c r="CF1070" s="73"/>
      <c r="CG1070" s="73"/>
      <c r="CH1070" s="73"/>
      <c r="CI1070" s="73"/>
      <c r="CJ1070" s="73"/>
      <c r="CK1070" s="73"/>
      <c r="CL1070" s="73"/>
      <c r="CM1070" s="73"/>
      <c r="CN1070" s="73"/>
      <c r="CO1070" s="73"/>
      <c r="CP1070" s="73"/>
      <c r="CQ1070" s="73"/>
      <c r="CR1070" s="73"/>
      <c r="CS1070" s="73"/>
      <c r="CT1070" s="73"/>
      <c r="CU1070" s="73"/>
      <c r="CV1070" s="73"/>
      <c r="CW1070" s="73"/>
      <c r="CX1070" s="73"/>
      <c r="CY1070" s="73"/>
      <c r="CZ1070" s="73"/>
      <c r="DA1070" s="73"/>
      <c r="DB1070" s="73"/>
      <c r="DC1070" s="73"/>
      <c r="DD1070" s="73"/>
      <c r="DE1070" s="73"/>
      <c r="DF1070" s="73"/>
      <c r="DG1070" s="73"/>
      <c r="DH1070" s="73"/>
      <c r="DI1070" s="73"/>
      <c r="DJ1070" s="73"/>
      <c r="DK1070" s="73"/>
      <c r="DL1070" s="73"/>
      <c r="DM1070" s="73"/>
    </row>
    <row r="1071" spans="1:117" s="48" customFormat="1">
      <c r="A1071" s="73"/>
      <c r="T1071" s="73"/>
      <c r="U1071" s="73"/>
      <c r="V1071" s="73"/>
      <c r="W1071" s="73"/>
      <c r="X1071" s="73"/>
      <c r="Y1071" s="73"/>
      <c r="Z1071" s="73"/>
      <c r="AA1071" s="73"/>
      <c r="AB1071" s="73"/>
      <c r="AC1071" s="73"/>
      <c r="AD1071" s="73"/>
      <c r="AE1071" s="73"/>
      <c r="AF1071" s="73"/>
      <c r="AG1071" s="73"/>
      <c r="AH1071" s="73"/>
      <c r="AI1071" s="73"/>
      <c r="AJ1071" s="73"/>
      <c r="AK1071" s="73"/>
      <c r="AL1071" s="73"/>
      <c r="AM1071" s="73"/>
      <c r="AN1071" s="73"/>
      <c r="AO1071" s="73"/>
      <c r="AP1071" s="73"/>
      <c r="AQ1071" s="73"/>
      <c r="AR1071" s="73"/>
      <c r="AS1071" s="73"/>
      <c r="AT1071" s="73"/>
      <c r="AU1071" s="73"/>
      <c r="AV1071" s="73"/>
      <c r="AW1071" s="73"/>
      <c r="AX1071" s="73"/>
      <c r="AY1071" s="73"/>
      <c r="AZ1071" s="73"/>
      <c r="BA1071" s="73"/>
      <c r="BB1071" s="73"/>
      <c r="BC1071" s="73"/>
      <c r="BD1071" s="73"/>
      <c r="BE1071" s="73"/>
      <c r="BF1071" s="73"/>
      <c r="BG1071" s="73"/>
      <c r="BH1071" s="73"/>
      <c r="BI1071" s="73"/>
      <c r="BJ1071" s="73"/>
      <c r="BK1071" s="73"/>
      <c r="BL1071" s="73"/>
      <c r="BM1071" s="73"/>
      <c r="BN1071" s="73"/>
      <c r="BO1071" s="73"/>
      <c r="BP1071" s="73"/>
      <c r="BQ1071" s="73"/>
      <c r="BR1071" s="73"/>
      <c r="BS1071" s="73"/>
      <c r="BT1071" s="73"/>
      <c r="BU1071" s="73"/>
      <c r="BV1071" s="73"/>
      <c r="BW1071" s="73"/>
      <c r="BX1071" s="73"/>
      <c r="BY1071" s="73"/>
      <c r="BZ1071" s="73"/>
      <c r="CA1071" s="73"/>
      <c r="CB1071" s="73"/>
      <c r="CC1071" s="73"/>
      <c r="CD1071" s="73"/>
      <c r="CE1071" s="73"/>
      <c r="CF1071" s="73"/>
      <c r="CG1071" s="73"/>
      <c r="CH1071" s="73"/>
      <c r="CI1071" s="73"/>
      <c r="CJ1071" s="73"/>
      <c r="CK1071" s="73"/>
      <c r="CL1071" s="73"/>
      <c r="CM1071" s="73"/>
      <c r="CN1071" s="73"/>
      <c r="CO1071" s="73"/>
      <c r="CP1071" s="73"/>
      <c r="CQ1071" s="73"/>
      <c r="CR1071" s="73"/>
      <c r="CS1071" s="73"/>
      <c r="CT1071" s="73"/>
      <c r="CU1071" s="73"/>
      <c r="CV1071" s="73"/>
      <c r="CW1071" s="73"/>
      <c r="CX1071" s="73"/>
      <c r="CY1071" s="73"/>
      <c r="CZ1071" s="73"/>
      <c r="DA1071" s="73"/>
      <c r="DB1071" s="73"/>
      <c r="DC1071" s="73"/>
      <c r="DD1071" s="73"/>
      <c r="DE1071" s="73"/>
      <c r="DF1071" s="73"/>
      <c r="DG1071" s="73"/>
      <c r="DH1071" s="73"/>
      <c r="DI1071" s="73"/>
      <c r="DJ1071" s="73"/>
      <c r="DK1071" s="73"/>
      <c r="DL1071" s="73"/>
      <c r="DM1071" s="73"/>
    </row>
    <row r="1072" spans="1:117" s="48" customFormat="1">
      <c r="A1072" s="73"/>
      <c r="T1072" s="73"/>
      <c r="U1072" s="73"/>
      <c r="V1072" s="73"/>
      <c r="W1072" s="73"/>
      <c r="X1072" s="73"/>
      <c r="Y1072" s="73"/>
      <c r="Z1072" s="73"/>
      <c r="AA1072" s="73"/>
      <c r="AB1072" s="73"/>
      <c r="AC1072" s="73"/>
      <c r="AD1072" s="73"/>
      <c r="AE1072" s="73"/>
      <c r="AF1072" s="73"/>
      <c r="AG1072" s="73"/>
      <c r="AH1072" s="73"/>
      <c r="AI1072" s="73"/>
      <c r="AJ1072" s="73"/>
      <c r="AK1072" s="73"/>
      <c r="AL1072" s="73"/>
      <c r="AM1072" s="73"/>
      <c r="AN1072" s="73"/>
      <c r="AO1072" s="73"/>
      <c r="AP1072" s="73"/>
      <c r="AQ1072" s="73"/>
      <c r="AR1072" s="73"/>
      <c r="AS1072" s="73"/>
      <c r="AT1072" s="73"/>
      <c r="AU1072" s="73"/>
      <c r="AV1072" s="73"/>
      <c r="AW1072" s="73"/>
      <c r="AX1072" s="73"/>
      <c r="AY1072" s="73"/>
      <c r="AZ1072" s="73"/>
      <c r="BA1072" s="73"/>
      <c r="BB1072" s="73"/>
      <c r="BC1072" s="73"/>
      <c r="BD1072" s="73"/>
      <c r="BE1072" s="73"/>
      <c r="BF1072" s="73"/>
      <c r="BG1072" s="73"/>
      <c r="BH1072" s="73"/>
      <c r="BI1072" s="73"/>
      <c r="BJ1072" s="73"/>
      <c r="BK1072" s="73"/>
      <c r="BL1072" s="73"/>
      <c r="BM1072" s="73"/>
      <c r="BN1072" s="73"/>
      <c r="BO1072" s="73"/>
      <c r="BP1072" s="73"/>
      <c r="BQ1072" s="73"/>
      <c r="BR1072" s="73"/>
      <c r="BS1072" s="73"/>
      <c r="BT1072" s="73"/>
      <c r="BU1072" s="73"/>
      <c r="BV1072" s="73"/>
      <c r="BW1072" s="73"/>
      <c r="BX1072" s="73"/>
      <c r="BY1072" s="73"/>
      <c r="BZ1072" s="73"/>
      <c r="CA1072" s="73"/>
      <c r="CB1072" s="73"/>
      <c r="CC1072" s="73"/>
      <c r="CD1072" s="73"/>
      <c r="CE1072" s="73"/>
      <c r="CF1072" s="73"/>
      <c r="CG1072" s="73"/>
      <c r="CH1072" s="73"/>
      <c r="CI1072" s="73"/>
      <c r="CJ1072" s="73"/>
      <c r="CK1072" s="73"/>
      <c r="CL1072" s="73"/>
      <c r="CM1072" s="73"/>
      <c r="CN1072" s="73"/>
      <c r="CO1072" s="73"/>
      <c r="CP1072" s="73"/>
      <c r="CQ1072" s="73"/>
      <c r="CR1072" s="73"/>
      <c r="CS1072" s="73"/>
      <c r="CT1072" s="73"/>
      <c r="CU1072" s="73"/>
      <c r="CV1072" s="73"/>
      <c r="CW1072" s="73"/>
      <c r="CX1072" s="73"/>
      <c r="CY1072" s="73"/>
      <c r="CZ1072" s="73"/>
      <c r="DA1072" s="73"/>
      <c r="DB1072" s="73"/>
      <c r="DC1072" s="73"/>
      <c r="DD1072" s="73"/>
      <c r="DE1072" s="73"/>
      <c r="DF1072" s="73"/>
      <c r="DG1072" s="73"/>
      <c r="DH1072" s="73"/>
      <c r="DI1072" s="73"/>
      <c r="DJ1072" s="73"/>
      <c r="DK1072" s="73"/>
      <c r="DL1072" s="73"/>
      <c r="DM1072" s="73"/>
    </row>
    <row r="1073" spans="1:117" s="48" customFormat="1">
      <c r="A1073" s="73"/>
      <c r="T1073" s="73"/>
      <c r="U1073" s="73"/>
      <c r="V1073" s="73"/>
      <c r="W1073" s="73"/>
      <c r="X1073" s="73"/>
      <c r="Y1073" s="73"/>
      <c r="Z1073" s="73"/>
      <c r="AA1073" s="73"/>
      <c r="AB1073" s="73"/>
      <c r="AC1073" s="73"/>
      <c r="AD1073" s="73"/>
      <c r="AE1073" s="73"/>
      <c r="AF1073" s="73"/>
      <c r="AG1073" s="73"/>
      <c r="AH1073" s="73"/>
      <c r="AI1073" s="73"/>
      <c r="AJ1073" s="73"/>
      <c r="AK1073" s="73"/>
      <c r="AL1073" s="73"/>
      <c r="AM1073" s="73"/>
      <c r="AN1073" s="73"/>
      <c r="AO1073" s="73"/>
      <c r="AP1073" s="73"/>
      <c r="AQ1073" s="73"/>
      <c r="AR1073" s="73"/>
      <c r="AS1073" s="73"/>
      <c r="AT1073" s="73"/>
      <c r="AU1073" s="73"/>
      <c r="AV1073" s="73"/>
      <c r="AW1073" s="73"/>
      <c r="AX1073" s="73"/>
      <c r="AY1073" s="73"/>
      <c r="AZ1073" s="73"/>
      <c r="BA1073" s="73"/>
      <c r="BB1073" s="73"/>
      <c r="BC1073" s="73"/>
      <c r="BD1073" s="73"/>
      <c r="BE1073" s="73"/>
      <c r="BF1073" s="73"/>
      <c r="BG1073" s="73"/>
      <c r="BH1073" s="73"/>
      <c r="BI1073" s="73"/>
      <c r="BJ1073" s="73"/>
      <c r="BK1073" s="73"/>
      <c r="BL1073" s="73"/>
      <c r="BM1073" s="73"/>
      <c r="BN1073" s="73"/>
      <c r="BO1073" s="73"/>
      <c r="BP1073" s="73"/>
      <c r="BQ1073" s="73"/>
      <c r="BR1073" s="73"/>
      <c r="BS1073" s="73"/>
      <c r="BT1073" s="73"/>
      <c r="BU1073" s="73"/>
      <c r="BV1073" s="73"/>
      <c r="BW1073" s="73"/>
      <c r="BX1073" s="73"/>
      <c r="BY1073" s="73"/>
      <c r="BZ1073" s="73"/>
      <c r="CA1073" s="73"/>
      <c r="CB1073" s="73"/>
      <c r="CC1073" s="73"/>
      <c r="CD1073" s="73"/>
      <c r="CE1073" s="73"/>
      <c r="CF1073" s="73"/>
      <c r="CG1073" s="73"/>
      <c r="CH1073" s="73"/>
      <c r="CI1073" s="73"/>
      <c r="CJ1073" s="73"/>
      <c r="CK1073" s="73"/>
      <c r="CL1073" s="73"/>
      <c r="CM1073" s="73"/>
      <c r="CN1073" s="73"/>
      <c r="CO1073" s="73"/>
      <c r="CP1073" s="73"/>
      <c r="CQ1073" s="73"/>
      <c r="CR1073" s="73"/>
      <c r="CS1073" s="73"/>
      <c r="CT1073" s="73"/>
      <c r="CU1073" s="73"/>
      <c r="CV1073" s="73"/>
      <c r="CW1073" s="73"/>
      <c r="CX1073" s="73"/>
      <c r="CY1073" s="73"/>
      <c r="CZ1073" s="73"/>
      <c r="DA1073" s="73"/>
      <c r="DB1073" s="73"/>
      <c r="DC1073" s="73"/>
      <c r="DD1073" s="73"/>
      <c r="DE1073" s="73"/>
      <c r="DF1073" s="73"/>
      <c r="DG1073" s="73"/>
      <c r="DH1073" s="73"/>
      <c r="DI1073" s="73"/>
      <c r="DJ1073" s="73"/>
      <c r="DK1073" s="73"/>
      <c r="DL1073" s="73"/>
      <c r="DM1073" s="73"/>
    </row>
    <row r="1074" spans="1:117" s="48" customFormat="1">
      <c r="A1074" s="73"/>
      <c r="T1074" s="73"/>
      <c r="U1074" s="73"/>
      <c r="V1074" s="73"/>
      <c r="W1074" s="73"/>
      <c r="X1074" s="73"/>
      <c r="Y1074" s="73"/>
      <c r="Z1074" s="73"/>
      <c r="AA1074" s="73"/>
      <c r="AB1074" s="73"/>
      <c r="AC1074" s="73"/>
      <c r="AD1074" s="73"/>
      <c r="AE1074" s="73"/>
      <c r="AF1074" s="73"/>
      <c r="AG1074" s="73"/>
      <c r="AH1074" s="73"/>
      <c r="AI1074" s="73"/>
      <c r="AJ1074" s="73"/>
      <c r="AK1074" s="73"/>
      <c r="AL1074" s="73"/>
      <c r="AM1074" s="73"/>
      <c r="AN1074" s="73"/>
      <c r="AO1074" s="73"/>
      <c r="AP1074" s="73"/>
      <c r="AQ1074" s="73"/>
      <c r="AR1074" s="73"/>
      <c r="AS1074" s="73"/>
      <c r="AT1074" s="73"/>
      <c r="AU1074" s="73"/>
      <c r="AV1074" s="73"/>
      <c r="AW1074" s="73"/>
      <c r="AX1074" s="73"/>
      <c r="AY1074" s="73"/>
      <c r="AZ1074" s="73"/>
      <c r="BA1074" s="73"/>
      <c r="BB1074" s="73"/>
      <c r="BC1074" s="73"/>
      <c r="BD1074" s="73"/>
      <c r="BE1074" s="73"/>
      <c r="BF1074" s="73"/>
      <c r="BG1074" s="73"/>
      <c r="BH1074" s="73"/>
      <c r="BI1074" s="73"/>
      <c r="BJ1074" s="73"/>
      <c r="BK1074" s="73"/>
      <c r="BL1074" s="73"/>
      <c r="BM1074" s="73"/>
      <c r="BN1074" s="73"/>
      <c r="BO1074" s="73"/>
      <c r="BP1074" s="73"/>
      <c r="BQ1074" s="73"/>
      <c r="BR1074" s="73"/>
      <c r="BS1074" s="73"/>
      <c r="BT1074" s="73"/>
      <c r="BU1074" s="73"/>
      <c r="BV1074" s="73"/>
      <c r="BW1074" s="73"/>
      <c r="BX1074" s="73"/>
      <c r="BY1074" s="73"/>
      <c r="BZ1074" s="73"/>
      <c r="CA1074" s="73"/>
      <c r="CB1074" s="73"/>
      <c r="CC1074" s="73"/>
      <c r="CD1074" s="73"/>
      <c r="CE1074" s="73"/>
      <c r="CF1074" s="73"/>
      <c r="CG1074" s="73"/>
      <c r="CH1074" s="73"/>
      <c r="CI1074" s="73"/>
      <c r="CJ1074" s="73"/>
      <c r="CK1074" s="73"/>
      <c r="CL1074" s="73"/>
      <c r="CM1074" s="73"/>
      <c r="CN1074" s="73"/>
      <c r="CO1074" s="73"/>
      <c r="CP1074" s="73"/>
      <c r="CQ1074" s="73"/>
      <c r="CR1074" s="73"/>
      <c r="CS1074" s="73"/>
      <c r="CT1074" s="73"/>
      <c r="CU1074" s="73"/>
      <c r="CV1074" s="73"/>
      <c r="CW1074" s="73"/>
      <c r="CX1074" s="73"/>
      <c r="CY1074" s="73"/>
      <c r="CZ1074" s="73"/>
      <c r="DA1074" s="73"/>
      <c r="DB1074" s="73"/>
      <c r="DC1074" s="73"/>
      <c r="DD1074" s="73"/>
      <c r="DE1074" s="73"/>
      <c r="DF1074" s="73"/>
      <c r="DG1074" s="73"/>
      <c r="DH1074" s="73"/>
      <c r="DI1074" s="73"/>
      <c r="DJ1074" s="73"/>
      <c r="DK1074" s="73"/>
      <c r="DL1074" s="73"/>
      <c r="DM1074" s="73"/>
    </row>
    <row r="1075" spans="1:117" s="48" customFormat="1">
      <c r="A1075" s="73"/>
      <c r="T1075" s="73"/>
      <c r="U1075" s="73"/>
      <c r="V1075" s="73"/>
      <c r="W1075" s="73"/>
      <c r="X1075" s="73"/>
      <c r="Y1075" s="73"/>
      <c r="Z1075" s="73"/>
      <c r="AA1075" s="73"/>
      <c r="AB1075" s="73"/>
      <c r="AC1075" s="73"/>
      <c r="AD1075" s="73"/>
      <c r="AE1075" s="73"/>
      <c r="AF1075" s="73"/>
      <c r="AG1075" s="73"/>
      <c r="AH1075" s="73"/>
      <c r="AI1075" s="73"/>
      <c r="AJ1075" s="73"/>
      <c r="AK1075" s="73"/>
      <c r="AL1075" s="73"/>
      <c r="AM1075" s="73"/>
      <c r="AN1075" s="73"/>
      <c r="AO1075" s="73"/>
      <c r="AP1075" s="73"/>
      <c r="AQ1075" s="73"/>
      <c r="AR1075" s="73"/>
      <c r="AS1075" s="73"/>
      <c r="AT1075" s="73"/>
      <c r="AU1075" s="73"/>
      <c r="AV1075" s="73"/>
      <c r="AW1075" s="73"/>
      <c r="AX1075" s="73"/>
      <c r="AY1075" s="73"/>
      <c r="AZ1075" s="73"/>
      <c r="BA1075" s="73"/>
      <c r="BB1075" s="73"/>
      <c r="BC1075" s="73"/>
      <c r="BD1075" s="73"/>
      <c r="BE1075" s="73"/>
      <c r="BF1075" s="73"/>
      <c r="BG1075" s="73"/>
      <c r="BH1075" s="73"/>
      <c r="BI1075" s="73"/>
      <c r="BJ1075" s="73"/>
      <c r="BK1075" s="73"/>
      <c r="BL1075" s="73"/>
      <c r="BM1075" s="73"/>
      <c r="BN1075" s="73"/>
      <c r="BO1075" s="73"/>
      <c r="BP1075" s="73"/>
      <c r="BQ1075" s="73"/>
      <c r="BR1075" s="73"/>
      <c r="BS1075" s="73"/>
      <c r="BT1075" s="73"/>
      <c r="BU1075" s="73"/>
      <c r="BV1075" s="73"/>
      <c r="BW1075" s="73"/>
      <c r="BX1075" s="73"/>
      <c r="BY1075" s="73"/>
      <c r="BZ1075" s="73"/>
      <c r="CA1075" s="73"/>
      <c r="CB1075" s="73"/>
      <c r="CC1075" s="73"/>
      <c r="CD1075" s="73"/>
      <c r="CE1075" s="73"/>
      <c r="CF1075" s="73"/>
      <c r="CG1075" s="73"/>
      <c r="CH1075" s="73"/>
      <c r="CI1075" s="73"/>
      <c r="CJ1075" s="73"/>
      <c r="CK1075" s="73"/>
      <c r="CL1075" s="73"/>
      <c r="CM1075" s="73"/>
      <c r="CN1075" s="73"/>
      <c r="CO1075" s="73"/>
      <c r="CP1075" s="73"/>
      <c r="CQ1075" s="73"/>
      <c r="CR1075" s="73"/>
      <c r="CS1075" s="73"/>
      <c r="CT1075" s="73"/>
      <c r="CU1075" s="73"/>
      <c r="CV1075" s="73"/>
      <c r="CW1075" s="73"/>
      <c r="CX1075" s="73"/>
      <c r="CY1075" s="73"/>
      <c r="CZ1075" s="73"/>
      <c r="DA1075" s="73"/>
      <c r="DB1075" s="73"/>
      <c r="DC1075" s="73"/>
      <c r="DD1075" s="73"/>
      <c r="DE1075" s="73"/>
      <c r="DF1075" s="73"/>
      <c r="DG1075" s="73"/>
      <c r="DH1075" s="73"/>
      <c r="DI1075" s="73"/>
      <c r="DJ1075" s="73"/>
      <c r="DK1075" s="73"/>
      <c r="DL1075" s="73"/>
      <c r="DM1075" s="73"/>
    </row>
    <row r="1076" spans="1:117" s="48" customFormat="1">
      <c r="A1076" s="73"/>
      <c r="T1076" s="73"/>
      <c r="U1076" s="73"/>
      <c r="V1076" s="73"/>
      <c r="W1076" s="73"/>
      <c r="X1076" s="73"/>
      <c r="Y1076" s="73"/>
      <c r="Z1076" s="73"/>
      <c r="AA1076" s="73"/>
      <c r="AB1076" s="73"/>
      <c r="AC1076" s="73"/>
      <c r="AD1076" s="73"/>
      <c r="AE1076" s="73"/>
      <c r="AF1076" s="73"/>
      <c r="AG1076" s="73"/>
      <c r="AH1076" s="73"/>
      <c r="AI1076" s="73"/>
      <c r="AJ1076" s="73"/>
      <c r="AK1076" s="73"/>
      <c r="AL1076" s="73"/>
      <c r="AM1076" s="73"/>
      <c r="AN1076" s="73"/>
      <c r="AO1076" s="73"/>
      <c r="AP1076" s="73"/>
      <c r="AQ1076" s="73"/>
      <c r="AR1076" s="73"/>
      <c r="AS1076" s="73"/>
      <c r="AT1076" s="73"/>
      <c r="AU1076" s="73"/>
      <c r="AV1076" s="73"/>
      <c r="AW1076" s="73"/>
      <c r="AX1076" s="73"/>
      <c r="AY1076" s="73"/>
      <c r="AZ1076" s="73"/>
      <c r="BA1076" s="73"/>
      <c r="BB1076" s="73"/>
      <c r="BC1076" s="73"/>
      <c r="BD1076" s="73"/>
      <c r="BE1076" s="73"/>
      <c r="BF1076" s="73"/>
      <c r="BG1076" s="73"/>
      <c r="BH1076" s="73"/>
      <c r="BI1076" s="73"/>
      <c r="BJ1076" s="73"/>
      <c r="BK1076" s="73"/>
      <c r="BL1076" s="73"/>
      <c r="BM1076" s="73"/>
      <c r="BN1076" s="73"/>
      <c r="BO1076" s="73"/>
      <c r="BP1076" s="73"/>
      <c r="BQ1076" s="73"/>
      <c r="BR1076" s="73"/>
      <c r="BS1076" s="73"/>
      <c r="BT1076" s="73"/>
      <c r="BU1076" s="73"/>
      <c r="BV1076" s="73"/>
      <c r="BW1076" s="73"/>
      <c r="BX1076" s="73"/>
      <c r="BY1076" s="73"/>
      <c r="BZ1076" s="73"/>
      <c r="CA1076" s="73"/>
      <c r="CB1076" s="73"/>
      <c r="CC1076" s="73"/>
      <c r="CD1076" s="73"/>
      <c r="CE1076" s="73"/>
      <c r="CF1076" s="73"/>
      <c r="CG1076" s="73"/>
      <c r="CH1076" s="73"/>
      <c r="CI1076" s="73"/>
      <c r="CJ1076" s="73"/>
      <c r="CK1076" s="73"/>
      <c r="CL1076" s="73"/>
      <c r="CM1076" s="73"/>
      <c r="CN1076" s="73"/>
      <c r="CO1076" s="73"/>
      <c r="CP1076" s="73"/>
      <c r="CQ1076" s="73"/>
      <c r="CR1076" s="73"/>
      <c r="CS1076" s="73"/>
      <c r="CT1076" s="73"/>
      <c r="CU1076" s="73"/>
      <c r="CV1076" s="73"/>
      <c r="CW1076" s="73"/>
      <c r="CX1076" s="73"/>
      <c r="CY1076" s="73"/>
      <c r="CZ1076" s="73"/>
      <c r="DA1076" s="73"/>
      <c r="DB1076" s="73"/>
      <c r="DC1076" s="73"/>
      <c r="DD1076" s="73"/>
      <c r="DE1076" s="73"/>
      <c r="DF1076" s="73"/>
      <c r="DG1076" s="73"/>
      <c r="DH1076" s="73"/>
      <c r="DI1076" s="73"/>
      <c r="DJ1076" s="73"/>
      <c r="DK1076" s="73"/>
      <c r="DL1076" s="73"/>
      <c r="DM1076" s="73"/>
    </row>
    <row r="1077" spans="1:117" s="48" customFormat="1">
      <c r="A1077" s="73"/>
      <c r="T1077" s="73"/>
      <c r="U1077" s="73"/>
      <c r="V1077" s="73"/>
      <c r="W1077" s="73"/>
      <c r="X1077" s="73"/>
      <c r="Y1077" s="73"/>
      <c r="Z1077" s="73"/>
      <c r="AA1077" s="73"/>
      <c r="AB1077" s="73"/>
      <c r="AC1077" s="73"/>
      <c r="AD1077" s="73"/>
      <c r="AE1077" s="73"/>
      <c r="AF1077" s="73"/>
      <c r="AG1077" s="73"/>
      <c r="AH1077" s="73"/>
      <c r="AI1077" s="73"/>
      <c r="AJ1077" s="73"/>
      <c r="AK1077" s="73"/>
      <c r="AL1077" s="73"/>
      <c r="AM1077" s="73"/>
      <c r="AN1077" s="73"/>
      <c r="AO1077" s="73"/>
      <c r="AP1077" s="73"/>
      <c r="AQ1077" s="73"/>
      <c r="AR1077" s="73"/>
      <c r="AS1077" s="73"/>
      <c r="AT1077" s="73"/>
      <c r="AU1077" s="73"/>
      <c r="AV1077" s="73"/>
      <c r="AW1077" s="73"/>
      <c r="AX1077" s="73"/>
      <c r="AY1077" s="73"/>
      <c r="AZ1077" s="73"/>
      <c r="BA1077" s="73"/>
      <c r="BB1077" s="73"/>
      <c r="BC1077" s="73"/>
      <c r="BD1077" s="73"/>
      <c r="BE1077" s="73"/>
      <c r="BF1077" s="73"/>
      <c r="BG1077" s="73"/>
      <c r="BH1077" s="73"/>
      <c r="BI1077" s="73"/>
      <c r="BJ1077" s="73"/>
      <c r="BK1077" s="73"/>
      <c r="BL1077" s="73"/>
      <c r="BM1077" s="73"/>
      <c r="BN1077" s="73"/>
      <c r="BO1077" s="73"/>
      <c r="BP1077" s="73"/>
      <c r="BQ1077" s="73"/>
      <c r="BR1077" s="73"/>
      <c r="BS1077" s="73"/>
      <c r="BT1077" s="73"/>
      <c r="BU1077" s="73"/>
      <c r="BV1077" s="73"/>
      <c r="BW1077" s="73"/>
      <c r="BX1077" s="73"/>
      <c r="BY1077" s="73"/>
      <c r="BZ1077" s="73"/>
      <c r="CA1077" s="73"/>
      <c r="CB1077" s="73"/>
      <c r="CC1077" s="73"/>
      <c r="CD1077" s="73"/>
      <c r="CE1077" s="73"/>
      <c r="CF1077" s="73"/>
      <c r="CG1077" s="73"/>
      <c r="CH1077" s="73"/>
      <c r="CI1077" s="73"/>
      <c r="CJ1077" s="73"/>
      <c r="CK1077" s="73"/>
      <c r="CL1077" s="73"/>
      <c r="CM1077" s="73"/>
      <c r="CN1077" s="73"/>
      <c r="CO1077" s="73"/>
      <c r="CP1077" s="73"/>
      <c r="CQ1077" s="73"/>
      <c r="CR1077" s="73"/>
      <c r="CS1077" s="73"/>
      <c r="CT1077" s="73"/>
      <c r="CU1077" s="73"/>
      <c r="CV1077" s="73"/>
      <c r="CW1077" s="73"/>
      <c r="CX1077" s="73"/>
      <c r="CY1077" s="73"/>
      <c r="CZ1077" s="73"/>
      <c r="DA1077" s="73"/>
      <c r="DB1077" s="73"/>
      <c r="DC1077" s="73"/>
      <c r="DD1077" s="73"/>
      <c r="DE1077" s="73"/>
      <c r="DF1077" s="73"/>
      <c r="DG1077" s="73"/>
      <c r="DH1077" s="73"/>
      <c r="DI1077" s="73"/>
      <c r="DJ1077" s="73"/>
      <c r="DK1077" s="73"/>
      <c r="DL1077" s="73"/>
      <c r="DM1077" s="73"/>
    </row>
    <row r="1078" spans="1:117" s="48" customFormat="1">
      <c r="A1078" s="73"/>
      <c r="T1078" s="73"/>
      <c r="U1078" s="73"/>
      <c r="V1078" s="73"/>
      <c r="W1078" s="73"/>
      <c r="X1078" s="73"/>
      <c r="Y1078" s="73"/>
      <c r="Z1078" s="73"/>
      <c r="AA1078" s="73"/>
      <c r="AB1078" s="73"/>
      <c r="AC1078" s="73"/>
      <c r="AD1078" s="73"/>
      <c r="AE1078" s="73"/>
      <c r="AF1078" s="73"/>
      <c r="AG1078" s="73"/>
      <c r="AH1078" s="73"/>
      <c r="AI1078" s="73"/>
      <c r="AJ1078" s="73"/>
      <c r="AK1078" s="73"/>
      <c r="AL1078" s="73"/>
      <c r="AM1078" s="73"/>
      <c r="AN1078" s="73"/>
      <c r="AO1078" s="73"/>
      <c r="AP1078" s="73"/>
      <c r="AQ1078" s="73"/>
      <c r="AR1078" s="73"/>
      <c r="AS1078" s="73"/>
      <c r="AT1078" s="73"/>
      <c r="AU1078" s="73"/>
      <c r="AV1078" s="73"/>
      <c r="AW1078" s="73"/>
      <c r="AX1078" s="73"/>
      <c r="AY1078" s="73"/>
      <c r="AZ1078" s="73"/>
      <c r="BA1078" s="73"/>
      <c r="BB1078" s="73"/>
      <c r="BC1078" s="73"/>
      <c r="BD1078" s="73"/>
      <c r="BE1078" s="73"/>
      <c r="BF1078" s="73"/>
      <c r="BG1078" s="73"/>
      <c r="BH1078" s="73"/>
      <c r="BI1078" s="73"/>
      <c r="BJ1078" s="73"/>
      <c r="BK1078" s="73"/>
      <c r="BL1078" s="73"/>
      <c r="BM1078" s="73"/>
      <c r="BN1078" s="73"/>
      <c r="BO1078" s="73"/>
      <c r="BP1078" s="73"/>
      <c r="BQ1078" s="73"/>
      <c r="BR1078" s="73"/>
      <c r="BS1078" s="73"/>
      <c r="BT1078" s="73"/>
      <c r="BU1078" s="73"/>
      <c r="BV1078" s="73"/>
      <c r="BW1078" s="73"/>
      <c r="BX1078" s="73"/>
      <c r="BY1078" s="73"/>
      <c r="BZ1078" s="73"/>
      <c r="CA1078" s="73"/>
      <c r="CB1078" s="73"/>
      <c r="CC1078" s="73"/>
      <c r="CD1078" s="73"/>
      <c r="CE1078" s="73"/>
      <c r="CF1078" s="73"/>
      <c r="CG1078" s="73"/>
      <c r="CH1078" s="73"/>
      <c r="CI1078" s="73"/>
      <c r="CJ1078" s="73"/>
      <c r="CK1078" s="73"/>
      <c r="CL1078" s="73"/>
      <c r="CM1078" s="73"/>
      <c r="CN1078" s="73"/>
      <c r="CO1078" s="73"/>
      <c r="CP1078" s="73"/>
      <c r="CQ1078" s="73"/>
      <c r="CR1078" s="73"/>
      <c r="CS1078" s="73"/>
      <c r="CT1078" s="73"/>
      <c r="CU1078" s="73"/>
      <c r="CV1078" s="73"/>
      <c r="CW1078" s="73"/>
      <c r="CX1078" s="73"/>
      <c r="CY1078" s="73"/>
      <c r="CZ1078" s="73"/>
      <c r="DA1078" s="73"/>
      <c r="DB1078" s="73"/>
      <c r="DC1078" s="73"/>
      <c r="DD1078" s="73"/>
      <c r="DE1078" s="73"/>
      <c r="DF1078" s="73"/>
      <c r="DG1078" s="73"/>
      <c r="DH1078" s="73"/>
      <c r="DI1078" s="73"/>
      <c r="DJ1078" s="73"/>
      <c r="DK1078" s="73"/>
      <c r="DL1078" s="73"/>
      <c r="DM1078" s="73"/>
    </row>
    <row r="1079" spans="1:117" s="48" customFormat="1">
      <c r="A1079" s="73"/>
      <c r="T1079" s="73"/>
      <c r="U1079" s="73"/>
      <c r="V1079" s="73"/>
      <c r="W1079" s="73"/>
      <c r="X1079" s="73"/>
      <c r="Y1079" s="73"/>
      <c r="Z1079" s="73"/>
      <c r="AA1079" s="73"/>
      <c r="AB1079" s="73"/>
      <c r="AC1079" s="73"/>
      <c r="AD1079" s="73"/>
      <c r="AE1079" s="73"/>
      <c r="AF1079" s="73"/>
      <c r="AG1079" s="73"/>
      <c r="AH1079" s="73"/>
      <c r="AI1079" s="73"/>
      <c r="AJ1079" s="73"/>
      <c r="AK1079" s="73"/>
      <c r="AL1079" s="73"/>
      <c r="AM1079" s="73"/>
      <c r="AN1079" s="73"/>
      <c r="AO1079" s="73"/>
      <c r="AP1079" s="73"/>
      <c r="AQ1079" s="73"/>
      <c r="AR1079" s="73"/>
      <c r="AS1079" s="73"/>
      <c r="AT1079" s="73"/>
      <c r="AU1079" s="73"/>
      <c r="AV1079" s="73"/>
      <c r="AW1079" s="73"/>
      <c r="AX1079" s="73"/>
      <c r="AY1079" s="73"/>
      <c r="AZ1079" s="73"/>
      <c r="BA1079" s="73"/>
      <c r="BB1079" s="73"/>
      <c r="BC1079" s="73"/>
      <c r="BD1079" s="73"/>
      <c r="BE1079" s="73"/>
      <c r="BF1079" s="73"/>
      <c r="BG1079" s="73"/>
      <c r="BH1079" s="73"/>
      <c r="BI1079" s="73"/>
      <c r="BJ1079" s="73"/>
      <c r="BK1079" s="73"/>
      <c r="BL1079" s="73"/>
      <c r="BM1079" s="73"/>
      <c r="BN1079" s="73"/>
      <c r="BO1079" s="73"/>
      <c r="BP1079" s="73"/>
      <c r="BQ1079" s="73"/>
      <c r="BR1079" s="73"/>
      <c r="BS1079" s="73"/>
      <c r="BT1079" s="73"/>
      <c r="BU1079" s="73"/>
      <c r="BV1079" s="73"/>
      <c r="BW1079" s="73"/>
      <c r="BX1079" s="73"/>
      <c r="BY1079" s="73"/>
      <c r="BZ1079" s="73"/>
      <c r="CA1079" s="73"/>
      <c r="CB1079" s="73"/>
      <c r="CC1079" s="73"/>
      <c r="CD1079" s="73"/>
      <c r="CE1079" s="73"/>
      <c r="CF1079" s="73"/>
      <c r="CG1079" s="73"/>
      <c r="CH1079" s="73"/>
      <c r="CI1079" s="73"/>
      <c r="CJ1079" s="73"/>
      <c r="CK1079" s="73"/>
      <c r="CL1079" s="73"/>
      <c r="CM1079" s="73"/>
      <c r="CN1079" s="73"/>
      <c r="CO1079" s="73"/>
      <c r="CP1079" s="73"/>
      <c r="CQ1079" s="73"/>
      <c r="CR1079" s="73"/>
      <c r="CS1079" s="73"/>
      <c r="CT1079" s="73"/>
      <c r="CU1079" s="73"/>
      <c r="CV1079" s="73"/>
      <c r="CW1079" s="73"/>
      <c r="CX1079" s="73"/>
      <c r="CY1079" s="73"/>
      <c r="CZ1079" s="73"/>
      <c r="DA1079" s="73"/>
      <c r="DB1079" s="73"/>
      <c r="DC1079" s="73"/>
      <c r="DD1079" s="73"/>
      <c r="DE1079" s="73"/>
      <c r="DF1079" s="73"/>
      <c r="DG1079" s="73"/>
      <c r="DH1079" s="73"/>
      <c r="DI1079" s="73"/>
      <c r="DJ1079" s="73"/>
      <c r="DK1079" s="73"/>
      <c r="DL1079" s="73"/>
      <c r="DM1079" s="73"/>
    </row>
    <row r="1080" spans="1:117" s="48" customFormat="1">
      <c r="A1080" s="73"/>
      <c r="T1080" s="73"/>
      <c r="U1080" s="73"/>
      <c r="V1080" s="73"/>
      <c r="W1080" s="73"/>
      <c r="X1080" s="73"/>
      <c r="Y1080" s="73"/>
      <c r="Z1080" s="73"/>
      <c r="AA1080" s="73"/>
      <c r="AB1080" s="73"/>
      <c r="AC1080" s="73"/>
      <c r="AD1080" s="73"/>
      <c r="AE1080" s="73"/>
      <c r="AF1080" s="73"/>
      <c r="AG1080" s="73"/>
      <c r="AH1080" s="73"/>
      <c r="AI1080" s="73"/>
      <c r="AJ1080" s="73"/>
      <c r="AK1080" s="73"/>
      <c r="AL1080" s="73"/>
      <c r="AM1080" s="73"/>
      <c r="AN1080" s="73"/>
      <c r="AO1080" s="73"/>
      <c r="AP1080" s="73"/>
      <c r="AQ1080" s="73"/>
      <c r="AR1080" s="73"/>
      <c r="AS1080" s="73"/>
      <c r="AT1080" s="73"/>
      <c r="AU1080" s="73"/>
      <c r="AV1080" s="73"/>
      <c r="AW1080" s="73"/>
      <c r="AX1080" s="73"/>
      <c r="AY1080" s="73"/>
      <c r="AZ1080" s="73"/>
      <c r="BA1080" s="73"/>
      <c r="BB1080" s="73"/>
      <c r="BC1080" s="73"/>
      <c r="BD1080" s="73"/>
      <c r="BE1080" s="73"/>
      <c r="BF1080" s="73"/>
      <c r="BG1080" s="73"/>
      <c r="BH1080" s="73"/>
      <c r="BI1080" s="73"/>
      <c r="BJ1080" s="73"/>
      <c r="BK1080" s="73"/>
      <c r="BL1080" s="73"/>
      <c r="BM1080" s="73"/>
      <c r="BN1080" s="73"/>
      <c r="BO1080" s="73"/>
      <c r="BP1080" s="73"/>
      <c r="BQ1080" s="73"/>
      <c r="BR1080" s="73"/>
      <c r="BS1080" s="73"/>
      <c r="BT1080" s="73"/>
      <c r="BU1080" s="73"/>
      <c r="BV1080" s="73"/>
      <c r="BW1080" s="73"/>
      <c r="BX1080" s="73"/>
      <c r="BY1080" s="73"/>
      <c r="BZ1080" s="73"/>
      <c r="CA1080" s="73"/>
      <c r="CB1080" s="73"/>
      <c r="CC1080" s="73"/>
      <c r="CD1080" s="73"/>
      <c r="CE1080" s="73"/>
      <c r="CF1080" s="73"/>
      <c r="CG1080" s="73"/>
      <c r="CH1080" s="73"/>
      <c r="CI1080" s="73"/>
      <c r="CJ1080" s="73"/>
      <c r="CK1080" s="73"/>
      <c r="CL1080" s="73"/>
      <c r="CM1080" s="73"/>
      <c r="CN1080" s="73"/>
      <c r="CO1080" s="73"/>
      <c r="CP1080" s="73"/>
      <c r="CQ1080" s="73"/>
      <c r="CR1080" s="73"/>
      <c r="CS1080" s="73"/>
      <c r="CT1080" s="73"/>
      <c r="CU1080" s="73"/>
      <c r="CV1080" s="73"/>
      <c r="CW1080" s="73"/>
      <c r="CX1080" s="73"/>
      <c r="CY1080" s="73"/>
      <c r="CZ1080" s="73"/>
      <c r="DA1080" s="73"/>
      <c r="DB1080" s="73"/>
      <c r="DC1080" s="73"/>
      <c r="DD1080" s="73"/>
      <c r="DE1080" s="73"/>
      <c r="DF1080" s="73"/>
      <c r="DG1080" s="73"/>
      <c r="DH1080" s="73"/>
      <c r="DI1080" s="73"/>
      <c r="DJ1080" s="73"/>
      <c r="DK1080" s="73"/>
      <c r="DL1080" s="73"/>
      <c r="DM1080" s="73"/>
    </row>
    <row r="1081" spans="1:117" s="48" customFormat="1">
      <c r="A1081" s="73"/>
      <c r="T1081" s="73"/>
      <c r="U1081" s="73"/>
      <c r="V1081" s="73"/>
      <c r="W1081" s="73"/>
      <c r="X1081" s="73"/>
      <c r="Y1081" s="73"/>
      <c r="Z1081" s="73"/>
      <c r="AA1081" s="73"/>
      <c r="AB1081" s="73"/>
      <c r="AC1081" s="73"/>
      <c r="AD1081" s="73"/>
      <c r="AE1081" s="73"/>
      <c r="AF1081" s="73"/>
      <c r="AG1081" s="73"/>
      <c r="AH1081" s="73"/>
      <c r="AI1081" s="73"/>
      <c r="AJ1081" s="73"/>
      <c r="AK1081" s="73"/>
      <c r="AL1081" s="73"/>
      <c r="AM1081" s="73"/>
      <c r="AN1081" s="73"/>
      <c r="AO1081" s="73"/>
      <c r="AP1081" s="73"/>
      <c r="AQ1081" s="73"/>
      <c r="AR1081" s="73"/>
      <c r="AS1081" s="73"/>
      <c r="AT1081" s="73"/>
      <c r="AU1081" s="73"/>
      <c r="AV1081" s="73"/>
      <c r="AW1081" s="73"/>
      <c r="AX1081" s="73"/>
      <c r="AY1081" s="73"/>
      <c r="AZ1081" s="73"/>
      <c r="BA1081" s="73"/>
      <c r="BB1081" s="73"/>
      <c r="BC1081" s="73"/>
      <c r="BD1081" s="73"/>
      <c r="BE1081" s="73"/>
      <c r="BF1081" s="73"/>
      <c r="BG1081" s="73"/>
      <c r="BH1081" s="73"/>
      <c r="BI1081" s="73"/>
      <c r="BJ1081" s="73"/>
      <c r="BK1081" s="73"/>
      <c r="BL1081" s="73"/>
      <c r="BM1081" s="73"/>
      <c r="BN1081" s="73"/>
      <c r="BO1081" s="73"/>
      <c r="BP1081" s="73"/>
      <c r="BQ1081" s="73"/>
      <c r="BR1081" s="73"/>
      <c r="BS1081" s="73"/>
      <c r="BT1081" s="73"/>
      <c r="BU1081" s="73"/>
      <c r="BV1081" s="73"/>
      <c r="BW1081" s="73"/>
      <c r="BX1081" s="73"/>
      <c r="BY1081" s="73"/>
      <c r="BZ1081" s="73"/>
      <c r="CA1081" s="73"/>
      <c r="CB1081" s="73"/>
      <c r="CC1081" s="73"/>
      <c r="CD1081" s="73"/>
      <c r="CE1081" s="73"/>
      <c r="CF1081" s="73"/>
      <c r="CG1081" s="73"/>
      <c r="CH1081" s="73"/>
      <c r="CI1081" s="73"/>
      <c r="CJ1081" s="73"/>
      <c r="CK1081" s="73"/>
      <c r="CL1081" s="73"/>
      <c r="CM1081" s="73"/>
      <c r="CN1081" s="73"/>
      <c r="CO1081" s="73"/>
      <c r="CP1081" s="73"/>
      <c r="CQ1081" s="73"/>
      <c r="CR1081" s="73"/>
      <c r="CS1081" s="73"/>
      <c r="CT1081" s="73"/>
      <c r="CU1081" s="73"/>
      <c r="CV1081" s="73"/>
      <c r="CW1081" s="73"/>
      <c r="CX1081" s="73"/>
      <c r="CY1081" s="73"/>
      <c r="CZ1081" s="73"/>
      <c r="DA1081" s="73"/>
      <c r="DB1081" s="73"/>
      <c r="DC1081" s="73"/>
      <c r="DD1081" s="73"/>
      <c r="DE1081" s="73"/>
      <c r="DF1081" s="73"/>
      <c r="DG1081" s="73"/>
      <c r="DH1081" s="73"/>
      <c r="DI1081" s="73"/>
      <c r="DJ1081" s="73"/>
      <c r="DK1081" s="73"/>
      <c r="DL1081" s="73"/>
      <c r="DM1081" s="73"/>
    </row>
    <row r="1082" spans="1:117" s="48" customFormat="1">
      <c r="A1082" s="73"/>
      <c r="T1082" s="73"/>
      <c r="U1082" s="73"/>
      <c r="V1082" s="73"/>
      <c r="W1082" s="73"/>
      <c r="X1082" s="73"/>
      <c r="Y1082" s="73"/>
      <c r="Z1082" s="73"/>
      <c r="AA1082" s="73"/>
      <c r="AB1082" s="73"/>
      <c r="AC1082" s="73"/>
      <c r="AD1082" s="73"/>
      <c r="AE1082" s="73"/>
      <c r="AF1082" s="73"/>
      <c r="AG1082" s="73"/>
      <c r="AH1082" s="73"/>
      <c r="AI1082" s="73"/>
      <c r="AJ1082" s="73"/>
      <c r="AK1082" s="73"/>
      <c r="AL1082" s="73"/>
      <c r="AM1082" s="73"/>
      <c r="AN1082" s="73"/>
      <c r="AO1082" s="73"/>
      <c r="AP1082" s="73"/>
      <c r="AQ1082" s="73"/>
      <c r="AR1082" s="73"/>
      <c r="AS1082" s="73"/>
      <c r="AT1082" s="73"/>
      <c r="AU1082" s="73"/>
      <c r="AV1082" s="73"/>
      <c r="AW1082" s="73"/>
      <c r="AX1082" s="73"/>
      <c r="AY1082" s="73"/>
      <c r="AZ1082" s="73"/>
      <c r="BA1082" s="73"/>
      <c r="BB1082" s="73"/>
      <c r="BC1082" s="73"/>
      <c r="BD1082" s="73"/>
      <c r="BE1082" s="73"/>
      <c r="BF1082" s="73"/>
      <c r="BG1082" s="73"/>
      <c r="BH1082" s="73"/>
      <c r="BI1082" s="73"/>
      <c r="BJ1082" s="73"/>
      <c r="BK1082" s="73"/>
      <c r="BL1082" s="73"/>
      <c r="BM1082" s="73"/>
      <c r="BN1082" s="73"/>
      <c r="BO1082" s="73"/>
      <c r="BP1082" s="73"/>
      <c r="BQ1082" s="73"/>
      <c r="BR1082" s="73"/>
      <c r="BS1082" s="73"/>
      <c r="BT1082" s="73"/>
      <c r="BU1082" s="73"/>
      <c r="BV1082" s="73"/>
      <c r="BW1082" s="73"/>
      <c r="BX1082" s="73"/>
      <c r="BY1082" s="73"/>
      <c r="BZ1082" s="73"/>
      <c r="CA1082" s="73"/>
      <c r="CB1082" s="73"/>
      <c r="CC1082" s="73"/>
      <c r="CD1082" s="73"/>
      <c r="CE1082" s="73"/>
      <c r="CF1082" s="73"/>
      <c r="CG1082" s="73"/>
      <c r="CH1082" s="73"/>
      <c r="CI1082" s="73"/>
      <c r="CJ1082" s="73"/>
      <c r="CK1082" s="73"/>
      <c r="CL1082" s="73"/>
      <c r="CM1082" s="73"/>
      <c r="CN1082" s="73"/>
      <c r="CO1082" s="73"/>
      <c r="CP1082" s="73"/>
      <c r="CQ1082" s="73"/>
      <c r="CR1082" s="73"/>
      <c r="CS1082" s="73"/>
      <c r="CT1082" s="73"/>
      <c r="CU1082" s="73"/>
      <c r="CV1082" s="73"/>
      <c r="CW1082" s="73"/>
      <c r="CX1082" s="73"/>
      <c r="CY1082" s="73"/>
      <c r="CZ1082" s="73"/>
      <c r="DA1082" s="73"/>
      <c r="DB1082" s="73"/>
      <c r="DC1082" s="73"/>
      <c r="DD1082" s="73"/>
      <c r="DE1082" s="73"/>
      <c r="DF1082" s="73"/>
      <c r="DG1082" s="73"/>
      <c r="DH1082" s="73"/>
      <c r="DI1082" s="73"/>
      <c r="DJ1082" s="73"/>
      <c r="DK1082" s="73"/>
      <c r="DL1082" s="73"/>
      <c r="DM1082" s="73"/>
    </row>
    <row r="1083" spans="1:117" s="48" customFormat="1">
      <c r="A1083" s="73"/>
      <c r="T1083" s="73"/>
      <c r="U1083" s="73"/>
      <c r="V1083" s="73"/>
      <c r="W1083" s="73"/>
      <c r="X1083" s="73"/>
      <c r="Y1083" s="73"/>
      <c r="Z1083" s="73"/>
      <c r="AA1083" s="73"/>
      <c r="AB1083" s="73"/>
      <c r="AC1083" s="73"/>
      <c r="AD1083" s="73"/>
      <c r="AE1083" s="73"/>
      <c r="AF1083" s="73"/>
      <c r="AG1083" s="73"/>
      <c r="AH1083" s="73"/>
      <c r="AI1083" s="73"/>
      <c r="AJ1083" s="73"/>
      <c r="AK1083" s="73"/>
      <c r="AL1083" s="73"/>
      <c r="AM1083" s="73"/>
      <c r="AN1083" s="73"/>
      <c r="AO1083" s="73"/>
      <c r="AP1083" s="73"/>
      <c r="AQ1083" s="73"/>
      <c r="AR1083" s="73"/>
      <c r="AS1083" s="73"/>
      <c r="AT1083" s="73"/>
      <c r="AU1083" s="73"/>
      <c r="AV1083" s="73"/>
      <c r="AW1083" s="73"/>
      <c r="AX1083" s="73"/>
      <c r="AY1083" s="73"/>
      <c r="AZ1083" s="73"/>
      <c r="BA1083" s="73"/>
      <c r="BB1083" s="73"/>
      <c r="BC1083" s="73"/>
      <c r="BD1083" s="73"/>
      <c r="BE1083" s="73"/>
      <c r="BF1083" s="73"/>
      <c r="BG1083" s="73"/>
      <c r="BH1083" s="73"/>
      <c r="BI1083" s="73"/>
      <c r="BJ1083" s="73"/>
      <c r="BK1083" s="73"/>
      <c r="BL1083" s="73"/>
      <c r="BM1083" s="73"/>
      <c r="BN1083" s="73"/>
      <c r="BO1083" s="73"/>
      <c r="BP1083" s="73"/>
      <c r="BQ1083" s="73"/>
      <c r="BR1083" s="73"/>
      <c r="BS1083" s="73"/>
      <c r="BT1083" s="73"/>
      <c r="BU1083" s="73"/>
      <c r="BV1083" s="73"/>
      <c r="BW1083" s="73"/>
      <c r="BX1083" s="73"/>
      <c r="BY1083" s="73"/>
      <c r="BZ1083" s="73"/>
      <c r="CA1083" s="73"/>
      <c r="CB1083" s="73"/>
      <c r="CC1083" s="73"/>
      <c r="CD1083" s="73"/>
      <c r="CE1083" s="73"/>
      <c r="CF1083" s="73"/>
      <c r="CG1083" s="73"/>
      <c r="CH1083" s="73"/>
      <c r="CI1083" s="73"/>
      <c r="CJ1083" s="73"/>
      <c r="CK1083" s="73"/>
      <c r="CL1083" s="73"/>
      <c r="CM1083" s="73"/>
      <c r="CN1083" s="73"/>
      <c r="CO1083" s="73"/>
      <c r="CP1083" s="73"/>
      <c r="CQ1083" s="73"/>
      <c r="CR1083" s="73"/>
      <c r="CS1083" s="73"/>
      <c r="CT1083" s="73"/>
      <c r="CU1083" s="73"/>
      <c r="CV1083" s="73"/>
      <c r="CW1083" s="73"/>
      <c r="CX1083" s="73"/>
      <c r="CY1083" s="73"/>
      <c r="CZ1083" s="73"/>
      <c r="DA1083" s="73"/>
      <c r="DB1083" s="73"/>
      <c r="DC1083" s="73"/>
      <c r="DD1083" s="73"/>
      <c r="DE1083" s="73"/>
      <c r="DF1083" s="73"/>
      <c r="DG1083" s="73"/>
      <c r="DH1083" s="73"/>
      <c r="DI1083" s="73"/>
      <c r="DJ1083" s="73"/>
      <c r="DK1083" s="73"/>
      <c r="DL1083" s="73"/>
      <c r="DM1083" s="73"/>
    </row>
    <row r="1084" spans="1:117" s="48" customFormat="1">
      <c r="A1084" s="73"/>
      <c r="T1084" s="73"/>
      <c r="U1084" s="73"/>
      <c r="V1084" s="73"/>
      <c r="W1084" s="73"/>
      <c r="X1084" s="73"/>
      <c r="Y1084" s="73"/>
      <c r="Z1084" s="73"/>
      <c r="AA1084" s="73"/>
      <c r="AB1084" s="73"/>
      <c r="AC1084" s="73"/>
      <c r="AD1084" s="73"/>
      <c r="AE1084" s="73"/>
      <c r="AF1084" s="73"/>
      <c r="AG1084" s="73"/>
      <c r="AH1084" s="73"/>
      <c r="AI1084" s="73"/>
      <c r="AJ1084" s="73"/>
      <c r="AK1084" s="73"/>
      <c r="AL1084" s="73"/>
      <c r="AM1084" s="73"/>
      <c r="AN1084" s="73"/>
      <c r="AO1084" s="73"/>
      <c r="AP1084" s="73"/>
      <c r="AQ1084" s="73"/>
      <c r="AR1084" s="73"/>
      <c r="AS1084" s="73"/>
      <c r="AT1084" s="73"/>
      <c r="AU1084" s="73"/>
      <c r="AV1084" s="73"/>
      <c r="AW1084" s="73"/>
      <c r="AX1084" s="73"/>
      <c r="AY1084" s="73"/>
      <c r="AZ1084" s="73"/>
      <c r="BA1084" s="73"/>
      <c r="BB1084" s="73"/>
      <c r="BC1084" s="73"/>
      <c r="BD1084" s="73"/>
      <c r="BE1084" s="73"/>
      <c r="BF1084" s="73"/>
      <c r="BG1084" s="73"/>
      <c r="BH1084" s="73"/>
      <c r="BI1084" s="73"/>
      <c r="BJ1084" s="73"/>
      <c r="BK1084" s="73"/>
      <c r="BL1084" s="73"/>
      <c r="BM1084" s="73"/>
      <c r="BN1084" s="73"/>
      <c r="BO1084" s="73"/>
      <c r="BP1084" s="73"/>
      <c r="BQ1084" s="73"/>
      <c r="BR1084" s="73"/>
      <c r="BS1084" s="73"/>
      <c r="BT1084" s="73"/>
      <c r="BU1084" s="73"/>
      <c r="BV1084" s="73"/>
      <c r="BW1084" s="73"/>
      <c r="BX1084" s="73"/>
      <c r="BY1084" s="73"/>
      <c r="BZ1084" s="73"/>
      <c r="CA1084" s="73"/>
      <c r="CB1084" s="73"/>
      <c r="CC1084" s="73"/>
      <c r="CD1084" s="73"/>
      <c r="CE1084" s="73"/>
      <c r="CF1084" s="73"/>
      <c r="CG1084" s="73"/>
      <c r="CH1084" s="73"/>
      <c r="CI1084" s="73"/>
      <c r="CJ1084" s="73"/>
      <c r="CK1084" s="73"/>
      <c r="CL1084" s="73"/>
      <c r="CM1084" s="73"/>
      <c r="CN1084" s="73"/>
      <c r="CO1084" s="73"/>
      <c r="CP1084" s="73"/>
      <c r="CQ1084" s="73"/>
      <c r="CR1084" s="73"/>
      <c r="CS1084" s="73"/>
      <c r="CT1084" s="73"/>
      <c r="CU1084" s="73"/>
      <c r="CV1084" s="73"/>
      <c r="CW1084" s="73"/>
      <c r="CX1084" s="73"/>
      <c r="CY1084" s="73"/>
      <c r="CZ1084" s="73"/>
      <c r="DA1084" s="73"/>
      <c r="DB1084" s="73"/>
      <c r="DC1084" s="73"/>
      <c r="DD1084" s="73"/>
      <c r="DE1084" s="73"/>
      <c r="DF1084" s="73"/>
      <c r="DG1084" s="73"/>
      <c r="DH1084" s="73"/>
      <c r="DI1084" s="73"/>
      <c r="DJ1084" s="73"/>
      <c r="DK1084" s="73"/>
      <c r="DL1084" s="73"/>
      <c r="DM1084" s="73"/>
    </row>
    <row r="1085" spans="1:117" s="48" customFormat="1">
      <c r="A1085" s="73"/>
      <c r="T1085" s="73"/>
      <c r="U1085" s="73"/>
      <c r="V1085" s="73"/>
      <c r="W1085" s="73"/>
      <c r="X1085" s="73"/>
      <c r="Y1085" s="73"/>
      <c r="Z1085" s="73"/>
      <c r="AA1085" s="73"/>
      <c r="AB1085" s="73"/>
      <c r="AC1085" s="73"/>
      <c r="AD1085" s="73"/>
      <c r="AE1085" s="73"/>
      <c r="AF1085" s="73"/>
      <c r="AG1085" s="73"/>
      <c r="AH1085" s="73"/>
      <c r="AI1085" s="73"/>
      <c r="AJ1085" s="73"/>
      <c r="AK1085" s="73"/>
      <c r="AL1085" s="73"/>
      <c r="AM1085" s="73"/>
      <c r="AN1085" s="73"/>
      <c r="AO1085" s="73"/>
      <c r="AP1085" s="73"/>
      <c r="AQ1085" s="73"/>
      <c r="AR1085" s="73"/>
      <c r="AS1085" s="73"/>
      <c r="AT1085" s="73"/>
      <c r="AU1085" s="73"/>
      <c r="AV1085" s="73"/>
      <c r="AW1085" s="73"/>
      <c r="AX1085" s="73"/>
      <c r="AY1085" s="73"/>
      <c r="AZ1085" s="73"/>
      <c r="BA1085" s="73"/>
      <c r="BB1085" s="73"/>
      <c r="BC1085" s="73"/>
      <c r="BD1085" s="73"/>
      <c r="BE1085" s="73"/>
      <c r="BF1085" s="73"/>
      <c r="BG1085" s="73"/>
      <c r="BH1085" s="73"/>
      <c r="BI1085" s="73"/>
      <c r="BJ1085" s="73"/>
      <c r="BK1085" s="73"/>
      <c r="BL1085" s="73"/>
      <c r="BM1085" s="73"/>
      <c r="BN1085" s="73"/>
      <c r="BO1085" s="73"/>
      <c r="BP1085" s="73"/>
      <c r="BQ1085" s="73"/>
      <c r="BR1085" s="73"/>
      <c r="BS1085" s="73"/>
      <c r="BT1085" s="73"/>
      <c r="BU1085" s="73"/>
      <c r="BV1085" s="73"/>
      <c r="BW1085" s="73"/>
      <c r="BX1085" s="73"/>
      <c r="BY1085" s="73"/>
      <c r="BZ1085" s="73"/>
      <c r="CA1085" s="73"/>
      <c r="CB1085" s="73"/>
      <c r="CC1085" s="73"/>
      <c r="CD1085" s="73"/>
      <c r="CE1085" s="73"/>
      <c r="CF1085" s="73"/>
      <c r="CG1085" s="73"/>
      <c r="CH1085" s="73"/>
      <c r="CI1085" s="73"/>
      <c r="CJ1085" s="73"/>
      <c r="CK1085" s="73"/>
      <c r="CL1085" s="73"/>
      <c r="CM1085" s="73"/>
      <c r="CN1085" s="73"/>
      <c r="CO1085" s="73"/>
      <c r="CP1085" s="73"/>
      <c r="CQ1085" s="73"/>
      <c r="CR1085" s="73"/>
      <c r="CS1085" s="73"/>
      <c r="CT1085" s="73"/>
      <c r="CU1085" s="73"/>
      <c r="CV1085" s="73"/>
      <c r="CW1085" s="73"/>
      <c r="CX1085" s="73"/>
      <c r="CY1085" s="73"/>
      <c r="CZ1085" s="73"/>
      <c r="DA1085" s="73"/>
      <c r="DB1085" s="73"/>
      <c r="DC1085" s="73"/>
      <c r="DD1085" s="73"/>
      <c r="DE1085" s="73"/>
      <c r="DF1085" s="73"/>
      <c r="DG1085" s="73"/>
      <c r="DH1085" s="73"/>
      <c r="DI1085" s="73"/>
      <c r="DJ1085" s="73"/>
      <c r="DK1085" s="73"/>
      <c r="DL1085" s="73"/>
      <c r="DM1085" s="73"/>
    </row>
    <row r="1086" spans="1:117" s="48" customFormat="1">
      <c r="A1086" s="73"/>
      <c r="T1086" s="73"/>
      <c r="U1086" s="73"/>
      <c r="V1086" s="73"/>
      <c r="W1086" s="73"/>
      <c r="X1086" s="73"/>
      <c r="Y1086" s="73"/>
      <c r="Z1086" s="73"/>
      <c r="AA1086" s="73"/>
      <c r="AB1086" s="73"/>
      <c r="AC1086" s="73"/>
      <c r="AD1086" s="73"/>
      <c r="AE1086" s="73"/>
      <c r="AF1086" s="73"/>
      <c r="AG1086" s="73"/>
      <c r="AH1086" s="73"/>
      <c r="AI1086" s="73"/>
      <c r="AJ1086" s="73"/>
      <c r="AK1086" s="73"/>
      <c r="AL1086" s="73"/>
      <c r="AM1086" s="73"/>
      <c r="AN1086" s="73"/>
      <c r="AO1086" s="73"/>
      <c r="AP1086" s="73"/>
      <c r="AQ1086" s="73"/>
      <c r="AR1086" s="73"/>
      <c r="AS1086" s="73"/>
      <c r="AT1086" s="73"/>
      <c r="AU1086" s="73"/>
      <c r="AV1086" s="73"/>
      <c r="AW1086" s="73"/>
      <c r="AX1086" s="73"/>
      <c r="AY1086" s="73"/>
      <c r="AZ1086" s="73"/>
      <c r="BA1086" s="73"/>
      <c r="BB1086" s="73"/>
      <c r="BC1086" s="73"/>
      <c r="BD1086" s="73"/>
      <c r="BE1086" s="73"/>
      <c r="BF1086" s="73"/>
      <c r="BG1086" s="73"/>
      <c r="BH1086" s="73"/>
      <c r="BI1086" s="73"/>
      <c r="BJ1086" s="73"/>
      <c r="BK1086" s="73"/>
      <c r="BL1086" s="73"/>
      <c r="BM1086" s="73"/>
      <c r="BN1086" s="73"/>
      <c r="BO1086" s="73"/>
      <c r="BP1086" s="73"/>
      <c r="BQ1086" s="73"/>
      <c r="BR1086" s="73"/>
      <c r="BS1086" s="73"/>
      <c r="BT1086" s="73"/>
      <c r="BU1086" s="73"/>
      <c r="BV1086" s="73"/>
      <c r="BW1086" s="73"/>
      <c r="BX1086" s="73"/>
      <c r="BY1086" s="73"/>
      <c r="BZ1086" s="73"/>
      <c r="CA1086" s="73"/>
      <c r="CB1086" s="73"/>
      <c r="CC1086" s="73"/>
      <c r="CD1086" s="73"/>
      <c r="CE1086" s="73"/>
      <c r="CF1086" s="73"/>
      <c r="CG1086" s="73"/>
      <c r="CH1086" s="73"/>
      <c r="CI1086" s="73"/>
      <c r="CJ1086" s="73"/>
      <c r="CK1086" s="73"/>
      <c r="CL1086" s="73"/>
      <c r="CM1086" s="73"/>
      <c r="CN1086" s="73"/>
      <c r="CO1086" s="73"/>
      <c r="CP1086" s="73"/>
      <c r="CQ1086" s="73"/>
      <c r="CR1086" s="73"/>
      <c r="CS1086" s="73"/>
      <c r="CT1086" s="73"/>
      <c r="CU1086" s="73"/>
      <c r="CV1086" s="73"/>
      <c r="CW1086" s="73"/>
      <c r="CX1086" s="73"/>
      <c r="CY1086" s="73"/>
      <c r="CZ1086" s="73"/>
      <c r="DA1086" s="73"/>
      <c r="DB1086" s="73"/>
      <c r="DC1086" s="73"/>
      <c r="DD1086" s="73"/>
      <c r="DE1086" s="73"/>
      <c r="DF1086" s="73"/>
      <c r="DG1086" s="73"/>
      <c r="DH1086" s="73"/>
      <c r="DI1086" s="73"/>
      <c r="DJ1086" s="73"/>
      <c r="DK1086" s="73"/>
      <c r="DL1086" s="73"/>
      <c r="DM1086" s="73"/>
    </row>
    <row r="1087" spans="1:117" s="48" customFormat="1">
      <c r="A1087" s="73"/>
      <c r="T1087" s="73"/>
      <c r="U1087" s="73"/>
      <c r="V1087" s="73"/>
      <c r="W1087" s="73"/>
      <c r="X1087" s="73"/>
      <c r="Y1087" s="73"/>
      <c r="Z1087" s="73"/>
      <c r="AA1087" s="73"/>
      <c r="AB1087" s="73"/>
      <c r="AC1087" s="73"/>
      <c r="AD1087" s="73"/>
      <c r="AE1087" s="73"/>
      <c r="AF1087" s="73"/>
      <c r="AG1087" s="73"/>
      <c r="AH1087" s="73"/>
      <c r="AI1087" s="73"/>
      <c r="AJ1087" s="73"/>
      <c r="AK1087" s="73"/>
      <c r="AL1087" s="73"/>
      <c r="AM1087" s="73"/>
      <c r="AN1087" s="73"/>
      <c r="AO1087" s="73"/>
      <c r="AP1087" s="73"/>
      <c r="AQ1087" s="73"/>
      <c r="AR1087" s="73"/>
      <c r="AS1087" s="73"/>
      <c r="AT1087" s="73"/>
      <c r="AU1087" s="73"/>
      <c r="AV1087" s="73"/>
      <c r="AW1087" s="73"/>
      <c r="AX1087" s="73"/>
      <c r="AY1087" s="73"/>
      <c r="AZ1087" s="73"/>
      <c r="BA1087" s="73"/>
      <c r="BB1087" s="73"/>
      <c r="BC1087" s="73"/>
      <c r="BD1087" s="73"/>
      <c r="BE1087" s="73"/>
      <c r="BF1087" s="73"/>
      <c r="BG1087" s="73"/>
      <c r="BH1087" s="73"/>
      <c r="BI1087" s="73"/>
      <c r="BJ1087" s="73"/>
      <c r="BK1087" s="73"/>
      <c r="BL1087" s="73"/>
      <c r="BM1087" s="73"/>
      <c r="BN1087" s="73"/>
      <c r="BO1087" s="73"/>
      <c r="BP1087" s="73"/>
      <c r="BQ1087" s="73"/>
      <c r="BR1087" s="73"/>
      <c r="BS1087" s="73"/>
      <c r="BT1087" s="73"/>
      <c r="BU1087" s="73"/>
      <c r="BV1087" s="73"/>
      <c r="BW1087" s="73"/>
      <c r="BX1087" s="73"/>
      <c r="BY1087" s="73"/>
      <c r="BZ1087" s="73"/>
      <c r="CA1087" s="73"/>
      <c r="CB1087" s="73"/>
      <c r="CC1087" s="73"/>
      <c r="CD1087" s="73"/>
      <c r="CE1087" s="73"/>
      <c r="CF1087" s="73"/>
      <c r="CG1087" s="73"/>
      <c r="CH1087" s="73"/>
      <c r="CI1087" s="73"/>
      <c r="CJ1087" s="73"/>
      <c r="CK1087" s="73"/>
      <c r="CL1087" s="73"/>
      <c r="CM1087" s="73"/>
      <c r="CN1087" s="73"/>
      <c r="CO1087" s="73"/>
      <c r="CP1087" s="73"/>
      <c r="CQ1087" s="73"/>
      <c r="CR1087" s="73"/>
      <c r="CS1087" s="73"/>
      <c r="CT1087" s="73"/>
      <c r="CU1087" s="73"/>
      <c r="CV1087" s="73"/>
      <c r="CW1087" s="73"/>
      <c r="CX1087" s="73"/>
      <c r="CY1087" s="73"/>
      <c r="CZ1087" s="73"/>
      <c r="DA1087" s="73"/>
      <c r="DB1087" s="73"/>
      <c r="DC1087" s="73"/>
      <c r="DD1087" s="73"/>
      <c r="DE1087" s="73"/>
      <c r="DF1087" s="73"/>
      <c r="DG1087" s="73"/>
      <c r="DH1087" s="73"/>
      <c r="DI1087" s="73"/>
      <c r="DJ1087" s="73"/>
      <c r="DK1087" s="73"/>
      <c r="DL1087" s="73"/>
      <c r="DM1087" s="73"/>
    </row>
    <row r="1088" spans="1:117" s="48" customFormat="1">
      <c r="A1088" s="73"/>
      <c r="T1088" s="73"/>
      <c r="U1088" s="73"/>
      <c r="V1088" s="73"/>
      <c r="W1088" s="73"/>
      <c r="X1088" s="73"/>
      <c r="Y1088" s="73"/>
      <c r="Z1088" s="73"/>
      <c r="AA1088" s="73"/>
      <c r="AB1088" s="73"/>
      <c r="AC1088" s="73"/>
      <c r="AD1088" s="73"/>
      <c r="AE1088" s="73"/>
      <c r="AF1088" s="73"/>
      <c r="AG1088" s="73"/>
      <c r="AH1088" s="73"/>
      <c r="AI1088" s="73"/>
      <c r="AJ1088" s="73"/>
      <c r="AK1088" s="73"/>
      <c r="AL1088" s="73"/>
      <c r="AM1088" s="73"/>
      <c r="AN1088" s="73"/>
      <c r="AO1088" s="73"/>
      <c r="AP1088" s="73"/>
      <c r="AQ1088" s="73"/>
      <c r="AR1088" s="73"/>
      <c r="AS1088" s="73"/>
      <c r="AT1088" s="73"/>
      <c r="AU1088" s="73"/>
      <c r="AV1088" s="73"/>
      <c r="AW1088" s="73"/>
      <c r="AX1088" s="73"/>
      <c r="AY1088" s="73"/>
      <c r="AZ1088" s="73"/>
      <c r="BA1088" s="73"/>
      <c r="BB1088" s="73"/>
      <c r="BC1088" s="73"/>
      <c r="BD1088" s="73"/>
      <c r="BE1088" s="73"/>
      <c r="BF1088" s="73"/>
      <c r="BG1088" s="73"/>
      <c r="BH1088" s="73"/>
      <c r="BI1088" s="73"/>
      <c r="BJ1088" s="73"/>
      <c r="BK1088" s="73"/>
      <c r="BL1088" s="73"/>
      <c r="BM1088" s="73"/>
      <c r="BN1088" s="73"/>
      <c r="BO1088" s="73"/>
      <c r="BP1088" s="73"/>
      <c r="BQ1088" s="73"/>
      <c r="BR1088" s="73"/>
      <c r="BS1088" s="73"/>
      <c r="BT1088" s="73"/>
      <c r="BU1088" s="73"/>
      <c r="BV1088" s="73"/>
      <c r="BW1088" s="73"/>
      <c r="BX1088" s="73"/>
      <c r="BY1088" s="73"/>
      <c r="BZ1088" s="73"/>
      <c r="CA1088" s="73"/>
      <c r="CB1088" s="73"/>
      <c r="CC1088" s="73"/>
      <c r="CD1088" s="73"/>
      <c r="CE1088" s="73"/>
      <c r="CF1088" s="73"/>
      <c r="CG1088" s="73"/>
      <c r="CH1088" s="73"/>
      <c r="CI1088" s="73"/>
      <c r="CJ1088" s="73"/>
      <c r="CK1088" s="73"/>
      <c r="CL1088" s="73"/>
      <c r="CM1088" s="73"/>
      <c r="CN1088" s="73"/>
      <c r="CO1088" s="73"/>
      <c r="CP1088" s="73"/>
      <c r="CQ1088" s="73"/>
      <c r="CR1088" s="73"/>
      <c r="CS1088" s="73"/>
      <c r="CT1088" s="73"/>
      <c r="CU1088" s="73"/>
      <c r="CV1088" s="73"/>
      <c r="CW1088" s="73"/>
      <c r="CX1088" s="73"/>
      <c r="CY1088" s="73"/>
      <c r="CZ1088" s="73"/>
      <c r="DA1088" s="73"/>
      <c r="DB1088" s="73"/>
      <c r="DC1088" s="73"/>
      <c r="DD1088" s="73"/>
      <c r="DE1088" s="73"/>
      <c r="DF1088" s="73"/>
      <c r="DG1088" s="73"/>
      <c r="DH1088" s="73"/>
      <c r="DI1088" s="73"/>
      <c r="DJ1088" s="73"/>
      <c r="DK1088" s="73"/>
      <c r="DL1088" s="73"/>
      <c r="DM1088" s="73"/>
    </row>
    <row r="1089" spans="1:117" s="48" customFormat="1">
      <c r="A1089" s="73"/>
      <c r="T1089" s="73"/>
      <c r="U1089" s="73"/>
      <c r="V1089" s="73"/>
      <c r="W1089" s="73"/>
      <c r="X1089" s="73"/>
      <c r="Y1089" s="73"/>
      <c r="Z1089" s="73"/>
      <c r="AA1089" s="73"/>
      <c r="AB1089" s="73"/>
      <c r="AC1089" s="73"/>
      <c r="AD1089" s="73"/>
      <c r="AE1089" s="73"/>
      <c r="AF1089" s="73"/>
      <c r="AG1089" s="73"/>
      <c r="AH1089" s="73"/>
      <c r="AI1089" s="73"/>
      <c r="AJ1089" s="73"/>
      <c r="AK1089" s="73"/>
      <c r="AL1089" s="73"/>
      <c r="AM1089" s="73"/>
      <c r="AN1089" s="73"/>
      <c r="AO1089" s="73"/>
      <c r="AP1089" s="73"/>
      <c r="AQ1089" s="73"/>
      <c r="AR1089" s="73"/>
      <c r="AS1089" s="73"/>
      <c r="AT1089" s="73"/>
      <c r="AU1089" s="73"/>
      <c r="AV1089" s="73"/>
      <c r="AW1089" s="73"/>
      <c r="AX1089" s="73"/>
      <c r="AY1089" s="73"/>
      <c r="AZ1089" s="73"/>
      <c r="BA1089" s="73"/>
      <c r="BB1089" s="73"/>
      <c r="BC1089" s="73"/>
      <c r="BD1089" s="73"/>
      <c r="BE1089" s="73"/>
      <c r="BF1089" s="73"/>
      <c r="BG1089" s="73"/>
      <c r="BH1089" s="73"/>
      <c r="BI1089" s="73"/>
      <c r="BJ1089" s="73"/>
      <c r="BK1089" s="73"/>
      <c r="BL1089" s="73"/>
      <c r="BM1089" s="73"/>
      <c r="BN1089" s="73"/>
      <c r="BO1089" s="73"/>
      <c r="BP1089" s="73"/>
      <c r="BQ1089" s="73"/>
      <c r="BR1089" s="73"/>
      <c r="BS1089" s="73"/>
      <c r="BT1089" s="73"/>
      <c r="BU1089" s="73"/>
      <c r="BV1089" s="73"/>
      <c r="BW1089" s="73"/>
      <c r="BX1089" s="73"/>
      <c r="BY1089" s="73"/>
      <c r="BZ1089" s="73"/>
      <c r="CA1089" s="73"/>
      <c r="CB1089" s="73"/>
      <c r="CC1089" s="73"/>
      <c r="CD1089" s="73"/>
      <c r="CE1089" s="73"/>
      <c r="CF1089" s="73"/>
      <c r="CG1089" s="73"/>
      <c r="CH1089" s="73"/>
      <c r="CI1089" s="73"/>
      <c r="CJ1089" s="73"/>
      <c r="CK1089" s="73"/>
      <c r="CL1089" s="73"/>
      <c r="CM1089" s="73"/>
      <c r="CN1089" s="73"/>
      <c r="CO1089" s="73"/>
      <c r="CP1089" s="73"/>
      <c r="CQ1089" s="73"/>
      <c r="CR1089" s="73"/>
      <c r="CS1089" s="73"/>
      <c r="CT1089" s="73"/>
      <c r="CU1089" s="73"/>
      <c r="CV1089" s="73"/>
      <c r="CW1089" s="73"/>
      <c r="CX1089" s="73"/>
      <c r="CY1089" s="73"/>
      <c r="CZ1089" s="73"/>
      <c r="DA1089" s="73"/>
      <c r="DB1089" s="73"/>
      <c r="DC1089" s="73"/>
      <c r="DD1089" s="73"/>
      <c r="DE1089" s="73"/>
      <c r="DF1089" s="73"/>
      <c r="DG1089" s="73"/>
      <c r="DH1089" s="73"/>
      <c r="DI1089" s="73"/>
      <c r="DJ1089" s="73"/>
      <c r="DK1089" s="73"/>
      <c r="DL1089" s="73"/>
      <c r="DM1089" s="73"/>
    </row>
    <row r="1090" spans="1:117" s="48" customFormat="1">
      <c r="A1090" s="73"/>
      <c r="T1090" s="73"/>
      <c r="U1090" s="73"/>
      <c r="V1090" s="73"/>
      <c r="W1090" s="73"/>
      <c r="X1090" s="73"/>
      <c r="Y1090" s="73"/>
      <c r="Z1090" s="73"/>
      <c r="AA1090" s="73"/>
      <c r="AB1090" s="73"/>
      <c r="AC1090" s="73"/>
      <c r="AD1090" s="73"/>
      <c r="AE1090" s="73"/>
      <c r="AF1090" s="73"/>
      <c r="AG1090" s="73"/>
      <c r="AH1090" s="73"/>
      <c r="AI1090" s="73"/>
      <c r="AJ1090" s="73"/>
      <c r="AK1090" s="73"/>
      <c r="AL1090" s="73"/>
      <c r="AM1090" s="73"/>
      <c r="AN1090" s="73"/>
      <c r="AO1090" s="73"/>
      <c r="AP1090" s="73"/>
      <c r="AQ1090" s="73"/>
      <c r="AR1090" s="73"/>
      <c r="AS1090" s="73"/>
      <c r="AT1090" s="73"/>
      <c r="AU1090" s="73"/>
      <c r="AV1090" s="73"/>
      <c r="AW1090" s="73"/>
      <c r="AX1090" s="73"/>
      <c r="AY1090" s="73"/>
      <c r="AZ1090" s="73"/>
      <c r="BA1090" s="73"/>
      <c r="BB1090" s="73"/>
      <c r="BC1090" s="73"/>
      <c r="BD1090" s="73"/>
      <c r="BE1090" s="73"/>
      <c r="BF1090" s="73"/>
      <c r="BG1090" s="73"/>
      <c r="BH1090" s="73"/>
      <c r="BI1090" s="73"/>
      <c r="BJ1090" s="73"/>
      <c r="BK1090" s="73"/>
      <c r="BL1090" s="73"/>
      <c r="BM1090" s="73"/>
      <c r="BN1090" s="73"/>
      <c r="BO1090" s="73"/>
      <c r="BP1090" s="73"/>
      <c r="BQ1090" s="73"/>
      <c r="BR1090" s="73"/>
      <c r="BS1090" s="73"/>
      <c r="BT1090" s="73"/>
      <c r="BU1090" s="73"/>
      <c r="BV1090" s="73"/>
      <c r="BW1090" s="73"/>
      <c r="BX1090" s="73"/>
      <c r="BY1090" s="73"/>
      <c r="BZ1090" s="73"/>
      <c r="CA1090" s="73"/>
      <c r="CB1090" s="73"/>
      <c r="CC1090" s="73"/>
      <c r="CD1090" s="73"/>
      <c r="CE1090" s="73"/>
      <c r="CF1090" s="73"/>
      <c r="CG1090" s="73"/>
      <c r="CH1090" s="73"/>
      <c r="CI1090" s="73"/>
      <c r="CJ1090" s="73"/>
      <c r="CK1090" s="73"/>
      <c r="CL1090" s="73"/>
      <c r="CM1090" s="73"/>
      <c r="CN1090" s="73"/>
      <c r="CO1090" s="73"/>
      <c r="CP1090" s="73"/>
      <c r="CQ1090" s="73"/>
      <c r="CR1090" s="73"/>
      <c r="CS1090" s="73"/>
      <c r="CT1090" s="73"/>
      <c r="CU1090" s="73"/>
      <c r="CV1090" s="73"/>
      <c r="CW1090" s="73"/>
      <c r="CX1090" s="73"/>
      <c r="CY1090" s="73"/>
      <c r="CZ1090" s="73"/>
      <c r="DA1090" s="73"/>
      <c r="DB1090" s="73"/>
      <c r="DC1090" s="73"/>
      <c r="DD1090" s="73"/>
      <c r="DE1090" s="73"/>
      <c r="DF1090" s="73"/>
      <c r="DG1090" s="73"/>
      <c r="DH1090" s="73"/>
      <c r="DI1090" s="73"/>
      <c r="DJ1090" s="73"/>
      <c r="DK1090" s="73"/>
      <c r="DL1090" s="73"/>
      <c r="DM1090" s="73"/>
    </row>
    <row r="1091" spans="1:117" s="48" customFormat="1">
      <c r="A1091" s="73"/>
      <c r="T1091" s="73"/>
      <c r="U1091" s="73"/>
      <c r="V1091" s="73"/>
      <c r="W1091" s="73"/>
      <c r="X1091" s="73"/>
      <c r="Y1091" s="73"/>
      <c r="Z1091" s="73"/>
      <c r="AA1091" s="73"/>
      <c r="AB1091" s="73"/>
      <c r="AC1091" s="73"/>
      <c r="AD1091" s="73"/>
      <c r="AE1091" s="73"/>
      <c r="AF1091" s="73"/>
      <c r="AG1091" s="73"/>
      <c r="AH1091" s="73"/>
      <c r="AI1091" s="73"/>
      <c r="AJ1091" s="73"/>
      <c r="AK1091" s="73"/>
      <c r="AL1091" s="73"/>
      <c r="AM1091" s="73"/>
      <c r="AN1091" s="73"/>
      <c r="AO1091" s="73"/>
      <c r="AP1091" s="73"/>
      <c r="AQ1091" s="73"/>
      <c r="AR1091" s="73"/>
      <c r="AS1091" s="73"/>
      <c r="AT1091" s="73"/>
      <c r="AU1091" s="73"/>
      <c r="AV1091" s="73"/>
      <c r="AW1091" s="73"/>
      <c r="AX1091" s="73"/>
      <c r="AY1091" s="73"/>
      <c r="AZ1091" s="73"/>
      <c r="BA1091" s="73"/>
      <c r="BB1091" s="73"/>
      <c r="BC1091" s="73"/>
      <c r="BD1091" s="73"/>
      <c r="BE1091" s="73"/>
      <c r="BF1091" s="73"/>
      <c r="BG1091" s="73"/>
      <c r="BH1091" s="73"/>
      <c r="BI1091" s="73"/>
      <c r="BJ1091" s="73"/>
      <c r="BK1091" s="73"/>
      <c r="BL1091" s="73"/>
      <c r="BM1091" s="73"/>
      <c r="BN1091" s="73"/>
      <c r="BO1091" s="73"/>
      <c r="BP1091" s="73"/>
      <c r="BQ1091" s="73"/>
      <c r="BR1091" s="73"/>
      <c r="BS1091" s="73"/>
      <c r="BT1091" s="73"/>
      <c r="BU1091" s="73"/>
      <c r="BV1091" s="73"/>
      <c r="BW1091" s="73"/>
      <c r="BX1091" s="73"/>
      <c r="BY1091" s="73"/>
      <c r="BZ1091" s="73"/>
      <c r="CA1091" s="73"/>
      <c r="CB1091" s="73"/>
      <c r="CC1091" s="73"/>
      <c r="CD1091" s="73"/>
      <c r="CE1091" s="73"/>
      <c r="CF1091" s="73"/>
      <c r="CG1091" s="73"/>
      <c r="CH1091" s="73"/>
      <c r="CI1091" s="73"/>
      <c r="CJ1091" s="73"/>
      <c r="CK1091" s="73"/>
      <c r="CL1091" s="73"/>
      <c r="CM1091" s="73"/>
      <c r="CN1091" s="73"/>
      <c r="CO1091" s="73"/>
      <c r="CP1091" s="73"/>
      <c r="CQ1091" s="73"/>
      <c r="CR1091" s="73"/>
      <c r="CS1091" s="73"/>
      <c r="CT1091" s="73"/>
      <c r="CU1091" s="73"/>
      <c r="CV1091" s="73"/>
      <c r="CW1091" s="73"/>
      <c r="CX1091" s="73"/>
      <c r="CY1091" s="73"/>
      <c r="CZ1091" s="73"/>
      <c r="DA1091" s="73"/>
      <c r="DB1091" s="73"/>
      <c r="DC1091" s="73"/>
      <c r="DD1091" s="73"/>
      <c r="DE1091" s="73"/>
      <c r="DF1091" s="73"/>
      <c r="DG1091" s="73"/>
      <c r="DH1091" s="73"/>
      <c r="DI1091" s="73"/>
      <c r="DJ1091" s="73"/>
      <c r="DK1091" s="73"/>
      <c r="DL1091" s="73"/>
      <c r="DM1091" s="73"/>
    </row>
    <row r="1092" spans="1:117" s="48" customFormat="1">
      <c r="A1092" s="73"/>
      <c r="T1092" s="73"/>
      <c r="U1092" s="73"/>
      <c r="V1092" s="73"/>
      <c r="W1092" s="73"/>
      <c r="X1092" s="73"/>
      <c r="Y1092" s="73"/>
      <c r="Z1092" s="73"/>
      <c r="AA1092" s="73"/>
      <c r="AB1092" s="73"/>
      <c r="AC1092" s="73"/>
      <c r="AD1092" s="73"/>
      <c r="AE1092" s="73"/>
      <c r="AF1092" s="73"/>
      <c r="AG1092" s="73"/>
      <c r="AH1092" s="73"/>
      <c r="AI1092" s="73"/>
      <c r="AJ1092" s="73"/>
      <c r="AK1092" s="73"/>
      <c r="AL1092" s="73"/>
      <c r="AM1092" s="73"/>
      <c r="AN1092" s="73"/>
      <c r="AO1092" s="73"/>
      <c r="AP1092" s="73"/>
      <c r="AQ1092" s="73"/>
      <c r="AR1092" s="73"/>
      <c r="AS1092" s="73"/>
      <c r="AT1092" s="73"/>
      <c r="AU1092" s="73"/>
      <c r="AV1092" s="73"/>
      <c r="AW1092" s="73"/>
      <c r="AX1092" s="73"/>
      <c r="AY1092" s="73"/>
      <c r="AZ1092" s="73"/>
      <c r="BA1092" s="73"/>
      <c r="BB1092" s="73"/>
      <c r="BC1092" s="73"/>
      <c r="BD1092" s="73"/>
      <c r="BE1092" s="73"/>
      <c r="BF1092" s="73"/>
      <c r="BG1092" s="73"/>
      <c r="BH1092" s="73"/>
      <c r="BI1092" s="73"/>
      <c r="BJ1092" s="73"/>
      <c r="BK1092" s="73"/>
      <c r="BL1092" s="73"/>
      <c r="BM1092" s="73"/>
      <c r="BN1092" s="73"/>
      <c r="BO1092" s="73"/>
      <c r="BP1092" s="73"/>
      <c r="BQ1092" s="73"/>
      <c r="BR1092" s="73"/>
      <c r="BS1092" s="73"/>
      <c r="BT1092" s="73"/>
      <c r="BU1092" s="73"/>
      <c r="BV1092" s="73"/>
      <c r="BW1092" s="73"/>
      <c r="BX1092" s="73"/>
      <c r="BY1092" s="73"/>
      <c r="BZ1092" s="73"/>
      <c r="CA1092" s="73"/>
      <c r="CB1092" s="73"/>
      <c r="CC1092" s="73"/>
      <c r="CD1092" s="73"/>
      <c r="CE1092" s="73"/>
      <c r="CF1092" s="73"/>
      <c r="CG1092" s="73"/>
      <c r="CH1092" s="73"/>
      <c r="CI1092" s="73"/>
      <c r="CJ1092" s="73"/>
      <c r="CK1092" s="73"/>
      <c r="CL1092" s="73"/>
      <c r="CM1092" s="73"/>
      <c r="CN1092" s="73"/>
      <c r="CO1092" s="73"/>
      <c r="CP1092" s="73"/>
      <c r="CQ1092" s="73"/>
      <c r="CR1092" s="73"/>
      <c r="CS1092" s="73"/>
      <c r="CT1092" s="73"/>
      <c r="CU1092" s="73"/>
      <c r="CV1092" s="73"/>
      <c r="CW1092" s="73"/>
      <c r="CX1092" s="73"/>
      <c r="CY1092" s="73"/>
      <c r="CZ1092" s="73"/>
      <c r="DA1092" s="73"/>
      <c r="DB1092" s="73"/>
      <c r="DC1092" s="73"/>
      <c r="DD1092" s="73"/>
      <c r="DE1092" s="73"/>
      <c r="DF1092" s="73"/>
      <c r="DG1092" s="73"/>
      <c r="DH1092" s="73"/>
      <c r="DI1092" s="73"/>
      <c r="DJ1092" s="73"/>
      <c r="DK1092" s="73"/>
      <c r="DL1092" s="73"/>
      <c r="DM1092" s="73"/>
    </row>
    <row r="1093" spans="1:117" s="48" customFormat="1">
      <c r="A1093" s="73"/>
      <c r="T1093" s="73"/>
      <c r="U1093" s="73"/>
      <c r="V1093" s="73"/>
      <c r="W1093" s="73"/>
      <c r="X1093" s="73"/>
      <c r="Y1093" s="73"/>
      <c r="Z1093" s="73"/>
      <c r="AA1093" s="73"/>
      <c r="AB1093" s="73"/>
      <c r="AC1093" s="73"/>
      <c r="AD1093" s="73"/>
      <c r="AE1093" s="73"/>
      <c r="AF1093" s="73"/>
      <c r="AG1093" s="73"/>
      <c r="AH1093" s="73"/>
      <c r="AI1093" s="73"/>
      <c r="AJ1093" s="73"/>
      <c r="AK1093" s="73"/>
      <c r="AL1093" s="73"/>
      <c r="AM1093" s="73"/>
      <c r="AN1093" s="73"/>
      <c r="AO1093" s="73"/>
      <c r="AP1093" s="73"/>
      <c r="AQ1093" s="73"/>
      <c r="AR1093" s="73"/>
      <c r="AS1093" s="73"/>
      <c r="AT1093" s="73"/>
      <c r="AU1093" s="73"/>
      <c r="AV1093" s="73"/>
      <c r="AW1093" s="73"/>
      <c r="AX1093" s="73"/>
      <c r="AY1093" s="73"/>
      <c r="AZ1093" s="73"/>
      <c r="BA1093" s="73"/>
      <c r="BB1093" s="73"/>
      <c r="BC1093" s="73"/>
      <c r="BD1093" s="73"/>
      <c r="BE1093" s="73"/>
      <c r="BF1093" s="73"/>
      <c r="BG1093" s="73"/>
      <c r="BH1093" s="73"/>
      <c r="BI1093" s="73"/>
      <c r="BJ1093" s="73"/>
      <c r="BK1093" s="73"/>
      <c r="BL1093" s="73"/>
      <c r="BM1093" s="73"/>
      <c r="BN1093" s="73"/>
      <c r="BO1093" s="73"/>
      <c r="BP1093" s="73"/>
      <c r="BQ1093" s="73"/>
      <c r="BR1093" s="73"/>
      <c r="BS1093" s="73"/>
      <c r="BT1093" s="73"/>
      <c r="BU1093" s="73"/>
      <c r="BV1093" s="73"/>
      <c r="BW1093" s="73"/>
      <c r="BX1093" s="73"/>
      <c r="BY1093" s="73"/>
      <c r="BZ1093" s="73"/>
      <c r="CA1093" s="73"/>
      <c r="CB1093" s="73"/>
      <c r="CC1093" s="73"/>
      <c r="CD1093" s="73"/>
      <c r="CE1093" s="73"/>
      <c r="CF1093" s="73"/>
      <c r="CG1093" s="73"/>
      <c r="CH1093" s="73"/>
      <c r="CI1093" s="73"/>
      <c r="CJ1093" s="73"/>
      <c r="CK1093" s="73"/>
      <c r="CL1093" s="73"/>
      <c r="CM1093" s="73"/>
      <c r="CN1093" s="73"/>
      <c r="CO1093" s="73"/>
      <c r="CP1093" s="73"/>
      <c r="CQ1093" s="73"/>
      <c r="CR1093" s="73"/>
      <c r="CS1093" s="73"/>
      <c r="CT1093" s="73"/>
      <c r="CU1093" s="73"/>
      <c r="CV1093" s="73"/>
      <c r="CW1093" s="73"/>
      <c r="CX1093" s="73"/>
      <c r="CY1093" s="73"/>
      <c r="CZ1093" s="73"/>
      <c r="DA1093" s="73"/>
      <c r="DB1093" s="73"/>
      <c r="DC1093" s="73"/>
      <c r="DD1093" s="73"/>
      <c r="DE1093" s="73"/>
      <c r="DF1093" s="73"/>
      <c r="DG1093" s="73"/>
      <c r="DH1093" s="73"/>
      <c r="DI1093" s="73"/>
      <c r="DJ1093" s="73"/>
      <c r="DK1093" s="73"/>
      <c r="DL1093" s="73"/>
      <c r="DM1093" s="73"/>
    </row>
    <row r="1094" spans="1:117" s="48" customFormat="1">
      <c r="A1094" s="73"/>
      <c r="T1094" s="73"/>
      <c r="U1094" s="73"/>
      <c r="V1094" s="73"/>
      <c r="W1094" s="73"/>
      <c r="X1094" s="73"/>
      <c r="Y1094" s="73"/>
      <c r="Z1094" s="73"/>
      <c r="AA1094" s="73"/>
      <c r="AB1094" s="73"/>
      <c r="AC1094" s="73"/>
      <c r="AD1094" s="73"/>
      <c r="AE1094" s="73"/>
      <c r="AF1094" s="73"/>
      <c r="AG1094" s="73"/>
      <c r="AH1094" s="73"/>
      <c r="AI1094" s="73"/>
      <c r="AJ1094" s="73"/>
      <c r="AK1094" s="73"/>
      <c r="AL1094" s="73"/>
      <c r="AM1094" s="73"/>
      <c r="AN1094" s="73"/>
      <c r="AO1094" s="73"/>
      <c r="AP1094" s="73"/>
      <c r="AQ1094" s="73"/>
      <c r="AR1094" s="73"/>
      <c r="AS1094" s="73"/>
      <c r="AT1094" s="73"/>
      <c r="AU1094" s="73"/>
      <c r="AV1094" s="73"/>
      <c r="AW1094" s="73"/>
      <c r="AX1094" s="73"/>
      <c r="AY1094" s="73"/>
      <c r="AZ1094" s="73"/>
      <c r="BA1094" s="73"/>
      <c r="BB1094" s="73"/>
      <c r="BC1094" s="73"/>
      <c r="BD1094" s="73"/>
      <c r="BE1094" s="73"/>
      <c r="BF1094" s="73"/>
      <c r="BG1094" s="73"/>
      <c r="BH1094" s="73"/>
      <c r="BI1094" s="73"/>
      <c r="BJ1094" s="73"/>
      <c r="BK1094" s="73"/>
      <c r="BL1094" s="73"/>
      <c r="BM1094" s="73"/>
      <c r="BN1094" s="73"/>
      <c r="BO1094" s="73"/>
      <c r="BP1094" s="73"/>
      <c r="BQ1094" s="73"/>
      <c r="BR1094" s="73"/>
      <c r="BS1094" s="73"/>
      <c r="BT1094" s="73"/>
      <c r="BU1094" s="73"/>
      <c r="BV1094" s="73"/>
      <c r="BW1094" s="73"/>
      <c r="BX1094" s="73"/>
      <c r="BY1094" s="73"/>
      <c r="BZ1094" s="73"/>
      <c r="CA1094" s="73"/>
      <c r="CB1094" s="73"/>
      <c r="CC1094" s="73"/>
      <c r="CD1094" s="73"/>
      <c r="CE1094" s="73"/>
      <c r="CF1094" s="73"/>
      <c r="CG1094" s="73"/>
      <c r="CH1094" s="73"/>
      <c r="CI1094" s="73"/>
      <c r="CJ1094" s="73"/>
      <c r="CK1094" s="73"/>
      <c r="CL1094" s="73"/>
      <c r="CM1094" s="73"/>
      <c r="CN1094" s="73"/>
      <c r="CO1094" s="73"/>
      <c r="CP1094" s="73"/>
      <c r="CQ1094" s="73"/>
      <c r="CR1094" s="73"/>
      <c r="CS1094" s="73"/>
      <c r="CT1094" s="73"/>
      <c r="CU1094" s="73"/>
      <c r="CV1094" s="73"/>
      <c r="CW1094" s="73"/>
      <c r="CX1094" s="73"/>
      <c r="CY1094" s="73"/>
      <c r="CZ1094" s="73"/>
      <c r="DA1094" s="73"/>
      <c r="DB1094" s="73"/>
      <c r="DC1094" s="73"/>
      <c r="DD1094" s="73"/>
      <c r="DE1094" s="73"/>
      <c r="DF1094" s="73"/>
      <c r="DG1094" s="73"/>
      <c r="DH1094" s="73"/>
      <c r="DI1094" s="73"/>
      <c r="DJ1094" s="73"/>
      <c r="DK1094" s="73"/>
      <c r="DL1094" s="73"/>
      <c r="DM1094" s="73"/>
    </row>
    <row r="1095" spans="1:117" s="48" customFormat="1">
      <c r="A1095" s="73"/>
      <c r="T1095" s="73"/>
      <c r="U1095" s="73"/>
      <c r="V1095" s="73"/>
      <c r="W1095" s="73"/>
      <c r="X1095" s="73"/>
      <c r="Y1095" s="73"/>
      <c r="Z1095" s="73"/>
      <c r="AA1095" s="73"/>
      <c r="AB1095" s="73"/>
      <c r="AC1095" s="73"/>
      <c r="AD1095" s="73"/>
      <c r="AE1095" s="73"/>
      <c r="AF1095" s="73"/>
      <c r="AG1095" s="73"/>
      <c r="AH1095" s="73"/>
      <c r="AI1095" s="73"/>
      <c r="AJ1095" s="73"/>
      <c r="AK1095" s="73"/>
      <c r="AL1095" s="73"/>
      <c r="AM1095" s="73"/>
      <c r="AN1095" s="73"/>
      <c r="AO1095" s="73"/>
      <c r="AP1095" s="73"/>
      <c r="AQ1095" s="73"/>
      <c r="AR1095" s="73"/>
      <c r="AS1095" s="73"/>
      <c r="AT1095" s="73"/>
      <c r="AU1095" s="73"/>
      <c r="AV1095" s="73"/>
      <c r="AW1095" s="73"/>
      <c r="AX1095" s="73"/>
      <c r="AY1095" s="73"/>
      <c r="AZ1095" s="73"/>
      <c r="BA1095" s="73"/>
      <c r="BB1095" s="73"/>
      <c r="BC1095" s="73"/>
      <c r="BD1095" s="73"/>
      <c r="BE1095" s="73"/>
      <c r="BF1095" s="73"/>
      <c r="BG1095" s="73"/>
      <c r="BH1095" s="73"/>
      <c r="BI1095" s="73"/>
      <c r="BJ1095" s="73"/>
      <c r="BK1095" s="73"/>
      <c r="BL1095" s="73"/>
      <c r="BM1095" s="73"/>
      <c r="BN1095" s="73"/>
      <c r="BO1095" s="73"/>
      <c r="BP1095" s="73"/>
      <c r="BQ1095" s="73"/>
      <c r="BR1095" s="73"/>
      <c r="BS1095" s="73"/>
      <c r="BT1095" s="73"/>
      <c r="BU1095" s="73"/>
      <c r="BV1095" s="73"/>
      <c r="BW1095" s="73"/>
      <c r="BX1095" s="73"/>
      <c r="BY1095" s="73"/>
      <c r="BZ1095" s="73"/>
      <c r="CA1095" s="73"/>
      <c r="CB1095" s="73"/>
      <c r="CC1095" s="73"/>
      <c r="CD1095" s="73"/>
      <c r="CE1095" s="73"/>
      <c r="CF1095" s="73"/>
      <c r="CG1095" s="73"/>
      <c r="CH1095" s="73"/>
      <c r="CI1095" s="73"/>
      <c r="CJ1095" s="73"/>
      <c r="CK1095" s="73"/>
      <c r="CL1095" s="73"/>
      <c r="CM1095" s="73"/>
      <c r="CN1095" s="73"/>
      <c r="CO1095" s="73"/>
      <c r="CP1095" s="73"/>
      <c r="CQ1095" s="73"/>
      <c r="CR1095" s="73"/>
      <c r="CS1095" s="73"/>
      <c r="CT1095" s="73"/>
      <c r="CU1095" s="73"/>
      <c r="CV1095" s="73"/>
      <c r="CW1095" s="73"/>
      <c r="CX1095" s="73"/>
      <c r="CY1095" s="73"/>
      <c r="CZ1095" s="73"/>
      <c r="DA1095" s="73"/>
      <c r="DB1095" s="73"/>
      <c r="DC1095" s="73"/>
      <c r="DD1095" s="73"/>
      <c r="DE1095" s="73"/>
      <c r="DF1095" s="73"/>
      <c r="DG1095" s="73"/>
      <c r="DH1095" s="73"/>
      <c r="DI1095" s="73"/>
      <c r="DJ1095" s="73"/>
      <c r="DK1095" s="73"/>
      <c r="DL1095" s="73"/>
      <c r="DM1095" s="73"/>
    </row>
    <row r="1096" spans="1:117" s="48" customFormat="1">
      <c r="A1096" s="73"/>
      <c r="T1096" s="73"/>
      <c r="U1096" s="73"/>
      <c r="V1096" s="73"/>
      <c r="W1096" s="73"/>
      <c r="X1096" s="73"/>
      <c r="Y1096" s="73"/>
      <c r="Z1096" s="73"/>
      <c r="AA1096" s="73"/>
      <c r="AB1096" s="73"/>
      <c r="AC1096" s="73"/>
      <c r="AD1096" s="73"/>
      <c r="AE1096" s="73"/>
      <c r="AF1096" s="73"/>
      <c r="AG1096" s="73"/>
      <c r="AH1096" s="73"/>
      <c r="AI1096" s="73"/>
      <c r="AJ1096" s="73"/>
      <c r="AK1096" s="73"/>
      <c r="AL1096" s="73"/>
      <c r="AM1096" s="73"/>
      <c r="AN1096" s="73"/>
      <c r="AO1096" s="73"/>
      <c r="AP1096" s="73"/>
      <c r="AQ1096" s="73"/>
      <c r="AR1096" s="73"/>
      <c r="AS1096" s="73"/>
      <c r="AT1096" s="73"/>
      <c r="AU1096" s="73"/>
      <c r="AV1096" s="73"/>
      <c r="AW1096" s="73"/>
      <c r="AX1096" s="73"/>
      <c r="AY1096" s="73"/>
      <c r="AZ1096" s="73"/>
      <c r="BA1096" s="73"/>
      <c r="BB1096" s="73"/>
      <c r="BC1096" s="73"/>
      <c r="BD1096" s="73"/>
      <c r="BE1096" s="73"/>
      <c r="BF1096" s="73"/>
      <c r="BG1096" s="73"/>
      <c r="BH1096" s="73"/>
      <c r="BI1096" s="73"/>
      <c r="BJ1096" s="73"/>
      <c r="BK1096" s="73"/>
      <c r="BL1096" s="73"/>
      <c r="BM1096" s="73"/>
      <c r="BN1096" s="73"/>
      <c r="BO1096" s="73"/>
      <c r="BP1096" s="73"/>
      <c r="BQ1096" s="73"/>
      <c r="BR1096" s="73"/>
      <c r="BS1096" s="73"/>
      <c r="BT1096" s="73"/>
      <c r="BU1096" s="73"/>
      <c r="BV1096" s="73"/>
      <c r="BW1096" s="73"/>
      <c r="BX1096" s="73"/>
      <c r="BY1096" s="73"/>
      <c r="BZ1096" s="73"/>
      <c r="CA1096" s="73"/>
      <c r="CB1096" s="73"/>
      <c r="CC1096" s="73"/>
      <c r="CD1096" s="73"/>
      <c r="CE1096" s="73"/>
      <c r="CF1096" s="73"/>
      <c r="CG1096" s="73"/>
      <c r="CH1096" s="73"/>
      <c r="CI1096" s="73"/>
      <c r="CJ1096" s="73"/>
      <c r="CK1096" s="73"/>
      <c r="CL1096" s="73"/>
      <c r="CM1096" s="73"/>
      <c r="CN1096" s="73"/>
      <c r="CO1096" s="73"/>
      <c r="CP1096" s="73"/>
      <c r="CQ1096" s="73"/>
      <c r="CR1096" s="73"/>
      <c r="CS1096" s="73"/>
      <c r="CT1096" s="73"/>
      <c r="CU1096" s="73"/>
      <c r="CV1096" s="73"/>
      <c r="CW1096" s="73"/>
      <c r="CX1096" s="73"/>
      <c r="CY1096" s="73"/>
      <c r="CZ1096" s="73"/>
      <c r="DA1096" s="73"/>
      <c r="DB1096" s="73"/>
      <c r="DC1096" s="73"/>
      <c r="DD1096" s="73"/>
      <c r="DE1096" s="73"/>
      <c r="DF1096" s="73"/>
      <c r="DG1096" s="73"/>
      <c r="DH1096" s="73"/>
      <c r="DI1096" s="73"/>
      <c r="DJ1096" s="73"/>
      <c r="DK1096" s="73"/>
      <c r="DL1096" s="73"/>
      <c r="DM1096" s="73"/>
    </row>
    <row r="1097" spans="1:117" s="48" customFormat="1">
      <c r="A1097" s="73"/>
      <c r="T1097" s="73"/>
      <c r="U1097" s="73"/>
      <c r="V1097" s="73"/>
      <c r="W1097" s="73"/>
      <c r="X1097" s="73"/>
      <c r="Y1097" s="73"/>
      <c r="Z1097" s="73"/>
      <c r="AA1097" s="73"/>
      <c r="AB1097" s="73"/>
      <c r="AC1097" s="73"/>
      <c r="AD1097" s="73"/>
      <c r="AE1097" s="73"/>
      <c r="AF1097" s="73"/>
      <c r="AG1097" s="73"/>
      <c r="AH1097" s="73"/>
      <c r="AI1097" s="73"/>
      <c r="AJ1097" s="73"/>
      <c r="AK1097" s="73"/>
      <c r="AL1097" s="73"/>
      <c r="AM1097" s="73"/>
      <c r="AN1097" s="73"/>
      <c r="AO1097" s="73"/>
      <c r="AP1097" s="73"/>
      <c r="AQ1097" s="73"/>
      <c r="AR1097" s="73"/>
      <c r="AS1097" s="73"/>
      <c r="AT1097" s="73"/>
      <c r="AU1097" s="73"/>
      <c r="AV1097" s="73"/>
      <c r="AW1097" s="73"/>
      <c r="AX1097" s="73"/>
      <c r="AY1097" s="73"/>
      <c r="AZ1097" s="73"/>
      <c r="BA1097" s="73"/>
      <c r="BB1097" s="73"/>
      <c r="BC1097" s="73"/>
      <c r="BD1097" s="73"/>
      <c r="BE1097" s="73"/>
      <c r="BF1097" s="73"/>
      <c r="BG1097" s="73"/>
      <c r="BH1097" s="73"/>
      <c r="BI1097" s="73"/>
      <c r="BJ1097" s="73"/>
      <c r="BK1097" s="73"/>
      <c r="BL1097" s="73"/>
      <c r="BM1097" s="73"/>
      <c r="BN1097" s="73"/>
      <c r="BO1097" s="73"/>
      <c r="BP1097" s="73"/>
      <c r="BQ1097" s="73"/>
      <c r="BR1097" s="73"/>
      <c r="BS1097" s="73"/>
      <c r="BT1097" s="73"/>
      <c r="BU1097" s="73"/>
      <c r="BV1097" s="73"/>
      <c r="BW1097" s="73"/>
      <c r="BX1097" s="73"/>
      <c r="BY1097" s="73"/>
      <c r="BZ1097" s="73"/>
      <c r="CA1097" s="73"/>
      <c r="CB1097" s="73"/>
      <c r="CC1097" s="73"/>
      <c r="CD1097" s="73"/>
      <c r="CE1097" s="73"/>
      <c r="CF1097" s="73"/>
      <c r="CG1097" s="73"/>
      <c r="CH1097" s="73"/>
      <c r="CI1097" s="73"/>
      <c r="CJ1097" s="73"/>
      <c r="CK1097" s="73"/>
      <c r="CL1097" s="73"/>
      <c r="CM1097" s="73"/>
      <c r="CN1097" s="73"/>
      <c r="CO1097" s="73"/>
      <c r="CP1097" s="73"/>
      <c r="CQ1097" s="73"/>
      <c r="CR1097" s="73"/>
      <c r="CS1097" s="73"/>
      <c r="CT1097" s="73"/>
      <c r="CU1097" s="73"/>
      <c r="CV1097" s="73"/>
      <c r="CW1097" s="73"/>
      <c r="CX1097" s="73"/>
      <c r="CY1097" s="73"/>
      <c r="CZ1097" s="73"/>
      <c r="DA1097" s="73"/>
      <c r="DB1097" s="73"/>
      <c r="DC1097" s="73"/>
      <c r="DD1097" s="73"/>
      <c r="DE1097" s="73"/>
      <c r="DF1097" s="73"/>
      <c r="DG1097" s="73"/>
      <c r="DH1097" s="73"/>
      <c r="DI1097" s="73"/>
      <c r="DJ1097" s="73"/>
      <c r="DK1097" s="73"/>
      <c r="DL1097" s="73"/>
      <c r="DM1097" s="73"/>
    </row>
    <row r="1098" spans="1:117" s="48" customFormat="1">
      <c r="A1098" s="73"/>
      <c r="T1098" s="73"/>
      <c r="U1098" s="73"/>
      <c r="V1098" s="73"/>
      <c r="W1098" s="73"/>
      <c r="X1098" s="73"/>
      <c r="Y1098" s="73"/>
      <c r="Z1098" s="73"/>
      <c r="AA1098" s="73"/>
      <c r="AB1098" s="73"/>
      <c r="AC1098" s="73"/>
      <c r="AD1098" s="73"/>
      <c r="AE1098" s="73"/>
      <c r="AF1098" s="73"/>
      <c r="AG1098" s="73"/>
      <c r="AH1098" s="73"/>
      <c r="AI1098" s="73"/>
      <c r="AJ1098" s="73"/>
      <c r="AK1098" s="73"/>
      <c r="AL1098" s="73"/>
      <c r="AM1098" s="73"/>
      <c r="AN1098" s="73"/>
      <c r="AO1098" s="73"/>
      <c r="AP1098" s="73"/>
      <c r="AQ1098" s="73"/>
      <c r="AR1098" s="73"/>
      <c r="AS1098" s="73"/>
      <c r="AT1098" s="73"/>
      <c r="AU1098" s="73"/>
      <c r="AV1098" s="73"/>
      <c r="AW1098" s="73"/>
      <c r="AX1098" s="73"/>
      <c r="AY1098" s="73"/>
      <c r="AZ1098" s="73"/>
      <c r="BA1098" s="73"/>
      <c r="BB1098" s="73"/>
      <c r="BC1098" s="73"/>
      <c r="BD1098" s="73"/>
      <c r="BE1098" s="73"/>
      <c r="BF1098" s="73"/>
      <c r="BG1098" s="73"/>
      <c r="BH1098" s="73"/>
      <c r="BI1098" s="73"/>
      <c r="BJ1098" s="73"/>
      <c r="BK1098" s="73"/>
      <c r="BL1098" s="73"/>
      <c r="BM1098" s="73"/>
      <c r="BN1098" s="73"/>
      <c r="BO1098" s="73"/>
      <c r="BP1098" s="73"/>
      <c r="BQ1098" s="73"/>
      <c r="BR1098" s="73"/>
      <c r="BS1098" s="73"/>
      <c r="BT1098" s="73"/>
      <c r="BU1098" s="73"/>
      <c r="BV1098" s="73"/>
      <c r="BW1098" s="73"/>
      <c r="BX1098" s="73"/>
      <c r="BY1098" s="73"/>
      <c r="BZ1098" s="73"/>
      <c r="CA1098" s="73"/>
      <c r="CB1098" s="73"/>
      <c r="CC1098" s="73"/>
      <c r="CD1098" s="73"/>
      <c r="CE1098" s="73"/>
      <c r="CF1098" s="73"/>
      <c r="CG1098" s="73"/>
      <c r="CH1098" s="73"/>
      <c r="CI1098" s="73"/>
      <c r="CJ1098" s="73"/>
      <c r="CK1098" s="73"/>
      <c r="CL1098" s="73"/>
      <c r="CM1098" s="73"/>
      <c r="CN1098" s="73"/>
      <c r="CO1098" s="73"/>
      <c r="CP1098" s="73"/>
      <c r="CQ1098" s="73"/>
      <c r="CR1098" s="73"/>
      <c r="CS1098" s="73"/>
      <c r="CT1098" s="73"/>
      <c r="CU1098" s="73"/>
      <c r="CV1098" s="73"/>
      <c r="CW1098" s="73"/>
      <c r="CX1098" s="73"/>
      <c r="CY1098" s="73"/>
      <c r="CZ1098" s="73"/>
      <c r="DA1098" s="73"/>
      <c r="DB1098" s="73"/>
      <c r="DC1098" s="73"/>
      <c r="DD1098" s="73"/>
      <c r="DE1098" s="73"/>
      <c r="DF1098" s="73"/>
      <c r="DG1098" s="73"/>
      <c r="DH1098" s="73"/>
      <c r="DI1098" s="73"/>
      <c r="DJ1098" s="73"/>
      <c r="DK1098" s="73"/>
      <c r="DL1098" s="73"/>
      <c r="DM1098" s="73"/>
    </row>
    <row r="1099" spans="1:117" s="48" customFormat="1">
      <c r="A1099" s="73"/>
      <c r="T1099" s="73"/>
      <c r="U1099" s="73"/>
      <c r="V1099" s="73"/>
      <c r="W1099" s="73"/>
      <c r="X1099" s="73"/>
      <c r="Y1099" s="73"/>
      <c r="Z1099" s="73"/>
      <c r="AA1099" s="73"/>
      <c r="AB1099" s="73"/>
      <c r="AC1099" s="73"/>
      <c r="AD1099" s="73"/>
      <c r="AE1099" s="73"/>
      <c r="AF1099" s="73"/>
      <c r="AG1099" s="73"/>
      <c r="AH1099" s="73"/>
      <c r="AI1099" s="73"/>
      <c r="AJ1099" s="73"/>
      <c r="AK1099" s="73"/>
      <c r="AL1099" s="73"/>
      <c r="AM1099" s="73"/>
      <c r="AN1099" s="73"/>
      <c r="AO1099" s="73"/>
      <c r="AP1099" s="73"/>
      <c r="AQ1099" s="73"/>
      <c r="AR1099" s="73"/>
      <c r="AS1099" s="73"/>
      <c r="AT1099" s="73"/>
      <c r="AU1099" s="73"/>
      <c r="AV1099" s="73"/>
      <c r="AW1099" s="73"/>
      <c r="AX1099" s="73"/>
      <c r="AY1099" s="73"/>
      <c r="AZ1099" s="73"/>
      <c r="BA1099" s="73"/>
      <c r="BB1099" s="73"/>
      <c r="BC1099" s="73"/>
      <c r="BD1099" s="73"/>
      <c r="BE1099" s="73"/>
      <c r="BF1099" s="73"/>
      <c r="BG1099" s="73"/>
      <c r="BH1099" s="73"/>
      <c r="BI1099" s="73"/>
      <c r="BJ1099" s="73"/>
      <c r="BK1099" s="73"/>
      <c r="BL1099" s="73"/>
      <c r="BM1099" s="73"/>
      <c r="BN1099" s="73"/>
      <c r="BO1099" s="73"/>
      <c r="BP1099" s="73"/>
      <c r="BQ1099" s="73"/>
      <c r="BR1099" s="73"/>
      <c r="BS1099" s="73"/>
      <c r="BT1099" s="73"/>
      <c r="BU1099" s="73"/>
      <c r="BV1099" s="73"/>
      <c r="BW1099" s="73"/>
      <c r="BX1099" s="73"/>
      <c r="BY1099" s="73"/>
      <c r="BZ1099" s="73"/>
      <c r="CA1099" s="73"/>
      <c r="CB1099" s="73"/>
      <c r="CC1099" s="73"/>
      <c r="CD1099" s="73"/>
      <c r="CE1099" s="73"/>
      <c r="CF1099" s="73"/>
      <c r="CG1099" s="73"/>
      <c r="CH1099" s="73"/>
      <c r="CI1099" s="73"/>
      <c r="CJ1099" s="73"/>
      <c r="CK1099" s="73"/>
      <c r="CL1099" s="73"/>
      <c r="CM1099" s="73"/>
      <c r="CN1099" s="73"/>
      <c r="CO1099" s="73"/>
      <c r="CP1099" s="73"/>
      <c r="CQ1099" s="73"/>
      <c r="CR1099" s="73"/>
      <c r="CS1099" s="73"/>
      <c r="CT1099" s="73"/>
      <c r="CU1099" s="73"/>
      <c r="CV1099" s="73"/>
      <c r="CW1099" s="73"/>
      <c r="CX1099" s="73"/>
      <c r="CY1099" s="73"/>
      <c r="CZ1099" s="73"/>
      <c r="DA1099" s="73"/>
      <c r="DB1099" s="73"/>
      <c r="DC1099" s="73"/>
      <c r="DD1099" s="73"/>
      <c r="DE1099" s="73"/>
      <c r="DF1099" s="73"/>
      <c r="DG1099" s="73"/>
      <c r="DH1099" s="73"/>
      <c r="DI1099" s="73"/>
      <c r="DJ1099" s="73"/>
      <c r="DK1099" s="73"/>
      <c r="DL1099" s="73"/>
      <c r="DM1099" s="73"/>
    </row>
    <row r="1100" spans="1:117" s="48" customFormat="1">
      <c r="A1100" s="73"/>
      <c r="T1100" s="73"/>
      <c r="U1100" s="73"/>
      <c r="V1100" s="73"/>
      <c r="W1100" s="73"/>
      <c r="X1100" s="73"/>
      <c r="Y1100" s="73"/>
      <c r="Z1100" s="73"/>
      <c r="AA1100" s="73"/>
      <c r="AB1100" s="73"/>
      <c r="AC1100" s="73"/>
      <c r="AD1100" s="73"/>
      <c r="AE1100" s="73"/>
      <c r="AF1100" s="73"/>
      <c r="AG1100" s="73"/>
      <c r="AH1100" s="73"/>
      <c r="AI1100" s="73"/>
      <c r="AJ1100" s="73"/>
      <c r="AK1100" s="73"/>
      <c r="AL1100" s="73"/>
      <c r="AM1100" s="73"/>
      <c r="AN1100" s="73"/>
      <c r="AO1100" s="73"/>
      <c r="AP1100" s="73"/>
      <c r="AQ1100" s="73"/>
      <c r="AR1100" s="73"/>
      <c r="AS1100" s="73"/>
      <c r="AT1100" s="73"/>
      <c r="AU1100" s="73"/>
      <c r="AV1100" s="73"/>
      <c r="AW1100" s="73"/>
      <c r="AX1100" s="73"/>
      <c r="AY1100" s="73"/>
      <c r="AZ1100" s="73"/>
      <c r="BA1100" s="73"/>
      <c r="BB1100" s="73"/>
      <c r="BC1100" s="73"/>
      <c r="BD1100" s="73"/>
      <c r="BE1100" s="73"/>
      <c r="BF1100" s="73"/>
      <c r="BG1100" s="73"/>
      <c r="BH1100" s="73"/>
      <c r="BI1100" s="73"/>
      <c r="BJ1100" s="73"/>
      <c r="BK1100" s="73"/>
      <c r="BL1100" s="73"/>
      <c r="BM1100" s="73"/>
      <c r="BN1100" s="73"/>
      <c r="BO1100" s="73"/>
      <c r="BP1100" s="73"/>
      <c r="BQ1100" s="73"/>
      <c r="BR1100" s="73"/>
      <c r="BS1100" s="73"/>
      <c r="BT1100" s="73"/>
      <c r="BU1100" s="73"/>
      <c r="BV1100" s="73"/>
      <c r="BW1100" s="73"/>
      <c r="BX1100" s="73"/>
      <c r="BY1100" s="73"/>
      <c r="BZ1100" s="73"/>
      <c r="CA1100" s="73"/>
      <c r="CB1100" s="73"/>
      <c r="CC1100" s="73"/>
      <c r="CD1100" s="73"/>
      <c r="CE1100" s="73"/>
      <c r="CF1100" s="73"/>
      <c r="CG1100" s="73"/>
      <c r="CH1100" s="73"/>
      <c r="CI1100" s="73"/>
      <c r="CJ1100" s="73"/>
      <c r="CK1100" s="73"/>
      <c r="CL1100" s="73"/>
      <c r="CM1100" s="73"/>
      <c r="CN1100" s="73"/>
      <c r="CO1100" s="73"/>
      <c r="CP1100" s="73"/>
      <c r="CQ1100" s="73"/>
      <c r="CR1100" s="73"/>
      <c r="CS1100" s="73"/>
      <c r="CT1100" s="73"/>
      <c r="CU1100" s="73"/>
      <c r="CV1100" s="73"/>
      <c r="CW1100" s="73"/>
      <c r="CX1100" s="73"/>
      <c r="CY1100" s="73"/>
      <c r="CZ1100" s="73"/>
      <c r="DA1100" s="73"/>
      <c r="DB1100" s="73"/>
      <c r="DC1100" s="73"/>
      <c r="DD1100" s="73"/>
      <c r="DE1100" s="73"/>
      <c r="DF1100" s="73"/>
      <c r="DG1100" s="73"/>
      <c r="DH1100" s="73"/>
      <c r="DI1100" s="73"/>
      <c r="DJ1100" s="73"/>
      <c r="DK1100" s="73"/>
      <c r="DL1100" s="73"/>
      <c r="DM1100" s="73"/>
    </row>
    <row r="1101" spans="1:117" s="48" customFormat="1">
      <c r="A1101" s="73"/>
      <c r="T1101" s="73"/>
      <c r="U1101" s="73"/>
      <c r="V1101" s="73"/>
      <c r="W1101" s="73"/>
      <c r="X1101" s="73"/>
      <c r="Y1101" s="73"/>
      <c r="Z1101" s="73"/>
      <c r="AA1101" s="73"/>
      <c r="AB1101" s="73"/>
      <c r="AC1101" s="73"/>
      <c r="AD1101" s="73"/>
      <c r="AE1101" s="73"/>
      <c r="AF1101" s="73"/>
      <c r="AG1101" s="73"/>
      <c r="AH1101" s="73"/>
      <c r="AI1101" s="73"/>
      <c r="AJ1101" s="73"/>
      <c r="AK1101" s="73"/>
      <c r="AL1101" s="73"/>
      <c r="AM1101" s="73"/>
      <c r="AN1101" s="73"/>
      <c r="AO1101" s="73"/>
      <c r="AP1101" s="73"/>
      <c r="AQ1101" s="73"/>
      <c r="AR1101" s="73"/>
      <c r="AS1101" s="73"/>
      <c r="AT1101" s="73"/>
      <c r="AU1101" s="73"/>
      <c r="AV1101" s="73"/>
      <c r="AW1101" s="73"/>
      <c r="AX1101" s="73"/>
      <c r="AY1101" s="73"/>
      <c r="AZ1101" s="73"/>
      <c r="BA1101" s="73"/>
      <c r="BB1101" s="73"/>
      <c r="BC1101" s="73"/>
      <c r="BD1101" s="73"/>
      <c r="BE1101" s="73"/>
      <c r="BF1101" s="73"/>
      <c r="BG1101" s="73"/>
      <c r="BH1101" s="73"/>
      <c r="BI1101" s="73"/>
      <c r="BJ1101" s="73"/>
      <c r="BK1101" s="73"/>
      <c r="BL1101" s="73"/>
      <c r="BM1101" s="73"/>
      <c r="BN1101" s="73"/>
      <c r="BO1101" s="73"/>
      <c r="BP1101" s="73"/>
      <c r="BQ1101" s="73"/>
      <c r="BR1101" s="73"/>
      <c r="BS1101" s="73"/>
      <c r="BT1101" s="73"/>
      <c r="BU1101" s="73"/>
      <c r="BV1101" s="73"/>
      <c r="BW1101" s="73"/>
      <c r="BX1101" s="73"/>
      <c r="BY1101" s="73"/>
      <c r="BZ1101" s="73"/>
      <c r="CA1101" s="73"/>
      <c r="CB1101" s="73"/>
      <c r="CC1101" s="73"/>
      <c r="CD1101" s="73"/>
      <c r="CE1101" s="73"/>
      <c r="CF1101" s="73"/>
      <c r="CG1101" s="73"/>
      <c r="CH1101" s="73"/>
      <c r="CI1101" s="73"/>
      <c r="CJ1101" s="73"/>
      <c r="CK1101" s="73"/>
      <c r="CL1101" s="73"/>
      <c r="CM1101" s="73"/>
      <c r="CN1101" s="73"/>
      <c r="CO1101" s="73"/>
      <c r="CP1101" s="73"/>
      <c r="CQ1101" s="73"/>
      <c r="CR1101" s="73"/>
      <c r="CS1101" s="73"/>
      <c r="CT1101" s="73"/>
      <c r="CU1101" s="73"/>
      <c r="CV1101" s="73"/>
      <c r="CW1101" s="73"/>
      <c r="CX1101" s="73"/>
      <c r="CY1101" s="73"/>
      <c r="CZ1101" s="73"/>
      <c r="DA1101" s="73"/>
      <c r="DB1101" s="73"/>
      <c r="DC1101" s="73"/>
      <c r="DD1101" s="73"/>
      <c r="DE1101" s="73"/>
      <c r="DF1101" s="73"/>
      <c r="DG1101" s="73"/>
      <c r="DH1101" s="73"/>
      <c r="DI1101" s="73"/>
      <c r="DJ1101" s="73"/>
      <c r="DK1101" s="73"/>
      <c r="DL1101" s="73"/>
      <c r="DM1101" s="73"/>
    </row>
    <row r="1102" spans="1:117" s="48" customFormat="1">
      <c r="A1102" s="73"/>
      <c r="T1102" s="73"/>
      <c r="U1102" s="73"/>
      <c r="V1102" s="73"/>
      <c r="W1102" s="73"/>
      <c r="X1102" s="73"/>
      <c r="Y1102" s="73"/>
      <c r="Z1102" s="73"/>
      <c r="AA1102" s="73"/>
      <c r="AB1102" s="73"/>
      <c r="AC1102" s="73"/>
      <c r="AD1102" s="73"/>
      <c r="AE1102" s="73"/>
      <c r="AF1102" s="73"/>
      <c r="AG1102" s="73"/>
      <c r="AH1102" s="73"/>
      <c r="AI1102" s="73"/>
      <c r="AJ1102" s="73"/>
      <c r="AK1102" s="73"/>
      <c r="AL1102" s="73"/>
      <c r="AM1102" s="73"/>
      <c r="AN1102" s="73"/>
      <c r="AO1102" s="73"/>
      <c r="AP1102" s="73"/>
      <c r="AQ1102" s="73"/>
      <c r="AR1102" s="73"/>
      <c r="AS1102" s="73"/>
      <c r="AT1102" s="73"/>
      <c r="AU1102" s="73"/>
      <c r="AV1102" s="73"/>
      <c r="AW1102" s="73"/>
      <c r="AX1102" s="73"/>
      <c r="AY1102" s="73"/>
      <c r="AZ1102" s="73"/>
      <c r="BA1102" s="73"/>
      <c r="BB1102" s="73"/>
      <c r="BC1102" s="73"/>
      <c r="BD1102" s="73"/>
      <c r="BE1102" s="73"/>
      <c r="BF1102" s="73"/>
      <c r="BG1102" s="73"/>
      <c r="BH1102" s="73"/>
      <c r="BI1102" s="73"/>
      <c r="BJ1102" s="73"/>
      <c r="BK1102" s="73"/>
      <c r="BL1102" s="73"/>
      <c r="BM1102" s="73"/>
      <c r="BN1102" s="73"/>
      <c r="BO1102" s="73"/>
      <c r="BP1102" s="73"/>
      <c r="BQ1102" s="73"/>
      <c r="BR1102" s="73"/>
      <c r="BS1102" s="73"/>
      <c r="BT1102" s="73"/>
      <c r="BU1102" s="73"/>
      <c r="BV1102" s="73"/>
      <c r="BW1102" s="73"/>
      <c r="BX1102" s="73"/>
      <c r="BY1102" s="73"/>
      <c r="BZ1102" s="73"/>
      <c r="CA1102" s="73"/>
      <c r="CB1102" s="73"/>
      <c r="CC1102" s="73"/>
      <c r="CD1102" s="73"/>
      <c r="CE1102" s="73"/>
      <c r="CF1102" s="73"/>
      <c r="CG1102" s="73"/>
      <c r="CH1102" s="73"/>
      <c r="CI1102" s="73"/>
      <c r="CJ1102" s="73"/>
      <c r="CK1102" s="73"/>
      <c r="CL1102" s="73"/>
      <c r="CM1102" s="73"/>
      <c r="CN1102" s="73"/>
      <c r="CO1102" s="73"/>
      <c r="CP1102" s="73"/>
      <c r="CQ1102" s="73"/>
      <c r="CR1102" s="73"/>
      <c r="CS1102" s="73"/>
      <c r="CT1102" s="73"/>
      <c r="CU1102" s="73"/>
      <c r="CV1102" s="73"/>
      <c r="CW1102" s="73"/>
      <c r="CX1102" s="73"/>
      <c r="CY1102" s="73"/>
      <c r="CZ1102" s="73"/>
      <c r="DA1102" s="73"/>
      <c r="DB1102" s="73"/>
      <c r="DC1102" s="73"/>
      <c r="DD1102" s="73"/>
      <c r="DE1102" s="73"/>
      <c r="DF1102" s="73"/>
      <c r="DG1102" s="73"/>
      <c r="DH1102" s="73"/>
      <c r="DI1102" s="73"/>
      <c r="DJ1102" s="73"/>
      <c r="DK1102" s="73"/>
      <c r="DL1102" s="73"/>
      <c r="DM1102" s="73"/>
    </row>
    <row r="1103" spans="1:117" s="48" customFormat="1">
      <c r="A1103" s="73"/>
      <c r="T1103" s="73"/>
      <c r="U1103" s="73"/>
      <c r="V1103" s="73"/>
      <c r="W1103" s="73"/>
      <c r="X1103" s="73"/>
      <c r="Y1103" s="73"/>
      <c r="Z1103" s="73"/>
      <c r="AA1103" s="73"/>
      <c r="AB1103" s="73"/>
      <c r="AC1103" s="73"/>
      <c r="AD1103" s="73"/>
      <c r="AE1103" s="73"/>
      <c r="AF1103" s="73"/>
      <c r="AG1103" s="73"/>
      <c r="AH1103" s="73"/>
      <c r="AI1103" s="73"/>
      <c r="AJ1103" s="73"/>
      <c r="AK1103" s="73"/>
      <c r="AL1103" s="73"/>
      <c r="AM1103" s="73"/>
      <c r="AN1103" s="73"/>
      <c r="AO1103" s="73"/>
      <c r="AP1103" s="73"/>
      <c r="AQ1103" s="73"/>
      <c r="AR1103" s="73"/>
      <c r="AS1103" s="73"/>
      <c r="AT1103" s="73"/>
      <c r="AU1103" s="73"/>
      <c r="AV1103" s="73"/>
      <c r="AW1103" s="73"/>
      <c r="AX1103" s="73"/>
      <c r="AY1103" s="73"/>
      <c r="AZ1103" s="73"/>
      <c r="BA1103" s="73"/>
      <c r="BB1103" s="73"/>
      <c r="BC1103" s="73"/>
      <c r="BD1103" s="73"/>
      <c r="BE1103" s="73"/>
      <c r="BF1103" s="73"/>
      <c r="BG1103" s="73"/>
      <c r="BH1103" s="73"/>
      <c r="BI1103" s="73"/>
      <c r="BJ1103" s="73"/>
      <c r="BK1103" s="73"/>
      <c r="BL1103" s="73"/>
      <c r="BM1103" s="73"/>
      <c r="BN1103" s="73"/>
      <c r="BO1103" s="73"/>
      <c r="BP1103" s="73"/>
      <c r="BQ1103" s="73"/>
      <c r="BR1103" s="73"/>
      <c r="BS1103" s="73"/>
      <c r="BT1103" s="73"/>
      <c r="BU1103" s="73"/>
      <c r="BV1103" s="73"/>
      <c r="BW1103" s="73"/>
      <c r="BX1103" s="73"/>
      <c r="BY1103" s="73"/>
      <c r="BZ1103" s="73"/>
      <c r="CA1103" s="73"/>
      <c r="CB1103" s="73"/>
      <c r="CC1103" s="73"/>
      <c r="CD1103" s="73"/>
      <c r="CE1103" s="73"/>
      <c r="CF1103" s="73"/>
      <c r="CG1103" s="73"/>
      <c r="CH1103" s="73"/>
      <c r="CI1103" s="73"/>
      <c r="CJ1103" s="73"/>
      <c r="CK1103" s="73"/>
      <c r="CL1103" s="73"/>
      <c r="CM1103" s="73"/>
      <c r="CN1103" s="73"/>
      <c r="CO1103" s="73"/>
      <c r="CP1103" s="73"/>
      <c r="CQ1103" s="73"/>
      <c r="CR1103" s="73"/>
      <c r="CS1103" s="73"/>
      <c r="CT1103" s="73"/>
      <c r="CU1103" s="73"/>
      <c r="CV1103" s="73"/>
      <c r="CW1103" s="73"/>
      <c r="CX1103" s="73"/>
      <c r="CY1103" s="73"/>
      <c r="CZ1103" s="73"/>
      <c r="DA1103" s="73"/>
      <c r="DB1103" s="73"/>
      <c r="DC1103" s="73"/>
      <c r="DD1103" s="73"/>
      <c r="DE1103" s="73"/>
      <c r="DF1103" s="73"/>
      <c r="DG1103" s="73"/>
      <c r="DH1103" s="73"/>
      <c r="DI1103" s="73"/>
      <c r="DJ1103" s="73"/>
      <c r="DK1103" s="73"/>
      <c r="DL1103" s="73"/>
      <c r="DM1103" s="73"/>
    </row>
    <row r="1104" spans="1:117" s="48" customFormat="1">
      <c r="A1104" s="73"/>
      <c r="T1104" s="73"/>
      <c r="U1104" s="73"/>
      <c r="V1104" s="73"/>
      <c r="W1104" s="73"/>
      <c r="X1104" s="73"/>
      <c r="Y1104" s="73"/>
      <c r="Z1104" s="73"/>
      <c r="AA1104" s="73"/>
      <c r="AB1104" s="73"/>
      <c r="AC1104" s="73"/>
      <c r="AD1104" s="73"/>
      <c r="AE1104" s="73"/>
      <c r="AF1104" s="73"/>
      <c r="AG1104" s="73"/>
      <c r="AH1104" s="73"/>
      <c r="AI1104" s="73"/>
      <c r="AJ1104" s="73"/>
      <c r="AK1104" s="73"/>
      <c r="AL1104" s="73"/>
      <c r="AM1104" s="73"/>
      <c r="AN1104" s="73"/>
      <c r="AO1104" s="73"/>
      <c r="AP1104" s="73"/>
      <c r="AQ1104" s="73"/>
      <c r="AR1104" s="73"/>
      <c r="AS1104" s="73"/>
      <c r="AT1104" s="73"/>
      <c r="AU1104" s="73"/>
      <c r="AV1104" s="73"/>
      <c r="AW1104" s="73"/>
      <c r="AX1104" s="73"/>
      <c r="AY1104" s="73"/>
      <c r="AZ1104" s="73"/>
      <c r="BA1104" s="73"/>
      <c r="BB1104" s="73"/>
      <c r="BC1104" s="73"/>
      <c r="BD1104" s="73"/>
      <c r="BE1104" s="73"/>
      <c r="BF1104" s="73"/>
      <c r="BG1104" s="73"/>
      <c r="BH1104" s="73"/>
      <c r="BI1104" s="73"/>
      <c r="BJ1104" s="73"/>
      <c r="BK1104" s="73"/>
      <c r="BL1104" s="73"/>
      <c r="BM1104" s="73"/>
      <c r="BN1104" s="73"/>
      <c r="BO1104" s="73"/>
      <c r="BP1104" s="73"/>
      <c r="BQ1104" s="73"/>
      <c r="BR1104" s="73"/>
      <c r="BS1104" s="73"/>
      <c r="BT1104" s="73"/>
      <c r="BU1104" s="73"/>
      <c r="BV1104" s="73"/>
      <c r="BW1104" s="73"/>
      <c r="BX1104" s="73"/>
      <c r="BY1104" s="73"/>
      <c r="BZ1104" s="73"/>
      <c r="CA1104" s="73"/>
      <c r="CB1104" s="73"/>
      <c r="CC1104" s="73"/>
      <c r="CD1104" s="73"/>
      <c r="CE1104" s="73"/>
      <c r="CF1104" s="73"/>
      <c r="CG1104" s="73"/>
      <c r="CH1104" s="73"/>
      <c r="CI1104" s="73"/>
      <c r="CJ1104" s="73"/>
      <c r="CK1104" s="73"/>
      <c r="CL1104" s="73"/>
      <c r="CM1104" s="73"/>
      <c r="CN1104" s="73"/>
      <c r="CO1104" s="73"/>
      <c r="CP1104" s="73"/>
      <c r="CQ1104" s="73"/>
      <c r="CR1104" s="73"/>
      <c r="CS1104" s="73"/>
      <c r="CT1104" s="73"/>
      <c r="CU1104" s="73"/>
      <c r="CV1104" s="73"/>
      <c r="CW1104" s="73"/>
      <c r="CX1104" s="73"/>
      <c r="CY1104" s="73"/>
      <c r="CZ1104" s="73"/>
      <c r="DA1104" s="73"/>
      <c r="DB1104" s="73"/>
      <c r="DC1104" s="73"/>
      <c r="DD1104" s="73"/>
      <c r="DE1104" s="73"/>
      <c r="DF1104" s="73"/>
      <c r="DG1104" s="73"/>
      <c r="DH1104" s="73"/>
      <c r="DI1104" s="73"/>
      <c r="DJ1104" s="73"/>
      <c r="DK1104" s="73"/>
      <c r="DL1104" s="73"/>
      <c r="DM1104" s="73"/>
    </row>
    <row r="1105" spans="1:117" s="48" customFormat="1">
      <c r="A1105" s="73"/>
      <c r="T1105" s="73"/>
      <c r="U1105" s="73"/>
      <c r="V1105" s="73"/>
      <c r="W1105" s="73"/>
      <c r="X1105" s="73"/>
      <c r="Y1105" s="73"/>
      <c r="Z1105" s="73"/>
      <c r="AA1105" s="73"/>
      <c r="AB1105" s="73"/>
      <c r="AC1105" s="73"/>
      <c r="AD1105" s="73"/>
      <c r="AE1105" s="73"/>
      <c r="AF1105" s="73"/>
      <c r="AG1105" s="73"/>
      <c r="AH1105" s="73"/>
      <c r="AI1105" s="73"/>
      <c r="AJ1105" s="73"/>
      <c r="AK1105" s="73"/>
      <c r="AL1105" s="73"/>
      <c r="AM1105" s="73"/>
      <c r="AN1105" s="73"/>
      <c r="AO1105" s="73"/>
      <c r="AP1105" s="73"/>
      <c r="AQ1105" s="73"/>
      <c r="AR1105" s="73"/>
      <c r="AS1105" s="73"/>
      <c r="AT1105" s="73"/>
      <c r="AU1105" s="73"/>
      <c r="AV1105" s="73"/>
      <c r="AW1105" s="73"/>
      <c r="AX1105" s="73"/>
      <c r="AY1105" s="73"/>
      <c r="AZ1105" s="73"/>
      <c r="BA1105" s="73"/>
      <c r="BB1105" s="73"/>
      <c r="BC1105" s="73"/>
      <c r="BD1105" s="73"/>
      <c r="BE1105" s="73"/>
      <c r="BF1105" s="73"/>
      <c r="BG1105" s="73"/>
      <c r="BH1105" s="73"/>
      <c r="BI1105" s="73"/>
      <c r="BJ1105" s="73"/>
      <c r="BK1105" s="73"/>
      <c r="BL1105" s="73"/>
      <c r="BM1105" s="73"/>
      <c r="BN1105" s="73"/>
      <c r="BO1105" s="73"/>
      <c r="BP1105" s="73"/>
      <c r="BQ1105" s="73"/>
      <c r="BR1105" s="73"/>
      <c r="BS1105" s="73"/>
      <c r="BT1105" s="73"/>
      <c r="BU1105" s="73"/>
      <c r="BV1105" s="73"/>
      <c r="BW1105" s="73"/>
      <c r="BX1105" s="73"/>
      <c r="BY1105" s="73"/>
      <c r="BZ1105" s="73"/>
      <c r="CA1105" s="73"/>
      <c r="CB1105" s="73"/>
      <c r="CC1105" s="73"/>
      <c r="CD1105" s="73"/>
      <c r="CE1105" s="73"/>
      <c r="CF1105" s="73"/>
      <c r="CG1105" s="73"/>
      <c r="CH1105" s="73"/>
      <c r="CI1105" s="73"/>
      <c r="CJ1105" s="73"/>
      <c r="CK1105" s="73"/>
      <c r="CL1105" s="73"/>
      <c r="CM1105" s="73"/>
      <c r="CN1105" s="73"/>
      <c r="CO1105" s="73"/>
      <c r="CP1105" s="73"/>
      <c r="CQ1105" s="73"/>
      <c r="CR1105" s="73"/>
      <c r="CS1105" s="73"/>
      <c r="CT1105" s="73"/>
      <c r="CU1105" s="73"/>
      <c r="CV1105" s="73"/>
      <c r="CW1105" s="73"/>
      <c r="CX1105" s="73"/>
      <c r="CY1105" s="73"/>
      <c r="CZ1105" s="73"/>
      <c r="DA1105" s="73"/>
      <c r="DB1105" s="73"/>
      <c r="DC1105" s="73"/>
      <c r="DD1105" s="73"/>
      <c r="DE1105" s="73"/>
      <c r="DF1105" s="73"/>
      <c r="DG1105" s="73"/>
      <c r="DH1105" s="73"/>
      <c r="DI1105" s="73"/>
      <c r="DJ1105" s="73"/>
      <c r="DK1105" s="73"/>
      <c r="DL1105" s="73"/>
      <c r="DM1105" s="73"/>
    </row>
    <row r="1106" spans="1:117" s="48" customFormat="1">
      <c r="A1106" s="73"/>
      <c r="T1106" s="73"/>
      <c r="U1106" s="73"/>
      <c r="V1106" s="73"/>
      <c r="W1106" s="73"/>
      <c r="X1106" s="73"/>
      <c r="Y1106" s="73"/>
      <c r="Z1106" s="73"/>
      <c r="AA1106" s="73"/>
      <c r="AB1106" s="73"/>
      <c r="AC1106" s="73"/>
      <c r="AD1106" s="73"/>
      <c r="AE1106" s="73"/>
      <c r="AF1106" s="73"/>
      <c r="AG1106" s="73"/>
      <c r="AH1106" s="73"/>
      <c r="AI1106" s="73"/>
      <c r="AJ1106" s="73"/>
      <c r="AK1106" s="73"/>
      <c r="AL1106" s="73"/>
      <c r="AM1106" s="73"/>
      <c r="AN1106" s="73"/>
      <c r="AO1106" s="73"/>
      <c r="AP1106" s="73"/>
      <c r="AQ1106" s="73"/>
      <c r="AR1106" s="73"/>
      <c r="AS1106" s="73"/>
      <c r="AT1106" s="73"/>
      <c r="AU1106" s="73"/>
      <c r="AV1106" s="73"/>
      <c r="AW1106" s="73"/>
      <c r="AX1106" s="73"/>
      <c r="AY1106" s="73"/>
      <c r="AZ1106" s="73"/>
      <c r="BA1106" s="73"/>
      <c r="BB1106" s="73"/>
      <c r="BC1106" s="73"/>
      <c r="BD1106" s="73"/>
      <c r="BE1106" s="73"/>
      <c r="BF1106" s="73"/>
      <c r="BG1106" s="73"/>
      <c r="BH1106" s="73"/>
      <c r="BI1106" s="73"/>
      <c r="BJ1106" s="73"/>
      <c r="BK1106" s="73"/>
      <c r="BL1106" s="73"/>
      <c r="BM1106" s="73"/>
      <c r="BN1106" s="73"/>
      <c r="BO1106" s="73"/>
      <c r="BP1106" s="73"/>
      <c r="BQ1106" s="73"/>
      <c r="BR1106" s="73"/>
      <c r="BS1106" s="73"/>
      <c r="BT1106" s="73"/>
      <c r="BU1106" s="73"/>
      <c r="BV1106" s="73"/>
      <c r="BW1106" s="73"/>
      <c r="BX1106" s="73"/>
      <c r="BY1106" s="73"/>
      <c r="BZ1106" s="73"/>
      <c r="CA1106" s="73"/>
      <c r="CB1106" s="73"/>
      <c r="CC1106" s="73"/>
      <c r="CD1106" s="73"/>
      <c r="CE1106" s="73"/>
      <c r="CF1106" s="73"/>
      <c r="CG1106" s="73"/>
      <c r="CH1106" s="73"/>
      <c r="CI1106" s="73"/>
      <c r="CJ1106" s="73"/>
      <c r="CK1106" s="73"/>
      <c r="CL1106" s="73"/>
      <c r="CM1106" s="73"/>
      <c r="CN1106" s="73"/>
      <c r="CO1106" s="73"/>
      <c r="CP1106" s="73"/>
      <c r="CQ1106" s="73"/>
      <c r="CR1106" s="73"/>
      <c r="CS1106" s="73"/>
      <c r="CT1106" s="73"/>
      <c r="CU1106" s="73"/>
      <c r="CV1106" s="73"/>
      <c r="CW1106" s="73"/>
      <c r="CX1106" s="73"/>
      <c r="CY1106" s="73"/>
      <c r="CZ1106" s="73"/>
      <c r="DA1106" s="73"/>
      <c r="DB1106" s="73"/>
      <c r="DC1106" s="73"/>
      <c r="DD1106" s="73"/>
      <c r="DE1106" s="73"/>
      <c r="DF1106" s="73"/>
      <c r="DG1106" s="73"/>
      <c r="DH1106" s="73"/>
      <c r="DI1106" s="73"/>
      <c r="DJ1106" s="73"/>
      <c r="DK1106" s="73"/>
      <c r="DL1106" s="73"/>
      <c r="DM1106" s="73"/>
    </row>
    <row r="1107" spans="1:117" s="48" customFormat="1">
      <c r="A1107" s="73"/>
      <c r="T1107" s="73"/>
      <c r="U1107" s="73"/>
      <c r="V1107" s="73"/>
      <c r="W1107" s="73"/>
      <c r="X1107" s="73"/>
      <c r="Y1107" s="73"/>
      <c r="Z1107" s="73"/>
      <c r="AA1107" s="73"/>
      <c r="AB1107" s="73"/>
      <c r="AC1107" s="73"/>
      <c r="AD1107" s="73"/>
      <c r="AE1107" s="73"/>
      <c r="AF1107" s="73"/>
      <c r="AG1107" s="73"/>
      <c r="AH1107" s="73"/>
      <c r="AI1107" s="73"/>
      <c r="AJ1107" s="73"/>
      <c r="AK1107" s="73"/>
      <c r="AL1107" s="73"/>
      <c r="AM1107" s="73"/>
      <c r="AN1107" s="73"/>
      <c r="AO1107" s="73"/>
      <c r="AP1107" s="73"/>
      <c r="AQ1107" s="73"/>
      <c r="AR1107" s="73"/>
      <c r="AS1107" s="73"/>
      <c r="AT1107" s="73"/>
      <c r="AU1107" s="73"/>
      <c r="AV1107" s="73"/>
      <c r="AW1107" s="73"/>
      <c r="AX1107" s="73"/>
      <c r="AY1107" s="73"/>
      <c r="AZ1107" s="73"/>
      <c r="BA1107" s="73"/>
      <c r="BB1107" s="73"/>
      <c r="BC1107" s="73"/>
      <c r="BD1107" s="73"/>
      <c r="BE1107" s="73"/>
      <c r="BF1107" s="73"/>
      <c r="BG1107" s="73"/>
      <c r="BH1107" s="73"/>
      <c r="BI1107" s="73"/>
      <c r="BJ1107" s="73"/>
      <c r="BK1107" s="73"/>
      <c r="BL1107" s="73"/>
      <c r="BM1107" s="73"/>
      <c r="BN1107" s="73"/>
      <c r="BO1107" s="73"/>
      <c r="BP1107" s="73"/>
      <c r="BQ1107" s="73"/>
      <c r="BR1107" s="73"/>
      <c r="BS1107" s="73"/>
      <c r="BT1107" s="73"/>
      <c r="BU1107" s="73"/>
      <c r="BV1107" s="73"/>
      <c r="BW1107" s="73"/>
      <c r="BX1107" s="73"/>
      <c r="BY1107" s="73"/>
      <c r="BZ1107" s="73"/>
      <c r="CA1107" s="73"/>
      <c r="CB1107" s="73"/>
      <c r="CC1107" s="73"/>
      <c r="CD1107" s="73"/>
      <c r="CE1107" s="73"/>
      <c r="CF1107" s="73"/>
      <c r="CG1107" s="73"/>
      <c r="CH1107" s="73"/>
      <c r="CI1107" s="73"/>
      <c r="CJ1107" s="73"/>
      <c r="CK1107" s="73"/>
      <c r="CL1107" s="73"/>
      <c r="CM1107" s="73"/>
      <c r="CN1107" s="73"/>
      <c r="CO1107" s="73"/>
      <c r="CP1107" s="73"/>
      <c r="CQ1107" s="73"/>
      <c r="CR1107" s="73"/>
      <c r="CS1107" s="73"/>
      <c r="CT1107" s="73"/>
      <c r="CU1107" s="73"/>
      <c r="CV1107" s="73"/>
      <c r="CW1107" s="73"/>
      <c r="CX1107" s="73"/>
      <c r="CY1107" s="73"/>
      <c r="CZ1107" s="73"/>
      <c r="DA1107" s="73"/>
      <c r="DB1107" s="73"/>
      <c r="DC1107" s="73"/>
      <c r="DD1107" s="73"/>
      <c r="DE1107" s="73"/>
      <c r="DF1107" s="73"/>
      <c r="DG1107" s="73"/>
      <c r="DH1107" s="73"/>
      <c r="DI1107" s="73"/>
      <c r="DJ1107" s="73"/>
      <c r="DK1107" s="73"/>
      <c r="DL1107" s="73"/>
      <c r="DM1107" s="73"/>
    </row>
    <row r="1108" spans="1:117" s="48" customFormat="1">
      <c r="A1108" s="73"/>
      <c r="T1108" s="73"/>
      <c r="U1108" s="73"/>
      <c r="V1108" s="73"/>
      <c r="W1108" s="73"/>
      <c r="X1108" s="73"/>
      <c r="Y1108" s="73"/>
      <c r="Z1108" s="73"/>
      <c r="AA1108" s="73"/>
      <c r="AB1108" s="73"/>
      <c r="AC1108" s="73"/>
      <c r="AD1108" s="73"/>
      <c r="AE1108" s="73"/>
      <c r="AF1108" s="73"/>
      <c r="AG1108" s="73"/>
      <c r="AH1108" s="73"/>
      <c r="AI1108" s="73"/>
      <c r="AJ1108" s="73"/>
      <c r="AK1108" s="73"/>
      <c r="AL1108" s="73"/>
      <c r="AM1108" s="73"/>
      <c r="AN1108" s="73"/>
      <c r="AO1108" s="73"/>
      <c r="AP1108" s="73"/>
      <c r="AQ1108" s="73"/>
      <c r="AR1108" s="73"/>
      <c r="AS1108" s="73"/>
      <c r="AT1108" s="73"/>
      <c r="AU1108" s="73"/>
      <c r="AV1108" s="73"/>
      <c r="AW1108" s="73"/>
      <c r="AX1108" s="73"/>
      <c r="AY1108" s="73"/>
      <c r="AZ1108" s="73"/>
      <c r="BA1108" s="73"/>
      <c r="BB1108" s="73"/>
      <c r="BC1108" s="73"/>
      <c r="BD1108" s="73"/>
      <c r="BE1108" s="73"/>
      <c r="BF1108" s="73"/>
      <c r="BG1108" s="73"/>
      <c r="BH1108" s="73"/>
      <c r="BI1108" s="73"/>
      <c r="BJ1108" s="73"/>
      <c r="BK1108" s="73"/>
      <c r="BL1108" s="73"/>
      <c r="BM1108" s="73"/>
      <c r="BN1108" s="73"/>
      <c r="BO1108" s="73"/>
      <c r="BP1108" s="73"/>
      <c r="BQ1108" s="73"/>
      <c r="BR1108" s="73"/>
      <c r="BS1108" s="73"/>
      <c r="BT1108" s="73"/>
      <c r="BU1108" s="73"/>
      <c r="BV1108" s="73"/>
      <c r="BW1108" s="73"/>
      <c r="BX1108" s="73"/>
      <c r="BY1108" s="73"/>
      <c r="BZ1108" s="73"/>
      <c r="CA1108" s="73"/>
      <c r="CB1108" s="73"/>
      <c r="CC1108" s="73"/>
      <c r="CD1108" s="73"/>
      <c r="CE1108" s="73"/>
      <c r="CF1108" s="73"/>
      <c r="CG1108" s="73"/>
      <c r="CH1108" s="73"/>
      <c r="CI1108" s="73"/>
      <c r="CJ1108" s="73"/>
      <c r="CK1108" s="73"/>
      <c r="CL1108" s="73"/>
      <c r="CM1108" s="73"/>
      <c r="CN1108" s="73"/>
      <c r="CO1108" s="73"/>
      <c r="CP1108" s="73"/>
      <c r="CQ1108" s="73"/>
      <c r="CR1108" s="73"/>
      <c r="CS1108" s="73"/>
      <c r="CT1108" s="73"/>
      <c r="CU1108" s="73"/>
      <c r="CV1108" s="73"/>
      <c r="CW1108" s="73"/>
      <c r="CX1108" s="73"/>
      <c r="CY1108" s="73"/>
      <c r="CZ1108" s="73"/>
      <c r="DA1108" s="73"/>
      <c r="DB1108" s="73"/>
      <c r="DC1108" s="73"/>
      <c r="DD1108" s="73"/>
      <c r="DE1108" s="73"/>
      <c r="DF1108" s="73"/>
      <c r="DG1108" s="73"/>
      <c r="DH1108" s="73"/>
      <c r="DI1108" s="73"/>
      <c r="DJ1108" s="73"/>
      <c r="DK1108" s="73"/>
      <c r="DL1108" s="73"/>
      <c r="DM1108" s="73"/>
    </row>
    <row r="1109" spans="1:117" s="48" customFormat="1">
      <c r="A1109" s="73"/>
      <c r="T1109" s="73"/>
      <c r="U1109" s="73"/>
      <c r="V1109" s="73"/>
      <c r="W1109" s="73"/>
      <c r="X1109" s="73"/>
      <c r="Y1109" s="73"/>
      <c r="Z1109" s="73"/>
      <c r="AA1109" s="73"/>
      <c r="AB1109" s="73"/>
      <c r="AC1109" s="73"/>
      <c r="AD1109" s="73"/>
      <c r="AE1109" s="73"/>
      <c r="AF1109" s="73"/>
      <c r="AG1109" s="73"/>
      <c r="AH1109" s="73"/>
      <c r="AI1109" s="73"/>
      <c r="AJ1109" s="73"/>
      <c r="AK1109" s="73"/>
      <c r="AL1109" s="73"/>
      <c r="AM1109" s="73"/>
      <c r="AN1109" s="73"/>
      <c r="AO1109" s="73"/>
      <c r="AP1109" s="73"/>
      <c r="AQ1109" s="73"/>
      <c r="AR1109" s="73"/>
      <c r="AS1109" s="73"/>
      <c r="AT1109" s="73"/>
      <c r="AU1109" s="73"/>
      <c r="AV1109" s="73"/>
      <c r="AW1109" s="73"/>
      <c r="AX1109" s="73"/>
      <c r="AY1109" s="73"/>
      <c r="AZ1109" s="73"/>
      <c r="BA1109" s="73"/>
      <c r="BB1109" s="73"/>
      <c r="BC1109" s="73"/>
      <c r="BD1109" s="73"/>
      <c r="BE1109" s="73"/>
      <c r="BF1109" s="73"/>
      <c r="BG1109" s="73"/>
      <c r="BH1109" s="73"/>
      <c r="BI1109" s="73"/>
      <c r="BJ1109" s="73"/>
      <c r="BK1109" s="73"/>
      <c r="BL1109" s="73"/>
      <c r="BM1109" s="73"/>
      <c r="BN1109" s="73"/>
      <c r="BO1109" s="73"/>
      <c r="BP1109" s="73"/>
      <c r="BQ1109" s="73"/>
      <c r="BR1109" s="73"/>
      <c r="BS1109" s="73"/>
      <c r="BT1109" s="73"/>
      <c r="BU1109" s="73"/>
      <c r="BV1109" s="73"/>
      <c r="BW1109" s="73"/>
      <c r="BX1109" s="73"/>
      <c r="BY1109" s="73"/>
      <c r="BZ1109" s="73"/>
      <c r="CA1109" s="73"/>
      <c r="CB1109" s="73"/>
      <c r="CC1109" s="73"/>
      <c r="CD1109" s="73"/>
      <c r="CE1109" s="73"/>
      <c r="CF1109" s="73"/>
      <c r="CG1109" s="73"/>
      <c r="CH1109" s="73"/>
      <c r="CI1109" s="73"/>
      <c r="CJ1109" s="73"/>
      <c r="CK1109" s="73"/>
      <c r="CL1109" s="73"/>
      <c r="CM1109" s="73"/>
      <c r="CN1109" s="73"/>
      <c r="CO1109" s="73"/>
      <c r="CP1109" s="73"/>
      <c r="CQ1109" s="73"/>
      <c r="CR1109" s="73"/>
      <c r="CS1109" s="73"/>
      <c r="CT1109" s="73"/>
      <c r="CU1109" s="73"/>
      <c r="CV1109" s="73"/>
      <c r="CW1109" s="73"/>
      <c r="CX1109" s="73"/>
      <c r="CY1109" s="73"/>
      <c r="CZ1109" s="73"/>
      <c r="DA1109" s="73"/>
      <c r="DB1109" s="73"/>
      <c r="DC1109" s="73"/>
      <c r="DD1109" s="73"/>
      <c r="DE1109" s="73"/>
      <c r="DF1109" s="73"/>
      <c r="DG1109" s="73"/>
      <c r="DH1109" s="73"/>
      <c r="DI1109" s="73"/>
      <c r="DJ1109" s="73"/>
      <c r="DK1109" s="73"/>
      <c r="DL1109" s="73"/>
      <c r="DM1109" s="73"/>
    </row>
    <row r="1110" spans="1:117" s="48" customFormat="1">
      <c r="A1110" s="73"/>
      <c r="T1110" s="73"/>
      <c r="U1110" s="73"/>
      <c r="V1110" s="73"/>
      <c r="W1110" s="73"/>
      <c r="X1110" s="73"/>
      <c r="Y1110" s="73"/>
      <c r="Z1110" s="73"/>
      <c r="AA1110" s="73"/>
      <c r="AB1110" s="73"/>
      <c r="AC1110" s="73"/>
      <c r="AD1110" s="73"/>
      <c r="AE1110" s="73"/>
      <c r="AF1110" s="73"/>
      <c r="AG1110" s="73"/>
      <c r="AH1110" s="73"/>
      <c r="AI1110" s="73"/>
      <c r="AJ1110" s="73"/>
      <c r="AK1110" s="73"/>
      <c r="AL1110" s="73"/>
      <c r="AM1110" s="73"/>
      <c r="AN1110" s="73"/>
      <c r="AO1110" s="73"/>
      <c r="AP1110" s="73"/>
      <c r="AQ1110" s="73"/>
      <c r="AR1110" s="73"/>
      <c r="AS1110" s="73"/>
      <c r="AT1110" s="73"/>
      <c r="AU1110" s="73"/>
      <c r="AV1110" s="73"/>
      <c r="AW1110" s="73"/>
      <c r="AX1110" s="73"/>
      <c r="AY1110" s="73"/>
      <c r="AZ1110" s="73"/>
      <c r="BA1110" s="73"/>
      <c r="BB1110" s="73"/>
      <c r="BC1110" s="73"/>
      <c r="BD1110" s="73"/>
      <c r="BE1110" s="73"/>
      <c r="BF1110" s="73"/>
      <c r="BG1110" s="73"/>
      <c r="BH1110" s="73"/>
      <c r="BI1110" s="73"/>
      <c r="BJ1110" s="73"/>
      <c r="BK1110" s="73"/>
      <c r="BL1110" s="73"/>
      <c r="BM1110" s="73"/>
      <c r="BN1110" s="73"/>
      <c r="BO1110" s="73"/>
      <c r="BP1110" s="73"/>
      <c r="BQ1110" s="73"/>
      <c r="BR1110" s="73"/>
      <c r="BS1110" s="73"/>
      <c r="BT1110" s="73"/>
      <c r="BU1110" s="73"/>
      <c r="BV1110" s="73"/>
      <c r="BW1110" s="73"/>
      <c r="BX1110" s="73"/>
      <c r="BY1110" s="73"/>
      <c r="BZ1110" s="73"/>
      <c r="CA1110" s="73"/>
      <c r="CB1110" s="73"/>
      <c r="CC1110" s="73"/>
      <c r="CD1110" s="73"/>
      <c r="CE1110" s="73"/>
      <c r="CF1110" s="73"/>
      <c r="CG1110" s="73"/>
      <c r="CH1110" s="73"/>
      <c r="CI1110" s="73"/>
      <c r="CJ1110" s="73"/>
      <c r="CK1110" s="73"/>
      <c r="CL1110" s="73"/>
      <c r="CM1110" s="73"/>
      <c r="CN1110" s="73"/>
      <c r="CO1110" s="73"/>
      <c r="CP1110" s="73"/>
      <c r="CQ1110" s="73"/>
      <c r="CR1110" s="73"/>
      <c r="CS1110" s="73"/>
      <c r="CT1110" s="73"/>
      <c r="CU1110" s="73"/>
      <c r="CV1110" s="73"/>
      <c r="CW1110" s="73"/>
      <c r="CX1110" s="73"/>
      <c r="CY1110" s="73"/>
      <c r="CZ1110" s="73"/>
      <c r="DA1110" s="73"/>
      <c r="DB1110" s="73"/>
      <c r="DC1110" s="73"/>
      <c r="DD1110" s="73"/>
      <c r="DE1110" s="73"/>
      <c r="DF1110" s="73"/>
      <c r="DG1110" s="73"/>
      <c r="DH1110" s="73"/>
      <c r="DI1110" s="73"/>
      <c r="DJ1110" s="73"/>
      <c r="DK1110" s="73"/>
      <c r="DL1110" s="73"/>
      <c r="DM1110" s="73"/>
    </row>
    <row r="1111" spans="1:117" s="48" customFormat="1">
      <c r="A1111" s="73"/>
      <c r="T1111" s="73"/>
      <c r="U1111" s="73"/>
      <c r="V1111" s="73"/>
      <c r="W1111" s="73"/>
      <c r="X1111" s="73"/>
      <c r="Y1111" s="73"/>
      <c r="Z1111" s="73"/>
      <c r="AA1111" s="73"/>
      <c r="AB1111" s="73"/>
      <c r="AC1111" s="73"/>
      <c r="AD1111" s="73"/>
      <c r="AE1111" s="73"/>
      <c r="AF1111" s="73"/>
      <c r="AG1111" s="73"/>
      <c r="AH1111" s="73"/>
      <c r="AI1111" s="73"/>
      <c r="AJ1111" s="73"/>
      <c r="AK1111" s="73"/>
      <c r="AL1111" s="73"/>
      <c r="AM1111" s="73"/>
      <c r="AN1111" s="73"/>
      <c r="AO1111" s="73"/>
      <c r="AP1111" s="73"/>
      <c r="AQ1111" s="73"/>
      <c r="AR1111" s="73"/>
      <c r="AS1111" s="73"/>
      <c r="AT1111" s="73"/>
      <c r="AU1111" s="73"/>
      <c r="AV1111" s="73"/>
      <c r="AW1111" s="73"/>
      <c r="AX1111" s="73"/>
      <c r="AY1111" s="73"/>
      <c r="AZ1111" s="73"/>
      <c r="BA1111" s="73"/>
      <c r="BB1111" s="73"/>
      <c r="BC1111" s="73"/>
      <c r="BD1111" s="73"/>
      <c r="BE1111" s="73"/>
      <c r="BF1111" s="73"/>
      <c r="BG1111" s="73"/>
      <c r="BH1111" s="73"/>
      <c r="BI1111" s="73"/>
      <c r="BJ1111" s="73"/>
      <c r="BK1111" s="73"/>
      <c r="BL1111" s="73"/>
      <c r="BM1111" s="73"/>
      <c r="BN1111" s="73"/>
      <c r="BO1111" s="73"/>
      <c r="BP1111" s="73"/>
      <c r="BQ1111" s="73"/>
      <c r="BR1111" s="73"/>
      <c r="BS1111" s="73"/>
      <c r="BT1111" s="73"/>
      <c r="BU1111" s="73"/>
      <c r="BV1111" s="73"/>
      <c r="BW1111" s="73"/>
      <c r="BX1111" s="73"/>
      <c r="BY1111" s="73"/>
      <c r="BZ1111" s="73"/>
      <c r="CA1111" s="73"/>
      <c r="CB1111" s="73"/>
      <c r="CC1111" s="73"/>
      <c r="CD1111" s="73"/>
      <c r="CE1111" s="73"/>
      <c r="CF1111" s="73"/>
      <c r="CG1111" s="73"/>
      <c r="CH1111" s="73"/>
      <c r="CI1111" s="73"/>
      <c r="CJ1111" s="73"/>
      <c r="CK1111" s="73"/>
      <c r="CL1111" s="73"/>
      <c r="CM1111" s="73"/>
      <c r="CN1111" s="73"/>
      <c r="CO1111" s="73"/>
      <c r="CP1111" s="73"/>
      <c r="CQ1111" s="73"/>
      <c r="CR1111" s="73"/>
      <c r="CS1111" s="73"/>
      <c r="CT1111" s="73"/>
      <c r="CU1111" s="73"/>
      <c r="CV1111" s="73"/>
      <c r="CW1111" s="73"/>
      <c r="CX1111" s="73"/>
      <c r="CY1111" s="73"/>
      <c r="CZ1111" s="73"/>
      <c r="DA1111" s="73"/>
      <c r="DB1111" s="73"/>
      <c r="DC1111" s="73"/>
      <c r="DD1111" s="73"/>
      <c r="DE1111" s="73"/>
      <c r="DF1111" s="73"/>
      <c r="DG1111" s="73"/>
      <c r="DH1111" s="73"/>
      <c r="DI1111" s="73"/>
      <c r="DJ1111" s="73"/>
      <c r="DK1111" s="73"/>
      <c r="DL1111" s="73"/>
      <c r="DM1111" s="73"/>
    </row>
    <row r="1112" spans="1:117" s="48" customFormat="1">
      <c r="A1112" s="73"/>
      <c r="T1112" s="73"/>
      <c r="U1112" s="73"/>
      <c r="V1112" s="73"/>
      <c r="W1112" s="73"/>
      <c r="X1112" s="73"/>
      <c r="Y1112" s="73"/>
      <c r="Z1112" s="73"/>
      <c r="AA1112" s="73"/>
      <c r="AB1112" s="73"/>
      <c r="AC1112" s="73"/>
      <c r="AD1112" s="73"/>
      <c r="AE1112" s="73"/>
      <c r="AF1112" s="73"/>
      <c r="AG1112" s="73"/>
      <c r="AH1112" s="73"/>
      <c r="AI1112" s="73"/>
      <c r="AJ1112" s="73"/>
      <c r="AK1112" s="73"/>
      <c r="AL1112" s="73"/>
      <c r="AM1112" s="73"/>
      <c r="AN1112" s="73"/>
      <c r="AO1112" s="73"/>
      <c r="AP1112" s="73"/>
      <c r="AQ1112" s="73"/>
      <c r="AR1112" s="73"/>
      <c r="AS1112" s="73"/>
      <c r="AT1112" s="73"/>
      <c r="AU1112" s="73"/>
      <c r="AV1112" s="73"/>
      <c r="AW1112" s="73"/>
      <c r="AX1112" s="73"/>
      <c r="AY1112" s="73"/>
      <c r="AZ1112" s="73"/>
      <c r="BA1112" s="73"/>
      <c r="BB1112" s="73"/>
      <c r="BC1112" s="73"/>
      <c r="BD1112" s="73"/>
      <c r="BE1112" s="73"/>
      <c r="BF1112" s="73"/>
      <c r="BG1112" s="73"/>
      <c r="BH1112" s="73"/>
      <c r="BI1112" s="73"/>
      <c r="BJ1112" s="73"/>
      <c r="BK1112" s="73"/>
      <c r="BL1112" s="73"/>
      <c r="BM1112" s="73"/>
      <c r="BN1112" s="73"/>
      <c r="BO1112" s="73"/>
      <c r="BP1112" s="73"/>
      <c r="BQ1112" s="73"/>
      <c r="BR1112" s="73"/>
      <c r="BS1112" s="73"/>
      <c r="BT1112" s="73"/>
      <c r="BU1112" s="73"/>
      <c r="BV1112" s="73"/>
      <c r="BW1112" s="73"/>
      <c r="BX1112" s="73"/>
      <c r="BY1112" s="73"/>
      <c r="BZ1112" s="73"/>
      <c r="CA1112" s="73"/>
      <c r="CB1112" s="73"/>
      <c r="CC1112" s="73"/>
      <c r="CD1112" s="73"/>
      <c r="CE1112" s="73"/>
      <c r="CF1112" s="73"/>
      <c r="CG1112" s="73"/>
      <c r="CH1112" s="73"/>
      <c r="CI1112" s="73"/>
      <c r="CJ1112" s="73"/>
      <c r="CK1112" s="73"/>
      <c r="CL1112" s="73"/>
      <c r="CM1112" s="73"/>
      <c r="CN1112" s="73"/>
      <c r="CO1112" s="73"/>
      <c r="CP1112" s="73"/>
      <c r="CQ1112" s="73"/>
      <c r="CR1112" s="73"/>
      <c r="CS1112" s="73"/>
      <c r="CT1112" s="73"/>
      <c r="CU1112" s="73"/>
      <c r="CV1112" s="73"/>
      <c r="CW1112" s="73"/>
      <c r="CX1112" s="73"/>
      <c r="CY1112" s="73"/>
      <c r="CZ1112" s="73"/>
      <c r="DA1112" s="73"/>
      <c r="DB1112" s="73"/>
      <c r="DC1112" s="73"/>
      <c r="DD1112" s="73"/>
      <c r="DE1112" s="73"/>
      <c r="DF1112" s="73"/>
      <c r="DG1112" s="73"/>
      <c r="DH1112" s="73"/>
      <c r="DI1112" s="73"/>
      <c r="DJ1112" s="73"/>
      <c r="DK1112" s="73"/>
      <c r="DL1112" s="73"/>
      <c r="DM1112" s="73"/>
    </row>
    <row r="1113" spans="1:117" s="48" customFormat="1">
      <c r="A1113" s="73"/>
      <c r="T1113" s="73"/>
      <c r="U1113" s="73"/>
      <c r="V1113" s="73"/>
      <c r="W1113" s="73"/>
      <c r="X1113" s="73"/>
      <c r="Y1113" s="73"/>
      <c r="Z1113" s="73"/>
      <c r="AA1113" s="73"/>
      <c r="AB1113" s="73"/>
      <c r="AC1113" s="73"/>
      <c r="AD1113" s="73"/>
      <c r="AE1113" s="73"/>
      <c r="AF1113" s="73"/>
      <c r="AG1113" s="73"/>
      <c r="AH1113" s="73"/>
      <c r="AI1113" s="73"/>
      <c r="AJ1113" s="73"/>
      <c r="AK1113" s="73"/>
      <c r="AL1113" s="73"/>
      <c r="AM1113" s="73"/>
      <c r="AN1113" s="73"/>
      <c r="AO1113" s="73"/>
      <c r="AP1113" s="73"/>
      <c r="AQ1113" s="73"/>
      <c r="AR1113" s="73"/>
      <c r="AS1113" s="73"/>
      <c r="AT1113" s="73"/>
      <c r="AU1113" s="73"/>
      <c r="AV1113" s="73"/>
      <c r="AW1113" s="73"/>
      <c r="AX1113" s="73"/>
      <c r="AY1113" s="73"/>
      <c r="AZ1113" s="73"/>
      <c r="BA1113" s="73"/>
      <c r="BB1113" s="73"/>
      <c r="BC1113" s="73"/>
      <c r="BD1113" s="73"/>
      <c r="BE1113" s="73"/>
      <c r="BF1113" s="73"/>
      <c r="BG1113" s="73"/>
      <c r="BH1113" s="73"/>
      <c r="BI1113" s="73"/>
      <c r="BJ1113" s="73"/>
      <c r="BK1113" s="73"/>
      <c r="BL1113" s="73"/>
      <c r="BM1113" s="73"/>
      <c r="BN1113" s="73"/>
      <c r="BO1113" s="73"/>
      <c r="BP1113" s="73"/>
      <c r="BQ1113" s="73"/>
      <c r="BR1113" s="73"/>
      <c r="BS1113" s="73"/>
      <c r="BT1113" s="73"/>
      <c r="BU1113" s="73"/>
      <c r="BV1113" s="73"/>
      <c r="BW1113" s="73"/>
      <c r="BX1113" s="73"/>
      <c r="BY1113" s="73"/>
      <c r="BZ1113" s="73"/>
      <c r="CA1113" s="73"/>
      <c r="CB1113" s="73"/>
      <c r="CC1113" s="73"/>
      <c r="CD1113" s="73"/>
      <c r="CE1113" s="73"/>
      <c r="CF1113" s="73"/>
      <c r="CG1113" s="73"/>
      <c r="CH1113" s="73"/>
      <c r="CI1113" s="73"/>
      <c r="CJ1113" s="73"/>
      <c r="CK1113" s="73"/>
      <c r="CL1113" s="73"/>
      <c r="CM1113" s="73"/>
      <c r="CN1113" s="73"/>
      <c r="CO1113" s="73"/>
      <c r="CP1113" s="73"/>
      <c r="CQ1113" s="73"/>
      <c r="CR1113" s="73"/>
      <c r="CS1113" s="73"/>
      <c r="CT1113" s="73"/>
      <c r="CU1113" s="73"/>
      <c r="CV1113" s="73"/>
      <c r="CW1113" s="73"/>
      <c r="CX1113" s="73"/>
      <c r="CY1113" s="73"/>
      <c r="CZ1113" s="73"/>
      <c r="DA1113" s="73"/>
      <c r="DB1113" s="73"/>
      <c r="DC1113" s="73"/>
      <c r="DD1113" s="73"/>
      <c r="DE1113" s="73"/>
      <c r="DF1113" s="73"/>
      <c r="DG1113" s="73"/>
      <c r="DH1113" s="73"/>
      <c r="DI1113" s="73"/>
      <c r="DJ1113" s="73"/>
      <c r="DK1113" s="73"/>
      <c r="DL1113" s="73"/>
      <c r="DM1113" s="73"/>
    </row>
    <row r="1114" spans="1:117" s="48" customFormat="1">
      <c r="A1114" s="73"/>
      <c r="T1114" s="73"/>
      <c r="U1114" s="73"/>
      <c r="V1114" s="73"/>
      <c r="W1114" s="73"/>
      <c r="X1114" s="73"/>
      <c r="Y1114" s="73"/>
      <c r="Z1114" s="73"/>
      <c r="AA1114" s="73"/>
      <c r="AB1114" s="73"/>
      <c r="AC1114" s="73"/>
      <c r="AD1114" s="73"/>
      <c r="AE1114" s="73"/>
      <c r="AF1114" s="73"/>
      <c r="AG1114" s="73"/>
      <c r="AH1114" s="73"/>
      <c r="AI1114" s="73"/>
      <c r="AJ1114" s="73"/>
      <c r="AK1114" s="73"/>
      <c r="AL1114" s="73"/>
      <c r="AM1114" s="73"/>
      <c r="AN1114" s="73"/>
      <c r="AO1114" s="73"/>
      <c r="AP1114" s="73"/>
      <c r="AQ1114" s="73"/>
      <c r="AR1114" s="73"/>
      <c r="AS1114" s="73"/>
      <c r="AT1114" s="73"/>
      <c r="AU1114" s="73"/>
      <c r="AV1114" s="73"/>
      <c r="AW1114" s="73"/>
      <c r="AX1114" s="73"/>
      <c r="AY1114" s="73"/>
      <c r="AZ1114" s="73"/>
      <c r="BA1114" s="73"/>
      <c r="BB1114" s="73"/>
      <c r="BC1114" s="73"/>
      <c r="BD1114" s="73"/>
      <c r="BE1114" s="73"/>
      <c r="BF1114" s="73"/>
      <c r="BG1114" s="73"/>
      <c r="BH1114" s="73"/>
      <c r="BI1114" s="73"/>
      <c r="BJ1114" s="73"/>
      <c r="BK1114" s="73"/>
      <c r="BL1114" s="73"/>
      <c r="BM1114" s="73"/>
      <c r="BN1114" s="73"/>
      <c r="BO1114" s="73"/>
      <c r="BP1114" s="73"/>
      <c r="BQ1114" s="73"/>
      <c r="BR1114" s="73"/>
      <c r="BS1114" s="73"/>
      <c r="BT1114" s="73"/>
      <c r="BU1114" s="73"/>
      <c r="BV1114" s="73"/>
      <c r="BW1114" s="73"/>
      <c r="BX1114" s="73"/>
      <c r="BY1114" s="73"/>
      <c r="BZ1114" s="73"/>
      <c r="CA1114" s="73"/>
      <c r="CB1114" s="73"/>
      <c r="CC1114" s="73"/>
      <c r="CD1114" s="73"/>
      <c r="CE1114" s="73"/>
      <c r="CF1114" s="73"/>
      <c r="CG1114" s="73"/>
      <c r="CH1114" s="73"/>
      <c r="CI1114" s="73"/>
      <c r="CJ1114" s="73"/>
      <c r="CK1114" s="73"/>
      <c r="CL1114" s="73"/>
      <c r="CM1114" s="73"/>
      <c r="CN1114" s="73"/>
      <c r="CO1114" s="73"/>
      <c r="CP1114" s="73"/>
      <c r="CQ1114" s="73"/>
      <c r="CR1114" s="73"/>
      <c r="CS1114" s="73"/>
      <c r="CT1114" s="73"/>
      <c r="CU1114" s="73"/>
      <c r="CV1114" s="73"/>
      <c r="CW1114" s="73"/>
      <c r="CX1114" s="73"/>
      <c r="CY1114" s="73"/>
      <c r="CZ1114" s="73"/>
      <c r="DA1114" s="73"/>
      <c r="DB1114" s="73"/>
      <c r="DC1114" s="73"/>
      <c r="DD1114" s="73"/>
      <c r="DE1114" s="73"/>
      <c r="DF1114" s="73"/>
      <c r="DG1114" s="73"/>
      <c r="DH1114" s="73"/>
      <c r="DI1114" s="73"/>
      <c r="DJ1114" s="73"/>
      <c r="DK1114" s="73"/>
      <c r="DL1114" s="73"/>
      <c r="DM1114" s="73"/>
    </row>
    <row r="1115" spans="1:117" s="48" customFormat="1">
      <c r="A1115" s="73"/>
      <c r="T1115" s="73"/>
      <c r="U1115" s="73"/>
      <c r="V1115" s="73"/>
      <c r="W1115" s="73"/>
      <c r="X1115" s="73"/>
      <c r="Y1115" s="73"/>
      <c r="Z1115" s="73"/>
      <c r="AA1115" s="73"/>
      <c r="AB1115" s="73"/>
      <c r="AC1115" s="73"/>
      <c r="AD1115" s="73"/>
      <c r="AE1115" s="73"/>
      <c r="AF1115" s="73"/>
      <c r="AG1115" s="73"/>
      <c r="AH1115" s="73"/>
      <c r="AI1115" s="73"/>
      <c r="AJ1115" s="73"/>
      <c r="AK1115" s="73"/>
      <c r="AL1115" s="73"/>
      <c r="AM1115" s="73"/>
      <c r="AN1115" s="73"/>
      <c r="AO1115" s="73"/>
      <c r="AP1115" s="73"/>
      <c r="AQ1115" s="73"/>
      <c r="AR1115" s="73"/>
      <c r="AS1115" s="73"/>
      <c r="AT1115" s="73"/>
      <c r="AU1115" s="73"/>
      <c r="AV1115" s="73"/>
      <c r="AW1115" s="73"/>
      <c r="AX1115" s="73"/>
      <c r="AY1115" s="73"/>
      <c r="AZ1115" s="73"/>
      <c r="BA1115" s="73"/>
      <c r="BB1115" s="73"/>
      <c r="BC1115" s="73"/>
      <c r="BD1115" s="73"/>
      <c r="BE1115" s="73"/>
      <c r="BF1115" s="73"/>
      <c r="BG1115" s="73"/>
      <c r="BH1115" s="73"/>
      <c r="BI1115" s="73"/>
      <c r="BJ1115" s="73"/>
      <c r="BK1115" s="73"/>
      <c r="BL1115" s="73"/>
      <c r="BM1115" s="73"/>
      <c r="BN1115" s="73"/>
      <c r="BO1115" s="73"/>
      <c r="BP1115" s="73"/>
      <c r="BQ1115" s="73"/>
      <c r="BR1115" s="73"/>
      <c r="BS1115" s="73"/>
      <c r="BT1115" s="73"/>
      <c r="BU1115" s="73"/>
      <c r="BV1115" s="73"/>
      <c r="BW1115" s="73"/>
      <c r="BX1115" s="73"/>
      <c r="BY1115" s="73"/>
      <c r="BZ1115" s="73"/>
      <c r="CA1115" s="73"/>
      <c r="CB1115" s="73"/>
      <c r="CC1115" s="73"/>
      <c r="CD1115" s="73"/>
      <c r="CE1115" s="73"/>
      <c r="CF1115" s="73"/>
      <c r="CG1115" s="73"/>
      <c r="CH1115" s="73"/>
      <c r="CI1115" s="73"/>
      <c r="CJ1115" s="73"/>
      <c r="CK1115" s="73"/>
      <c r="CL1115" s="73"/>
      <c r="CM1115" s="73"/>
      <c r="CN1115" s="73"/>
      <c r="CO1115" s="73"/>
      <c r="CP1115" s="73"/>
      <c r="CQ1115" s="73"/>
      <c r="CR1115" s="73"/>
      <c r="CS1115" s="73"/>
      <c r="CT1115" s="73"/>
      <c r="CU1115" s="73"/>
      <c r="CV1115" s="73"/>
      <c r="CW1115" s="73"/>
      <c r="CX1115" s="73"/>
      <c r="CY1115" s="73"/>
      <c r="CZ1115" s="73"/>
      <c r="DA1115" s="73"/>
      <c r="DB1115" s="73"/>
      <c r="DC1115" s="73"/>
      <c r="DD1115" s="73"/>
      <c r="DE1115" s="73"/>
      <c r="DF1115" s="73"/>
      <c r="DG1115" s="73"/>
      <c r="DH1115" s="73"/>
      <c r="DI1115" s="73"/>
      <c r="DJ1115" s="73"/>
      <c r="DK1115" s="73"/>
      <c r="DL1115" s="73"/>
      <c r="DM1115" s="73"/>
    </row>
    <row r="1116" spans="1:117" s="48" customFormat="1">
      <c r="A1116" s="73"/>
      <c r="T1116" s="73"/>
      <c r="U1116" s="73"/>
      <c r="V1116" s="73"/>
      <c r="W1116" s="73"/>
      <c r="X1116" s="73"/>
      <c r="Y1116" s="73"/>
      <c r="Z1116" s="73"/>
      <c r="AA1116" s="73"/>
      <c r="AB1116" s="73"/>
      <c r="AC1116" s="73"/>
      <c r="AD1116" s="73"/>
      <c r="AE1116" s="73"/>
      <c r="AF1116" s="73"/>
      <c r="AG1116" s="73"/>
      <c r="AH1116" s="73"/>
      <c r="AI1116" s="73"/>
      <c r="AJ1116" s="73"/>
      <c r="AK1116" s="73"/>
      <c r="AL1116" s="73"/>
      <c r="AM1116" s="73"/>
      <c r="AN1116" s="73"/>
      <c r="AO1116" s="73"/>
      <c r="AP1116" s="73"/>
      <c r="AQ1116" s="73"/>
      <c r="AR1116" s="73"/>
      <c r="AS1116" s="73"/>
      <c r="AT1116" s="73"/>
      <c r="AU1116" s="73"/>
      <c r="AV1116" s="73"/>
      <c r="AW1116" s="73"/>
      <c r="AX1116" s="73"/>
      <c r="AY1116" s="73"/>
      <c r="AZ1116" s="73"/>
      <c r="BA1116" s="73"/>
      <c r="BB1116" s="73"/>
      <c r="BC1116" s="73"/>
      <c r="BD1116" s="73"/>
      <c r="BE1116" s="73"/>
      <c r="BF1116" s="73"/>
      <c r="BG1116" s="73"/>
      <c r="BH1116" s="73"/>
      <c r="BI1116" s="73"/>
      <c r="BJ1116" s="73"/>
      <c r="BK1116" s="73"/>
      <c r="BL1116" s="73"/>
      <c r="BM1116" s="73"/>
      <c r="BN1116" s="73"/>
      <c r="BO1116" s="73"/>
      <c r="BP1116" s="73"/>
      <c r="BQ1116" s="73"/>
      <c r="BR1116" s="73"/>
      <c r="BS1116" s="73"/>
      <c r="BT1116" s="73"/>
      <c r="BU1116" s="73"/>
      <c r="BV1116" s="73"/>
      <c r="BW1116" s="73"/>
      <c r="BX1116" s="73"/>
      <c r="BY1116" s="73"/>
      <c r="BZ1116" s="73"/>
      <c r="CA1116" s="73"/>
      <c r="CB1116" s="73"/>
      <c r="CC1116" s="73"/>
      <c r="CD1116" s="73"/>
      <c r="CE1116" s="73"/>
      <c r="CF1116" s="73"/>
      <c r="CG1116" s="73"/>
      <c r="CH1116" s="73"/>
      <c r="CI1116" s="73"/>
      <c r="CJ1116" s="73"/>
      <c r="CK1116" s="73"/>
      <c r="CL1116" s="73"/>
      <c r="CM1116" s="73"/>
      <c r="CN1116" s="73"/>
      <c r="CO1116" s="73"/>
      <c r="CP1116" s="73"/>
      <c r="CQ1116" s="73"/>
      <c r="CR1116" s="73"/>
      <c r="CS1116" s="73"/>
      <c r="CT1116" s="73"/>
      <c r="CU1116" s="73"/>
      <c r="CV1116" s="73"/>
      <c r="CW1116" s="73"/>
      <c r="CX1116" s="73"/>
      <c r="CY1116" s="73"/>
      <c r="CZ1116" s="73"/>
      <c r="DA1116" s="73"/>
      <c r="DB1116" s="73"/>
      <c r="DC1116" s="73"/>
      <c r="DD1116" s="73"/>
      <c r="DE1116" s="73"/>
      <c r="DF1116" s="73"/>
      <c r="DG1116" s="73"/>
      <c r="DH1116" s="73"/>
      <c r="DI1116" s="73"/>
      <c r="DJ1116" s="73"/>
      <c r="DK1116" s="73"/>
      <c r="DL1116" s="73"/>
      <c r="DM1116" s="73"/>
    </row>
    <row r="1117" spans="1:117" s="48" customFormat="1">
      <c r="A1117" s="73"/>
      <c r="T1117" s="73"/>
      <c r="U1117" s="73"/>
      <c r="V1117" s="73"/>
      <c r="W1117" s="73"/>
      <c r="X1117" s="73"/>
      <c r="Y1117" s="73"/>
      <c r="Z1117" s="73"/>
      <c r="AA1117" s="73"/>
      <c r="AB1117" s="73"/>
      <c r="AC1117" s="73"/>
      <c r="AD1117" s="73"/>
      <c r="AE1117" s="73"/>
      <c r="AF1117" s="73"/>
      <c r="AG1117" s="73"/>
      <c r="AH1117" s="73"/>
      <c r="AI1117" s="73"/>
      <c r="AJ1117" s="73"/>
      <c r="AK1117" s="73"/>
      <c r="AL1117" s="73"/>
      <c r="AM1117" s="73"/>
      <c r="AN1117" s="73"/>
      <c r="AO1117" s="73"/>
      <c r="AP1117" s="73"/>
      <c r="AQ1117" s="73"/>
      <c r="AR1117" s="73"/>
      <c r="AS1117" s="73"/>
      <c r="AT1117" s="73"/>
      <c r="AU1117" s="73"/>
      <c r="AV1117" s="73"/>
      <c r="AW1117" s="73"/>
      <c r="AX1117" s="73"/>
      <c r="AY1117" s="73"/>
      <c r="AZ1117" s="73"/>
      <c r="BA1117" s="73"/>
      <c r="BB1117" s="73"/>
      <c r="BC1117" s="73"/>
      <c r="BD1117" s="73"/>
      <c r="BE1117" s="73"/>
      <c r="BF1117" s="73"/>
      <c r="BG1117" s="73"/>
      <c r="BH1117" s="73"/>
      <c r="BI1117" s="73"/>
      <c r="BJ1117" s="73"/>
      <c r="BK1117" s="73"/>
      <c r="BL1117" s="73"/>
      <c r="BM1117" s="73"/>
      <c r="BN1117" s="73"/>
      <c r="BO1117" s="73"/>
      <c r="BP1117" s="73"/>
      <c r="BQ1117" s="73"/>
      <c r="BR1117" s="73"/>
      <c r="BS1117" s="73"/>
      <c r="BT1117" s="73"/>
      <c r="BU1117" s="73"/>
      <c r="BV1117" s="73"/>
      <c r="BW1117" s="73"/>
      <c r="BX1117" s="73"/>
      <c r="BY1117" s="73"/>
      <c r="BZ1117" s="73"/>
      <c r="CA1117" s="73"/>
      <c r="CB1117" s="73"/>
      <c r="CC1117" s="73"/>
      <c r="CD1117" s="73"/>
      <c r="CE1117" s="73"/>
      <c r="CF1117" s="73"/>
      <c r="CG1117" s="73"/>
      <c r="CH1117" s="73"/>
      <c r="CI1117" s="73"/>
      <c r="CJ1117" s="73"/>
      <c r="CK1117" s="73"/>
      <c r="CL1117" s="73"/>
      <c r="CM1117" s="73"/>
      <c r="CN1117" s="73"/>
      <c r="CO1117" s="73"/>
      <c r="CP1117" s="73"/>
      <c r="CQ1117" s="73"/>
      <c r="CR1117" s="73"/>
      <c r="CS1117" s="73"/>
      <c r="CT1117" s="73"/>
      <c r="CU1117" s="73"/>
      <c r="CV1117" s="73"/>
      <c r="CW1117" s="73"/>
      <c r="CX1117" s="73"/>
      <c r="CY1117" s="73"/>
      <c r="CZ1117" s="73"/>
      <c r="DA1117" s="73"/>
      <c r="DB1117" s="73"/>
      <c r="DC1117" s="73"/>
      <c r="DD1117" s="73"/>
      <c r="DE1117" s="73"/>
      <c r="DF1117" s="73"/>
      <c r="DG1117" s="73"/>
      <c r="DH1117" s="73"/>
      <c r="DI1117" s="73"/>
      <c r="DJ1117" s="73"/>
      <c r="DK1117" s="73"/>
      <c r="DL1117" s="73"/>
      <c r="DM1117" s="73"/>
    </row>
    <row r="1118" spans="1:117" s="48" customFormat="1">
      <c r="A1118" s="73"/>
      <c r="T1118" s="73"/>
      <c r="U1118" s="73"/>
      <c r="V1118" s="73"/>
      <c r="W1118" s="73"/>
      <c r="X1118" s="73"/>
      <c r="Y1118" s="73"/>
      <c r="Z1118" s="73"/>
      <c r="AA1118" s="73"/>
      <c r="AB1118" s="73"/>
      <c r="AC1118" s="73"/>
      <c r="AD1118" s="73"/>
      <c r="AE1118" s="73"/>
      <c r="AF1118" s="73"/>
      <c r="AG1118" s="73"/>
      <c r="AH1118" s="73"/>
      <c r="AI1118" s="73"/>
      <c r="AJ1118" s="73"/>
      <c r="AK1118" s="73"/>
      <c r="AL1118" s="73"/>
      <c r="AM1118" s="73"/>
      <c r="AN1118" s="73"/>
      <c r="AO1118" s="73"/>
      <c r="AP1118" s="73"/>
      <c r="AQ1118" s="73"/>
      <c r="AR1118" s="73"/>
      <c r="AS1118" s="73"/>
      <c r="AT1118" s="73"/>
      <c r="AU1118" s="73"/>
      <c r="AV1118" s="73"/>
      <c r="AW1118" s="73"/>
      <c r="AX1118" s="73"/>
      <c r="AY1118" s="73"/>
      <c r="AZ1118" s="73"/>
      <c r="BA1118" s="73"/>
      <c r="BB1118" s="73"/>
      <c r="BC1118" s="73"/>
      <c r="BD1118" s="73"/>
      <c r="BE1118" s="73"/>
      <c r="BF1118" s="73"/>
      <c r="BG1118" s="73"/>
      <c r="BH1118" s="73"/>
      <c r="BI1118" s="73"/>
      <c r="BJ1118" s="73"/>
      <c r="BK1118" s="73"/>
      <c r="BL1118" s="73"/>
      <c r="BM1118" s="73"/>
      <c r="BN1118" s="73"/>
      <c r="BO1118" s="73"/>
      <c r="BP1118" s="73"/>
      <c r="BQ1118" s="73"/>
      <c r="BR1118" s="73"/>
      <c r="BS1118" s="73"/>
      <c r="BT1118" s="73"/>
      <c r="BU1118" s="73"/>
      <c r="BV1118" s="73"/>
      <c r="BW1118" s="73"/>
      <c r="BX1118" s="73"/>
      <c r="BY1118" s="73"/>
      <c r="BZ1118" s="73"/>
      <c r="CA1118" s="73"/>
      <c r="CB1118" s="73"/>
      <c r="CC1118" s="73"/>
      <c r="CD1118" s="73"/>
      <c r="CE1118" s="73"/>
      <c r="CF1118" s="73"/>
      <c r="CG1118" s="73"/>
      <c r="CH1118" s="73"/>
      <c r="CI1118" s="73"/>
      <c r="CJ1118" s="73"/>
      <c r="CK1118" s="73"/>
      <c r="CL1118" s="73"/>
      <c r="CM1118" s="73"/>
      <c r="CN1118" s="73"/>
      <c r="CO1118" s="73"/>
      <c r="CP1118" s="73"/>
      <c r="CQ1118" s="73"/>
      <c r="CR1118" s="73"/>
      <c r="CS1118" s="73"/>
      <c r="CT1118" s="73"/>
      <c r="CU1118" s="73"/>
      <c r="CV1118" s="73"/>
      <c r="CW1118" s="73"/>
      <c r="CX1118" s="73"/>
      <c r="CY1118" s="73"/>
      <c r="CZ1118" s="73"/>
      <c r="DA1118" s="73"/>
      <c r="DB1118" s="73"/>
      <c r="DC1118" s="73"/>
      <c r="DD1118" s="73"/>
      <c r="DE1118" s="73"/>
      <c r="DF1118" s="73"/>
      <c r="DG1118" s="73"/>
      <c r="DH1118" s="73"/>
      <c r="DI1118" s="73"/>
      <c r="DJ1118" s="73"/>
      <c r="DK1118" s="73"/>
      <c r="DL1118" s="73"/>
      <c r="DM1118" s="73"/>
    </row>
    <row r="1119" spans="1:117" s="48" customFormat="1">
      <c r="A1119" s="73"/>
      <c r="T1119" s="73"/>
      <c r="U1119" s="73"/>
      <c r="V1119" s="73"/>
      <c r="W1119" s="73"/>
      <c r="X1119" s="73"/>
      <c r="Y1119" s="73"/>
      <c r="Z1119" s="73"/>
      <c r="AA1119" s="73"/>
      <c r="AB1119" s="73"/>
      <c r="AC1119" s="73"/>
      <c r="AD1119" s="73"/>
      <c r="AE1119" s="73"/>
      <c r="AF1119" s="73"/>
      <c r="AG1119" s="73"/>
      <c r="AH1119" s="73"/>
      <c r="AI1119" s="73"/>
      <c r="AJ1119" s="73"/>
      <c r="AK1119" s="73"/>
      <c r="AL1119" s="73"/>
      <c r="AM1119" s="73"/>
      <c r="AN1119" s="73"/>
      <c r="AO1119" s="73"/>
      <c r="AP1119" s="73"/>
      <c r="AQ1119" s="73"/>
      <c r="AR1119" s="73"/>
      <c r="AS1119" s="73"/>
      <c r="AT1119" s="73"/>
      <c r="AU1119" s="73"/>
      <c r="AV1119" s="73"/>
      <c r="AW1119" s="73"/>
      <c r="AX1119" s="73"/>
      <c r="AY1119" s="73"/>
      <c r="AZ1119" s="73"/>
      <c r="BA1119" s="73"/>
      <c r="BB1119" s="73"/>
      <c r="BC1119" s="73"/>
      <c r="BD1119" s="73"/>
      <c r="BE1119" s="73"/>
      <c r="BF1119" s="73"/>
      <c r="BG1119" s="73"/>
      <c r="BH1119" s="73"/>
      <c r="BI1119" s="73"/>
      <c r="BJ1119" s="73"/>
      <c r="BK1119" s="73"/>
      <c r="BL1119" s="73"/>
      <c r="BM1119" s="73"/>
      <c r="BN1119" s="73"/>
      <c r="BO1119" s="73"/>
      <c r="BP1119" s="73"/>
      <c r="BQ1119" s="73"/>
      <c r="BR1119" s="73"/>
      <c r="BS1119" s="73"/>
      <c r="BT1119" s="73"/>
      <c r="BU1119" s="73"/>
      <c r="BV1119" s="73"/>
      <c r="BW1119" s="73"/>
      <c r="BX1119" s="73"/>
      <c r="BY1119" s="73"/>
      <c r="BZ1119" s="73"/>
      <c r="CA1119" s="73"/>
      <c r="CB1119" s="73"/>
      <c r="CC1119" s="73"/>
      <c r="CD1119" s="73"/>
      <c r="CE1119" s="73"/>
      <c r="CF1119" s="73"/>
      <c r="CG1119" s="73"/>
      <c r="CH1119" s="73"/>
      <c r="CI1119" s="73"/>
      <c r="CJ1119" s="73"/>
      <c r="CK1119" s="73"/>
      <c r="CL1119" s="73"/>
      <c r="CM1119" s="73"/>
      <c r="CN1119" s="73"/>
      <c r="CO1119" s="73"/>
      <c r="CP1119" s="73"/>
      <c r="CQ1119" s="73"/>
      <c r="CR1119" s="73"/>
      <c r="CS1119" s="73"/>
      <c r="CT1119" s="73"/>
      <c r="CU1119" s="73"/>
      <c r="CV1119" s="73"/>
      <c r="CW1119" s="73"/>
      <c r="CX1119" s="73"/>
      <c r="CY1119" s="73"/>
      <c r="CZ1119" s="73"/>
      <c r="DA1119" s="73"/>
      <c r="DB1119" s="73"/>
      <c r="DC1119" s="73"/>
      <c r="DD1119" s="73"/>
      <c r="DE1119" s="73"/>
      <c r="DF1119" s="73"/>
      <c r="DG1119" s="73"/>
      <c r="DH1119" s="73"/>
      <c r="DI1119" s="73"/>
      <c r="DJ1119" s="73"/>
      <c r="DK1119" s="73"/>
      <c r="DL1119" s="73"/>
      <c r="DM1119" s="73"/>
    </row>
    <row r="1120" spans="1:117" s="48" customFormat="1">
      <c r="A1120" s="73"/>
      <c r="T1120" s="73"/>
      <c r="U1120" s="73"/>
      <c r="V1120" s="73"/>
      <c r="W1120" s="73"/>
      <c r="X1120" s="73"/>
      <c r="Y1120" s="73"/>
      <c r="Z1120" s="73"/>
      <c r="AA1120" s="73"/>
      <c r="AB1120" s="73"/>
      <c r="AC1120" s="73"/>
      <c r="AD1120" s="73"/>
      <c r="AE1120" s="73"/>
      <c r="AF1120" s="73"/>
      <c r="AG1120" s="73"/>
      <c r="AH1120" s="73"/>
      <c r="AI1120" s="73"/>
      <c r="AJ1120" s="73"/>
      <c r="AK1120" s="73"/>
      <c r="AL1120" s="73"/>
      <c r="AM1120" s="73"/>
      <c r="AN1120" s="73"/>
      <c r="AO1120" s="73"/>
      <c r="AP1120" s="73"/>
      <c r="AQ1120" s="73"/>
      <c r="AR1120" s="73"/>
      <c r="AS1120" s="73"/>
      <c r="AT1120" s="73"/>
      <c r="AU1120" s="73"/>
      <c r="AV1120" s="73"/>
      <c r="AW1120" s="73"/>
      <c r="AX1120" s="73"/>
      <c r="AY1120" s="73"/>
      <c r="AZ1120" s="73"/>
      <c r="BA1120" s="73"/>
      <c r="BB1120" s="73"/>
      <c r="BC1120" s="73"/>
      <c r="BD1120" s="73"/>
      <c r="BE1120" s="73"/>
      <c r="BF1120" s="73"/>
      <c r="BG1120" s="73"/>
      <c r="BH1120" s="73"/>
      <c r="BI1120" s="73"/>
      <c r="BJ1120" s="73"/>
      <c r="BK1120" s="73"/>
      <c r="BL1120" s="73"/>
      <c r="BM1120" s="73"/>
      <c r="BN1120" s="73"/>
      <c r="BO1120" s="73"/>
      <c r="BP1120" s="73"/>
      <c r="BQ1120" s="73"/>
      <c r="BR1120" s="73"/>
      <c r="BS1120" s="73"/>
      <c r="BT1120" s="73"/>
      <c r="BU1120" s="73"/>
      <c r="BV1120" s="73"/>
      <c r="BW1120" s="73"/>
      <c r="BX1120" s="73"/>
      <c r="BY1120" s="73"/>
      <c r="BZ1120" s="73"/>
      <c r="CA1120" s="73"/>
      <c r="CB1120" s="73"/>
      <c r="CC1120" s="73"/>
      <c r="CD1120" s="73"/>
      <c r="CE1120" s="73"/>
      <c r="CF1120" s="73"/>
      <c r="CG1120" s="73"/>
      <c r="CH1120" s="73"/>
      <c r="CI1120" s="73"/>
      <c r="CJ1120" s="73"/>
      <c r="CK1120" s="73"/>
      <c r="CL1120" s="73"/>
      <c r="CM1120" s="73"/>
      <c r="CN1120" s="73"/>
      <c r="CO1120" s="73"/>
      <c r="CP1120" s="73"/>
      <c r="CQ1120" s="73"/>
      <c r="CR1120" s="73"/>
      <c r="CS1120" s="73"/>
      <c r="CT1120" s="73"/>
      <c r="CU1120" s="73"/>
      <c r="CV1120" s="73"/>
      <c r="CW1120" s="73"/>
      <c r="CX1120" s="73"/>
      <c r="CY1120" s="73"/>
      <c r="CZ1120" s="73"/>
      <c r="DA1120" s="73"/>
      <c r="DB1120" s="73"/>
      <c r="DC1120" s="73"/>
      <c r="DD1120" s="73"/>
      <c r="DE1120" s="73"/>
      <c r="DF1120" s="73"/>
      <c r="DG1120" s="73"/>
      <c r="DH1120" s="73"/>
      <c r="DI1120" s="73"/>
      <c r="DJ1120" s="73"/>
      <c r="DK1120" s="73"/>
      <c r="DL1120" s="73"/>
      <c r="DM1120" s="73"/>
    </row>
    <row r="1121" spans="1:117" s="48" customFormat="1">
      <c r="A1121" s="73"/>
      <c r="T1121" s="73"/>
      <c r="U1121" s="73"/>
      <c r="V1121" s="73"/>
      <c r="W1121" s="73"/>
      <c r="X1121" s="73"/>
      <c r="Y1121" s="73"/>
      <c r="Z1121" s="73"/>
      <c r="AA1121" s="73"/>
      <c r="AB1121" s="73"/>
      <c r="AC1121" s="73"/>
      <c r="AD1121" s="73"/>
      <c r="AE1121" s="73"/>
      <c r="AF1121" s="73"/>
      <c r="AG1121" s="73"/>
      <c r="AH1121" s="73"/>
      <c r="AI1121" s="73"/>
      <c r="AJ1121" s="73"/>
      <c r="AK1121" s="73"/>
      <c r="AL1121" s="73"/>
      <c r="AM1121" s="73"/>
      <c r="AN1121" s="73"/>
      <c r="AO1121" s="73"/>
      <c r="AP1121" s="73"/>
      <c r="AQ1121" s="73"/>
      <c r="AR1121" s="73"/>
      <c r="AS1121" s="73"/>
      <c r="AT1121" s="73"/>
      <c r="AU1121" s="73"/>
      <c r="AV1121" s="73"/>
      <c r="AW1121" s="73"/>
      <c r="AX1121" s="73"/>
      <c r="AY1121" s="73"/>
      <c r="AZ1121" s="73"/>
      <c r="BA1121" s="73"/>
      <c r="BB1121" s="73"/>
      <c r="BC1121" s="73"/>
      <c r="BD1121" s="73"/>
      <c r="BE1121" s="73"/>
      <c r="BF1121" s="73"/>
      <c r="BG1121" s="73"/>
      <c r="BH1121" s="73"/>
      <c r="BI1121" s="73"/>
      <c r="BJ1121" s="73"/>
      <c r="BK1121" s="73"/>
      <c r="BL1121" s="73"/>
      <c r="BM1121" s="73"/>
      <c r="BN1121" s="73"/>
      <c r="BO1121" s="73"/>
      <c r="BP1121" s="73"/>
      <c r="BQ1121" s="73"/>
      <c r="BR1121" s="73"/>
      <c r="BS1121" s="73"/>
      <c r="BT1121" s="73"/>
      <c r="BU1121" s="73"/>
      <c r="BV1121" s="73"/>
      <c r="BW1121" s="73"/>
      <c r="BX1121" s="73"/>
      <c r="BY1121" s="73"/>
      <c r="BZ1121" s="73"/>
      <c r="CA1121" s="73"/>
      <c r="CB1121" s="73"/>
      <c r="CC1121" s="73"/>
      <c r="CD1121" s="73"/>
      <c r="CE1121" s="73"/>
      <c r="CF1121" s="73"/>
      <c r="CG1121" s="73"/>
      <c r="CH1121" s="73"/>
      <c r="CI1121" s="73"/>
      <c r="CJ1121" s="73"/>
      <c r="CK1121" s="73"/>
      <c r="CL1121" s="73"/>
      <c r="CM1121" s="73"/>
      <c r="CN1121" s="73"/>
      <c r="CO1121" s="73"/>
      <c r="CP1121" s="73"/>
      <c r="CQ1121" s="73"/>
      <c r="CR1121" s="73"/>
      <c r="CS1121" s="73"/>
      <c r="CT1121" s="73"/>
      <c r="CU1121" s="73"/>
      <c r="CV1121" s="73"/>
      <c r="CW1121" s="73"/>
      <c r="CX1121" s="73"/>
      <c r="CY1121" s="73"/>
      <c r="CZ1121" s="73"/>
      <c r="DA1121" s="73"/>
      <c r="DB1121" s="73"/>
      <c r="DC1121" s="73"/>
      <c r="DD1121" s="73"/>
      <c r="DE1121" s="73"/>
      <c r="DF1121" s="73"/>
      <c r="DG1121" s="73"/>
      <c r="DH1121" s="73"/>
      <c r="DI1121" s="73"/>
      <c r="DJ1121" s="73"/>
      <c r="DK1121" s="73"/>
      <c r="DL1121" s="73"/>
      <c r="DM1121" s="73"/>
    </row>
    <row r="1122" spans="1:117" s="48" customFormat="1">
      <c r="A1122" s="73"/>
      <c r="T1122" s="73"/>
      <c r="U1122" s="73"/>
      <c r="V1122" s="73"/>
      <c r="W1122" s="73"/>
      <c r="X1122" s="73"/>
      <c r="Y1122" s="73"/>
      <c r="Z1122" s="73"/>
      <c r="AA1122" s="73"/>
      <c r="AB1122" s="73"/>
      <c r="AC1122" s="73"/>
      <c r="AD1122" s="73"/>
      <c r="AE1122" s="73"/>
      <c r="AF1122" s="73"/>
      <c r="AG1122" s="73"/>
      <c r="AH1122" s="73"/>
      <c r="AI1122" s="73"/>
      <c r="AJ1122" s="73"/>
      <c r="AK1122" s="73"/>
      <c r="AL1122" s="73"/>
      <c r="AM1122" s="73"/>
      <c r="AN1122" s="73"/>
      <c r="AO1122" s="73"/>
      <c r="AP1122" s="73"/>
      <c r="AQ1122" s="73"/>
      <c r="AR1122" s="73"/>
      <c r="AS1122" s="73"/>
      <c r="AT1122" s="73"/>
      <c r="AU1122" s="73"/>
      <c r="AV1122" s="73"/>
      <c r="AW1122" s="73"/>
      <c r="AX1122" s="73"/>
      <c r="AY1122" s="73"/>
      <c r="AZ1122" s="73"/>
      <c r="BA1122" s="73"/>
      <c r="BB1122" s="73"/>
      <c r="BC1122" s="73"/>
      <c r="BD1122" s="73"/>
      <c r="BE1122" s="73"/>
      <c r="BF1122" s="73"/>
      <c r="BG1122" s="73"/>
      <c r="BH1122" s="73"/>
      <c r="BI1122" s="73"/>
      <c r="BJ1122" s="73"/>
      <c r="BK1122" s="73"/>
      <c r="BL1122" s="73"/>
      <c r="BM1122" s="73"/>
      <c r="BN1122" s="73"/>
      <c r="BO1122" s="73"/>
      <c r="BP1122" s="73"/>
      <c r="BQ1122" s="73"/>
      <c r="BR1122" s="73"/>
      <c r="BS1122" s="73"/>
      <c r="BT1122" s="73"/>
      <c r="BU1122" s="73"/>
      <c r="BV1122" s="73"/>
      <c r="BW1122" s="73"/>
      <c r="BX1122" s="73"/>
      <c r="BY1122" s="73"/>
      <c r="BZ1122" s="73"/>
      <c r="CA1122" s="73"/>
      <c r="CB1122" s="73"/>
      <c r="CC1122" s="73"/>
      <c r="CD1122" s="73"/>
      <c r="CE1122" s="73"/>
      <c r="CF1122" s="73"/>
      <c r="CG1122" s="73"/>
      <c r="CH1122" s="73"/>
      <c r="CI1122" s="73"/>
      <c r="CJ1122" s="73"/>
      <c r="CK1122" s="73"/>
      <c r="CL1122" s="73"/>
      <c r="CM1122" s="73"/>
      <c r="CN1122" s="73"/>
      <c r="CO1122" s="73"/>
      <c r="CP1122" s="73"/>
      <c r="CQ1122" s="73"/>
      <c r="CR1122" s="73"/>
      <c r="CS1122" s="73"/>
      <c r="CT1122" s="73"/>
      <c r="CU1122" s="73"/>
      <c r="CV1122" s="73"/>
      <c r="CW1122" s="73"/>
      <c r="CX1122" s="73"/>
      <c r="CY1122" s="73"/>
      <c r="CZ1122" s="73"/>
      <c r="DA1122" s="73"/>
      <c r="DB1122" s="73"/>
      <c r="DC1122" s="73"/>
      <c r="DD1122" s="73"/>
      <c r="DE1122" s="73"/>
      <c r="DF1122" s="73"/>
      <c r="DG1122" s="73"/>
      <c r="DH1122" s="73"/>
      <c r="DI1122" s="73"/>
      <c r="DJ1122" s="73"/>
      <c r="DK1122" s="73"/>
      <c r="DL1122" s="73"/>
      <c r="DM1122" s="73"/>
    </row>
    <row r="1123" spans="1:117" s="48" customFormat="1">
      <c r="A1123" s="73"/>
      <c r="T1123" s="73"/>
      <c r="U1123" s="73"/>
      <c r="V1123" s="73"/>
      <c r="W1123" s="73"/>
      <c r="X1123" s="73"/>
      <c r="Y1123" s="73"/>
      <c r="Z1123" s="73"/>
      <c r="AA1123" s="73"/>
      <c r="AB1123" s="73"/>
      <c r="AC1123" s="73"/>
      <c r="AD1123" s="73"/>
      <c r="AE1123" s="73"/>
      <c r="AF1123" s="73"/>
      <c r="AG1123" s="73"/>
      <c r="AH1123" s="73"/>
      <c r="AI1123" s="73"/>
      <c r="AJ1123" s="73"/>
      <c r="AK1123" s="73"/>
      <c r="AL1123" s="73"/>
      <c r="AM1123" s="73"/>
      <c r="AN1123" s="73"/>
      <c r="AO1123" s="73"/>
      <c r="AP1123" s="73"/>
      <c r="AQ1123" s="73"/>
      <c r="AR1123" s="73"/>
      <c r="AS1123" s="73"/>
      <c r="AT1123" s="73"/>
      <c r="AU1123" s="73"/>
      <c r="AV1123" s="73"/>
      <c r="AW1123" s="73"/>
      <c r="AX1123" s="73"/>
      <c r="AY1123" s="73"/>
      <c r="AZ1123" s="73"/>
      <c r="BA1123" s="73"/>
      <c r="BB1123" s="73"/>
      <c r="BC1123" s="73"/>
      <c r="BD1123" s="73"/>
      <c r="BE1123" s="73"/>
      <c r="BF1123" s="73"/>
      <c r="BG1123" s="73"/>
      <c r="BH1123" s="73"/>
      <c r="BI1123" s="73"/>
      <c r="BJ1123" s="73"/>
      <c r="BK1123" s="73"/>
      <c r="BL1123" s="73"/>
      <c r="BM1123" s="73"/>
      <c r="BN1123" s="73"/>
      <c r="BO1123" s="73"/>
      <c r="BP1123" s="73"/>
      <c r="BQ1123" s="73"/>
      <c r="BR1123" s="73"/>
      <c r="BS1123" s="73"/>
      <c r="BT1123" s="73"/>
      <c r="BU1123" s="73"/>
      <c r="BV1123" s="73"/>
      <c r="BW1123" s="73"/>
      <c r="BX1123" s="73"/>
      <c r="BY1123" s="73"/>
      <c r="BZ1123" s="73"/>
      <c r="CA1123" s="73"/>
      <c r="CB1123" s="73"/>
      <c r="CC1123" s="73"/>
      <c r="CD1123" s="73"/>
      <c r="CE1123" s="73"/>
      <c r="CF1123" s="73"/>
      <c r="CG1123" s="73"/>
      <c r="CH1123" s="73"/>
      <c r="CI1123" s="73"/>
      <c r="CJ1123" s="73"/>
      <c r="CK1123" s="73"/>
      <c r="CL1123" s="73"/>
      <c r="CM1123" s="73"/>
      <c r="CN1123" s="73"/>
      <c r="CO1123" s="73"/>
      <c r="CP1123" s="73"/>
      <c r="CQ1123" s="73"/>
      <c r="CR1123" s="73"/>
      <c r="CS1123" s="73"/>
      <c r="CT1123" s="73"/>
      <c r="CU1123" s="73"/>
      <c r="CV1123" s="73"/>
      <c r="CW1123" s="73"/>
      <c r="CX1123" s="73"/>
      <c r="CY1123" s="73"/>
      <c r="CZ1123" s="73"/>
      <c r="DA1123" s="73"/>
      <c r="DB1123" s="73"/>
      <c r="DC1123" s="73"/>
      <c r="DD1123" s="73"/>
      <c r="DE1123" s="73"/>
      <c r="DF1123" s="73"/>
      <c r="DG1123" s="73"/>
      <c r="DH1123" s="73"/>
      <c r="DI1123" s="73"/>
      <c r="DJ1123" s="73"/>
      <c r="DK1123" s="73"/>
      <c r="DL1123" s="73"/>
      <c r="DM1123" s="73"/>
    </row>
    <row r="1124" spans="1:117" s="48" customFormat="1">
      <c r="A1124" s="73"/>
      <c r="T1124" s="73"/>
      <c r="U1124" s="73"/>
      <c r="V1124" s="73"/>
      <c r="W1124" s="73"/>
      <c r="X1124" s="73"/>
      <c r="Y1124" s="73"/>
      <c r="Z1124" s="73"/>
      <c r="AA1124" s="73"/>
      <c r="AB1124" s="73"/>
      <c r="AC1124" s="73"/>
      <c r="AD1124" s="73"/>
      <c r="AE1124" s="73"/>
      <c r="AF1124" s="73"/>
      <c r="AG1124" s="73"/>
      <c r="AH1124" s="73"/>
      <c r="AI1124" s="73"/>
      <c r="AJ1124" s="73"/>
      <c r="AK1124" s="73"/>
      <c r="AL1124" s="73"/>
      <c r="AM1124" s="73"/>
      <c r="AN1124" s="73"/>
      <c r="AO1124" s="73"/>
      <c r="AP1124" s="73"/>
      <c r="AQ1124" s="73"/>
      <c r="AR1124" s="73"/>
      <c r="AS1124" s="73"/>
      <c r="AT1124" s="73"/>
      <c r="AU1124" s="73"/>
      <c r="AV1124" s="73"/>
      <c r="AW1124" s="73"/>
      <c r="AX1124" s="73"/>
      <c r="AY1124" s="73"/>
      <c r="AZ1124" s="73"/>
      <c r="BA1124" s="73"/>
      <c r="BB1124" s="73"/>
      <c r="BC1124" s="73"/>
      <c r="BD1124" s="73"/>
      <c r="BE1124" s="73"/>
      <c r="BF1124" s="73"/>
      <c r="BG1124" s="73"/>
      <c r="BH1124" s="73"/>
      <c r="BI1124" s="73"/>
      <c r="BJ1124" s="73"/>
      <c r="BK1124" s="73"/>
      <c r="BL1124" s="73"/>
      <c r="BM1124" s="73"/>
      <c r="BN1124" s="73"/>
      <c r="BO1124" s="73"/>
      <c r="BP1124" s="73"/>
      <c r="BQ1124" s="73"/>
      <c r="BR1124" s="73"/>
      <c r="BS1124" s="73"/>
      <c r="BT1124" s="73"/>
      <c r="BU1124" s="73"/>
      <c r="BV1124" s="73"/>
      <c r="BW1124" s="73"/>
      <c r="BX1124" s="73"/>
      <c r="BY1124" s="73"/>
      <c r="BZ1124" s="73"/>
      <c r="CA1124" s="73"/>
      <c r="CB1124" s="73"/>
      <c r="CC1124" s="73"/>
      <c r="CD1124" s="73"/>
      <c r="CE1124" s="73"/>
      <c r="CF1124" s="73"/>
      <c r="CG1124" s="73"/>
      <c r="CH1124" s="73"/>
      <c r="CI1124" s="73"/>
      <c r="CJ1124" s="73"/>
      <c r="CK1124" s="73"/>
      <c r="CL1124" s="73"/>
      <c r="CM1124" s="73"/>
      <c r="CN1124" s="73"/>
      <c r="CO1124" s="73"/>
      <c r="CP1124" s="73"/>
      <c r="CQ1124" s="73"/>
      <c r="CR1124" s="73"/>
      <c r="CS1124" s="73"/>
      <c r="CT1124" s="73"/>
      <c r="CU1124" s="73"/>
      <c r="CV1124" s="73"/>
      <c r="CW1124" s="73"/>
      <c r="CX1124" s="73"/>
      <c r="CY1124" s="73"/>
      <c r="CZ1124" s="73"/>
      <c r="DA1124" s="73"/>
      <c r="DB1124" s="73"/>
      <c r="DC1124" s="73"/>
      <c r="DD1124" s="73"/>
      <c r="DE1124" s="73"/>
      <c r="DF1124" s="73"/>
      <c r="DG1124" s="73"/>
      <c r="DH1124" s="73"/>
      <c r="DI1124" s="73"/>
      <c r="DJ1124" s="73"/>
      <c r="DK1124" s="73"/>
      <c r="DL1124" s="73"/>
      <c r="DM1124" s="73"/>
    </row>
    <row r="1125" spans="1:117" s="48" customFormat="1">
      <c r="A1125" s="73"/>
      <c r="T1125" s="73"/>
      <c r="U1125" s="73"/>
      <c r="V1125" s="73"/>
      <c r="W1125" s="73"/>
      <c r="X1125" s="73"/>
      <c r="Y1125" s="73"/>
      <c r="Z1125" s="73"/>
      <c r="AA1125" s="73"/>
      <c r="AB1125" s="73"/>
      <c r="AC1125" s="73"/>
      <c r="AD1125" s="73"/>
      <c r="AE1125" s="73"/>
      <c r="AF1125" s="73"/>
      <c r="AG1125" s="73"/>
      <c r="AH1125" s="73"/>
      <c r="AI1125" s="73"/>
      <c r="AJ1125" s="73"/>
      <c r="AK1125" s="73"/>
      <c r="AL1125" s="73"/>
      <c r="AM1125" s="73"/>
      <c r="AN1125" s="73"/>
      <c r="AO1125" s="73"/>
      <c r="AP1125" s="73"/>
      <c r="AQ1125" s="73"/>
      <c r="AR1125" s="73"/>
      <c r="AS1125" s="73"/>
      <c r="AT1125" s="73"/>
      <c r="AU1125" s="73"/>
      <c r="AV1125" s="73"/>
      <c r="AW1125" s="73"/>
      <c r="AX1125" s="73"/>
      <c r="AY1125" s="73"/>
      <c r="AZ1125" s="73"/>
      <c r="BA1125" s="73"/>
      <c r="BB1125" s="73"/>
      <c r="BC1125" s="73"/>
      <c r="BD1125" s="73"/>
      <c r="BE1125" s="73"/>
      <c r="BF1125" s="73"/>
      <c r="BG1125" s="73"/>
      <c r="BH1125" s="73"/>
      <c r="BI1125" s="73"/>
      <c r="BJ1125" s="73"/>
      <c r="BK1125" s="73"/>
      <c r="BL1125" s="73"/>
      <c r="BM1125" s="73"/>
      <c r="BN1125" s="73"/>
      <c r="BO1125" s="73"/>
      <c r="BP1125" s="73"/>
      <c r="BQ1125" s="73"/>
      <c r="BR1125" s="73"/>
      <c r="BS1125" s="73"/>
      <c r="BT1125" s="73"/>
      <c r="BU1125" s="73"/>
      <c r="BV1125" s="73"/>
      <c r="BW1125" s="73"/>
      <c r="BX1125" s="73"/>
      <c r="BY1125" s="73"/>
      <c r="BZ1125" s="73"/>
      <c r="CA1125" s="73"/>
      <c r="CB1125" s="73"/>
      <c r="CC1125" s="73"/>
      <c r="CD1125" s="73"/>
      <c r="CE1125" s="73"/>
      <c r="CF1125" s="73"/>
      <c r="CG1125" s="73"/>
      <c r="CH1125" s="73"/>
      <c r="CI1125" s="73"/>
      <c r="CJ1125" s="73"/>
      <c r="CK1125" s="73"/>
      <c r="CL1125" s="73"/>
      <c r="CM1125" s="73"/>
      <c r="CN1125" s="73"/>
      <c r="CO1125" s="73"/>
      <c r="CP1125" s="73"/>
      <c r="CQ1125" s="73"/>
      <c r="CR1125" s="73"/>
      <c r="CS1125" s="73"/>
      <c r="CT1125" s="73"/>
      <c r="CU1125" s="73"/>
      <c r="CV1125" s="73"/>
      <c r="CW1125" s="73"/>
      <c r="CX1125" s="73"/>
      <c r="CY1125" s="73"/>
      <c r="CZ1125" s="73"/>
      <c r="DA1125" s="73"/>
      <c r="DB1125" s="73"/>
      <c r="DC1125" s="73"/>
      <c r="DD1125" s="73"/>
      <c r="DE1125" s="73"/>
      <c r="DF1125" s="73"/>
      <c r="DG1125" s="73"/>
      <c r="DH1125" s="73"/>
      <c r="DI1125" s="73"/>
      <c r="DJ1125" s="73"/>
      <c r="DK1125" s="73"/>
      <c r="DL1125" s="73"/>
      <c r="DM1125" s="73"/>
    </row>
    <row r="1126" spans="1:117" s="48" customFormat="1">
      <c r="A1126" s="73"/>
      <c r="T1126" s="73"/>
      <c r="U1126" s="73"/>
      <c r="V1126" s="73"/>
      <c r="W1126" s="73"/>
      <c r="X1126" s="73"/>
      <c r="Y1126" s="73"/>
      <c r="Z1126" s="73"/>
      <c r="AA1126" s="73"/>
      <c r="AB1126" s="73"/>
      <c r="AC1126" s="73"/>
      <c r="AD1126" s="73"/>
      <c r="AE1126" s="73"/>
      <c r="AF1126" s="73"/>
      <c r="AG1126" s="73"/>
      <c r="AH1126" s="73"/>
      <c r="AI1126" s="73"/>
      <c r="AJ1126" s="73"/>
      <c r="AK1126" s="73"/>
      <c r="AL1126" s="73"/>
      <c r="AM1126" s="73"/>
      <c r="AN1126" s="73"/>
      <c r="AO1126" s="73"/>
      <c r="AP1126" s="73"/>
      <c r="AQ1126" s="73"/>
      <c r="AR1126" s="73"/>
      <c r="AS1126" s="73"/>
      <c r="AT1126" s="73"/>
      <c r="AU1126" s="73"/>
      <c r="AV1126" s="73"/>
      <c r="AW1126" s="73"/>
      <c r="AX1126" s="73"/>
      <c r="AY1126" s="73"/>
      <c r="AZ1126" s="73"/>
      <c r="BA1126" s="73"/>
      <c r="BB1126" s="73"/>
      <c r="BC1126" s="73"/>
      <c r="BD1126" s="73"/>
      <c r="BE1126" s="73"/>
      <c r="BF1126" s="73"/>
      <c r="BG1126" s="73"/>
      <c r="BH1126" s="73"/>
      <c r="BI1126" s="73"/>
      <c r="BJ1126" s="73"/>
      <c r="BK1126" s="73"/>
      <c r="BL1126" s="73"/>
      <c r="BM1126" s="73"/>
      <c r="BN1126" s="73"/>
      <c r="BO1126" s="73"/>
      <c r="BP1126" s="73"/>
      <c r="BQ1126" s="73"/>
      <c r="BR1126" s="73"/>
      <c r="BS1126" s="73"/>
      <c r="BT1126" s="73"/>
      <c r="BU1126" s="73"/>
      <c r="BV1126" s="73"/>
      <c r="BW1126" s="73"/>
      <c r="BX1126" s="73"/>
      <c r="BY1126" s="73"/>
      <c r="BZ1126" s="73"/>
      <c r="CA1126" s="73"/>
      <c r="CB1126" s="73"/>
      <c r="CC1126" s="73"/>
      <c r="CD1126" s="73"/>
      <c r="CE1126" s="73"/>
      <c r="CF1126" s="73"/>
      <c r="CG1126" s="73"/>
      <c r="CH1126" s="73"/>
      <c r="CI1126" s="73"/>
      <c r="CJ1126" s="73"/>
      <c r="CK1126" s="73"/>
      <c r="CL1126" s="73"/>
      <c r="CM1126" s="73"/>
      <c r="CN1126" s="73"/>
      <c r="CO1126" s="73"/>
      <c r="CP1126" s="73"/>
      <c r="CQ1126" s="73"/>
      <c r="CR1126" s="73"/>
      <c r="CS1126" s="73"/>
      <c r="CT1126" s="73"/>
      <c r="CU1126" s="73"/>
      <c r="CV1126" s="73"/>
      <c r="CW1126" s="73"/>
      <c r="CX1126" s="73"/>
      <c r="CY1126" s="73"/>
      <c r="CZ1126" s="73"/>
      <c r="DA1126" s="73"/>
      <c r="DB1126" s="73"/>
      <c r="DC1126" s="73"/>
      <c r="DD1126" s="73"/>
      <c r="DE1126" s="73"/>
      <c r="DF1126" s="73"/>
      <c r="DG1126" s="73"/>
      <c r="DH1126" s="73"/>
      <c r="DI1126" s="73"/>
      <c r="DJ1126" s="73"/>
      <c r="DK1126" s="73"/>
      <c r="DL1126" s="73"/>
      <c r="DM1126" s="73"/>
    </row>
    <row r="1127" spans="1:117" s="48" customFormat="1">
      <c r="A1127" s="73"/>
      <c r="T1127" s="73"/>
      <c r="U1127" s="73"/>
      <c r="V1127" s="73"/>
      <c r="W1127" s="73"/>
      <c r="X1127" s="73"/>
      <c r="Y1127" s="73"/>
      <c r="Z1127" s="73"/>
      <c r="AA1127" s="73"/>
      <c r="AB1127" s="73"/>
      <c r="AC1127" s="73"/>
      <c r="AD1127" s="73"/>
      <c r="AE1127" s="73"/>
      <c r="AF1127" s="73"/>
      <c r="AG1127" s="73"/>
      <c r="AH1127" s="73"/>
      <c r="AI1127" s="73"/>
      <c r="AJ1127" s="73"/>
      <c r="AK1127" s="73"/>
      <c r="AL1127" s="73"/>
      <c r="AM1127" s="73"/>
      <c r="AN1127" s="73"/>
      <c r="AO1127" s="73"/>
      <c r="AP1127" s="73"/>
      <c r="AQ1127" s="73"/>
      <c r="AR1127" s="73"/>
      <c r="AS1127" s="73"/>
      <c r="AT1127" s="73"/>
      <c r="AU1127" s="73"/>
      <c r="AV1127" s="73"/>
      <c r="AW1127" s="73"/>
      <c r="AX1127" s="73"/>
      <c r="AY1127" s="73"/>
      <c r="AZ1127" s="73"/>
      <c r="BA1127" s="73"/>
      <c r="BB1127" s="73"/>
      <c r="BC1127" s="73"/>
      <c r="BD1127" s="73"/>
      <c r="BE1127" s="73"/>
      <c r="BF1127" s="73"/>
      <c r="BG1127" s="73"/>
      <c r="BH1127" s="73"/>
      <c r="BI1127" s="73"/>
      <c r="BJ1127" s="73"/>
      <c r="BK1127" s="73"/>
      <c r="BL1127" s="73"/>
      <c r="BM1127" s="73"/>
      <c r="BN1127" s="73"/>
      <c r="BO1127" s="73"/>
      <c r="BP1127" s="73"/>
      <c r="BQ1127" s="73"/>
      <c r="BR1127" s="73"/>
      <c r="BS1127" s="73"/>
      <c r="BT1127" s="73"/>
      <c r="BU1127" s="73"/>
      <c r="BV1127" s="73"/>
      <c r="BW1127" s="73"/>
      <c r="BX1127" s="73"/>
      <c r="BY1127" s="73"/>
      <c r="BZ1127" s="73"/>
      <c r="CA1127" s="73"/>
      <c r="CB1127" s="73"/>
      <c r="CC1127" s="73"/>
      <c r="CD1127" s="73"/>
      <c r="CE1127" s="73"/>
      <c r="CF1127" s="73"/>
      <c r="CG1127" s="73"/>
      <c r="CH1127" s="73"/>
      <c r="CI1127" s="73"/>
      <c r="CJ1127" s="73"/>
      <c r="CK1127" s="73"/>
      <c r="CL1127" s="73"/>
      <c r="CM1127" s="73"/>
      <c r="CN1127" s="73"/>
      <c r="CO1127" s="73"/>
      <c r="CP1127" s="73"/>
      <c r="CQ1127" s="73"/>
      <c r="CR1127" s="73"/>
      <c r="CS1127" s="73"/>
      <c r="CT1127" s="73"/>
      <c r="CU1127" s="73"/>
      <c r="CV1127" s="73"/>
      <c r="CW1127" s="73"/>
      <c r="CX1127" s="73"/>
      <c r="CY1127" s="73"/>
      <c r="CZ1127" s="73"/>
      <c r="DA1127" s="73"/>
      <c r="DB1127" s="73"/>
      <c r="DC1127" s="73"/>
      <c r="DD1127" s="73"/>
      <c r="DE1127" s="73"/>
      <c r="DF1127" s="73"/>
      <c r="DG1127" s="73"/>
      <c r="DH1127" s="73"/>
      <c r="DI1127" s="73"/>
      <c r="DJ1127" s="73"/>
      <c r="DK1127" s="73"/>
      <c r="DL1127" s="73"/>
      <c r="DM1127" s="73"/>
    </row>
    <row r="1128" spans="1:117" s="48" customFormat="1">
      <c r="A1128" s="73"/>
      <c r="T1128" s="73"/>
      <c r="U1128" s="73"/>
      <c r="V1128" s="73"/>
      <c r="W1128" s="73"/>
      <c r="X1128" s="73"/>
      <c r="Y1128" s="73"/>
      <c r="Z1128" s="73"/>
      <c r="AA1128" s="73"/>
      <c r="AB1128" s="73"/>
      <c r="AC1128" s="73"/>
      <c r="AD1128" s="73"/>
      <c r="AE1128" s="73"/>
      <c r="AF1128" s="73"/>
      <c r="AG1128" s="73"/>
      <c r="AH1128" s="73"/>
      <c r="AI1128" s="73"/>
      <c r="AJ1128" s="73"/>
      <c r="AK1128" s="73"/>
      <c r="AL1128" s="73"/>
      <c r="AM1128" s="73"/>
      <c r="AN1128" s="73"/>
      <c r="AO1128" s="73"/>
      <c r="AP1128" s="73"/>
      <c r="AQ1128" s="73"/>
      <c r="AR1128" s="73"/>
      <c r="AS1128" s="73"/>
      <c r="AT1128" s="73"/>
      <c r="AU1128" s="73"/>
      <c r="AV1128" s="73"/>
      <c r="AW1128" s="73"/>
      <c r="AX1128" s="73"/>
      <c r="AY1128" s="73"/>
      <c r="AZ1128" s="73"/>
      <c r="BA1128" s="73"/>
      <c r="BB1128" s="73"/>
      <c r="BC1128" s="73"/>
      <c r="BD1128" s="73"/>
      <c r="BE1128" s="73"/>
      <c r="BF1128" s="73"/>
      <c r="BG1128" s="73"/>
      <c r="BH1128" s="73"/>
      <c r="BI1128" s="73"/>
      <c r="BJ1128" s="73"/>
      <c r="BK1128" s="73"/>
      <c r="BL1128" s="73"/>
      <c r="BM1128" s="73"/>
      <c r="BN1128" s="73"/>
      <c r="BO1128" s="73"/>
      <c r="BP1128" s="73"/>
      <c r="BQ1128" s="73"/>
      <c r="BR1128" s="73"/>
      <c r="BS1128" s="73"/>
      <c r="BT1128" s="73"/>
      <c r="BU1128" s="73"/>
      <c r="BV1128" s="73"/>
      <c r="BW1128" s="73"/>
      <c r="BX1128" s="73"/>
      <c r="BY1128" s="73"/>
      <c r="BZ1128" s="73"/>
      <c r="CA1128" s="73"/>
      <c r="CB1128" s="73"/>
      <c r="CC1128" s="73"/>
      <c r="CD1128" s="73"/>
      <c r="CE1128" s="73"/>
      <c r="CF1128" s="73"/>
      <c r="CG1128" s="73"/>
      <c r="CH1128" s="73"/>
      <c r="CI1128" s="73"/>
      <c r="CJ1128" s="73"/>
      <c r="CK1128" s="73"/>
      <c r="CL1128" s="73"/>
      <c r="CM1128" s="73"/>
      <c r="CN1128" s="73"/>
      <c r="CO1128" s="73"/>
      <c r="CP1128" s="73"/>
      <c r="CQ1128" s="73"/>
      <c r="CR1128" s="73"/>
      <c r="CS1128" s="73"/>
      <c r="CT1128" s="73"/>
      <c r="CU1128" s="73"/>
      <c r="CV1128" s="73"/>
      <c r="CW1128" s="73"/>
      <c r="CX1128" s="73"/>
      <c r="CY1128" s="73"/>
      <c r="CZ1128" s="73"/>
      <c r="DA1128" s="73"/>
      <c r="DB1128" s="73"/>
      <c r="DC1128" s="73"/>
      <c r="DD1128" s="73"/>
      <c r="DE1128" s="73"/>
      <c r="DF1128" s="73"/>
      <c r="DG1128" s="73"/>
      <c r="DH1128" s="73"/>
      <c r="DI1128" s="73"/>
      <c r="DJ1128" s="73"/>
      <c r="DK1128" s="73"/>
      <c r="DL1128" s="73"/>
      <c r="DM1128" s="73"/>
    </row>
    <row r="1129" spans="1:117" s="48" customFormat="1">
      <c r="A1129" s="73"/>
      <c r="T1129" s="73"/>
      <c r="U1129" s="73"/>
      <c r="V1129" s="73"/>
      <c r="W1129" s="73"/>
      <c r="X1129" s="73"/>
      <c r="Y1129" s="73"/>
      <c r="Z1129" s="73"/>
      <c r="AA1129" s="73"/>
      <c r="AB1129" s="73"/>
      <c r="AC1129" s="73"/>
      <c r="AD1129" s="73"/>
      <c r="AE1129" s="73"/>
      <c r="AF1129" s="73"/>
      <c r="AG1129" s="73"/>
      <c r="AH1129" s="73"/>
      <c r="AI1129" s="73"/>
      <c r="AJ1129" s="73"/>
      <c r="AK1129" s="73"/>
      <c r="AL1129" s="73"/>
      <c r="AM1129" s="73"/>
      <c r="AN1129" s="73"/>
      <c r="AO1129" s="73"/>
      <c r="AP1129" s="73"/>
      <c r="AQ1129" s="73"/>
      <c r="AR1129" s="73"/>
      <c r="AS1129" s="73"/>
      <c r="AT1129" s="73"/>
      <c r="AU1129" s="73"/>
      <c r="AV1129" s="73"/>
      <c r="AW1129" s="73"/>
      <c r="AX1129" s="73"/>
      <c r="AY1129" s="73"/>
      <c r="AZ1129" s="73"/>
      <c r="BA1129" s="73"/>
      <c r="BB1129" s="73"/>
      <c r="BC1129" s="73"/>
      <c r="BD1129" s="73"/>
      <c r="BE1129" s="73"/>
      <c r="BF1129" s="73"/>
      <c r="BG1129" s="73"/>
      <c r="BH1129" s="73"/>
      <c r="BI1129" s="73"/>
      <c r="BJ1129" s="73"/>
      <c r="BK1129" s="73"/>
      <c r="BL1129" s="73"/>
      <c r="BM1129" s="73"/>
      <c r="BN1129" s="73"/>
      <c r="BO1129" s="73"/>
      <c r="BP1129" s="73"/>
      <c r="BQ1129" s="73"/>
      <c r="BR1129" s="73"/>
      <c r="BS1129" s="73"/>
      <c r="BT1129" s="73"/>
      <c r="BU1129" s="73"/>
      <c r="BV1129" s="73"/>
      <c r="BW1129" s="73"/>
      <c r="BX1129" s="73"/>
      <c r="BY1129" s="73"/>
      <c r="BZ1129" s="73"/>
      <c r="CA1129" s="73"/>
      <c r="CB1129" s="73"/>
      <c r="CC1129" s="73"/>
      <c r="CD1129" s="73"/>
      <c r="CE1129" s="73"/>
      <c r="CF1129" s="73"/>
      <c r="CG1129" s="73"/>
      <c r="CH1129" s="73"/>
      <c r="CI1129" s="73"/>
      <c r="CJ1129" s="73"/>
      <c r="CK1129" s="73"/>
      <c r="CL1129" s="73"/>
      <c r="CM1129" s="73"/>
      <c r="CN1129" s="73"/>
      <c r="CO1129" s="73"/>
      <c r="CP1129" s="73"/>
      <c r="CQ1129" s="73"/>
      <c r="CR1129" s="73"/>
      <c r="CS1129" s="73"/>
      <c r="CT1129" s="73"/>
      <c r="CU1129" s="73"/>
      <c r="CV1129" s="73"/>
      <c r="CW1129" s="73"/>
      <c r="CX1129" s="73"/>
      <c r="CY1129" s="73"/>
      <c r="CZ1129" s="73"/>
      <c r="DA1129" s="73"/>
      <c r="DB1129" s="73"/>
      <c r="DC1129" s="73"/>
      <c r="DD1129" s="73"/>
      <c r="DE1129" s="73"/>
      <c r="DF1129" s="73"/>
      <c r="DG1129" s="73"/>
      <c r="DH1129" s="73"/>
      <c r="DI1129" s="73"/>
      <c r="DJ1129" s="73"/>
      <c r="DK1129" s="73"/>
      <c r="DL1129" s="73"/>
      <c r="DM1129" s="73"/>
    </row>
    <row r="1130" spans="1:117" s="48" customFormat="1">
      <c r="A1130" s="73"/>
      <c r="T1130" s="73"/>
      <c r="U1130" s="73"/>
      <c r="V1130" s="73"/>
      <c r="W1130" s="73"/>
      <c r="X1130" s="73"/>
      <c r="Y1130" s="73"/>
      <c r="Z1130" s="73"/>
      <c r="AA1130" s="73"/>
      <c r="AB1130" s="73"/>
      <c r="AC1130" s="73"/>
      <c r="AD1130" s="73"/>
      <c r="AE1130" s="73"/>
      <c r="AF1130" s="73"/>
      <c r="AG1130" s="73"/>
      <c r="AH1130" s="73"/>
      <c r="AI1130" s="73"/>
      <c r="AJ1130" s="73"/>
      <c r="AK1130" s="73"/>
      <c r="AL1130" s="73"/>
      <c r="AM1130" s="73"/>
      <c r="AN1130" s="73"/>
      <c r="AO1130" s="73"/>
      <c r="AP1130" s="73"/>
      <c r="AQ1130" s="73"/>
      <c r="AR1130" s="73"/>
      <c r="AS1130" s="73"/>
      <c r="AT1130" s="73"/>
      <c r="AU1130" s="73"/>
      <c r="AV1130" s="73"/>
      <c r="AW1130" s="73"/>
      <c r="AX1130" s="73"/>
      <c r="AY1130" s="73"/>
      <c r="AZ1130" s="73"/>
      <c r="BA1130" s="73"/>
      <c r="BB1130" s="73"/>
      <c r="BC1130" s="73"/>
      <c r="BD1130" s="73"/>
      <c r="BE1130" s="73"/>
      <c r="BF1130" s="73"/>
      <c r="BG1130" s="73"/>
      <c r="BH1130" s="73"/>
      <c r="BI1130" s="73"/>
      <c r="BJ1130" s="73"/>
      <c r="BK1130" s="73"/>
      <c r="BL1130" s="73"/>
      <c r="BM1130" s="73"/>
      <c r="BN1130" s="73"/>
      <c r="BO1130" s="73"/>
      <c r="BP1130" s="73"/>
      <c r="BQ1130" s="73"/>
      <c r="BR1130" s="73"/>
      <c r="BS1130" s="73"/>
      <c r="BT1130" s="73"/>
      <c r="BU1130" s="73"/>
      <c r="BV1130" s="73"/>
      <c r="BW1130" s="73"/>
      <c r="BX1130" s="73"/>
      <c r="BY1130" s="73"/>
      <c r="BZ1130" s="73"/>
      <c r="CA1130" s="73"/>
      <c r="CB1130" s="73"/>
      <c r="CC1130" s="73"/>
      <c r="CD1130" s="73"/>
      <c r="CE1130" s="73"/>
      <c r="CF1130" s="73"/>
      <c r="CG1130" s="73"/>
      <c r="CH1130" s="73"/>
      <c r="CI1130" s="73"/>
      <c r="CJ1130" s="73"/>
      <c r="CK1130" s="73"/>
      <c r="CL1130" s="73"/>
      <c r="CM1130" s="73"/>
      <c r="CN1130" s="73"/>
      <c r="CO1130" s="73"/>
      <c r="CP1130" s="73"/>
      <c r="CQ1130" s="73"/>
      <c r="CR1130" s="73"/>
      <c r="CS1130" s="73"/>
      <c r="CT1130" s="73"/>
      <c r="CU1130" s="73"/>
      <c r="CV1130" s="73"/>
      <c r="CW1130" s="73"/>
      <c r="CX1130" s="73"/>
      <c r="CY1130" s="73"/>
      <c r="CZ1130" s="73"/>
      <c r="DA1130" s="73"/>
      <c r="DB1130" s="73"/>
      <c r="DC1130" s="73"/>
      <c r="DD1130" s="73"/>
      <c r="DE1130" s="73"/>
      <c r="DF1130" s="73"/>
      <c r="DG1130" s="73"/>
      <c r="DH1130" s="73"/>
      <c r="DI1130" s="73"/>
      <c r="DJ1130" s="73"/>
      <c r="DK1130" s="73"/>
      <c r="DL1130" s="73"/>
      <c r="DM1130" s="73"/>
    </row>
    <row r="1131" spans="1:117" s="48" customFormat="1">
      <c r="A1131" s="73"/>
      <c r="T1131" s="73"/>
      <c r="U1131" s="73"/>
      <c r="V1131" s="73"/>
      <c r="W1131" s="73"/>
      <c r="X1131" s="73"/>
      <c r="Y1131" s="73"/>
      <c r="Z1131" s="73"/>
      <c r="AA1131" s="73"/>
      <c r="AB1131" s="73"/>
      <c r="AC1131" s="73"/>
      <c r="AD1131" s="73"/>
      <c r="AE1131" s="73"/>
      <c r="AF1131" s="73"/>
      <c r="AG1131" s="73"/>
      <c r="AH1131" s="73"/>
      <c r="AI1131" s="73"/>
      <c r="AJ1131" s="73"/>
      <c r="AK1131" s="73"/>
      <c r="AL1131" s="73"/>
      <c r="AM1131" s="73"/>
      <c r="AN1131" s="73"/>
      <c r="AO1131" s="73"/>
      <c r="AP1131" s="73"/>
      <c r="AQ1131" s="73"/>
      <c r="AR1131" s="73"/>
      <c r="AS1131" s="73"/>
      <c r="AT1131" s="73"/>
      <c r="AU1131" s="73"/>
      <c r="AV1131" s="73"/>
      <c r="AW1131" s="73"/>
      <c r="AX1131" s="73"/>
      <c r="AY1131" s="73"/>
      <c r="AZ1131" s="73"/>
      <c r="BA1131" s="73"/>
      <c r="BB1131" s="73"/>
      <c r="BC1131" s="73"/>
      <c r="BD1131" s="73"/>
      <c r="BE1131" s="73"/>
      <c r="BF1131" s="73"/>
      <c r="BG1131" s="73"/>
      <c r="BH1131" s="73"/>
      <c r="BI1131" s="73"/>
      <c r="BJ1131" s="73"/>
      <c r="BK1131" s="73"/>
      <c r="BL1131" s="73"/>
      <c r="BM1131" s="73"/>
      <c r="BN1131" s="73"/>
      <c r="BO1131" s="73"/>
      <c r="BP1131" s="73"/>
      <c r="BQ1131" s="73"/>
      <c r="BR1131" s="73"/>
      <c r="BS1131" s="73"/>
      <c r="BT1131" s="73"/>
      <c r="BU1131" s="73"/>
      <c r="BV1131" s="73"/>
      <c r="BW1131" s="73"/>
      <c r="BX1131" s="73"/>
      <c r="BY1131" s="73"/>
      <c r="BZ1131" s="73"/>
      <c r="CA1131" s="73"/>
      <c r="CB1131" s="73"/>
      <c r="CC1131" s="73"/>
      <c r="CD1131" s="73"/>
      <c r="CE1131" s="73"/>
      <c r="CF1131" s="73"/>
      <c r="CG1131" s="73"/>
      <c r="CH1131" s="73"/>
      <c r="CI1131" s="73"/>
      <c r="CJ1131" s="73"/>
      <c r="CK1131" s="73"/>
      <c r="CL1131" s="73"/>
      <c r="CM1131" s="73"/>
      <c r="CN1131" s="73"/>
      <c r="CO1131" s="73"/>
      <c r="CP1131" s="73"/>
      <c r="CQ1131" s="73"/>
      <c r="CR1131" s="73"/>
      <c r="CS1131" s="73"/>
      <c r="CT1131" s="73"/>
      <c r="CU1131" s="73"/>
      <c r="CV1131" s="73"/>
      <c r="CW1131" s="73"/>
      <c r="CX1131" s="73"/>
      <c r="CY1131" s="73"/>
      <c r="CZ1131" s="73"/>
      <c r="DA1131" s="73"/>
      <c r="DB1131" s="73"/>
      <c r="DC1131" s="73"/>
      <c r="DD1131" s="73"/>
      <c r="DE1131" s="73"/>
      <c r="DF1131" s="73"/>
      <c r="DG1131" s="73"/>
      <c r="DH1131" s="73"/>
      <c r="DI1131" s="73"/>
      <c r="DJ1131" s="73"/>
      <c r="DK1131" s="73"/>
      <c r="DL1131" s="73"/>
      <c r="DM1131" s="73"/>
    </row>
    <row r="1132" spans="1:117" s="48" customFormat="1">
      <c r="A1132" s="73"/>
      <c r="T1132" s="73"/>
      <c r="U1132" s="73"/>
      <c r="V1132" s="73"/>
      <c r="W1132" s="73"/>
      <c r="X1132" s="73"/>
      <c r="Y1132" s="73"/>
      <c r="Z1132" s="73"/>
      <c r="AA1132" s="73"/>
      <c r="AB1132" s="73"/>
      <c r="AC1132" s="73"/>
      <c r="AD1132" s="73"/>
      <c r="AE1132" s="73"/>
      <c r="AF1132" s="73"/>
      <c r="AG1132" s="73"/>
      <c r="AH1132" s="73"/>
      <c r="AI1132" s="73"/>
      <c r="AJ1132" s="73"/>
      <c r="AK1132" s="73"/>
      <c r="AL1132" s="73"/>
      <c r="AM1132" s="73"/>
      <c r="AN1132" s="73"/>
      <c r="AO1132" s="73"/>
      <c r="AP1132" s="73"/>
      <c r="AQ1132" s="73"/>
      <c r="AR1132" s="73"/>
      <c r="AS1132" s="73"/>
      <c r="AT1132" s="73"/>
      <c r="AU1132" s="73"/>
      <c r="AV1132" s="73"/>
      <c r="AW1132" s="73"/>
      <c r="AX1132" s="73"/>
      <c r="AY1132" s="73"/>
      <c r="AZ1132" s="73"/>
      <c r="BA1132" s="73"/>
      <c r="BB1132" s="73"/>
      <c r="BC1132" s="73"/>
      <c r="BD1132" s="73"/>
      <c r="BE1132" s="73"/>
      <c r="BF1132" s="73"/>
      <c r="BG1132" s="73"/>
      <c r="BH1132" s="73"/>
      <c r="BI1132" s="73"/>
      <c r="BJ1132" s="73"/>
      <c r="BK1132" s="73"/>
      <c r="BL1132" s="73"/>
      <c r="BM1132" s="73"/>
      <c r="BN1132" s="73"/>
      <c r="BO1132" s="73"/>
      <c r="BP1132" s="73"/>
      <c r="BQ1132" s="73"/>
      <c r="BR1132" s="73"/>
      <c r="BS1132" s="73"/>
      <c r="BT1132" s="73"/>
      <c r="BU1132" s="73"/>
      <c r="BV1132" s="73"/>
      <c r="BW1132" s="73"/>
      <c r="BX1132" s="73"/>
      <c r="BY1132" s="73"/>
      <c r="BZ1132" s="73"/>
      <c r="CA1132" s="73"/>
      <c r="CB1132" s="73"/>
      <c r="CC1132" s="73"/>
      <c r="CD1132" s="73"/>
      <c r="CE1132" s="73"/>
      <c r="CF1132" s="73"/>
      <c r="CG1132" s="73"/>
      <c r="CH1132" s="73"/>
      <c r="CI1132" s="73"/>
      <c r="CJ1132" s="73"/>
      <c r="CK1132" s="73"/>
      <c r="CL1132" s="73"/>
      <c r="CM1132" s="73"/>
      <c r="CN1132" s="73"/>
      <c r="CO1132" s="73"/>
      <c r="CP1132" s="73"/>
      <c r="CQ1132" s="73"/>
      <c r="CR1132" s="73"/>
      <c r="CS1132" s="73"/>
      <c r="CT1132" s="73"/>
      <c r="CU1132" s="73"/>
      <c r="CV1132" s="73"/>
      <c r="CW1132" s="73"/>
      <c r="CX1132" s="73"/>
      <c r="CY1132" s="73"/>
      <c r="CZ1132" s="73"/>
      <c r="DA1132" s="73"/>
      <c r="DB1132" s="73"/>
      <c r="DC1132" s="73"/>
      <c r="DD1132" s="73"/>
      <c r="DE1132" s="73"/>
      <c r="DF1132" s="73"/>
      <c r="DG1132" s="73"/>
      <c r="DH1132" s="73"/>
      <c r="DI1132" s="73"/>
      <c r="DJ1132" s="73"/>
      <c r="DK1132" s="73"/>
      <c r="DL1132" s="73"/>
      <c r="DM1132" s="73"/>
    </row>
    <row r="1133" spans="1:117" s="48" customFormat="1">
      <c r="A1133" s="73"/>
      <c r="T1133" s="73"/>
      <c r="U1133" s="73"/>
      <c r="V1133" s="73"/>
      <c r="W1133" s="73"/>
      <c r="X1133" s="73"/>
      <c r="Y1133" s="73"/>
      <c r="Z1133" s="73"/>
      <c r="AA1133" s="73"/>
      <c r="AB1133" s="73"/>
      <c r="AC1133" s="73"/>
      <c r="AD1133" s="73"/>
      <c r="AE1133" s="73"/>
      <c r="AF1133" s="73"/>
      <c r="AG1133" s="73"/>
      <c r="AH1133" s="73"/>
      <c r="AI1133" s="73"/>
      <c r="AJ1133" s="73"/>
      <c r="AK1133" s="73"/>
      <c r="AL1133" s="73"/>
      <c r="AM1133" s="73"/>
      <c r="AN1133" s="73"/>
      <c r="AO1133" s="73"/>
      <c r="AP1133" s="73"/>
      <c r="AQ1133" s="73"/>
      <c r="AR1133" s="73"/>
      <c r="AS1133" s="73"/>
      <c r="AT1133" s="73"/>
      <c r="AU1133" s="73"/>
      <c r="AV1133" s="73"/>
      <c r="AW1133" s="73"/>
      <c r="AX1133" s="73"/>
      <c r="AY1133" s="73"/>
      <c r="AZ1133" s="73"/>
      <c r="BA1133" s="73"/>
      <c r="BB1133" s="73"/>
      <c r="BC1133" s="73"/>
      <c r="BD1133" s="73"/>
      <c r="BE1133" s="73"/>
      <c r="BF1133" s="73"/>
      <c r="BG1133" s="73"/>
      <c r="BH1133" s="73"/>
      <c r="BI1133" s="73"/>
      <c r="BJ1133" s="73"/>
      <c r="BK1133" s="73"/>
      <c r="BL1133" s="73"/>
      <c r="BM1133" s="73"/>
      <c r="BN1133" s="73"/>
      <c r="BO1133" s="73"/>
      <c r="BP1133" s="73"/>
      <c r="BQ1133" s="73"/>
      <c r="BR1133" s="73"/>
      <c r="BS1133" s="73"/>
      <c r="BT1133" s="73"/>
      <c r="BU1133" s="73"/>
      <c r="BV1133" s="73"/>
      <c r="BW1133" s="73"/>
      <c r="BX1133" s="73"/>
      <c r="BY1133" s="73"/>
      <c r="BZ1133" s="73"/>
      <c r="CA1133" s="73"/>
      <c r="CB1133" s="73"/>
      <c r="CC1133" s="73"/>
      <c r="CD1133" s="73"/>
      <c r="CE1133" s="73"/>
      <c r="CF1133" s="73"/>
      <c r="CG1133" s="73"/>
      <c r="CH1133" s="73"/>
      <c r="CI1133" s="73"/>
      <c r="CJ1133" s="73"/>
      <c r="CK1133" s="73"/>
      <c r="CL1133" s="73"/>
      <c r="CM1133" s="73"/>
      <c r="CN1133" s="73"/>
      <c r="CO1133" s="73"/>
      <c r="CP1133" s="73"/>
      <c r="CQ1133" s="73"/>
      <c r="CR1133" s="73"/>
      <c r="CS1133" s="73"/>
      <c r="CT1133" s="73"/>
      <c r="CU1133" s="73"/>
      <c r="CV1133" s="73"/>
      <c r="CW1133" s="73"/>
      <c r="CX1133" s="73"/>
      <c r="CY1133" s="73"/>
      <c r="CZ1133" s="73"/>
      <c r="DA1133" s="73"/>
      <c r="DB1133" s="73"/>
      <c r="DC1133" s="73"/>
      <c r="DD1133" s="73"/>
      <c r="DE1133" s="73"/>
      <c r="DF1133" s="73"/>
      <c r="DG1133" s="73"/>
      <c r="DH1133" s="73"/>
      <c r="DI1133" s="73"/>
      <c r="DJ1133" s="73"/>
      <c r="DK1133" s="73"/>
      <c r="DL1133" s="73"/>
      <c r="DM1133" s="73"/>
    </row>
    <row r="1134" spans="1:117" s="48" customFormat="1">
      <c r="A1134" s="73"/>
      <c r="T1134" s="73"/>
      <c r="U1134" s="73"/>
      <c r="V1134" s="73"/>
      <c r="W1134" s="73"/>
      <c r="X1134" s="73"/>
      <c r="Y1134" s="73"/>
      <c r="Z1134" s="73"/>
      <c r="AA1134" s="73"/>
      <c r="AB1134" s="73"/>
      <c r="AC1134" s="73"/>
      <c r="AD1134" s="73"/>
      <c r="AE1134" s="73"/>
      <c r="AF1134" s="73"/>
      <c r="AG1134" s="73"/>
      <c r="AH1134" s="73"/>
      <c r="AI1134" s="73"/>
      <c r="AJ1134" s="73"/>
      <c r="AK1134" s="73"/>
      <c r="AL1134" s="73"/>
      <c r="AM1134" s="73"/>
      <c r="AN1134" s="73"/>
      <c r="AO1134" s="73"/>
      <c r="AP1134" s="73"/>
      <c r="AQ1134" s="73"/>
      <c r="AR1134" s="73"/>
      <c r="AS1134" s="73"/>
      <c r="AT1134" s="73"/>
      <c r="AU1134" s="73"/>
      <c r="AV1134" s="73"/>
      <c r="AW1134" s="73"/>
      <c r="AX1134" s="73"/>
      <c r="AY1134" s="73"/>
      <c r="AZ1134" s="73"/>
      <c r="BA1134" s="73"/>
      <c r="BB1134" s="73"/>
      <c r="BC1134" s="73"/>
      <c r="BD1134" s="73"/>
      <c r="BE1134" s="73"/>
      <c r="BF1134" s="73"/>
      <c r="BG1134" s="73"/>
      <c r="BH1134" s="73"/>
      <c r="BI1134" s="73"/>
      <c r="BJ1134" s="73"/>
      <c r="BK1134" s="73"/>
      <c r="BL1134" s="73"/>
      <c r="BM1134" s="73"/>
      <c r="BN1134" s="73"/>
      <c r="BO1134" s="73"/>
      <c r="BP1134" s="73"/>
      <c r="BQ1134" s="73"/>
      <c r="BR1134" s="73"/>
      <c r="BS1134" s="73"/>
      <c r="BT1134" s="73"/>
      <c r="BU1134" s="73"/>
      <c r="BV1134" s="73"/>
      <c r="BW1134" s="73"/>
      <c r="BX1134" s="73"/>
      <c r="BY1134" s="73"/>
      <c r="BZ1134" s="73"/>
      <c r="CA1134" s="73"/>
      <c r="CB1134" s="73"/>
      <c r="CC1134" s="73"/>
      <c r="CD1134" s="73"/>
      <c r="CE1134" s="73"/>
      <c r="CF1134" s="73"/>
      <c r="CG1134" s="73"/>
      <c r="CH1134" s="73"/>
      <c r="CI1134" s="73"/>
      <c r="CJ1134" s="73"/>
      <c r="CK1134" s="73"/>
      <c r="CL1134" s="73"/>
      <c r="CM1134" s="73"/>
      <c r="CN1134" s="73"/>
      <c r="CO1134" s="73"/>
      <c r="CP1134" s="73"/>
      <c r="CQ1134" s="73"/>
      <c r="CR1134" s="73"/>
      <c r="CS1134" s="73"/>
      <c r="CT1134" s="73"/>
      <c r="CU1134" s="73"/>
      <c r="CV1134" s="73"/>
      <c r="CW1134" s="73"/>
      <c r="CX1134" s="73"/>
      <c r="CY1134" s="73"/>
      <c r="CZ1134" s="73"/>
      <c r="DA1134" s="73"/>
      <c r="DB1134" s="73"/>
      <c r="DC1134" s="73"/>
      <c r="DD1134" s="73"/>
      <c r="DE1134" s="73"/>
      <c r="DF1134" s="73"/>
      <c r="DG1134" s="73"/>
      <c r="DH1134" s="73"/>
      <c r="DI1134" s="73"/>
      <c r="DJ1134" s="73"/>
      <c r="DK1134" s="73"/>
      <c r="DL1134" s="73"/>
      <c r="DM1134" s="73"/>
    </row>
    <row r="1135" spans="1:117" s="48" customFormat="1">
      <c r="A1135" s="73"/>
      <c r="T1135" s="73"/>
      <c r="U1135" s="73"/>
      <c r="V1135" s="73"/>
      <c r="W1135" s="73"/>
      <c r="X1135" s="73"/>
      <c r="Y1135" s="73"/>
      <c r="Z1135" s="73"/>
      <c r="AA1135" s="73"/>
      <c r="AB1135" s="73"/>
      <c r="AC1135" s="73"/>
      <c r="AD1135" s="73"/>
      <c r="AE1135" s="73"/>
      <c r="AF1135" s="73"/>
      <c r="AG1135" s="73"/>
      <c r="AH1135" s="73"/>
      <c r="AI1135" s="73"/>
      <c r="AJ1135" s="73"/>
      <c r="AK1135" s="73"/>
      <c r="AL1135" s="73"/>
      <c r="AM1135" s="73"/>
      <c r="AN1135" s="73"/>
      <c r="AO1135" s="73"/>
      <c r="AP1135" s="73"/>
      <c r="AQ1135" s="73"/>
      <c r="AR1135" s="73"/>
      <c r="AS1135" s="73"/>
      <c r="AT1135" s="73"/>
      <c r="AU1135" s="73"/>
      <c r="AV1135" s="73"/>
      <c r="AW1135" s="73"/>
      <c r="AX1135" s="73"/>
      <c r="AY1135" s="73"/>
      <c r="AZ1135" s="73"/>
      <c r="BA1135" s="73"/>
      <c r="BB1135" s="73"/>
      <c r="BC1135" s="73"/>
      <c r="BD1135" s="73"/>
      <c r="BE1135" s="73"/>
      <c r="BF1135" s="73"/>
      <c r="BG1135" s="73"/>
      <c r="BH1135" s="73"/>
      <c r="BI1135" s="73"/>
      <c r="BJ1135" s="73"/>
      <c r="BK1135" s="73"/>
      <c r="BL1135" s="73"/>
      <c r="BM1135" s="73"/>
      <c r="BN1135" s="73"/>
      <c r="BO1135" s="73"/>
      <c r="BP1135" s="73"/>
      <c r="BQ1135" s="73"/>
      <c r="BR1135" s="73"/>
      <c r="BS1135" s="73"/>
      <c r="BT1135" s="73"/>
      <c r="BU1135" s="73"/>
      <c r="BV1135" s="73"/>
      <c r="BW1135" s="73"/>
      <c r="BX1135" s="73"/>
      <c r="BY1135" s="73"/>
      <c r="BZ1135" s="73"/>
      <c r="CA1135" s="73"/>
      <c r="CB1135" s="73"/>
      <c r="CC1135" s="73"/>
      <c r="CD1135" s="73"/>
      <c r="CE1135" s="73"/>
      <c r="CF1135" s="73"/>
      <c r="CG1135" s="73"/>
      <c r="CH1135" s="73"/>
      <c r="CI1135" s="73"/>
      <c r="CJ1135" s="73"/>
      <c r="CK1135" s="73"/>
      <c r="CL1135" s="73"/>
      <c r="CM1135" s="73"/>
      <c r="CN1135" s="73"/>
      <c r="CO1135" s="73"/>
      <c r="CP1135" s="73"/>
      <c r="CQ1135" s="73"/>
      <c r="CR1135" s="73"/>
      <c r="CS1135" s="73"/>
      <c r="CT1135" s="73"/>
      <c r="CU1135" s="73"/>
      <c r="CV1135" s="73"/>
      <c r="CW1135" s="73"/>
      <c r="CX1135" s="73"/>
      <c r="CY1135" s="73"/>
      <c r="CZ1135" s="73"/>
      <c r="DA1135" s="73"/>
      <c r="DB1135" s="73"/>
      <c r="DC1135" s="73"/>
      <c r="DD1135" s="73"/>
      <c r="DE1135" s="73"/>
      <c r="DF1135" s="73"/>
      <c r="DG1135" s="73"/>
      <c r="DH1135" s="73"/>
      <c r="DI1135" s="73"/>
      <c r="DJ1135" s="73"/>
      <c r="DK1135" s="73"/>
      <c r="DL1135" s="73"/>
      <c r="DM1135" s="73"/>
    </row>
    <row r="1136" spans="1:117" s="48" customFormat="1">
      <c r="A1136" s="73"/>
      <c r="T1136" s="73"/>
      <c r="U1136" s="73"/>
      <c r="V1136" s="73"/>
      <c r="W1136" s="73"/>
      <c r="X1136" s="73"/>
      <c r="Y1136" s="73"/>
      <c r="Z1136" s="73"/>
      <c r="AA1136" s="73"/>
      <c r="AB1136" s="73"/>
      <c r="AC1136" s="73"/>
      <c r="AD1136" s="73"/>
      <c r="AE1136" s="73"/>
      <c r="AF1136" s="73"/>
      <c r="AG1136" s="73"/>
      <c r="AH1136" s="73"/>
      <c r="AI1136" s="73"/>
      <c r="AJ1136" s="73"/>
      <c r="AK1136" s="73"/>
      <c r="AL1136" s="73"/>
      <c r="AM1136" s="73"/>
      <c r="AN1136" s="73"/>
      <c r="AO1136" s="73"/>
      <c r="AP1136" s="73"/>
      <c r="AQ1136" s="73"/>
      <c r="AR1136" s="73"/>
      <c r="AS1136" s="73"/>
      <c r="AT1136" s="73"/>
      <c r="AU1136" s="73"/>
      <c r="AV1136" s="73"/>
      <c r="AW1136" s="73"/>
      <c r="AX1136" s="73"/>
      <c r="AY1136" s="73"/>
      <c r="AZ1136" s="73"/>
      <c r="BA1136" s="73"/>
      <c r="BB1136" s="73"/>
      <c r="BC1136" s="73"/>
      <c r="BD1136" s="73"/>
      <c r="BE1136" s="73"/>
      <c r="BF1136" s="73"/>
      <c r="BG1136" s="73"/>
      <c r="BH1136" s="73"/>
      <c r="BI1136" s="73"/>
      <c r="BJ1136" s="73"/>
      <c r="BK1136" s="73"/>
      <c r="BL1136" s="73"/>
      <c r="BM1136" s="73"/>
      <c r="BN1136" s="73"/>
      <c r="BO1136" s="73"/>
      <c r="BP1136" s="73"/>
      <c r="BQ1136" s="73"/>
      <c r="BR1136" s="73"/>
      <c r="BS1136" s="73"/>
      <c r="BT1136" s="73"/>
      <c r="BU1136" s="73"/>
      <c r="BV1136" s="73"/>
      <c r="BW1136" s="73"/>
      <c r="BX1136" s="73"/>
      <c r="BY1136" s="73"/>
      <c r="BZ1136" s="73"/>
      <c r="CA1136" s="73"/>
      <c r="CB1136" s="73"/>
      <c r="CC1136" s="73"/>
      <c r="CD1136" s="73"/>
      <c r="CE1136" s="73"/>
      <c r="CF1136" s="73"/>
      <c r="CG1136" s="73"/>
      <c r="CH1136" s="73"/>
      <c r="CI1136" s="73"/>
      <c r="CJ1136" s="73"/>
      <c r="CK1136" s="73"/>
      <c r="CL1136" s="73"/>
      <c r="CM1136" s="73"/>
      <c r="CN1136" s="73"/>
      <c r="CO1136" s="73"/>
      <c r="CP1136" s="73"/>
      <c r="CQ1136" s="73"/>
      <c r="CR1136" s="73"/>
      <c r="CS1136" s="73"/>
      <c r="CT1136" s="73"/>
      <c r="CU1136" s="73"/>
      <c r="CV1136" s="73"/>
      <c r="CW1136" s="73"/>
      <c r="CX1136" s="73"/>
      <c r="CY1136" s="73"/>
      <c r="CZ1136" s="73"/>
      <c r="DA1136" s="73"/>
      <c r="DB1136" s="73"/>
      <c r="DC1136" s="73"/>
      <c r="DD1136" s="73"/>
      <c r="DE1136" s="73"/>
      <c r="DF1136" s="73"/>
      <c r="DG1136" s="73"/>
      <c r="DH1136" s="73"/>
      <c r="DI1136" s="73"/>
      <c r="DJ1136" s="73"/>
      <c r="DK1136" s="73"/>
      <c r="DL1136" s="73"/>
      <c r="DM1136" s="73"/>
    </row>
    <row r="1137" spans="1:117" s="48" customFormat="1">
      <c r="A1137" s="73"/>
      <c r="T1137" s="73"/>
      <c r="U1137" s="73"/>
      <c r="V1137" s="73"/>
      <c r="W1137" s="73"/>
      <c r="X1137" s="73"/>
      <c r="Y1137" s="73"/>
      <c r="Z1137" s="73"/>
      <c r="AA1137" s="73"/>
      <c r="AB1137" s="73"/>
      <c r="AC1137" s="73"/>
      <c r="AD1137" s="73"/>
      <c r="AE1137" s="73"/>
      <c r="AF1137" s="73"/>
      <c r="AG1137" s="73"/>
      <c r="AH1137" s="73"/>
      <c r="AI1137" s="73"/>
      <c r="AJ1137" s="73"/>
      <c r="AK1137" s="73"/>
      <c r="AL1137" s="73"/>
      <c r="AM1137" s="73"/>
      <c r="AN1137" s="73"/>
      <c r="AO1137" s="73"/>
      <c r="AP1137" s="73"/>
      <c r="AQ1137" s="73"/>
      <c r="AR1137" s="73"/>
      <c r="AS1137" s="73"/>
      <c r="AT1137" s="73"/>
      <c r="AU1137" s="73"/>
      <c r="AV1137" s="73"/>
      <c r="AW1137" s="73"/>
      <c r="AX1137" s="73"/>
      <c r="AY1137" s="73"/>
      <c r="AZ1137" s="73"/>
      <c r="BA1137" s="73"/>
      <c r="BB1137" s="73"/>
      <c r="BC1137" s="73"/>
      <c r="BD1137" s="73"/>
      <c r="BE1137" s="73"/>
      <c r="BF1137" s="73"/>
      <c r="BG1137" s="73"/>
      <c r="BH1137" s="73"/>
      <c r="BI1137" s="73"/>
      <c r="BJ1137" s="73"/>
      <c r="BK1137" s="73"/>
      <c r="BL1137" s="73"/>
      <c r="BM1137" s="73"/>
      <c r="BN1137" s="73"/>
      <c r="BO1137" s="73"/>
      <c r="BP1137" s="73"/>
      <c r="BQ1137" s="73"/>
      <c r="BR1137" s="73"/>
      <c r="BS1137" s="73"/>
      <c r="BT1137" s="73"/>
      <c r="BU1137" s="73"/>
      <c r="BV1137" s="73"/>
      <c r="BW1137" s="73"/>
      <c r="BX1137" s="73"/>
      <c r="BY1137" s="73"/>
      <c r="BZ1137" s="73"/>
      <c r="CA1137" s="73"/>
      <c r="CB1137" s="73"/>
      <c r="CC1137" s="73"/>
      <c r="CD1137" s="73"/>
      <c r="CE1137" s="73"/>
      <c r="CF1137" s="73"/>
      <c r="CG1137" s="73"/>
      <c r="CH1137" s="73"/>
      <c r="CI1137" s="73"/>
      <c r="CJ1137" s="73"/>
      <c r="CK1137" s="73"/>
      <c r="CL1137" s="73"/>
      <c r="CM1137" s="73"/>
      <c r="CN1137" s="73"/>
      <c r="CO1137" s="73"/>
      <c r="CP1137" s="73"/>
      <c r="CQ1137" s="73"/>
      <c r="CR1137" s="73"/>
      <c r="CS1137" s="73"/>
      <c r="CT1137" s="73"/>
      <c r="CU1137" s="73"/>
      <c r="CV1137" s="73"/>
      <c r="CW1137" s="73"/>
      <c r="CX1137" s="73"/>
      <c r="CY1137" s="73"/>
      <c r="CZ1137" s="73"/>
      <c r="DA1137" s="73"/>
      <c r="DB1137" s="73"/>
      <c r="DC1137" s="73"/>
      <c r="DD1137" s="73"/>
      <c r="DE1137" s="73"/>
      <c r="DF1137" s="73"/>
      <c r="DG1137" s="73"/>
      <c r="DH1137" s="73"/>
      <c r="DI1137" s="73"/>
      <c r="DJ1137" s="73"/>
      <c r="DK1137" s="73"/>
      <c r="DL1137" s="73"/>
      <c r="DM1137" s="73"/>
    </row>
    <row r="1138" spans="1:117" s="48" customFormat="1">
      <c r="A1138" s="73"/>
      <c r="T1138" s="73"/>
      <c r="U1138" s="73"/>
      <c r="V1138" s="73"/>
      <c r="W1138" s="73"/>
      <c r="X1138" s="73"/>
      <c r="Y1138" s="73"/>
      <c r="Z1138" s="73"/>
      <c r="AA1138" s="73"/>
      <c r="AB1138" s="73"/>
      <c r="AC1138" s="73"/>
      <c r="AD1138" s="73"/>
      <c r="AE1138" s="73"/>
      <c r="AF1138" s="73"/>
      <c r="AG1138" s="73"/>
      <c r="AH1138" s="73"/>
      <c r="AI1138" s="73"/>
      <c r="AJ1138" s="73"/>
      <c r="AK1138" s="73"/>
      <c r="AL1138" s="73"/>
      <c r="AM1138" s="73"/>
      <c r="AN1138" s="73"/>
      <c r="AO1138" s="73"/>
      <c r="AP1138" s="73"/>
      <c r="AQ1138" s="73"/>
      <c r="AR1138" s="73"/>
      <c r="AS1138" s="73"/>
      <c r="AT1138" s="73"/>
      <c r="AU1138" s="73"/>
      <c r="AV1138" s="73"/>
      <c r="AW1138" s="73"/>
      <c r="AX1138" s="73"/>
      <c r="AY1138" s="73"/>
      <c r="AZ1138" s="73"/>
      <c r="BA1138" s="73"/>
      <c r="BB1138" s="73"/>
      <c r="BC1138" s="73"/>
      <c r="BD1138" s="73"/>
      <c r="BE1138" s="73"/>
      <c r="BF1138" s="73"/>
      <c r="BG1138" s="73"/>
      <c r="BH1138" s="73"/>
      <c r="BI1138" s="73"/>
      <c r="BJ1138" s="73"/>
      <c r="BK1138" s="73"/>
      <c r="BL1138" s="73"/>
      <c r="BM1138" s="73"/>
      <c r="BN1138" s="73"/>
      <c r="BO1138" s="73"/>
      <c r="BP1138" s="73"/>
      <c r="BQ1138" s="73"/>
      <c r="BR1138" s="73"/>
      <c r="BS1138" s="73"/>
      <c r="BT1138" s="73"/>
      <c r="BU1138" s="73"/>
      <c r="BV1138" s="73"/>
      <c r="BW1138" s="73"/>
      <c r="BX1138" s="73"/>
      <c r="BY1138" s="73"/>
      <c r="BZ1138" s="73"/>
      <c r="CA1138" s="73"/>
      <c r="CB1138" s="73"/>
      <c r="CC1138" s="73"/>
      <c r="CD1138" s="73"/>
      <c r="CE1138" s="73"/>
      <c r="CF1138" s="73"/>
      <c r="CG1138" s="73"/>
      <c r="CH1138" s="73"/>
      <c r="CI1138" s="73"/>
      <c r="CJ1138" s="73"/>
      <c r="CK1138" s="73"/>
      <c r="CL1138" s="73"/>
      <c r="CM1138" s="73"/>
      <c r="CN1138" s="73"/>
      <c r="CO1138" s="73"/>
      <c r="CP1138" s="73"/>
      <c r="CQ1138" s="73"/>
      <c r="CR1138" s="73"/>
      <c r="CS1138" s="73"/>
      <c r="CT1138" s="73"/>
      <c r="CU1138" s="73"/>
      <c r="CV1138" s="73"/>
      <c r="CW1138" s="73"/>
      <c r="CX1138" s="73"/>
      <c r="CY1138" s="73"/>
      <c r="CZ1138" s="73"/>
      <c r="DA1138" s="73"/>
      <c r="DB1138" s="73"/>
      <c r="DC1138" s="73"/>
      <c r="DD1138" s="73"/>
      <c r="DE1138" s="73"/>
      <c r="DF1138" s="73"/>
      <c r="DG1138" s="73"/>
      <c r="DH1138" s="73"/>
      <c r="DI1138" s="73"/>
      <c r="DJ1138" s="73"/>
      <c r="DK1138" s="73"/>
      <c r="DL1138" s="73"/>
      <c r="DM1138" s="73"/>
    </row>
    <row r="1139" spans="1:117" s="48" customFormat="1">
      <c r="A1139" s="73"/>
      <c r="T1139" s="73"/>
      <c r="U1139" s="73"/>
      <c r="V1139" s="73"/>
      <c r="W1139" s="73"/>
      <c r="X1139" s="73"/>
      <c r="Y1139" s="73"/>
      <c r="Z1139" s="73"/>
      <c r="AA1139" s="73"/>
      <c r="AB1139" s="73"/>
      <c r="AC1139" s="73"/>
      <c r="AD1139" s="73"/>
      <c r="AE1139" s="73"/>
      <c r="AF1139" s="73"/>
      <c r="AG1139" s="73"/>
      <c r="AH1139" s="73"/>
      <c r="AI1139" s="73"/>
      <c r="AJ1139" s="73"/>
      <c r="AK1139" s="73"/>
      <c r="AL1139" s="73"/>
      <c r="AM1139" s="73"/>
      <c r="AN1139" s="73"/>
      <c r="AO1139" s="73"/>
      <c r="AP1139" s="73"/>
      <c r="AQ1139" s="73"/>
      <c r="AR1139" s="73"/>
      <c r="AS1139" s="73"/>
      <c r="AT1139" s="73"/>
      <c r="AU1139" s="73"/>
      <c r="AV1139" s="73"/>
      <c r="AW1139" s="73"/>
      <c r="AX1139" s="73"/>
      <c r="AY1139" s="73"/>
      <c r="AZ1139" s="73"/>
      <c r="BA1139" s="73"/>
      <c r="BB1139" s="73"/>
      <c r="BC1139" s="73"/>
      <c r="BD1139" s="73"/>
      <c r="BE1139" s="73"/>
      <c r="BF1139" s="73"/>
      <c r="BG1139" s="73"/>
      <c r="BH1139" s="73"/>
      <c r="BI1139" s="73"/>
      <c r="BJ1139" s="73"/>
      <c r="BK1139" s="73"/>
      <c r="BL1139" s="73"/>
      <c r="BM1139" s="73"/>
      <c r="BN1139" s="73"/>
      <c r="BO1139" s="73"/>
      <c r="BP1139" s="73"/>
      <c r="BQ1139" s="73"/>
      <c r="BR1139" s="73"/>
      <c r="BS1139" s="73"/>
      <c r="BT1139" s="73"/>
      <c r="BU1139" s="73"/>
      <c r="BV1139" s="73"/>
      <c r="BW1139" s="73"/>
      <c r="BX1139" s="73"/>
      <c r="BY1139" s="73"/>
      <c r="BZ1139" s="73"/>
      <c r="CA1139" s="73"/>
      <c r="CB1139" s="73"/>
      <c r="CC1139" s="73"/>
      <c r="CD1139" s="73"/>
      <c r="CE1139" s="73"/>
      <c r="CF1139" s="73"/>
      <c r="CG1139" s="73"/>
      <c r="CH1139" s="73"/>
      <c r="CI1139" s="73"/>
      <c r="CJ1139" s="73"/>
      <c r="CK1139" s="73"/>
      <c r="CL1139" s="73"/>
      <c r="CM1139" s="73"/>
      <c r="CN1139" s="73"/>
      <c r="CO1139" s="73"/>
      <c r="CP1139" s="73"/>
      <c r="CQ1139" s="73"/>
      <c r="CR1139" s="73"/>
      <c r="CS1139" s="73"/>
      <c r="CT1139" s="73"/>
      <c r="CU1139" s="73"/>
      <c r="CV1139" s="73"/>
      <c r="CW1139" s="73"/>
      <c r="CX1139" s="73"/>
      <c r="CY1139" s="73"/>
      <c r="CZ1139" s="73"/>
      <c r="DA1139" s="73"/>
      <c r="DB1139" s="73"/>
      <c r="DC1139" s="73"/>
      <c r="DD1139" s="73"/>
      <c r="DE1139" s="73"/>
      <c r="DF1139" s="73"/>
      <c r="DG1139" s="73"/>
      <c r="DH1139" s="73"/>
      <c r="DI1139" s="73"/>
      <c r="DJ1139" s="73"/>
      <c r="DK1139" s="73"/>
      <c r="DL1139" s="73"/>
      <c r="DM1139" s="73"/>
    </row>
    <row r="1140" spans="1:117" s="48" customFormat="1">
      <c r="A1140" s="73"/>
      <c r="T1140" s="73"/>
      <c r="U1140" s="73"/>
      <c r="V1140" s="73"/>
      <c r="W1140" s="73"/>
      <c r="X1140" s="73"/>
      <c r="Y1140" s="73"/>
      <c r="Z1140" s="73"/>
      <c r="AA1140" s="73"/>
      <c r="AB1140" s="73"/>
      <c r="AC1140" s="73"/>
      <c r="AD1140" s="73"/>
      <c r="AE1140" s="73"/>
      <c r="AF1140" s="73"/>
      <c r="AG1140" s="73"/>
      <c r="AH1140" s="73"/>
      <c r="AI1140" s="73"/>
      <c r="AJ1140" s="73"/>
      <c r="AK1140" s="73"/>
      <c r="AL1140" s="73"/>
      <c r="AM1140" s="73"/>
      <c r="AN1140" s="73"/>
      <c r="AO1140" s="73"/>
      <c r="AP1140" s="73"/>
      <c r="AQ1140" s="73"/>
      <c r="AR1140" s="73"/>
      <c r="AS1140" s="73"/>
      <c r="AT1140" s="73"/>
      <c r="AU1140" s="73"/>
      <c r="AV1140" s="73"/>
      <c r="AW1140" s="73"/>
      <c r="AX1140" s="73"/>
      <c r="AY1140" s="73"/>
      <c r="AZ1140" s="73"/>
      <c r="BA1140" s="73"/>
      <c r="BB1140" s="73"/>
      <c r="BC1140" s="73"/>
      <c r="BD1140" s="73"/>
      <c r="BE1140" s="73"/>
      <c r="BF1140" s="73"/>
      <c r="BG1140" s="73"/>
      <c r="BH1140" s="73"/>
      <c r="BI1140" s="73"/>
      <c r="BJ1140" s="73"/>
      <c r="BK1140" s="73"/>
      <c r="BL1140" s="73"/>
      <c r="BM1140" s="73"/>
      <c r="BN1140" s="73"/>
      <c r="BO1140" s="73"/>
      <c r="BP1140" s="73"/>
      <c r="BQ1140" s="73"/>
      <c r="BR1140" s="73"/>
      <c r="BS1140" s="73"/>
      <c r="BT1140" s="73"/>
      <c r="BU1140" s="73"/>
      <c r="BV1140" s="73"/>
      <c r="BW1140" s="73"/>
      <c r="BX1140" s="73"/>
      <c r="BY1140" s="73"/>
      <c r="BZ1140" s="73"/>
      <c r="CA1140" s="73"/>
      <c r="CB1140" s="73"/>
      <c r="CC1140" s="73"/>
      <c r="CD1140" s="73"/>
      <c r="CE1140" s="73"/>
      <c r="CF1140" s="73"/>
      <c r="CG1140" s="73"/>
      <c r="CH1140" s="73"/>
      <c r="CI1140" s="73"/>
      <c r="CJ1140" s="73"/>
      <c r="CK1140" s="73"/>
      <c r="CL1140" s="73"/>
      <c r="CM1140" s="73"/>
      <c r="CN1140" s="73"/>
      <c r="CO1140" s="73"/>
      <c r="CP1140" s="73"/>
      <c r="CQ1140" s="73"/>
      <c r="CR1140" s="73"/>
      <c r="CS1140" s="73"/>
      <c r="CT1140" s="73"/>
      <c r="CU1140" s="73"/>
      <c r="CV1140" s="73"/>
      <c r="CW1140" s="73"/>
      <c r="CX1140" s="73"/>
      <c r="CY1140" s="73"/>
      <c r="CZ1140" s="73"/>
      <c r="DA1140" s="73"/>
      <c r="DB1140" s="73"/>
      <c r="DC1140" s="73"/>
      <c r="DD1140" s="73"/>
      <c r="DE1140" s="73"/>
      <c r="DF1140" s="73"/>
      <c r="DG1140" s="73"/>
      <c r="DH1140" s="73"/>
      <c r="DI1140" s="73"/>
      <c r="DJ1140" s="73"/>
      <c r="DK1140" s="73"/>
      <c r="DL1140" s="73"/>
      <c r="DM1140" s="73"/>
    </row>
    <row r="1141" spans="1:117" s="48" customFormat="1">
      <c r="A1141" s="73"/>
      <c r="T1141" s="73"/>
      <c r="U1141" s="73"/>
      <c r="V1141" s="73"/>
      <c r="W1141" s="73"/>
      <c r="X1141" s="73"/>
      <c r="Y1141" s="73"/>
      <c r="Z1141" s="73"/>
      <c r="AA1141" s="73"/>
      <c r="AB1141" s="73"/>
      <c r="AC1141" s="73"/>
      <c r="AD1141" s="73"/>
      <c r="AE1141" s="73"/>
      <c r="AF1141" s="73"/>
      <c r="AG1141" s="73"/>
      <c r="AH1141" s="73"/>
      <c r="AI1141" s="73"/>
      <c r="AJ1141" s="73"/>
      <c r="AK1141" s="73"/>
      <c r="AL1141" s="73"/>
      <c r="AM1141" s="73"/>
      <c r="AN1141" s="73"/>
      <c r="AO1141" s="73"/>
      <c r="AP1141" s="73"/>
      <c r="AQ1141" s="73"/>
      <c r="AR1141" s="73"/>
      <c r="AS1141" s="73"/>
      <c r="AT1141" s="73"/>
      <c r="AU1141" s="73"/>
      <c r="AV1141" s="73"/>
      <c r="AW1141" s="73"/>
      <c r="AX1141" s="73"/>
      <c r="AY1141" s="73"/>
      <c r="AZ1141" s="73"/>
      <c r="BA1141" s="73"/>
      <c r="BB1141" s="73"/>
      <c r="BC1141" s="73"/>
      <c r="BD1141" s="73"/>
      <c r="BE1141" s="73"/>
      <c r="BF1141" s="73"/>
      <c r="BG1141" s="73"/>
      <c r="BH1141" s="73"/>
      <c r="BI1141" s="73"/>
      <c r="BJ1141" s="73"/>
      <c r="BK1141" s="73"/>
      <c r="BL1141" s="73"/>
      <c r="BM1141" s="73"/>
      <c r="BN1141" s="73"/>
      <c r="BO1141" s="73"/>
      <c r="BP1141" s="73"/>
      <c r="BQ1141" s="73"/>
      <c r="BR1141" s="73"/>
      <c r="BS1141" s="73"/>
      <c r="BT1141" s="73"/>
      <c r="BU1141" s="73"/>
      <c r="BV1141" s="73"/>
      <c r="BW1141" s="73"/>
      <c r="BX1141" s="73"/>
      <c r="BY1141" s="73"/>
      <c r="BZ1141" s="73"/>
      <c r="CA1141" s="73"/>
      <c r="CB1141" s="73"/>
      <c r="CC1141" s="73"/>
      <c r="CD1141" s="73"/>
      <c r="CE1141" s="73"/>
      <c r="CF1141" s="73"/>
      <c r="CG1141" s="73"/>
      <c r="CH1141" s="73"/>
      <c r="CI1141" s="73"/>
      <c r="CJ1141" s="73"/>
      <c r="CK1141" s="73"/>
      <c r="CL1141" s="73"/>
      <c r="CM1141" s="73"/>
      <c r="CN1141" s="73"/>
      <c r="CO1141" s="73"/>
      <c r="CP1141" s="73"/>
      <c r="CQ1141" s="73"/>
      <c r="CR1141" s="73"/>
      <c r="CS1141" s="73"/>
      <c r="CT1141" s="73"/>
      <c r="CU1141" s="73"/>
      <c r="CV1141" s="73"/>
      <c r="CW1141" s="73"/>
      <c r="CX1141" s="73"/>
      <c r="CY1141" s="73"/>
      <c r="CZ1141" s="73"/>
      <c r="DA1141" s="73"/>
      <c r="DB1141" s="73"/>
      <c r="DC1141" s="73"/>
      <c r="DD1141" s="73"/>
      <c r="DE1141" s="73"/>
      <c r="DF1141" s="73"/>
      <c r="DG1141" s="73"/>
      <c r="DH1141" s="73"/>
      <c r="DI1141" s="73"/>
      <c r="DJ1141" s="73"/>
      <c r="DK1141" s="73"/>
      <c r="DL1141" s="73"/>
      <c r="DM1141" s="73"/>
    </row>
    <row r="1142" spans="1:117" s="48" customFormat="1">
      <c r="A1142" s="73"/>
      <c r="T1142" s="73"/>
      <c r="U1142" s="73"/>
      <c r="V1142" s="73"/>
      <c r="W1142" s="73"/>
      <c r="X1142" s="73"/>
      <c r="Y1142" s="73"/>
      <c r="Z1142" s="73"/>
      <c r="AA1142" s="73"/>
      <c r="AB1142" s="73"/>
      <c r="AC1142" s="73"/>
      <c r="AD1142" s="73"/>
      <c r="AE1142" s="73"/>
      <c r="AF1142" s="73"/>
      <c r="AG1142" s="73"/>
      <c r="AH1142" s="73"/>
      <c r="AI1142" s="73"/>
      <c r="AJ1142" s="73"/>
      <c r="AK1142" s="73"/>
      <c r="AL1142" s="73"/>
      <c r="AM1142" s="73"/>
      <c r="AN1142" s="73"/>
      <c r="AO1142" s="73"/>
      <c r="AP1142" s="73"/>
      <c r="AQ1142" s="73"/>
      <c r="AR1142" s="73"/>
      <c r="AS1142" s="73"/>
      <c r="AT1142" s="73"/>
      <c r="AU1142" s="73"/>
      <c r="AV1142" s="73"/>
      <c r="AW1142" s="73"/>
      <c r="AX1142" s="73"/>
      <c r="AY1142" s="73"/>
      <c r="AZ1142" s="73"/>
      <c r="BA1142" s="73"/>
      <c r="BB1142" s="73"/>
      <c r="BC1142" s="73"/>
      <c r="BD1142" s="73"/>
      <c r="BE1142" s="73"/>
      <c r="BF1142" s="73"/>
      <c r="BG1142" s="73"/>
      <c r="BH1142" s="73"/>
      <c r="BI1142" s="73"/>
      <c r="BJ1142" s="73"/>
      <c r="BK1142" s="73"/>
      <c r="BL1142" s="73"/>
      <c r="BM1142" s="73"/>
      <c r="BN1142" s="73"/>
      <c r="BO1142" s="73"/>
      <c r="BP1142" s="73"/>
      <c r="BQ1142" s="73"/>
      <c r="BR1142" s="73"/>
      <c r="BS1142" s="73"/>
      <c r="BT1142" s="73"/>
      <c r="BU1142" s="73"/>
      <c r="BV1142" s="73"/>
      <c r="BW1142" s="73"/>
      <c r="BX1142" s="73"/>
      <c r="BY1142" s="73"/>
      <c r="BZ1142" s="73"/>
      <c r="CA1142" s="73"/>
      <c r="CB1142" s="73"/>
      <c r="CC1142" s="73"/>
      <c r="CD1142" s="73"/>
      <c r="CE1142" s="73"/>
      <c r="CF1142" s="73"/>
      <c r="CG1142" s="73"/>
      <c r="CH1142" s="73"/>
      <c r="CI1142" s="73"/>
      <c r="CJ1142" s="73"/>
      <c r="CK1142" s="73"/>
      <c r="CL1142" s="73"/>
      <c r="CM1142" s="73"/>
      <c r="CN1142" s="73"/>
      <c r="CO1142" s="73"/>
      <c r="CP1142" s="73"/>
      <c r="CQ1142" s="73"/>
      <c r="CR1142" s="73"/>
      <c r="CS1142" s="73"/>
      <c r="CT1142" s="73"/>
      <c r="CU1142" s="73"/>
      <c r="CV1142" s="73"/>
      <c r="CW1142" s="73"/>
      <c r="CX1142" s="73"/>
      <c r="CY1142" s="73"/>
      <c r="CZ1142" s="73"/>
      <c r="DA1142" s="73"/>
      <c r="DB1142" s="73"/>
      <c r="DC1142" s="73"/>
      <c r="DD1142" s="73"/>
      <c r="DE1142" s="73"/>
      <c r="DF1142" s="73"/>
      <c r="DG1142" s="73"/>
      <c r="DH1142" s="73"/>
      <c r="DI1142" s="73"/>
      <c r="DJ1142" s="73"/>
      <c r="DK1142" s="73"/>
      <c r="DL1142" s="73"/>
      <c r="DM1142" s="73"/>
    </row>
    <row r="1143" spans="1:117" s="48" customFormat="1">
      <c r="A1143" s="73"/>
      <c r="T1143" s="73"/>
      <c r="U1143" s="73"/>
      <c r="V1143" s="73"/>
      <c r="W1143" s="73"/>
      <c r="X1143" s="73"/>
      <c r="Y1143" s="73"/>
      <c r="Z1143" s="73"/>
      <c r="AA1143" s="73"/>
      <c r="AB1143" s="73"/>
      <c r="AC1143" s="73"/>
      <c r="AD1143" s="73"/>
      <c r="AE1143" s="73"/>
      <c r="AF1143" s="73"/>
      <c r="AG1143" s="73"/>
      <c r="AH1143" s="73"/>
      <c r="AI1143" s="73"/>
      <c r="AJ1143" s="73"/>
      <c r="AK1143" s="73"/>
      <c r="AL1143" s="73"/>
      <c r="AM1143" s="73"/>
      <c r="AN1143" s="73"/>
      <c r="AO1143" s="73"/>
      <c r="AP1143" s="73"/>
      <c r="AQ1143" s="73"/>
      <c r="AR1143" s="73"/>
      <c r="AS1143" s="73"/>
      <c r="AT1143" s="73"/>
      <c r="AU1143" s="73"/>
      <c r="AV1143" s="73"/>
      <c r="AW1143" s="73"/>
      <c r="AX1143" s="73"/>
      <c r="AY1143" s="73"/>
      <c r="AZ1143" s="73"/>
      <c r="BA1143" s="73"/>
      <c r="BB1143" s="73"/>
      <c r="BC1143" s="73"/>
      <c r="BD1143" s="73"/>
      <c r="BE1143" s="73"/>
      <c r="BF1143" s="73"/>
      <c r="BG1143" s="73"/>
      <c r="BH1143" s="73"/>
      <c r="BI1143" s="73"/>
      <c r="BJ1143" s="73"/>
      <c r="BK1143" s="73"/>
      <c r="BL1143" s="73"/>
      <c r="BM1143" s="73"/>
      <c r="BN1143" s="73"/>
      <c r="BO1143" s="73"/>
      <c r="BP1143" s="73"/>
      <c r="BQ1143" s="73"/>
      <c r="BR1143" s="73"/>
      <c r="BS1143" s="73"/>
      <c r="BT1143" s="73"/>
      <c r="BU1143" s="73"/>
      <c r="BV1143" s="73"/>
      <c r="BW1143" s="73"/>
      <c r="BX1143" s="73"/>
      <c r="BY1143" s="73"/>
      <c r="BZ1143" s="73"/>
      <c r="CA1143" s="73"/>
      <c r="CB1143" s="73"/>
      <c r="CC1143" s="73"/>
      <c r="CD1143" s="73"/>
      <c r="CE1143" s="73"/>
      <c r="CF1143" s="73"/>
      <c r="CG1143" s="73"/>
      <c r="CH1143" s="73"/>
      <c r="CI1143" s="73"/>
      <c r="CJ1143" s="73"/>
      <c r="CK1143" s="73"/>
      <c r="CL1143" s="73"/>
      <c r="CM1143" s="73"/>
      <c r="CN1143" s="73"/>
      <c r="CO1143" s="73"/>
      <c r="CP1143" s="73"/>
      <c r="CQ1143" s="73"/>
      <c r="CR1143" s="73"/>
      <c r="CS1143" s="73"/>
      <c r="CT1143" s="73"/>
      <c r="CU1143" s="73"/>
      <c r="CV1143" s="73"/>
      <c r="CW1143" s="73"/>
      <c r="CX1143" s="73"/>
      <c r="CY1143" s="73"/>
      <c r="CZ1143" s="73"/>
      <c r="DA1143" s="73"/>
      <c r="DB1143" s="73"/>
      <c r="DC1143" s="73"/>
      <c r="DD1143" s="73"/>
      <c r="DE1143" s="73"/>
      <c r="DF1143" s="73"/>
      <c r="DG1143" s="73"/>
      <c r="DH1143" s="73"/>
      <c r="DI1143" s="73"/>
      <c r="DJ1143" s="73"/>
      <c r="DK1143" s="73"/>
      <c r="DL1143" s="73"/>
      <c r="DM1143" s="73"/>
    </row>
    <row r="1144" spans="1:117" s="48" customFormat="1">
      <c r="A1144" s="73"/>
      <c r="T1144" s="73"/>
      <c r="U1144" s="73"/>
      <c r="V1144" s="73"/>
      <c r="W1144" s="73"/>
      <c r="X1144" s="73"/>
      <c r="Y1144" s="73"/>
      <c r="Z1144" s="73"/>
      <c r="AA1144" s="73"/>
      <c r="AB1144" s="73"/>
      <c r="AC1144" s="73"/>
      <c r="AD1144" s="73"/>
      <c r="AE1144" s="73"/>
      <c r="AF1144" s="73"/>
      <c r="AG1144" s="73"/>
      <c r="AH1144" s="73"/>
      <c r="AI1144" s="73"/>
      <c r="AJ1144" s="73"/>
      <c r="AK1144" s="73"/>
      <c r="AL1144" s="73"/>
      <c r="AM1144" s="73"/>
      <c r="AN1144" s="73"/>
      <c r="AO1144" s="73"/>
      <c r="AP1144" s="73"/>
      <c r="AQ1144" s="73"/>
      <c r="AR1144" s="73"/>
      <c r="AS1144" s="73"/>
      <c r="AT1144" s="73"/>
      <c r="AU1144" s="73"/>
      <c r="AV1144" s="73"/>
      <c r="AW1144" s="73"/>
      <c r="AX1144" s="73"/>
      <c r="AY1144" s="73"/>
      <c r="AZ1144" s="73"/>
      <c r="BA1144" s="73"/>
      <c r="BB1144" s="73"/>
      <c r="BC1144" s="73"/>
      <c r="BD1144" s="73"/>
      <c r="BE1144" s="73"/>
      <c r="BF1144" s="73"/>
      <c r="BG1144" s="73"/>
      <c r="BH1144" s="73"/>
      <c r="BI1144" s="73"/>
      <c r="BJ1144" s="73"/>
      <c r="BK1144" s="73"/>
      <c r="BL1144" s="73"/>
      <c r="BM1144" s="73"/>
      <c r="BN1144" s="73"/>
      <c r="BO1144" s="73"/>
      <c r="BP1144" s="73"/>
      <c r="BQ1144" s="73"/>
      <c r="BR1144" s="73"/>
      <c r="BS1144" s="73"/>
      <c r="BT1144" s="73"/>
      <c r="BU1144" s="73"/>
      <c r="BV1144" s="73"/>
      <c r="BW1144" s="73"/>
      <c r="BX1144" s="73"/>
      <c r="BY1144" s="73"/>
      <c r="BZ1144" s="73"/>
      <c r="CA1144" s="73"/>
      <c r="CB1144" s="73"/>
      <c r="CC1144" s="73"/>
      <c r="CD1144" s="73"/>
      <c r="CE1144" s="73"/>
      <c r="CF1144" s="73"/>
      <c r="CG1144" s="73"/>
      <c r="CH1144" s="73"/>
      <c r="CI1144" s="73"/>
      <c r="CJ1144" s="73"/>
      <c r="CK1144" s="73"/>
      <c r="CL1144" s="73"/>
      <c r="CM1144" s="73"/>
      <c r="CN1144" s="73"/>
      <c r="CO1144" s="73"/>
      <c r="CP1144" s="73"/>
      <c r="CQ1144" s="73"/>
      <c r="CR1144" s="73"/>
      <c r="CS1144" s="73"/>
      <c r="CT1144" s="73"/>
      <c r="CU1144" s="73"/>
      <c r="CV1144" s="73"/>
      <c r="CW1144" s="73"/>
      <c r="CX1144" s="73"/>
      <c r="CY1144" s="73"/>
      <c r="CZ1144" s="73"/>
      <c r="DA1144" s="73"/>
      <c r="DB1144" s="73"/>
      <c r="DC1144" s="73"/>
      <c r="DD1144" s="73"/>
      <c r="DE1144" s="73"/>
      <c r="DF1144" s="73"/>
      <c r="DG1144" s="73"/>
      <c r="DH1144" s="73"/>
      <c r="DI1144" s="73"/>
      <c r="DJ1144" s="73"/>
      <c r="DK1144" s="73"/>
      <c r="DL1144" s="73"/>
      <c r="DM1144" s="73"/>
    </row>
    <row r="1145" spans="1:117" s="48" customFormat="1">
      <c r="A1145" s="73"/>
      <c r="T1145" s="73"/>
      <c r="U1145" s="73"/>
      <c r="V1145" s="73"/>
      <c r="W1145" s="73"/>
      <c r="X1145" s="73"/>
      <c r="Y1145" s="73"/>
      <c r="Z1145" s="73"/>
      <c r="AA1145" s="73"/>
      <c r="AB1145" s="73"/>
      <c r="AC1145" s="73"/>
      <c r="AD1145" s="73"/>
      <c r="AE1145" s="73"/>
      <c r="AF1145" s="73"/>
      <c r="AG1145" s="73"/>
      <c r="AH1145" s="73"/>
      <c r="AI1145" s="73"/>
      <c r="AJ1145" s="73"/>
      <c r="AK1145" s="73"/>
      <c r="AL1145" s="73"/>
      <c r="AM1145" s="73"/>
      <c r="AN1145" s="73"/>
      <c r="AO1145" s="73"/>
      <c r="AP1145" s="73"/>
      <c r="AQ1145" s="73"/>
      <c r="AR1145" s="73"/>
      <c r="AS1145" s="73"/>
      <c r="AT1145" s="73"/>
      <c r="AU1145" s="73"/>
      <c r="AV1145" s="73"/>
      <c r="AW1145" s="73"/>
      <c r="AX1145" s="73"/>
      <c r="AY1145" s="73"/>
      <c r="AZ1145" s="73"/>
      <c r="BA1145" s="73"/>
      <c r="BB1145" s="73"/>
      <c r="BC1145" s="73"/>
      <c r="BD1145" s="73"/>
      <c r="BE1145" s="73"/>
      <c r="BF1145" s="73"/>
      <c r="BG1145" s="73"/>
      <c r="BH1145" s="73"/>
      <c r="BI1145" s="73"/>
      <c r="BJ1145" s="73"/>
      <c r="BK1145" s="73"/>
      <c r="BL1145" s="73"/>
      <c r="BM1145" s="73"/>
      <c r="BN1145" s="73"/>
      <c r="BO1145" s="73"/>
      <c r="BP1145" s="73"/>
      <c r="BQ1145" s="73"/>
      <c r="BR1145" s="73"/>
      <c r="BS1145" s="73"/>
      <c r="BT1145" s="73"/>
      <c r="BU1145" s="73"/>
      <c r="BV1145" s="73"/>
      <c r="BW1145" s="73"/>
      <c r="BX1145" s="73"/>
      <c r="BY1145" s="73"/>
      <c r="BZ1145" s="73"/>
      <c r="CA1145" s="73"/>
      <c r="CB1145" s="73"/>
      <c r="CC1145" s="73"/>
      <c r="CD1145" s="73"/>
      <c r="CE1145" s="73"/>
      <c r="CF1145" s="73"/>
      <c r="CG1145" s="73"/>
      <c r="CH1145" s="73"/>
      <c r="CI1145" s="73"/>
      <c r="CJ1145" s="73"/>
      <c r="CK1145" s="73"/>
      <c r="CL1145" s="73"/>
      <c r="CM1145" s="73"/>
      <c r="CN1145" s="73"/>
      <c r="CO1145" s="73"/>
      <c r="CP1145" s="73"/>
      <c r="CQ1145" s="73"/>
      <c r="CR1145" s="73"/>
      <c r="CS1145" s="73"/>
      <c r="CT1145" s="73"/>
      <c r="CU1145" s="73"/>
      <c r="CV1145" s="73"/>
      <c r="CW1145" s="73"/>
      <c r="CX1145" s="73"/>
      <c r="CY1145" s="73"/>
      <c r="CZ1145" s="73"/>
      <c r="DA1145" s="73"/>
      <c r="DB1145" s="73"/>
      <c r="DC1145" s="73"/>
      <c r="DD1145" s="73"/>
      <c r="DE1145" s="73"/>
      <c r="DF1145" s="73"/>
      <c r="DG1145" s="73"/>
      <c r="DH1145" s="73"/>
      <c r="DI1145" s="73"/>
      <c r="DJ1145" s="73"/>
      <c r="DK1145" s="73"/>
      <c r="DL1145" s="73"/>
      <c r="DM1145" s="73"/>
    </row>
    <row r="1146" spans="1:117" s="48" customFormat="1">
      <c r="A1146" s="73"/>
      <c r="T1146" s="73"/>
      <c r="U1146" s="73"/>
      <c r="V1146" s="73"/>
      <c r="W1146" s="73"/>
      <c r="X1146" s="73"/>
      <c r="Y1146" s="73"/>
      <c r="Z1146" s="73"/>
      <c r="AA1146" s="73"/>
      <c r="AB1146" s="73"/>
      <c r="AC1146" s="73"/>
      <c r="AD1146" s="73"/>
      <c r="AE1146" s="73"/>
      <c r="AF1146" s="73"/>
      <c r="AG1146" s="73"/>
      <c r="AH1146" s="73"/>
      <c r="AI1146" s="73"/>
      <c r="AJ1146" s="73"/>
      <c r="AK1146" s="73"/>
      <c r="AL1146" s="73"/>
      <c r="AM1146" s="73"/>
      <c r="AN1146" s="73"/>
      <c r="AO1146" s="73"/>
      <c r="AP1146" s="73"/>
      <c r="AQ1146" s="73"/>
      <c r="AR1146" s="73"/>
      <c r="AS1146" s="73"/>
      <c r="AT1146" s="73"/>
      <c r="AU1146" s="73"/>
      <c r="AV1146" s="73"/>
      <c r="AW1146" s="73"/>
      <c r="AX1146" s="73"/>
      <c r="AY1146" s="73"/>
      <c r="AZ1146" s="73"/>
      <c r="BA1146" s="73"/>
      <c r="BB1146" s="73"/>
      <c r="BC1146" s="73"/>
      <c r="BD1146" s="73"/>
      <c r="BE1146" s="73"/>
      <c r="BF1146" s="73"/>
      <c r="BG1146" s="73"/>
      <c r="BH1146" s="73"/>
      <c r="BI1146" s="73"/>
      <c r="BJ1146" s="73"/>
      <c r="BK1146" s="73"/>
      <c r="BL1146" s="73"/>
      <c r="BM1146" s="73"/>
      <c r="BN1146" s="73"/>
      <c r="BO1146" s="73"/>
      <c r="BP1146" s="73"/>
      <c r="BQ1146" s="73"/>
      <c r="BR1146" s="73"/>
      <c r="BS1146" s="73"/>
      <c r="BT1146" s="73"/>
      <c r="BU1146" s="73"/>
      <c r="BV1146" s="73"/>
      <c r="BW1146" s="73"/>
      <c r="BX1146" s="73"/>
      <c r="BY1146" s="73"/>
      <c r="BZ1146" s="73"/>
      <c r="CA1146" s="73"/>
      <c r="CB1146" s="73"/>
      <c r="CC1146" s="73"/>
      <c r="CD1146" s="73"/>
      <c r="CE1146" s="73"/>
      <c r="CF1146" s="73"/>
      <c r="CG1146" s="73"/>
      <c r="CH1146" s="73"/>
      <c r="CI1146" s="73"/>
      <c r="CJ1146" s="73"/>
      <c r="CK1146" s="73"/>
      <c r="CL1146" s="73"/>
      <c r="CM1146" s="73"/>
      <c r="CN1146" s="73"/>
      <c r="CO1146" s="73"/>
      <c r="CP1146" s="73"/>
      <c r="CQ1146" s="73"/>
      <c r="CR1146" s="73"/>
      <c r="CS1146" s="73"/>
      <c r="CT1146" s="73"/>
      <c r="CU1146" s="73"/>
      <c r="CV1146" s="73"/>
      <c r="CW1146" s="73"/>
      <c r="CX1146" s="73"/>
      <c r="CY1146" s="73"/>
      <c r="CZ1146" s="73"/>
      <c r="DA1146" s="73"/>
      <c r="DB1146" s="73"/>
      <c r="DC1146" s="73"/>
      <c r="DD1146" s="73"/>
      <c r="DE1146" s="73"/>
      <c r="DF1146" s="73"/>
      <c r="DG1146" s="73"/>
      <c r="DH1146" s="73"/>
      <c r="DI1146" s="73"/>
      <c r="DJ1146" s="73"/>
      <c r="DK1146" s="73"/>
      <c r="DL1146" s="73"/>
      <c r="DM1146" s="73"/>
    </row>
    <row r="1147" spans="1:117" s="48" customFormat="1">
      <c r="A1147" s="73"/>
      <c r="T1147" s="73"/>
      <c r="U1147" s="73"/>
      <c r="V1147" s="73"/>
      <c r="W1147" s="73"/>
      <c r="X1147" s="73"/>
      <c r="Y1147" s="73"/>
      <c r="Z1147" s="73"/>
      <c r="AA1147" s="73"/>
      <c r="AB1147" s="73"/>
      <c r="AC1147" s="73"/>
      <c r="AD1147" s="73"/>
      <c r="AE1147" s="73"/>
      <c r="AF1147" s="73"/>
      <c r="AG1147" s="73"/>
      <c r="AH1147" s="73"/>
      <c r="AI1147" s="73"/>
      <c r="AJ1147" s="73"/>
      <c r="AK1147" s="73"/>
      <c r="AL1147" s="73"/>
      <c r="AM1147" s="73"/>
      <c r="AN1147" s="73"/>
      <c r="AO1147" s="73"/>
      <c r="AP1147" s="73"/>
      <c r="AQ1147" s="73"/>
      <c r="AR1147" s="73"/>
      <c r="AS1147" s="73"/>
      <c r="AT1147" s="73"/>
      <c r="AU1147" s="73"/>
      <c r="AV1147" s="73"/>
      <c r="AW1147" s="73"/>
      <c r="AX1147" s="73"/>
      <c r="AY1147" s="73"/>
      <c r="AZ1147" s="73"/>
      <c r="BA1147" s="73"/>
      <c r="BB1147" s="73"/>
      <c r="BC1147" s="73"/>
      <c r="BD1147" s="73"/>
      <c r="BE1147" s="73"/>
      <c r="BF1147" s="73"/>
      <c r="BG1147" s="73"/>
      <c r="BH1147" s="73"/>
      <c r="BI1147" s="73"/>
      <c r="BJ1147" s="73"/>
      <c r="BK1147" s="73"/>
      <c r="BL1147" s="73"/>
      <c r="BM1147" s="73"/>
      <c r="BN1147" s="73"/>
      <c r="BO1147" s="73"/>
      <c r="BP1147" s="73"/>
      <c r="BQ1147" s="73"/>
      <c r="BR1147" s="73"/>
      <c r="BS1147" s="73"/>
      <c r="BT1147" s="73"/>
      <c r="BU1147" s="73"/>
      <c r="BV1147" s="73"/>
      <c r="BW1147" s="73"/>
      <c r="BX1147" s="73"/>
      <c r="BY1147" s="73"/>
      <c r="BZ1147" s="73"/>
      <c r="CA1147" s="73"/>
      <c r="CB1147" s="73"/>
      <c r="CC1147" s="73"/>
      <c r="CD1147" s="73"/>
      <c r="CE1147" s="73"/>
      <c r="CF1147" s="73"/>
      <c r="CG1147" s="73"/>
      <c r="CH1147" s="73"/>
      <c r="CI1147" s="73"/>
      <c r="CJ1147" s="73"/>
      <c r="CK1147" s="73"/>
      <c r="CL1147" s="73"/>
      <c r="CM1147" s="73"/>
      <c r="CN1147" s="73"/>
      <c r="CO1147" s="73"/>
      <c r="CP1147" s="73"/>
      <c r="CQ1147" s="73"/>
      <c r="CR1147" s="73"/>
      <c r="CS1147" s="73"/>
      <c r="CT1147" s="73"/>
      <c r="CU1147" s="73"/>
      <c r="CV1147" s="73"/>
      <c r="CW1147" s="73"/>
      <c r="CX1147" s="73"/>
      <c r="CY1147" s="73"/>
      <c r="CZ1147" s="73"/>
      <c r="DA1147" s="73"/>
      <c r="DB1147" s="73"/>
      <c r="DC1147" s="73"/>
      <c r="DD1147" s="73"/>
      <c r="DE1147" s="73"/>
      <c r="DF1147" s="73"/>
      <c r="DG1147" s="73"/>
      <c r="DH1147" s="73"/>
      <c r="DI1147" s="73"/>
      <c r="DJ1147" s="73"/>
      <c r="DK1147" s="73"/>
      <c r="DL1147" s="73"/>
      <c r="DM1147" s="73"/>
    </row>
    <row r="1148" spans="1:117" s="48" customFormat="1">
      <c r="A1148" s="73"/>
      <c r="T1148" s="73"/>
      <c r="U1148" s="73"/>
      <c r="V1148" s="73"/>
      <c r="W1148" s="73"/>
      <c r="X1148" s="73"/>
      <c r="Y1148" s="73"/>
      <c r="Z1148" s="73"/>
      <c r="AA1148" s="73"/>
      <c r="AB1148" s="73"/>
      <c r="AC1148" s="73"/>
      <c r="AD1148" s="73"/>
      <c r="AE1148" s="73"/>
      <c r="AF1148" s="73"/>
      <c r="AG1148" s="73"/>
      <c r="AH1148" s="73"/>
      <c r="AI1148" s="73"/>
      <c r="AJ1148" s="73"/>
      <c r="AK1148" s="73"/>
      <c r="AL1148" s="73"/>
      <c r="AM1148" s="73"/>
      <c r="AN1148" s="73"/>
      <c r="AO1148" s="73"/>
      <c r="AP1148" s="73"/>
      <c r="AQ1148" s="73"/>
      <c r="AR1148" s="73"/>
      <c r="AS1148" s="73"/>
      <c r="AT1148" s="73"/>
      <c r="AU1148" s="73"/>
      <c r="AV1148" s="73"/>
      <c r="AW1148" s="73"/>
      <c r="AX1148" s="73"/>
      <c r="AY1148" s="73"/>
      <c r="AZ1148" s="73"/>
      <c r="BA1148" s="73"/>
      <c r="BB1148" s="73"/>
      <c r="BC1148" s="73"/>
      <c r="BD1148" s="73"/>
      <c r="BE1148" s="73"/>
      <c r="BF1148" s="73"/>
      <c r="BG1148" s="73"/>
      <c r="BH1148" s="73"/>
      <c r="BI1148" s="73"/>
      <c r="BJ1148" s="73"/>
      <c r="BK1148" s="73"/>
      <c r="BL1148" s="73"/>
      <c r="BM1148" s="73"/>
      <c r="BN1148" s="73"/>
      <c r="BO1148" s="73"/>
      <c r="BP1148" s="73"/>
      <c r="BQ1148" s="73"/>
      <c r="BR1148" s="73"/>
      <c r="BS1148" s="73"/>
      <c r="BT1148" s="73"/>
      <c r="BU1148" s="73"/>
      <c r="BV1148" s="73"/>
      <c r="BW1148" s="73"/>
      <c r="BX1148" s="73"/>
      <c r="BY1148" s="73"/>
      <c r="BZ1148" s="73"/>
      <c r="CA1148" s="73"/>
      <c r="CB1148" s="73"/>
      <c r="CC1148" s="73"/>
      <c r="CD1148" s="73"/>
      <c r="CE1148" s="73"/>
      <c r="CF1148" s="73"/>
      <c r="CG1148" s="73"/>
      <c r="CH1148" s="73"/>
      <c r="CI1148" s="73"/>
      <c r="CJ1148" s="73"/>
      <c r="CK1148" s="73"/>
      <c r="CL1148" s="73"/>
      <c r="CM1148" s="73"/>
      <c r="CN1148" s="73"/>
      <c r="CO1148" s="73"/>
      <c r="CP1148" s="73"/>
      <c r="CQ1148" s="73"/>
      <c r="CR1148" s="73"/>
      <c r="CS1148" s="73"/>
      <c r="CT1148" s="73"/>
      <c r="CU1148" s="73"/>
      <c r="CV1148" s="73"/>
      <c r="CW1148" s="73"/>
      <c r="CX1148" s="73"/>
      <c r="CY1148" s="73"/>
      <c r="CZ1148" s="73"/>
      <c r="DA1148" s="73"/>
      <c r="DB1148" s="73"/>
      <c r="DC1148" s="73"/>
      <c r="DD1148" s="73"/>
      <c r="DE1148" s="73"/>
      <c r="DF1148" s="73"/>
      <c r="DG1148" s="73"/>
      <c r="DH1148" s="73"/>
      <c r="DI1148" s="73"/>
      <c r="DJ1148" s="73"/>
      <c r="DK1148" s="73"/>
      <c r="DL1148" s="73"/>
      <c r="DM1148" s="73"/>
    </row>
    <row r="1149" spans="1:117" s="48" customFormat="1">
      <c r="A1149" s="73"/>
      <c r="T1149" s="73"/>
      <c r="U1149" s="73"/>
      <c r="V1149" s="73"/>
      <c r="W1149" s="73"/>
      <c r="X1149" s="73"/>
      <c r="Y1149" s="73"/>
      <c r="Z1149" s="73"/>
      <c r="AA1149" s="73"/>
      <c r="AB1149" s="73"/>
      <c r="AC1149" s="73"/>
      <c r="AD1149" s="73"/>
      <c r="AE1149" s="73"/>
      <c r="AF1149" s="73"/>
      <c r="AG1149" s="73"/>
      <c r="AH1149" s="73"/>
      <c r="AI1149" s="73"/>
      <c r="AJ1149" s="73"/>
      <c r="AK1149" s="73"/>
      <c r="AL1149" s="73"/>
      <c r="AM1149" s="73"/>
      <c r="AN1149" s="73"/>
      <c r="AO1149" s="73"/>
      <c r="AP1149" s="73"/>
      <c r="AQ1149" s="73"/>
      <c r="AR1149" s="73"/>
      <c r="AS1149" s="73"/>
      <c r="AT1149" s="73"/>
      <c r="AU1149" s="73"/>
      <c r="AV1149" s="73"/>
      <c r="AW1149" s="73"/>
      <c r="AX1149" s="73"/>
      <c r="AY1149" s="73"/>
      <c r="AZ1149" s="73"/>
      <c r="BA1149" s="73"/>
      <c r="BB1149" s="73"/>
      <c r="BC1149" s="73"/>
      <c r="BD1149" s="73"/>
      <c r="BE1149" s="73"/>
      <c r="BF1149" s="73"/>
      <c r="BG1149" s="73"/>
      <c r="BH1149" s="73"/>
      <c r="BI1149" s="73"/>
      <c r="BJ1149" s="73"/>
      <c r="BK1149" s="73"/>
      <c r="BL1149" s="73"/>
      <c r="BM1149" s="73"/>
      <c r="BN1149" s="73"/>
      <c r="BO1149" s="73"/>
      <c r="BP1149" s="73"/>
      <c r="BQ1149" s="73"/>
      <c r="BR1149" s="73"/>
      <c r="BS1149" s="73"/>
      <c r="BT1149" s="73"/>
      <c r="BU1149" s="73"/>
      <c r="BV1149" s="73"/>
      <c r="BW1149" s="73"/>
      <c r="BX1149" s="73"/>
      <c r="BY1149" s="73"/>
      <c r="BZ1149" s="73"/>
      <c r="CA1149" s="73"/>
      <c r="CB1149" s="73"/>
      <c r="CC1149" s="73"/>
      <c r="CD1149" s="73"/>
      <c r="CE1149" s="73"/>
      <c r="CF1149" s="73"/>
      <c r="CG1149" s="73"/>
      <c r="CH1149" s="73"/>
      <c r="CI1149" s="73"/>
      <c r="CJ1149" s="73"/>
      <c r="CK1149" s="73"/>
      <c r="CL1149" s="73"/>
      <c r="CM1149" s="73"/>
      <c r="CN1149" s="73"/>
      <c r="CO1149" s="73"/>
      <c r="CP1149" s="73"/>
      <c r="CQ1149" s="73"/>
      <c r="CR1149" s="73"/>
      <c r="CS1149" s="73"/>
      <c r="CT1149" s="73"/>
      <c r="CU1149" s="73"/>
      <c r="CV1149" s="73"/>
      <c r="CW1149" s="73"/>
      <c r="CX1149" s="73"/>
      <c r="CY1149" s="73"/>
      <c r="CZ1149" s="73"/>
      <c r="DA1149" s="73"/>
      <c r="DB1149" s="73"/>
      <c r="DC1149" s="73"/>
      <c r="DD1149" s="73"/>
      <c r="DE1149" s="73"/>
      <c r="DF1149" s="73"/>
      <c r="DG1149" s="73"/>
      <c r="DH1149" s="73"/>
      <c r="DI1149" s="73"/>
      <c r="DJ1149" s="73"/>
      <c r="DK1149" s="73"/>
      <c r="DL1149" s="73"/>
      <c r="DM1149" s="73"/>
    </row>
    <row r="1150" spans="1:117" s="48" customFormat="1">
      <c r="A1150" s="73"/>
      <c r="T1150" s="73"/>
      <c r="U1150" s="73"/>
      <c r="V1150" s="73"/>
      <c r="W1150" s="73"/>
      <c r="X1150" s="73"/>
      <c r="Y1150" s="73"/>
      <c r="Z1150" s="73"/>
      <c r="AA1150" s="73"/>
      <c r="AB1150" s="73"/>
      <c r="AC1150" s="73"/>
      <c r="AD1150" s="73"/>
      <c r="AE1150" s="73"/>
      <c r="AF1150" s="73"/>
      <c r="AG1150" s="73"/>
      <c r="AH1150" s="73"/>
      <c r="AI1150" s="73"/>
      <c r="AJ1150" s="73"/>
      <c r="AK1150" s="73"/>
      <c r="AL1150" s="73"/>
      <c r="AM1150" s="73"/>
      <c r="AN1150" s="73"/>
      <c r="AO1150" s="73"/>
      <c r="AP1150" s="73"/>
      <c r="AQ1150" s="73"/>
      <c r="AR1150" s="73"/>
      <c r="AS1150" s="73"/>
      <c r="AT1150" s="73"/>
      <c r="AU1150" s="73"/>
      <c r="AV1150" s="73"/>
      <c r="AW1150" s="73"/>
      <c r="AX1150" s="73"/>
      <c r="AY1150" s="73"/>
      <c r="AZ1150" s="73"/>
      <c r="BA1150" s="73"/>
      <c r="BB1150" s="73"/>
      <c r="BC1150" s="73"/>
      <c r="BD1150" s="73"/>
      <c r="BE1150" s="73"/>
      <c r="BF1150" s="73"/>
      <c r="BG1150" s="73"/>
      <c r="BH1150" s="73"/>
      <c r="BI1150" s="73"/>
      <c r="BJ1150" s="73"/>
      <c r="BK1150" s="73"/>
      <c r="BL1150" s="73"/>
      <c r="BM1150" s="73"/>
      <c r="BN1150" s="73"/>
      <c r="BO1150" s="73"/>
      <c r="BP1150" s="73"/>
      <c r="BQ1150" s="73"/>
      <c r="BR1150" s="73"/>
      <c r="BS1150" s="73"/>
      <c r="BT1150" s="73"/>
      <c r="BU1150" s="73"/>
      <c r="BV1150" s="73"/>
      <c r="BW1150" s="73"/>
      <c r="BX1150" s="73"/>
      <c r="BY1150" s="73"/>
      <c r="BZ1150" s="73"/>
      <c r="CA1150" s="73"/>
      <c r="CB1150" s="73"/>
      <c r="CC1150" s="73"/>
      <c r="CD1150" s="73"/>
      <c r="CE1150" s="73"/>
      <c r="CF1150" s="73"/>
      <c r="CG1150" s="73"/>
      <c r="CH1150" s="73"/>
      <c r="CI1150" s="73"/>
      <c r="CJ1150" s="73"/>
      <c r="CK1150" s="73"/>
      <c r="CL1150" s="73"/>
      <c r="CM1150" s="73"/>
      <c r="CN1150" s="73"/>
      <c r="CO1150" s="73"/>
      <c r="CP1150" s="73"/>
      <c r="CQ1150" s="73"/>
      <c r="CR1150" s="73"/>
      <c r="CS1150" s="73"/>
      <c r="CT1150" s="73"/>
      <c r="CU1150" s="73"/>
      <c r="CV1150" s="73"/>
      <c r="CW1150" s="73"/>
      <c r="CX1150" s="73"/>
      <c r="CY1150" s="73"/>
      <c r="CZ1150" s="73"/>
      <c r="DA1150" s="73"/>
      <c r="DB1150" s="73"/>
      <c r="DC1150" s="73"/>
      <c r="DD1150" s="73"/>
      <c r="DE1150" s="73"/>
      <c r="DF1150" s="73"/>
      <c r="DG1150" s="73"/>
      <c r="DH1150" s="73"/>
      <c r="DI1150" s="73"/>
      <c r="DJ1150" s="73"/>
      <c r="DK1150" s="73"/>
      <c r="DL1150" s="73"/>
      <c r="DM1150" s="73"/>
    </row>
    <row r="1151" spans="1:117" s="48" customFormat="1">
      <c r="A1151" s="73"/>
      <c r="T1151" s="73"/>
      <c r="U1151" s="73"/>
      <c r="V1151" s="73"/>
      <c r="W1151" s="73"/>
      <c r="X1151" s="73"/>
      <c r="Y1151" s="73"/>
      <c r="Z1151" s="73"/>
      <c r="AA1151" s="73"/>
      <c r="AB1151" s="73"/>
      <c r="AC1151" s="73"/>
      <c r="AD1151" s="73"/>
      <c r="AE1151" s="73"/>
      <c r="AF1151" s="73"/>
      <c r="AG1151" s="73"/>
      <c r="AH1151" s="73"/>
      <c r="AI1151" s="73"/>
      <c r="AJ1151" s="73"/>
      <c r="AK1151" s="73"/>
      <c r="AL1151" s="73"/>
      <c r="AM1151" s="73"/>
      <c r="AN1151" s="73"/>
      <c r="AO1151" s="73"/>
      <c r="AP1151" s="73"/>
      <c r="AQ1151" s="73"/>
      <c r="AR1151" s="73"/>
      <c r="AS1151" s="73"/>
      <c r="AT1151" s="73"/>
      <c r="AU1151" s="73"/>
      <c r="AV1151" s="73"/>
      <c r="AW1151" s="73"/>
      <c r="AX1151" s="73"/>
      <c r="AY1151" s="73"/>
      <c r="AZ1151" s="73"/>
      <c r="BA1151" s="73"/>
      <c r="BB1151" s="73"/>
      <c r="BC1151" s="73"/>
      <c r="BD1151" s="73"/>
      <c r="BE1151" s="73"/>
      <c r="BF1151" s="73"/>
      <c r="BG1151" s="73"/>
      <c r="BH1151" s="73"/>
      <c r="BI1151" s="73"/>
      <c r="BJ1151" s="73"/>
      <c r="BK1151" s="73"/>
      <c r="BL1151" s="73"/>
      <c r="BM1151" s="73"/>
      <c r="BN1151" s="73"/>
      <c r="BO1151" s="73"/>
      <c r="BP1151" s="73"/>
      <c r="BQ1151" s="73"/>
      <c r="BR1151" s="73"/>
      <c r="BS1151" s="73"/>
      <c r="BT1151" s="73"/>
      <c r="BU1151" s="73"/>
      <c r="BV1151" s="73"/>
      <c r="BW1151" s="73"/>
      <c r="BX1151" s="73"/>
      <c r="BY1151" s="73"/>
      <c r="BZ1151" s="73"/>
      <c r="CA1151" s="73"/>
      <c r="CB1151" s="73"/>
      <c r="CC1151" s="73"/>
      <c r="CD1151" s="73"/>
      <c r="CE1151" s="73"/>
      <c r="CF1151" s="73"/>
      <c r="CG1151" s="73"/>
      <c r="CH1151" s="73"/>
      <c r="CI1151" s="73"/>
      <c r="CJ1151" s="73"/>
      <c r="CK1151" s="73"/>
      <c r="CL1151" s="73"/>
      <c r="CM1151" s="73"/>
      <c r="CN1151" s="73"/>
      <c r="CO1151" s="73"/>
      <c r="CP1151" s="73"/>
      <c r="CQ1151" s="73"/>
      <c r="CR1151" s="73"/>
      <c r="CS1151" s="73"/>
      <c r="CT1151" s="73"/>
      <c r="CU1151" s="73"/>
      <c r="CV1151" s="73"/>
      <c r="CW1151" s="73"/>
      <c r="CX1151" s="73"/>
      <c r="CY1151" s="73"/>
      <c r="CZ1151" s="73"/>
      <c r="DA1151" s="73"/>
      <c r="DB1151" s="73"/>
      <c r="DC1151" s="73"/>
      <c r="DD1151" s="73"/>
      <c r="DE1151" s="73"/>
      <c r="DF1151" s="73"/>
      <c r="DG1151" s="73"/>
      <c r="DH1151" s="73"/>
      <c r="DI1151" s="73"/>
      <c r="DJ1151" s="73"/>
      <c r="DK1151" s="73"/>
      <c r="DL1151" s="73"/>
      <c r="DM1151" s="73"/>
    </row>
    <row r="1152" spans="1:117" s="48" customFormat="1">
      <c r="A1152" s="73"/>
      <c r="T1152" s="73"/>
      <c r="U1152" s="73"/>
      <c r="V1152" s="73"/>
      <c r="W1152" s="73"/>
      <c r="X1152" s="73"/>
      <c r="Y1152" s="73"/>
      <c r="Z1152" s="73"/>
      <c r="AA1152" s="73"/>
      <c r="AB1152" s="73"/>
      <c r="AC1152" s="73"/>
      <c r="AD1152" s="73"/>
      <c r="AE1152" s="73"/>
      <c r="AF1152" s="73"/>
      <c r="AG1152" s="73"/>
      <c r="AH1152" s="73"/>
      <c r="AI1152" s="73"/>
      <c r="AJ1152" s="73"/>
      <c r="AK1152" s="73"/>
      <c r="AL1152" s="73"/>
      <c r="AM1152" s="73"/>
      <c r="AN1152" s="73"/>
      <c r="AO1152" s="73"/>
      <c r="AP1152" s="73"/>
      <c r="AQ1152" s="73"/>
      <c r="AR1152" s="73"/>
      <c r="AS1152" s="73"/>
      <c r="AT1152" s="73"/>
      <c r="AU1152" s="73"/>
      <c r="AV1152" s="73"/>
      <c r="AW1152" s="73"/>
      <c r="AX1152" s="73"/>
      <c r="AY1152" s="73"/>
      <c r="AZ1152" s="73"/>
      <c r="BA1152" s="73"/>
      <c r="BB1152" s="73"/>
      <c r="BC1152" s="73"/>
      <c r="BD1152" s="73"/>
      <c r="BE1152" s="73"/>
      <c r="BF1152" s="73"/>
      <c r="BG1152" s="73"/>
      <c r="BH1152" s="73"/>
      <c r="BI1152" s="73"/>
      <c r="BJ1152" s="73"/>
      <c r="BK1152" s="73"/>
      <c r="BL1152" s="73"/>
      <c r="BM1152" s="73"/>
      <c r="BN1152" s="73"/>
      <c r="BO1152" s="73"/>
      <c r="BP1152" s="73"/>
      <c r="BQ1152" s="73"/>
      <c r="BR1152" s="73"/>
      <c r="BS1152" s="73"/>
      <c r="BT1152" s="73"/>
      <c r="BU1152" s="73"/>
      <c r="BV1152" s="73"/>
      <c r="BW1152" s="73"/>
      <c r="BX1152" s="73"/>
      <c r="BY1152" s="73"/>
      <c r="BZ1152" s="73"/>
      <c r="CA1152" s="73"/>
      <c r="CB1152" s="73"/>
      <c r="CC1152" s="73"/>
      <c r="CD1152" s="73"/>
      <c r="CE1152" s="73"/>
      <c r="CF1152" s="73"/>
      <c r="CG1152" s="73"/>
      <c r="CH1152" s="73"/>
      <c r="CI1152" s="73"/>
      <c r="CJ1152" s="73"/>
      <c r="CK1152" s="73"/>
      <c r="CL1152" s="73"/>
      <c r="CM1152" s="73"/>
      <c r="CN1152" s="73"/>
      <c r="CO1152" s="73"/>
      <c r="CP1152" s="73"/>
      <c r="CQ1152" s="73"/>
      <c r="CR1152" s="73"/>
      <c r="CS1152" s="73"/>
      <c r="CT1152" s="73"/>
      <c r="CU1152" s="73"/>
      <c r="CV1152" s="73"/>
      <c r="CW1152" s="73"/>
      <c r="CX1152" s="73"/>
      <c r="CY1152" s="73"/>
      <c r="CZ1152" s="73"/>
      <c r="DA1152" s="73"/>
      <c r="DB1152" s="73"/>
      <c r="DC1152" s="73"/>
      <c r="DD1152" s="73"/>
      <c r="DE1152" s="73"/>
      <c r="DF1152" s="73"/>
      <c r="DG1152" s="73"/>
      <c r="DH1152" s="73"/>
      <c r="DI1152" s="73"/>
      <c r="DJ1152" s="73"/>
      <c r="DK1152" s="73"/>
      <c r="DL1152" s="73"/>
      <c r="DM1152" s="73"/>
    </row>
    <row r="1153" spans="1:117" s="48" customFormat="1">
      <c r="A1153" s="73"/>
      <c r="T1153" s="73"/>
      <c r="U1153" s="73"/>
      <c r="V1153" s="73"/>
      <c r="W1153" s="73"/>
      <c r="X1153" s="73"/>
      <c r="Y1153" s="73"/>
      <c r="Z1153" s="73"/>
      <c r="AA1153" s="73"/>
      <c r="AB1153" s="73"/>
      <c r="AC1153" s="73"/>
      <c r="AD1153" s="73"/>
      <c r="AE1153" s="73"/>
      <c r="AF1153" s="73"/>
      <c r="AG1153" s="73"/>
      <c r="AH1153" s="73"/>
      <c r="AI1153" s="73"/>
      <c r="AJ1153" s="73"/>
      <c r="AK1153" s="73"/>
      <c r="AL1153" s="73"/>
      <c r="AM1153" s="73"/>
      <c r="AN1153" s="73"/>
      <c r="AO1153" s="73"/>
      <c r="AP1153" s="73"/>
      <c r="AQ1153" s="73"/>
      <c r="AR1153" s="73"/>
      <c r="AS1153" s="73"/>
      <c r="AT1153" s="73"/>
      <c r="AU1153" s="73"/>
      <c r="AV1153" s="73"/>
      <c r="AW1153" s="73"/>
      <c r="AX1153" s="73"/>
      <c r="AY1153" s="73"/>
      <c r="AZ1153" s="73"/>
      <c r="BA1153" s="73"/>
      <c r="BB1153" s="73"/>
      <c r="BC1153" s="73"/>
      <c r="BD1153" s="73"/>
      <c r="BE1153" s="73"/>
      <c r="BF1153" s="73"/>
      <c r="BG1153" s="73"/>
      <c r="BH1153" s="73"/>
      <c r="BI1153" s="73"/>
      <c r="BJ1153" s="73"/>
      <c r="BK1153" s="73"/>
      <c r="BL1153" s="73"/>
      <c r="BM1153" s="73"/>
      <c r="BN1153" s="73"/>
      <c r="BO1153" s="73"/>
      <c r="BP1153" s="73"/>
      <c r="BQ1153" s="73"/>
      <c r="BR1153" s="73"/>
      <c r="BS1153" s="73"/>
      <c r="BT1153" s="73"/>
      <c r="BU1153" s="73"/>
      <c r="BV1153" s="73"/>
      <c r="BW1153" s="73"/>
      <c r="BX1153" s="73"/>
      <c r="BY1153" s="73"/>
      <c r="BZ1153" s="73"/>
      <c r="CA1153" s="73"/>
      <c r="CB1153" s="73"/>
      <c r="CC1153" s="73"/>
      <c r="CD1153" s="73"/>
      <c r="CE1153" s="73"/>
      <c r="CF1153" s="73"/>
      <c r="CG1153" s="73"/>
      <c r="CH1153" s="73"/>
      <c r="CI1153" s="73"/>
      <c r="CJ1153" s="73"/>
      <c r="CK1153" s="73"/>
      <c r="CL1153" s="73"/>
      <c r="CM1153" s="73"/>
      <c r="CN1153" s="73"/>
      <c r="CO1153" s="73"/>
      <c r="CP1153" s="73"/>
      <c r="CQ1153" s="73"/>
      <c r="CR1153" s="73"/>
      <c r="CS1153" s="73"/>
      <c r="CT1153" s="73"/>
      <c r="CU1153" s="73"/>
      <c r="CV1153" s="73"/>
      <c r="CW1153" s="73"/>
      <c r="CX1153" s="73"/>
      <c r="CY1153" s="73"/>
      <c r="CZ1153" s="73"/>
      <c r="DA1153" s="73"/>
      <c r="DB1153" s="73"/>
      <c r="DC1153" s="73"/>
      <c r="DD1153" s="73"/>
      <c r="DE1153" s="73"/>
      <c r="DF1153" s="73"/>
      <c r="DG1153" s="73"/>
      <c r="DH1153" s="73"/>
      <c r="DI1153" s="73"/>
      <c r="DJ1153" s="73"/>
      <c r="DK1153" s="73"/>
      <c r="DL1153" s="73"/>
      <c r="DM1153" s="73"/>
    </row>
    <row r="1154" spans="1:117" s="48" customFormat="1">
      <c r="A1154" s="73"/>
      <c r="T1154" s="73"/>
      <c r="U1154" s="73"/>
      <c r="V1154" s="73"/>
      <c r="W1154" s="73"/>
      <c r="X1154" s="73"/>
      <c r="Y1154" s="73"/>
      <c r="Z1154" s="73"/>
      <c r="AA1154" s="73"/>
      <c r="AB1154" s="73"/>
      <c r="AC1154" s="73"/>
      <c r="AD1154" s="73"/>
      <c r="AE1154" s="73"/>
      <c r="AF1154" s="73"/>
      <c r="AG1154" s="73"/>
      <c r="AH1154" s="73"/>
      <c r="AI1154" s="73"/>
      <c r="AJ1154" s="73"/>
      <c r="AK1154" s="73"/>
      <c r="AL1154" s="73"/>
      <c r="AM1154" s="73"/>
      <c r="AN1154" s="73"/>
      <c r="AO1154" s="73"/>
      <c r="AP1154" s="73"/>
      <c r="AQ1154" s="73"/>
      <c r="AR1154" s="73"/>
      <c r="AS1154" s="73"/>
      <c r="AT1154" s="73"/>
      <c r="AU1154" s="73"/>
      <c r="AV1154" s="73"/>
      <c r="AW1154" s="73"/>
      <c r="AX1154" s="73"/>
      <c r="AY1154" s="73"/>
      <c r="AZ1154" s="73"/>
      <c r="BA1154" s="73"/>
      <c r="BB1154" s="73"/>
      <c r="BC1154" s="73"/>
      <c r="BD1154" s="73"/>
      <c r="BE1154" s="73"/>
      <c r="BF1154" s="73"/>
      <c r="BG1154" s="73"/>
      <c r="BH1154" s="73"/>
      <c r="BI1154" s="73"/>
      <c r="BJ1154" s="73"/>
      <c r="BK1154" s="73"/>
      <c r="BL1154" s="73"/>
      <c r="BM1154" s="73"/>
      <c r="BN1154" s="73"/>
      <c r="BO1154" s="73"/>
      <c r="BP1154" s="73"/>
      <c r="BQ1154" s="73"/>
      <c r="BR1154" s="73"/>
      <c r="BS1154" s="73"/>
      <c r="BT1154" s="73"/>
      <c r="BU1154" s="73"/>
      <c r="BV1154" s="73"/>
      <c r="BW1154" s="73"/>
      <c r="BX1154" s="73"/>
      <c r="BY1154" s="73"/>
      <c r="BZ1154" s="73"/>
      <c r="CA1154" s="73"/>
      <c r="CB1154" s="73"/>
      <c r="CC1154" s="73"/>
      <c r="CD1154" s="73"/>
      <c r="CE1154" s="73"/>
      <c r="CF1154" s="73"/>
      <c r="CG1154" s="73"/>
      <c r="CH1154" s="73"/>
      <c r="CI1154" s="73"/>
      <c r="CJ1154" s="73"/>
      <c r="CK1154" s="73"/>
      <c r="CL1154" s="73"/>
      <c r="CM1154" s="73"/>
      <c r="CN1154" s="73"/>
      <c r="CO1154" s="73"/>
      <c r="CP1154" s="73"/>
      <c r="CQ1154" s="73"/>
      <c r="CR1154" s="73"/>
      <c r="CS1154" s="73"/>
      <c r="CT1154" s="73"/>
      <c r="CU1154" s="73"/>
      <c r="CV1154" s="73"/>
      <c r="CW1154" s="73"/>
      <c r="CX1154" s="73"/>
      <c r="CY1154" s="73"/>
      <c r="CZ1154" s="73"/>
      <c r="DA1154" s="73"/>
      <c r="DB1154" s="73"/>
      <c r="DC1154" s="73"/>
      <c r="DD1154" s="73"/>
      <c r="DE1154" s="73"/>
      <c r="DF1154" s="73"/>
      <c r="DG1154" s="73"/>
      <c r="DH1154" s="73"/>
      <c r="DI1154" s="73"/>
      <c r="DJ1154" s="73"/>
      <c r="DK1154" s="73"/>
      <c r="DL1154" s="73"/>
      <c r="DM1154" s="73"/>
    </row>
    <row r="1155" spans="1:117" s="48" customFormat="1">
      <c r="A1155" s="73"/>
      <c r="T1155" s="73"/>
      <c r="U1155" s="73"/>
      <c r="V1155" s="73"/>
      <c r="W1155" s="73"/>
      <c r="X1155" s="73"/>
      <c r="Y1155" s="73"/>
      <c r="Z1155" s="73"/>
      <c r="AA1155" s="73"/>
      <c r="AB1155" s="73"/>
      <c r="AC1155" s="73"/>
      <c r="AD1155" s="73"/>
      <c r="AE1155" s="73"/>
      <c r="AF1155" s="73"/>
      <c r="AG1155" s="73"/>
      <c r="AH1155" s="73"/>
      <c r="AI1155" s="73"/>
      <c r="AJ1155" s="73"/>
      <c r="AK1155" s="73"/>
      <c r="AL1155" s="73"/>
      <c r="AM1155" s="73"/>
      <c r="AN1155" s="73"/>
      <c r="AO1155" s="73"/>
      <c r="AP1155" s="73"/>
      <c r="AQ1155" s="73"/>
      <c r="AR1155" s="73"/>
      <c r="AS1155" s="73"/>
      <c r="AT1155" s="73"/>
      <c r="AU1155" s="73"/>
      <c r="AV1155" s="73"/>
      <c r="AW1155" s="73"/>
      <c r="AX1155" s="73"/>
      <c r="AY1155" s="73"/>
      <c r="AZ1155" s="73"/>
      <c r="BA1155" s="73"/>
      <c r="BB1155" s="73"/>
      <c r="BC1155" s="73"/>
      <c r="BD1155" s="73"/>
      <c r="BE1155" s="73"/>
      <c r="BF1155" s="73"/>
      <c r="BG1155" s="73"/>
      <c r="BH1155" s="73"/>
      <c r="BI1155" s="73"/>
      <c r="BJ1155" s="73"/>
      <c r="BK1155" s="73"/>
      <c r="BL1155" s="73"/>
      <c r="BM1155" s="73"/>
      <c r="BN1155" s="73"/>
      <c r="BO1155" s="73"/>
      <c r="BP1155" s="73"/>
      <c r="BQ1155" s="73"/>
      <c r="BR1155" s="73"/>
      <c r="BS1155" s="73"/>
      <c r="BT1155" s="73"/>
      <c r="BU1155" s="73"/>
      <c r="BV1155" s="73"/>
      <c r="BW1155" s="73"/>
      <c r="BX1155" s="73"/>
      <c r="BY1155" s="73"/>
      <c r="BZ1155" s="73"/>
      <c r="CA1155" s="73"/>
      <c r="CB1155" s="73"/>
      <c r="CC1155" s="73"/>
      <c r="CD1155" s="73"/>
      <c r="CE1155" s="73"/>
      <c r="CF1155" s="73"/>
      <c r="CG1155" s="73"/>
      <c r="CH1155" s="73"/>
      <c r="CI1155" s="73"/>
      <c r="CJ1155" s="73"/>
      <c r="CK1155" s="73"/>
      <c r="CL1155" s="73"/>
      <c r="CM1155" s="73"/>
      <c r="CN1155" s="73"/>
      <c r="CO1155" s="73"/>
      <c r="CP1155" s="73"/>
      <c r="CQ1155" s="73"/>
      <c r="CR1155" s="73"/>
      <c r="CS1155" s="73"/>
      <c r="CT1155" s="73"/>
      <c r="CU1155" s="73"/>
      <c r="CV1155" s="73"/>
      <c r="CW1155" s="73"/>
      <c r="CX1155" s="73"/>
      <c r="CY1155" s="73"/>
      <c r="CZ1155" s="73"/>
      <c r="DA1155" s="73"/>
      <c r="DB1155" s="73"/>
      <c r="DC1155" s="73"/>
      <c r="DD1155" s="73"/>
      <c r="DE1155" s="73"/>
      <c r="DF1155" s="73"/>
      <c r="DG1155" s="73"/>
      <c r="DH1155" s="73"/>
      <c r="DI1155" s="73"/>
      <c r="DJ1155" s="73"/>
      <c r="DK1155" s="73"/>
      <c r="DL1155" s="73"/>
      <c r="DM1155" s="73"/>
    </row>
    <row r="1156" spans="1:117" s="48" customFormat="1">
      <c r="A1156" s="73"/>
      <c r="T1156" s="73"/>
      <c r="U1156" s="73"/>
      <c r="V1156" s="73"/>
      <c r="W1156" s="73"/>
      <c r="X1156" s="73"/>
      <c r="Y1156" s="73"/>
      <c r="Z1156" s="73"/>
      <c r="AA1156" s="73"/>
      <c r="AB1156" s="73"/>
      <c r="AC1156" s="73"/>
      <c r="AD1156" s="73"/>
      <c r="AE1156" s="73"/>
      <c r="AF1156" s="73"/>
      <c r="AG1156" s="73"/>
      <c r="AH1156" s="73"/>
      <c r="AI1156" s="73"/>
      <c r="AJ1156" s="73"/>
      <c r="AK1156" s="73"/>
      <c r="AL1156" s="73"/>
      <c r="AM1156" s="73"/>
      <c r="AN1156" s="73"/>
      <c r="AO1156" s="73"/>
      <c r="AP1156" s="73"/>
      <c r="AQ1156" s="73"/>
      <c r="AR1156" s="73"/>
      <c r="AS1156" s="73"/>
      <c r="AT1156" s="73"/>
      <c r="AU1156" s="73"/>
      <c r="AV1156" s="73"/>
      <c r="AW1156" s="73"/>
      <c r="AX1156" s="73"/>
      <c r="AY1156" s="73"/>
      <c r="AZ1156" s="73"/>
      <c r="BA1156" s="73"/>
      <c r="BB1156" s="73"/>
      <c r="BC1156" s="73"/>
      <c r="BD1156" s="73"/>
      <c r="BE1156" s="73"/>
      <c r="BF1156" s="73"/>
      <c r="BG1156" s="73"/>
      <c r="BH1156" s="73"/>
      <c r="BI1156" s="73"/>
      <c r="BJ1156" s="73"/>
      <c r="BK1156" s="73"/>
      <c r="BL1156" s="73"/>
      <c r="BM1156" s="73"/>
      <c r="BN1156" s="73"/>
      <c r="BO1156" s="73"/>
      <c r="BP1156" s="73"/>
      <c r="BQ1156" s="73"/>
      <c r="BR1156" s="73"/>
      <c r="BS1156" s="73"/>
      <c r="BT1156" s="73"/>
      <c r="BU1156" s="73"/>
      <c r="BV1156" s="73"/>
      <c r="BW1156" s="73"/>
      <c r="BX1156" s="73"/>
      <c r="BY1156" s="73"/>
      <c r="BZ1156" s="73"/>
      <c r="CA1156" s="73"/>
      <c r="CB1156" s="73"/>
      <c r="CC1156" s="73"/>
      <c r="CD1156" s="73"/>
      <c r="CE1156" s="73"/>
      <c r="CF1156" s="73"/>
      <c r="CG1156" s="73"/>
      <c r="CH1156" s="73"/>
      <c r="CI1156" s="73"/>
      <c r="CJ1156" s="73"/>
      <c r="CK1156" s="73"/>
      <c r="CL1156" s="73"/>
      <c r="CM1156" s="73"/>
      <c r="CN1156" s="73"/>
      <c r="CO1156" s="73"/>
      <c r="CP1156" s="73"/>
      <c r="CQ1156" s="73"/>
      <c r="CR1156" s="73"/>
      <c r="CS1156" s="73"/>
      <c r="CT1156" s="73"/>
      <c r="CU1156" s="73"/>
      <c r="CV1156" s="73"/>
      <c r="CW1156" s="73"/>
      <c r="CX1156" s="73"/>
      <c r="CY1156" s="73"/>
      <c r="CZ1156" s="73"/>
      <c r="DA1156" s="73"/>
      <c r="DB1156" s="73"/>
      <c r="DC1156" s="73"/>
      <c r="DD1156" s="73"/>
      <c r="DE1156" s="73"/>
      <c r="DF1156" s="73"/>
      <c r="DG1156" s="73"/>
      <c r="DH1156" s="73"/>
      <c r="DI1156" s="73"/>
      <c r="DJ1156" s="73"/>
      <c r="DK1156" s="73"/>
      <c r="DL1156" s="73"/>
      <c r="DM1156" s="73"/>
    </row>
    <row r="1157" spans="1:117" s="48" customFormat="1">
      <c r="A1157" s="73"/>
      <c r="T1157" s="73"/>
      <c r="U1157" s="73"/>
      <c r="V1157" s="73"/>
      <c r="W1157" s="73"/>
      <c r="X1157" s="73"/>
      <c r="Y1157" s="73"/>
      <c r="Z1157" s="73"/>
      <c r="AA1157" s="73"/>
      <c r="AB1157" s="73"/>
      <c r="AC1157" s="73"/>
      <c r="AD1157" s="73"/>
      <c r="AE1157" s="73"/>
      <c r="AF1157" s="73"/>
      <c r="AG1157" s="73"/>
      <c r="AH1157" s="73"/>
      <c r="AI1157" s="73"/>
      <c r="AJ1157" s="73"/>
      <c r="AK1157" s="73"/>
      <c r="AL1157" s="73"/>
      <c r="AM1157" s="73"/>
      <c r="AN1157" s="73"/>
      <c r="AO1157" s="73"/>
      <c r="AP1157" s="73"/>
      <c r="AQ1157" s="73"/>
      <c r="AR1157" s="73"/>
      <c r="AS1157" s="73"/>
      <c r="AT1157" s="73"/>
      <c r="AU1157" s="73"/>
      <c r="AV1157" s="73"/>
      <c r="AW1157" s="73"/>
      <c r="AX1157" s="73"/>
      <c r="AY1157" s="73"/>
      <c r="AZ1157" s="73"/>
      <c r="BA1157" s="73"/>
      <c r="BB1157" s="73"/>
      <c r="BC1157" s="73"/>
      <c r="BD1157" s="73"/>
      <c r="BE1157" s="73"/>
      <c r="BF1157" s="73"/>
      <c r="BG1157" s="73"/>
      <c r="BH1157" s="73"/>
      <c r="BI1157" s="73"/>
      <c r="BJ1157" s="73"/>
      <c r="BK1157" s="73"/>
      <c r="BL1157" s="73"/>
      <c r="BM1157" s="73"/>
      <c r="BN1157" s="73"/>
      <c r="BO1157" s="73"/>
      <c r="BP1157" s="73"/>
      <c r="BQ1157" s="73"/>
      <c r="BR1157" s="73"/>
      <c r="BS1157" s="73"/>
      <c r="BT1157" s="73"/>
      <c r="BU1157" s="73"/>
      <c r="BV1157" s="73"/>
      <c r="BW1157" s="73"/>
      <c r="BX1157" s="73"/>
      <c r="BY1157" s="73"/>
      <c r="BZ1157" s="73"/>
      <c r="CA1157" s="73"/>
      <c r="CB1157" s="73"/>
      <c r="CC1157" s="73"/>
      <c r="CD1157" s="73"/>
      <c r="CE1157" s="73"/>
      <c r="CF1157" s="73"/>
      <c r="CG1157" s="73"/>
      <c r="CH1157" s="73"/>
      <c r="CI1157" s="73"/>
      <c r="CJ1157" s="73"/>
      <c r="CK1157" s="73"/>
      <c r="CL1157" s="73"/>
      <c r="CM1157" s="73"/>
      <c r="CN1157" s="73"/>
      <c r="CO1157" s="73"/>
      <c r="CP1157" s="73"/>
      <c r="CQ1157" s="73"/>
      <c r="CR1157" s="73"/>
      <c r="CS1157" s="73"/>
      <c r="CT1157" s="73"/>
      <c r="CU1157" s="73"/>
      <c r="CV1157" s="73"/>
      <c r="CW1157" s="73"/>
      <c r="CX1157" s="73"/>
      <c r="CY1157" s="73"/>
      <c r="CZ1157" s="73"/>
      <c r="DA1157" s="73"/>
      <c r="DB1157" s="73"/>
      <c r="DC1157" s="73"/>
      <c r="DD1157" s="73"/>
      <c r="DE1157" s="73"/>
      <c r="DF1157" s="73"/>
      <c r="DG1157" s="73"/>
      <c r="DH1157" s="73"/>
      <c r="DI1157" s="73"/>
      <c r="DJ1157" s="73"/>
      <c r="DK1157" s="73"/>
      <c r="DL1157" s="73"/>
      <c r="DM1157" s="73"/>
    </row>
    <row r="1158" spans="1:117" s="48" customFormat="1">
      <c r="A1158" s="73"/>
      <c r="T1158" s="73"/>
      <c r="U1158" s="73"/>
      <c r="V1158" s="73"/>
      <c r="W1158" s="73"/>
      <c r="X1158" s="73"/>
      <c r="Y1158" s="73"/>
      <c r="Z1158" s="73"/>
      <c r="AA1158" s="73"/>
      <c r="AB1158" s="73"/>
      <c r="AC1158" s="73"/>
      <c r="AD1158" s="73"/>
      <c r="AE1158" s="73"/>
      <c r="AF1158" s="73"/>
      <c r="AG1158" s="73"/>
      <c r="AH1158" s="73"/>
      <c r="AI1158" s="73"/>
      <c r="AJ1158" s="73"/>
      <c r="AK1158" s="73"/>
      <c r="AL1158" s="73"/>
      <c r="AM1158" s="73"/>
      <c r="AN1158" s="73"/>
      <c r="AO1158" s="73"/>
      <c r="AP1158" s="73"/>
      <c r="AQ1158" s="73"/>
      <c r="AR1158" s="73"/>
      <c r="AS1158" s="73"/>
      <c r="AT1158" s="73"/>
      <c r="AU1158" s="73"/>
      <c r="AV1158" s="73"/>
      <c r="AW1158" s="73"/>
      <c r="AX1158" s="73"/>
      <c r="AY1158" s="73"/>
      <c r="AZ1158" s="73"/>
      <c r="BA1158" s="73"/>
      <c r="BB1158" s="73"/>
      <c r="BC1158" s="73"/>
      <c r="BD1158" s="73"/>
      <c r="BE1158" s="73"/>
      <c r="BF1158" s="73"/>
      <c r="BG1158" s="73"/>
      <c r="BH1158" s="73"/>
      <c r="BI1158" s="73"/>
      <c r="BJ1158" s="73"/>
      <c r="BK1158" s="73"/>
      <c r="BL1158" s="73"/>
      <c r="BM1158" s="73"/>
      <c r="BN1158" s="73"/>
      <c r="BO1158" s="73"/>
      <c r="BP1158" s="73"/>
      <c r="BQ1158" s="73"/>
      <c r="BR1158" s="73"/>
      <c r="BS1158" s="73"/>
      <c r="BT1158" s="73"/>
      <c r="BU1158" s="73"/>
      <c r="BV1158" s="73"/>
      <c r="BW1158" s="73"/>
      <c r="BX1158" s="73"/>
      <c r="BY1158" s="73"/>
      <c r="BZ1158" s="73"/>
      <c r="CA1158" s="73"/>
      <c r="CB1158" s="73"/>
      <c r="CC1158" s="73"/>
      <c r="CD1158" s="73"/>
      <c r="CE1158" s="73"/>
      <c r="CF1158" s="73"/>
      <c r="CG1158" s="73"/>
      <c r="CH1158" s="73"/>
      <c r="CI1158" s="73"/>
      <c r="CJ1158" s="73"/>
      <c r="CK1158" s="73"/>
      <c r="CL1158" s="73"/>
      <c r="CM1158" s="73"/>
      <c r="CN1158" s="73"/>
      <c r="CO1158" s="73"/>
      <c r="CP1158" s="73"/>
      <c r="CQ1158" s="73"/>
      <c r="CR1158" s="73"/>
      <c r="CS1158" s="73"/>
      <c r="CT1158" s="73"/>
      <c r="CU1158" s="73"/>
      <c r="CV1158" s="73"/>
      <c r="CW1158" s="73"/>
      <c r="CX1158" s="73"/>
      <c r="CY1158" s="73"/>
      <c r="CZ1158" s="73"/>
      <c r="DA1158" s="73"/>
      <c r="DB1158" s="73"/>
      <c r="DC1158" s="73"/>
      <c r="DD1158" s="73"/>
      <c r="DE1158" s="73"/>
      <c r="DF1158" s="73"/>
      <c r="DG1158" s="73"/>
      <c r="DH1158" s="73"/>
      <c r="DI1158" s="73"/>
      <c r="DJ1158" s="73"/>
      <c r="DK1158" s="73"/>
      <c r="DL1158" s="73"/>
      <c r="DM1158" s="73"/>
    </row>
    <row r="1159" spans="1:117" s="48" customFormat="1">
      <c r="A1159" s="73"/>
      <c r="T1159" s="73"/>
      <c r="U1159" s="73"/>
      <c r="V1159" s="73"/>
      <c r="W1159" s="73"/>
      <c r="X1159" s="73"/>
      <c r="Y1159" s="73"/>
      <c r="Z1159" s="73"/>
      <c r="AA1159" s="73"/>
      <c r="AB1159" s="73"/>
      <c r="AC1159" s="73"/>
      <c r="AD1159" s="73"/>
      <c r="AE1159" s="73"/>
      <c r="AF1159" s="73"/>
      <c r="AG1159" s="73"/>
      <c r="AH1159" s="73"/>
      <c r="AI1159" s="73"/>
      <c r="AJ1159" s="73"/>
      <c r="AK1159" s="73"/>
      <c r="AL1159" s="73"/>
      <c r="AM1159" s="73"/>
      <c r="AN1159" s="73"/>
      <c r="AO1159" s="73"/>
      <c r="AP1159" s="73"/>
      <c r="AQ1159" s="73"/>
      <c r="AR1159" s="73"/>
      <c r="AS1159" s="73"/>
      <c r="AT1159" s="73"/>
      <c r="AU1159" s="73"/>
      <c r="AV1159" s="73"/>
      <c r="AW1159" s="73"/>
      <c r="AX1159" s="73"/>
      <c r="AY1159" s="73"/>
      <c r="AZ1159" s="73"/>
      <c r="BA1159" s="73"/>
      <c r="BB1159" s="73"/>
      <c r="BC1159" s="73"/>
      <c r="BD1159" s="73"/>
      <c r="BE1159" s="73"/>
      <c r="BF1159" s="73"/>
      <c r="BG1159" s="73"/>
      <c r="BH1159" s="73"/>
      <c r="BI1159" s="73"/>
      <c r="BJ1159" s="73"/>
      <c r="BK1159" s="73"/>
      <c r="BL1159" s="73"/>
      <c r="BM1159" s="73"/>
      <c r="BN1159" s="73"/>
      <c r="BO1159" s="73"/>
      <c r="BP1159" s="73"/>
      <c r="BQ1159" s="73"/>
      <c r="BR1159" s="73"/>
      <c r="BS1159" s="73"/>
      <c r="BT1159" s="73"/>
      <c r="BU1159" s="73"/>
      <c r="BV1159" s="73"/>
      <c r="BW1159" s="73"/>
      <c r="BX1159" s="73"/>
      <c r="BY1159" s="73"/>
      <c r="BZ1159" s="73"/>
      <c r="CA1159" s="73"/>
      <c r="CB1159" s="73"/>
      <c r="CC1159" s="73"/>
      <c r="CD1159" s="73"/>
      <c r="CE1159" s="73"/>
      <c r="CF1159" s="73"/>
      <c r="CG1159" s="73"/>
      <c r="CH1159" s="73"/>
      <c r="CI1159" s="73"/>
      <c r="CJ1159" s="73"/>
      <c r="CK1159" s="73"/>
      <c r="CL1159" s="73"/>
      <c r="CM1159" s="73"/>
      <c r="CN1159" s="73"/>
      <c r="CO1159" s="73"/>
      <c r="CP1159" s="73"/>
      <c r="CQ1159" s="73"/>
      <c r="CR1159" s="73"/>
      <c r="CS1159" s="73"/>
      <c r="CT1159" s="73"/>
      <c r="CU1159" s="73"/>
      <c r="CV1159" s="73"/>
      <c r="CW1159" s="73"/>
      <c r="CX1159" s="73"/>
      <c r="CY1159" s="73"/>
      <c r="CZ1159" s="73"/>
      <c r="DA1159" s="73"/>
      <c r="DB1159" s="73"/>
      <c r="DC1159" s="73"/>
      <c r="DD1159" s="73"/>
      <c r="DE1159" s="73"/>
      <c r="DF1159" s="73"/>
      <c r="DG1159" s="73"/>
      <c r="DH1159" s="73"/>
      <c r="DI1159" s="73"/>
      <c r="DJ1159" s="73"/>
      <c r="DK1159" s="73"/>
      <c r="DL1159" s="73"/>
      <c r="DM1159" s="73"/>
    </row>
    <row r="1160" spans="1:117" s="48" customFormat="1">
      <c r="A1160" s="73"/>
      <c r="T1160" s="73"/>
      <c r="U1160" s="73"/>
      <c r="V1160" s="73"/>
      <c r="W1160" s="73"/>
      <c r="X1160" s="73"/>
      <c r="Y1160" s="73"/>
      <c r="Z1160" s="73"/>
      <c r="AA1160" s="73"/>
      <c r="AB1160" s="73"/>
      <c r="AC1160" s="73"/>
      <c r="AD1160" s="73"/>
      <c r="AE1160" s="73"/>
      <c r="AF1160" s="73"/>
      <c r="AG1160" s="73"/>
      <c r="AH1160" s="73"/>
      <c r="AI1160" s="73"/>
      <c r="AJ1160" s="73"/>
      <c r="AK1160" s="73"/>
      <c r="AL1160" s="73"/>
      <c r="AM1160" s="73"/>
      <c r="AN1160" s="73"/>
      <c r="AO1160" s="73"/>
      <c r="AP1160" s="73"/>
      <c r="AQ1160" s="73"/>
      <c r="AR1160" s="73"/>
      <c r="AS1160" s="73"/>
      <c r="AT1160" s="73"/>
      <c r="AU1160" s="73"/>
      <c r="AV1160" s="73"/>
      <c r="AW1160" s="73"/>
      <c r="AX1160" s="73"/>
      <c r="AY1160" s="73"/>
      <c r="AZ1160" s="73"/>
      <c r="BA1160" s="73"/>
      <c r="BB1160" s="73"/>
      <c r="BC1160" s="73"/>
      <c r="BD1160" s="73"/>
      <c r="BE1160" s="73"/>
      <c r="BF1160" s="73"/>
      <c r="BG1160" s="73"/>
      <c r="BH1160" s="73"/>
      <c r="BI1160" s="73"/>
      <c r="BJ1160" s="73"/>
      <c r="BK1160" s="73"/>
      <c r="BL1160" s="73"/>
      <c r="BM1160" s="73"/>
      <c r="BN1160" s="73"/>
      <c r="BO1160" s="73"/>
      <c r="BP1160" s="73"/>
      <c r="BQ1160" s="73"/>
      <c r="BR1160" s="73"/>
      <c r="BS1160" s="73"/>
      <c r="BT1160" s="73"/>
      <c r="BU1160" s="73"/>
      <c r="BV1160" s="73"/>
      <c r="BW1160" s="73"/>
      <c r="BX1160" s="73"/>
      <c r="BY1160" s="73"/>
      <c r="BZ1160" s="73"/>
      <c r="CA1160" s="73"/>
      <c r="CB1160" s="73"/>
      <c r="CC1160" s="73"/>
      <c r="CD1160" s="73"/>
      <c r="CE1160" s="73"/>
      <c r="CF1160" s="73"/>
      <c r="CG1160" s="73"/>
      <c r="CH1160" s="73"/>
      <c r="CI1160" s="73"/>
      <c r="CJ1160" s="73"/>
      <c r="CK1160" s="73"/>
      <c r="CL1160" s="73"/>
      <c r="CM1160" s="73"/>
      <c r="CN1160" s="73"/>
      <c r="CO1160" s="73"/>
      <c r="CP1160" s="73"/>
      <c r="CQ1160" s="73"/>
      <c r="CR1160" s="73"/>
      <c r="CS1160" s="73"/>
      <c r="CT1160" s="73"/>
      <c r="CU1160" s="73"/>
      <c r="CV1160" s="73"/>
      <c r="CW1160" s="73"/>
      <c r="CX1160" s="73"/>
      <c r="CY1160" s="73"/>
      <c r="CZ1160" s="73"/>
      <c r="DA1160" s="73"/>
      <c r="DB1160" s="73"/>
      <c r="DC1160" s="73"/>
      <c r="DD1160" s="73"/>
      <c r="DE1160" s="73"/>
      <c r="DF1160" s="73"/>
      <c r="DG1160" s="73"/>
      <c r="DH1160" s="73"/>
      <c r="DI1160" s="73"/>
      <c r="DJ1160" s="73"/>
      <c r="DK1160" s="73"/>
      <c r="DL1160" s="73"/>
      <c r="DM1160" s="73"/>
    </row>
    <row r="1161" spans="1:117" s="48" customFormat="1">
      <c r="A1161" s="73"/>
      <c r="T1161" s="73"/>
      <c r="U1161" s="73"/>
      <c r="V1161" s="73"/>
      <c r="W1161" s="73"/>
      <c r="X1161" s="73"/>
      <c r="Y1161" s="73"/>
      <c r="Z1161" s="73"/>
      <c r="AA1161" s="73"/>
      <c r="AB1161" s="73"/>
      <c r="AC1161" s="73"/>
      <c r="AD1161" s="73"/>
      <c r="AE1161" s="73"/>
      <c r="AF1161" s="73"/>
      <c r="AG1161" s="73"/>
      <c r="AH1161" s="73"/>
      <c r="AI1161" s="73"/>
      <c r="AJ1161" s="73"/>
      <c r="AK1161" s="73"/>
      <c r="AL1161" s="73"/>
      <c r="AM1161" s="73"/>
      <c r="AN1161" s="73"/>
      <c r="AO1161" s="73"/>
      <c r="AP1161" s="73"/>
      <c r="AQ1161" s="73"/>
      <c r="AR1161" s="73"/>
      <c r="AS1161" s="73"/>
      <c r="AT1161" s="73"/>
      <c r="AU1161" s="73"/>
      <c r="AV1161" s="73"/>
      <c r="AW1161" s="73"/>
      <c r="AX1161" s="73"/>
      <c r="AY1161" s="73"/>
      <c r="AZ1161" s="73"/>
      <c r="BA1161" s="73"/>
      <c r="BB1161" s="73"/>
      <c r="BC1161" s="73"/>
      <c r="BD1161" s="73"/>
      <c r="BE1161" s="73"/>
      <c r="BF1161" s="73"/>
      <c r="BG1161" s="73"/>
      <c r="BH1161" s="73"/>
      <c r="BI1161" s="73"/>
      <c r="BJ1161" s="73"/>
      <c r="BK1161" s="73"/>
      <c r="BL1161" s="73"/>
      <c r="BM1161" s="73"/>
      <c r="BN1161" s="73"/>
      <c r="BO1161" s="73"/>
      <c r="BP1161" s="73"/>
      <c r="BQ1161" s="73"/>
      <c r="BR1161" s="73"/>
      <c r="BS1161" s="73"/>
      <c r="BT1161" s="73"/>
      <c r="BU1161" s="73"/>
      <c r="BV1161" s="73"/>
      <c r="BW1161" s="73"/>
      <c r="BX1161" s="73"/>
      <c r="BY1161" s="73"/>
      <c r="BZ1161" s="73"/>
      <c r="CA1161" s="73"/>
      <c r="CB1161" s="73"/>
      <c r="CC1161" s="73"/>
      <c r="CD1161" s="73"/>
      <c r="CE1161" s="73"/>
      <c r="CF1161" s="73"/>
      <c r="CG1161" s="73"/>
      <c r="CH1161" s="73"/>
      <c r="CI1161" s="73"/>
      <c r="CJ1161" s="73"/>
      <c r="CK1161" s="73"/>
      <c r="CL1161" s="73"/>
      <c r="CM1161" s="73"/>
      <c r="CN1161" s="73"/>
      <c r="CO1161" s="73"/>
      <c r="CP1161" s="73"/>
      <c r="CQ1161" s="73"/>
      <c r="CR1161" s="73"/>
      <c r="CS1161" s="73"/>
      <c r="CT1161" s="73"/>
      <c r="CU1161" s="73"/>
      <c r="CV1161" s="73"/>
      <c r="CW1161" s="73"/>
      <c r="CX1161" s="73"/>
      <c r="CY1161" s="73"/>
      <c r="CZ1161" s="73"/>
      <c r="DA1161" s="73"/>
      <c r="DB1161" s="73"/>
      <c r="DC1161" s="73"/>
      <c r="DD1161" s="73"/>
      <c r="DE1161" s="73"/>
      <c r="DF1161" s="73"/>
      <c r="DG1161" s="73"/>
      <c r="DH1161" s="73"/>
      <c r="DI1161" s="73"/>
      <c r="DJ1161" s="73"/>
      <c r="DK1161" s="73"/>
      <c r="DL1161" s="73"/>
      <c r="DM1161" s="73"/>
    </row>
    <row r="1162" spans="1:117" s="48" customFormat="1">
      <c r="A1162" s="73"/>
      <c r="T1162" s="73"/>
      <c r="U1162" s="73"/>
      <c r="V1162" s="73"/>
      <c r="W1162" s="73"/>
      <c r="X1162" s="73"/>
      <c r="Y1162" s="73"/>
      <c r="Z1162" s="73"/>
      <c r="AA1162" s="73"/>
      <c r="AB1162" s="73"/>
      <c r="AC1162" s="73"/>
      <c r="AD1162" s="73"/>
      <c r="AE1162" s="73"/>
      <c r="AF1162" s="73"/>
      <c r="AG1162" s="73"/>
      <c r="AH1162" s="73"/>
      <c r="AI1162" s="73"/>
      <c r="AJ1162" s="73"/>
      <c r="AK1162" s="73"/>
      <c r="AL1162" s="73"/>
      <c r="AM1162" s="73"/>
      <c r="AN1162" s="73"/>
      <c r="AO1162" s="73"/>
      <c r="AP1162" s="73"/>
      <c r="AQ1162" s="73"/>
      <c r="AR1162" s="73"/>
      <c r="AS1162" s="73"/>
      <c r="AT1162" s="73"/>
      <c r="AU1162" s="73"/>
      <c r="AV1162" s="73"/>
      <c r="AW1162" s="73"/>
      <c r="AX1162" s="73"/>
      <c r="AY1162" s="73"/>
      <c r="AZ1162" s="73"/>
      <c r="BA1162" s="73"/>
      <c r="BB1162" s="73"/>
      <c r="BC1162" s="73"/>
      <c r="BD1162" s="73"/>
      <c r="BE1162" s="73"/>
      <c r="BF1162" s="73"/>
      <c r="BG1162" s="73"/>
      <c r="BH1162" s="73"/>
      <c r="BI1162" s="73"/>
      <c r="BJ1162" s="73"/>
      <c r="BK1162" s="73"/>
      <c r="BL1162" s="73"/>
      <c r="BM1162" s="73"/>
      <c r="BN1162" s="73"/>
      <c r="BO1162" s="73"/>
      <c r="BP1162" s="73"/>
      <c r="BQ1162" s="73"/>
      <c r="BR1162" s="73"/>
      <c r="BS1162" s="73"/>
      <c r="BT1162" s="73"/>
      <c r="BU1162" s="73"/>
      <c r="BV1162" s="73"/>
      <c r="BW1162" s="73"/>
      <c r="BX1162" s="73"/>
      <c r="BY1162" s="73"/>
      <c r="BZ1162" s="73"/>
      <c r="CA1162" s="73"/>
      <c r="CB1162" s="73"/>
      <c r="CC1162" s="73"/>
      <c r="CD1162" s="73"/>
      <c r="CE1162" s="73"/>
      <c r="CF1162" s="73"/>
      <c r="CG1162" s="73"/>
      <c r="CH1162" s="73"/>
      <c r="CI1162" s="73"/>
      <c r="CJ1162" s="73"/>
      <c r="CK1162" s="73"/>
      <c r="CL1162" s="73"/>
      <c r="CM1162" s="73"/>
      <c r="CN1162" s="73"/>
      <c r="CO1162" s="73"/>
      <c r="CP1162" s="73"/>
      <c r="CQ1162" s="73"/>
      <c r="CR1162" s="73"/>
      <c r="CS1162" s="73"/>
      <c r="CT1162" s="73"/>
      <c r="CU1162" s="73"/>
      <c r="CV1162" s="73"/>
      <c r="CW1162" s="73"/>
      <c r="CX1162" s="73"/>
      <c r="CY1162" s="73"/>
      <c r="CZ1162" s="73"/>
      <c r="DA1162" s="73"/>
      <c r="DB1162" s="73"/>
      <c r="DC1162" s="73"/>
      <c r="DD1162" s="73"/>
      <c r="DE1162" s="73"/>
      <c r="DF1162" s="73"/>
      <c r="DG1162" s="73"/>
      <c r="DH1162" s="73"/>
      <c r="DI1162" s="73"/>
      <c r="DJ1162" s="73"/>
      <c r="DK1162" s="73"/>
      <c r="DL1162" s="73"/>
      <c r="DM1162" s="73"/>
    </row>
    <row r="1163" spans="1:117" s="48" customFormat="1">
      <c r="A1163" s="73"/>
      <c r="T1163" s="73"/>
      <c r="U1163" s="73"/>
      <c r="V1163" s="73"/>
      <c r="W1163" s="73"/>
      <c r="X1163" s="73"/>
      <c r="Y1163" s="73"/>
      <c r="Z1163" s="73"/>
      <c r="AA1163" s="73"/>
      <c r="AB1163" s="73"/>
      <c r="AC1163" s="73"/>
      <c r="AD1163" s="73"/>
      <c r="AE1163" s="73"/>
      <c r="AF1163" s="73"/>
      <c r="AG1163" s="73"/>
      <c r="AH1163" s="73"/>
      <c r="AI1163" s="73"/>
      <c r="AJ1163" s="73"/>
      <c r="AK1163" s="73"/>
      <c r="AL1163" s="73"/>
      <c r="AM1163" s="73"/>
      <c r="AN1163" s="73"/>
      <c r="AO1163" s="73"/>
      <c r="AP1163" s="73"/>
      <c r="AQ1163" s="73"/>
      <c r="AR1163" s="73"/>
      <c r="AS1163" s="73"/>
      <c r="AT1163" s="73"/>
      <c r="AU1163" s="73"/>
      <c r="AV1163" s="73"/>
      <c r="AW1163" s="73"/>
      <c r="AX1163" s="73"/>
      <c r="AY1163" s="73"/>
      <c r="AZ1163" s="73"/>
      <c r="BA1163" s="73"/>
      <c r="BB1163" s="73"/>
      <c r="BC1163" s="73"/>
      <c r="BD1163" s="73"/>
      <c r="BE1163" s="73"/>
      <c r="BF1163" s="73"/>
      <c r="BG1163" s="73"/>
      <c r="BH1163" s="73"/>
      <c r="BI1163" s="73"/>
      <c r="BJ1163" s="73"/>
      <c r="BK1163" s="73"/>
      <c r="BL1163" s="73"/>
      <c r="BM1163" s="73"/>
      <c r="BN1163" s="73"/>
      <c r="BO1163" s="73"/>
      <c r="BP1163" s="73"/>
      <c r="BQ1163" s="73"/>
      <c r="BR1163" s="73"/>
      <c r="BS1163" s="73"/>
      <c r="BT1163" s="73"/>
      <c r="BU1163" s="73"/>
      <c r="BV1163" s="73"/>
      <c r="BW1163" s="73"/>
      <c r="BX1163" s="73"/>
      <c r="BY1163" s="73"/>
      <c r="BZ1163" s="73"/>
      <c r="CA1163" s="73"/>
      <c r="CB1163" s="73"/>
      <c r="CC1163" s="73"/>
      <c r="CD1163" s="73"/>
      <c r="CE1163" s="73"/>
      <c r="CF1163" s="73"/>
      <c r="CG1163" s="73"/>
      <c r="CH1163" s="73"/>
      <c r="CI1163" s="73"/>
      <c r="CJ1163" s="73"/>
      <c r="CK1163" s="73"/>
      <c r="CL1163" s="73"/>
      <c r="CM1163" s="73"/>
      <c r="CN1163" s="73"/>
      <c r="CO1163" s="73"/>
      <c r="CP1163" s="73"/>
      <c r="CQ1163" s="73"/>
      <c r="CR1163" s="73"/>
      <c r="CS1163" s="73"/>
      <c r="CT1163" s="73"/>
      <c r="CU1163" s="73"/>
      <c r="CV1163" s="73"/>
      <c r="CW1163" s="73"/>
      <c r="CX1163" s="73"/>
      <c r="CY1163" s="73"/>
      <c r="CZ1163" s="73"/>
      <c r="DA1163" s="73"/>
      <c r="DB1163" s="73"/>
      <c r="DC1163" s="73"/>
      <c r="DD1163" s="73"/>
      <c r="DE1163" s="73"/>
      <c r="DF1163" s="73"/>
      <c r="DG1163" s="73"/>
      <c r="DH1163" s="73"/>
      <c r="DI1163" s="73"/>
      <c r="DJ1163" s="73"/>
      <c r="DK1163" s="73"/>
      <c r="DL1163" s="73"/>
      <c r="DM1163" s="73"/>
    </row>
    <row r="1164" spans="1:117" s="48" customFormat="1">
      <c r="A1164" s="73"/>
      <c r="T1164" s="73"/>
      <c r="U1164" s="73"/>
      <c r="V1164" s="73"/>
      <c r="W1164" s="73"/>
      <c r="X1164" s="73"/>
      <c r="Y1164" s="73"/>
      <c r="Z1164" s="73"/>
      <c r="AA1164" s="73"/>
      <c r="AB1164" s="73"/>
      <c r="AC1164" s="73"/>
      <c r="AD1164" s="73"/>
      <c r="AE1164" s="73"/>
      <c r="AF1164" s="73"/>
      <c r="AG1164" s="73"/>
      <c r="AH1164" s="73"/>
      <c r="AI1164" s="73"/>
      <c r="AJ1164" s="73"/>
      <c r="AK1164" s="73"/>
      <c r="AL1164" s="73"/>
      <c r="AM1164" s="73"/>
      <c r="AN1164" s="73"/>
      <c r="AO1164" s="73"/>
      <c r="AP1164" s="73"/>
      <c r="AQ1164" s="73"/>
      <c r="AR1164" s="73"/>
      <c r="AS1164" s="73"/>
      <c r="AT1164" s="73"/>
      <c r="AU1164" s="73"/>
      <c r="AV1164" s="73"/>
      <c r="AW1164" s="73"/>
      <c r="AX1164" s="73"/>
      <c r="AY1164" s="73"/>
      <c r="AZ1164" s="73"/>
      <c r="BA1164" s="73"/>
      <c r="BB1164" s="73"/>
      <c r="BC1164" s="73"/>
      <c r="BD1164" s="73"/>
      <c r="BE1164" s="73"/>
      <c r="BF1164" s="73"/>
      <c r="BG1164" s="73"/>
      <c r="BH1164" s="73"/>
      <c r="BI1164" s="73"/>
      <c r="BJ1164" s="73"/>
      <c r="BK1164" s="73"/>
      <c r="BL1164" s="73"/>
      <c r="BM1164" s="73"/>
      <c r="BN1164" s="73"/>
      <c r="BO1164" s="73"/>
      <c r="BP1164" s="73"/>
      <c r="BQ1164" s="73"/>
      <c r="BR1164" s="73"/>
      <c r="BS1164" s="73"/>
      <c r="BT1164" s="73"/>
      <c r="BU1164" s="73"/>
      <c r="BV1164" s="73"/>
      <c r="BW1164" s="73"/>
      <c r="BX1164" s="73"/>
      <c r="BY1164" s="73"/>
      <c r="BZ1164" s="73"/>
      <c r="CA1164" s="73"/>
      <c r="CB1164" s="73"/>
      <c r="CC1164" s="73"/>
      <c r="CD1164" s="73"/>
      <c r="CE1164" s="73"/>
      <c r="CF1164" s="73"/>
      <c r="CG1164" s="73"/>
      <c r="CH1164" s="73"/>
      <c r="CI1164" s="73"/>
      <c r="CJ1164" s="73"/>
      <c r="CK1164" s="73"/>
      <c r="CL1164" s="73"/>
      <c r="CM1164" s="73"/>
      <c r="CN1164" s="73"/>
      <c r="CO1164" s="73"/>
      <c r="CP1164" s="73"/>
      <c r="CQ1164" s="73"/>
      <c r="CR1164" s="73"/>
      <c r="CS1164" s="73"/>
      <c r="CT1164" s="73"/>
      <c r="CU1164" s="73"/>
      <c r="CV1164" s="73"/>
      <c r="CW1164" s="73"/>
      <c r="CX1164" s="73"/>
      <c r="CY1164" s="73"/>
      <c r="CZ1164" s="73"/>
      <c r="DA1164" s="73"/>
      <c r="DB1164" s="73"/>
      <c r="DC1164" s="73"/>
      <c r="DD1164" s="73"/>
      <c r="DE1164" s="73"/>
      <c r="DF1164" s="73"/>
      <c r="DG1164" s="73"/>
      <c r="DH1164" s="73"/>
      <c r="DI1164" s="73"/>
      <c r="DJ1164" s="73"/>
      <c r="DK1164" s="73"/>
      <c r="DL1164" s="73"/>
      <c r="DM1164" s="73"/>
    </row>
    <row r="1165" spans="1:117" s="48" customFormat="1">
      <c r="A1165" s="73"/>
      <c r="T1165" s="73"/>
      <c r="U1165" s="73"/>
      <c r="V1165" s="73"/>
      <c r="W1165" s="73"/>
      <c r="X1165" s="73"/>
      <c r="Y1165" s="73"/>
      <c r="Z1165" s="73"/>
      <c r="AA1165" s="73"/>
      <c r="AB1165" s="73"/>
      <c r="AC1165" s="73"/>
      <c r="AD1165" s="73"/>
      <c r="AE1165" s="73"/>
      <c r="AF1165" s="73"/>
      <c r="AG1165" s="73"/>
      <c r="AH1165" s="73"/>
      <c r="AI1165" s="73"/>
      <c r="AJ1165" s="73"/>
      <c r="AK1165" s="73"/>
      <c r="AL1165" s="73"/>
      <c r="AM1165" s="73"/>
      <c r="AN1165" s="73"/>
      <c r="AO1165" s="73"/>
      <c r="AP1165" s="73"/>
      <c r="AQ1165" s="73"/>
      <c r="AR1165" s="73"/>
      <c r="AS1165" s="73"/>
      <c r="AT1165" s="73"/>
      <c r="AU1165" s="73"/>
      <c r="AV1165" s="73"/>
      <c r="AW1165" s="73"/>
      <c r="AX1165" s="73"/>
      <c r="AY1165" s="73"/>
      <c r="AZ1165" s="73"/>
      <c r="BA1165" s="73"/>
      <c r="BB1165" s="73"/>
      <c r="BC1165" s="73"/>
      <c r="BD1165" s="73"/>
      <c r="BE1165" s="73"/>
      <c r="BF1165" s="73"/>
      <c r="BG1165" s="73"/>
      <c r="BH1165" s="73"/>
      <c r="BI1165" s="73"/>
      <c r="BJ1165" s="73"/>
      <c r="BK1165" s="73"/>
      <c r="BL1165" s="73"/>
      <c r="BM1165" s="73"/>
      <c r="BN1165" s="73"/>
      <c r="BO1165" s="73"/>
      <c r="BP1165" s="73"/>
      <c r="BQ1165" s="73"/>
      <c r="BR1165" s="73"/>
      <c r="BS1165" s="73"/>
      <c r="BT1165" s="73"/>
      <c r="BU1165" s="73"/>
      <c r="BV1165" s="73"/>
      <c r="BW1165" s="73"/>
      <c r="BX1165" s="73"/>
      <c r="BY1165" s="73"/>
      <c r="BZ1165" s="73"/>
      <c r="CA1165" s="73"/>
      <c r="CB1165" s="73"/>
      <c r="CC1165" s="73"/>
      <c r="CD1165" s="73"/>
      <c r="CE1165" s="73"/>
      <c r="CF1165" s="73"/>
      <c r="CG1165" s="73"/>
      <c r="CH1165" s="73"/>
      <c r="CI1165" s="73"/>
      <c r="CJ1165" s="73"/>
      <c r="CK1165" s="73"/>
      <c r="CL1165" s="73"/>
      <c r="CM1165" s="73"/>
      <c r="CN1165" s="73"/>
      <c r="CO1165" s="73"/>
      <c r="CP1165" s="73"/>
      <c r="CQ1165" s="73"/>
      <c r="CR1165" s="73"/>
      <c r="CS1165" s="73"/>
      <c r="CT1165" s="73"/>
      <c r="CU1165" s="73"/>
      <c r="CV1165" s="73"/>
      <c r="CW1165" s="73"/>
      <c r="CX1165" s="73"/>
      <c r="CY1165" s="73"/>
      <c r="CZ1165" s="73"/>
      <c r="DA1165" s="73"/>
      <c r="DB1165" s="73"/>
      <c r="DC1165" s="73"/>
      <c r="DD1165" s="73"/>
      <c r="DE1165" s="73"/>
      <c r="DF1165" s="73"/>
      <c r="DG1165" s="73"/>
      <c r="DH1165" s="73"/>
      <c r="DI1165" s="73"/>
      <c r="DJ1165" s="73"/>
      <c r="DK1165" s="73"/>
      <c r="DL1165" s="73"/>
      <c r="DM1165" s="73"/>
    </row>
    <row r="1166" spans="1:117" s="48" customFormat="1">
      <c r="A1166" s="73"/>
      <c r="T1166" s="73"/>
      <c r="U1166" s="73"/>
      <c r="V1166" s="73"/>
      <c r="W1166" s="73"/>
      <c r="X1166" s="73"/>
      <c r="Y1166" s="73"/>
      <c r="Z1166" s="73"/>
      <c r="AA1166" s="73"/>
      <c r="AB1166" s="73"/>
      <c r="AC1166" s="73"/>
      <c r="AD1166" s="73"/>
      <c r="AE1166" s="73"/>
      <c r="AF1166" s="73"/>
      <c r="AG1166" s="73"/>
      <c r="AH1166" s="73"/>
      <c r="AI1166" s="73"/>
      <c r="AJ1166" s="73"/>
      <c r="AK1166" s="73"/>
      <c r="AL1166" s="73"/>
      <c r="AM1166" s="73"/>
      <c r="AN1166" s="73"/>
      <c r="AO1166" s="73"/>
      <c r="AP1166" s="73"/>
      <c r="AQ1166" s="73"/>
      <c r="AR1166" s="73"/>
      <c r="AS1166" s="73"/>
      <c r="AT1166" s="73"/>
      <c r="AU1166" s="73"/>
      <c r="AV1166" s="73"/>
      <c r="AW1166" s="73"/>
      <c r="AX1166" s="73"/>
      <c r="AY1166" s="73"/>
      <c r="AZ1166" s="73"/>
      <c r="BA1166" s="73"/>
      <c r="BB1166" s="73"/>
      <c r="BC1166" s="73"/>
      <c r="BD1166" s="73"/>
      <c r="BE1166" s="73"/>
      <c r="BF1166" s="73"/>
      <c r="BG1166" s="73"/>
      <c r="BH1166" s="73"/>
      <c r="BI1166" s="73"/>
      <c r="BJ1166" s="73"/>
      <c r="BK1166" s="73"/>
      <c r="BL1166" s="73"/>
      <c r="BM1166" s="73"/>
      <c r="BN1166" s="73"/>
      <c r="BO1166" s="73"/>
      <c r="BP1166" s="73"/>
      <c r="BQ1166" s="73"/>
      <c r="BR1166" s="73"/>
      <c r="BS1166" s="73"/>
      <c r="BT1166" s="73"/>
      <c r="BU1166" s="73"/>
      <c r="BV1166" s="73"/>
      <c r="BW1166" s="73"/>
      <c r="BX1166" s="73"/>
      <c r="BY1166" s="73"/>
      <c r="BZ1166" s="73"/>
      <c r="CA1166" s="73"/>
      <c r="CB1166" s="73"/>
      <c r="CC1166" s="73"/>
      <c r="CD1166" s="73"/>
      <c r="CE1166" s="73"/>
      <c r="CF1166" s="73"/>
      <c r="CG1166" s="73"/>
      <c r="CH1166" s="73"/>
      <c r="CI1166" s="73"/>
      <c r="CJ1166" s="73"/>
      <c r="CK1166" s="73"/>
      <c r="CL1166" s="73"/>
      <c r="CM1166" s="73"/>
      <c r="CN1166" s="73"/>
      <c r="CO1166" s="73"/>
      <c r="CP1166" s="73"/>
      <c r="CQ1166" s="73"/>
      <c r="CR1166" s="73"/>
      <c r="CS1166" s="73"/>
      <c r="CT1166" s="73"/>
      <c r="CU1166" s="73"/>
      <c r="CV1166" s="73"/>
      <c r="CW1166" s="73"/>
      <c r="CX1166" s="73"/>
      <c r="CY1166" s="73"/>
      <c r="CZ1166" s="73"/>
      <c r="DA1166" s="73"/>
      <c r="DB1166" s="73"/>
      <c r="DC1166" s="73"/>
      <c r="DD1166" s="73"/>
      <c r="DE1166" s="73"/>
      <c r="DF1166" s="73"/>
      <c r="DG1166" s="73"/>
      <c r="DH1166" s="73"/>
      <c r="DI1166" s="73"/>
      <c r="DJ1166" s="73"/>
      <c r="DK1166" s="73"/>
      <c r="DL1166" s="73"/>
      <c r="DM1166" s="73"/>
    </row>
    <row r="1167" spans="1:117" s="48" customFormat="1">
      <c r="A1167" s="73"/>
      <c r="T1167" s="73"/>
      <c r="U1167" s="73"/>
      <c r="V1167" s="73"/>
      <c r="W1167" s="73"/>
      <c r="X1167" s="73"/>
      <c r="Y1167" s="73"/>
      <c r="Z1167" s="73"/>
      <c r="AA1167" s="73"/>
      <c r="AB1167" s="73"/>
      <c r="AC1167" s="73"/>
      <c r="AD1167" s="73"/>
      <c r="AE1167" s="73"/>
      <c r="AF1167" s="73"/>
      <c r="AG1167" s="73"/>
      <c r="AH1167" s="73"/>
      <c r="AI1167" s="73"/>
      <c r="AJ1167" s="73"/>
      <c r="AK1167" s="73"/>
      <c r="AL1167" s="73"/>
      <c r="AM1167" s="73"/>
      <c r="AN1167" s="73"/>
      <c r="AO1167" s="73"/>
      <c r="AP1167" s="73"/>
      <c r="AQ1167" s="73"/>
      <c r="AR1167" s="73"/>
      <c r="AS1167" s="73"/>
      <c r="AT1167" s="73"/>
      <c r="AU1167" s="73"/>
      <c r="AV1167" s="73"/>
      <c r="AW1167" s="73"/>
      <c r="AX1167" s="73"/>
      <c r="AY1167" s="73"/>
      <c r="AZ1167" s="73"/>
      <c r="BA1167" s="73"/>
      <c r="BB1167" s="73"/>
      <c r="BC1167" s="73"/>
      <c r="BD1167" s="73"/>
      <c r="BE1167" s="73"/>
      <c r="BF1167" s="73"/>
      <c r="BG1167" s="73"/>
      <c r="BH1167" s="73"/>
      <c r="BI1167" s="73"/>
      <c r="BJ1167" s="73"/>
      <c r="BK1167" s="73"/>
      <c r="BL1167" s="73"/>
      <c r="BM1167" s="73"/>
      <c r="BN1167" s="73"/>
      <c r="BO1167" s="73"/>
      <c r="BP1167" s="73"/>
      <c r="BQ1167" s="73"/>
      <c r="BR1167" s="73"/>
      <c r="BS1167" s="73"/>
      <c r="BT1167" s="73"/>
      <c r="BU1167" s="73"/>
      <c r="BV1167" s="73"/>
      <c r="BW1167" s="73"/>
      <c r="BX1167" s="73"/>
      <c r="BY1167" s="73"/>
      <c r="BZ1167" s="73"/>
      <c r="CA1167" s="73"/>
      <c r="CB1167" s="73"/>
      <c r="CC1167" s="73"/>
      <c r="CD1167" s="73"/>
      <c r="CE1167" s="73"/>
      <c r="CF1167" s="73"/>
      <c r="CG1167" s="73"/>
      <c r="CH1167" s="73"/>
      <c r="CI1167" s="73"/>
      <c r="CJ1167" s="73"/>
      <c r="CK1167" s="73"/>
      <c r="CL1167" s="73"/>
      <c r="CM1167" s="73"/>
      <c r="CN1167" s="73"/>
      <c r="CO1167" s="73"/>
      <c r="CP1167" s="73"/>
      <c r="CQ1167" s="73"/>
      <c r="CR1167" s="73"/>
      <c r="CS1167" s="73"/>
      <c r="CT1167" s="73"/>
      <c r="CU1167" s="73"/>
      <c r="CV1167" s="73"/>
      <c r="CW1167" s="73"/>
      <c r="CX1167" s="73"/>
      <c r="CY1167" s="73"/>
      <c r="CZ1167" s="73"/>
      <c r="DA1167" s="73"/>
      <c r="DB1167" s="73"/>
      <c r="DC1167" s="73"/>
      <c r="DD1167" s="73"/>
      <c r="DE1167" s="73"/>
      <c r="DF1167" s="73"/>
      <c r="DG1167" s="73"/>
      <c r="DH1167" s="73"/>
      <c r="DI1167" s="73"/>
      <c r="DJ1167" s="73"/>
      <c r="DK1167" s="73"/>
      <c r="DL1167" s="73"/>
      <c r="DM1167" s="73"/>
    </row>
    <row r="1168" spans="1:117" s="48" customFormat="1">
      <c r="A1168" s="73"/>
      <c r="T1168" s="73"/>
      <c r="U1168" s="73"/>
      <c r="V1168" s="73"/>
      <c r="W1168" s="73"/>
      <c r="X1168" s="73"/>
      <c r="Y1168" s="73"/>
      <c r="Z1168" s="73"/>
      <c r="AA1168" s="73"/>
      <c r="AB1168" s="73"/>
      <c r="AC1168" s="73"/>
      <c r="AD1168" s="73"/>
      <c r="AE1168" s="73"/>
      <c r="AF1168" s="73"/>
      <c r="AG1168" s="73"/>
      <c r="AH1168" s="73"/>
      <c r="AI1168" s="73"/>
      <c r="AJ1168" s="73"/>
      <c r="AK1168" s="73"/>
      <c r="AL1168" s="73"/>
      <c r="AM1168" s="73"/>
      <c r="AN1168" s="73"/>
      <c r="AO1168" s="73"/>
      <c r="AP1168" s="73"/>
      <c r="AQ1168" s="73"/>
      <c r="AR1168" s="73"/>
      <c r="AS1168" s="73"/>
      <c r="AT1168" s="73"/>
      <c r="AU1168" s="73"/>
      <c r="AV1168" s="73"/>
      <c r="AW1168" s="73"/>
      <c r="AX1168" s="73"/>
      <c r="AY1168" s="73"/>
      <c r="AZ1168" s="73"/>
      <c r="BA1168" s="73"/>
      <c r="BB1168" s="73"/>
      <c r="BC1168" s="73"/>
      <c r="BD1168" s="73"/>
      <c r="BE1168" s="73"/>
      <c r="BF1168" s="73"/>
      <c r="BG1168" s="73"/>
      <c r="BH1168" s="73"/>
      <c r="BI1168" s="73"/>
      <c r="BJ1168" s="73"/>
      <c r="BK1168" s="73"/>
      <c r="BL1168" s="73"/>
      <c r="BM1168" s="73"/>
      <c r="BN1168" s="73"/>
      <c r="BO1168" s="73"/>
      <c r="BP1168" s="73"/>
      <c r="BQ1168" s="73"/>
      <c r="BR1168" s="73"/>
      <c r="BS1168" s="73"/>
      <c r="BT1168" s="73"/>
      <c r="BU1168" s="73"/>
      <c r="BV1168" s="73"/>
      <c r="BW1168" s="73"/>
      <c r="BX1168" s="73"/>
      <c r="BY1168" s="73"/>
      <c r="BZ1168" s="73"/>
      <c r="CA1168" s="73"/>
      <c r="CB1168" s="73"/>
      <c r="CC1168" s="73"/>
      <c r="CD1168" s="73"/>
      <c r="CE1168" s="73"/>
      <c r="CF1168" s="73"/>
      <c r="CG1168" s="73"/>
      <c r="CH1168" s="73"/>
      <c r="CI1168" s="73"/>
      <c r="CJ1168" s="73"/>
      <c r="CK1168" s="73"/>
      <c r="CL1168" s="73"/>
      <c r="CM1168" s="73"/>
      <c r="CN1168" s="73"/>
      <c r="CO1168" s="73"/>
      <c r="CP1168" s="73"/>
      <c r="CQ1168" s="73"/>
      <c r="CR1168" s="73"/>
      <c r="CS1168" s="73"/>
      <c r="CT1168" s="73"/>
      <c r="CU1168" s="73"/>
      <c r="CV1168" s="73"/>
      <c r="CW1168" s="73"/>
      <c r="CX1168" s="73"/>
      <c r="CY1168" s="73"/>
      <c r="CZ1168" s="73"/>
      <c r="DA1168" s="73"/>
      <c r="DB1168" s="73"/>
      <c r="DC1168" s="73"/>
      <c r="DD1168" s="73"/>
      <c r="DE1168" s="73"/>
      <c r="DF1168" s="73"/>
      <c r="DG1168" s="73"/>
      <c r="DH1168" s="73"/>
      <c r="DI1168" s="73"/>
      <c r="DJ1168" s="73"/>
      <c r="DK1168" s="73"/>
      <c r="DL1168" s="73"/>
      <c r="DM1168" s="73"/>
    </row>
    <row r="1169" spans="1:117" s="48" customFormat="1">
      <c r="A1169" s="73"/>
      <c r="T1169" s="73"/>
      <c r="U1169" s="73"/>
      <c r="V1169" s="73"/>
      <c r="W1169" s="73"/>
      <c r="X1169" s="73"/>
      <c r="Y1169" s="73"/>
      <c r="Z1169" s="73"/>
      <c r="AA1169" s="73"/>
      <c r="AB1169" s="73"/>
      <c r="AC1169" s="73"/>
      <c r="AD1169" s="73"/>
      <c r="AE1169" s="73"/>
      <c r="AF1169" s="73"/>
      <c r="AG1169" s="73"/>
      <c r="AH1169" s="73"/>
      <c r="AI1169" s="73"/>
      <c r="AJ1169" s="73"/>
      <c r="AK1169" s="73"/>
      <c r="AL1169" s="73"/>
      <c r="AM1169" s="73"/>
      <c r="AN1169" s="73"/>
      <c r="AO1169" s="73"/>
      <c r="AP1169" s="73"/>
      <c r="AQ1169" s="73"/>
      <c r="AR1169" s="73"/>
      <c r="AS1169" s="73"/>
      <c r="AT1169" s="73"/>
      <c r="AU1169" s="73"/>
      <c r="AV1169" s="73"/>
      <c r="AW1169" s="73"/>
      <c r="AX1169" s="73"/>
      <c r="AY1169" s="73"/>
      <c r="AZ1169" s="73"/>
      <c r="BA1169" s="73"/>
      <c r="BB1169" s="73"/>
      <c r="BC1169" s="73"/>
      <c r="BD1169" s="73"/>
      <c r="BE1169" s="73"/>
      <c r="BF1169" s="73"/>
      <c r="BG1169" s="73"/>
      <c r="BH1169" s="73"/>
      <c r="BI1169" s="73"/>
      <c r="BJ1169" s="73"/>
      <c r="BK1169" s="73"/>
      <c r="BL1169" s="73"/>
      <c r="BM1169" s="73"/>
      <c r="BN1169" s="73"/>
      <c r="BO1169" s="73"/>
      <c r="BP1169" s="73"/>
      <c r="BQ1169" s="73"/>
      <c r="BR1169" s="73"/>
      <c r="BS1169" s="73"/>
      <c r="BT1169" s="73"/>
      <c r="BU1169" s="73"/>
      <c r="BV1169" s="73"/>
      <c r="BW1169" s="73"/>
      <c r="BX1169" s="73"/>
      <c r="BY1169" s="73"/>
      <c r="BZ1169" s="73"/>
      <c r="CA1169" s="73"/>
      <c r="CB1169" s="73"/>
      <c r="CC1169" s="73"/>
      <c r="CD1169" s="73"/>
      <c r="CE1169" s="73"/>
      <c r="CF1169" s="73"/>
      <c r="CG1169" s="73"/>
      <c r="CH1169" s="73"/>
      <c r="CI1169" s="73"/>
      <c r="CJ1169" s="73"/>
      <c r="CK1169" s="73"/>
      <c r="CL1169" s="73"/>
      <c r="CM1169" s="73"/>
      <c r="CN1169" s="73"/>
      <c r="CO1169" s="73"/>
      <c r="CP1169" s="73"/>
      <c r="CQ1169" s="73"/>
      <c r="CR1169" s="73"/>
      <c r="CS1169" s="73"/>
      <c r="CT1169" s="73"/>
      <c r="CU1169" s="73"/>
      <c r="CV1169" s="73"/>
      <c r="CW1169" s="73"/>
      <c r="CX1169" s="73"/>
      <c r="CY1169" s="73"/>
      <c r="CZ1169" s="73"/>
      <c r="DA1169" s="73"/>
      <c r="DB1169" s="73"/>
      <c r="DC1169" s="73"/>
      <c r="DD1169" s="73"/>
      <c r="DE1169" s="73"/>
      <c r="DF1169" s="73"/>
      <c r="DG1169" s="73"/>
      <c r="DH1169" s="73"/>
      <c r="DI1169" s="73"/>
      <c r="DJ1169" s="73"/>
      <c r="DK1169" s="73"/>
      <c r="DL1169" s="73"/>
      <c r="DM1169" s="73"/>
    </row>
    <row r="1170" spans="1:117" s="48" customFormat="1">
      <c r="A1170" s="73"/>
      <c r="T1170" s="73"/>
      <c r="U1170" s="73"/>
      <c r="V1170" s="73"/>
      <c r="W1170" s="73"/>
      <c r="X1170" s="73"/>
      <c r="Y1170" s="73"/>
      <c r="Z1170" s="73"/>
      <c r="AA1170" s="73"/>
      <c r="AB1170" s="73"/>
      <c r="AC1170" s="73"/>
      <c r="AD1170" s="73"/>
      <c r="AE1170" s="73"/>
      <c r="AF1170" s="73"/>
      <c r="AG1170" s="73"/>
      <c r="AH1170" s="73"/>
      <c r="AI1170" s="73"/>
      <c r="AJ1170" s="73"/>
      <c r="AK1170" s="73"/>
      <c r="AL1170" s="73"/>
      <c r="AM1170" s="73"/>
      <c r="AN1170" s="73"/>
      <c r="AO1170" s="73"/>
      <c r="AP1170" s="73"/>
      <c r="AQ1170" s="73"/>
      <c r="AR1170" s="73"/>
      <c r="AS1170" s="73"/>
      <c r="AT1170" s="73"/>
      <c r="AU1170" s="73"/>
      <c r="AV1170" s="73"/>
      <c r="AW1170" s="73"/>
      <c r="AX1170" s="73"/>
      <c r="AY1170" s="73"/>
      <c r="AZ1170" s="73"/>
      <c r="BA1170" s="73"/>
      <c r="BB1170" s="73"/>
      <c r="BC1170" s="73"/>
      <c r="BD1170" s="73"/>
      <c r="BE1170" s="73"/>
      <c r="BF1170" s="73"/>
      <c r="BG1170" s="73"/>
      <c r="BH1170" s="73"/>
      <c r="BI1170" s="73"/>
      <c r="BJ1170" s="73"/>
      <c r="BK1170" s="73"/>
      <c r="BL1170" s="73"/>
      <c r="BM1170" s="73"/>
      <c r="BN1170" s="73"/>
      <c r="BO1170" s="73"/>
      <c r="BP1170" s="73"/>
      <c r="BQ1170" s="73"/>
      <c r="BR1170" s="73"/>
      <c r="BS1170" s="73"/>
      <c r="BT1170" s="73"/>
      <c r="BU1170" s="73"/>
      <c r="BV1170" s="73"/>
      <c r="BW1170" s="73"/>
      <c r="BX1170" s="73"/>
      <c r="BY1170" s="73"/>
      <c r="BZ1170" s="73"/>
      <c r="CA1170" s="73"/>
      <c r="CB1170" s="73"/>
      <c r="CC1170" s="73"/>
      <c r="CD1170" s="73"/>
      <c r="CE1170" s="73"/>
      <c r="CF1170" s="73"/>
      <c r="CG1170" s="73"/>
      <c r="CH1170" s="73"/>
      <c r="CI1170" s="73"/>
      <c r="CJ1170" s="73"/>
      <c r="CK1170" s="73"/>
      <c r="CL1170" s="73"/>
      <c r="CM1170" s="73"/>
      <c r="CN1170" s="73"/>
      <c r="CO1170" s="73"/>
      <c r="CP1170" s="73"/>
      <c r="CQ1170" s="73"/>
      <c r="CR1170" s="73"/>
      <c r="CS1170" s="73"/>
      <c r="CT1170" s="73"/>
      <c r="CU1170" s="73"/>
      <c r="CV1170" s="73"/>
      <c r="CW1170" s="73"/>
      <c r="CX1170" s="73"/>
      <c r="CY1170" s="73"/>
      <c r="CZ1170" s="73"/>
      <c r="DA1170" s="73"/>
      <c r="DB1170" s="73"/>
      <c r="DC1170" s="73"/>
      <c r="DD1170" s="73"/>
      <c r="DE1170" s="73"/>
      <c r="DF1170" s="73"/>
      <c r="DG1170" s="73"/>
      <c r="DH1170" s="73"/>
      <c r="DI1170" s="73"/>
      <c r="DJ1170" s="73"/>
      <c r="DK1170" s="73"/>
      <c r="DL1170" s="73"/>
      <c r="DM1170" s="73"/>
    </row>
    <row r="1171" spans="1:117" s="48" customFormat="1">
      <c r="A1171" s="73"/>
      <c r="T1171" s="73"/>
      <c r="U1171" s="73"/>
      <c r="V1171" s="73"/>
      <c r="W1171" s="73"/>
      <c r="X1171" s="73"/>
      <c r="Y1171" s="73"/>
      <c r="Z1171" s="73"/>
      <c r="AA1171" s="73"/>
      <c r="AB1171" s="73"/>
      <c r="AC1171" s="73"/>
      <c r="AD1171" s="73"/>
      <c r="AE1171" s="73"/>
      <c r="AF1171" s="73"/>
      <c r="AG1171" s="73"/>
      <c r="AH1171" s="73"/>
      <c r="AI1171" s="73"/>
      <c r="AJ1171" s="73"/>
      <c r="AK1171" s="73"/>
      <c r="AL1171" s="73"/>
      <c r="AM1171" s="73"/>
      <c r="AN1171" s="73"/>
      <c r="AO1171" s="73"/>
      <c r="AP1171" s="73"/>
      <c r="AQ1171" s="73"/>
      <c r="AR1171" s="73"/>
      <c r="AS1171" s="73"/>
      <c r="AT1171" s="73"/>
      <c r="AU1171" s="73"/>
      <c r="AV1171" s="73"/>
      <c r="AW1171" s="73"/>
      <c r="AX1171" s="73"/>
      <c r="AY1171" s="73"/>
      <c r="AZ1171" s="73"/>
      <c r="BA1171" s="73"/>
      <c r="BB1171" s="73"/>
      <c r="BC1171" s="73"/>
      <c r="BD1171" s="73"/>
      <c r="BE1171" s="73"/>
      <c r="BF1171" s="73"/>
      <c r="BG1171" s="73"/>
      <c r="BH1171" s="73"/>
      <c r="BI1171" s="73"/>
      <c r="BJ1171" s="73"/>
      <c r="BK1171" s="73"/>
      <c r="BL1171" s="73"/>
      <c r="BM1171" s="73"/>
      <c r="BN1171" s="73"/>
      <c r="BO1171" s="73"/>
      <c r="BP1171" s="73"/>
      <c r="BQ1171" s="73"/>
      <c r="BR1171" s="73"/>
      <c r="BS1171" s="73"/>
      <c r="BT1171" s="73"/>
      <c r="BU1171" s="73"/>
      <c r="BV1171" s="73"/>
      <c r="BW1171" s="73"/>
      <c r="BX1171" s="73"/>
      <c r="BY1171" s="73"/>
      <c r="BZ1171" s="73"/>
      <c r="CA1171" s="73"/>
      <c r="CB1171" s="73"/>
      <c r="CC1171" s="73"/>
      <c r="CD1171" s="73"/>
      <c r="CE1171" s="73"/>
      <c r="CF1171" s="73"/>
      <c r="CG1171" s="73"/>
      <c r="CH1171" s="73"/>
      <c r="CI1171" s="73"/>
      <c r="CJ1171" s="73"/>
      <c r="CK1171" s="73"/>
      <c r="CL1171" s="73"/>
      <c r="CM1171" s="73"/>
      <c r="CN1171" s="73"/>
      <c r="CO1171" s="73"/>
      <c r="CP1171" s="73"/>
      <c r="CQ1171" s="73"/>
      <c r="CR1171" s="73"/>
      <c r="CS1171" s="73"/>
      <c r="CT1171" s="73"/>
      <c r="CU1171" s="73"/>
      <c r="CV1171" s="73"/>
      <c r="CW1171" s="73"/>
      <c r="CX1171" s="73"/>
      <c r="CY1171" s="73"/>
      <c r="CZ1171" s="73"/>
      <c r="DA1171" s="73"/>
      <c r="DB1171" s="73"/>
      <c r="DC1171" s="73"/>
      <c r="DD1171" s="73"/>
      <c r="DE1171" s="73"/>
      <c r="DF1171" s="73"/>
      <c r="DG1171" s="73"/>
      <c r="DH1171" s="73"/>
      <c r="DI1171" s="73"/>
      <c r="DJ1171" s="73"/>
      <c r="DK1171" s="73"/>
      <c r="DL1171" s="73"/>
      <c r="DM1171" s="73"/>
    </row>
    <row r="1172" spans="1:117" s="48" customFormat="1">
      <c r="A1172" s="73"/>
      <c r="T1172" s="73"/>
      <c r="U1172" s="73"/>
      <c r="V1172" s="73"/>
      <c r="W1172" s="73"/>
      <c r="X1172" s="73"/>
      <c r="Y1172" s="73"/>
      <c r="Z1172" s="73"/>
      <c r="AA1172" s="73"/>
      <c r="AB1172" s="73"/>
      <c r="AC1172" s="73"/>
      <c r="AD1172" s="73"/>
      <c r="AE1172" s="73"/>
      <c r="AF1172" s="73"/>
      <c r="AG1172" s="73"/>
      <c r="AH1172" s="73"/>
      <c r="AI1172" s="73"/>
      <c r="AJ1172" s="73"/>
      <c r="AK1172" s="73"/>
      <c r="AL1172" s="73"/>
      <c r="AM1172" s="73"/>
      <c r="AN1172" s="73"/>
      <c r="AO1172" s="73"/>
      <c r="AP1172" s="73"/>
      <c r="AQ1172" s="73"/>
      <c r="AR1172" s="73"/>
      <c r="AS1172" s="73"/>
      <c r="AT1172" s="73"/>
      <c r="AU1172" s="73"/>
      <c r="AV1172" s="73"/>
      <c r="AW1172" s="73"/>
      <c r="AX1172" s="73"/>
      <c r="AY1172" s="73"/>
      <c r="AZ1172" s="73"/>
      <c r="BA1172" s="73"/>
      <c r="BB1172" s="73"/>
      <c r="BC1172" s="73"/>
      <c r="BD1172" s="73"/>
      <c r="BE1172" s="73"/>
      <c r="BF1172" s="73"/>
      <c r="BG1172" s="73"/>
      <c r="BH1172" s="73"/>
      <c r="BI1172" s="73"/>
      <c r="BJ1172" s="73"/>
      <c r="BK1172" s="73"/>
      <c r="BL1172" s="73"/>
      <c r="BM1172" s="73"/>
      <c r="BN1172" s="73"/>
      <c r="BO1172" s="73"/>
      <c r="BP1172" s="73"/>
      <c r="BQ1172" s="73"/>
      <c r="BR1172" s="73"/>
      <c r="BS1172" s="73"/>
      <c r="BT1172" s="73"/>
      <c r="BU1172" s="73"/>
      <c r="BV1172" s="73"/>
      <c r="BW1172" s="73"/>
      <c r="BX1172" s="73"/>
      <c r="BY1172" s="73"/>
      <c r="BZ1172" s="73"/>
      <c r="CA1172" s="73"/>
      <c r="CB1172" s="73"/>
      <c r="CC1172" s="73"/>
      <c r="CD1172" s="73"/>
      <c r="CE1172" s="73"/>
      <c r="CF1172" s="73"/>
      <c r="CG1172" s="73"/>
      <c r="CH1172" s="73"/>
      <c r="CI1172" s="73"/>
      <c r="CJ1172" s="73"/>
      <c r="CK1172" s="73"/>
      <c r="CL1172" s="73"/>
      <c r="CM1172" s="73"/>
      <c r="CN1172" s="73"/>
      <c r="CO1172" s="73"/>
      <c r="CP1172" s="73"/>
      <c r="CQ1172" s="73"/>
      <c r="CR1172" s="73"/>
      <c r="CS1172" s="73"/>
      <c r="CT1172" s="73"/>
      <c r="CU1172" s="73"/>
      <c r="CV1172" s="73"/>
      <c r="CW1172" s="73"/>
      <c r="CX1172" s="73"/>
      <c r="CY1172" s="73"/>
      <c r="CZ1172" s="73"/>
      <c r="DA1172" s="73"/>
      <c r="DB1172" s="73"/>
      <c r="DC1172" s="73"/>
      <c r="DD1172" s="73"/>
      <c r="DE1172" s="73"/>
      <c r="DF1172" s="73"/>
      <c r="DG1172" s="73"/>
      <c r="DH1172" s="73"/>
      <c r="DI1172" s="73"/>
      <c r="DJ1172" s="73"/>
      <c r="DK1172" s="73"/>
      <c r="DL1172" s="73"/>
      <c r="DM1172" s="73"/>
    </row>
    <row r="1173" spans="1:117" s="48" customFormat="1">
      <c r="A1173" s="73"/>
      <c r="T1173" s="73"/>
      <c r="U1173" s="73"/>
      <c r="V1173" s="73"/>
      <c r="W1173" s="73"/>
      <c r="X1173" s="73"/>
      <c r="Y1173" s="73"/>
      <c r="Z1173" s="73"/>
      <c r="AA1173" s="73"/>
      <c r="AB1173" s="73"/>
      <c r="AC1173" s="73"/>
      <c r="AD1173" s="73"/>
      <c r="AE1173" s="73"/>
      <c r="AF1173" s="73"/>
      <c r="AG1173" s="73"/>
      <c r="AH1173" s="73"/>
      <c r="AI1173" s="73"/>
      <c r="AJ1173" s="73"/>
      <c r="AK1173" s="73"/>
      <c r="AL1173" s="73"/>
      <c r="AM1173" s="73"/>
      <c r="AN1173" s="73"/>
      <c r="AO1173" s="73"/>
      <c r="AP1173" s="73"/>
      <c r="AQ1173" s="73"/>
      <c r="AR1173" s="73"/>
      <c r="AS1173" s="73"/>
      <c r="AT1173" s="73"/>
      <c r="AU1173" s="73"/>
      <c r="AV1173" s="73"/>
      <c r="AW1173" s="73"/>
      <c r="AX1173" s="73"/>
      <c r="AY1173" s="73"/>
      <c r="AZ1173" s="73"/>
      <c r="BA1173" s="73"/>
      <c r="BB1173" s="73"/>
      <c r="BC1173" s="73"/>
      <c r="BD1173" s="73"/>
      <c r="BE1173" s="73"/>
      <c r="BF1173" s="73"/>
      <c r="BG1173" s="73"/>
      <c r="BH1173" s="73"/>
      <c r="BI1173" s="73"/>
      <c r="BJ1173" s="73"/>
      <c r="BK1173" s="73"/>
      <c r="BL1173" s="73"/>
      <c r="BM1173" s="73"/>
      <c r="BN1173" s="73"/>
      <c r="BO1173" s="73"/>
      <c r="BP1173" s="73"/>
      <c r="BQ1173" s="73"/>
      <c r="BR1173" s="73"/>
      <c r="BS1173" s="73"/>
      <c r="BT1173" s="73"/>
      <c r="BU1173" s="73"/>
      <c r="BV1173" s="73"/>
      <c r="BW1173" s="73"/>
      <c r="BX1173" s="73"/>
      <c r="BY1173" s="73"/>
      <c r="BZ1173" s="73"/>
      <c r="CA1173" s="73"/>
      <c r="CB1173" s="73"/>
      <c r="CC1173" s="73"/>
      <c r="CD1173" s="73"/>
      <c r="CE1173" s="73"/>
      <c r="CF1173" s="73"/>
      <c r="CG1173" s="73"/>
      <c r="CH1173" s="73"/>
      <c r="CI1173" s="73"/>
      <c r="CJ1173" s="73"/>
      <c r="CK1173" s="73"/>
      <c r="CL1173" s="73"/>
      <c r="CM1173" s="73"/>
      <c r="CN1173" s="73"/>
      <c r="CO1173" s="73"/>
      <c r="CP1173" s="73"/>
      <c r="CQ1173" s="73"/>
      <c r="CR1173" s="73"/>
      <c r="CS1173" s="73"/>
      <c r="CT1173" s="73"/>
      <c r="CU1173" s="73"/>
      <c r="CV1173" s="73"/>
      <c r="CW1173" s="73"/>
      <c r="CX1173" s="73"/>
      <c r="CY1173" s="73"/>
      <c r="CZ1173" s="73"/>
      <c r="DA1173" s="73"/>
      <c r="DB1173" s="73"/>
      <c r="DC1173" s="73"/>
      <c r="DD1173" s="73"/>
      <c r="DE1173" s="73"/>
      <c r="DF1173" s="73"/>
      <c r="DG1173" s="73"/>
      <c r="DH1173" s="73"/>
      <c r="DI1173" s="73"/>
      <c r="DJ1173" s="73"/>
      <c r="DK1173" s="73"/>
      <c r="DL1173" s="73"/>
      <c r="DM1173" s="73"/>
    </row>
    <row r="1174" spans="1:117" s="48" customFormat="1">
      <c r="A1174" s="73"/>
      <c r="T1174" s="73"/>
      <c r="U1174" s="73"/>
      <c r="V1174" s="73"/>
      <c r="W1174" s="73"/>
      <c r="X1174" s="73"/>
      <c r="Y1174" s="73"/>
      <c r="Z1174" s="73"/>
      <c r="AA1174" s="73"/>
      <c r="AB1174" s="73"/>
      <c r="AC1174" s="73"/>
      <c r="AD1174" s="73"/>
      <c r="AE1174" s="73"/>
      <c r="AF1174" s="73"/>
      <c r="AG1174" s="73"/>
      <c r="AH1174" s="73"/>
      <c r="AI1174" s="73"/>
      <c r="AJ1174" s="73"/>
      <c r="AK1174" s="73"/>
      <c r="AL1174" s="73"/>
      <c r="AM1174" s="73"/>
      <c r="AN1174" s="73"/>
      <c r="AO1174" s="73"/>
      <c r="AP1174" s="73"/>
      <c r="AQ1174" s="73"/>
      <c r="AR1174" s="73"/>
      <c r="AS1174" s="73"/>
      <c r="AT1174" s="73"/>
      <c r="AU1174" s="73"/>
      <c r="AV1174" s="73"/>
      <c r="AW1174" s="73"/>
      <c r="AX1174" s="73"/>
      <c r="AY1174" s="73"/>
      <c r="AZ1174" s="73"/>
      <c r="BA1174" s="73"/>
      <c r="BB1174" s="73"/>
      <c r="BC1174" s="73"/>
      <c r="BD1174" s="73"/>
      <c r="BE1174" s="73"/>
      <c r="BF1174" s="73"/>
      <c r="BG1174" s="73"/>
      <c r="BH1174" s="73"/>
      <c r="BI1174" s="73"/>
      <c r="BJ1174" s="73"/>
      <c r="BK1174" s="73"/>
      <c r="BL1174" s="73"/>
      <c r="BM1174" s="73"/>
      <c r="BN1174" s="73"/>
      <c r="BO1174" s="73"/>
      <c r="BP1174" s="73"/>
      <c r="BQ1174" s="73"/>
      <c r="BR1174" s="73"/>
      <c r="BS1174" s="73"/>
      <c r="BT1174" s="73"/>
      <c r="BU1174" s="73"/>
      <c r="BV1174" s="73"/>
      <c r="BW1174" s="73"/>
      <c r="BX1174" s="73"/>
      <c r="BY1174" s="73"/>
      <c r="BZ1174" s="73"/>
      <c r="CA1174" s="73"/>
      <c r="CB1174" s="73"/>
      <c r="CC1174" s="73"/>
      <c r="CD1174" s="73"/>
      <c r="CE1174" s="73"/>
      <c r="CF1174" s="73"/>
      <c r="CG1174" s="73"/>
      <c r="CH1174" s="73"/>
      <c r="CI1174" s="73"/>
      <c r="CJ1174" s="73"/>
      <c r="CK1174" s="73"/>
      <c r="CL1174" s="73"/>
      <c r="CM1174" s="73"/>
      <c r="CN1174" s="73"/>
      <c r="CO1174" s="73"/>
      <c r="CP1174" s="73"/>
      <c r="CQ1174" s="73"/>
      <c r="CR1174" s="73"/>
      <c r="CS1174" s="73"/>
      <c r="CT1174" s="73"/>
      <c r="CU1174" s="73"/>
      <c r="CV1174" s="73"/>
      <c r="CW1174" s="73"/>
      <c r="CX1174" s="73"/>
      <c r="CY1174" s="73"/>
      <c r="CZ1174" s="73"/>
      <c r="DA1174" s="73"/>
      <c r="DB1174" s="73"/>
      <c r="DC1174" s="73"/>
      <c r="DD1174" s="73"/>
      <c r="DE1174" s="73"/>
      <c r="DF1174" s="73"/>
      <c r="DG1174" s="73"/>
      <c r="DH1174" s="73"/>
      <c r="DI1174" s="73"/>
      <c r="DJ1174" s="73"/>
      <c r="DK1174" s="73"/>
      <c r="DL1174" s="73"/>
      <c r="DM1174" s="73"/>
    </row>
    <row r="1175" spans="1:117" s="48" customFormat="1">
      <c r="A1175" s="73"/>
      <c r="T1175" s="73"/>
      <c r="U1175" s="73"/>
      <c r="V1175" s="73"/>
      <c r="W1175" s="73"/>
      <c r="X1175" s="73"/>
      <c r="Y1175" s="73"/>
      <c r="Z1175" s="73"/>
      <c r="AA1175" s="73"/>
      <c r="AB1175" s="73"/>
      <c r="AC1175" s="73"/>
      <c r="AD1175" s="73"/>
      <c r="AE1175" s="73"/>
      <c r="AF1175" s="73"/>
      <c r="AG1175" s="73"/>
      <c r="AH1175" s="73"/>
      <c r="AI1175" s="73"/>
      <c r="AJ1175" s="73"/>
      <c r="AK1175" s="73"/>
      <c r="AL1175" s="73"/>
      <c r="AM1175" s="73"/>
      <c r="AN1175" s="73"/>
      <c r="AO1175" s="73"/>
      <c r="AP1175" s="73"/>
      <c r="AQ1175" s="73"/>
      <c r="AR1175" s="73"/>
      <c r="AS1175" s="73"/>
      <c r="AT1175" s="73"/>
      <c r="AU1175" s="73"/>
      <c r="AV1175" s="73"/>
      <c r="AW1175" s="73"/>
      <c r="AX1175" s="73"/>
      <c r="AY1175" s="73"/>
      <c r="AZ1175" s="73"/>
      <c r="BA1175" s="73"/>
      <c r="BB1175" s="73"/>
      <c r="BC1175" s="73"/>
      <c r="BD1175" s="73"/>
      <c r="BE1175" s="73"/>
      <c r="BF1175" s="73"/>
      <c r="BG1175" s="73"/>
      <c r="BH1175" s="73"/>
      <c r="BI1175" s="73"/>
      <c r="BJ1175" s="73"/>
      <c r="BK1175" s="73"/>
      <c r="BL1175" s="73"/>
      <c r="BM1175" s="73"/>
      <c r="BN1175" s="73"/>
      <c r="BO1175" s="73"/>
      <c r="BP1175" s="73"/>
      <c r="BQ1175" s="73"/>
      <c r="BR1175" s="73"/>
      <c r="BS1175" s="73"/>
      <c r="BT1175" s="73"/>
      <c r="BU1175" s="73"/>
      <c r="BV1175" s="73"/>
      <c r="BW1175" s="73"/>
      <c r="BX1175" s="73"/>
      <c r="BY1175" s="73"/>
      <c r="BZ1175" s="73"/>
      <c r="CA1175" s="73"/>
      <c r="CB1175" s="73"/>
      <c r="CC1175" s="73"/>
      <c r="CD1175" s="73"/>
      <c r="CE1175" s="73"/>
      <c r="CF1175" s="73"/>
      <c r="CG1175" s="73"/>
      <c r="CH1175" s="73"/>
      <c r="CI1175" s="73"/>
      <c r="CJ1175" s="73"/>
      <c r="CK1175" s="73"/>
      <c r="CL1175" s="73"/>
      <c r="CM1175" s="73"/>
      <c r="CN1175" s="73"/>
      <c r="CO1175" s="73"/>
      <c r="CP1175" s="73"/>
      <c r="CQ1175" s="73"/>
      <c r="CR1175" s="73"/>
      <c r="CS1175" s="73"/>
      <c r="CT1175" s="73"/>
      <c r="CU1175" s="73"/>
      <c r="CV1175" s="73"/>
      <c r="CW1175" s="73"/>
      <c r="CX1175" s="73"/>
      <c r="CY1175" s="73"/>
      <c r="CZ1175" s="73"/>
      <c r="DA1175" s="73"/>
      <c r="DB1175" s="73"/>
      <c r="DC1175" s="73"/>
      <c r="DD1175" s="73"/>
      <c r="DE1175" s="73"/>
      <c r="DF1175" s="73"/>
      <c r="DG1175" s="73"/>
      <c r="DH1175" s="73"/>
      <c r="DI1175" s="73"/>
      <c r="DJ1175" s="73"/>
      <c r="DK1175" s="73"/>
      <c r="DL1175" s="73"/>
      <c r="DM1175" s="73"/>
    </row>
    <row r="1176" spans="1:117" s="48" customFormat="1">
      <c r="A1176" s="73"/>
      <c r="T1176" s="73"/>
      <c r="U1176" s="73"/>
      <c r="V1176" s="73"/>
      <c r="W1176" s="73"/>
      <c r="X1176" s="73"/>
      <c r="Y1176" s="73"/>
      <c r="Z1176" s="73"/>
      <c r="AA1176" s="73"/>
      <c r="AB1176" s="73"/>
      <c r="AC1176" s="73"/>
      <c r="AD1176" s="73"/>
      <c r="AE1176" s="73"/>
      <c r="AF1176" s="73"/>
      <c r="AG1176" s="73"/>
      <c r="AH1176" s="73"/>
      <c r="AI1176" s="73"/>
      <c r="AJ1176" s="73"/>
      <c r="AK1176" s="73"/>
      <c r="AL1176" s="73"/>
      <c r="AM1176" s="73"/>
      <c r="AN1176" s="73"/>
      <c r="AO1176" s="73"/>
      <c r="AP1176" s="73"/>
      <c r="AQ1176" s="73"/>
      <c r="AR1176" s="73"/>
      <c r="AS1176" s="73"/>
      <c r="AT1176" s="73"/>
      <c r="AU1176" s="73"/>
      <c r="AV1176" s="73"/>
      <c r="AW1176" s="73"/>
      <c r="AX1176" s="73"/>
      <c r="AY1176" s="73"/>
      <c r="AZ1176" s="73"/>
      <c r="BA1176" s="73"/>
      <c r="BB1176" s="73"/>
      <c r="BC1176" s="73"/>
      <c r="BD1176" s="73"/>
      <c r="BE1176" s="73"/>
      <c r="BF1176" s="73"/>
      <c r="BG1176" s="73"/>
      <c r="BH1176" s="73"/>
      <c r="BI1176" s="73"/>
      <c r="BJ1176" s="73"/>
      <c r="BK1176" s="73"/>
      <c r="BL1176" s="73"/>
      <c r="BM1176" s="73"/>
      <c r="BN1176" s="73"/>
      <c r="BO1176" s="73"/>
      <c r="BP1176" s="73"/>
      <c r="BQ1176" s="73"/>
      <c r="BR1176" s="73"/>
      <c r="BS1176" s="73"/>
      <c r="BT1176" s="73"/>
      <c r="BU1176" s="73"/>
      <c r="BV1176" s="73"/>
      <c r="BW1176" s="73"/>
      <c r="BX1176" s="73"/>
      <c r="BY1176" s="73"/>
      <c r="BZ1176" s="73"/>
      <c r="CA1176" s="73"/>
      <c r="CB1176" s="73"/>
      <c r="CC1176" s="73"/>
      <c r="CD1176" s="73"/>
      <c r="CE1176" s="73"/>
      <c r="CF1176" s="73"/>
      <c r="CG1176" s="73"/>
      <c r="CH1176" s="73"/>
      <c r="CI1176" s="73"/>
      <c r="CJ1176" s="73"/>
      <c r="CK1176" s="73"/>
      <c r="CL1176" s="73"/>
      <c r="CM1176" s="73"/>
      <c r="CN1176" s="73"/>
      <c r="CO1176" s="73"/>
      <c r="CP1176" s="73"/>
      <c r="CQ1176" s="73"/>
      <c r="CR1176" s="73"/>
      <c r="CS1176" s="73"/>
      <c r="CT1176" s="73"/>
      <c r="CU1176" s="73"/>
      <c r="CV1176" s="73"/>
      <c r="CW1176" s="73"/>
      <c r="CX1176" s="73"/>
      <c r="CY1176" s="73"/>
      <c r="CZ1176" s="73"/>
      <c r="DA1176" s="73"/>
      <c r="DB1176" s="73"/>
      <c r="DC1176" s="73"/>
      <c r="DD1176" s="73"/>
      <c r="DE1176" s="73"/>
      <c r="DF1176" s="73"/>
      <c r="DG1176" s="73"/>
      <c r="DH1176" s="73"/>
      <c r="DI1176" s="73"/>
      <c r="DJ1176" s="73"/>
      <c r="DK1176" s="73"/>
      <c r="DL1176" s="73"/>
      <c r="DM1176" s="73"/>
    </row>
    <row r="1177" spans="1:117" s="48" customFormat="1">
      <c r="A1177" s="73"/>
      <c r="T1177" s="73"/>
      <c r="U1177" s="73"/>
      <c r="V1177" s="73"/>
      <c r="W1177" s="73"/>
      <c r="X1177" s="73"/>
      <c r="Y1177" s="73"/>
      <c r="Z1177" s="73"/>
      <c r="AA1177" s="73"/>
      <c r="AB1177" s="73"/>
      <c r="AC1177" s="73"/>
      <c r="AD1177" s="73"/>
      <c r="AE1177" s="73"/>
      <c r="AF1177" s="73"/>
      <c r="AG1177" s="73"/>
      <c r="AH1177" s="73"/>
      <c r="AI1177" s="73"/>
      <c r="AJ1177" s="73"/>
      <c r="AK1177" s="73"/>
      <c r="AL1177" s="73"/>
      <c r="AM1177" s="73"/>
      <c r="AN1177" s="73"/>
      <c r="AO1177" s="73"/>
      <c r="AP1177" s="73"/>
      <c r="AQ1177" s="73"/>
      <c r="AR1177" s="73"/>
      <c r="AS1177" s="73"/>
      <c r="AT1177" s="73"/>
      <c r="AU1177" s="73"/>
      <c r="AV1177" s="73"/>
      <c r="AW1177" s="73"/>
      <c r="AX1177" s="73"/>
      <c r="AY1177" s="73"/>
      <c r="AZ1177" s="73"/>
      <c r="BA1177" s="73"/>
      <c r="BB1177" s="73"/>
      <c r="BC1177" s="73"/>
      <c r="BD1177" s="73"/>
      <c r="BE1177" s="73"/>
      <c r="BF1177" s="73"/>
      <c r="BG1177" s="73"/>
      <c r="BH1177" s="73"/>
      <c r="BI1177" s="73"/>
      <c r="BJ1177" s="73"/>
      <c r="BK1177" s="73"/>
      <c r="BL1177" s="73"/>
      <c r="BM1177" s="73"/>
      <c r="BN1177" s="73"/>
      <c r="BO1177" s="73"/>
      <c r="BP1177" s="73"/>
      <c r="BQ1177" s="73"/>
      <c r="BR1177" s="73"/>
      <c r="BS1177" s="73"/>
      <c r="BT1177" s="73"/>
      <c r="BU1177" s="73"/>
      <c r="BV1177" s="73"/>
      <c r="BW1177" s="73"/>
      <c r="BX1177" s="73"/>
      <c r="BY1177" s="73"/>
      <c r="BZ1177" s="73"/>
      <c r="CA1177" s="73"/>
      <c r="CB1177" s="73"/>
      <c r="CC1177" s="73"/>
      <c r="CD1177" s="73"/>
      <c r="CE1177" s="73"/>
      <c r="CF1177" s="73"/>
      <c r="CG1177" s="73"/>
      <c r="CH1177" s="73"/>
      <c r="CI1177" s="73"/>
      <c r="CJ1177" s="73"/>
      <c r="CK1177" s="73"/>
      <c r="CL1177" s="73"/>
      <c r="CM1177" s="73"/>
      <c r="CN1177" s="73"/>
      <c r="CO1177" s="73"/>
      <c r="CP1177" s="73"/>
      <c r="CQ1177" s="73"/>
      <c r="CR1177" s="73"/>
      <c r="CS1177" s="73"/>
      <c r="CT1177" s="73"/>
      <c r="CU1177" s="73"/>
      <c r="CV1177" s="73"/>
      <c r="CW1177" s="73"/>
      <c r="CX1177" s="73"/>
      <c r="CY1177" s="73"/>
      <c r="CZ1177" s="73"/>
      <c r="DA1177" s="73"/>
      <c r="DB1177" s="73"/>
      <c r="DC1177" s="73"/>
      <c r="DD1177" s="73"/>
      <c r="DE1177" s="73"/>
      <c r="DF1177" s="73"/>
      <c r="DG1177" s="73"/>
      <c r="DH1177" s="73"/>
      <c r="DI1177" s="73"/>
      <c r="DJ1177" s="73"/>
      <c r="DK1177" s="73"/>
      <c r="DL1177" s="73"/>
      <c r="DM1177" s="73"/>
    </row>
    <row r="1178" spans="1:117" s="48" customFormat="1">
      <c r="A1178" s="73"/>
      <c r="T1178" s="73"/>
      <c r="U1178" s="73"/>
      <c r="V1178" s="73"/>
      <c r="W1178" s="73"/>
      <c r="X1178" s="73"/>
      <c r="Y1178" s="73"/>
      <c r="Z1178" s="73"/>
      <c r="AA1178" s="73"/>
      <c r="AB1178" s="73"/>
      <c r="AC1178" s="73"/>
      <c r="AD1178" s="73"/>
      <c r="AE1178" s="73"/>
      <c r="AF1178" s="73"/>
      <c r="AG1178" s="73"/>
      <c r="AH1178" s="73"/>
      <c r="AI1178" s="73"/>
      <c r="AJ1178" s="73"/>
      <c r="AK1178" s="73"/>
      <c r="AL1178" s="73"/>
      <c r="AM1178" s="73"/>
      <c r="AN1178" s="73"/>
      <c r="AO1178" s="73"/>
      <c r="AP1178" s="73"/>
      <c r="AQ1178" s="73"/>
      <c r="AR1178" s="73"/>
      <c r="AS1178" s="73"/>
      <c r="AT1178" s="73"/>
      <c r="AU1178" s="73"/>
      <c r="AV1178" s="73"/>
      <c r="AW1178" s="73"/>
      <c r="AX1178" s="73"/>
      <c r="AY1178" s="73"/>
      <c r="AZ1178" s="73"/>
      <c r="BA1178" s="73"/>
      <c r="BB1178" s="73"/>
      <c r="BC1178" s="73"/>
      <c r="BD1178" s="73"/>
      <c r="BE1178" s="73"/>
      <c r="BF1178" s="73"/>
      <c r="BG1178" s="73"/>
      <c r="BH1178" s="73"/>
      <c r="BI1178" s="73"/>
      <c r="BJ1178" s="73"/>
      <c r="BK1178" s="73"/>
      <c r="BL1178" s="73"/>
      <c r="BM1178" s="73"/>
      <c r="BN1178" s="73"/>
      <c r="BO1178" s="73"/>
      <c r="BP1178" s="73"/>
      <c r="BQ1178" s="73"/>
      <c r="BR1178" s="73"/>
      <c r="BS1178" s="73"/>
      <c r="BT1178" s="73"/>
      <c r="BU1178" s="73"/>
      <c r="BV1178" s="73"/>
      <c r="BW1178" s="73"/>
      <c r="BX1178" s="73"/>
      <c r="BY1178" s="73"/>
      <c r="BZ1178" s="73"/>
      <c r="CA1178" s="73"/>
      <c r="CB1178" s="73"/>
      <c r="CC1178" s="73"/>
      <c r="CD1178" s="73"/>
      <c r="CE1178" s="73"/>
      <c r="CF1178" s="73"/>
      <c r="CG1178" s="73"/>
      <c r="CH1178" s="73"/>
      <c r="CI1178" s="73"/>
      <c r="CJ1178" s="73"/>
      <c r="CK1178" s="73"/>
      <c r="CL1178" s="73"/>
      <c r="CM1178" s="73"/>
      <c r="CN1178" s="73"/>
      <c r="CO1178" s="73"/>
      <c r="CP1178" s="73"/>
      <c r="CQ1178" s="73"/>
      <c r="CR1178" s="73"/>
      <c r="CS1178" s="73"/>
      <c r="CT1178" s="73"/>
      <c r="CU1178" s="73"/>
      <c r="CV1178" s="73"/>
      <c r="CW1178" s="73"/>
      <c r="CX1178" s="73"/>
      <c r="CY1178" s="73"/>
      <c r="CZ1178" s="73"/>
      <c r="DA1178" s="73"/>
      <c r="DB1178" s="73"/>
      <c r="DC1178" s="73"/>
      <c r="DD1178" s="73"/>
      <c r="DE1178" s="73"/>
      <c r="DF1178" s="73"/>
      <c r="DG1178" s="73"/>
      <c r="DH1178" s="73"/>
      <c r="DI1178" s="73"/>
      <c r="DJ1178" s="73"/>
      <c r="DK1178" s="73"/>
      <c r="DL1178" s="73"/>
      <c r="DM1178" s="73"/>
    </row>
    <row r="1179" spans="1:117" s="48" customFormat="1">
      <c r="A1179" s="73"/>
      <c r="T1179" s="73"/>
      <c r="U1179" s="73"/>
      <c r="V1179" s="73"/>
      <c r="W1179" s="73"/>
      <c r="X1179" s="73"/>
      <c r="Y1179" s="73"/>
      <c r="Z1179" s="73"/>
      <c r="AA1179" s="73"/>
      <c r="AB1179" s="73"/>
      <c r="AC1179" s="73"/>
      <c r="AD1179" s="73"/>
      <c r="AE1179" s="73"/>
      <c r="AF1179" s="73"/>
      <c r="AG1179" s="73"/>
      <c r="AH1179" s="73"/>
      <c r="AI1179" s="73"/>
      <c r="AJ1179" s="73"/>
      <c r="AK1179" s="73"/>
      <c r="AL1179" s="73"/>
      <c r="AM1179" s="73"/>
      <c r="AN1179" s="73"/>
      <c r="AO1179" s="73"/>
      <c r="AP1179" s="73"/>
      <c r="AQ1179" s="73"/>
      <c r="AR1179" s="73"/>
      <c r="AS1179" s="73"/>
      <c r="AT1179" s="73"/>
      <c r="AU1179" s="73"/>
      <c r="AV1179" s="73"/>
      <c r="AW1179" s="73"/>
      <c r="AX1179" s="73"/>
      <c r="AY1179" s="73"/>
      <c r="AZ1179" s="73"/>
      <c r="BA1179" s="73"/>
      <c r="BB1179" s="73"/>
      <c r="BC1179" s="73"/>
      <c r="BD1179" s="73"/>
      <c r="BE1179" s="73"/>
      <c r="BF1179" s="73"/>
      <c r="BG1179" s="73"/>
      <c r="BH1179" s="73"/>
      <c r="BI1179" s="73"/>
      <c r="BJ1179" s="73"/>
      <c r="BK1179" s="73"/>
      <c r="BL1179" s="73"/>
      <c r="BM1179" s="73"/>
      <c r="BN1179" s="73"/>
      <c r="BO1179" s="73"/>
      <c r="BP1179" s="73"/>
      <c r="BQ1179" s="73"/>
      <c r="BR1179" s="73"/>
      <c r="BS1179" s="73"/>
      <c r="BT1179" s="73"/>
      <c r="BU1179" s="73"/>
      <c r="BV1179" s="73"/>
      <c r="BW1179" s="73"/>
      <c r="BX1179" s="73"/>
      <c r="BY1179" s="73"/>
      <c r="BZ1179" s="73"/>
      <c r="CA1179" s="73"/>
      <c r="CB1179" s="73"/>
      <c r="CC1179" s="73"/>
      <c r="CD1179" s="73"/>
      <c r="CE1179" s="73"/>
      <c r="CF1179" s="73"/>
      <c r="CG1179" s="73"/>
      <c r="CH1179" s="73"/>
      <c r="CI1179" s="73"/>
      <c r="CJ1179" s="73"/>
      <c r="CK1179" s="73"/>
      <c r="CL1179" s="73"/>
      <c r="CM1179" s="73"/>
      <c r="CN1179" s="73"/>
      <c r="CO1179" s="73"/>
      <c r="CP1179" s="73"/>
      <c r="CQ1179" s="73"/>
      <c r="CR1179" s="73"/>
      <c r="CS1179" s="73"/>
      <c r="CT1179" s="73"/>
      <c r="CU1179" s="73"/>
      <c r="CV1179" s="73"/>
      <c r="CW1179" s="73"/>
      <c r="CX1179" s="73"/>
      <c r="CY1179" s="73"/>
      <c r="CZ1179" s="73"/>
      <c r="DA1179" s="73"/>
      <c r="DB1179" s="73"/>
      <c r="DC1179" s="73"/>
      <c r="DD1179" s="73"/>
      <c r="DE1179" s="73"/>
      <c r="DF1179" s="73"/>
      <c r="DG1179" s="73"/>
      <c r="DH1179" s="73"/>
      <c r="DI1179" s="73"/>
      <c r="DJ1179" s="73"/>
      <c r="DK1179" s="73"/>
      <c r="DL1179" s="73"/>
      <c r="DM1179" s="73"/>
    </row>
    <row r="1180" spans="1:117" s="48" customFormat="1">
      <c r="A1180" s="73"/>
      <c r="T1180" s="73"/>
      <c r="U1180" s="73"/>
      <c r="V1180" s="73"/>
      <c r="W1180" s="73"/>
      <c r="X1180" s="73"/>
      <c r="Y1180" s="73"/>
      <c r="Z1180" s="73"/>
      <c r="AA1180" s="73"/>
      <c r="AB1180" s="73"/>
      <c r="AC1180" s="73"/>
      <c r="AD1180" s="73"/>
      <c r="AE1180" s="73"/>
      <c r="AF1180" s="73"/>
      <c r="AG1180" s="73"/>
      <c r="AH1180" s="73"/>
      <c r="AI1180" s="73"/>
      <c r="AJ1180" s="73"/>
      <c r="AK1180" s="73"/>
      <c r="AL1180" s="73"/>
      <c r="AM1180" s="73"/>
      <c r="AN1180" s="73"/>
      <c r="AO1180" s="73"/>
      <c r="AP1180" s="73"/>
      <c r="AQ1180" s="73"/>
      <c r="AR1180" s="73"/>
      <c r="AS1180" s="73"/>
      <c r="AT1180" s="73"/>
      <c r="AU1180" s="73"/>
      <c r="AV1180" s="73"/>
      <c r="AW1180" s="73"/>
      <c r="AX1180" s="73"/>
      <c r="AY1180" s="73"/>
      <c r="AZ1180" s="73"/>
      <c r="BA1180" s="73"/>
      <c r="BB1180" s="73"/>
      <c r="BC1180" s="73"/>
      <c r="BD1180" s="73"/>
      <c r="BE1180" s="73"/>
      <c r="BF1180" s="73"/>
      <c r="BG1180" s="73"/>
      <c r="BH1180" s="73"/>
      <c r="BI1180" s="73"/>
      <c r="BJ1180" s="73"/>
      <c r="BK1180" s="73"/>
      <c r="BL1180" s="73"/>
      <c r="BM1180" s="73"/>
      <c r="BN1180" s="73"/>
      <c r="BO1180" s="73"/>
      <c r="BP1180" s="73"/>
      <c r="BQ1180" s="73"/>
      <c r="BR1180" s="73"/>
      <c r="BS1180" s="73"/>
      <c r="BT1180" s="73"/>
      <c r="BU1180" s="73"/>
      <c r="BV1180" s="73"/>
      <c r="BW1180" s="73"/>
      <c r="BX1180" s="73"/>
      <c r="BY1180" s="73"/>
      <c r="BZ1180" s="73"/>
      <c r="CA1180" s="73"/>
      <c r="CB1180" s="73"/>
      <c r="CC1180" s="73"/>
      <c r="CD1180" s="73"/>
      <c r="CE1180" s="73"/>
      <c r="CF1180" s="73"/>
      <c r="CG1180" s="73"/>
      <c r="CH1180" s="73"/>
      <c r="CI1180" s="73"/>
      <c r="CJ1180" s="73"/>
      <c r="CK1180" s="73"/>
      <c r="CL1180" s="73"/>
      <c r="CM1180" s="73"/>
      <c r="CN1180" s="73"/>
      <c r="CO1180" s="73"/>
      <c r="CP1180" s="73"/>
      <c r="CQ1180" s="73"/>
      <c r="CR1180" s="73"/>
      <c r="CS1180" s="73"/>
      <c r="CT1180" s="73"/>
      <c r="CU1180" s="73"/>
      <c r="CV1180" s="73"/>
      <c r="CW1180" s="73"/>
      <c r="CX1180" s="73"/>
      <c r="CY1180" s="73"/>
      <c r="CZ1180" s="73"/>
      <c r="DA1180" s="73"/>
      <c r="DB1180" s="73"/>
      <c r="DC1180" s="73"/>
      <c r="DD1180" s="73"/>
      <c r="DE1180" s="73"/>
      <c r="DF1180" s="73"/>
      <c r="DG1180" s="73"/>
      <c r="DH1180" s="73"/>
      <c r="DI1180" s="73"/>
      <c r="DJ1180" s="73"/>
      <c r="DK1180" s="73"/>
      <c r="DL1180" s="73"/>
      <c r="DM1180" s="73"/>
    </row>
    <row r="1181" spans="1:117" s="48" customFormat="1">
      <c r="A1181" s="73"/>
      <c r="T1181" s="73"/>
      <c r="U1181" s="73"/>
      <c r="V1181" s="73"/>
      <c r="W1181" s="73"/>
      <c r="X1181" s="73"/>
      <c r="Y1181" s="73"/>
      <c r="Z1181" s="73"/>
      <c r="AA1181" s="73"/>
      <c r="AB1181" s="73"/>
      <c r="AC1181" s="73"/>
      <c r="AD1181" s="73"/>
      <c r="AE1181" s="73"/>
      <c r="AF1181" s="73"/>
      <c r="AG1181" s="73"/>
      <c r="AH1181" s="73"/>
      <c r="AI1181" s="73"/>
      <c r="AJ1181" s="73"/>
      <c r="AK1181" s="73"/>
      <c r="AL1181" s="73"/>
      <c r="AM1181" s="73"/>
      <c r="AN1181" s="73"/>
      <c r="AO1181" s="73"/>
      <c r="AP1181" s="73"/>
      <c r="AQ1181" s="73"/>
      <c r="AR1181" s="73"/>
      <c r="AS1181" s="73"/>
      <c r="AT1181" s="73"/>
      <c r="AU1181" s="73"/>
      <c r="AV1181" s="73"/>
      <c r="AW1181" s="73"/>
      <c r="AX1181" s="73"/>
      <c r="AY1181" s="73"/>
      <c r="AZ1181" s="73"/>
      <c r="BA1181" s="73"/>
      <c r="BB1181" s="73"/>
      <c r="BC1181" s="73"/>
      <c r="BD1181" s="73"/>
      <c r="BE1181" s="73"/>
      <c r="BF1181" s="73"/>
      <c r="BG1181" s="73"/>
      <c r="BH1181" s="73"/>
      <c r="BI1181" s="73"/>
      <c r="BJ1181" s="73"/>
      <c r="BK1181" s="73"/>
      <c r="BL1181" s="73"/>
      <c r="BM1181" s="73"/>
      <c r="BN1181" s="73"/>
      <c r="BO1181" s="73"/>
      <c r="BP1181" s="73"/>
      <c r="BQ1181" s="73"/>
      <c r="BR1181" s="73"/>
      <c r="BS1181" s="73"/>
      <c r="BT1181" s="73"/>
      <c r="BU1181" s="73"/>
      <c r="BV1181" s="73"/>
      <c r="BW1181" s="73"/>
      <c r="BX1181" s="73"/>
      <c r="BY1181" s="73"/>
      <c r="BZ1181" s="73"/>
      <c r="CA1181" s="73"/>
      <c r="CB1181" s="73"/>
      <c r="CC1181" s="73"/>
      <c r="CD1181" s="73"/>
      <c r="CE1181" s="73"/>
      <c r="CF1181" s="73"/>
      <c r="CG1181" s="73"/>
      <c r="CH1181" s="73"/>
      <c r="CI1181" s="73"/>
      <c r="CJ1181" s="73"/>
      <c r="CK1181" s="73"/>
      <c r="CL1181" s="73"/>
      <c r="CM1181" s="73"/>
      <c r="CN1181" s="73"/>
      <c r="CO1181" s="73"/>
      <c r="CP1181" s="73"/>
      <c r="CQ1181" s="73"/>
      <c r="CR1181" s="73"/>
      <c r="CS1181" s="73"/>
      <c r="CT1181" s="73"/>
      <c r="CU1181" s="73"/>
      <c r="CV1181" s="73"/>
      <c r="CW1181" s="73"/>
      <c r="CX1181" s="73"/>
      <c r="CY1181" s="73"/>
      <c r="CZ1181" s="73"/>
      <c r="DA1181" s="73"/>
      <c r="DB1181" s="73"/>
      <c r="DC1181" s="73"/>
      <c r="DD1181" s="73"/>
      <c r="DE1181" s="73"/>
      <c r="DF1181" s="73"/>
      <c r="DG1181" s="73"/>
      <c r="DH1181" s="73"/>
      <c r="DI1181" s="73"/>
      <c r="DJ1181" s="73"/>
      <c r="DK1181" s="73"/>
      <c r="DL1181" s="73"/>
      <c r="DM1181" s="73"/>
    </row>
    <row r="1182" spans="1:117" s="48" customFormat="1">
      <c r="A1182" s="73"/>
      <c r="T1182" s="73"/>
      <c r="U1182" s="73"/>
      <c r="V1182" s="73"/>
      <c r="W1182" s="73"/>
      <c r="X1182" s="73"/>
      <c r="Y1182" s="73"/>
      <c r="Z1182" s="73"/>
      <c r="AA1182" s="73"/>
      <c r="AB1182" s="73"/>
      <c r="AC1182" s="73"/>
      <c r="AD1182" s="73"/>
      <c r="AE1182" s="73"/>
      <c r="AF1182" s="73"/>
      <c r="AG1182" s="73"/>
      <c r="AH1182" s="73"/>
      <c r="AI1182" s="73"/>
      <c r="AJ1182" s="73"/>
      <c r="AK1182" s="73"/>
      <c r="AL1182" s="73"/>
      <c r="AM1182" s="73"/>
      <c r="AN1182" s="73"/>
      <c r="AO1182" s="73"/>
      <c r="AP1182" s="73"/>
      <c r="AQ1182" s="73"/>
      <c r="AR1182" s="73"/>
      <c r="AS1182" s="73"/>
      <c r="AT1182" s="73"/>
      <c r="AU1182" s="73"/>
      <c r="AV1182" s="73"/>
      <c r="AW1182" s="73"/>
      <c r="AX1182" s="73"/>
      <c r="AY1182" s="73"/>
      <c r="AZ1182" s="73"/>
      <c r="BA1182" s="73"/>
      <c r="BB1182" s="73"/>
      <c r="BC1182" s="73"/>
      <c r="BD1182" s="73"/>
      <c r="BE1182" s="73"/>
      <c r="BF1182" s="73"/>
      <c r="BG1182" s="73"/>
      <c r="BH1182" s="73"/>
      <c r="BI1182" s="73"/>
      <c r="BJ1182" s="73"/>
      <c r="BK1182" s="73"/>
      <c r="BL1182" s="73"/>
      <c r="BM1182" s="73"/>
      <c r="BN1182" s="73"/>
      <c r="BO1182" s="73"/>
      <c r="BP1182" s="73"/>
      <c r="BQ1182" s="73"/>
      <c r="BR1182" s="73"/>
      <c r="BS1182" s="73"/>
      <c r="BT1182" s="73"/>
      <c r="BU1182" s="73"/>
      <c r="BV1182" s="73"/>
      <c r="BW1182" s="73"/>
      <c r="BX1182" s="73"/>
      <c r="BY1182" s="73"/>
      <c r="BZ1182" s="73"/>
      <c r="CA1182" s="73"/>
      <c r="CB1182" s="73"/>
      <c r="CC1182" s="73"/>
      <c r="CD1182" s="73"/>
      <c r="CE1182" s="73"/>
      <c r="CF1182" s="73"/>
      <c r="CG1182" s="73"/>
      <c r="CH1182" s="73"/>
      <c r="CI1182" s="73"/>
      <c r="CJ1182" s="73"/>
      <c r="CK1182" s="73"/>
      <c r="CL1182" s="73"/>
      <c r="CM1182" s="73"/>
      <c r="CN1182" s="73"/>
      <c r="CO1182" s="73"/>
      <c r="CP1182" s="73"/>
      <c r="CQ1182" s="73"/>
      <c r="CR1182" s="73"/>
      <c r="CS1182" s="73"/>
      <c r="CT1182" s="73"/>
      <c r="CU1182" s="73"/>
      <c r="CV1182" s="73"/>
      <c r="CW1182" s="73"/>
      <c r="CX1182" s="73"/>
      <c r="CY1182" s="73"/>
      <c r="CZ1182" s="73"/>
      <c r="DA1182" s="73"/>
      <c r="DB1182" s="73"/>
      <c r="DC1182" s="73"/>
      <c r="DD1182" s="73"/>
      <c r="DE1182" s="73"/>
      <c r="DF1182" s="73"/>
      <c r="DG1182" s="73"/>
      <c r="DH1182" s="73"/>
      <c r="DI1182" s="73"/>
      <c r="DJ1182" s="73"/>
      <c r="DK1182" s="73"/>
      <c r="DL1182" s="73"/>
      <c r="DM1182" s="73"/>
    </row>
    <row r="1183" spans="1:117" s="48" customFormat="1">
      <c r="A1183" s="73"/>
      <c r="T1183" s="73"/>
      <c r="U1183" s="73"/>
      <c r="V1183" s="73"/>
      <c r="W1183" s="73"/>
      <c r="X1183" s="73"/>
      <c r="Y1183" s="73"/>
      <c r="Z1183" s="73"/>
      <c r="AA1183" s="73"/>
      <c r="AB1183" s="73"/>
      <c r="AC1183" s="73"/>
      <c r="AD1183" s="73"/>
      <c r="AE1183" s="73"/>
      <c r="AF1183" s="73"/>
      <c r="AG1183" s="73"/>
      <c r="AH1183" s="73"/>
      <c r="AI1183" s="73"/>
      <c r="AJ1183" s="73"/>
      <c r="AK1183" s="73"/>
      <c r="AL1183" s="73"/>
      <c r="AM1183" s="73"/>
      <c r="AN1183" s="73"/>
      <c r="AO1183" s="73"/>
      <c r="AP1183" s="73"/>
      <c r="AQ1183" s="73"/>
      <c r="AR1183" s="73"/>
      <c r="AS1183" s="73"/>
      <c r="AT1183" s="73"/>
      <c r="AU1183" s="73"/>
      <c r="AV1183" s="73"/>
      <c r="AW1183" s="73"/>
      <c r="AX1183" s="73"/>
      <c r="AY1183" s="73"/>
      <c r="AZ1183" s="73"/>
      <c r="BA1183" s="73"/>
      <c r="BB1183" s="73"/>
      <c r="BC1183" s="73"/>
      <c r="BD1183" s="73"/>
      <c r="BE1183" s="73"/>
      <c r="BF1183" s="73"/>
      <c r="BG1183" s="73"/>
      <c r="BH1183" s="73"/>
      <c r="BI1183" s="73"/>
      <c r="BJ1183" s="73"/>
      <c r="BK1183" s="73"/>
      <c r="BL1183" s="73"/>
      <c r="BM1183" s="73"/>
      <c r="BN1183" s="73"/>
      <c r="BO1183" s="73"/>
      <c r="BP1183" s="73"/>
      <c r="BQ1183" s="73"/>
      <c r="BR1183" s="73"/>
      <c r="BS1183" s="73"/>
      <c r="BT1183" s="73"/>
      <c r="BU1183" s="73"/>
      <c r="BV1183" s="73"/>
      <c r="BW1183" s="73"/>
      <c r="BX1183" s="73"/>
      <c r="BY1183" s="73"/>
      <c r="BZ1183" s="73"/>
      <c r="CA1183" s="73"/>
      <c r="CB1183" s="73"/>
      <c r="CC1183" s="73"/>
      <c r="CD1183" s="73"/>
      <c r="CE1183" s="73"/>
      <c r="CF1183" s="73"/>
      <c r="CG1183" s="73"/>
      <c r="CH1183" s="73"/>
      <c r="CI1183" s="73"/>
      <c r="CJ1183" s="73"/>
      <c r="CK1183" s="73"/>
      <c r="CL1183" s="73"/>
      <c r="CM1183" s="73"/>
      <c r="CN1183" s="73"/>
      <c r="CO1183" s="73"/>
      <c r="CP1183" s="73"/>
      <c r="CQ1183" s="73"/>
      <c r="CR1183" s="73"/>
      <c r="CS1183" s="73"/>
      <c r="CT1183" s="73"/>
      <c r="CU1183" s="73"/>
      <c r="CV1183" s="73"/>
      <c r="CW1183" s="73"/>
      <c r="CX1183" s="73"/>
      <c r="CY1183" s="73"/>
      <c r="CZ1183" s="73"/>
      <c r="DA1183" s="73"/>
      <c r="DB1183" s="73"/>
      <c r="DC1183" s="73"/>
      <c r="DD1183" s="73"/>
      <c r="DE1183" s="73"/>
      <c r="DF1183" s="73"/>
      <c r="DG1183" s="73"/>
      <c r="DH1183" s="73"/>
      <c r="DI1183" s="73"/>
      <c r="DJ1183" s="73"/>
      <c r="DK1183" s="73"/>
      <c r="DL1183" s="73"/>
      <c r="DM1183" s="73"/>
    </row>
    <row r="1184" spans="1:117" s="48" customFormat="1">
      <c r="A1184" s="73"/>
      <c r="T1184" s="73"/>
      <c r="U1184" s="73"/>
      <c r="V1184" s="73"/>
      <c r="W1184" s="73"/>
      <c r="X1184" s="73"/>
      <c r="Y1184" s="73"/>
      <c r="Z1184" s="73"/>
      <c r="AA1184" s="73"/>
      <c r="AB1184" s="73"/>
      <c r="AC1184" s="73"/>
      <c r="AD1184" s="73"/>
      <c r="AE1184" s="73"/>
      <c r="AF1184" s="73"/>
      <c r="AG1184" s="73"/>
      <c r="AH1184" s="73"/>
      <c r="AI1184" s="73"/>
      <c r="AJ1184" s="73"/>
      <c r="AK1184" s="73"/>
      <c r="AL1184" s="73"/>
      <c r="AM1184" s="73"/>
      <c r="AN1184" s="73"/>
      <c r="AO1184" s="73"/>
      <c r="AP1184" s="73"/>
      <c r="AQ1184" s="73"/>
      <c r="AR1184" s="73"/>
      <c r="AS1184" s="73"/>
      <c r="AT1184" s="73"/>
      <c r="AU1184" s="73"/>
      <c r="AV1184" s="73"/>
      <c r="AW1184" s="73"/>
      <c r="AX1184" s="73"/>
      <c r="AY1184" s="73"/>
      <c r="AZ1184" s="73"/>
      <c r="BA1184" s="73"/>
      <c r="BB1184" s="73"/>
      <c r="BC1184" s="73"/>
      <c r="BD1184" s="73"/>
      <c r="BE1184" s="73"/>
      <c r="BF1184" s="73"/>
      <c r="BG1184" s="73"/>
      <c r="BH1184" s="73"/>
      <c r="BI1184" s="73"/>
      <c r="BJ1184" s="73"/>
      <c r="BK1184" s="73"/>
      <c r="BL1184" s="73"/>
      <c r="BM1184" s="73"/>
      <c r="BN1184" s="73"/>
      <c r="BO1184" s="73"/>
      <c r="BP1184" s="73"/>
      <c r="BQ1184" s="73"/>
      <c r="BR1184" s="73"/>
      <c r="BS1184" s="73"/>
      <c r="BT1184" s="73"/>
      <c r="BU1184" s="73"/>
      <c r="BV1184" s="73"/>
      <c r="BW1184" s="73"/>
      <c r="BX1184" s="73"/>
      <c r="BY1184" s="73"/>
      <c r="BZ1184" s="73"/>
      <c r="CA1184" s="73"/>
      <c r="CB1184" s="73"/>
      <c r="CC1184" s="73"/>
      <c r="CD1184" s="73"/>
      <c r="CE1184" s="73"/>
      <c r="CF1184" s="73"/>
      <c r="CG1184" s="73"/>
      <c r="CH1184" s="73"/>
      <c r="CI1184" s="73"/>
      <c r="CJ1184" s="73"/>
      <c r="CK1184" s="73"/>
      <c r="CL1184" s="73"/>
      <c r="CM1184" s="73"/>
      <c r="CN1184" s="73"/>
      <c r="CO1184" s="73"/>
      <c r="CP1184" s="73"/>
      <c r="CQ1184" s="73"/>
      <c r="CR1184" s="73"/>
      <c r="CS1184" s="73"/>
      <c r="CT1184" s="73"/>
      <c r="CU1184" s="73"/>
      <c r="CV1184" s="73"/>
      <c r="CW1184" s="73"/>
      <c r="CX1184" s="73"/>
      <c r="CY1184" s="73"/>
      <c r="CZ1184" s="73"/>
      <c r="DA1184" s="73"/>
      <c r="DB1184" s="73"/>
      <c r="DC1184" s="73"/>
      <c r="DD1184" s="73"/>
      <c r="DE1184" s="73"/>
      <c r="DF1184" s="73"/>
      <c r="DG1184" s="73"/>
      <c r="DH1184" s="73"/>
      <c r="DI1184" s="73"/>
      <c r="DJ1184" s="73"/>
      <c r="DK1184" s="73"/>
      <c r="DL1184" s="73"/>
      <c r="DM1184" s="73"/>
    </row>
    <row r="1185" spans="1:117" s="48" customFormat="1">
      <c r="A1185" s="73"/>
      <c r="T1185" s="73"/>
      <c r="U1185" s="73"/>
      <c r="V1185" s="73"/>
      <c r="W1185" s="73"/>
      <c r="X1185" s="73"/>
      <c r="Y1185" s="73"/>
      <c r="Z1185" s="73"/>
      <c r="AA1185" s="73"/>
      <c r="AB1185" s="73"/>
      <c r="AC1185" s="73"/>
      <c r="AD1185" s="73"/>
      <c r="AE1185" s="73"/>
      <c r="AF1185" s="73"/>
      <c r="AG1185" s="73"/>
      <c r="AH1185" s="73"/>
      <c r="AI1185" s="73"/>
      <c r="AJ1185" s="73"/>
      <c r="AK1185" s="73"/>
      <c r="AL1185" s="73"/>
      <c r="AM1185" s="73"/>
      <c r="AN1185" s="73"/>
      <c r="AO1185" s="73"/>
      <c r="AP1185" s="73"/>
      <c r="AQ1185" s="73"/>
      <c r="AR1185" s="73"/>
      <c r="AS1185" s="73"/>
      <c r="AT1185" s="73"/>
      <c r="AU1185" s="73"/>
      <c r="AV1185" s="73"/>
      <c r="AW1185" s="73"/>
      <c r="AX1185" s="73"/>
      <c r="AY1185" s="73"/>
      <c r="AZ1185" s="73"/>
      <c r="BA1185" s="73"/>
      <c r="BB1185" s="73"/>
      <c r="BC1185" s="73"/>
      <c r="BD1185" s="73"/>
      <c r="BE1185" s="73"/>
      <c r="BF1185" s="73"/>
      <c r="BG1185" s="73"/>
      <c r="BH1185" s="73"/>
      <c r="BI1185" s="73"/>
      <c r="BJ1185" s="73"/>
      <c r="BK1185" s="73"/>
      <c r="BL1185" s="73"/>
      <c r="BM1185" s="73"/>
      <c r="BN1185" s="73"/>
      <c r="BO1185" s="73"/>
      <c r="BP1185" s="73"/>
      <c r="BQ1185" s="73"/>
      <c r="BR1185" s="73"/>
      <c r="BS1185" s="73"/>
      <c r="BT1185" s="73"/>
      <c r="BU1185" s="73"/>
      <c r="BV1185" s="73"/>
      <c r="BW1185" s="73"/>
      <c r="BX1185" s="73"/>
      <c r="BY1185" s="73"/>
      <c r="BZ1185" s="73"/>
      <c r="CA1185" s="73"/>
      <c r="CB1185" s="73"/>
      <c r="CC1185" s="73"/>
      <c r="CD1185" s="73"/>
      <c r="CE1185" s="73"/>
      <c r="CF1185" s="73"/>
      <c r="CG1185" s="73"/>
      <c r="CH1185" s="73"/>
      <c r="CI1185" s="73"/>
      <c r="CJ1185" s="73"/>
      <c r="CK1185" s="73"/>
      <c r="CL1185" s="73"/>
      <c r="CM1185" s="73"/>
      <c r="CN1185" s="73"/>
      <c r="CO1185" s="73"/>
      <c r="CP1185" s="73"/>
      <c r="CQ1185" s="73"/>
      <c r="CR1185" s="73"/>
      <c r="CS1185" s="73"/>
      <c r="CT1185" s="73"/>
      <c r="CU1185" s="73"/>
      <c r="CV1185" s="73"/>
      <c r="CW1185" s="73"/>
      <c r="CX1185" s="73"/>
      <c r="CY1185" s="73"/>
      <c r="CZ1185" s="73"/>
      <c r="DA1185" s="73"/>
      <c r="DB1185" s="73"/>
      <c r="DC1185" s="73"/>
      <c r="DD1185" s="73"/>
      <c r="DE1185" s="73"/>
      <c r="DF1185" s="73"/>
      <c r="DG1185" s="73"/>
      <c r="DH1185" s="73"/>
      <c r="DI1185" s="73"/>
      <c r="DJ1185" s="73"/>
      <c r="DK1185" s="73"/>
      <c r="DL1185" s="73"/>
      <c r="DM1185" s="73"/>
    </row>
    <row r="1186" spans="1:117" s="48" customFormat="1">
      <c r="A1186" s="73"/>
      <c r="T1186" s="73"/>
      <c r="U1186" s="73"/>
      <c r="V1186" s="73"/>
      <c r="W1186" s="73"/>
      <c r="X1186" s="73"/>
      <c r="Y1186" s="73"/>
      <c r="Z1186" s="73"/>
      <c r="AA1186" s="73"/>
      <c r="AB1186" s="73"/>
      <c r="AC1186" s="73"/>
      <c r="AD1186" s="73"/>
      <c r="AE1186" s="73"/>
      <c r="AF1186" s="73"/>
      <c r="AG1186" s="73"/>
      <c r="AH1186" s="73"/>
      <c r="AI1186" s="73"/>
      <c r="AJ1186" s="73"/>
      <c r="AK1186" s="73"/>
      <c r="AL1186" s="73"/>
      <c r="AM1186" s="73"/>
      <c r="AN1186" s="73"/>
      <c r="AO1186" s="73"/>
      <c r="AP1186" s="73"/>
      <c r="AQ1186" s="73"/>
      <c r="AR1186" s="73"/>
      <c r="AS1186" s="73"/>
      <c r="AT1186" s="73"/>
      <c r="AU1186" s="73"/>
      <c r="AV1186" s="73"/>
      <c r="AW1186" s="73"/>
      <c r="AX1186" s="73"/>
      <c r="AY1186" s="73"/>
      <c r="AZ1186" s="73"/>
      <c r="BA1186" s="73"/>
      <c r="BB1186" s="73"/>
      <c r="BC1186" s="73"/>
      <c r="BD1186" s="73"/>
      <c r="BE1186" s="73"/>
      <c r="BF1186" s="73"/>
      <c r="BG1186" s="73"/>
      <c r="BH1186" s="73"/>
      <c r="BI1186" s="73"/>
      <c r="BJ1186" s="73"/>
      <c r="BK1186" s="73"/>
      <c r="BL1186" s="73"/>
      <c r="BM1186" s="73"/>
      <c r="BN1186" s="73"/>
      <c r="BO1186" s="73"/>
      <c r="BP1186" s="73"/>
      <c r="BQ1186" s="73"/>
      <c r="BR1186" s="73"/>
      <c r="BS1186" s="73"/>
      <c r="BT1186" s="73"/>
      <c r="BU1186" s="73"/>
      <c r="BV1186" s="73"/>
      <c r="BW1186" s="73"/>
      <c r="BX1186" s="73"/>
      <c r="BY1186" s="73"/>
      <c r="BZ1186" s="73"/>
      <c r="CA1186" s="73"/>
      <c r="CB1186" s="73"/>
      <c r="CC1186" s="73"/>
      <c r="CD1186" s="73"/>
      <c r="CE1186" s="73"/>
      <c r="CF1186" s="73"/>
      <c r="CG1186" s="73"/>
      <c r="CH1186" s="73"/>
      <c r="CI1186" s="73"/>
      <c r="CJ1186" s="73"/>
      <c r="CK1186" s="73"/>
      <c r="CL1186" s="73"/>
      <c r="CM1186" s="73"/>
      <c r="CN1186" s="73"/>
      <c r="CO1186" s="73"/>
      <c r="CP1186" s="73"/>
      <c r="CQ1186" s="73"/>
      <c r="CR1186" s="73"/>
      <c r="CS1186" s="73"/>
      <c r="CT1186" s="73"/>
      <c r="CU1186" s="73"/>
      <c r="CV1186" s="73"/>
      <c r="CW1186" s="73"/>
      <c r="CX1186" s="73"/>
      <c r="CY1186" s="73"/>
      <c r="CZ1186" s="73"/>
      <c r="DA1186" s="73"/>
      <c r="DB1186" s="73"/>
      <c r="DC1186" s="73"/>
      <c r="DD1186" s="73"/>
      <c r="DE1186" s="73"/>
      <c r="DF1186" s="73"/>
      <c r="DG1186" s="73"/>
      <c r="DH1186" s="73"/>
      <c r="DI1186" s="73"/>
      <c r="DJ1186" s="73"/>
      <c r="DK1186" s="73"/>
      <c r="DL1186" s="73"/>
      <c r="DM1186" s="73"/>
    </row>
    <row r="1187" spans="1:117" s="48" customFormat="1">
      <c r="A1187" s="73"/>
      <c r="T1187" s="73"/>
      <c r="U1187" s="73"/>
      <c r="V1187" s="73"/>
      <c r="W1187" s="73"/>
      <c r="X1187" s="73"/>
      <c r="Y1187" s="73"/>
      <c r="Z1187" s="73"/>
      <c r="AA1187" s="73"/>
      <c r="AB1187" s="73"/>
      <c r="AC1187" s="73"/>
      <c r="AD1187" s="73"/>
      <c r="AE1187" s="73"/>
      <c r="AF1187" s="73"/>
      <c r="AG1187" s="73"/>
      <c r="AH1187" s="73"/>
      <c r="AI1187" s="73"/>
      <c r="AJ1187" s="73"/>
      <c r="AK1187" s="73"/>
      <c r="AL1187" s="73"/>
      <c r="AM1187" s="73"/>
      <c r="AN1187" s="73"/>
      <c r="AO1187" s="73"/>
      <c r="AP1187" s="73"/>
      <c r="AQ1187" s="73"/>
      <c r="AR1187" s="73"/>
      <c r="AS1187" s="73"/>
      <c r="AT1187" s="73"/>
      <c r="AU1187" s="73"/>
      <c r="AV1187" s="73"/>
      <c r="AW1187" s="73"/>
      <c r="AX1187" s="73"/>
      <c r="AY1187" s="73"/>
      <c r="AZ1187" s="73"/>
      <c r="BA1187" s="73"/>
      <c r="BB1187" s="73"/>
      <c r="BC1187" s="73"/>
      <c r="BD1187" s="73"/>
      <c r="BE1187" s="73"/>
      <c r="BF1187" s="73"/>
      <c r="BG1187" s="73"/>
      <c r="BH1187" s="73"/>
      <c r="BI1187" s="73"/>
      <c r="BJ1187" s="73"/>
      <c r="BK1187" s="73"/>
      <c r="BL1187" s="73"/>
      <c r="BM1187" s="73"/>
      <c r="BN1187" s="73"/>
      <c r="BO1187" s="73"/>
      <c r="BP1187" s="73"/>
      <c r="BQ1187" s="73"/>
      <c r="BR1187" s="73"/>
      <c r="BS1187" s="73"/>
      <c r="BT1187" s="73"/>
      <c r="BU1187" s="73"/>
      <c r="BV1187" s="73"/>
      <c r="BW1187" s="73"/>
      <c r="BX1187" s="73"/>
      <c r="BY1187" s="73"/>
      <c r="BZ1187" s="73"/>
      <c r="CA1187" s="73"/>
      <c r="CB1187" s="73"/>
      <c r="CC1187" s="73"/>
      <c r="CD1187" s="73"/>
      <c r="CE1187" s="73"/>
      <c r="CF1187" s="73"/>
      <c r="CG1187" s="73"/>
      <c r="CH1187" s="73"/>
      <c r="CI1187" s="73"/>
      <c r="CJ1187" s="73"/>
      <c r="CK1187" s="73"/>
      <c r="CL1187" s="73"/>
      <c r="CM1187" s="73"/>
      <c r="CN1187" s="73"/>
      <c r="CO1187" s="73"/>
      <c r="CP1187" s="73"/>
      <c r="CQ1187" s="73"/>
      <c r="CR1187" s="73"/>
      <c r="CS1187" s="73"/>
      <c r="CT1187" s="73"/>
      <c r="CU1187" s="73"/>
      <c r="CV1187" s="73"/>
      <c r="CW1187" s="73"/>
      <c r="CX1187" s="73"/>
      <c r="CY1187" s="73"/>
      <c r="CZ1187" s="73"/>
      <c r="DA1187" s="73"/>
      <c r="DB1187" s="73"/>
      <c r="DC1187" s="73"/>
      <c r="DD1187" s="73"/>
      <c r="DE1187" s="73"/>
      <c r="DF1187" s="73"/>
      <c r="DG1187" s="73"/>
      <c r="DH1187" s="73"/>
      <c r="DI1187" s="73"/>
      <c r="DJ1187" s="73"/>
      <c r="DK1187" s="73"/>
      <c r="DL1187" s="73"/>
      <c r="DM1187" s="73"/>
    </row>
    <row r="1188" spans="1:117" s="48" customFormat="1">
      <c r="A1188" s="73"/>
      <c r="T1188" s="73"/>
      <c r="U1188" s="73"/>
      <c r="V1188" s="73"/>
      <c r="W1188" s="73"/>
      <c r="X1188" s="73"/>
      <c r="Y1188" s="73"/>
      <c r="Z1188" s="73"/>
      <c r="AA1188" s="73"/>
      <c r="AB1188" s="73"/>
      <c r="AC1188" s="73"/>
      <c r="AD1188" s="73"/>
      <c r="AE1188" s="73"/>
      <c r="AF1188" s="73"/>
      <c r="AG1188" s="73"/>
      <c r="AH1188" s="73"/>
      <c r="AI1188" s="73"/>
      <c r="AJ1188" s="73"/>
      <c r="AK1188" s="73"/>
      <c r="AL1188" s="73"/>
      <c r="AM1188" s="73"/>
      <c r="AN1188" s="73"/>
      <c r="AO1188" s="73"/>
      <c r="AP1188" s="73"/>
      <c r="AQ1188" s="73"/>
      <c r="AR1188" s="73"/>
      <c r="AS1188" s="73"/>
      <c r="AT1188" s="73"/>
      <c r="AU1188" s="73"/>
      <c r="AV1188" s="73"/>
      <c r="AW1188" s="73"/>
      <c r="AX1188" s="73"/>
      <c r="AY1188" s="73"/>
      <c r="AZ1188" s="73"/>
      <c r="BA1188" s="73"/>
      <c r="BB1188" s="73"/>
      <c r="BC1188" s="73"/>
      <c r="BD1188" s="73"/>
      <c r="BE1188" s="73"/>
      <c r="BF1188" s="73"/>
      <c r="BG1188" s="73"/>
      <c r="BH1188" s="73"/>
      <c r="BI1188" s="73"/>
      <c r="BJ1188" s="73"/>
      <c r="BK1188" s="73"/>
      <c r="BL1188" s="73"/>
      <c r="BM1188" s="73"/>
      <c r="BN1188" s="73"/>
      <c r="BO1188" s="73"/>
      <c r="BP1188" s="73"/>
      <c r="BQ1188" s="73"/>
      <c r="BR1188" s="73"/>
      <c r="BS1188" s="73"/>
      <c r="BT1188" s="73"/>
      <c r="BU1188" s="73"/>
      <c r="BV1188" s="73"/>
      <c r="BW1188" s="73"/>
      <c r="BX1188" s="73"/>
      <c r="BY1188" s="73"/>
      <c r="BZ1188" s="73"/>
      <c r="CA1188" s="73"/>
      <c r="CB1188" s="73"/>
      <c r="CC1188" s="73"/>
      <c r="CD1188" s="73"/>
      <c r="CE1188" s="73"/>
      <c r="CF1188" s="73"/>
      <c r="CG1188" s="73"/>
      <c r="CH1188" s="73"/>
      <c r="CI1188" s="73"/>
      <c r="CJ1188" s="73"/>
      <c r="CK1188" s="73"/>
      <c r="CL1188" s="73"/>
      <c r="CM1188" s="73"/>
      <c r="CN1188" s="73"/>
      <c r="CO1188" s="73"/>
      <c r="CP1188" s="73"/>
      <c r="CQ1188" s="73"/>
      <c r="CR1188" s="73"/>
      <c r="CS1188" s="73"/>
      <c r="CT1188" s="73"/>
      <c r="CU1188" s="73"/>
      <c r="CV1188" s="73"/>
      <c r="CW1188" s="73"/>
      <c r="CX1188" s="73"/>
      <c r="CY1188" s="73"/>
      <c r="CZ1188" s="73"/>
      <c r="DA1188" s="73"/>
      <c r="DB1188" s="73"/>
      <c r="DC1188" s="73"/>
      <c r="DD1188" s="73"/>
      <c r="DE1188" s="73"/>
      <c r="DF1188" s="73"/>
      <c r="DG1188" s="73"/>
      <c r="DH1188" s="73"/>
      <c r="DI1188" s="73"/>
      <c r="DJ1188" s="73"/>
      <c r="DK1188" s="73"/>
      <c r="DL1188" s="73"/>
      <c r="DM1188" s="73"/>
    </row>
    <row r="1189" spans="1:117" s="48" customFormat="1">
      <c r="A1189" s="73"/>
      <c r="T1189" s="73"/>
      <c r="U1189" s="73"/>
      <c r="V1189" s="73"/>
      <c r="W1189" s="73"/>
      <c r="X1189" s="73"/>
      <c r="Y1189" s="73"/>
      <c r="Z1189" s="73"/>
      <c r="AA1189" s="73"/>
      <c r="AB1189" s="73"/>
      <c r="AC1189" s="73"/>
      <c r="AD1189" s="73"/>
      <c r="AE1189" s="73"/>
      <c r="AF1189" s="73"/>
      <c r="AG1189" s="73"/>
      <c r="AH1189" s="73"/>
      <c r="AI1189" s="73"/>
      <c r="AJ1189" s="73"/>
      <c r="AK1189" s="73"/>
      <c r="AL1189" s="73"/>
      <c r="AM1189" s="73"/>
      <c r="AN1189" s="73"/>
      <c r="AO1189" s="73"/>
      <c r="AP1189" s="73"/>
      <c r="AQ1189" s="73"/>
      <c r="AR1189" s="73"/>
      <c r="AS1189" s="73"/>
      <c r="AT1189" s="73"/>
      <c r="AU1189" s="73"/>
      <c r="AV1189" s="73"/>
      <c r="AW1189" s="73"/>
      <c r="AX1189" s="73"/>
      <c r="AY1189" s="73"/>
      <c r="AZ1189" s="73"/>
      <c r="BA1189" s="73"/>
      <c r="BB1189" s="73"/>
      <c r="BC1189" s="73"/>
      <c r="BD1189" s="73"/>
      <c r="BE1189" s="73"/>
      <c r="BF1189" s="73"/>
      <c r="BG1189" s="73"/>
      <c r="BH1189" s="73"/>
      <c r="BI1189" s="73"/>
      <c r="BJ1189" s="73"/>
      <c r="BK1189" s="73"/>
      <c r="BL1189" s="73"/>
      <c r="BM1189" s="73"/>
      <c r="BN1189" s="73"/>
      <c r="BO1189" s="73"/>
      <c r="BP1189" s="73"/>
      <c r="BQ1189" s="73"/>
      <c r="BR1189" s="73"/>
      <c r="BS1189" s="73"/>
      <c r="BT1189" s="73"/>
      <c r="BU1189" s="73"/>
      <c r="BV1189" s="73"/>
      <c r="BW1189" s="73"/>
      <c r="BX1189" s="73"/>
      <c r="BY1189" s="73"/>
      <c r="BZ1189" s="73"/>
      <c r="CA1189" s="73"/>
      <c r="CB1189" s="73"/>
      <c r="CC1189" s="73"/>
      <c r="CD1189" s="73"/>
      <c r="CE1189" s="73"/>
      <c r="CF1189" s="73"/>
      <c r="CG1189" s="73"/>
      <c r="CH1189" s="73"/>
      <c r="CI1189" s="73"/>
      <c r="CJ1189" s="73"/>
      <c r="CK1189" s="73"/>
      <c r="CL1189" s="73"/>
      <c r="CM1189" s="73"/>
      <c r="CN1189" s="73"/>
      <c r="CO1189" s="73"/>
      <c r="CP1189" s="73"/>
      <c r="CQ1189" s="73"/>
      <c r="CR1189" s="73"/>
      <c r="CS1189" s="73"/>
      <c r="CT1189" s="73"/>
      <c r="CU1189" s="73"/>
      <c r="CV1189" s="73"/>
      <c r="CW1189" s="73"/>
      <c r="CX1189" s="73"/>
      <c r="CY1189" s="73"/>
      <c r="CZ1189" s="73"/>
      <c r="DA1189" s="73"/>
      <c r="DB1189" s="73"/>
      <c r="DC1189" s="73"/>
      <c r="DD1189" s="73"/>
      <c r="DE1189" s="73"/>
      <c r="DF1189" s="73"/>
      <c r="DG1189" s="73"/>
      <c r="DH1189" s="73"/>
      <c r="DI1189" s="73"/>
      <c r="DJ1189" s="73"/>
      <c r="DK1189" s="73"/>
      <c r="DL1189" s="73"/>
      <c r="DM1189" s="73"/>
    </row>
    <row r="1190" spans="1:117" s="48" customFormat="1">
      <c r="A1190" s="73"/>
      <c r="T1190" s="73"/>
      <c r="U1190" s="73"/>
      <c r="V1190" s="73"/>
      <c r="W1190" s="73"/>
      <c r="X1190" s="73"/>
      <c r="Y1190" s="73"/>
      <c r="Z1190" s="73"/>
      <c r="AA1190" s="73"/>
      <c r="AB1190" s="73"/>
      <c r="AC1190" s="73"/>
      <c r="AD1190" s="73"/>
      <c r="AE1190" s="73"/>
      <c r="AF1190" s="73"/>
      <c r="AG1190" s="73"/>
      <c r="AH1190" s="73"/>
      <c r="AI1190" s="73"/>
      <c r="AJ1190" s="73"/>
      <c r="AK1190" s="73"/>
      <c r="AL1190" s="73"/>
      <c r="AM1190" s="73"/>
      <c r="AN1190" s="73"/>
      <c r="AO1190" s="73"/>
      <c r="AP1190" s="73"/>
      <c r="AQ1190" s="73"/>
      <c r="AR1190" s="73"/>
      <c r="AS1190" s="73"/>
      <c r="AT1190" s="73"/>
      <c r="AU1190" s="73"/>
      <c r="AV1190" s="73"/>
      <c r="AW1190" s="73"/>
      <c r="AX1190" s="73"/>
      <c r="AY1190" s="73"/>
      <c r="AZ1190" s="73"/>
      <c r="BA1190" s="73"/>
      <c r="BB1190" s="73"/>
      <c r="BC1190" s="73"/>
      <c r="BD1190" s="73"/>
      <c r="BE1190" s="73"/>
      <c r="BF1190" s="73"/>
      <c r="BG1190" s="73"/>
      <c r="BH1190" s="73"/>
      <c r="BI1190" s="73"/>
      <c r="BJ1190" s="73"/>
      <c r="BK1190" s="73"/>
      <c r="BL1190" s="73"/>
      <c r="BM1190" s="73"/>
      <c r="BN1190" s="73"/>
      <c r="BO1190" s="73"/>
      <c r="BP1190" s="73"/>
      <c r="BQ1190" s="73"/>
      <c r="BR1190" s="73"/>
      <c r="BS1190" s="73"/>
      <c r="BT1190" s="73"/>
      <c r="BU1190" s="73"/>
      <c r="BV1190" s="73"/>
      <c r="BW1190" s="73"/>
      <c r="BX1190" s="73"/>
      <c r="BY1190" s="73"/>
      <c r="BZ1190" s="73"/>
      <c r="CA1190" s="73"/>
      <c r="CB1190" s="73"/>
      <c r="CC1190" s="73"/>
      <c r="CD1190" s="73"/>
      <c r="CE1190" s="73"/>
      <c r="CF1190" s="73"/>
      <c r="CG1190" s="73"/>
      <c r="CH1190" s="73"/>
      <c r="CI1190" s="73"/>
      <c r="CJ1190" s="73"/>
      <c r="CK1190" s="73"/>
      <c r="CL1190" s="73"/>
      <c r="CM1190" s="73"/>
      <c r="CN1190" s="73"/>
      <c r="CO1190" s="73"/>
      <c r="CP1190" s="73"/>
      <c r="CQ1190" s="73"/>
      <c r="CR1190" s="73"/>
      <c r="CS1190" s="73"/>
      <c r="CT1190" s="73"/>
      <c r="CU1190" s="73"/>
      <c r="CV1190" s="73"/>
      <c r="CW1190" s="73"/>
      <c r="CX1190" s="73"/>
      <c r="CY1190" s="73"/>
      <c r="CZ1190" s="73"/>
      <c r="DA1190" s="73"/>
      <c r="DB1190" s="73"/>
      <c r="DC1190" s="73"/>
      <c r="DD1190" s="73"/>
      <c r="DE1190" s="73"/>
      <c r="DF1190" s="73"/>
      <c r="DG1190" s="73"/>
      <c r="DH1190" s="73"/>
      <c r="DI1190" s="73"/>
      <c r="DJ1190" s="73"/>
      <c r="DK1190" s="73"/>
      <c r="DL1190" s="73"/>
      <c r="DM1190" s="73"/>
    </row>
    <row r="1191" spans="1:117" s="48" customFormat="1">
      <c r="A1191" s="73"/>
      <c r="T1191" s="73"/>
      <c r="U1191" s="73"/>
      <c r="V1191" s="73"/>
      <c r="W1191" s="73"/>
      <c r="X1191" s="73"/>
      <c r="Y1191" s="73"/>
      <c r="Z1191" s="73"/>
      <c r="AA1191" s="73"/>
      <c r="AB1191" s="73"/>
      <c r="AC1191" s="73"/>
      <c r="AD1191" s="73"/>
      <c r="AE1191" s="73"/>
      <c r="AF1191" s="73"/>
      <c r="AG1191" s="73"/>
      <c r="AH1191" s="73"/>
      <c r="AI1191" s="73"/>
      <c r="AJ1191" s="73"/>
      <c r="AK1191" s="73"/>
      <c r="AL1191" s="73"/>
      <c r="AM1191" s="73"/>
      <c r="AN1191" s="73"/>
      <c r="AO1191" s="73"/>
      <c r="AP1191" s="73"/>
      <c r="AQ1191" s="73"/>
      <c r="AR1191" s="73"/>
      <c r="AS1191" s="73"/>
      <c r="AT1191" s="73"/>
      <c r="AU1191" s="73"/>
      <c r="AV1191" s="73"/>
      <c r="AW1191" s="73"/>
      <c r="AX1191" s="73"/>
      <c r="AY1191" s="73"/>
      <c r="AZ1191" s="73"/>
      <c r="BA1191" s="73"/>
      <c r="BB1191" s="73"/>
      <c r="BC1191" s="73"/>
      <c r="BD1191" s="73"/>
      <c r="BE1191" s="73"/>
      <c r="BF1191" s="73"/>
      <c r="BG1191" s="73"/>
      <c r="BH1191" s="73"/>
      <c r="BI1191" s="73"/>
      <c r="BJ1191" s="73"/>
      <c r="BK1191" s="73"/>
      <c r="BL1191" s="73"/>
      <c r="BM1191" s="73"/>
      <c r="BN1191" s="73"/>
      <c r="BO1191" s="73"/>
      <c r="BP1191" s="73"/>
      <c r="BQ1191" s="73"/>
      <c r="BR1191" s="73"/>
      <c r="BS1191" s="73"/>
      <c r="BT1191" s="73"/>
      <c r="BU1191" s="73"/>
      <c r="BV1191" s="73"/>
      <c r="BW1191" s="73"/>
      <c r="BX1191" s="73"/>
      <c r="BY1191" s="73"/>
      <c r="BZ1191" s="73"/>
      <c r="CA1191" s="73"/>
      <c r="CB1191" s="73"/>
      <c r="CC1191" s="73"/>
      <c r="CD1191" s="73"/>
      <c r="CE1191" s="73"/>
      <c r="CF1191" s="73"/>
      <c r="CG1191" s="73"/>
      <c r="CH1191" s="73"/>
      <c r="CI1191" s="73"/>
      <c r="CJ1191" s="73"/>
      <c r="CK1191" s="73"/>
      <c r="CL1191" s="73"/>
      <c r="CM1191" s="73"/>
      <c r="CN1191" s="73"/>
      <c r="CO1191" s="73"/>
      <c r="CP1191" s="73"/>
      <c r="CQ1191" s="73"/>
      <c r="CR1191" s="73"/>
      <c r="CS1191" s="73"/>
      <c r="CT1191" s="73"/>
      <c r="CU1191" s="73"/>
      <c r="CV1191" s="73"/>
      <c r="CW1191" s="73"/>
      <c r="CX1191" s="73"/>
      <c r="CY1191" s="73"/>
      <c r="CZ1191" s="73"/>
      <c r="DA1191" s="73"/>
      <c r="DB1191" s="73"/>
      <c r="DC1191" s="73"/>
      <c r="DD1191" s="73"/>
      <c r="DE1191" s="73"/>
      <c r="DF1191" s="73"/>
      <c r="DG1191" s="73"/>
      <c r="DH1191" s="73"/>
      <c r="DI1191" s="73"/>
      <c r="DJ1191" s="73"/>
      <c r="DK1191" s="73"/>
      <c r="DL1191" s="73"/>
      <c r="DM1191" s="73"/>
    </row>
    <row r="1192" spans="1:117" s="48" customFormat="1">
      <c r="A1192" s="73"/>
      <c r="T1192" s="73"/>
      <c r="U1192" s="73"/>
      <c r="V1192" s="73"/>
      <c r="W1192" s="73"/>
      <c r="X1192" s="73"/>
      <c r="Y1192" s="73"/>
      <c r="Z1192" s="73"/>
      <c r="AA1192" s="73"/>
      <c r="AB1192" s="73"/>
      <c r="AC1192" s="73"/>
      <c r="AD1192" s="73"/>
      <c r="AE1192" s="73"/>
      <c r="AF1192" s="73"/>
      <c r="AG1192" s="73"/>
      <c r="AH1192" s="73"/>
      <c r="AI1192" s="73"/>
      <c r="AJ1192" s="73"/>
      <c r="AK1192" s="73"/>
      <c r="AL1192" s="73"/>
      <c r="AM1192" s="73"/>
      <c r="AN1192" s="73"/>
      <c r="AO1192" s="73"/>
      <c r="AP1192" s="73"/>
      <c r="AQ1192" s="73"/>
      <c r="AR1192" s="73"/>
      <c r="AS1192" s="73"/>
      <c r="AT1192" s="73"/>
      <c r="AU1192" s="73"/>
      <c r="AV1192" s="73"/>
      <c r="AW1192" s="73"/>
      <c r="AX1192" s="73"/>
      <c r="AY1192" s="73"/>
      <c r="AZ1192" s="73"/>
      <c r="BA1192" s="73"/>
      <c r="BB1192" s="73"/>
      <c r="BC1192" s="73"/>
      <c r="BD1192" s="73"/>
      <c r="BE1192" s="73"/>
      <c r="BF1192" s="73"/>
      <c r="BG1192" s="73"/>
      <c r="BH1192" s="73"/>
      <c r="BI1192" s="73"/>
      <c r="BJ1192" s="73"/>
      <c r="BK1192" s="73"/>
      <c r="BL1192" s="73"/>
      <c r="BM1192" s="73"/>
      <c r="BN1192" s="73"/>
      <c r="BO1192" s="73"/>
      <c r="BP1192" s="73"/>
      <c r="BQ1192" s="73"/>
      <c r="BR1192" s="73"/>
      <c r="BS1192" s="73"/>
      <c r="BT1192" s="73"/>
      <c r="BU1192" s="73"/>
      <c r="BV1192" s="73"/>
      <c r="BW1192" s="73"/>
      <c r="BX1192" s="73"/>
      <c r="BY1192" s="73"/>
      <c r="BZ1192" s="73"/>
      <c r="CA1192" s="73"/>
      <c r="CB1192" s="73"/>
      <c r="CC1192" s="73"/>
      <c r="CD1192" s="73"/>
      <c r="CE1192" s="73"/>
      <c r="CF1192" s="73"/>
      <c r="CG1192" s="73"/>
      <c r="CH1192" s="73"/>
      <c r="CI1192" s="73"/>
      <c r="CJ1192" s="73"/>
      <c r="CK1192" s="73"/>
      <c r="CL1192" s="73"/>
      <c r="CM1192" s="73"/>
      <c r="CN1192" s="73"/>
      <c r="CO1192" s="73"/>
      <c r="CP1192" s="73"/>
      <c r="CQ1192" s="73"/>
      <c r="CR1192" s="73"/>
      <c r="CS1192" s="73"/>
      <c r="CT1192" s="73"/>
      <c r="CU1192" s="73"/>
      <c r="CV1192" s="73"/>
      <c r="CW1192" s="73"/>
      <c r="CX1192" s="73"/>
      <c r="CY1192" s="73"/>
      <c r="CZ1192" s="73"/>
      <c r="DA1192" s="73"/>
      <c r="DB1192" s="73"/>
      <c r="DC1192" s="73"/>
      <c r="DD1192" s="73"/>
      <c r="DE1192" s="73"/>
      <c r="DF1192" s="73"/>
      <c r="DG1192" s="73"/>
      <c r="DH1192" s="73"/>
      <c r="DI1192" s="73"/>
      <c r="DJ1192" s="73"/>
      <c r="DK1192" s="73"/>
      <c r="DL1192" s="73"/>
      <c r="DM1192" s="73"/>
    </row>
    <row r="1193" spans="1:117" s="48" customFormat="1">
      <c r="A1193" s="73"/>
      <c r="T1193" s="73"/>
      <c r="U1193" s="73"/>
      <c r="V1193" s="73"/>
      <c r="W1193" s="73"/>
      <c r="X1193" s="73"/>
      <c r="Y1193" s="73"/>
      <c r="Z1193" s="73"/>
      <c r="AA1193" s="73"/>
      <c r="AB1193" s="73"/>
      <c r="AC1193" s="73"/>
      <c r="AD1193" s="73"/>
      <c r="AE1193" s="73"/>
      <c r="AF1193" s="73"/>
      <c r="AG1193" s="73"/>
      <c r="AH1193" s="73"/>
      <c r="AI1193" s="73"/>
      <c r="AJ1193" s="73"/>
      <c r="AK1193" s="73"/>
      <c r="AL1193" s="73"/>
      <c r="AM1193" s="73"/>
      <c r="AN1193" s="73"/>
      <c r="AO1193" s="73"/>
      <c r="AP1193" s="73"/>
      <c r="AQ1193" s="73"/>
      <c r="AR1193" s="73"/>
      <c r="AS1193" s="73"/>
      <c r="AT1193" s="73"/>
      <c r="AU1193" s="73"/>
      <c r="AV1193" s="73"/>
      <c r="AW1193" s="73"/>
      <c r="AX1193" s="73"/>
      <c r="AY1193" s="73"/>
      <c r="AZ1193" s="73"/>
      <c r="BA1193" s="73"/>
      <c r="BB1193" s="73"/>
      <c r="BC1193" s="73"/>
      <c r="BD1193" s="73"/>
      <c r="BE1193" s="73"/>
      <c r="BF1193" s="73"/>
      <c r="BG1193" s="73"/>
      <c r="BH1193" s="73"/>
      <c r="BI1193" s="73"/>
      <c r="BJ1193" s="73"/>
      <c r="BK1193" s="73"/>
      <c r="BL1193" s="73"/>
      <c r="BM1193" s="73"/>
      <c r="BN1193" s="73"/>
      <c r="BO1193" s="73"/>
      <c r="BP1193" s="73"/>
      <c r="BQ1193" s="73"/>
      <c r="BR1193" s="73"/>
      <c r="BS1193" s="73"/>
      <c r="BT1193" s="73"/>
      <c r="BU1193" s="73"/>
      <c r="BV1193" s="73"/>
      <c r="BW1193" s="73"/>
      <c r="BX1193" s="73"/>
      <c r="BY1193" s="73"/>
      <c r="BZ1193" s="73"/>
      <c r="CA1193" s="73"/>
      <c r="CB1193" s="73"/>
      <c r="CC1193" s="73"/>
      <c r="CD1193" s="73"/>
      <c r="CE1193" s="73"/>
      <c r="CF1193" s="73"/>
      <c r="CG1193" s="73"/>
      <c r="CH1193" s="73"/>
      <c r="CI1193" s="73"/>
      <c r="CJ1193" s="73"/>
      <c r="CK1193" s="73"/>
      <c r="CL1193" s="73"/>
      <c r="CM1193" s="73"/>
      <c r="CN1193" s="73"/>
      <c r="CO1193" s="73"/>
      <c r="CP1193" s="73"/>
      <c r="CQ1193" s="73"/>
      <c r="CR1193" s="73"/>
      <c r="CS1193" s="73"/>
      <c r="CT1193" s="73"/>
      <c r="CU1193" s="73"/>
      <c r="CV1193" s="73"/>
      <c r="CW1193" s="73"/>
      <c r="CX1193" s="73"/>
      <c r="CY1193" s="73"/>
      <c r="CZ1193" s="73"/>
      <c r="DA1193" s="73"/>
      <c r="DB1193" s="73"/>
      <c r="DC1193" s="73"/>
      <c r="DD1193" s="73"/>
      <c r="DE1193" s="73"/>
      <c r="DF1193" s="73"/>
      <c r="DG1193" s="73"/>
      <c r="DH1193" s="73"/>
      <c r="DI1193" s="73"/>
      <c r="DJ1193" s="73"/>
      <c r="DK1193" s="73"/>
      <c r="DL1193" s="73"/>
      <c r="DM1193" s="73"/>
    </row>
    <row r="1194" spans="1:117" s="48" customFormat="1">
      <c r="A1194" s="73"/>
      <c r="T1194" s="73"/>
      <c r="U1194" s="73"/>
      <c r="V1194" s="73"/>
      <c r="W1194" s="73"/>
      <c r="X1194" s="73"/>
      <c r="Y1194" s="73"/>
      <c r="Z1194" s="73"/>
      <c r="AA1194" s="73"/>
      <c r="AB1194" s="73"/>
      <c r="AC1194" s="73"/>
      <c r="AD1194" s="73"/>
      <c r="AE1194" s="73"/>
      <c r="AF1194" s="73"/>
      <c r="AG1194" s="73"/>
      <c r="AH1194" s="73"/>
      <c r="AI1194" s="73"/>
      <c r="AJ1194" s="73"/>
      <c r="AK1194" s="73"/>
      <c r="AL1194" s="73"/>
      <c r="AM1194" s="73"/>
      <c r="AN1194" s="73"/>
      <c r="AO1194" s="73"/>
      <c r="AP1194" s="73"/>
      <c r="AQ1194" s="73"/>
      <c r="AR1194" s="73"/>
      <c r="AS1194" s="73"/>
      <c r="AT1194" s="73"/>
      <c r="AU1194" s="73"/>
      <c r="AV1194" s="73"/>
      <c r="AW1194" s="73"/>
      <c r="AX1194" s="73"/>
      <c r="AY1194" s="73"/>
      <c r="AZ1194" s="73"/>
      <c r="BA1194" s="73"/>
      <c r="BB1194" s="73"/>
      <c r="BC1194" s="73"/>
      <c r="BD1194" s="73"/>
      <c r="BE1194" s="73"/>
      <c r="BF1194" s="73"/>
      <c r="BG1194" s="73"/>
      <c r="BH1194" s="73"/>
      <c r="BI1194" s="73"/>
      <c r="BJ1194" s="73"/>
      <c r="BK1194" s="73"/>
      <c r="BL1194" s="73"/>
      <c r="BM1194" s="73"/>
      <c r="BN1194" s="73"/>
      <c r="BO1194" s="73"/>
      <c r="BP1194" s="73"/>
      <c r="BQ1194" s="73"/>
      <c r="BR1194" s="73"/>
      <c r="BS1194" s="73"/>
      <c r="BT1194" s="73"/>
      <c r="BU1194" s="73"/>
      <c r="BV1194" s="73"/>
      <c r="BW1194" s="73"/>
      <c r="BX1194" s="73"/>
      <c r="BY1194" s="73"/>
      <c r="BZ1194" s="73"/>
      <c r="CA1194" s="73"/>
      <c r="CB1194" s="73"/>
      <c r="CC1194" s="73"/>
      <c r="CD1194" s="73"/>
      <c r="CE1194" s="73"/>
      <c r="CF1194" s="73"/>
      <c r="CG1194" s="73"/>
      <c r="CH1194" s="73"/>
      <c r="CI1194" s="73"/>
      <c r="CJ1194" s="73"/>
      <c r="CK1194" s="73"/>
      <c r="CL1194" s="73"/>
      <c r="CM1194" s="73"/>
      <c r="CN1194" s="73"/>
      <c r="CO1194" s="73"/>
      <c r="CP1194" s="73"/>
      <c r="CQ1194" s="73"/>
      <c r="CR1194" s="73"/>
      <c r="CS1194" s="73"/>
      <c r="CT1194" s="73"/>
      <c r="CU1194" s="73"/>
      <c r="CV1194" s="73"/>
      <c r="CW1194" s="73"/>
      <c r="CX1194" s="73"/>
      <c r="CY1194" s="73"/>
      <c r="CZ1194" s="73"/>
      <c r="DA1194" s="73"/>
      <c r="DB1194" s="73"/>
      <c r="DC1194" s="73"/>
      <c r="DD1194" s="73"/>
      <c r="DE1194" s="73"/>
      <c r="DF1194" s="73"/>
      <c r="DG1194" s="73"/>
      <c r="DH1194" s="73"/>
      <c r="DI1194" s="73"/>
      <c r="DJ1194" s="73"/>
      <c r="DK1194" s="73"/>
      <c r="DL1194" s="73"/>
      <c r="DM1194" s="73"/>
    </row>
    <row r="1195" spans="1:117" s="48" customFormat="1">
      <c r="A1195" s="73"/>
      <c r="T1195" s="73"/>
      <c r="U1195" s="73"/>
      <c r="V1195" s="73"/>
      <c r="W1195" s="73"/>
      <c r="X1195" s="73"/>
      <c r="Y1195" s="73"/>
      <c r="Z1195" s="73"/>
      <c r="AA1195" s="73"/>
      <c r="AB1195" s="73"/>
      <c r="AC1195" s="73"/>
      <c r="AD1195" s="73"/>
      <c r="AE1195" s="73"/>
      <c r="AF1195" s="73"/>
      <c r="AG1195" s="73"/>
      <c r="AH1195" s="73"/>
      <c r="AI1195" s="73"/>
      <c r="AJ1195" s="73"/>
      <c r="AK1195" s="73"/>
      <c r="AL1195" s="73"/>
      <c r="AM1195" s="73"/>
      <c r="AN1195" s="73"/>
      <c r="AO1195" s="73"/>
      <c r="AP1195" s="73"/>
      <c r="AQ1195" s="73"/>
      <c r="AR1195" s="73"/>
      <c r="AS1195" s="73"/>
      <c r="AT1195" s="73"/>
      <c r="AU1195" s="73"/>
      <c r="AV1195" s="73"/>
      <c r="AW1195" s="73"/>
      <c r="AX1195" s="73"/>
      <c r="AY1195" s="73"/>
      <c r="AZ1195" s="73"/>
      <c r="BA1195" s="73"/>
      <c r="BB1195" s="73"/>
      <c r="BC1195" s="73"/>
      <c r="BD1195" s="73"/>
      <c r="BE1195" s="73"/>
      <c r="BF1195" s="73"/>
      <c r="BG1195" s="73"/>
      <c r="BH1195" s="73"/>
      <c r="BI1195" s="73"/>
      <c r="BJ1195" s="73"/>
      <c r="BK1195" s="73"/>
      <c r="BL1195" s="73"/>
      <c r="BM1195" s="73"/>
      <c r="BN1195" s="73"/>
      <c r="BO1195" s="73"/>
      <c r="BP1195" s="73"/>
      <c r="BQ1195" s="73"/>
      <c r="BR1195" s="73"/>
      <c r="BS1195" s="73"/>
      <c r="BT1195" s="73"/>
      <c r="BU1195" s="73"/>
      <c r="BV1195" s="73"/>
      <c r="BW1195" s="73"/>
      <c r="BX1195" s="73"/>
      <c r="BY1195" s="73"/>
      <c r="BZ1195" s="73"/>
      <c r="CA1195" s="73"/>
      <c r="CB1195" s="73"/>
      <c r="CC1195" s="73"/>
      <c r="CD1195" s="73"/>
      <c r="CE1195" s="73"/>
      <c r="CF1195" s="73"/>
      <c r="CG1195" s="73"/>
      <c r="CH1195" s="73"/>
      <c r="CI1195" s="73"/>
      <c r="CJ1195" s="73"/>
      <c r="CK1195" s="73"/>
      <c r="CL1195" s="73"/>
      <c r="CM1195" s="73"/>
      <c r="CN1195" s="73"/>
      <c r="CO1195" s="73"/>
      <c r="CP1195" s="73"/>
      <c r="CQ1195" s="73"/>
      <c r="CR1195" s="73"/>
      <c r="CS1195" s="73"/>
      <c r="CT1195" s="73"/>
      <c r="CU1195" s="73"/>
      <c r="CV1195" s="73"/>
      <c r="CW1195" s="73"/>
      <c r="CX1195" s="73"/>
      <c r="CY1195" s="73"/>
      <c r="CZ1195" s="73"/>
      <c r="DA1195" s="73"/>
      <c r="DB1195" s="73"/>
      <c r="DC1195" s="73"/>
      <c r="DD1195" s="73"/>
      <c r="DE1195" s="73"/>
      <c r="DF1195" s="73"/>
      <c r="DG1195" s="73"/>
      <c r="DH1195" s="73"/>
      <c r="DI1195" s="73"/>
      <c r="DJ1195" s="73"/>
      <c r="DK1195" s="73"/>
      <c r="DL1195" s="73"/>
      <c r="DM1195" s="73"/>
    </row>
    <row r="1196" spans="1:117" s="48" customFormat="1">
      <c r="A1196" s="73"/>
      <c r="T1196" s="73"/>
      <c r="U1196" s="73"/>
      <c r="V1196" s="73"/>
      <c r="W1196" s="73"/>
      <c r="X1196" s="73"/>
      <c r="Y1196" s="73"/>
      <c r="Z1196" s="73"/>
      <c r="AA1196" s="73"/>
      <c r="AB1196" s="73"/>
      <c r="AC1196" s="73"/>
      <c r="AD1196" s="73"/>
      <c r="AE1196" s="73"/>
      <c r="AF1196" s="73"/>
      <c r="AG1196" s="73"/>
      <c r="AH1196" s="73"/>
      <c r="AI1196" s="73"/>
      <c r="AJ1196" s="73"/>
      <c r="AK1196" s="73"/>
      <c r="AL1196" s="73"/>
      <c r="AM1196" s="73"/>
      <c r="AN1196" s="73"/>
      <c r="AO1196" s="73"/>
      <c r="AP1196" s="73"/>
      <c r="AQ1196" s="73"/>
      <c r="AR1196" s="73"/>
      <c r="AS1196" s="73"/>
      <c r="AT1196" s="73"/>
      <c r="AU1196" s="73"/>
      <c r="AV1196" s="73"/>
      <c r="AW1196" s="73"/>
      <c r="AX1196" s="73"/>
      <c r="AY1196" s="73"/>
      <c r="AZ1196" s="73"/>
      <c r="BA1196" s="73"/>
      <c r="BB1196" s="73"/>
      <c r="BC1196" s="73"/>
      <c r="BD1196" s="73"/>
      <c r="BE1196" s="73"/>
      <c r="BF1196" s="73"/>
      <c r="BG1196" s="73"/>
      <c r="BH1196" s="73"/>
      <c r="BI1196" s="73"/>
      <c r="BJ1196" s="73"/>
      <c r="BK1196" s="73"/>
      <c r="BL1196" s="73"/>
      <c r="BM1196" s="73"/>
      <c r="BN1196" s="73"/>
      <c r="BO1196" s="73"/>
      <c r="BP1196" s="73"/>
      <c r="BQ1196" s="73"/>
      <c r="BR1196" s="73"/>
      <c r="BS1196" s="73"/>
      <c r="BT1196" s="73"/>
      <c r="BU1196" s="73"/>
      <c r="BV1196" s="73"/>
      <c r="BW1196" s="73"/>
      <c r="BX1196" s="73"/>
      <c r="BY1196" s="73"/>
      <c r="BZ1196" s="73"/>
      <c r="CA1196" s="73"/>
      <c r="CB1196" s="73"/>
      <c r="CC1196" s="73"/>
      <c r="CD1196" s="73"/>
      <c r="CE1196" s="73"/>
      <c r="CF1196" s="73"/>
      <c r="CG1196" s="73"/>
      <c r="CH1196" s="73"/>
      <c r="CI1196" s="73"/>
      <c r="CJ1196" s="73"/>
      <c r="CK1196" s="73"/>
      <c r="CL1196" s="73"/>
      <c r="CM1196" s="73"/>
      <c r="CN1196" s="73"/>
      <c r="CO1196" s="73"/>
      <c r="CP1196" s="73"/>
      <c r="CQ1196" s="73"/>
      <c r="CR1196" s="73"/>
      <c r="CS1196" s="73"/>
      <c r="CT1196" s="73"/>
      <c r="CU1196" s="73"/>
      <c r="CV1196" s="73"/>
      <c r="CW1196" s="73"/>
      <c r="CX1196" s="73"/>
      <c r="CY1196" s="73"/>
      <c r="CZ1196" s="73"/>
      <c r="DA1196" s="73"/>
      <c r="DB1196" s="73"/>
      <c r="DC1196" s="73"/>
      <c r="DD1196" s="73"/>
      <c r="DE1196" s="73"/>
      <c r="DF1196" s="73"/>
      <c r="DG1196" s="73"/>
      <c r="DH1196" s="73"/>
      <c r="DI1196" s="73"/>
      <c r="DJ1196" s="73"/>
      <c r="DK1196" s="73"/>
      <c r="DL1196" s="73"/>
      <c r="DM1196" s="73"/>
    </row>
    <row r="1197" spans="1:117" s="48" customFormat="1">
      <c r="A1197" s="73"/>
      <c r="T1197" s="73"/>
      <c r="U1197" s="73"/>
      <c r="V1197" s="73"/>
      <c r="W1197" s="73"/>
      <c r="X1197" s="73"/>
      <c r="Y1197" s="73"/>
      <c r="Z1197" s="73"/>
      <c r="AA1197" s="73"/>
      <c r="AB1197" s="73"/>
      <c r="AC1197" s="73"/>
      <c r="AD1197" s="73"/>
      <c r="AE1197" s="73"/>
      <c r="AF1197" s="73"/>
      <c r="AG1197" s="73"/>
      <c r="AH1197" s="73"/>
      <c r="AI1197" s="73"/>
      <c r="AJ1197" s="73"/>
      <c r="AK1197" s="73"/>
      <c r="AL1197" s="73"/>
      <c r="AM1197" s="73"/>
      <c r="AN1197" s="73"/>
      <c r="AO1197" s="73"/>
      <c r="AP1197" s="73"/>
      <c r="AQ1197" s="73"/>
      <c r="AR1197" s="73"/>
      <c r="AS1197" s="73"/>
      <c r="AT1197" s="73"/>
      <c r="AU1197" s="73"/>
      <c r="AV1197" s="73"/>
      <c r="AW1197" s="73"/>
      <c r="AX1197" s="73"/>
      <c r="AY1197" s="73"/>
      <c r="AZ1197" s="73"/>
      <c r="BA1197" s="73"/>
      <c r="BB1197" s="73"/>
      <c r="BC1197" s="73"/>
      <c r="BD1197" s="73"/>
      <c r="BE1197" s="73"/>
      <c r="BF1197" s="73"/>
      <c r="BG1197" s="73"/>
      <c r="BH1197" s="73"/>
      <c r="BI1197" s="73"/>
      <c r="BJ1197" s="73"/>
      <c r="BK1197" s="73"/>
      <c r="BL1197" s="73"/>
      <c r="BM1197" s="73"/>
      <c r="BN1197" s="73"/>
      <c r="BO1197" s="73"/>
      <c r="BP1197" s="73"/>
      <c r="BQ1197" s="73"/>
      <c r="BR1197" s="73"/>
      <c r="BS1197" s="73"/>
      <c r="BT1197" s="73"/>
      <c r="BU1197" s="73"/>
      <c r="BV1197" s="73"/>
      <c r="BW1197" s="73"/>
      <c r="BX1197" s="73"/>
      <c r="BY1197" s="73"/>
      <c r="BZ1197" s="73"/>
      <c r="CA1197" s="73"/>
      <c r="CB1197" s="73"/>
      <c r="CC1197" s="73"/>
      <c r="CD1197" s="73"/>
      <c r="CE1197" s="73"/>
      <c r="CF1197" s="73"/>
      <c r="CG1197" s="73"/>
      <c r="CH1197" s="73"/>
      <c r="CI1197" s="73"/>
      <c r="CJ1197" s="73"/>
      <c r="CK1197" s="73"/>
      <c r="CL1197" s="73"/>
      <c r="CM1197" s="73"/>
      <c r="CN1197" s="73"/>
      <c r="CO1197" s="73"/>
      <c r="CP1197" s="73"/>
      <c r="CQ1197" s="73"/>
      <c r="CR1197" s="73"/>
      <c r="CS1197" s="73"/>
      <c r="CT1197" s="73"/>
      <c r="CU1197" s="73"/>
      <c r="CV1197" s="73"/>
      <c r="CW1197" s="73"/>
      <c r="CX1197" s="73"/>
      <c r="CY1197" s="73"/>
      <c r="CZ1197" s="73"/>
      <c r="DA1197" s="73"/>
      <c r="DB1197" s="73"/>
      <c r="DC1197" s="73"/>
      <c r="DD1197" s="73"/>
      <c r="DE1197" s="73"/>
      <c r="DF1197" s="73"/>
      <c r="DG1197" s="73"/>
      <c r="DH1197" s="73"/>
      <c r="DI1197" s="73"/>
      <c r="DJ1197" s="73"/>
      <c r="DK1197" s="73"/>
      <c r="DL1197" s="73"/>
      <c r="DM1197" s="73"/>
    </row>
    <row r="1198" spans="1:117" s="48" customFormat="1">
      <c r="A1198" s="73"/>
      <c r="T1198" s="73"/>
      <c r="U1198" s="73"/>
      <c r="V1198" s="73"/>
      <c r="W1198" s="73"/>
      <c r="X1198" s="73"/>
      <c r="Y1198" s="73"/>
      <c r="Z1198" s="73"/>
      <c r="AA1198" s="73"/>
      <c r="AB1198" s="73"/>
      <c r="AC1198" s="73"/>
      <c r="AD1198" s="73"/>
      <c r="AE1198" s="73"/>
      <c r="AF1198" s="73"/>
      <c r="AG1198" s="73"/>
      <c r="AH1198" s="73"/>
      <c r="AI1198" s="73"/>
      <c r="AJ1198" s="73"/>
      <c r="AK1198" s="73"/>
      <c r="AL1198" s="73"/>
      <c r="AM1198" s="73"/>
      <c r="AN1198" s="73"/>
      <c r="AO1198" s="73"/>
      <c r="AP1198" s="73"/>
      <c r="AQ1198" s="73"/>
      <c r="AR1198" s="73"/>
      <c r="AS1198" s="73"/>
      <c r="AT1198" s="73"/>
      <c r="AU1198" s="73"/>
      <c r="AV1198" s="73"/>
      <c r="AW1198" s="73"/>
      <c r="AX1198" s="73"/>
      <c r="AY1198" s="73"/>
      <c r="AZ1198" s="73"/>
      <c r="BA1198" s="73"/>
      <c r="BB1198" s="73"/>
      <c r="BC1198" s="73"/>
      <c r="BD1198" s="73"/>
      <c r="BE1198" s="73"/>
      <c r="BF1198" s="73"/>
      <c r="BG1198" s="73"/>
      <c r="BH1198" s="73"/>
      <c r="BI1198" s="73"/>
      <c r="BJ1198" s="73"/>
      <c r="BK1198" s="73"/>
      <c r="BL1198" s="73"/>
      <c r="BM1198" s="73"/>
      <c r="BN1198" s="73"/>
      <c r="BO1198" s="73"/>
      <c r="BP1198" s="73"/>
      <c r="BQ1198" s="73"/>
      <c r="BR1198" s="73"/>
      <c r="BS1198" s="73"/>
      <c r="BT1198" s="73"/>
      <c r="BU1198" s="73"/>
      <c r="BV1198" s="73"/>
      <c r="BW1198" s="73"/>
      <c r="BX1198" s="73"/>
      <c r="BY1198" s="73"/>
      <c r="BZ1198" s="73"/>
      <c r="CA1198" s="73"/>
      <c r="CB1198" s="73"/>
      <c r="CC1198" s="73"/>
      <c r="CD1198" s="73"/>
      <c r="CE1198" s="73"/>
      <c r="CF1198" s="73"/>
      <c r="CG1198" s="73"/>
      <c r="CH1198" s="73"/>
      <c r="CI1198" s="73"/>
      <c r="CJ1198" s="73"/>
      <c r="CK1198" s="73"/>
      <c r="CL1198" s="73"/>
      <c r="CM1198" s="73"/>
      <c r="CN1198" s="73"/>
      <c r="CO1198" s="73"/>
      <c r="CP1198" s="73"/>
      <c r="CQ1198" s="73"/>
      <c r="CR1198" s="73"/>
      <c r="CS1198" s="73"/>
      <c r="CT1198" s="73"/>
      <c r="CU1198" s="73"/>
      <c r="CV1198" s="73"/>
      <c r="CW1198" s="73"/>
      <c r="CX1198" s="73"/>
      <c r="CY1198" s="73"/>
      <c r="CZ1198" s="73"/>
      <c r="DA1198" s="73"/>
      <c r="DB1198" s="73"/>
      <c r="DC1198" s="73"/>
      <c r="DD1198" s="73"/>
      <c r="DE1198" s="73"/>
      <c r="DF1198" s="73"/>
      <c r="DG1198" s="73"/>
      <c r="DH1198" s="73"/>
      <c r="DI1198" s="73"/>
      <c r="DJ1198" s="73"/>
      <c r="DK1198" s="73"/>
      <c r="DL1198" s="73"/>
      <c r="DM1198" s="73"/>
    </row>
    <row r="1199" spans="1:117" s="48" customFormat="1">
      <c r="A1199" s="73"/>
      <c r="T1199" s="73"/>
      <c r="U1199" s="73"/>
      <c r="V1199" s="73"/>
      <c r="W1199" s="73"/>
      <c r="X1199" s="73"/>
      <c r="Y1199" s="73"/>
      <c r="Z1199" s="73"/>
      <c r="AA1199" s="73"/>
      <c r="AB1199" s="73"/>
      <c r="AC1199" s="73"/>
      <c r="AD1199" s="73"/>
      <c r="AE1199" s="73"/>
      <c r="AF1199" s="73"/>
      <c r="AG1199" s="73"/>
      <c r="AH1199" s="73"/>
      <c r="AI1199" s="73"/>
      <c r="AJ1199" s="73"/>
      <c r="AK1199" s="73"/>
      <c r="AL1199" s="73"/>
      <c r="AM1199" s="73"/>
      <c r="AN1199" s="73"/>
      <c r="AO1199" s="73"/>
      <c r="AP1199" s="73"/>
      <c r="AQ1199" s="73"/>
      <c r="AR1199" s="73"/>
      <c r="AS1199" s="73"/>
      <c r="AT1199" s="73"/>
      <c r="AU1199" s="73"/>
      <c r="AV1199" s="73"/>
      <c r="AW1199" s="73"/>
      <c r="AX1199" s="73"/>
      <c r="AY1199" s="73"/>
      <c r="AZ1199" s="73"/>
      <c r="BA1199" s="73"/>
      <c r="BB1199" s="73"/>
      <c r="BC1199" s="73"/>
      <c r="BD1199" s="73"/>
      <c r="BE1199" s="73"/>
      <c r="BF1199" s="73"/>
      <c r="BG1199" s="73"/>
      <c r="BH1199" s="73"/>
      <c r="BI1199" s="73"/>
      <c r="BJ1199" s="73"/>
      <c r="BK1199" s="73"/>
      <c r="BL1199" s="73"/>
      <c r="BM1199" s="73"/>
      <c r="BN1199" s="73"/>
      <c r="BO1199" s="73"/>
      <c r="BP1199" s="73"/>
      <c r="BQ1199" s="73"/>
      <c r="BR1199" s="73"/>
      <c r="BS1199" s="73"/>
      <c r="BT1199" s="73"/>
      <c r="BU1199" s="73"/>
      <c r="BV1199" s="73"/>
      <c r="BW1199" s="73"/>
      <c r="BX1199" s="73"/>
      <c r="BY1199" s="73"/>
      <c r="BZ1199" s="73"/>
      <c r="CA1199" s="73"/>
      <c r="CB1199" s="73"/>
      <c r="CC1199" s="73"/>
      <c r="CD1199" s="73"/>
      <c r="CE1199" s="73"/>
      <c r="CF1199" s="73"/>
      <c r="CG1199" s="73"/>
      <c r="CH1199" s="73"/>
      <c r="CI1199" s="73"/>
      <c r="CJ1199" s="73"/>
      <c r="CK1199" s="73"/>
      <c r="CL1199" s="73"/>
      <c r="CM1199" s="73"/>
      <c r="CN1199" s="73"/>
      <c r="CO1199" s="73"/>
      <c r="CP1199" s="73"/>
      <c r="CQ1199" s="73"/>
      <c r="CR1199" s="73"/>
      <c r="CS1199" s="73"/>
      <c r="CT1199" s="73"/>
      <c r="CU1199" s="73"/>
      <c r="CV1199" s="73"/>
      <c r="CW1199" s="73"/>
      <c r="CX1199" s="73"/>
      <c r="CY1199" s="73"/>
      <c r="CZ1199" s="73"/>
      <c r="DA1199" s="73"/>
      <c r="DB1199" s="73"/>
      <c r="DC1199" s="73"/>
      <c r="DD1199" s="73"/>
      <c r="DE1199" s="73"/>
      <c r="DF1199" s="73"/>
      <c r="DG1199" s="73"/>
      <c r="DH1199" s="73"/>
      <c r="DI1199" s="73"/>
      <c r="DJ1199" s="73"/>
      <c r="DK1199" s="73"/>
      <c r="DL1199" s="73"/>
      <c r="DM1199" s="73"/>
    </row>
    <row r="1200" spans="1:117" s="48" customFormat="1">
      <c r="A1200" s="73"/>
      <c r="T1200" s="73"/>
      <c r="U1200" s="73"/>
      <c r="V1200" s="73"/>
      <c r="W1200" s="73"/>
      <c r="X1200" s="73"/>
      <c r="Y1200" s="73"/>
      <c r="Z1200" s="73"/>
      <c r="AA1200" s="73"/>
      <c r="AB1200" s="73"/>
      <c r="AC1200" s="73"/>
      <c r="AD1200" s="73"/>
      <c r="AE1200" s="73"/>
      <c r="AF1200" s="73"/>
      <c r="AG1200" s="73"/>
      <c r="AH1200" s="73"/>
      <c r="AI1200" s="73"/>
      <c r="AJ1200" s="73"/>
      <c r="AK1200" s="73"/>
      <c r="AL1200" s="73"/>
      <c r="AM1200" s="73"/>
      <c r="AN1200" s="73"/>
      <c r="AO1200" s="73"/>
      <c r="AP1200" s="73"/>
      <c r="AQ1200" s="73"/>
      <c r="AR1200" s="73"/>
      <c r="AS1200" s="73"/>
      <c r="AT1200" s="73"/>
      <c r="AU1200" s="73"/>
      <c r="AV1200" s="73"/>
      <c r="AW1200" s="73"/>
      <c r="AX1200" s="73"/>
      <c r="AY1200" s="73"/>
      <c r="AZ1200" s="73"/>
      <c r="BA1200" s="73"/>
      <c r="BB1200" s="73"/>
      <c r="BC1200" s="73"/>
      <c r="BD1200" s="73"/>
      <c r="BE1200" s="73"/>
      <c r="BF1200" s="73"/>
      <c r="BG1200" s="73"/>
      <c r="BH1200" s="73"/>
      <c r="BI1200" s="73"/>
      <c r="BJ1200" s="73"/>
      <c r="BK1200" s="73"/>
      <c r="BL1200" s="73"/>
      <c r="BM1200" s="73"/>
      <c r="BN1200" s="73"/>
      <c r="BO1200" s="73"/>
      <c r="BP1200" s="73"/>
      <c r="BQ1200" s="73"/>
      <c r="BR1200" s="73"/>
      <c r="BS1200" s="73"/>
      <c r="BT1200" s="73"/>
      <c r="BU1200" s="73"/>
      <c r="BV1200" s="73"/>
      <c r="BW1200" s="73"/>
      <c r="BX1200" s="73"/>
      <c r="BY1200" s="73"/>
      <c r="BZ1200" s="73"/>
      <c r="CA1200" s="73"/>
      <c r="CB1200" s="73"/>
      <c r="CC1200" s="73"/>
      <c r="CD1200" s="73"/>
      <c r="CE1200" s="73"/>
      <c r="CF1200" s="73"/>
      <c r="CG1200" s="73"/>
      <c r="CH1200" s="73"/>
      <c r="CI1200" s="73"/>
      <c r="CJ1200" s="73"/>
      <c r="CK1200" s="73"/>
      <c r="CL1200" s="73"/>
      <c r="CM1200" s="73"/>
      <c r="CN1200" s="73"/>
      <c r="CO1200" s="73"/>
      <c r="CP1200" s="73"/>
      <c r="CQ1200" s="73"/>
      <c r="CR1200" s="73"/>
      <c r="CS1200" s="73"/>
      <c r="CT1200" s="73"/>
      <c r="CU1200" s="73"/>
      <c r="CV1200" s="73"/>
      <c r="CW1200" s="73"/>
      <c r="CX1200" s="73"/>
      <c r="CY1200" s="73"/>
      <c r="CZ1200" s="73"/>
      <c r="DA1200" s="73"/>
      <c r="DB1200" s="73"/>
      <c r="DC1200" s="73"/>
      <c r="DD1200" s="73"/>
      <c r="DE1200" s="73"/>
      <c r="DF1200" s="73"/>
      <c r="DG1200" s="73"/>
      <c r="DH1200" s="73"/>
      <c r="DI1200" s="73"/>
      <c r="DJ1200" s="73"/>
      <c r="DK1200" s="73"/>
      <c r="DL1200" s="73"/>
      <c r="DM1200" s="73"/>
    </row>
    <row r="1201" spans="1:117" s="48" customFormat="1">
      <c r="A1201" s="73"/>
      <c r="T1201" s="73"/>
      <c r="U1201" s="73"/>
      <c r="V1201" s="73"/>
      <c r="W1201" s="73"/>
      <c r="X1201" s="73"/>
      <c r="Y1201" s="73"/>
      <c r="Z1201" s="73"/>
      <c r="AA1201" s="73"/>
      <c r="AB1201" s="73"/>
      <c r="AC1201" s="73"/>
      <c r="AD1201" s="73"/>
      <c r="AE1201" s="73"/>
      <c r="AF1201" s="73"/>
      <c r="AG1201" s="73"/>
      <c r="AH1201" s="73"/>
      <c r="AI1201" s="73"/>
      <c r="AJ1201" s="73"/>
      <c r="AK1201" s="73"/>
      <c r="AL1201" s="73"/>
      <c r="AM1201" s="73"/>
      <c r="AN1201" s="73"/>
      <c r="AO1201" s="73"/>
      <c r="AP1201" s="73"/>
      <c r="AQ1201" s="73"/>
      <c r="AR1201" s="73"/>
      <c r="AS1201" s="73"/>
      <c r="AT1201" s="73"/>
      <c r="AU1201" s="73"/>
      <c r="AV1201" s="73"/>
      <c r="AW1201" s="73"/>
      <c r="AX1201" s="73"/>
      <c r="AY1201" s="73"/>
      <c r="AZ1201" s="73"/>
      <c r="BA1201" s="73"/>
      <c r="BB1201" s="73"/>
      <c r="BC1201" s="73"/>
      <c r="BD1201" s="73"/>
      <c r="BE1201" s="73"/>
      <c r="BF1201" s="73"/>
      <c r="BG1201" s="73"/>
      <c r="BH1201" s="73"/>
      <c r="BI1201" s="73"/>
      <c r="BJ1201" s="73"/>
      <c r="BK1201" s="73"/>
      <c r="BL1201" s="73"/>
      <c r="BM1201" s="73"/>
      <c r="BN1201" s="73"/>
      <c r="BO1201" s="73"/>
      <c r="BP1201" s="73"/>
      <c r="BQ1201" s="73"/>
      <c r="BR1201" s="73"/>
      <c r="BS1201" s="73"/>
      <c r="BT1201" s="73"/>
      <c r="BU1201" s="73"/>
      <c r="BV1201" s="73"/>
      <c r="BW1201" s="73"/>
      <c r="BX1201" s="73"/>
      <c r="BY1201" s="73"/>
      <c r="BZ1201" s="73"/>
      <c r="CA1201" s="73"/>
      <c r="CB1201" s="73"/>
      <c r="CC1201" s="73"/>
      <c r="CD1201" s="73"/>
      <c r="CE1201" s="73"/>
      <c r="CF1201" s="73"/>
      <c r="CG1201" s="73"/>
      <c r="CH1201" s="73"/>
      <c r="CI1201" s="73"/>
      <c r="CJ1201" s="73"/>
      <c r="CK1201" s="73"/>
      <c r="CL1201" s="73"/>
      <c r="CM1201" s="73"/>
      <c r="CN1201" s="73"/>
      <c r="CO1201" s="73"/>
      <c r="CP1201" s="73"/>
      <c r="CQ1201" s="73"/>
      <c r="CR1201" s="73"/>
      <c r="CS1201" s="73"/>
      <c r="CT1201" s="73"/>
      <c r="CU1201" s="73"/>
      <c r="CV1201" s="73"/>
      <c r="CW1201" s="73"/>
      <c r="CX1201" s="73"/>
      <c r="CY1201" s="73"/>
      <c r="CZ1201" s="73"/>
      <c r="DA1201" s="73"/>
      <c r="DB1201" s="73"/>
      <c r="DC1201" s="73"/>
      <c r="DD1201" s="73"/>
      <c r="DE1201" s="73"/>
      <c r="DF1201" s="73"/>
      <c r="DG1201" s="73"/>
      <c r="DH1201" s="73"/>
      <c r="DI1201" s="73"/>
      <c r="DJ1201" s="73"/>
      <c r="DK1201" s="73"/>
      <c r="DL1201" s="73"/>
      <c r="DM1201" s="73"/>
    </row>
    <row r="1202" spans="1:117" s="48" customFormat="1">
      <c r="A1202" s="73"/>
      <c r="T1202" s="73"/>
      <c r="U1202" s="73"/>
      <c r="V1202" s="73"/>
      <c r="W1202" s="73"/>
      <c r="X1202" s="73"/>
      <c r="Y1202" s="73"/>
      <c r="Z1202" s="73"/>
      <c r="AA1202" s="73"/>
      <c r="AB1202" s="73"/>
      <c r="AC1202" s="73"/>
      <c r="AD1202" s="73"/>
      <c r="AE1202" s="73"/>
      <c r="AF1202" s="73"/>
      <c r="AG1202" s="73"/>
      <c r="AH1202" s="73"/>
      <c r="AI1202" s="73"/>
      <c r="AJ1202" s="73"/>
      <c r="AK1202" s="73"/>
      <c r="AL1202" s="73"/>
      <c r="AM1202" s="73"/>
      <c r="AN1202" s="73"/>
      <c r="AO1202" s="73"/>
      <c r="AP1202" s="73"/>
      <c r="AQ1202" s="73"/>
      <c r="AR1202" s="73"/>
      <c r="AS1202" s="73"/>
      <c r="AT1202" s="73"/>
      <c r="AU1202" s="73"/>
      <c r="AV1202" s="73"/>
      <c r="AW1202" s="73"/>
      <c r="AX1202" s="73"/>
      <c r="AY1202" s="73"/>
      <c r="AZ1202" s="73"/>
      <c r="BA1202" s="73"/>
      <c r="BB1202" s="73"/>
      <c r="BC1202" s="73"/>
      <c r="BD1202" s="73"/>
      <c r="BE1202" s="73"/>
      <c r="BF1202" s="73"/>
      <c r="BG1202" s="73"/>
      <c r="BH1202" s="73"/>
      <c r="BI1202" s="73"/>
      <c r="BJ1202" s="73"/>
      <c r="BK1202" s="73"/>
      <c r="BL1202" s="73"/>
      <c r="BM1202" s="73"/>
      <c r="BN1202" s="73"/>
      <c r="BO1202" s="73"/>
      <c r="BP1202" s="73"/>
      <c r="BQ1202" s="73"/>
      <c r="BR1202" s="73"/>
      <c r="BS1202" s="73"/>
      <c r="BT1202" s="73"/>
      <c r="BU1202" s="73"/>
      <c r="BV1202" s="73"/>
      <c r="BW1202" s="73"/>
      <c r="BX1202" s="73"/>
      <c r="BY1202" s="73"/>
      <c r="BZ1202" s="73"/>
      <c r="CA1202" s="73"/>
      <c r="CB1202" s="73"/>
      <c r="CC1202" s="73"/>
      <c r="CD1202" s="73"/>
      <c r="CE1202" s="73"/>
      <c r="CF1202" s="73"/>
      <c r="CG1202" s="73"/>
      <c r="CH1202" s="73"/>
      <c r="CI1202" s="73"/>
      <c r="CJ1202" s="73"/>
      <c r="CK1202" s="73"/>
      <c r="CL1202" s="73"/>
      <c r="CM1202" s="73"/>
      <c r="CN1202" s="73"/>
      <c r="CO1202" s="73"/>
      <c r="CP1202" s="73"/>
      <c r="CQ1202" s="73"/>
      <c r="CR1202" s="73"/>
      <c r="CS1202" s="73"/>
      <c r="CT1202" s="73"/>
      <c r="CU1202" s="73"/>
      <c r="CV1202" s="73"/>
      <c r="CW1202" s="73"/>
      <c r="CX1202" s="73"/>
      <c r="CY1202" s="73"/>
      <c r="CZ1202" s="73"/>
      <c r="DA1202" s="73"/>
      <c r="DB1202" s="73"/>
      <c r="DC1202" s="73"/>
      <c r="DD1202" s="73"/>
      <c r="DE1202" s="73"/>
      <c r="DF1202" s="73"/>
      <c r="DG1202" s="73"/>
      <c r="DH1202" s="73"/>
      <c r="DI1202" s="73"/>
      <c r="DJ1202" s="73"/>
      <c r="DK1202" s="73"/>
      <c r="DL1202" s="73"/>
      <c r="DM1202" s="73"/>
    </row>
    <row r="1203" spans="1:117" s="48" customFormat="1">
      <c r="A1203" s="73"/>
      <c r="T1203" s="73"/>
      <c r="U1203" s="73"/>
      <c r="V1203" s="73"/>
      <c r="W1203" s="73"/>
      <c r="X1203" s="73"/>
      <c r="Y1203" s="73"/>
      <c r="Z1203" s="73"/>
      <c r="AA1203" s="73"/>
      <c r="AB1203" s="73"/>
      <c r="AC1203" s="73"/>
      <c r="AD1203" s="73"/>
      <c r="AE1203" s="73"/>
      <c r="AF1203" s="73"/>
      <c r="AG1203" s="73"/>
      <c r="AH1203" s="73"/>
      <c r="AI1203" s="73"/>
      <c r="AJ1203" s="73"/>
      <c r="AK1203" s="73"/>
      <c r="AL1203" s="73"/>
      <c r="AM1203" s="73"/>
      <c r="AN1203" s="73"/>
      <c r="AO1203" s="73"/>
      <c r="AP1203" s="73"/>
      <c r="AQ1203" s="73"/>
      <c r="AR1203" s="73"/>
      <c r="AS1203" s="73"/>
      <c r="AT1203" s="73"/>
      <c r="AU1203" s="73"/>
      <c r="AV1203" s="73"/>
      <c r="AW1203" s="73"/>
      <c r="AX1203" s="73"/>
      <c r="AY1203" s="73"/>
      <c r="AZ1203" s="73"/>
      <c r="BA1203" s="73"/>
      <c r="BB1203" s="73"/>
      <c r="BC1203" s="73"/>
      <c r="BD1203" s="73"/>
      <c r="BE1203" s="73"/>
      <c r="BF1203" s="73"/>
      <c r="BG1203" s="73"/>
      <c r="BH1203" s="73"/>
      <c r="BI1203" s="73"/>
      <c r="BJ1203" s="73"/>
      <c r="BK1203" s="73"/>
      <c r="BL1203" s="73"/>
      <c r="BM1203" s="73"/>
      <c r="BN1203" s="73"/>
      <c r="BO1203" s="73"/>
      <c r="BP1203" s="73"/>
      <c r="BQ1203" s="73"/>
      <c r="BR1203" s="73"/>
      <c r="BS1203" s="73"/>
      <c r="BT1203" s="73"/>
      <c r="BU1203" s="73"/>
      <c r="BV1203" s="73"/>
      <c r="BW1203" s="73"/>
      <c r="BX1203" s="73"/>
      <c r="BY1203" s="73"/>
      <c r="BZ1203" s="73"/>
      <c r="CA1203" s="73"/>
      <c r="CB1203" s="73"/>
      <c r="CC1203" s="73"/>
      <c r="CD1203" s="73"/>
      <c r="CE1203" s="73"/>
      <c r="CF1203" s="73"/>
      <c r="CG1203" s="73"/>
      <c r="CH1203" s="73"/>
      <c r="CI1203" s="73"/>
      <c r="CJ1203" s="73"/>
      <c r="CK1203" s="73"/>
      <c r="CL1203" s="73"/>
      <c r="CM1203" s="73"/>
      <c r="CN1203" s="73"/>
      <c r="CO1203" s="73"/>
      <c r="CP1203" s="73"/>
      <c r="CQ1203" s="73"/>
      <c r="CR1203" s="73"/>
      <c r="CS1203" s="73"/>
      <c r="CT1203" s="73"/>
      <c r="CU1203" s="73"/>
      <c r="CV1203" s="73"/>
      <c r="CW1203" s="73"/>
      <c r="CX1203" s="73"/>
      <c r="CY1203" s="73"/>
      <c r="CZ1203" s="73"/>
      <c r="DA1203" s="73"/>
      <c r="DB1203" s="73"/>
      <c r="DC1203" s="73"/>
      <c r="DD1203" s="73"/>
      <c r="DE1203" s="73"/>
      <c r="DF1203" s="73"/>
      <c r="DG1203" s="73"/>
      <c r="DH1203" s="73"/>
      <c r="DI1203" s="73"/>
      <c r="DJ1203" s="73"/>
      <c r="DK1203" s="73"/>
      <c r="DL1203" s="73"/>
      <c r="DM1203" s="73"/>
    </row>
    <row r="1204" spans="1:117" s="48" customFormat="1">
      <c r="A1204" s="73"/>
      <c r="T1204" s="73"/>
      <c r="U1204" s="73"/>
      <c r="V1204" s="73"/>
      <c r="W1204" s="73"/>
      <c r="X1204" s="73"/>
      <c r="Y1204" s="73"/>
      <c r="Z1204" s="73"/>
      <c r="AA1204" s="73"/>
      <c r="AB1204" s="73"/>
      <c r="AC1204" s="73"/>
      <c r="AD1204" s="73"/>
      <c r="AE1204" s="73"/>
      <c r="AF1204" s="73"/>
      <c r="AG1204" s="73"/>
      <c r="AH1204" s="73"/>
      <c r="AI1204" s="73"/>
      <c r="AJ1204" s="73"/>
      <c r="AK1204" s="73"/>
      <c r="AL1204" s="73"/>
      <c r="AM1204" s="73"/>
      <c r="AN1204" s="73"/>
      <c r="AO1204" s="73"/>
      <c r="AP1204" s="73"/>
      <c r="AQ1204" s="73"/>
      <c r="AR1204" s="73"/>
      <c r="AS1204" s="73"/>
      <c r="AT1204" s="73"/>
      <c r="AU1204" s="73"/>
      <c r="AV1204" s="73"/>
      <c r="AW1204" s="73"/>
      <c r="AX1204" s="73"/>
      <c r="AY1204" s="73"/>
      <c r="AZ1204" s="73"/>
      <c r="BA1204" s="73"/>
      <c r="BB1204" s="73"/>
      <c r="BC1204" s="73"/>
      <c r="BD1204" s="73"/>
      <c r="BE1204" s="73"/>
      <c r="BF1204" s="73"/>
      <c r="BG1204" s="73"/>
      <c r="BH1204" s="73"/>
      <c r="BI1204" s="73"/>
      <c r="BJ1204" s="73"/>
      <c r="BK1204" s="73"/>
      <c r="BL1204" s="73"/>
      <c r="BM1204" s="73"/>
      <c r="BN1204" s="73"/>
      <c r="BO1204" s="73"/>
      <c r="BP1204" s="73"/>
      <c r="BQ1204" s="73"/>
      <c r="BR1204" s="73"/>
      <c r="BS1204" s="73"/>
      <c r="BT1204" s="73"/>
      <c r="BU1204" s="73"/>
      <c r="BV1204" s="73"/>
      <c r="BW1204" s="73"/>
      <c r="BX1204" s="73"/>
      <c r="BY1204" s="73"/>
      <c r="BZ1204" s="73"/>
      <c r="CA1204" s="73"/>
      <c r="CB1204" s="73"/>
      <c r="CC1204" s="73"/>
      <c r="CD1204" s="73"/>
      <c r="CE1204" s="73"/>
      <c r="CF1204" s="73"/>
      <c r="CG1204" s="73"/>
      <c r="CH1204" s="73"/>
      <c r="CI1204" s="73"/>
      <c r="CJ1204" s="73"/>
      <c r="CK1204" s="73"/>
      <c r="CL1204" s="73"/>
      <c r="CM1204" s="73"/>
      <c r="CN1204" s="73"/>
      <c r="CO1204" s="73"/>
      <c r="CP1204" s="73"/>
      <c r="CQ1204" s="73"/>
      <c r="CR1204" s="73"/>
      <c r="CS1204" s="73"/>
      <c r="CT1204" s="73"/>
      <c r="CU1204" s="73"/>
      <c r="CV1204" s="73"/>
      <c r="CW1204" s="73"/>
      <c r="CX1204" s="73"/>
      <c r="CY1204" s="73"/>
      <c r="CZ1204" s="73"/>
      <c r="DA1204" s="73"/>
      <c r="DB1204" s="73"/>
      <c r="DC1204" s="73"/>
      <c r="DD1204" s="73"/>
      <c r="DE1204" s="73"/>
      <c r="DF1204" s="73"/>
      <c r="DG1204" s="73"/>
      <c r="DH1204" s="73"/>
      <c r="DI1204" s="73"/>
      <c r="DJ1204" s="73"/>
      <c r="DK1204" s="73"/>
      <c r="DL1204" s="73"/>
      <c r="DM1204" s="73"/>
    </row>
    <row r="1205" spans="1:117" s="48" customFormat="1">
      <c r="A1205" s="73"/>
      <c r="T1205" s="73"/>
      <c r="U1205" s="73"/>
      <c r="V1205" s="73"/>
      <c r="W1205" s="73"/>
      <c r="X1205" s="73"/>
      <c r="Y1205" s="73"/>
      <c r="Z1205" s="73"/>
      <c r="AA1205" s="73"/>
      <c r="AB1205" s="73"/>
      <c r="AC1205" s="73"/>
      <c r="AD1205" s="73"/>
      <c r="AE1205" s="73"/>
      <c r="AF1205" s="73"/>
      <c r="AG1205" s="73"/>
      <c r="AH1205" s="73"/>
      <c r="AI1205" s="73"/>
      <c r="AJ1205" s="73"/>
      <c r="AK1205" s="73"/>
      <c r="AL1205" s="73"/>
      <c r="AM1205" s="73"/>
      <c r="AN1205" s="73"/>
      <c r="AO1205" s="73"/>
      <c r="AP1205" s="73"/>
      <c r="AQ1205" s="73"/>
      <c r="AR1205" s="73"/>
      <c r="AS1205" s="73"/>
      <c r="AT1205" s="73"/>
      <c r="AU1205" s="73"/>
      <c r="AV1205" s="73"/>
      <c r="AW1205" s="73"/>
      <c r="AX1205" s="73"/>
      <c r="AY1205" s="73"/>
      <c r="AZ1205" s="73"/>
      <c r="BA1205" s="73"/>
      <c r="BB1205" s="73"/>
      <c r="BC1205" s="73"/>
      <c r="BD1205" s="73"/>
      <c r="BE1205" s="73"/>
      <c r="BF1205" s="73"/>
      <c r="BG1205" s="73"/>
      <c r="BH1205" s="73"/>
      <c r="BI1205" s="73"/>
      <c r="BJ1205" s="73"/>
      <c r="BK1205" s="73"/>
      <c r="BL1205" s="73"/>
      <c r="BM1205" s="73"/>
      <c r="BN1205" s="73"/>
      <c r="BO1205" s="73"/>
      <c r="BP1205" s="73"/>
      <c r="BQ1205" s="73"/>
      <c r="BR1205" s="73"/>
      <c r="BS1205" s="73"/>
      <c r="BT1205" s="73"/>
      <c r="BU1205" s="73"/>
      <c r="BV1205" s="73"/>
      <c r="BW1205" s="73"/>
      <c r="BX1205" s="73"/>
      <c r="BY1205" s="73"/>
      <c r="BZ1205" s="73"/>
      <c r="CA1205" s="73"/>
      <c r="CB1205" s="73"/>
      <c r="CC1205" s="73"/>
      <c r="CD1205" s="73"/>
      <c r="CE1205" s="73"/>
      <c r="CF1205" s="73"/>
      <c r="CG1205" s="73"/>
      <c r="CH1205" s="73"/>
      <c r="CI1205" s="73"/>
      <c r="CJ1205" s="73"/>
      <c r="CK1205" s="73"/>
      <c r="CL1205" s="73"/>
      <c r="CM1205" s="73"/>
      <c r="CN1205" s="73"/>
      <c r="CO1205" s="73"/>
      <c r="CP1205" s="73"/>
      <c r="CQ1205" s="73"/>
      <c r="CR1205" s="73"/>
      <c r="CS1205" s="73"/>
      <c r="CT1205" s="73"/>
      <c r="CU1205" s="73"/>
      <c r="CV1205" s="73"/>
      <c r="CW1205" s="73"/>
      <c r="CX1205" s="73"/>
      <c r="CY1205" s="73"/>
      <c r="CZ1205" s="73"/>
      <c r="DA1205" s="73"/>
      <c r="DB1205" s="73"/>
      <c r="DC1205" s="73"/>
      <c r="DD1205" s="73"/>
      <c r="DE1205" s="73"/>
      <c r="DF1205" s="73"/>
      <c r="DG1205" s="73"/>
      <c r="DH1205" s="73"/>
      <c r="DI1205" s="73"/>
      <c r="DJ1205" s="73"/>
      <c r="DK1205" s="73"/>
      <c r="DL1205" s="73"/>
      <c r="DM1205" s="73"/>
    </row>
    <row r="1206" spans="1:117" s="48" customFormat="1">
      <c r="A1206" s="73"/>
      <c r="T1206" s="73"/>
      <c r="U1206" s="73"/>
      <c r="V1206" s="73"/>
      <c r="W1206" s="73"/>
      <c r="X1206" s="73"/>
      <c r="Y1206" s="73"/>
      <c r="Z1206" s="73"/>
      <c r="AA1206" s="73"/>
      <c r="AB1206" s="73"/>
      <c r="AC1206" s="73"/>
      <c r="AD1206" s="73"/>
      <c r="AE1206" s="73"/>
      <c r="AF1206" s="73"/>
      <c r="AG1206" s="73"/>
      <c r="AH1206" s="73"/>
      <c r="AI1206" s="73"/>
      <c r="AJ1206" s="73"/>
      <c r="AK1206" s="73"/>
      <c r="AL1206" s="73"/>
      <c r="AM1206" s="73"/>
      <c r="AN1206" s="73"/>
      <c r="AO1206" s="73"/>
      <c r="AP1206" s="73"/>
      <c r="AQ1206" s="73"/>
      <c r="AR1206" s="73"/>
      <c r="AS1206" s="73"/>
      <c r="AT1206" s="73"/>
      <c r="AU1206" s="73"/>
      <c r="AV1206" s="73"/>
      <c r="AW1206" s="73"/>
      <c r="AX1206" s="73"/>
      <c r="AY1206" s="73"/>
      <c r="AZ1206" s="73"/>
      <c r="BA1206" s="73"/>
      <c r="BB1206" s="73"/>
      <c r="BC1206" s="73"/>
      <c r="BD1206" s="73"/>
      <c r="BE1206" s="73"/>
      <c r="BF1206" s="73"/>
      <c r="BG1206" s="73"/>
      <c r="BH1206" s="73"/>
      <c r="BI1206" s="73"/>
      <c r="BJ1206" s="73"/>
      <c r="BK1206" s="73"/>
      <c r="BL1206" s="73"/>
      <c r="BM1206" s="73"/>
      <c r="BN1206" s="73"/>
      <c r="BO1206" s="73"/>
      <c r="BP1206" s="73"/>
      <c r="BQ1206" s="73"/>
      <c r="BR1206" s="73"/>
      <c r="BS1206" s="73"/>
      <c r="BT1206" s="73"/>
      <c r="BU1206" s="73"/>
      <c r="BV1206" s="73"/>
      <c r="BW1206" s="73"/>
      <c r="BX1206" s="73"/>
      <c r="BY1206" s="73"/>
      <c r="BZ1206" s="73"/>
      <c r="CA1206" s="73"/>
      <c r="CB1206" s="73"/>
      <c r="CC1206" s="73"/>
      <c r="CD1206" s="73"/>
      <c r="CE1206" s="73"/>
      <c r="CF1206" s="73"/>
      <c r="CG1206" s="73"/>
      <c r="CH1206" s="73"/>
      <c r="CI1206" s="73"/>
      <c r="CJ1206" s="73"/>
      <c r="CK1206" s="73"/>
      <c r="CL1206" s="73"/>
      <c r="CM1206" s="73"/>
      <c r="CN1206" s="73"/>
      <c r="CO1206" s="73"/>
      <c r="CP1206" s="73"/>
      <c r="CQ1206" s="73"/>
      <c r="CR1206" s="73"/>
      <c r="CS1206" s="73"/>
      <c r="CT1206" s="73"/>
      <c r="CU1206" s="73"/>
      <c r="CV1206" s="73"/>
      <c r="CW1206" s="73"/>
      <c r="CX1206" s="73"/>
      <c r="CY1206" s="73"/>
      <c r="CZ1206" s="73"/>
      <c r="DA1206" s="73"/>
      <c r="DB1206" s="73"/>
      <c r="DC1206" s="73"/>
      <c r="DD1206" s="73"/>
      <c r="DE1206" s="73"/>
      <c r="DF1206" s="73"/>
      <c r="DG1206" s="73"/>
      <c r="DH1206" s="73"/>
      <c r="DI1206" s="73"/>
      <c r="DJ1206" s="73"/>
      <c r="DK1206" s="73"/>
      <c r="DL1206" s="73"/>
      <c r="DM1206" s="73"/>
    </row>
    <row r="1207" spans="1:117" s="48" customFormat="1">
      <c r="A1207" s="73"/>
      <c r="T1207" s="73"/>
      <c r="U1207" s="73"/>
      <c r="V1207" s="73"/>
      <c r="W1207" s="73"/>
      <c r="X1207" s="73"/>
      <c r="Y1207" s="73"/>
      <c r="Z1207" s="73"/>
      <c r="AA1207" s="73"/>
      <c r="AB1207" s="73"/>
      <c r="AC1207" s="73"/>
      <c r="AD1207" s="73"/>
      <c r="AE1207" s="73"/>
      <c r="AF1207" s="73"/>
      <c r="AG1207" s="73"/>
      <c r="AH1207" s="73"/>
      <c r="AI1207" s="73"/>
      <c r="AJ1207" s="73"/>
      <c r="AK1207" s="73"/>
      <c r="AL1207" s="73"/>
      <c r="AM1207" s="73"/>
      <c r="AN1207" s="73"/>
      <c r="AO1207" s="73"/>
      <c r="AP1207" s="73"/>
      <c r="AQ1207" s="73"/>
      <c r="AR1207" s="73"/>
      <c r="AS1207" s="73"/>
      <c r="AT1207" s="73"/>
      <c r="AU1207" s="73"/>
      <c r="AV1207" s="73"/>
      <c r="AW1207" s="73"/>
      <c r="AX1207" s="73"/>
      <c r="AY1207" s="73"/>
      <c r="AZ1207" s="73"/>
      <c r="BA1207" s="73"/>
      <c r="BB1207" s="73"/>
      <c r="BC1207" s="73"/>
      <c r="BD1207" s="73"/>
      <c r="BE1207" s="73"/>
      <c r="BF1207" s="73"/>
      <c r="BG1207" s="73"/>
      <c r="BH1207" s="73"/>
      <c r="BI1207" s="73"/>
      <c r="BJ1207" s="73"/>
      <c r="BK1207" s="73"/>
      <c r="BL1207" s="73"/>
      <c r="BM1207" s="73"/>
      <c r="BN1207" s="73"/>
      <c r="BO1207" s="73"/>
      <c r="BP1207" s="73"/>
      <c r="BQ1207" s="73"/>
      <c r="BR1207" s="73"/>
      <c r="BS1207" s="73"/>
      <c r="BT1207" s="73"/>
      <c r="BU1207" s="73"/>
      <c r="BV1207" s="73"/>
      <c r="BW1207" s="73"/>
      <c r="BX1207" s="73"/>
      <c r="BY1207" s="73"/>
      <c r="BZ1207" s="73"/>
      <c r="CA1207" s="73"/>
      <c r="CB1207" s="73"/>
      <c r="CC1207" s="73"/>
      <c r="CD1207" s="73"/>
      <c r="CE1207" s="73"/>
      <c r="CF1207" s="73"/>
      <c r="CG1207" s="73"/>
      <c r="CH1207" s="73"/>
      <c r="CI1207" s="73"/>
      <c r="CJ1207" s="73"/>
      <c r="CK1207" s="73"/>
      <c r="CL1207" s="73"/>
      <c r="CM1207" s="73"/>
      <c r="CN1207" s="73"/>
      <c r="CO1207" s="73"/>
      <c r="CP1207" s="73"/>
      <c r="CQ1207" s="73"/>
      <c r="CR1207" s="73"/>
      <c r="CS1207" s="73"/>
      <c r="CT1207" s="73"/>
      <c r="CU1207" s="73"/>
      <c r="CV1207" s="73"/>
      <c r="CW1207" s="73"/>
      <c r="CX1207" s="73"/>
      <c r="CY1207" s="73"/>
      <c r="CZ1207" s="73"/>
      <c r="DA1207" s="73"/>
      <c r="DB1207" s="73"/>
      <c r="DC1207" s="73"/>
      <c r="DD1207" s="73"/>
      <c r="DE1207" s="73"/>
      <c r="DF1207" s="73"/>
      <c r="DG1207" s="73"/>
      <c r="DH1207" s="73"/>
      <c r="DI1207" s="73"/>
      <c r="DJ1207" s="73"/>
      <c r="DK1207" s="73"/>
      <c r="DL1207" s="73"/>
      <c r="DM1207" s="73"/>
    </row>
    <row r="1208" spans="1:117" s="48" customFormat="1">
      <c r="A1208" s="73"/>
      <c r="T1208" s="73"/>
      <c r="U1208" s="73"/>
      <c r="V1208" s="73"/>
      <c r="W1208" s="73"/>
      <c r="X1208" s="73"/>
      <c r="Y1208" s="73"/>
      <c r="Z1208" s="73"/>
      <c r="AA1208" s="73"/>
      <c r="AB1208" s="73"/>
      <c r="AC1208" s="73"/>
      <c r="AD1208" s="73"/>
      <c r="AE1208" s="73"/>
      <c r="AF1208" s="73"/>
      <c r="AG1208" s="73"/>
      <c r="AH1208" s="73"/>
      <c r="AI1208" s="73"/>
      <c r="AJ1208" s="73"/>
      <c r="AK1208" s="73"/>
      <c r="AL1208" s="73"/>
      <c r="AM1208" s="73"/>
      <c r="AN1208" s="73"/>
      <c r="AO1208" s="73"/>
      <c r="AP1208" s="73"/>
      <c r="AQ1208" s="73"/>
      <c r="AR1208" s="73"/>
      <c r="AS1208" s="73"/>
      <c r="AT1208" s="73"/>
      <c r="AU1208" s="73"/>
      <c r="AV1208" s="73"/>
      <c r="AW1208" s="73"/>
      <c r="AX1208" s="73"/>
      <c r="AY1208" s="73"/>
      <c r="AZ1208" s="73"/>
      <c r="BA1208" s="73"/>
      <c r="BB1208" s="73"/>
      <c r="BC1208" s="73"/>
      <c r="BD1208" s="73"/>
      <c r="BE1208" s="73"/>
      <c r="BF1208" s="73"/>
      <c r="BG1208" s="73"/>
      <c r="BH1208" s="73"/>
      <c r="BI1208" s="73"/>
      <c r="BJ1208" s="73"/>
      <c r="BK1208" s="73"/>
      <c r="BL1208" s="73"/>
      <c r="BM1208" s="73"/>
      <c r="BN1208" s="73"/>
      <c r="BO1208" s="73"/>
      <c r="BP1208" s="73"/>
      <c r="BQ1208" s="73"/>
      <c r="BR1208" s="73"/>
      <c r="BS1208" s="73"/>
      <c r="BT1208" s="73"/>
      <c r="BU1208" s="73"/>
      <c r="BV1208" s="73"/>
      <c r="BW1208" s="73"/>
      <c r="BX1208" s="73"/>
      <c r="BY1208" s="73"/>
      <c r="BZ1208" s="73"/>
      <c r="CA1208" s="73"/>
      <c r="CB1208" s="73"/>
      <c r="CC1208" s="73"/>
      <c r="CD1208" s="73"/>
      <c r="CE1208" s="73"/>
      <c r="CF1208" s="73"/>
      <c r="CG1208" s="73"/>
      <c r="CH1208" s="73"/>
      <c r="CI1208" s="73"/>
      <c r="CJ1208" s="73"/>
      <c r="CK1208" s="73"/>
      <c r="CL1208" s="73"/>
      <c r="CM1208" s="73"/>
      <c r="CN1208" s="73"/>
      <c r="CO1208" s="73"/>
      <c r="CP1208" s="73"/>
      <c r="CQ1208" s="73"/>
      <c r="CR1208" s="73"/>
      <c r="CS1208" s="73"/>
      <c r="CT1208" s="73"/>
      <c r="CU1208" s="73"/>
      <c r="CV1208" s="73"/>
      <c r="CW1208" s="73"/>
      <c r="CX1208" s="73"/>
      <c r="CY1208" s="73"/>
      <c r="CZ1208" s="73"/>
      <c r="DA1208" s="73"/>
      <c r="DB1208" s="73"/>
      <c r="DC1208" s="73"/>
      <c r="DD1208" s="73"/>
      <c r="DE1208" s="73"/>
      <c r="DF1208" s="73"/>
      <c r="DG1208" s="73"/>
      <c r="DH1208" s="73"/>
      <c r="DI1208" s="73"/>
      <c r="DJ1208" s="73"/>
      <c r="DK1208" s="73"/>
      <c r="DL1208" s="73"/>
      <c r="DM1208" s="73"/>
    </row>
    <row r="1209" spans="1:117" s="48" customFormat="1">
      <c r="A1209" s="73"/>
      <c r="T1209" s="73"/>
      <c r="U1209" s="73"/>
      <c r="V1209" s="73"/>
      <c r="W1209" s="73"/>
      <c r="X1209" s="73"/>
      <c r="Y1209" s="73"/>
      <c r="Z1209" s="73"/>
      <c r="AA1209" s="73"/>
      <c r="AB1209" s="73"/>
      <c r="AC1209" s="73"/>
      <c r="AD1209" s="73"/>
      <c r="AE1209" s="73"/>
      <c r="AF1209" s="73"/>
      <c r="AG1209" s="73"/>
      <c r="AH1209" s="73"/>
      <c r="AI1209" s="73"/>
      <c r="AJ1209" s="73"/>
      <c r="AK1209" s="73"/>
      <c r="AL1209" s="73"/>
      <c r="AM1209" s="73"/>
      <c r="AN1209" s="73"/>
      <c r="AO1209" s="73"/>
      <c r="AP1209" s="73"/>
      <c r="AQ1209" s="73"/>
      <c r="AR1209" s="73"/>
      <c r="AS1209" s="73"/>
      <c r="AT1209" s="73"/>
      <c r="AU1209" s="73"/>
      <c r="AV1209" s="73"/>
      <c r="AW1209" s="73"/>
      <c r="AX1209" s="73"/>
      <c r="AY1209" s="73"/>
      <c r="AZ1209" s="73"/>
      <c r="BA1209" s="73"/>
      <c r="BB1209" s="73"/>
      <c r="BC1209" s="73"/>
      <c r="BD1209" s="73"/>
      <c r="BE1209" s="73"/>
      <c r="BF1209" s="73"/>
      <c r="BG1209" s="73"/>
      <c r="BH1209" s="73"/>
      <c r="BI1209" s="73"/>
      <c r="BJ1209" s="73"/>
      <c r="BK1209" s="73"/>
      <c r="BL1209" s="73"/>
      <c r="BM1209" s="73"/>
      <c r="BN1209" s="73"/>
      <c r="BO1209" s="73"/>
      <c r="BP1209" s="73"/>
      <c r="BQ1209" s="73"/>
      <c r="BR1209" s="73"/>
      <c r="BS1209" s="73"/>
      <c r="BT1209" s="73"/>
      <c r="BU1209" s="73"/>
      <c r="BV1209" s="73"/>
      <c r="BW1209" s="73"/>
      <c r="BX1209" s="73"/>
      <c r="BY1209" s="73"/>
      <c r="BZ1209" s="73"/>
      <c r="CA1209" s="73"/>
      <c r="CB1209" s="73"/>
      <c r="CC1209" s="73"/>
      <c r="CD1209" s="73"/>
      <c r="CE1209" s="73"/>
      <c r="CF1209" s="73"/>
      <c r="CG1209" s="73"/>
      <c r="CH1209" s="73"/>
      <c r="CI1209" s="73"/>
      <c r="CJ1209" s="73"/>
      <c r="CK1209" s="73"/>
      <c r="CL1209" s="73"/>
      <c r="CM1209" s="73"/>
      <c r="CN1209" s="73"/>
      <c r="CO1209" s="73"/>
      <c r="CP1209" s="73"/>
      <c r="CQ1209" s="73"/>
      <c r="CR1209" s="73"/>
      <c r="CS1209" s="73"/>
      <c r="CT1209" s="73"/>
      <c r="CU1209" s="73"/>
      <c r="CV1209" s="73"/>
      <c r="CW1209" s="73"/>
      <c r="CX1209" s="73"/>
      <c r="CY1209" s="73"/>
      <c r="CZ1209" s="73"/>
      <c r="DA1209" s="73"/>
      <c r="DB1209" s="73"/>
      <c r="DC1209" s="73"/>
      <c r="DD1209" s="73"/>
      <c r="DE1209" s="73"/>
      <c r="DF1209" s="73"/>
      <c r="DG1209" s="73"/>
      <c r="DH1209" s="73"/>
      <c r="DI1209" s="73"/>
      <c r="DJ1209" s="73"/>
      <c r="DK1209" s="73"/>
      <c r="DL1209" s="73"/>
      <c r="DM1209" s="73"/>
    </row>
    <row r="1210" spans="1:117" s="48" customFormat="1">
      <c r="A1210" s="73"/>
      <c r="T1210" s="73"/>
      <c r="U1210" s="73"/>
      <c r="V1210" s="73"/>
      <c r="W1210" s="73"/>
      <c r="X1210" s="73"/>
      <c r="Y1210" s="73"/>
      <c r="Z1210" s="73"/>
      <c r="AA1210" s="73"/>
      <c r="AB1210" s="73"/>
      <c r="AC1210" s="73"/>
      <c r="AD1210" s="73"/>
      <c r="AE1210" s="73"/>
      <c r="AF1210" s="73"/>
      <c r="AG1210" s="73"/>
      <c r="AH1210" s="73"/>
      <c r="AI1210" s="73"/>
      <c r="AJ1210" s="73"/>
      <c r="AK1210" s="73"/>
      <c r="AL1210" s="73"/>
      <c r="AM1210" s="73"/>
      <c r="AN1210" s="73"/>
      <c r="AO1210" s="73"/>
      <c r="AP1210" s="73"/>
      <c r="AQ1210" s="73"/>
      <c r="AR1210" s="73"/>
      <c r="AS1210" s="73"/>
      <c r="AT1210" s="73"/>
      <c r="AU1210" s="73"/>
      <c r="AV1210" s="73"/>
      <c r="AW1210" s="73"/>
      <c r="AX1210" s="73"/>
      <c r="AY1210" s="73"/>
      <c r="AZ1210" s="73"/>
      <c r="BA1210" s="73"/>
      <c r="BB1210" s="73"/>
      <c r="BC1210" s="73"/>
      <c r="BD1210" s="73"/>
      <c r="BE1210" s="73"/>
      <c r="BF1210" s="73"/>
      <c r="BG1210" s="73"/>
      <c r="BH1210" s="73"/>
      <c r="BI1210" s="73"/>
      <c r="BJ1210" s="73"/>
      <c r="BK1210" s="73"/>
      <c r="BL1210" s="73"/>
      <c r="BM1210" s="73"/>
      <c r="BN1210" s="73"/>
      <c r="BO1210" s="73"/>
      <c r="BP1210" s="73"/>
      <c r="BQ1210" s="73"/>
      <c r="BR1210" s="73"/>
      <c r="BS1210" s="73"/>
      <c r="BT1210" s="73"/>
      <c r="BU1210" s="73"/>
      <c r="BV1210" s="73"/>
      <c r="BW1210" s="73"/>
      <c r="BX1210" s="73"/>
      <c r="BY1210" s="73"/>
      <c r="BZ1210" s="73"/>
      <c r="CA1210" s="73"/>
      <c r="CB1210" s="73"/>
      <c r="CC1210" s="73"/>
      <c r="CD1210" s="73"/>
      <c r="CE1210" s="73"/>
      <c r="CF1210" s="73"/>
      <c r="CG1210" s="73"/>
      <c r="CH1210" s="73"/>
      <c r="CI1210" s="73"/>
      <c r="CJ1210" s="73"/>
      <c r="CK1210" s="73"/>
      <c r="CL1210" s="73"/>
      <c r="CM1210" s="73"/>
      <c r="CN1210" s="73"/>
      <c r="CO1210" s="73"/>
      <c r="CP1210" s="73"/>
      <c r="CQ1210" s="73"/>
      <c r="CR1210" s="73"/>
      <c r="CS1210" s="73"/>
      <c r="CT1210" s="73"/>
      <c r="CU1210" s="73"/>
      <c r="CV1210" s="73"/>
      <c r="CW1210" s="73"/>
      <c r="CX1210" s="73"/>
      <c r="CY1210" s="73"/>
      <c r="CZ1210" s="73"/>
      <c r="DA1210" s="73"/>
      <c r="DB1210" s="73"/>
      <c r="DC1210" s="73"/>
      <c r="DD1210" s="73"/>
      <c r="DE1210" s="73"/>
      <c r="DF1210" s="73"/>
      <c r="DG1210" s="73"/>
      <c r="DH1210" s="73"/>
      <c r="DI1210" s="73"/>
      <c r="DJ1210" s="73"/>
      <c r="DK1210" s="73"/>
      <c r="DL1210" s="73"/>
      <c r="DM1210" s="73"/>
    </row>
    <row r="1211" spans="1:117" s="48" customFormat="1">
      <c r="A1211" s="73"/>
      <c r="T1211" s="73"/>
      <c r="U1211" s="73"/>
      <c r="V1211" s="73"/>
      <c r="W1211" s="73"/>
      <c r="X1211" s="73"/>
      <c r="Y1211" s="73"/>
      <c r="Z1211" s="73"/>
      <c r="AA1211" s="73"/>
      <c r="AB1211" s="73"/>
      <c r="AC1211" s="73"/>
      <c r="AD1211" s="73"/>
      <c r="AE1211" s="73"/>
      <c r="AF1211" s="73"/>
      <c r="AG1211" s="73"/>
      <c r="AH1211" s="73"/>
      <c r="AI1211" s="73"/>
      <c r="AJ1211" s="73"/>
      <c r="AK1211" s="73"/>
      <c r="AL1211" s="73"/>
      <c r="AM1211" s="73"/>
      <c r="AN1211" s="73"/>
      <c r="AO1211" s="73"/>
      <c r="AP1211" s="73"/>
      <c r="AQ1211" s="73"/>
      <c r="AR1211" s="73"/>
      <c r="AS1211" s="73"/>
      <c r="AT1211" s="73"/>
      <c r="AU1211" s="73"/>
      <c r="AV1211" s="73"/>
      <c r="AW1211" s="73"/>
      <c r="AX1211" s="73"/>
      <c r="AY1211" s="73"/>
      <c r="AZ1211" s="73"/>
      <c r="BA1211" s="73"/>
      <c r="BB1211" s="73"/>
      <c r="BC1211" s="73"/>
      <c r="BD1211" s="73"/>
      <c r="BE1211" s="73"/>
      <c r="BF1211" s="73"/>
      <c r="BG1211" s="73"/>
      <c r="BH1211" s="73"/>
      <c r="BI1211" s="73"/>
      <c r="BJ1211" s="73"/>
      <c r="BK1211" s="73"/>
      <c r="BL1211" s="73"/>
      <c r="BM1211" s="73"/>
      <c r="BN1211" s="73"/>
      <c r="BO1211" s="73"/>
      <c r="BP1211" s="73"/>
      <c r="BQ1211" s="73"/>
      <c r="BR1211" s="73"/>
      <c r="BS1211" s="73"/>
      <c r="BT1211" s="73"/>
      <c r="BU1211" s="73"/>
      <c r="BV1211" s="73"/>
      <c r="BW1211" s="73"/>
      <c r="BX1211" s="73"/>
      <c r="BY1211" s="73"/>
      <c r="BZ1211" s="73"/>
      <c r="CA1211" s="73"/>
      <c r="CB1211" s="73"/>
      <c r="CC1211" s="73"/>
      <c r="CD1211" s="73"/>
      <c r="CE1211" s="73"/>
      <c r="CF1211" s="73"/>
      <c r="CG1211" s="73"/>
      <c r="CH1211" s="73"/>
      <c r="CI1211" s="73"/>
      <c r="CJ1211" s="73"/>
      <c r="CK1211" s="73"/>
      <c r="CL1211" s="73"/>
      <c r="CM1211" s="73"/>
      <c r="CN1211" s="73"/>
      <c r="CO1211" s="73"/>
      <c r="CP1211" s="73"/>
      <c r="CQ1211" s="73"/>
      <c r="CR1211" s="73"/>
      <c r="CS1211" s="73"/>
      <c r="CT1211" s="73"/>
      <c r="CU1211" s="73"/>
      <c r="CV1211" s="73"/>
      <c r="CW1211" s="73"/>
      <c r="CX1211" s="73"/>
      <c r="CY1211" s="73"/>
      <c r="CZ1211" s="73"/>
      <c r="DA1211" s="73"/>
      <c r="DB1211" s="73"/>
      <c r="DC1211" s="73"/>
      <c r="DD1211" s="73"/>
      <c r="DE1211" s="73"/>
      <c r="DF1211" s="73"/>
      <c r="DG1211" s="73"/>
      <c r="DH1211" s="73"/>
      <c r="DI1211" s="73"/>
      <c r="DJ1211" s="73"/>
      <c r="DK1211" s="73"/>
      <c r="DL1211" s="73"/>
      <c r="DM1211" s="73"/>
    </row>
    <row r="1212" spans="1:117" s="48" customFormat="1">
      <c r="A1212" s="73"/>
      <c r="T1212" s="73"/>
      <c r="U1212" s="73"/>
      <c r="V1212" s="73"/>
      <c r="W1212" s="73"/>
      <c r="X1212" s="73"/>
      <c r="Y1212" s="73"/>
      <c r="Z1212" s="73"/>
      <c r="AA1212" s="73"/>
      <c r="AB1212" s="73"/>
      <c r="AC1212" s="73"/>
      <c r="AD1212" s="73"/>
      <c r="AE1212" s="73"/>
      <c r="AF1212" s="73"/>
      <c r="AG1212" s="73"/>
      <c r="AH1212" s="73"/>
      <c r="AI1212" s="73"/>
      <c r="AJ1212" s="73"/>
      <c r="AK1212" s="73"/>
      <c r="AL1212" s="73"/>
      <c r="AM1212" s="73"/>
      <c r="AN1212" s="73"/>
      <c r="AO1212" s="73"/>
      <c r="AP1212" s="73"/>
      <c r="AQ1212" s="73"/>
      <c r="AR1212" s="73"/>
      <c r="AS1212" s="73"/>
      <c r="AT1212" s="73"/>
      <c r="AU1212" s="73"/>
      <c r="AV1212" s="73"/>
      <c r="AW1212" s="73"/>
      <c r="AX1212" s="73"/>
      <c r="AY1212" s="73"/>
      <c r="AZ1212" s="73"/>
      <c r="BA1212" s="73"/>
      <c r="BB1212" s="73"/>
      <c r="BC1212" s="73"/>
      <c r="BD1212" s="73"/>
      <c r="BE1212" s="73"/>
      <c r="BF1212" s="73"/>
      <c r="BG1212" s="73"/>
      <c r="BH1212" s="73"/>
      <c r="BI1212" s="73"/>
      <c r="BJ1212" s="73"/>
      <c r="BK1212" s="73"/>
      <c r="BL1212" s="73"/>
      <c r="BM1212" s="73"/>
      <c r="BN1212" s="73"/>
      <c r="BO1212" s="73"/>
      <c r="BP1212" s="73"/>
      <c r="BQ1212" s="73"/>
      <c r="BR1212" s="73"/>
      <c r="BS1212" s="73"/>
      <c r="BT1212" s="73"/>
      <c r="BU1212" s="73"/>
      <c r="BV1212" s="73"/>
      <c r="BW1212" s="73"/>
      <c r="BX1212" s="73"/>
      <c r="BY1212" s="73"/>
      <c r="BZ1212" s="73"/>
      <c r="CA1212" s="73"/>
      <c r="CB1212" s="73"/>
      <c r="CC1212" s="73"/>
      <c r="CD1212" s="73"/>
      <c r="CE1212" s="73"/>
      <c r="CF1212" s="73"/>
      <c r="CG1212" s="73"/>
      <c r="CH1212" s="73"/>
      <c r="CI1212" s="73"/>
      <c r="CJ1212" s="73"/>
      <c r="CK1212" s="73"/>
      <c r="CL1212" s="73"/>
      <c r="CM1212" s="73"/>
      <c r="CN1212" s="73"/>
      <c r="CO1212" s="73"/>
      <c r="CP1212" s="73"/>
      <c r="CQ1212" s="73"/>
      <c r="CR1212" s="73"/>
      <c r="CS1212" s="73"/>
      <c r="CT1212" s="73"/>
      <c r="CU1212" s="73"/>
      <c r="CV1212" s="73"/>
      <c r="CW1212" s="73"/>
      <c r="CX1212" s="73"/>
      <c r="CY1212" s="73"/>
      <c r="CZ1212" s="73"/>
      <c r="DA1212" s="73"/>
      <c r="DB1212" s="73"/>
      <c r="DC1212" s="73"/>
      <c r="DD1212" s="73"/>
      <c r="DE1212" s="73"/>
      <c r="DF1212" s="73"/>
      <c r="DG1212" s="73"/>
      <c r="DH1212" s="73"/>
      <c r="DI1212" s="73"/>
      <c r="DJ1212" s="73"/>
      <c r="DK1212" s="73"/>
      <c r="DL1212" s="73"/>
      <c r="DM1212" s="73"/>
    </row>
    <row r="1213" spans="1:117" s="48" customFormat="1">
      <c r="A1213" s="73"/>
      <c r="T1213" s="73"/>
      <c r="U1213" s="73"/>
      <c r="V1213" s="73"/>
      <c r="W1213" s="73"/>
      <c r="X1213" s="73"/>
      <c r="Y1213" s="73"/>
      <c r="Z1213" s="73"/>
      <c r="AA1213" s="73"/>
      <c r="AB1213" s="73"/>
      <c r="AC1213" s="73"/>
      <c r="AD1213" s="73"/>
      <c r="AE1213" s="73"/>
      <c r="AF1213" s="73"/>
      <c r="AG1213" s="73"/>
      <c r="AH1213" s="73"/>
      <c r="AI1213" s="73"/>
      <c r="AJ1213" s="73"/>
      <c r="AK1213" s="73"/>
      <c r="AL1213" s="73"/>
      <c r="AM1213" s="73"/>
      <c r="AN1213" s="73"/>
      <c r="AO1213" s="73"/>
      <c r="AP1213" s="73"/>
      <c r="AQ1213" s="73"/>
      <c r="AR1213" s="73"/>
      <c r="AS1213" s="73"/>
      <c r="AT1213" s="73"/>
      <c r="AU1213" s="73"/>
      <c r="AV1213" s="73"/>
      <c r="AW1213" s="73"/>
      <c r="AX1213" s="73"/>
      <c r="AY1213" s="73"/>
      <c r="AZ1213" s="73"/>
      <c r="BA1213" s="73"/>
      <c r="BB1213" s="73"/>
      <c r="BC1213" s="73"/>
      <c r="BD1213" s="73"/>
      <c r="BE1213" s="73"/>
      <c r="BF1213" s="73"/>
      <c r="BG1213" s="73"/>
      <c r="BH1213" s="73"/>
      <c r="BI1213" s="73"/>
      <c r="BJ1213" s="73"/>
      <c r="BK1213" s="73"/>
      <c r="BL1213" s="73"/>
      <c r="BM1213" s="73"/>
      <c r="BN1213" s="73"/>
      <c r="BO1213" s="73"/>
      <c r="BP1213" s="73"/>
      <c r="BQ1213" s="73"/>
      <c r="BR1213" s="73"/>
      <c r="BS1213" s="73"/>
      <c r="BT1213" s="73"/>
      <c r="BU1213" s="73"/>
      <c r="BV1213" s="73"/>
      <c r="BW1213" s="73"/>
      <c r="BX1213" s="73"/>
      <c r="BY1213" s="73"/>
      <c r="BZ1213" s="73"/>
      <c r="CA1213" s="73"/>
      <c r="CB1213" s="73"/>
      <c r="CC1213" s="73"/>
      <c r="CD1213" s="73"/>
      <c r="CE1213" s="73"/>
      <c r="CF1213" s="73"/>
      <c r="CG1213" s="73"/>
      <c r="CH1213" s="73"/>
      <c r="CI1213" s="73"/>
      <c r="CJ1213" s="73"/>
      <c r="CK1213" s="73"/>
      <c r="CL1213" s="73"/>
      <c r="CM1213" s="73"/>
      <c r="CN1213" s="73"/>
      <c r="CO1213" s="73"/>
      <c r="CP1213" s="73"/>
      <c r="CQ1213" s="73"/>
      <c r="CR1213" s="73"/>
      <c r="CS1213" s="73"/>
      <c r="CT1213" s="73"/>
      <c r="CU1213" s="73"/>
      <c r="CV1213" s="73"/>
      <c r="CW1213" s="73"/>
      <c r="CX1213" s="73"/>
      <c r="CY1213" s="73"/>
      <c r="CZ1213" s="73"/>
      <c r="DA1213" s="73"/>
      <c r="DB1213" s="73"/>
      <c r="DC1213" s="73"/>
      <c r="DD1213" s="73"/>
      <c r="DE1213" s="73"/>
      <c r="DF1213" s="73"/>
      <c r="DG1213" s="73"/>
      <c r="DH1213" s="73"/>
      <c r="DI1213" s="73"/>
      <c r="DJ1213" s="73"/>
      <c r="DK1213" s="73"/>
      <c r="DL1213" s="73"/>
      <c r="DM1213" s="73"/>
    </row>
    <row r="1214" spans="1:117" s="48" customFormat="1">
      <c r="A1214" s="73"/>
      <c r="T1214" s="73"/>
      <c r="U1214" s="73"/>
      <c r="V1214" s="73"/>
      <c r="W1214" s="73"/>
      <c r="X1214" s="73"/>
      <c r="Y1214" s="73"/>
      <c r="Z1214" s="73"/>
      <c r="AA1214" s="73"/>
      <c r="AB1214" s="73"/>
      <c r="AC1214" s="73"/>
      <c r="AD1214" s="73"/>
      <c r="AE1214" s="73"/>
      <c r="AF1214" s="73"/>
      <c r="AG1214" s="73"/>
      <c r="AH1214" s="73"/>
      <c r="AI1214" s="73"/>
      <c r="AJ1214" s="73"/>
      <c r="AK1214" s="73"/>
      <c r="AL1214" s="73"/>
      <c r="AM1214" s="73"/>
      <c r="AN1214" s="73"/>
      <c r="AO1214" s="73"/>
      <c r="AP1214" s="73"/>
      <c r="AQ1214" s="73"/>
      <c r="AR1214" s="73"/>
      <c r="AS1214" s="73"/>
      <c r="AT1214" s="73"/>
      <c r="AU1214" s="73"/>
      <c r="AV1214" s="73"/>
      <c r="AW1214" s="73"/>
      <c r="AX1214" s="73"/>
      <c r="AY1214" s="73"/>
      <c r="AZ1214" s="73"/>
      <c r="BA1214" s="73"/>
      <c r="BB1214" s="73"/>
      <c r="BC1214" s="73"/>
      <c r="BD1214" s="73"/>
      <c r="BE1214" s="73"/>
      <c r="BF1214" s="73"/>
      <c r="BG1214" s="73"/>
      <c r="BH1214" s="73"/>
      <c r="BI1214" s="73"/>
      <c r="BJ1214" s="73"/>
      <c r="BK1214" s="73"/>
      <c r="BL1214" s="73"/>
      <c r="BM1214" s="73"/>
      <c r="BN1214" s="73"/>
      <c r="BO1214" s="73"/>
      <c r="BP1214" s="73"/>
      <c r="BQ1214" s="73"/>
      <c r="BR1214" s="73"/>
      <c r="BS1214" s="73"/>
      <c r="BT1214" s="73"/>
      <c r="BU1214" s="73"/>
      <c r="BV1214" s="73"/>
      <c r="BW1214" s="73"/>
      <c r="BX1214" s="73"/>
      <c r="BY1214" s="73"/>
      <c r="BZ1214" s="73"/>
      <c r="CA1214" s="73"/>
      <c r="CB1214" s="73"/>
      <c r="CC1214" s="73"/>
      <c r="CD1214" s="73"/>
      <c r="CE1214" s="73"/>
      <c r="CF1214" s="73"/>
      <c r="CG1214" s="73"/>
      <c r="CH1214" s="73"/>
      <c r="CI1214" s="73"/>
      <c r="CJ1214" s="73"/>
      <c r="CK1214" s="73"/>
      <c r="CL1214" s="73"/>
      <c r="CM1214" s="73"/>
      <c r="CN1214" s="73"/>
      <c r="CO1214" s="73"/>
      <c r="CP1214" s="73"/>
      <c r="CQ1214" s="73"/>
      <c r="CR1214" s="73"/>
      <c r="CS1214" s="73"/>
      <c r="CT1214" s="73"/>
      <c r="CU1214" s="73"/>
      <c r="CV1214" s="73"/>
      <c r="CW1214" s="73"/>
      <c r="CX1214" s="73"/>
      <c r="CY1214" s="73"/>
      <c r="CZ1214" s="73"/>
      <c r="DA1214" s="73"/>
      <c r="DB1214" s="73"/>
      <c r="DC1214" s="73"/>
      <c r="DD1214" s="73"/>
      <c r="DE1214" s="73"/>
      <c r="DF1214" s="73"/>
      <c r="DG1214" s="73"/>
      <c r="DH1214" s="73"/>
      <c r="DI1214" s="73"/>
      <c r="DJ1214" s="73"/>
      <c r="DK1214" s="73"/>
      <c r="DL1214" s="73"/>
      <c r="DM1214" s="73"/>
    </row>
    <row r="1215" spans="1:117" s="48" customFormat="1">
      <c r="A1215" s="73"/>
      <c r="T1215" s="73"/>
      <c r="U1215" s="73"/>
      <c r="V1215" s="73"/>
      <c r="W1215" s="73"/>
      <c r="X1215" s="73"/>
      <c r="Y1215" s="73"/>
      <c r="Z1215" s="73"/>
      <c r="AA1215" s="73"/>
      <c r="AB1215" s="73"/>
      <c r="AC1215" s="73"/>
      <c r="AD1215" s="73"/>
      <c r="AE1215" s="73"/>
      <c r="AF1215" s="73"/>
      <c r="AG1215" s="73"/>
      <c r="AH1215" s="73"/>
      <c r="AI1215" s="73"/>
      <c r="AJ1215" s="73"/>
      <c r="AK1215" s="73"/>
      <c r="AL1215" s="73"/>
      <c r="AM1215" s="73"/>
      <c r="AN1215" s="73"/>
      <c r="AO1215" s="73"/>
      <c r="AP1215" s="73"/>
      <c r="AQ1215" s="73"/>
      <c r="AR1215" s="73"/>
      <c r="AS1215" s="73"/>
      <c r="AT1215" s="73"/>
      <c r="AU1215" s="73"/>
      <c r="AV1215" s="73"/>
      <c r="AW1215" s="73"/>
      <c r="AX1215" s="73"/>
      <c r="AY1215" s="73"/>
      <c r="AZ1215" s="73"/>
      <c r="BA1215" s="73"/>
      <c r="BB1215" s="73"/>
      <c r="BC1215" s="73"/>
      <c r="BD1215" s="73"/>
      <c r="BE1215" s="73"/>
      <c r="BF1215" s="73"/>
      <c r="BG1215" s="73"/>
      <c r="BH1215" s="73"/>
      <c r="BI1215" s="73"/>
      <c r="BJ1215" s="73"/>
      <c r="BK1215" s="73"/>
      <c r="BL1215" s="73"/>
      <c r="BM1215" s="73"/>
      <c r="BN1215" s="73"/>
      <c r="BO1215" s="73"/>
      <c r="BP1215" s="73"/>
      <c r="BQ1215" s="73"/>
      <c r="BR1215" s="73"/>
      <c r="BS1215" s="73"/>
      <c r="BT1215" s="73"/>
      <c r="BU1215" s="73"/>
      <c r="BV1215" s="73"/>
      <c r="BW1215" s="73"/>
      <c r="BX1215" s="73"/>
      <c r="BY1215" s="73"/>
      <c r="BZ1215" s="73"/>
      <c r="CA1215" s="73"/>
      <c r="CB1215" s="73"/>
      <c r="CC1215" s="73"/>
      <c r="CD1215" s="73"/>
      <c r="CE1215" s="73"/>
      <c r="CF1215" s="73"/>
      <c r="CG1215" s="73"/>
      <c r="CH1215" s="73"/>
      <c r="CI1215" s="73"/>
      <c r="CJ1215" s="73"/>
      <c r="CK1215" s="73"/>
      <c r="CL1215" s="73"/>
      <c r="CM1215" s="73"/>
      <c r="CN1215" s="73"/>
      <c r="CO1215" s="73"/>
      <c r="CP1215" s="73"/>
      <c r="CQ1215" s="73"/>
      <c r="CR1215" s="73"/>
      <c r="CS1215" s="73"/>
      <c r="CT1215" s="73"/>
      <c r="CU1215" s="73"/>
      <c r="CV1215" s="73"/>
      <c r="CW1215" s="73"/>
      <c r="CX1215" s="73"/>
      <c r="CY1215" s="73"/>
      <c r="CZ1215" s="73"/>
      <c r="DA1215" s="73"/>
      <c r="DB1215" s="73"/>
      <c r="DC1215" s="73"/>
      <c r="DD1215" s="73"/>
      <c r="DE1215" s="73"/>
      <c r="DF1215" s="73"/>
      <c r="DG1215" s="73"/>
      <c r="DH1215" s="73"/>
      <c r="DI1215" s="73"/>
      <c r="DJ1215" s="73"/>
      <c r="DK1215" s="73"/>
      <c r="DL1215" s="73"/>
      <c r="DM1215" s="73"/>
    </row>
    <row r="1216" spans="1:117" s="48" customFormat="1">
      <c r="A1216" s="73"/>
      <c r="T1216" s="73"/>
      <c r="U1216" s="73"/>
      <c r="V1216" s="73"/>
      <c r="W1216" s="73"/>
      <c r="X1216" s="73"/>
      <c r="Y1216" s="73"/>
      <c r="Z1216" s="73"/>
      <c r="AA1216" s="73"/>
      <c r="AB1216" s="73"/>
      <c r="AC1216" s="73"/>
      <c r="AD1216" s="73"/>
      <c r="AE1216" s="73"/>
      <c r="AF1216" s="73"/>
      <c r="AG1216" s="73"/>
      <c r="AH1216" s="73"/>
      <c r="AI1216" s="73"/>
      <c r="AJ1216" s="73"/>
      <c r="AK1216" s="73"/>
      <c r="AL1216" s="73"/>
      <c r="AM1216" s="73"/>
      <c r="AN1216" s="73"/>
      <c r="AO1216" s="73"/>
      <c r="AP1216" s="73"/>
      <c r="AQ1216" s="73"/>
      <c r="AR1216" s="73"/>
      <c r="AS1216" s="73"/>
      <c r="AT1216" s="73"/>
      <c r="AU1216" s="73"/>
      <c r="AV1216" s="73"/>
      <c r="AW1216" s="73"/>
      <c r="AX1216" s="73"/>
      <c r="AY1216" s="73"/>
      <c r="AZ1216" s="73"/>
      <c r="BA1216" s="73"/>
      <c r="BB1216" s="73"/>
      <c r="BC1216" s="73"/>
      <c r="BD1216" s="73"/>
      <c r="BE1216" s="73"/>
      <c r="BF1216" s="73"/>
      <c r="BG1216" s="73"/>
      <c r="BH1216" s="73"/>
      <c r="BI1216" s="73"/>
      <c r="BJ1216" s="73"/>
      <c r="BK1216" s="73"/>
      <c r="BL1216" s="73"/>
      <c r="BM1216" s="73"/>
      <c r="BN1216" s="73"/>
      <c r="BO1216" s="73"/>
      <c r="BP1216" s="73"/>
      <c r="BQ1216" s="73"/>
      <c r="BR1216" s="73"/>
      <c r="BS1216" s="73"/>
      <c r="BT1216" s="73"/>
      <c r="BU1216" s="73"/>
      <c r="BV1216" s="73"/>
      <c r="BW1216" s="73"/>
      <c r="BX1216" s="73"/>
      <c r="BY1216" s="73"/>
      <c r="BZ1216" s="73"/>
      <c r="CA1216" s="73"/>
      <c r="CB1216" s="73"/>
      <c r="CC1216" s="73"/>
      <c r="CD1216" s="73"/>
      <c r="CE1216" s="73"/>
      <c r="CF1216" s="73"/>
      <c r="CG1216" s="73"/>
      <c r="CH1216" s="73"/>
      <c r="CI1216" s="73"/>
      <c r="CJ1216" s="73"/>
      <c r="CK1216" s="73"/>
      <c r="CL1216" s="73"/>
      <c r="CM1216" s="73"/>
      <c r="CN1216" s="73"/>
      <c r="CO1216" s="73"/>
      <c r="CP1216" s="73"/>
      <c r="CQ1216" s="73"/>
      <c r="CR1216" s="73"/>
      <c r="CS1216" s="73"/>
      <c r="CT1216" s="73"/>
      <c r="CU1216" s="73"/>
      <c r="CV1216" s="73"/>
      <c r="CW1216" s="73"/>
      <c r="CX1216" s="73"/>
      <c r="CY1216" s="73"/>
      <c r="CZ1216" s="73"/>
      <c r="DA1216" s="73"/>
      <c r="DB1216" s="73"/>
      <c r="DC1216" s="73"/>
      <c r="DD1216" s="73"/>
      <c r="DE1216" s="73"/>
      <c r="DF1216" s="73"/>
      <c r="DG1216" s="73"/>
      <c r="DH1216" s="73"/>
      <c r="DI1216" s="73"/>
      <c r="DJ1216" s="73"/>
      <c r="DK1216" s="73"/>
      <c r="DL1216" s="73"/>
      <c r="DM1216" s="73"/>
    </row>
    <row r="1217" spans="1:117" s="48" customFormat="1">
      <c r="A1217" s="73"/>
      <c r="T1217" s="73"/>
      <c r="U1217" s="73"/>
      <c r="V1217" s="73"/>
      <c r="W1217" s="73"/>
      <c r="X1217" s="73"/>
      <c r="Y1217" s="73"/>
      <c r="Z1217" s="73"/>
      <c r="AA1217" s="73"/>
      <c r="AB1217" s="73"/>
      <c r="AC1217" s="73"/>
      <c r="AD1217" s="73"/>
      <c r="AE1217" s="73"/>
      <c r="AF1217" s="73"/>
      <c r="AG1217" s="73"/>
      <c r="AH1217" s="73"/>
      <c r="AI1217" s="73"/>
      <c r="AJ1217" s="73"/>
      <c r="AK1217" s="73"/>
      <c r="AL1217" s="73"/>
      <c r="AM1217" s="73"/>
      <c r="AN1217" s="73"/>
      <c r="AO1217" s="73"/>
      <c r="AP1217" s="73"/>
      <c r="AQ1217" s="73"/>
      <c r="AR1217" s="73"/>
      <c r="AS1217" s="73"/>
      <c r="AT1217" s="73"/>
      <c r="AU1217" s="73"/>
      <c r="AV1217" s="73"/>
      <c r="AW1217" s="73"/>
      <c r="AX1217" s="73"/>
      <c r="AY1217" s="73"/>
      <c r="AZ1217" s="73"/>
      <c r="BA1217" s="73"/>
      <c r="BB1217" s="73"/>
      <c r="BC1217" s="73"/>
      <c r="BD1217" s="73"/>
      <c r="BE1217" s="73"/>
      <c r="BF1217" s="73"/>
      <c r="BG1217" s="73"/>
      <c r="BH1217" s="73"/>
      <c r="BI1217" s="73"/>
      <c r="BJ1217" s="73"/>
      <c r="BK1217" s="73"/>
      <c r="BL1217" s="73"/>
      <c r="BM1217" s="73"/>
      <c r="BN1217" s="73"/>
      <c r="BO1217" s="73"/>
      <c r="BP1217" s="73"/>
      <c r="BQ1217" s="73"/>
      <c r="BR1217" s="73"/>
      <c r="BS1217" s="73"/>
      <c r="BT1217" s="73"/>
      <c r="BU1217" s="73"/>
      <c r="BV1217" s="73"/>
      <c r="BW1217" s="73"/>
      <c r="BX1217" s="73"/>
      <c r="BY1217" s="73"/>
      <c r="BZ1217" s="73"/>
      <c r="CA1217" s="73"/>
      <c r="CB1217" s="73"/>
      <c r="CC1217" s="73"/>
      <c r="CD1217" s="73"/>
      <c r="CE1217" s="73"/>
      <c r="CF1217" s="73"/>
      <c r="CG1217" s="73"/>
      <c r="CH1217" s="73"/>
      <c r="CI1217" s="73"/>
      <c r="CJ1217" s="73"/>
      <c r="CK1217" s="73"/>
      <c r="CL1217" s="73"/>
      <c r="CM1217" s="73"/>
      <c r="CN1217" s="73"/>
      <c r="CO1217" s="73"/>
      <c r="CP1217" s="73"/>
      <c r="CQ1217" s="73"/>
      <c r="CR1217" s="73"/>
      <c r="CS1217" s="73"/>
      <c r="CT1217" s="73"/>
      <c r="CU1217" s="73"/>
      <c r="CV1217" s="73"/>
      <c r="CW1217" s="73"/>
      <c r="CX1217" s="73"/>
      <c r="CY1217" s="73"/>
      <c r="CZ1217" s="73"/>
      <c r="DA1217" s="73"/>
      <c r="DB1217" s="73"/>
      <c r="DC1217" s="73"/>
      <c r="DD1217" s="73"/>
      <c r="DE1217" s="73"/>
      <c r="DF1217" s="73"/>
      <c r="DG1217" s="73"/>
      <c r="DH1217" s="73"/>
      <c r="DI1217" s="73"/>
      <c r="DJ1217" s="73"/>
      <c r="DK1217" s="73"/>
      <c r="DL1217" s="73"/>
      <c r="DM1217" s="73"/>
    </row>
    <row r="1218" spans="1:117" s="48" customFormat="1">
      <c r="A1218" s="73"/>
      <c r="T1218" s="73"/>
      <c r="U1218" s="73"/>
      <c r="V1218" s="73"/>
      <c r="W1218" s="73"/>
      <c r="X1218" s="73"/>
      <c r="Y1218" s="73"/>
      <c r="Z1218" s="73"/>
      <c r="AA1218" s="73"/>
      <c r="AB1218" s="73"/>
      <c r="AC1218" s="73"/>
      <c r="AD1218" s="73"/>
      <c r="AE1218" s="73"/>
      <c r="AF1218" s="73"/>
      <c r="AG1218" s="73"/>
      <c r="AH1218" s="73"/>
      <c r="AI1218" s="73"/>
      <c r="AJ1218" s="73"/>
      <c r="AK1218" s="73"/>
      <c r="AL1218" s="73"/>
      <c r="AM1218" s="73"/>
      <c r="AN1218" s="73"/>
      <c r="AO1218" s="73"/>
      <c r="AP1218" s="73"/>
      <c r="AQ1218" s="73"/>
      <c r="AR1218" s="73"/>
      <c r="AS1218" s="73"/>
      <c r="AT1218" s="73"/>
      <c r="AU1218" s="73"/>
      <c r="AV1218" s="73"/>
      <c r="AW1218" s="73"/>
      <c r="AX1218" s="73"/>
      <c r="AY1218" s="73"/>
      <c r="AZ1218" s="73"/>
      <c r="BA1218" s="73"/>
      <c r="BB1218" s="73"/>
      <c r="BC1218" s="73"/>
      <c r="BD1218" s="73"/>
      <c r="BE1218" s="73"/>
      <c r="BF1218" s="73"/>
      <c r="BG1218" s="73"/>
      <c r="BH1218" s="73"/>
      <c r="BI1218" s="73"/>
      <c r="BJ1218" s="73"/>
      <c r="BK1218" s="73"/>
      <c r="BL1218" s="73"/>
      <c r="BM1218" s="73"/>
      <c r="BN1218" s="73"/>
      <c r="BO1218" s="73"/>
      <c r="BP1218" s="73"/>
      <c r="BQ1218" s="73"/>
      <c r="BR1218" s="73"/>
      <c r="BS1218" s="73"/>
      <c r="BT1218" s="73"/>
      <c r="BU1218" s="73"/>
      <c r="BV1218" s="73"/>
      <c r="BW1218" s="73"/>
      <c r="BX1218" s="73"/>
      <c r="BY1218" s="73"/>
      <c r="BZ1218" s="73"/>
      <c r="CA1218" s="73"/>
      <c r="CB1218" s="73"/>
      <c r="CC1218" s="73"/>
      <c r="CD1218" s="73"/>
      <c r="CE1218" s="73"/>
      <c r="CF1218" s="73"/>
      <c r="CG1218" s="73"/>
      <c r="CH1218" s="73"/>
      <c r="CI1218" s="73"/>
      <c r="CJ1218" s="73"/>
      <c r="CK1218" s="73"/>
      <c r="CL1218" s="73"/>
      <c r="CM1218" s="73"/>
      <c r="CN1218" s="73"/>
      <c r="CO1218" s="73"/>
      <c r="CP1218" s="73"/>
      <c r="CQ1218" s="73"/>
      <c r="CR1218" s="73"/>
      <c r="CS1218" s="73"/>
      <c r="CT1218" s="73"/>
      <c r="CU1218" s="73"/>
      <c r="CV1218" s="73"/>
      <c r="CW1218" s="73"/>
      <c r="CX1218" s="73"/>
      <c r="CY1218" s="73"/>
      <c r="CZ1218" s="73"/>
      <c r="DA1218" s="73"/>
      <c r="DB1218" s="73"/>
      <c r="DC1218" s="73"/>
      <c r="DD1218" s="73"/>
      <c r="DE1218" s="73"/>
      <c r="DF1218" s="73"/>
      <c r="DG1218" s="73"/>
      <c r="DH1218" s="73"/>
      <c r="DI1218" s="73"/>
      <c r="DJ1218" s="73"/>
      <c r="DK1218" s="73"/>
      <c r="DL1218" s="73"/>
      <c r="DM1218" s="73"/>
    </row>
    <row r="1219" spans="1:117" s="48" customFormat="1">
      <c r="A1219" s="73"/>
      <c r="T1219" s="73"/>
      <c r="U1219" s="73"/>
      <c r="V1219" s="73"/>
      <c r="W1219" s="73"/>
      <c r="X1219" s="73"/>
      <c r="Y1219" s="73"/>
      <c r="Z1219" s="73"/>
      <c r="AA1219" s="73"/>
      <c r="AB1219" s="73"/>
      <c r="AC1219" s="73"/>
      <c r="AD1219" s="73"/>
      <c r="AE1219" s="73"/>
      <c r="AF1219" s="73"/>
      <c r="AG1219" s="73"/>
      <c r="AH1219" s="73"/>
      <c r="AI1219" s="73"/>
      <c r="AJ1219" s="73"/>
      <c r="AK1219" s="73"/>
      <c r="AL1219" s="73"/>
      <c r="AM1219" s="73"/>
      <c r="AN1219" s="73"/>
      <c r="AO1219" s="73"/>
      <c r="AP1219" s="73"/>
      <c r="AQ1219" s="73"/>
      <c r="AR1219" s="73"/>
      <c r="AS1219" s="73"/>
      <c r="AT1219" s="73"/>
      <c r="AU1219" s="73"/>
      <c r="AV1219" s="73"/>
      <c r="AW1219" s="73"/>
      <c r="AX1219" s="73"/>
      <c r="AY1219" s="73"/>
      <c r="AZ1219" s="73"/>
      <c r="BA1219" s="73"/>
      <c r="BB1219" s="73"/>
      <c r="BC1219" s="73"/>
      <c r="BD1219" s="73"/>
      <c r="BE1219" s="73"/>
      <c r="BF1219" s="73"/>
      <c r="BG1219" s="73"/>
      <c r="BH1219" s="73"/>
      <c r="BI1219" s="73"/>
      <c r="BJ1219" s="73"/>
      <c r="BK1219" s="73"/>
      <c r="BL1219" s="73"/>
      <c r="BM1219" s="73"/>
      <c r="BN1219" s="73"/>
      <c r="BO1219" s="73"/>
      <c r="BP1219" s="73"/>
      <c r="BQ1219" s="73"/>
      <c r="BR1219" s="73"/>
      <c r="BS1219" s="73"/>
      <c r="BT1219" s="73"/>
      <c r="BU1219" s="73"/>
      <c r="BV1219" s="73"/>
      <c r="BW1219" s="73"/>
      <c r="BX1219" s="73"/>
      <c r="BY1219" s="73"/>
      <c r="BZ1219" s="73"/>
      <c r="CA1219" s="73"/>
      <c r="CB1219" s="73"/>
      <c r="CC1219" s="73"/>
      <c r="CD1219" s="73"/>
      <c r="CE1219" s="73"/>
      <c r="CF1219" s="73"/>
      <c r="CG1219" s="73"/>
      <c r="CH1219" s="73"/>
      <c r="CI1219" s="73"/>
      <c r="CJ1219" s="73"/>
      <c r="CK1219" s="73"/>
      <c r="CL1219" s="73"/>
      <c r="CM1219" s="73"/>
      <c r="CN1219" s="73"/>
      <c r="CO1219" s="73"/>
      <c r="CP1219" s="73"/>
      <c r="CQ1219" s="73"/>
      <c r="CR1219" s="73"/>
      <c r="CS1219" s="73"/>
      <c r="CT1219" s="73"/>
      <c r="CU1219" s="73"/>
      <c r="CV1219" s="73"/>
      <c r="CW1219" s="73"/>
      <c r="CX1219" s="73"/>
      <c r="CY1219" s="73"/>
      <c r="CZ1219" s="73"/>
      <c r="DA1219" s="73"/>
      <c r="DB1219" s="73"/>
      <c r="DC1219" s="73"/>
      <c r="DD1219" s="73"/>
      <c r="DE1219" s="73"/>
      <c r="DF1219" s="73"/>
      <c r="DG1219" s="73"/>
      <c r="DH1219" s="73"/>
      <c r="DI1219" s="73"/>
      <c r="DJ1219" s="73"/>
      <c r="DK1219" s="73"/>
      <c r="DL1219" s="73"/>
      <c r="DM1219" s="73"/>
    </row>
    <row r="1220" spans="1:117" s="48" customFormat="1">
      <c r="A1220" s="73"/>
      <c r="T1220" s="73"/>
      <c r="U1220" s="73"/>
      <c r="V1220" s="73"/>
      <c r="W1220" s="73"/>
      <c r="X1220" s="73"/>
      <c r="Y1220" s="73"/>
      <c r="Z1220" s="73"/>
      <c r="AA1220" s="73"/>
      <c r="AB1220" s="73"/>
      <c r="AC1220" s="73"/>
      <c r="AD1220" s="73"/>
      <c r="AE1220" s="73"/>
      <c r="AF1220" s="73"/>
      <c r="AG1220" s="73"/>
      <c r="AH1220" s="73"/>
      <c r="AI1220" s="73"/>
      <c r="AJ1220" s="73"/>
      <c r="AK1220" s="73"/>
      <c r="AL1220" s="73"/>
      <c r="AM1220" s="73"/>
      <c r="AN1220" s="73"/>
      <c r="AO1220" s="73"/>
      <c r="AP1220" s="73"/>
      <c r="AQ1220" s="73"/>
      <c r="AR1220" s="73"/>
      <c r="AS1220" s="73"/>
      <c r="AT1220" s="73"/>
      <c r="AU1220" s="73"/>
      <c r="AV1220" s="73"/>
      <c r="AW1220" s="73"/>
      <c r="AX1220" s="73"/>
      <c r="AY1220" s="73"/>
      <c r="AZ1220" s="73"/>
      <c r="BA1220" s="73"/>
      <c r="BB1220" s="73"/>
      <c r="BC1220" s="73"/>
      <c r="BD1220" s="73"/>
      <c r="BE1220" s="73"/>
      <c r="BF1220" s="73"/>
      <c r="BG1220" s="73"/>
      <c r="BH1220" s="73"/>
      <c r="BI1220" s="73"/>
      <c r="BJ1220" s="73"/>
      <c r="BK1220" s="73"/>
      <c r="BL1220" s="73"/>
      <c r="BM1220" s="73"/>
      <c r="BN1220" s="73"/>
      <c r="BO1220" s="73"/>
      <c r="BP1220" s="73"/>
      <c r="BQ1220" s="73"/>
      <c r="BR1220" s="73"/>
      <c r="BS1220" s="73"/>
      <c r="BT1220" s="73"/>
      <c r="BU1220" s="73"/>
      <c r="BV1220" s="73"/>
      <c r="BW1220" s="73"/>
      <c r="BX1220" s="73"/>
      <c r="BY1220" s="73"/>
      <c r="BZ1220" s="73"/>
      <c r="CA1220" s="73"/>
      <c r="CB1220" s="73"/>
      <c r="CC1220" s="73"/>
      <c r="CD1220" s="73"/>
      <c r="CE1220" s="73"/>
      <c r="CF1220" s="73"/>
      <c r="CG1220" s="73"/>
      <c r="CH1220" s="73"/>
      <c r="CI1220" s="73"/>
      <c r="CJ1220" s="73"/>
      <c r="CK1220" s="73"/>
      <c r="CL1220" s="73"/>
      <c r="CM1220" s="73"/>
      <c r="CN1220" s="73"/>
      <c r="CO1220" s="73"/>
      <c r="CP1220" s="73"/>
      <c r="CQ1220" s="73"/>
      <c r="CR1220" s="73"/>
      <c r="CS1220" s="73"/>
      <c r="CT1220" s="73"/>
      <c r="CU1220" s="73"/>
      <c r="CV1220" s="73"/>
      <c r="CW1220" s="73"/>
      <c r="CX1220" s="73"/>
      <c r="CY1220" s="73"/>
      <c r="CZ1220" s="73"/>
      <c r="DA1220" s="73"/>
      <c r="DB1220" s="73"/>
      <c r="DC1220" s="73"/>
      <c r="DD1220" s="73"/>
      <c r="DE1220" s="73"/>
      <c r="DF1220" s="73"/>
      <c r="DG1220" s="73"/>
      <c r="DH1220" s="73"/>
      <c r="DI1220" s="73"/>
      <c r="DJ1220" s="73"/>
      <c r="DK1220" s="73"/>
      <c r="DL1220" s="73"/>
      <c r="DM1220" s="73"/>
    </row>
    <row r="1221" spans="1:117" s="48" customFormat="1">
      <c r="A1221" s="73"/>
      <c r="T1221" s="73"/>
      <c r="U1221" s="73"/>
      <c r="V1221" s="73"/>
      <c r="W1221" s="73"/>
      <c r="X1221" s="73"/>
      <c r="Y1221" s="73"/>
      <c r="Z1221" s="73"/>
      <c r="AA1221" s="73"/>
      <c r="AB1221" s="73"/>
      <c r="AC1221" s="73"/>
      <c r="AD1221" s="73"/>
      <c r="AE1221" s="73"/>
      <c r="AF1221" s="73"/>
      <c r="AG1221" s="73"/>
      <c r="AH1221" s="73"/>
      <c r="AI1221" s="73"/>
      <c r="AJ1221" s="73"/>
      <c r="AK1221" s="73"/>
      <c r="AL1221" s="73"/>
      <c r="AM1221" s="73"/>
      <c r="AN1221" s="73"/>
      <c r="AO1221" s="73"/>
      <c r="AP1221" s="73"/>
      <c r="AQ1221" s="73"/>
      <c r="AR1221" s="73"/>
      <c r="AS1221" s="73"/>
      <c r="AT1221" s="73"/>
      <c r="AU1221" s="73"/>
      <c r="AV1221" s="73"/>
      <c r="AW1221" s="73"/>
      <c r="AX1221" s="73"/>
      <c r="AY1221" s="73"/>
      <c r="AZ1221" s="73"/>
      <c r="BA1221" s="73"/>
      <c r="BB1221" s="73"/>
      <c r="BC1221" s="73"/>
      <c r="BD1221" s="73"/>
      <c r="BE1221" s="73"/>
      <c r="BF1221" s="73"/>
      <c r="BG1221" s="73"/>
      <c r="BH1221" s="73"/>
      <c r="BI1221" s="73"/>
      <c r="BJ1221" s="73"/>
      <c r="BK1221" s="73"/>
      <c r="BL1221" s="73"/>
      <c r="BM1221" s="73"/>
      <c r="BN1221" s="73"/>
      <c r="BO1221" s="73"/>
      <c r="BP1221" s="73"/>
      <c r="BQ1221" s="73"/>
      <c r="BR1221" s="73"/>
      <c r="BS1221" s="73"/>
      <c r="BT1221" s="73"/>
      <c r="BU1221" s="73"/>
      <c r="BV1221" s="73"/>
      <c r="BW1221" s="73"/>
      <c r="BX1221" s="73"/>
      <c r="BY1221" s="73"/>
      <c r="BZ1221" s="73"/>
      <c r="CA1221" s="73"/>
      <c r="CB1221" s="73"/>
      <c r="CC1221" s="73"/>
      <c r="CD1221" s="73"/>
      <c r="CE1221" s="73"/>
      <c r="CF1221" s="73"/>
      <c r="CG1221" s="73"/>
      <c r="CH1221" s="73"/>
      <c r="CI1221" s="73"/>
      <c r="CJ1221" s="73"/>
      <c r="CK1221" s="73"/>
      <c r="CL1221" s="73"/>
      <c r="CM1221" s="73"/>
      <c r="CN1221" s="73"/>
      <c r="CO1221" s="73"/>
      <c r="CP1221" s="73"/>
      <c r="CQ1221" s="73"/>
      <c r="CR1221" s="73"/>
      <c r="CS1221" s="73"/>
      <c r="CT1221" s="73"/>
      <c r="CU1221" s="73"/>
      <c r="CV1221" s="73"/>
      <c r="CW1221" s="73"/>
      <c r="CX1221" s="73"/>
      <c r="CY1221" s="73"/>
      <c r="CZ1221" s="73"/>
      <c r="DA1221" s="73"/>
      <c r="DB1221" s="73"/>
      <c r="DC1221" s="73"/>
      <c r="DD1221" s="73"/>
      <c r="DE1221" s="73"/>
      <c r="DF1221" s="73"/>
      <c r="DG1221" s="73"/>
      <c r="DH1221" s="73"/>
      <c r="DI1221" s="73"/>
      <c r="DJ1221" s="73"/>
      <c r="DK1221" s="73"/>
      <c r="DL1221" s="73"/>
      <c r="DM1221" s="73"/>
    </row>
    <row r="1222" spans="1:117" s="48" customFormat="1">
      <c r="A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M1222" s="73"/>
      <c r="CN1222" s="73"/>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c r="DM1222" s="73"/>
    </row>
    <row r="1223" spans="1:117" s="48" customFormat="1">
      <c r="A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M1223" s="73"/>
      <c r="CN1223" s="73"/>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c r="DM1223" s="73"/>
    </row>
    <row r="1224" spans="1:117" s="48" customFormat="1">
      <c r="A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M1224" s="73"/>
      <c r="CN1224" s="73"/>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c r="DM1224" s="73"/>
    </row>
    <row r="1225" spans="1:117" s="48" customFormat="1">
      <c r="A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M1225" s="73"/>
      <c r="CN1225" s="73"/>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c r="DM1225" s="73"/>
    </row>
    <row r="1226" spans="1:117" s="48" customFormat="1">
      <c r="A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M1226" s="73"/>
      <c r="CN1226" s="73"/>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c r="DM1226" s="73"/>
    </row>
    <row r="1227" spans="1:117" s="48" customFormat="1">
      <c r="A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M1227" s="73"/>
      <c r="CN1227" s="73"/>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c r="DM1227" s="73"/>
    </row>
    <row r="1228" spans="1:117" s="48" customFormat="1">
      <c r="A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M1228" s="73"/>
      <c r="CN1228" s="73"/>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c r="DM1228" s="73"/>
    </row>
    <row r="1229" spans="1:117" s="48" customFormat="1">
      <c r="A1229" s="73"/>
      <c r="T1229" s="73"/>
      <c r="U1229" s="73"/>
      <c r="V1229" s="73"/>
      <c r="W1229" s="73"/>
      <c r="X1229" s="73"/>
      <c r="Y1229" s="73"/>
      <c r="Z1229" s="73"/>
      <c r="AA1229" s="73"/>
      <c r="AB1229" s="73"/>
      <c r="AC1229" s="73"/>
      <c r="AD1229" s="73"/>
      <c r="AE1229" s="73"/>
      <c r="AF1229" s="73"/>
      <c r="AG1229" s="73"/>
      <c r="AH1229" s="73"/>
      <c r="AI1229" s="73"/>
      <c r="AJ1229" s="73"/>
      <c r="AK1229" s="73"/>
      <c r="AL1229" s="73"/>
      <c r="AM1229" s="73"/>
      <c r="AN1229" s="73"/>
      <c r="AO1229" s="73"/>
      <c r="AP1229" s="73"/>
      <c r="AQ1229" s="73"/>
      <c r="AR1229" s="73"/>
      <c r="AS1229" s="73"/>
      <c r="AT1229" s="73"/>
      <c r="AU1229" s="73"/>
      <c r="AV1229" s="73"/>
      <c r="AW1229" s="73"/>
      <c r="AX1229" s="73"/>
      <c r="AY1229" s="73"/>
      <c r="AZ1229" s="73"/>
      <c r="BA1229" s="73"/>
      <c r="BB1229" s="73"/>
      <c r="BC1229" s="73"/>
      <c r="BD1229" s="73"/>
      <c r="BE1229" s="73"/>
      <c r="BF1229" s="73"/>
      <c r="BG1229" s="73"/>
      <c r="BH1229" s="73"/>
      <c r="BI1229" s="73"/>
      <c r="BJ1229" s="73"/>
      <c r="BK1229" s="73"/>
      <c r="BL1229" s="73"/>
      <c r="BM1229" s="73"/>
      <c r="BN1229" s="73"/>
      <c r="BO1229" s="73"/>
      <c r="BP1229" s="73"/>
      <c r="BQ1229" s="73"/>
      <c r="BR1229" s="73"/>
      <c r="BS1229" s="73"/>
      <c r="BT1229" s="73"/>
      <c r="BU1229" s="73"/>
      <c r="BV1229" s="73"/>
      <c r="BW1229" s="73"/>
      <c r="BX1229" s="73"/>
      <c r="BY1229" s="73"/>
      <c r="BZ1229" s="73"/>
      <c r="CA1229" s="73"/>
      <c r="CB1229" s="73"/>
      <c r="CC1229" s="73"/>
      <c r="CD1229" s="73"/>
      <c r="CE1229" s="73"/>
      <c r="CF1229" s="73"/>
      <c r="CG1229" s="73"/>
      <c r="CH1229" s="73"/>
      <c r="CI1229" s="73"/>
      <c r="CJ1229" s="73"/>
      <c r="CK1229" s="73"/>
      <c r="CL1229" s="73"/>
      <c r="CM1229" s="73"/>
      <c r="CN1229" s="73"/>
      <c r="CO1229" s="73"/>
      <c r="CP1229" s="73"/>
      <c r="CQ1229" s="73"/>
      <c r="CR1229" s="73"/>
      <c r="CS1229" s="73"/>
      <c r="CT1229" s="73"/>
      <c r="CU1229" s="73"/>
      <c r="CV1229" s="73"/>
      <c r="CW1229" s="73"/>
      <c r="CX1229" s="73"/>
      <c r="CY1229" s="73"/>
      <c r="CZ1229" s="73"/>
      <c r="DA1229" s="73"/>
      <c r="DB1229" s="73"/>
      <c r="DC1229" s="73"/>
      <c r="DD1229" s="73"/>
      <c r="DE1229" s="73"/>
      <c r="DF1229" s="73"/>
      <c r="DG1229" s="73"/>
      <c r="DH1229" s="73"/>
      <c r="DI1229" s="73"/>
      <c r="DJ1229" s="73"/>
      <c r="DK1229" s="73"/>
      <c r="DL1229" s="73"/>
      <c r="DM1229" s="73"/>
    </row>
    <row r="1230" spans="1:117" s="48" customFormat="1">
      <c r="A1230" s="73"/>
      <c r="T1230" s="73"/>
      <c r="U1230" s="73"/>
      <c r="V1230" s="73"/>
      <c r="W1230" s="73"/>
      <c r="X1230" s="73"/>
      <c r="Y1230" s="73"/>
      <c r="Z1230" s="73"/>
      <c r="AA1230" s="73"/>
      <c r="AB1230" s="73"/>
      <c r="AC1230" s="73"/>
      <c r="AD1230" s="73"/>
      <c r="AE1230" s="73"/>
      <c r="AF1230" s="73"/>
      <c r="AG1230" s="73"/>
      <c r="AH1230" s="73"/>
      <c r="AI1230" s="73"/>
      <c r="AJ1230" s="73"/>
      <c r="AK1230" s="73"/>
      <c r="AL1230" s="73"/>
      <c r="AM1230" s="73"/>
      <c r="AN1230" s="73"/>
      <c r="AO1230" s="73"/>
      <c r="AP1230" s="73"/>
      <c r="AQ1230" s="73"/>
      <c r="AR1230" s="73"/>
      <c r="AS1230" s="73"/>
      <c r="AT1230" s="73"/>
      <c r="AU1230" s="73"/>
      <c r="AV1230" s="73"/>
      <c r="AW1230" s="73"/>
      <c r="AX1230" s="73"/>
      <c r="AY1230" s="73"/>
      <c r="AZ1230" s="73"/>
      <c r="BA1230" s="73"/>
      <c r="BB1230" s="73"/>
      <c r="BC1230" s="73"/>
      <c r="BD1230" s="73"/>
      <c r="BE1230" s="73"/>
      <c r="BF1230" s="73"/>
      <c r="BG1230" s="73"/>
      <c r="BH1230" s="73"/>
      <c r="BI1230" s="73"/>
      <c r="BJ1230" s="73"/>
      <c r="BK1230" s="73"/>
      <c r="BL1230" s="73"/>
      <c r="BM1230" s="73"/>
      <c r="BN1230" s="73"/>
      <c r="BO1230" s="73"/>
      <c r="BP1230" s="73"/>
      <c r="BQ1230" s="73"/>
      <c r="BR1230" s="73"/>
      <c r="BS1230" s="73"/>
      <c r="BT1230" s="73"/>
      <c r="BU1230" s="73"/>
      <c r="BV1230" s="73"/>
      <c r="BW1230" s="73"/>
      <c r="BX1230" s="73"/>
      <c r="BY1230" s="73"/>
      <c r="BZ1230" s="73"/>
      <c r="CA1230" s="73"/>
      <c r="CB1230" s="73"/>
      <c r="CC1230" s="73"/>
      <c r="CD1230" s="73"/>
      <c r="CE1230" s="73"/>
      <c r="CF1230" s="73"/>
      <c r="CG1230" s="73"/>
      <c r="CH1230" s="73"/>
      <c r="CI1230" s="73"/>
      <c r="CJ1230" s="73"/>
      <c r="CK1230" s="73"/>
      <c r="CL1230" s="73"/>
      <c r="CM1230" s="73"/>
      <c r="CN1230" s="73"/>
      <c r="CO1230" s="73"/>
      <c r="CP1230" s="73"/>
      <c r="CQ1230" s="73"/>
      <c r="CR1230" s="73"/>
      <c r="CS1230" s="73"/>
      <c r="CT1230" s="73"/>
      <c r="CU1230" s="73"/>
      <c r="CV1230" s="73"/>
      <c r="CW1230" s="73"/>
      <c r="CX1230" s="73"/>
      <c r="CY1230" s="73"/>
      <c r="CZ1230" s="73"/>
      <c r="DA1230" s="73"/>
      <c r="DB1230" s="73"/>
      <c r="DC1230" s="73"/>
      <c r="DD1230" s="73"/>
      <c r="DE1230" s="73"/>
      <c r="DF1230" s="73"/>
      <c r="DG1230" s="73"/>
      <c r="DH1230" s="73"/>
      <c r="DI1230" s="73"/>
      <c r="DJ1230" s="73"/>
      <c r="DK1230" s="73"/>
      <c r="DL1230" s="73"/>
      <c r="DM1230" s="73"/>
    </row>
    <row r="1231" spans="1:117" s="48" customFormat="1">
      <c r="A1231" s="73"/>
      <c r="T1231" s="73"/>
      <c r="U1231" s="73"/>
      <c r="V1231" s="73"/>
      <c r="W1231" s="73"/>
      <c r="X1231" s="73"/>
      <c r="Y1231" s="73"/>
      <c r="Z1231" s="73"/>
      <c r="AA1231" s="73"/>
      <c r="AB1231" s="73"/>
      <c r="AC1231" s="73"/>
      <c r="AD1231" s="73"/>
      <c r="AE1231" s="73"/>
      <c r="AF1231" s="73"/>
      <c r="AG1231" s="73"/>
      <c r="AH1231" s="73"/>
      <c r="AI1231" s="73"/>
      <c r="AJ1231" s="73"/>
      <c r="AK1231" s="73"/>
      <c r="AL1231" s="73"/>
      <c r="AM1231" s="73"/>
      <c r="AN1231" s="73"/>
      <c r="AO1231" s="73"/>
      <c r="AP1231" s="73"/>
      <c r="AQ1231" s="73"/>
      <c r="AR1231" s="73"/>
      <c r="AS1231" s="73"/>
      <c r="AT1231" s="73"/>
      <c r="AU1231" s="73"/>
      <c r="AV1231" s="73"/>
      <c r="AW1231" s="73"/>
      <c r="AX1231" s="73"/>
      <c r="AY1231" s="73"/>
      <c r="AZ1231" s="73"/>
      <c r="BA1231" s="73"/>
      <c r="BB1231" s="73"/>
      <c r="BC1231" s="73"/>
      <c r="BD1231" s="73"/>
      <c r="BE1231" s="73"/>
      <c r="BF1231" s="73"/>
      <c r="BG1231" s="73"/>
      <c r="BH1231" s="73"/>
      <c r="BI1231" s="73"/>
      <c r="BJ1231" s="73"/>
      <c r="BK1231" s="73"/>
      <c r="BL1231" s="73"/>
      <c r="BM1231" s="73"/>
      <c r="BN1231" s="73"/>
      <c r="BO1231" s="73"/>
      <c r="BP1231" s="73"/>
      <c r="BQ1231" s="73"/>
      <c r="BR1231" s="73"/>
      <c r="BS1231" s="73"/>
      <c r="BT1231" s="73"/>
      <c r="BU1231" s="73"/>
      <c r="BV1231" s="73"/>
      <c r="BW1231" s="73"/>
      <c r="BX1231" s="73"/>
      <c r="BY1231" s="73"/>
      <c r="BZ1231" s="73"/>
      <c r="CA1231" s="73"/>
      <c r="CB1231" s="73"/>
      <c r="CC1231" s="73"/>
      <c r="CD1231" s="73"/>
      <c r="CE1231" s="73"/>
      <c r="CF1231" s="73"/>
      <c r="CG1231" s="73"/>
      <c r="CH1231" s="73"/>
      <c r="CI1231" s="73"/>
      <c r="CJ1231" s="73"/>
      <c r="CK1231" s="73"/>
      <c r="CL1231" s="73"/>
      <c r="CM1231" s="73"/>
      <c r="CN1231" s="73"/>
      <c r="CO1231" s="73"/>
      <c r="CP1231" s="73"/>
      <c r="CQ1231" s="73"/>
      <c r="CR1231" s="73"/>
      <c r="CS1231" s="73"/>
      <c r="CT1231" s="73"/>
      <c r="CU1231" s="73"/>
      <c r="CV1231" s="73"/>
      <c r="CW1231" s="73"/>
      <c r="CX1231" s="73"/>
      <c r="CY1231" s="73"/>
      <c r="CZ1231" s="73"/>
      <c r="DA1231" s="73"/>
      <c r="DB1231" s="73"/>
      <c r="DC1231" s="73"/>
      <c r="DD1231" s="73"/>
      <c r="DE1231" s="73"/>
      <c r="DF1231" s="73"/>
      <c r="DG1231" s="73"/>
      <c r="DH1231" s="73"/>
      <c r="DI1231" s="73"/>
      <c r="DJ1231" s="73"/>
      <c r="DK1231" s="73"/>
      <c r="DL1231" s="73"/>
      <c r="DM1231" s="73"/>
    </row>
    <row r="1232" spans="1:117" s="48" customFormat="1">
      <c r="A1232" s="73"/>
      <c r="T1232" s="73"/>
      <c r="U1232" s="73"/>
      <c r="V1232" s="73"/>
      <c r="W1232" s="73"/>
      <c r="X1232" s="73"/>
      <c r="Y1232" s="73"/>
      <c r="Z1232" s="73"/>
      <c r="AA1232" s="73"/>
      <c r="AB1232" s="73"/>
      <c r="AC1232" s="73"/>
      <c r="AD1232" s="73"/>
      <c r="AE1232" s="73"/>
      <c r="AF1232" s="73"/>
      <c r="AG1232" s="73"/>
      <c r="AH1232" s="73"/>
      <c r="AI1232" s="73"/>
      <c r="AJ1232" s="73"/>
      <c r="AK1232" s="73"/>
      <c r="AL1232" s="73"/>
      <c r="AM1232" s="73"/>
      <c r="AN1232" s="73"/>
      <c r="AO1232" s="73"/>
      <c r="AP1232" s="73"/>
      <c r="AQ1232" s="73"/>
      <c r="AR1232" s="73"/>
      <c r="AS1232" s="73"/>
      <c r="AT1232" s="73"/>
      <c r="AU1232" s="73"/>
      <c r="AV1232" s="73"/>
      <c r="AW1232" s="73"/>
      <c r="AX1232" s="73"/>
      <c r="AY1232" s="73"/>
      <c r="AZ1232" s="73"/>
      <c r="BA1232" s="73"/>
      <c r="BB1232" s="73"/>
      <c r="BC1232" s="73"/>
      <c r="BD1232" s="73"/>
      <c r="BE1232" s="73"/>
      <c r="BF1232" s="73"/>
      <c r="BG1232" s="73"/>
      <c r="BH1232" s="73"/>
      <c r="BI1232" s="73"/>
      <c r="BJ1232" s="73"/>
      <c r="BK1232" s="73"/>
      <c r="BL1232" s="73"/>
      <c r="BM1232" s="73"/>
      <c r="BN1232" s="73"/>
      <c r="BO1232" s="73"/>
      <c r="BP1232" s="73"/>
      <c r="BQ1232" s="73"/>
      <c r="BR1232" s="73"/>
      <c r="BS1232" s="73"/>
      <c r="BT1232" s="73"/>
      <c r="BU1232" s="73"/>
      <c r="BV1232" s="73"/>
      <c r="BW1232" s="73"/>
      <c r="BX1232" s="73"/>
      <c r="BY1232" s="73"/>
      <c r="BZ1232" s="73"/>
      <c r="CA1232" s="73"/>
      <c r="CB1232" s="73"/>
      <c r="CC1232" s="73"/>
      <c r="CD1232" s="73"/>
      <c r="CE1232" s="73"/>
      <c r="CF1232" s="73"/>
      <c r="CG1232" s="73"/>
      <c r="CH1232" s="73"/>
      <c r="CI1232" s="73"/>
      <c r="CJ1232" s="73"/>
      <c r="CK1232" s="73"/>
      <c r="CL1232" s="73"/>
      <c r="CM1232" s="73"/>
      <c r="CN1232" s="73"/>
      <c r="CO1232" s="73"/>
      <c r="CP1232" s="73"/>
      <c r="CQ1232" s="73"/>
      <c r="CR1232" s="73"/>
      <c r="CS1232" s="73"/>
      <c r="CT1232" s="73"/>
      <c r="CU1232" s="73"/>
      <c r="CV1232" s="73"/>
      <c r="CW1232" s="73"/>
      <c r="CX1232" s="73"/>
      <c r="CY1232" s="73"/>
      <c r="CZ1232" s="73"/>
      <c r="DA1232" s="73"/>
      <c r="DB1232" s="73"/>
      <c r="DC1232" s="73"/>
      <c r="DD1232" s="73"/>
      <c r="DE1232" s="73"/>
      <c r="DF1232" s="73"/>
      <c r="DG1232" s="73"/>
      <c r="DH1232" s="73"/>
      <c r="DI1232" s="73"/>
      <c r="DJ1232" s="73"/>
      <c r="DK1232" s="73"/>
      <c r="DL1232" s="73"/>
      <c r="DM1232" s="73"/>
    </row>
    <row r="1233" spans="1:117" s="48" customFormat="1">
      <c r="A1233" s="73"/>
      <c r="T1233" s="73"/>
      <c r="U1233" s="73"/>
      <c r="V1233" s="73"/>
      <c r="W1233" s="73"/>
      <c r="X1233" s="73"/>
      <c r="Y1233" s="73"/>
      <c r="Z1233" s="73"/>
      <c r="AA1233" s="73"/>
      <c r="AB1233" s="73"/>
      <c r="AC1233" s="73"/>
      <c r="AD1233" s="73"/>
      <c r="AE1233" s="73"/>
      <c r="AF1233" s="73"/>
      <c r="AG1233" s="73"/>
      <c r="AH1233" s="73"/>
      <c r="AI1233" s="73"/>
      <c r="AJ1233" s="73"/>
      <c r="AK1233" s="73"/>
      <c r="AL1233" s="73"/>
      <c r="AM1233" s="73"/>
      <c r="AN1233" s="73"/>
      <c r="AO1233" s="73"/>
      <c r="AP1233" s="73"/>
      <c r="AQ1233" s="73"/>
      <c r="AR1233" s="73"/>
      <c r="AS1233" s="73"/>
      <c r="AT1233" s="73"/>
      <c r="AU1233" s="73"/>
      <c r="AV1233" s="73"/>
      <c r="AW1233" s="73"/>
      <c r="AX1233" s="73"/>
      <c r="AY1233" s="73"/>
      <c r="AZ1233" s="73"/>
      <c r="BA1233" s="73"/>
      <c r="BB1233" s="73"/>
      <c r="BC1233" s="73"/>
      <c r="BD1233" s="73"/>
      <c r="BE1233" s="73"/>
      <c r="BF1233" s="73"/>
      <c r="BG1233" s="73"/>
      <c r="BH1233" s="73"/>
      <c r="BI1233" s="73"/>
      <c r="BJ1233" s="73"/>
      <c r="BK1233" s="73"/>
      <c r="BL1233" s="73"/>
      <c r="BM1233" s="73"/>
      <c r="BN1233" s="73"/>
      <c r="BO1233" s="73"/>
      <c r="BP1233" s="73"/>
      <c r="BQ1233" s="73"/>
      <c r="BR1233" s="73"/>
      <c r="BS1233" s="73"/>
      <c r="BT1233" s="73"/>
      <c r="BU1233" s="73"/>
      <c r="BV1233" s="73"/>
      <c r="BW1233" s="73"/>
      <c r="BX1233" s="73"/>
      <c r="BY1233" s="73"/>
      <c r="BZ1233" s="73"/>
      <c r="CA1233" s="73"/>
      <c r="CB1233" s="73"/>
      <c r="CC1233" s="73"/>
      <c r="CD1233" s="73"/>
      <c r="CE1233" s="73"/>
      <c r="CF1233" s="73"/>
      <c r="CG1233" s="73"/>
      <c r="CH1233" s="73"/>
      <c r="CI1233" s="73"/>
      <c r="CJ1233" s="73"/>
      <c r="CK1233" s="73"/>
      <c r="CL1233" s="73"/>
      <c r="CM1233" s="73"/>
      <c r="CN1233" s="73"/>
      <c r="CO1233" s="73"/>
      <c r="CP1233" s="73"/>
      <c r="CQ1233" s="73"/>
      <c r="CR1233" s="73"/>
      <c r="CS1233" s="73"/>
      <c r="CT1233" s="73"/>
      <c r="CU1233" s="73"/>
      <c r="CV1233" s="73"/>
      <c r="CW1233" s="73"/>
      <c r="CX1233" s="73"/>
      <c r="CY1233" s="73"/>
      <c r="CZ1233" s="73"/>
      <c r="DA1233" s="73"/>
      <c r="DB1233" s="73"/>
      <c r="DC1233" s="73"/>
      <c r="DD1233" s="73"/>
      <c r="DE1233" s="73"/>
      <c r="DF1233" s="73"/>
      <c r="DG1233" s="73"/>
      <c r="DH1233" s="73"/>
      <c r="DI1233" s="73"/>
      <c r="DJ1233" s="73"/>
      <c r="DK1233" s="73"/>
      <c r="DL1233" s="73"/>
      <c r="DM1233" s="73"/>
    </row>
    <row r="1234" spans="1:117" s="48" customFormat="1">
      <c r="A1234" s="73"/>
      <c r="T1234" s="73"/>
      <c r="U1234" s="73"/>
      <c r="V1234" s="73"/>
      <c r="W1234" s="73"/>
      <c r="X1234" s="73"/>
      <c r="Y1234" s="73"/>
      <c r="Z1234" s="73"/>
      <c r="AA1234" s="73"/>
      <c r="AB1234" s="73"/>
      <c r="AC1234" s="73"/>
      <c r="AD1234" s="73"/>
      <c r="AE1234" s="73"/>
      <c r="AF1234" s="73"/>
      <c r="AG1234" s="73"/>
      <c r="AH1234" s="73"/>
      <c r="AI1234" s="73"/>
      <c r="AJ1234" s="73"/>
      <c r="AK1234" s="73"/>
      <c r="AL1234" s="73"/>
      <c r="AM1234" s="73"/>
      <c r="AN1234" s="73"/>
      <c r="AO1234" s="73"/>
      <c r="AP1234" s="73"/>
      <c r="AQ1234" s="73"/>
      <c r="AR1234" s="73"/>
      <c r="AS1234" s="73"/>
      <c r="AT1234" s="73"/>
      <c r="AU1234" s="73"/>
      <c r="AV1234" s="73"/>
      <c r="AW1234" s="73"/>
      <c r="AX1234" s="73"/>
      <c r="AY1234" s="73"/>
      <c r="AZ1234" s="73"/>
      <c r="BA1234" s="73"/>
      <c r="BB1234" s="73"/>
      <c r="BC1234" s="73"/>
      <c r="BD1234" s="73"/>
      <c r="BE1234" s="73"/>
      <c r="BF1234" s="73"/>
      <c r="BG1234" s="73"/>
      <c r="BH1234" s="73"/>
      <c r="BI1234" s="73"/>
      <c r="BJ1234" s="73"/>
      <c r="BK1234" s="73"/>
      <c r="BL1234" s="73"/>
      <c r="BM1234" s="73"/>
      <c r="BN1234" s="73"/>
      <c r="BO1234" s="73"/>
      <c r="BP1234" s="73"/>
      <c r="BQ1234" s="73"/>
      <c r="BR1234" s="73"/>
      <c r="BS1234" s="73"/>
      <c r="BT1234" s="73"/>
      <c r="BU1234" s="73"/>
      <c r="BV1234" s="73"/>
      <c r="BW1234" s="73"/>
      <c r="BX1234" s="73"/>
      <c r="BY1234" s="73"/>
      <c r="BZ1234" s="73"/>
      <c r="CA1234" s="73"/>
      <c r="CB1234" s="73"/>
      <c r="CC1234" s="73"/>
      <c r="CD1234" s="73"/>
      <c r="CE1234" s="73"/>
      <c r="CF1234" s="73"/>
      <c r="CG1234" s="73"/>
      <c r="CH1234" s="73"/>
      <c r="CI1234" s="73"/>
      <c r="CJ1234" s="73"/>
      <c r="CK1234" s="73"/>
      <c r="CL1234" s="73"/>
      <c r="CM1234" s="73"/>
      <c r="CN1234" s="73"/>
      <c r="CO1234" s="73"/>
      <c r="CP1234" s="73"/>
      <c r="CQ1234" s="73"/>
      <c r="CR1234" s="73"/>
      <c r="CS1234" s="73"/>
      <c r="CT1234" s="73"/>
      <c r="CU1234" s="73"/>
      <c r="CV1234" s="73"/>
      <c r="CW1234" s="73"/>
      <c r="CX1234" s="73"/>
      <c r="CY1234" s="73"/>
      <c r="CZ1234" s="73"/>
      <c r="DA1234" s="73"/>
      <c r="DB1234" s="73"/>
      <c r="DC1234" s="73"/>
      <c r="DD1234" s="73"/>
      <c r="DE1234" s="73"/>
      <c r="DF1234" s="73"/>
      <c r="DG1234" s="73"/>
      <c r="DH1234" s="73"/>
      <c r="DI1234" s="73"/>
      <c r="DJ1234" s="73"/>
      <c r="DK1234" s="73"/>
      <c r="DL1234" s="73"/>
      <c r="DM1234" s="73"/>
    </row>
    <row r="1235" spans="1:117" s="48" customFormat="1">
      <c r="A1235" s="73"/>
      <c r="T1235" s="73"/>
      <c r="U1235" s="73"/>
      <c r="V1235" s="73"/>
      <c r="W1235" s="73"/>
      <c r="X1235" s="73"/>
      <c r="Y1235" s="73"/>
      <c r="Z1235" s="73"/>
      <c r="AA1235" s="73"/>
      <c r="AB1235" s="73"/>
      <c r="AC1235" s="73"/>
      <c r="AD1235" s="73"/>
      <c r="AE1235" s="73"/>
      <c r="AF1235" s="73"/>
      <c r="AG1235" s="73"/>
      <c r="AH1235" s="73"/>
      <c r="AI1235" s="73"/>
      <c r="AJ1235" s="73"/>
      <c r="AK1235" s="73"/>
      <c r="AL1235" s="73"/>
      <c r="AM1235" s="73"/>
      <c r="AN1235" s="73"/>
      <c r="AO1235" s="73"/>
      <c r="AP1235" s="73"/>
      <c r="AQ1235" s="73"/>
      <c r="AR1235" s="73"/>
      <c r="AS1235" s="73"/>
      <c r="AT1235" s="73"/>
      <c r="AU1235" s="73"/>
      <c r="AV1235" s="73"/>
      <c r="AW1235" s="73"/>
      <c r="AX1235" s="73"/>
      <c r="AY1235" s="73"/>
      <c r="AZ1235" s="73"/>
      <c r="BA1235" s="73"/>
      <c r="BB1235" s="73"/>
      <c r="BC1235" s="73"/>
      <c r="BD1235" s="73"/>
      <c r="BE1235" s="73"/>
      <c r="BF1235" s="73"/>
      <c r="BG1235" s="73"/>
      <c r="BH1235" s="73"/>
      <c r="BI1235" s="73"/>
      <c r="BJ1235" s="73"/>
      <c r="BK1235" s="73"/>
      <c r="BL1235" s="73"/>
      <c r="BM1235" s="73"/>
      <c r="BN1235" s="73"/>
      <c r="BO1235" s="73"/>
      <c r="BP1235" s="73"/>
      <c r="BQ1235" s="73"/>
      <c r="BR1235" s="73"/>
      <c r="BS1235" s="73"/>
      <c r="BT1235" s="73"/>
      <c r="BU1235" s="73"/>
      <c r="BV1235" s="73"/>
      <c r="BW1235" s="73"/>
      <c r="BX1235" s="73"/>
      <c r="BY1235" s="73"/>
      <c r="BZ1235" s="73"/>
      <c r="CA1235" s="73"/>
      <c r="CB1235" s="73"/>
      <c r="CC1235" s="73"/>
      <c r="CD1235" s="73"/>
      <c r="CE1235" s="73"/>
      <c r="CF1235" s="73"/>
      <c r="CG1235" s="73"/>
      <c r="CH1235" s="73"/>
      <c r="CI1235" s="73"/>
      <c r="CJ1235" s="73"/>
      <c r="CK1235" s="73"/>
      <c r="CL1235" s="73"/>
      <c r="CM1235" s="73"/>
      <c r="CN1235" s="73"/>
      <c r="CO1235" s="73"/>
      <c r="CP1235" s="73"/>
      <c r="CQ1235" s="73"/>
      <c r="CR1235" s="73"/>
      <c r="CS1235" s="73"/>
      <c r="CT1235" s="73"/>
      <c r="CU1235" s="73"/>
      <c r="CV1235" s="73"/>
      <c r="CW1235" s="73"/>
      <c r="CX1235" s="73"/>
      <c r="CY1235" s="73"/>
      <c r="CZ1235" s="73"/>
      <c r="DA1235" s="73"/>
      <c r="DB1235" s="73"/>
      <c r="DC1235" s="73"/>
      <c r="DD1235" s="73"/>
      <c r="DE1235" s="73"/>
      <c r="DF1235" s="73"/>
      <c r="DG1235" s="73"/>
      <c r="DH1235" s="73"/>
      <c r="DI1235" s="73"/>
      <c r="DJ1235" s="73"/>
      <c r="DK1235" s="73"/>
      <c r="DL1235" s="73"/>
      <c r="DM1235" s="73"/>
    </row>
    <row r="1236" spans="1:117" s="48" customFormat="1">
      <c r="A1236" s="73"/>
      <c r="T1236" s="73"/>
      <c r="U1236" s="73"/>
      <c r="V1236" s="73"/>
      <c r="W1236" s="73"/>
      <c r="X1236" s="73"/>
      <c r="Y1236" s="73"/>
      <c r="Z1236" s="73"/>
      <c r="AA1236" s="73"/>
      <c r="AB1236" s="73"/>
      <c r="AC1236" s="73"/>
      <c r="AD1236" s="73"/>
      <c r="AE1236" s="73"/>
      <c r="AF1236" s="73"/>
      <c r="AG1236" s="73"/>
      <c r="AH1236" s="73"/>
      <c r="AI1236" s="73"/>
      <c r="AJ1236" s="73"/>
      <c r="AK1236" s="73"/>
      <c r="AL1236" s="73"/>
      <c r="AM1236" s="73"/>
      <c r="AN1236" s="73"/>
      <c r="AO1236" s="73"/>
      <c r="AP1236" s="73"/>
      <c r="AQ1236" s="73"/>
      <c r="AR1236" s="73"/>
      <c r="AS1236" s="73"/>
      <c r="AT1236" s="73"/>
      <c r="AU1236" s="73"/>
      <c r="AV1236" s="73"/>
      <c r="AW1236" s="73"/>
      <c r="AX1236" s="73"/>
      <c r="AY1236" s="73"/>
      <c r="AZ1236" s="73"/>
      <c r="BA1236" s="73"/>
      <c r="BB1236" s="73"/>
      <c r="BC1236" s="73"/>
      <c r="BD1236" s="73"/>
      <c r="BE1236" s="73"/>
      <c r="BF1236" s="73"/>
      <c r="BG1236" s="73"/>
      <c r="BH1236" s="73"/>
      <c r="BI1236" s="73"/>
      <c r="BJ1236" s="73"/>
      <c r="BK1236" s="73"/>
      <c r="BL1236" s="73"/>
      <c r="BM1236" s="73"/>
      <c r="BN1236" s="73"/>
      <c r="BO1236" s="73"/>
      <c r="BP1236" s="73"/>
      <c r="BQ1236" s="73"/>
      <c r="BR1236" s="73"/>
      <c r="BS1236" s="73"/>
      <c r="BT1236" s="73"/>
      <c r="BU1236" s="73"/>
      <c r="BV1236" s="73"/>
      <c r="BW1236" s="73"/>
      <c r="BX1236" s="73"/>
      <c r="BY1236" s="73"/>
      <c r="BZ1236" s="73"/>
      <c r="CA1236" s="73"/>
      <c r="CB1236" s="73"/>
      <c r="CC1236" s="73"/>
      <c r="CD1236" s="73"/>
      <c r="CE1236" s="73"/>
      <c r="CF1236" s="73"/>
      <c r="CG1236" s="73"/>
      <c r="CH1236" s="73"/>
      <c r="CI1236" s="73"/>
      <c r="CJ1236" s="73"/>
      <c r="CK1236" s="73"/>
      <c r="CL1236" s="73"/>
      <c r="CM1236" s="73"/>
      <c r="CN1236" s="73"/>
      <c r="CO1236" s="73"/>
      <c r="CP1236" s="73"/>
      <c r="CQ1236" s="73"/>
      <c r="CR1236" s="73"/>
      <c r="CS1236" s="73"/>
      <c r="CT1236" s="73"/>
      <c r="CU1236" s="73"/>
      <c r="CV1236" s="73"/>
      <c r="CW1236" s="73"/>
      <c r="CX1236" s="73"/>
      <c r="CY1236" s="73"/>
      <c r="CZ1236" s="73"/>
      <c r="DA1236" s="73"/>
      <c r="DB1236" s="73"/>
      <c r="DC1236" s="73"/>
      <c r="DD1236" s="73"/>
      <c r="DE1236" s="73"/>
      <c r="DF1236" s="73"/>
      <c r="DG1236" s="73"/>
      <c r="DH1236" s="73"/>
      <c r="DI1236" s="73"/>
      <c r="DJ1236" s="73"/>
      <c r="DK1236" s="73"/>
      <c r="DL1236" s="73"/>
      <c r="DM1236" s="73"/>
    </row>
    <row r="1237" spans="1:117" s="48" customFormat="1">
      <c r="A1237" s="73"/>
      <c r="T1237" s="73"/>
      <c r="U1237" s="73"/>
      <c r="V1237" s="73"/>
      <c r="W1237" s="73"/>
      <c r="X1237" s="73"/>
      <c r="Y1237" s="73"/>
      <c r="Z1237" s="73"/>
      <c r="AA1237" s="73"/>
      <c r="AB1237" s="73"/>
      <c r="AC1237" s="73"/>
      <c r="AD1237" s="73"/>
      <c r="AE1237" s="73"/>
      <c r="AF1237" s="73"/>
      <c r="AG1237" s="73"/>
      <c r="AH1237" s="73"/>
      <c r="AI1237" s="73"/>
      <c r="AJ1237" s="73"/>
      <c r="AK1237" s="73"/>
      <c r="AL1237" s="73"/>
      <c r="AM1237" s="73"/>
      <c r="AN1237" s="73"/>
      <c r="AO1237" s="73"/>
      <c r="AP1237" s="73"/>
      <c r="AQ1237" s="73"/>
      <c r="AR1237" s="73"/>
      <c r="AS1237" s="73"/>
      <c r="AT1237" s="73"/>
      <c r="AU1237" s="73"/>
      <c r="AV1237" s="73"/>
      <c r="AW1237" s="73"/>
      <c r="AX1237" s="73"/>
      <c r="AY1237" s="73"/>
      <c r="AZ1237" s="73"/>
      <c r="BA1237" s="73"/>
      <c r="BB1237" s="73"/>
      <c r="BC1237" s="73"/>
      <c r="BD1237" s="73"/>
      <c r="BE1237" s="73"/>
      <c r="BF1237" s="73"/>
      <c r="BG1237" s="73"/>
      <c r="BH1237" s="73"/>
      <c r="BI1237" s="73"/>
      <c r="BJ1237" s="73"/>
      <c r="BK1237" s="73"/>
      <c r="BL1237" s="73"/>
      <c r="BM1237" s="73"/>
      <c r="BN1237" s="73"/>
      <c r="BO1237" s="73"/>
      <c r="BP1237" s="73"/>
      <c r="BQ1237" s="73"/>
      <c r="BR1237" s="73"/>
      <c r="BS1237" s="73"/>
      <c r="BT1237" s="73"/>
      <c r="BU1237" s="73"/>
      <c r="BV1237" s="73"/>
      <c r="BW1237" s="73"/>
      <c r="BX1237" s="73"/>
      <c r="BY1237" s="73"/>
      <c r="BZ1237" s="73"/>
      <c r="CA1237" s="73"/>
      <c r="CB1237" s="73"/>
      <c r="CC1237" s="73"/>
      <c r="CD1237" s="73"/>
      <c r="CE1237" s="73"/>
      <c r="CF1237" s="73"/>
      <c r="CG1237" s="73"/>
      <c r="CH1237" s="73"/>
      <c r="CI1237" s="73"/>
      <c r="CJ1237" s="73"/>
      <c r="CK1237" s="73"/>
      <c r="CL1237" s="73"/>
      <c r="CM1237" s="73"/>
      <c r="CN1237" s="73"/>
      <c r="CO1237" s="73"/>
      <c r="CP1237" s="73"/>
      <c r="CQ1237" s="73"/>
      <c r="CR1237" s="73"/>
      <c r="CS1237" s="73"/>
      <c r="CT1237" s="73"/>
      <c r="CU1237" s="73"/>
      <c r="CV1237" s="73"/>
      <c r="CW1237" s="73"/>
      <c r="CX1237" s="73"/>
      <c r="CY1237" s="73"/>
      <c r="CZ1237" s="73"/>
      <c r="DA1237" s="73"/>
      <c r="DB1237" s="73"/>
      <c r="DC1237" s="73"/>
      <c r="DD1237" s="73"/>
      <c r="DE1237" s="73"/>
      <c r="DF1237" s="73"/>
      <c r="DG1237" s="73"/>
      <c r="DH1237" s="73"/>
      <c r="DI1237" s="73"/>
      <c r="DJ1237" s="73"/>
      <c r="DK1237" s="73"/>
      <c r="DL1237" s="73"/>
      <c r="DM1237" s="73"/>
    </row>
    <row r="1238" spans="1:117" s="48" customFormat="1">
      <c r="A1238" s="73"/>
      <c r="T1238" s="73"/>
      <c r="U1238" s="73"/>
      <c r="V1238" s="73"/>
      <c r="W1238" s="73"/>
      <c r="X1238" s="73"/>
      <c r="Y1238" s="73"/>
      <c r="Z1238" s="73"/>
      <c r="AA1238" s="73"/>
      <c r="AB1238" s="73"/>
      <c r="AC1238" s="73"/>
      <c r="AD1238" s="73"/>
      <c r="AE1238" s="73"/>
      <c r="AF1238" s="73"/>
      <c r="AG1238" s="73"/>
      <c r="AH1238" s="73"/>
      <c r="AI1238" s="73"/>
      <c r="AJ1238" s="73"/>
      <c r="AK1238" s="73"/>
      <c r="AL1238" s="73"/>
      <c r="AM1238" s="73"/>
      <c r="AN1238" s="73"/>
      <c r="AO1238" s="73"/>
      <c r="AP1238" s="73"/>
      <c r="AQ1238" s="73"/>
      <c r="AR1238" s="73"/>
      <c r="AS1238" s="73"/>
      <c r="AT1238" s="73"/>
      <c r="AU1238" s="73"/>
      <c r="AV1238" s="73"/>
      <c r="AW1238" s="73"/>
      <c r="AX1238" s="73"/>
      <c r="AY1238" s="73"/>
      <c r="AZ1238" s="73"/>
      <c r="BA1238" s="73"/>
      <c r="BB1238" s="73"/>
      <c r="BC1238" s="73"/>
      <c r="BD1238" s="73"/>
      <c r="BE1238" s="73"/>
      <c r="BF1238" s="73"/>
      <c r="BG1238" s="73"/>
      <c r="BH1238" s="73"/>
      <c r="BI1238" s="73"/>
      <c r="BJ1238" s="73"/>
      <c r="BK1238" s="73"/>
      <c r="BL1238" s="73"/>
      <c r="BM1238" s="73"/>
      <c r="BN1238" s="73"/>
      <c r="BO1238" s="73"/>
      <c r="BP1238" s="73"/>
      <c r="BQ1238" s="73"/>
      <c r="BR1238" s="73"/>
      <c r="BS1238" s="73"/>
      <c r="BT1238" s="73"/>
      <c r="BU1238" s="73"/>
      <c r="BV1238" s="73"/>
      <c r="BW1238" s="73"/>
      <c r="BX1238" s="73"/>
      <c r="BY1238" s="73"/>
      <c r="BZ1238" s="73"/>
      <c r="CA1238" s="73"/>
      <c r="CB1238" s="73"/>
      <c r="CC1238" s="73"/>
      <c r="CD1238" s="73"/>
      <c r="CE1238" s="73"/>
      <c r="CF1238" s="73"/>
      <c r="CG1238" s="73"/>
      <c r="CH1238" s="73"/>
      <c r="CI1238" s="73"/>
      <c r="CJ1238" s="73"/>
      <c r="CK1238" s="73"/>
      <c r="CL1238" s="73"/>
      <c r="CM1238" s="73"/>
      <c r="CN1238" s="73"/>
      <c r="CO1238" s="73"/>
      <c r="CP1238" s="73"/>
      <c r="CQ1238" s="73"/>
      <c r="CR1238" s="73"/>
      <c r="CS1238" s="73"/>
      <c r="CT1238" s="73"/>
      <c r="CU1238" s="73"/>
      <c r="CV1238" s="73"/>
      <c r="CW1238" s="73"/>
      <c r="CX1238" s="73"/>
      <c r="CY1238" s="73"/>
      <c r="CZ1238" s="73"/>
      <c r="DA1238" s="73"/>
      <c r="DB1238" s="73"/>
      <c r="DC1238" s="73"/>
      <c r="DD1238" s="73"/>
      <c r="DE1238" s="73"/>
      <c r="DF1238" s="73"/>
      <c r="DG1238" s="73"/>
      <c r="DH1238" s="73"/>
      <c r="DI1238" s="73"/>
      <c r="DJ1238" s="73"/>
      <c r="DK1238" s="73"/>
      <c r="DL1238" s="73"/>
      <c r="DM1238" s="73"/>
    </row>
    <row r="1239" spans="1:117" s="48" customFormat="1">
      <c r="A1239" s="73"/>
      <c r="T1239" s="73"/>
      <c r="U1239" s="73"/>
      <c r="V1239" s="73"/>
      <c r="W1239" s="73"/>
      <c r="X1239" s="73"/>
      <c r="Y1239" s="73"/>
      <c r="Z1239" s="73"/>
      <c r="AA1239" s="73"/>
      <c r="AB1239" s="73"/>
      <c r="AC1239" s="73"/>
      <c r="AD1239" s="73"/>
      <c r="AE1239" s="73"/>
      <c r="AF1239" s="73"/>
      <c r="AG1239" s="73"/>
      <c r="AH1239" s="73"/>
      <c r="AI1239" s="73"/>
      <c r="AJ1239" s="73"/>
      <c r="AK1239" s="73"/>
      <c r="AL1239" s="73"/>
      <c r="AM1239" s="73"/>
      <c r="AN1239" s="73"/>
      <c r="AO1239" s="73"/>
      <c r="AP1239" s="73"/>
      <c r="AQ1239" s="73"/>
      <c r="AR1239" s="73"/>
      <c r="AS1239" s="73"/>
      <c r="AT1239" s="73"/>
      <c r="AU1239" s="73"/>
      <c r="AV1239" s="73"/>
      <c r="AW1239" s="73"/>
      <c r="AX1239" s="73"/>
      <c r="AY1239" s="73"/>
      <c r="AZ1239" s="73"/>
      <c r="BA1239" s="73"/>
      <c r="BB1239" s="73"/>
      <c r="BC1239" s="73"/>
      <c r="BD1239" s="73"/>
      <c r="BE1239" s="73"/>
      <c r="BF1239" s="73"/>
      <c r="BG1239" s="73"/>
      <c r="BH1239" s="73"/>
      <c r="BI1239" s="73"/>
      <c r="BJ1239" s="73"/>
      <c r="BK1239" s="73"/>
      <c r="BL1239" s="73"/>
      <c r="BM1239" s="73"/>
      <c r="BN1239" s="73"/>
      <c r="BO1239" s="73"/>
      <c r="BP1239" s="73"/>
      <c r="BQ1239" s="73"/>
      <c r="BR1239" s="73"/>
      <c r="BS1239" s="73"/>
      <c r="BT1239" s="73"/>
      <c r="BU1239" s="73"/>
      <c r="BV1239" s="73"/>
      <c r="BW1239" s="73"/>
      <c r="BX1239" s="73"/>
      <c r="BY1239" s="73"/>
      <c r="BZ1239" s="73"/>
      <c r="CA1239" s="73"/>
      <c r="CB1239" s="73"/>
      <c r="CC1239" s="73"/>
      <c r="CD1239" s="73"/>
      <c r="CE1239" s="73"/>
      <c r="CF1239" s="73"/>
      <c r="CG1239" s="73"/>
      <c r="CH1239" s="73"/>
      <c r="CI1239" s="73"/>
      <c r="CJ1239" s="73"/>
      <c r="CK1239" s="73"/>
      <c r="CL1239" s="73"/>
      <c r="CM1239" s="73"/>
      <c r="CN1239" s="73"/>
      <c r="CO1239" s="73"/>
      <c r="CP1239" s="73"/>
      <c r="CQ1239" s="73"/>
      <c r="CR1239" s="73"/>
      <c r="CS1239" s="73"/>
      <c r="CT1239" s="73"/>
      <c r="CU1239" s="73"/>
      <c r="CV1239" s="73"/>
      <c r="CW1239" s="73"/>
      <c r="CX1239" s="73"/>
      <c r="CY1239" s="73"/>
      <c r="CZ1239" s="73"/>
      <c r="DA1239" s="73"/>
      <c r="DB1239" s="73"/>
      <c r="DC1239" s="73"/>
      <c r="DD1239" s="73"/>
      <c r="DE1239" s="73"/>
      <c r="DF1239" s="73"/>
      <c r="DG1239" s="73"/>
      <c r="DH1239" s="73"/>
      <c r="DI1239" s="73"/>
      <c r="DJ1239" s="73"/>
      <c r="DK1239" s="73"/>
      <c r="DL1239" s="73"/>
      <c r="DM1239" s="73"/>
    </row>
    <row r="1240" spans="1:117" s="48" customFormat="1">
      <c r="A1240" s="73"/>
      <c r="T1240" s="73"/>
      <c r="U1240" s="73"/>
      <c r="V1240" s="73"/>
      <c r="W1240" s="73"/>
      <c r="X1240" s="73"/>
      <c r="Y1240" s="73"/>
      <c r="Z1240" s="73"/>
      <c r="AA1240" s="73"/>
      <c r="AB1240" s="73"/>
      <c r="AC1240" s="73"/>
      <c r="AD1240" s="73"/>
      <c r="AE1240" s="73"/>
      <c r="AF1240" s="73"/>
      <c r="AG1240" s="73"/>
      <c r="AH1240" s="73"/>
      <c r="AI1240" s="73"/>
      <c r="AJ1240" s="73"/>
      <c r="AK1240" s="73"/>
      <c r="AL1240" s="73"/>
      <c r="AM1240" s="73"/>
      <c r="AN1240" s="73"/>
      <c r="AO1240" s="73"/>
      <c r="AP1240" s="73"/>
      <c r="AQ1240" s="73"/>
      <c r="AR1240" s="73"/>
      <c r="AS1240" s="73"/>
      <c r="AT1240" s="73"/>
      <c r="AU1240" s="73"/>
      <c r="AV1240" s="73"/>
      <c r="AW1240" s="73"/>
      <c r="AX1240" s="73"/>
      <c r="AY1240" s="73"/>
      <c r="AZ1240" s="73"/>
      <c r="BA1240" s="73"/>
      <c r="BB1240" s="73"/>
      <c r="BC1240" s="73"/>
      <c r="BD1240" s="73"/>
      <c r="BE1240" s="73"/>
      <c r="BF1240" s="73"/>
      <c r="BG1240" s="73"/>
      <c r="BH1240" s="73"/>
      <c r="BI1240" s="73"/>
      <c r="BJ1240" s="73"/>
      <c r="BK1240" s="73"/>
      <c r="BL1240" s="73"/>
      <c r="BM1240" s="73"/>
      <c r="BN1240" s="73"/>
      <c r="BO1240" s="73"/>
      <c r="BP1240" s="73"/>
      <c r="BQ1240" s="73"/>
      <c r="BR1240" s="73"/>
      <c r="BS1240" s="73"/>
      <c r="BT1240" s="73"/>
      <c r="BU1240" s="73"/>
      <c r="BV1240" s="73"/>
      <c r="BW1240" s="73"/>
      <c r="BX1240" s="73"/>
      <c r="BY1240" s="73"/>
      <c r="BZ1240" s="73"/>
      <c r="CA1240" s="73"/>
      <c r="CB1240" s="73"/>
      <c r="CC1240" s="73"/>
      <c r="CD1240" s="73"/>
      <c r="CE1240" s="73"/>
      <c r="CF1240" s="73"/>
      <c r="CG1240" s="73"/>
      <c r="CH1240" s="73"/>
      <c r="CI1240" s="73"/>
      <c r="CJ1240" s="73"/>
      <c r="CK1240" s="73"/>
      <c r="CL1240" s="73"/>
      <c r="CM1240" s="73"/>
      <c r="CN1240" s="73"/>
      <c r="CO1240" s="73"/>
      <c r="CP1240" s="73"/>
      <c r="CQ1240" s="73"/>
      <c r="CR1240" s="73"/>
      <c r="CS1240" s="73"/>
      <c r="CT1240" s="73"/>
      <c r="CU1240" s="73"/>
      <c r="CV1240" s="73"/>
      <c r="CW1240" s="73"/>
      <c r="CX1240" s="73"/>
      <c r="CY1240" s="73"/>
      <c r="CZ1240" s="73"/>
      <c r="DA1240" s="73"/>
      <c r="DB1240" s="73"/>
      <c r="DC1240" s="73"/>
      <c r="DD1240" s="73"/>
      <c r="DE1240" s="73"/>
      <c r="DF1240" s="73"/>
      <c r="DG1240" s="73"/>
      <c r="DH1240" s="73"/>
      <c r="DI1240" s="73"/>
      <c r="DJ1240" s="73"/>
      <c r="DK1240" s="73"/>
      <c r="DL1240" s="73"/>
      <c r="DM1240" s="73"/>
    </row>
    <row r="1241" spans="1:117" s="48" customFormat="1">
      <c r="A1241" s="73"/>
      <c r="T1241" s="73"/>
      <c r="U1241" s="73"/>
      <c r="V1241" s="73"/>
      <c r="W1241" s="73"/>
      <c r="X1241" s="73"/>
      <c r="Y1241" s="73"/>
      <c r="Z1241" s="73"/>
      <c r="AA1241" s="73"/>
      <c r="AB1241" s="73"/>
      <c r="AC1241" s="73"/>
      <c r="AD1241" s="73"/>
      <c r="AE1241" s="73"/>
      <c r="AF1241" s="73"/>
      <c r="AG1241" s="73"/>
      <c r="AH1241" s="73"/>
      <c r="AI1241" s="73"/>
      <c r="AJ1241" s="73"/>
      <c r="AK1241" s="73"/>
      <c r="AL1241" s="73"/>
      <c r="AM1241" s="73"/>
      <c r="AN1241" s="73"/>
      <c r="AO1241" s="73"/>
      <c r="AP1241" s="73"/>
      <c r="AQ1241" s="73"/>
      <c r="AR1241" s="73"/>
      <c r="AS1241" s="73"/>
      <c r="AT1241" s="73"/>
      <c r="AU1241" s="73"/>
      <c r="AV1241" s="73"/>
      <c r="AW1241" s="73"/>
      <c r="AX1241" s="73"/>
      <c r="AY1241" s="73"/>
      <c r="AZ1241" s="73"/>
      <c r="BA1241" s="73"/>
      <c r="BB1241" s="73"/>
      <c r="BC1241" s="73"/>
      <c r="BD1241" s="73"/>
      <c r="BE1241" s="73"/>
      <c r="BF1241" s="73"/>
      <c r="BG1241" s="73"/>
      <c r="BH1241" s="73"/>
      <c r="BI1241" s="73"/>
      <c r="BJ1241" s="73"/>
      <c r="BK1241" s="73"/>
      <c r="BL1241" s="73"/>
      <c r="BM1241" s="73"/>
      <c r="BN1241" s="73"/>
      <c r="BO1241" s="73"/>
      <c r="BP1241" s="73"/>
      <c r="BQ1241" s="73"/>
      <c r="BR1241" s="73"/>
      <c r="BS1241" s="73"/>
      <c r="BT1241" s="73"/>
      <c r="BU1241" s="73"/>
      <c r="BV1241" s="73"/>
      <c r="BW1241" s="73"/>
      <c r="BX1241" s="73"/>
      <c r="BY1241" s="73"/>
      <c r="BZ1241" s="73"/>
      <c r="CA1241" s="73"/>
      <c r="CB1241" s="73"/>
      <c r="CC1241" s="73"/>
      <c r="CD1241" s="73"/>
      <c r="CE1241" s="73"/>
      <c r="CF1241" s="73"/>
      <c r="CG1241" s="73"/>
      <c r="CH1241" s="73"/>
      <c r="CI1241" s="73"/>
      <c r="CJ1241" s="73"/>
      <c r="CK1241" s="73"/>
      <c r="CL1241" s="73"/>
      <c r="CM1241" s="73"/>
      <c r="CN1241" s="73"/>
      <c r="CO1241" s="73"/>
      <c r="CP1241" s="73"/>
      <c r="CQ1241" s="73"/>
      <c r="CR1241" s="73"/>
      <c r="CS1241" s="73"/>
      <c r="CT1241" s="73"/>
      <c r="CU1241" s="73"/>
      <c r="CV1241" s="73"/>
      <c r="CW1241" s="73"/>
      <c r="CX1241" s="73"/>
      <c r="CY1241" s="73"/>
      <c r="CZ1241" s="73"/>
      <c r="DA1241" s="73"/>
      <c r="DB1241" s="73"/>
      <c r="DC1241" s="73"/>
      <c r="DD1241" s="73"/>
      <c r="DE1241" s="73"/>
      <c r="DF1241" s="73"/>
      <c r="DG1241" s="73"/>
      <c r="DH1241" s="73"/>
      <c r="DI1241" s="73"/>
      <c r="DJ1241" s="73"/>
      <c r="DK1241" s="73"/>
      <c r="DL1241" s="73"/>
      <c r="DM1241" s="73"/>
    </row>
    <row r="1242" spans="1:117" s="48" customFormat="1">
      <c r="A1242" s="73"/>
      <c r="T1242" s="73"/>
      <c r="U1242" s="73"/>
      <c r="V1242" s="73"/>
      <c r="W1242" s="73"/>
      <c r="X1242" s="73"/>
      <c r="Y1242" s="73"/>
      <c r="Z1242" s="73"/>
      <c r="AA1242" s="73"/>
      <c r="AB1242" s="73"/>
      <c r="AC1242" s="73"/>
      <c r="AD1242" s="73"/>
      <c r="AE1242" s="73"/>
      <c r="AF1242" s="73"/>
      <c r="AG1242" s="73"/>
      <c r="AH1242" s="73"/>
      <c r="AI1242" s="73"/>
      <c r="AJ1242" s="73"/>
      <c r="AK1242" s="73"/>
      <c r="AL1242" s="73"/>
      <c r="AM1242" s="73"/>
      <c r="AN1242" s="73"/>
      <c r="AO1242" s="73"/>
      <c r="AP1242" s="73"/>
      <c r="AQ1242" s="73"/>
      <c r="AR1242" s="73"/>
      <c r="AS1242" s="73"/>
      <c r="AT1242" s="73"/>
      <c r="AU1242" s="73"/>
      <c r="AV1242" s="73"/>
      <c r="AW1242" s="73"/>
      <c r="AX1242" s="73"/>
      <c r="AY1242" s="73"/>
      <c r="AZ1242" s="73"/>
      <c r="BA1242" s="73"/>
      <c r="BB1242" s="73"/>
      <c r="BC1242" s="73"/>
      <c r="BD1242" s="73"/>
      <c r="BE1242" s="73"/>
      <c r="BF1242" s="73"/>
      <c r="BG1242" s="73"/>
      <c r="BH1242" s="73"/>
      <c r="BI1242" s="73"/>
      <c r="BJ1242" s="73"/>
      <c r="BK1242" s="73"/>
      <c r="BL1242" s="73"/>
      <c r="BM1242" s="73"/>
      <c r="BN1242" s="73"/>
      <c r="BO1242" s="73"/>
      <c r="BP1242" s="73"/>
      <c r="BQ1242" s="73"/>
      <c r="BR1242" s="73"/>
      <c r="BS1242" s="73"/>
      <c r="BT1242" s="73"/>
      <c r="BU1242" s="73"/>
      <c r="BV1242" s="73"/>
      <c r="BW1242" s="73"/>
      <c r="BX1242" s="73"/>
      <c r="BY1242" s="73"/>
      <c r="BZ1242" s="73"/>
      <c r="CA1242" s="73"/>
      <c r="CB1242" s="73"/>
      <c r="CC1242" s="73"/>
      <c r="CD1242" s="73"/>
      <c r="CE1242" s="73"/>
      <c r="CF1242" s="73"/>
      <c r="CG1242" s="73"/>
      <c r="CH1242" s="73"/>
      <c r="CI1242" s="73"/>
      <c r="CJ1242" s="73"/>
      <c r="CK1242" s="73"/>
      <c r="CL1242" s="73"/>
      <c r="CM1242" s="73"/>
      <c r="CN1242" s="73"/>
      <c r="CO1242" s="73"/>
      <c r="CP1242" s="73"/>
      <c r="CQ1242" s="73"/>
      <c r="CR1242" s="73"/>
      <c r="CS1242" s="73"/>
      <c r="CT1242" s="73"/>
      <c r="CU1242" s="73"/>
      <c r="CV1242" s="73"/>
      <c r="CW1242" s="73"/>
      <c r="CX1242" s="73"/>
      <c r="CY1242" s="73"/>
      <c r="CZ1242" s="73"/>
      <c r="DA1242" s="73"/>
      <c r="DB1242" s="73"/>
      <c r="DC1242" s="73"/>
      <c r="DD1242" s="73"/>
      <c r="DE1242" s="73"/>
      <c r="DF1242" s="73"/>
      <c r="DG1242" s="73"/>
      <c r="DH1242" s="73"/>
      <c r="DI1242" s="73"/>
      <c r="DJ1242" s="73"/>
      <c r="DK1242" s="73"/>
      <c r="DL1242" s="73"/>
      <c r="DM1242" s="73"/>
    </row>
    <row r="1243" spans="1:117" s="48" customFormat="1">
      <c r="A1243" s="73"/>
      <c r="T1243" s="73"/>
      <c r="U1243" s="73"/>
      <c r="V1243" s="73"/>
      <c r="W1243" s="73"/>
      <c r="X1243" s="73"/>
      <c r="Y1243" s="73"/>
      <c r="Z1243" s="73"/>
      <c r="AA1243" s="73"/>
      <c r="AB1243" s="73"/>
      <c r="AC1243" s="73"/>
      <c r="AD1243" s="73"/>
      <c r="AE1243" s="73"/>
      <c r="AF1243" s="73"/>
      <c r="AG1243" s="73"/>
      <c r="AH1243" s="73"/>
      <c r="AI1243" s="73"/>
      <c r="AJ1243" s="73"/>
      <c r="AK1243" s="73"/>
      <c r="AL1243" s="73"/>
      <c r="AM1243" s="73"/>
      <c r="AN1243" s="73"/>
      <c r="AO1243" s="73"/>
      <c r="AP1243" s="73"/>
      <c r="AQ1243" s="73"/>
      <c r="AR1243" s="73"/>
      <c r="AS1243" s="73"/>
      <c r="AT1243" s="73"/>
      <c r="AU1243" s="73"/>
      <c r="AV1243" s="73"/>
      <c r="AW1243" s="73"/>
      <c r="AX1243" s="73"/>
      <c r="AY1243" s="73"/>
      <c r="AZ1243" s="73"/>
      <c r="BA1243" s="73"/>
      <c r="BB1243" s="73"/>
      <c r="BC1243" s="73"/>
      <c r="BD1243" s="73"/>
      <c r="BE1243" s="73"/>
      <c r="BF1243" s="73"/>
      <c r="BG1243" s="73"/>
      <c r="BH1243" s="73"/>
      <c r="BI1243" s="73"/>
      <c r="BJ1243" s="73"/>
      <c r="BK1243" s="73"/>
      <c r="BL1243" s="73"/>
      <c r="BM1243" s="73"/>
      <c r="BN1243" s="73"/>
      <c r="BO1243" s="73"/>
      <c r="BP1243" s="73"/>
      <c r="BQ1243" s="73"/>
      <c r="BR1243" s="73"/>
      <c r="BS1243" s="73"/>
      <c r="BT1243" s="73"/>
      <c r="BU1243" s="73"/>
      <c r="BV1243" s="73"/>
      <c r="BW1243" s="73"/>
      <c r="BX1243" s="73"/>
      <c r="BY1243" s="73"/>
      <c r="BZ1243" s="73"/>
      <c r="CA1243" s="73"/>
      <c r="CB1243" s="73"/>
      <c r="CC1243" s="73"/>
      <c r="CD1243" s="73"/>
      <c r="CE1243" s="73"/>
      <c r="CF1243" s="73"/>
      <c r="CG1243" s="73"/>
      <c r="CH1243" s="73"/>
      <c r="CI1243" s="73"/>
      <c r="CJ1243" s="73"/>
      <c r="CK1243" s="73"/>
      <c r="CL1243" s="73"/>
      <c r="CM1243" s="73"/>
      <c r="CN1243" s="73"/>
      <c r="CO1243" s="73"/>
      <c r="CP1243" s="73"/>
      <c r="CQ1243" s="73"/>
      <c r="CR1243" s="73"/>
      <c r="CS1243" s="73"/>
      <c r="CT1243" s="73"/>
      <c r="CU1243" s="73"/>
      <c r="CV1243" s="73"/>
      <c r="CW1243" s="73"/>
      <c r="CX1243" s="73"/>
      <c r="CY1243" s="73"/>
      <c r="CZ1243" s="73"/>
      <c r="DA1243" s="73"/>
      <c r="DB1243" s="73"/>
      <c r="DC1243" s="73"/>
      <c r="DD1243" s="73"/>
      <c r="DE1243" s="73"/>
      <c r="DF1243" s="73"/>
      <c r="DG1243" s="73"/>
      <c r="DH1243" s="73"/>
      <c r="DI1243" s="73"/>
      <c r="DJ1243" s="73"/>
      <c r="DK1243" s="73"/>
      <c r="DL1243" s="73"/>
      <c r="DM1243" s="73"/>
    </row>
    <row r="1244" spans="1:117" s="48" customFormat="1">
      <c r="A1244" s="73"/>
      <c r="T1244" s="73"/>
      <c r="U1244" s="73"/>
      <c r="V1244" s="73"/>
      <c r="W1244" s="73"/>
      <c r="X1244" s="73"/>
      <c r="Y1244" s="73"/>
      <c r="Z1244" s="73"/>
      <c r="AA1244" s="73"/>
      <c r="AB1244" s="73"/>
      <c r="AC1244" s="73"/>
      <c r="AD1244" s="73"/>
      <c r="AE1244" s="73"/>
      <c r="AF1244" s="73"/>
      <c r="AG1244" s="73"/>
      <c r="AH1244" s="73"/>
      <c r="AI1244" s="73"/>
      <c r="AJ1244" s="73"/>
      <c r="AK1244" s="73"/>
      <c r="AL1244" s="73"/>
      <c r="AM1244" s="73"/>
      <c r="AN1244" s="73"/>
      <c r="AO1244" s="73"/>
      <c r="AP1244" s="73"/>
      <c r="AQ1244" s="73"/>
      <c r="AR1244" s="73"/>
      <c r="AS1244" s="73"/>
      <c r="AT1244" s="73"/>
      <c r="AU1244" s="73"/>
      <c r="AV1244" s="73"/>
      <c r="AW1244" s="73"/>
      <c r="AX1244" s="73"/>
      <c r="AY1244" s="73"/>
      <c r="AZ1244" s="73"/>
      <c r="BA1244" s="73"/>
      <c r="BB1244" s="73"/>
      <c r="BC1244" s="73"/>
      <c r="BD1244" s="73"/>
      <c r="BE1244" s="73"/>
      <c r="BF1244" s="73"/>
      <c r="BG1244" s="73"/>
      <c r="BH1244" s="73"/>
      <c r="BI1244" s="73"/>
      <c r="BJ1244" s="73"/>
      <c r="BK1244" s="73"/>
      <c r="BL1244" s="73"/>
      <c r="BM1244" s="73"/>
      <c r="BN1244" s="73"/>
      <c r="BO1244" s="73"/>
      <c r="BP1244" s="73"/>
      <c r="BQ1244" s="73"/>
      <c r="BR1244" s="73"/>
      <c r="BS1244" s="73"/>
      <c r="BT1244" s="73"/>
      <c r="BU1244" s="73"/>
      <c r="BV1244" s="73"/>
      <c r="BW1244" s="73"/>
      <c r="BX1244" s="73"/>
      <c r="BY1244" s="73"/>
      <c r="BZ1244" s="73"/>
      <c r="CA1244" s="73"/>
      <c r="CB1244" s="73"/>
      <c r="CC1244" s="73"/>
      <c r="CD1244" s="73"/>
      <c r="CE1244" s="73"/>
      <c r="CF1244" s="73"/>
      <c r="CG1244" s="73"/>
      <c r="CH1244" s="73"/>
      <c r="CI1244" s="73"/>
      <c r="CJ1244" s="73"/>
      <c r="CK1244" s="73"/>
      <c r="CL1244" s="73"/>
      <c r="CM1244" s="73"/>
      <c r="CN1244" s="73"/>
      <c r="CO1244" s="73"/>
      <c r="CP1244" s="73"/>
      <c r="CQ1244" s="73"/>
      <c r="CR1244" s="73"/>
      <c r="CS1244" s="73"/>
      <c r="CT1244" s="73"/>
      <c r="CU1244" s="73"/>
      <c r="CV1244" s="73"/>
      <c r="CW1244" s="73"/>
      <c r="CX1244" s="73"/>
      <c r="CY1244" s="73"/>
      <c r="CZ1244" s="73"/>
      <c r="DA1244" s="73"/>
      <c r="DB1244" s="73"/>
      <c r="DC1244" s="73"/>
      <c r="DD1244" s="73"/>
      <c r="DE1244" s="73"/>
      <c r="DF1244" s="73"/>
      <c r="DG1244" s="73"/>
      <c r="DH1244" s="73"/>
      <c r="DI1244" s="73"/>
      <c r="DJ1244" s="73"/>
      <c r="DK1244" s="73"/>
      <c r="DL1244" s="73"/>
      <c r="DM1244" s="73"/>
    </row>
    <row r="1245" spans="1:117" s="48" customFormat="1">
      <c r="A1245" s="73"/>
      <c r="T1245" s="73"/>
      <c r="U1245" s="73"/>
      <c r="V1245" s="73"/>
      <c r="W1245" s="73"/>
      <c r="X1245" s="73"/>
      <c r="Y1245" s="73"/>
      <c r="Z1245" s="73"/>
      <c r="AA1245" s="73"/>
      <c r="AB1245" s="73"/>
      <c r="AC1245" s="73"/>
      <c r="AD1245" s="73"/>
      <c r="AE1245" s="73"/>
      <c r="AF1245" s="73"/>
      <c r="AG1245" s="73"/>
      <c r="AH1245" s="73"/>
      <c r="AI1245" s="73"/>
      <c r="AJ1245" s="73"/>
      <c r="AK1245" s="73"/>
      <c r="AL1245" s="73"/>
      <c r="AM1245" s="73"/>
      <c r="AN1245" s="73"/>
      <c r="AO1245" s="73"/>
      <c r="AP1245" s="73"/>
      <c r="AQ1245" s="73"/>
      <c r="AR1245" s="73"/>
      <c r="AS1245" s="73"/>
      <c r="AT1245" s="73"/>
      <c r="AU1245" s="73"/>
      <c r="AV1245" s="73"/>
      <c r="AW1245" s="73"/>
      <c r="AX1245" s="73"/>
      <c r="AY1245" s="73"/>
      <c r="AZ1245" s="73"/>
      <c r="BA1245" s="73"/>
      <c r="BB1245" s="73"/>
      <c r="BC1245" s="73"/>
      <c r="BD1245" s="73"/>
      <c r="BE1245" s="73"/>
      <c r="BF1245" s="73"/>
      <c r="BG1245" s="73"/>
      <c r="BH1245" s="73"/>
      <c r="BI1245" s="73"/>
      <c r="BJ1245" s="73"/>
      <c r="BK1245" s="73"/>
      <c r="BL1245" s="73"/>
      <c r="BM1245" s="73"/>
      <c r="BN1245" s="73"/>
      <c r="BO1245" s="73"/>
      <c r="BP1245" s="73"/>
      <c r="BQ1245" s="73"/>
      <c r="BR1245" s="73"/>
      <c r="BS1245" s="73"/>
      <c r="BT1245" s="73"/>
      <c r="BU1245" s="73"/>
      <c r="BV1245" s="73"/>
      <c r="BW1245" s="73"/>
      <c r="BX1245" s="73"/>
      <c r="BY1245" s="73"/>
      <c r="BZ1245" s="73"/>
      <c r="CA1245" s="73"/>
      <c r="CB1245" s="73"/>
      <c r="CC1245" s="73"/>
      <c r="CD1245" s="73"/>
      <c r="CE1245" s="73"/>
      <c r="CF1245" s="73"/>
      <c r="CG1245" s="73"/>
      <c r="CH1245" s="73"/>
      <c r="CI1245" s="73"/>
      <c r="CJ1245" s="73"/>
      <c r="CK1245" s="73"/>
      <c r="CL1245" s="73"/>
      <c r="CM1245" s="73"/>
      <c r="CN1245" s="73"/>
      <c r="CO1245" s="73"/>
      <c r="CP1245" s="73"/>
      <c r="CQ1245" s="73"/>
      <c r="CR1245" s="73"/>
      <c r="CS1245" s="73"/>
      <c r="CT1245" s="73"/>
      <c r="CU1245" s="73"/>
      <c r="CV1245" s="73"/>
      <c r="CW1245" s="73"/>
      <c r="CX1245" s="73"/>
      <c r="CY1245" s="73"/>
      <c r="CZ1245" s="73"/>
      <c r="DA1245" s="73"/>
      <c r="DB1245" s="73"/>
      <c r="DC1245" s="73"/>
      <c r="DD1245" s="73"/>
      <c r="DE1245" s="73"/>
      <c r="DF1245" s="73"/>
      <c r="DG1245" s="73"/>
      <c r="DH1245" s="73"/>
      <c r="DI1245" s="73"/>
      <c r="DJ1245" s="73"/>
      <c r="DK1245" s="73"/>
      <c r="DL1245" s="73"/>
      <c r="DM1245" s="73"/>
    </row>
    <row r="1246" spans="1:117" s="48" customFormat="1">
      <c r="A1246" s="73"/>
      <c r="T1246" s="73"/>
      <c r="U1246" s="73"/>
      <c r="V1246" s="73"/>
      <c r="W1246" s="73"/>
      <c r="X1246" s="73"/>
      <c r="Y1246" s="73"/>
      <c r="Z1246" s="73"/>
      <c r="AA1246" s="73"/>
      <c r="AB1246" s="73"/>
      <c r="AC1246" s="73"/>
      <c r="AD1246" s="73"/>
      <c r="AE1246" s="73"/>
      <c r="AF1246" s="73"/>
      <c r="AG1246" s="73"/>
      <c r="AH1246" s="73"/>
      <c r="AI1246" s="73"/>
      <c r="AJ1246" s="73"/>
      <c r="AK1246" s="73"/>
      <c r="AL1246" s="73"/>
      <c r="AM1246" s="73"/>
      <c r="AN1246" s="73"/>
      <c r="AO1246" s="73"/>
      <c r="AP1246" s="73"/>
      <c r="AQ1246" s="73"/>
      <c r="AR1246" s="73"/>
      <c r="AS1246" s="73"/>
      <c r="AT1246" s="73"/>
      <c r="AU1246" s="73"/>
      <c r="AV1246" s="73"/>
      <c r="AW1246" s="73"/>
      <c r="AX1246" s="73"/>
      <c r="AY1246" s="73"/>
      <c r="AZ1246" s="73"/>
      <c r="BA1246" s="73"/>
      <c r="BB1246" s="73"/>
      <c r="BC1246" s="73"/>
      <c r="BD1246" s="73"/>
      <c r="BE1246" s="73"/>
      <c r="BF1246" s="73"/>
      <c r="BG1246" s="73"/>
      <c r="BH1246" s="73"/>
      <c r="BI1246" s="73"/>
      <c r="BJ1246" s="73"/>
      <c r="BK1246" s="73"/>
      <c r="BL1246" s="73"/>
      <c r="BM1246" s="73"/>
      <c r="BN1246" s="73"/>
      <c r="BO1246" s="73"/>
      <c r="BP1246" s="73"/>
      <c r="BQ1246" s="73"/>
      <c r="BR1246" s="73"/>
      <c r="BS1246" s="73"/>
      <c r="BT1246" s="73"/>
      <c r="BU1246" s="73"/>
      <c r="BV1246" s="73"/>
      <c r="BW1246" s="73"/>
      <c r="BX1246" s="73"/>
      <c r="BY1246" s="73"/>
      <c r="BZ1246" s="73"/>
      <c r="CA1246" s="73"/>
      <c r="CB1246" s="73"/>
      <c r="CC1246" s="73"/>
      <c r="CD1246" s="73"/>
      <c r="CE1246" s="73"/>
      <c r="CF1246" s="73"/>
      <c r="CG1246" s="73"/>
      <c r="CH1246" s="73"/>
      <c r="CI1246" s="73"/>
      <c r="CJ1246" s="73"/>
      <c r="CK1246" s="73"/>
      <c r="CL1246" s="73"/>
      <c r="CM1246" s="73"/>
      <c r="CN1246" s="73"/>
      <c r="CO1246" s="73"/>
      <c r="CP1246" s="73"/>
      <c r="CQ1246" s="73"/>
      <c r="CR1246" s="73"/>
      <c r="CS1246" s="73"/>
      <c r="CT1246" s="73"/>
      <c r="CU1246" s="73"/>
      <c r="CV1246" s="73"/>
      <c r="CW1246" s="73"/>
      <c r="CX1246" s="73"/>
      <c r="CY1246" s="73"/>
      <c r="CZ1246" s="73"/>
      <c r="DA1246" s="73"/>
      <c r="DB1246" s="73"/>
      <c r="DC1246" s="73"/>
      <c r="DD1246" s="73"/>
      <c r="DE1246" s="73"/>
      <c r="DF1246" s="73"/>
      <c r="DG1246" s="73"/>
      <c r="DH1246" s="73"/>
      <c r="DI1246" s="73"/>
      <c r="DJ1246" s="73"/>
      <c r="DK1246" s="73"/>
      <c r="DL1246" s="73"/>
      <c r="DM1246" s="73"/>
    </row>
    <row r="1247" spans="1:117" s="48" customFormat="1">
      <c r="A1247" s="73"/>
      <c r="T1247" s="73"/>
      <c r="U1247" s="73"/>
      <c r="V1247" s="73"/>
      <c r="W1247" s="73"/>
      <c r="X1247" s="73"/>
      <c r="Y1247" s="73"/>
      <c r="Z1247" s="73"/>
      <c r="AA1247" s="73"/>
      <c r="AB1247" s="73"/>
      <c r="AC1247" s="73"/>
      <c r="AD1247" s="73"/>
      <c r="AE1247" s="73"/>
      <c r="AF1247" s="73"/>
      <c r="AG1247" s="73"/>
      <c r="AH1247" s="73"/>
      <c r="AI1247" s="73"/>
      <c r="AJ1247" s="73"/>
      <c r="AK1247" s="73"/>
      <c r="AL1247" s="73"/>
      <c r="AM1247" s="73"/>
      <c r="AN1247" s="73"/>
      <c r="AO1247" s="73"/>
      <c r="AP1247" s="73"/>
      <c r="AQ1247" s="73"/>
      <c r="AR1247" s="73"/>
      <c r="AS1247" s="73"/>
      <c r="AT1247" s="73"/>
      <c r="AU1247" s="73"/>
      <c r="AV1247" s="73"/>
      <c r="AW1247" s="73"/>
      <c r="AX1247" s="73"/>
      <c r="AY1247" s="73"/>
      <c r="AZ1247" s="73"/>
      <c r="BA1247" s="73"/>
      <c r="BB1247" s="73"/>
      <c r="BC1247" s="73"/>
      <c r="BD1247" s="73"/>
      <c r="BE1247" s="73"/>
      <c r="BF1247" s="73"/>
      <c r="BG1247" s="73"/>
      <c r="BH1247" s="73"/>
      <c r="BI1247" s="73"/>
      <c r="BJ1247" s="73"/>
      <c r="BK1247" s="73"/>
      <c r="BL1247" s="73"/>
      <c r="BM1247" s="73"/>
      <c r="BN1247" s="73"/>
      <c r="BO1247" s="73"/>
      <c r="BP1247" s="73"/>
      <c r="BQ1247" s="73"/>
      <c r="BR1247" s="73"/>
      <c r="BS1247" s="73"/>
      <c r="BT1247" s="73"/>
      <c r="BU1247" s="73"/>
      <c r="BV1247" s="73"/>
      <c r="BW1247" s="73"/>
      <c r="BX1247" s="73"/>
      <c r="BY1247" s="73"/>
      <c r="BZ1247" s="73"/>
      <c r="CA1247" s="73"/>
      <c r="CB1247" s="73"/>
      <c r="CC1247" s="73"/>
      <c r="CD1247" s="73"/>
      <c r="CE1247" s="73"/>
      <c r="CF1247" s="73"/>
      <c r="CG1247" s="73"/>
      <c r="CH1247" s="73"/>
      <c r="CI1247" s="73"/>
      <c r="CJ1247" s="73"/>
      <c r="CK1247" s="73"/>
      <c r="CL1247" s="73"/>
      <c r="CM1247" s="73"/>
      <c r="CN1247" s="73"/>
      <c r="CO1247" s="73"/>
      <c r="CP1247" s="73"/>
      <c r="CQ1247" s="73"/>
      <c r="CR1247" s="73"/>
      <c r="CS1247" s="73"/>
      <c r="CT1247" s="73"/>
      <c r="CU1247" s="73"/>
      <c r="CV1247" s="73"/>
      <c r="CW1247" s="73"/>
      <c r="CX1247" s="73"/>
      <c r="CY1247" s="73"/>
      <c r="CZ1247" s="73"/>
      <c r="DA1247" s="73"/>
      <c r="DB1247" s="73"/>
      <c r="DC1247" s="73"/>
      <c r="DD1247" s="73"/>
      <c r="DE1247" s="73"/>
      <c r="DF1247" s="73"/>
      <c r="DG1247" s="73"/>
      <c r="DH1247" s="73"/>
      <c r="DI1247" s="73"/>
      <c r="DJ1247" s="73"/>
      <c r="DK1247" s="73"/>
      <c r="DL1247" s="73"/>
      <c r="DM1247" s="73"/>
    </row>
    <row r="1248" spans="1:117" s="48" customFormat="1">
      <c r="A1248" s="73"/>
      <c r="T1248" s="73"/>
      <c r="U1248" s="73"/>
      <c r="V1248" s="73"/>
      <c r="W1248" s="73"/>
      <c r="X1248" s="73"/>
      <c r="Y1248" s="73"/>
      <c r="Z1248" s="73"/>
      <c r="AA1248" s="73"/>
      <c r="AB1248" s="73"/>
      <c r="AC1248" s="73"/>
      <c r="AD1248" s="73"/>
      <c r="AE1248" s="73"/>
      <c r="AF1248" s="73"/>
      <c r="AG1248" s="73"/>
      <c r="AH1248" s="73"/>
      <c r="AI1248" s="73"/>
      <c r="AJ1248" s="73"/>
      <c r="AK1248" s="73"/>
      <c r="AL1248" s="73"/>
      <c r="AM1248" s="73"/>
      <c r="AN1248" s="73"/>
      <c r="AO1248" s="73"/>
      <c r="AP1248" s="73"/>
      <c r="AQ1248" s="73"/>
      <c r="AR1248" s="73"/>
      <c r="AS1248" s="73"/>
      <c r="AT1248" s="73"/>
      <c r="AU1248" s="73"/>
      <c r="AV1248" s="73"/>
      <c r="AW1248" s="73"/>
      <c r="AX1248" s="73"/>
      <c r="AY1248" s="73"/>
      <c r="AZ1248" s="73"/>
      <c r="BA1248" s="73"/>
      <c r="BB1248" s="73"/>
      <c r="BC1248" s="73"/>
      <c r="BD1248" s="73"/>
      <c r="BE1248" s="73"/>
      <c r="BF1248" s="73"/>
      <c r="BG1248" s="73"/>
      <c r="BH1248" s="73"/>
      <c r="BI1248" s="73"/>
      <c r="BJ1248" s="73"/>
      <c r="BK1248" s="73"/>
      <c r="BL1248" s="73"/>
      <c r="BM1248" s="73"/>
      <c r="BN1248" s="73"/>
      <c r="BO1248" s="73"/>
      <c r="BP1248" s="73"/>
      <c r="BQ1248" s="73"/>
      <c r="BR1248" s="73"/>
      <c r="BS1248" s="73"/>
      <c r="BT1248" s="73"/>
      <c r="BU1248" s="73"/>
      <c r="BV1248" s="73"/>
      <c r="BW1248" s="73"/>
      <c r="BX1248" s="73"/>
      <c r="BY1248" s="73"/>
      <c r="BZ1248" s="73"/>
      <c r="CA1248" s="73"/>
      <c r="CB1248" s="73"/>
      <c r="CC1248" s="73"/>
      <c r="CD1248" s="73"/>
      <c r="CE1248" s="73"/>
      <c r="CF1248" s="73"/>
      <c r="CG1248" s="73"/>
      <c r="CH1248" s="73"/>
      <c r="CI1248" s="73"/>
      <c r="CJ1248" s="73"/>
      <c r="CK1248" s="73"/>
      <c r="CL1248" s="73"/>
      <c r="CM1248" s="73"/>
      <c r="CN1248" s="73"/>
      <c r="CO1248" s="73"/>
      <c r="CP1248" s="73"/>
      <c r="CQ1248" s="73"/>
      <c r="CR1248" s="73"/>
      <c r="CS1248" s="73"/>
      <c r="CT1248" s="73"/>
      <c r="CU1248" s="73"/>
      <c r="CV1248" s="73"/>
      <c r="CW1248" s="73"/>
      <c r="CX1248" s="73"/>
      <c r="CY1248" s="73"/>
      <c r="CZ1248" s="73"/>
      <c r="DA1248" s="73"/>
      <c r="DB1248" s="73"/>
      <c r="DC1248" s="73"/>
      <c r="DD1248" s="73"/>
      <c r="DE1248" s="73"/>
      <c r="DF1248" s="73"/>
      <c r="DG1248" s="73"/>
      <c r="DH1248" s="73"/>
      <c r="DI1248" s="73"/>
      <c r="DJ1248" s="73"/>
      <c r="DK1248" s="73"/>
      <c r="DL1248" s="73"/>
      <c r="DM1248" s="73"/>
    </row>
    <row r="1249" spans="1:117" s="48" customFormat="1">
      <c r="A1249" s="73"/>
      <c r="T1249" s="73"/>
      <c r="U1249" s="73"/>
      <c r="V1249" s="73"/>
      <c r="W1249" s="73"/>
      <c r="X1249" s="73"/>
      <c r="Y1249" s="73"/>
      <c r="Z1249" s="73"/>
      <c r="AA1249" s="73"/>
      <c r="AB1249" s="73"/>
      <c r="AC1249" s="73"/>
      <c r="AD1249" s="73"/>
      <c r="AE1249" s="73"/>
      <c r="AF1249" s="73"/>
      <c r="AG1249" s="73"/>
      <c r="AH1249" s="73"/>
      <c r="AI1249" s="73"/>
      <c r="AJ1249" s="73"/>
      <c r="AK1249" s="73"/>
      <c r="AL1249" s="73"/>
      <c r="AM1249" s="73"/>
      <c r="AN1249" s="73"/>
      <c r="AO1249" s="73"/>
      <c r="AP1249" s="73"/>
      <c r="AQ1249" s="73"/>
      <c r="AR1249" s="73"/>
      <c r="AS1249" s="73"/>
      <c r="AT1249" s="73"/>
      <c r="AU1249" s="73"/>
      <c r="AV1249" s="73"/>
      <c r="AW1249" s="73"/>
      <c r="AX1249" s="73"/>
      <c r="AY1249" s="73"/>
      <c r="AZ1249" s="73"/>
      <c r="BA1249" s="73"/>
      <c r="BB1249" s="73"/>
      <c r="BC1249" s="73"/>
      <c r="BD1249" s="73"/>
      <c r="BE1249" s="73"/>
      <c r="BF1249" s="73"/>
      <c r="BG1249" s="73"/>
      <c r="BH1249" s="73"/>
      <c r="BI1249" s="73"/>
      <c r="BJ1249" s="73"/>
      <c r="BK1249" s="73"/>
      <c r="BL1249" s="73"/>
      <c r="BM1249" s="73"/>
      <c r="BN1249" s="73"/>
      <c r="BO1249" s="73"/>
      <c r="BP1249" s="73"/>
      <c r="BQ1249" s="73"/>
      <c r="BR1249" s="73"/>
      <c r="BS1249" s="73"/>
      <c r="BT1249" s="73"/>
      <c r="BU1249" s="73"/>
      <c r="BV1249" s="73"/>
      <c r="BW1249" s="73"/>
      <c r="BX1249" s="73"/>
      <c r="BY1249" s="73"/>
      <c r="BZ1249" s="73"/>
      <c r="CA1249" s="73"/>
      <c r="CB1249" s="73"/>
      <c r="CC1249" s="73"/>
      <c r="CD1249" s="73"/>
      <c r="CE1249" s="73"/>
      <c r="CF1249" s="73"/>
      <c r="CG1249" s="73"/>
      <c r="CH1249" s="73"/>
      <c r="CI1249" s="73"/>
      <c r="CJ1249" s="73"/>
      <c r="CK1249" s="73"/>
      <c r="CL1249" s="73"/>
      <c r="CM1249" s="73"/>
      <c r="CN1249" s="73"/>
      <c r="CO1249" s="73"/>
      <c r="CP1249" s="73"/>
      <c r="CQ1249" s="73"/>
      <c r="CR1249" s="73"/>
      <c r="CS1249" s="73"/>
      <c r="CT1249" s="73"/>
      <c r="CU1249" s="73"/>
      <c r="CV1249" s="73"/>
      <c r="CW1249" s="73"/>
      <c r="CX1249" s="73"/>
      <c r="CY1249" s="73"/>
      <c r="CZ1249" s="73"/>
      <c r="DA1249" s="73"/>
      <c r="DB1249" s="73"/>
      <c r="DC1249" s="73"/>
      <c r="DD1249" s="73"/>
      <c r="DE1249" s="73"/>
      <c r="DF1249" s="73"/>
      <c r="DG1249" s="73"/>
      <c r="DH1249" s="73"/>
      <c r="DI1249" s="73"/>
      <c r="DJ1249" s="73"/>
      <c r="DK1249" s="73"/>
      <c r="DL1249" s="73"/>
      <c r="DM1249" s="73"/>
    </row>
    <row r="1250" spans="1:117" s="48" customFormat="1">
      <c r="A1250" s="73"/>
      <c r="T1250" s="73"/>
      <c r="U1250" s="73"/>
      <c r="V1250" s="73"/>
      <c r="W1250" s="73"/>
      <c r="X1250" s="73"/>
      <c r="Y1250" s="73"/>
      <c r="Z1250" s="73"/>
      <c r="AA1250" s="73"/>
      <c r="AB1250" s="73"/>
      <c r="AC1250" s="73"/>
      <c r="AD1250" s="73"/>
      <c r="AE1250" s="73"/>
      <c r="AF1250" s="73"/>
      <c r="AG1250" s="73"/>
      <c r="AH1250" s="73"/>
      <c r="AI1250" s="73"/>
      <c r="AJ1250" s="73"/>
      <c r="AK1250" s="73"/>
      <c r="AL1250" s="73"/>
      <c r="AM1250" s="73"/>
      <c r="AN1250" s="73"/>
      <c r="AO1250" s="73"/>
      <c r="AP1250" s="73"/>
      <c r="AQ1250" s="73"/>
      <c r="AR1250" s="73"/>
      <c r="AS1250" s="73"/>
      <c r="AT1250" s="73"/>
      <c r="AU1250" s="73"/>
      <c r="AV1250" s="73"/>
      <c r="AW1250" s="73"/>
      <c r="AX1250" s="73"/>
      <c r="AY1250" s="73"/>
      <c r="AZ1250" s="73"/>
      <c r="BA1250" s="73"/>
      <c r="BB1250" s="73"/>
      <c r="BC1250" s="73"/>
      <c r="BD1250" s="73"/>
      <c r="BE1250" s="73"/>
      <c r="BF1250" s="73"/>
      <c r="BG1250" s="73"/>
      <c r="BH1250" s="73"/>
      <c r="BI1250" s="73"/>
      <c r="BJ1250" s="73"/>
      <c r="BK1250" s="73"/>
      <c r="BL1250" s="73"/>
      <c r="BM1250" s="73"/>
      <c r="BN1250" s="73"/>
      <c r="BO1250" s="73"/>
      <c r="BP1250" s="73"/>
      <c r="BQ1250" s="73"/>
      <c r="BR1250" s="73"/>
      <c r="BS1250" s="73"/>
      <c r="BT1250" s="73"/>
      <c r="BU1250" s="73"/>
      <c r="BV1250" s="73"/>
      <c r="BW1250" s="73"/>
      <c r="BX1250" s="73"/>
      <c r="BY1250" s="73"/>
      <c r="BZ1250" s="73"/>
      <c r="CA1250" s="73"/>
      <c r="CB1250" s="73"/>
      <c r="CC1250" s="73"/>
      <c r="CD1250" s="73"/>
      <c r="CE1250" s="73"/>
      <c r="CF1250" s="73"/>
      <c r="CG1250" s="73"/>
      <c r="CH1250" s="73"/>
      <c r="CI1250" s="73"/>
      <c r="CJ1250" s="73"/>
      <c r="CK1250" s="73"/>
      <c r="CL1250" s="73"/>
      <c r="CM1250" s="73"/>
      <c r="CN1250" s="73"/>
      <c r="CO1250" s="73"/>
      <c r="CP1250" s="73"/>
      <c r="CQ1250" s="73"/>
      <c r="CR1250" s="73"/>
      <c r="CS1250" s="73"/>
      <c r="CT1250" s="73"/>
      <c r="CU1250" s="73"/>
      <c r="CV1250" s="73"/>
      <c r="CW1250" s="73"/>
      <c r="CX1250" s="73"/>
      <c r="CY1250" s="73"/>
      <c r="CZ1250" s="73"/>
      <c r="DA1250" s="73"/>
      <c r="DB1250" s="73"/>
      <c r="DC1250" s="73"/>
      <c r="DD1250" s="73"/>
      <c r="DE1250" s="73"/>
      <c r="DF1250" s="73"/>
      <c r="DG1250" s="73"/>
      <c r="DH1250" s="73"/>
      <c r="DI1250" s="73"/>
      <c r="DJ1250" s="73"/>
      <c r="DK1250" s="73"/>
      <c r="DL1250" s="73"/>
      <c r="DM1250" s="73"/>
    </row>
    <row r="1251" spans="1:117" s="48" customFormat="1">
      <c r="A1251" s="73"/>
      <c r="T1251" s="73"/>
      <c r="U1251" s="73"/>
      <c r="V1251" s="73"/>
      <c r="W1251" s="73"/>
      <c r="X1251" s="73"/>
      <c r="Y1251" s="73"/>
      <c r="Z1251" s="73"/>
      <c r="AA1251" s="73"/>
      <c r="AB1251" s="73"/>
      <c r="AC1251" s="73"/>
      <c r="AD1251" s="73"/>
      <c r="AE1251" s="73"/>
      <c r="AF1251" s="73"/>
      <c r="AG1251" s="73"/>
      <c r="AH1251" s="73"/>
      <c r="AI1251" s="73"/>
      <c r="AJ1251" s="73"/>
      <c r="AK1251" s="73"/>
      <c r="AL1251" s="73"/>
      <c r="AM1251" s="73"/>
      <c r="AN1251" s="73"/>
      <c r="AO1251" s="73"/>
      <c r="AP1251" s="73"/>
      <c r="AQ1251" s="73"/>
      <c r="AR1251" s="73"/>
      <c r="AS1251" s="73"/>
      <c r="AT1251" s="73"/>
      <c r="AU1251" s="73"/>
      <c r="AV1251" s="73"/>
      <c r="AW1251" s="73"/>
      <c r="AX1251" s="73"/>
      <c r="AY1251" s="73"/>
      <c r="AZ1251" s="73"/>
      <c r="BA1251" s="73"/>
      <c r="BB1251" s="73"/>
      <c r="BC1251" s="73"/>
      <c r="BD1251" s="73"/>
      <c r="BE1251" s="73"/>
      <c r="BF1251" s="73"/>
      <c r="BG1251" s="73"/>
      <c r="BH1251" s="73"/>
      <c r="BI1251" s="73"/>
      <c r="BJ1251" s="73"/>
      <c r="BK1251" s="73"/>
      <c r="BL1251" s="73"/>
      <c r="BM1251" s="73"/>
      <c r="BN1251" s="73"/>
      <c r="BO1251" s="73"/>
      <c r="BP1251" s="73"/>
      <c r="BQ1251" s="73"/>
      <c r="BR1251" s="73"/>
      <c r="BS1251" s="73"/>
      <c r="BT1251" s="73"/>
      <c r="BU1251" s="73"/>
      <c r="BV1251" s="73"/>
      <c r="BW1251" s="73"/>
      <c r="BX1251" s="73"/>
      <c r="BY1251" s="73"/>
      <c r="BZ1251" s="73"/>
      <c r="CA1251" s="73"/>
      <c r="CB1251" s="73"/>
      <c r="CC1251" s="73"/>
      <c r="CD1251" s="73"/>
      <c r="CE1251" s="73"/>
      <c r="CF1251" s="73"/>
      <c r="CG1251" s="73"/>
      <c r="CH1251" s="73"/>
      <c r="CI1251" s="73"/>
      <c r="CJ1251" s="73"/>
      <c r="CK1251" s="73"/>
      <c r="CL1251" s="73"/>
      <c r="CM1251" s="73"/>
      <c r="CN1251" s="73"/>
      <c r="CO1251" s="73"/>
      <c r="CP1251" s="73"/>
      <c r="CQ1251" s="73"/>
      <c r="CR1251" s="73"/>
      <c r="CS1251" s="73"/>
      <c r="CT1251" s="73"/>
      <c r="CU1251" s="73"/>
      <c r="CV1251" s="73"/>
      <c r="CW1251" s="73"/>
      <c r="CX1251" s="73"/>
      <c r="CY1251" s="73"/>
      <c r="CZ1251" s="73"/>
      <c r="DA1251" s="73"/>
      <c r="DB1251" s="73"/>
      <c r="DC1251" s="73"/>
      <c r="DD1251" s="73"/>
      <c r="DE1251" s="73"/>
      <c r="DF1251" s="73"/>
      <c r="DG1251" s="73"/>
      <c r="DH1251" s="73"/>
      <c r="DI1251" s="73"/>
      <c r="DJ1251" s="73"/>
      <c r="DK1251" s="73"/>
      <c r="DL1251" s="73"/>
      <c r="DM1251" s="73"/>
    </row>
    <row r="1252" spans="1:117" s="48" customFormat="1">
      <c r="A1252" s="73"/>
      <c r="T1252" s="73"/>
      <c r="U1252" s="73"/>
      <c r="V1252" s="73"/>
      <c r="W1252" s="73"/>
      <c r="X1252" s="73"/>
      <c r="Y1252" s="73"/>
      <c r="Z1252" s="73"/>
      <c r="AA1252" s="73"/>
      <c r="AB1252" s="73"/>
      <c r="AC1252" s="73"/>
      <c r="AD1252" s="73"/>
      <c r="AE1252" s="73"/>
      <c r="AF1252" s="73"/>
      <c r="AG1252" s="73"/>
      <c r="AH1252" s="73"/>
      <c r="AI1252" s="73"/>
      <c r="AJ1252" s="73"/>
      <c r="AK1252" s="73"/>
      <c r="AL1252" s="73"/>
      <c r="AM1252" s="73"/>
      <c r="AN1252" s="73"/>
      <c r="AO1252" s="73"/>
      <c r="AP1252" s="73"/>
      <c r="AQ1252" s="73"/>
      <c r="AR1252" s="73"/>
      <c r="AS1252" s="73"/>
      <c r="AT1252" s="73"/>
      <c r="AU1252" s="73"/>
      <c r="AV1252" s="73"/>
      <c r="AW1252" s="73"/>
      <c r="AX1252" s="73"/>
      <c r="AY1252" s="73"/>
      <c r="AZ1252" s="73"/>
      <c r="BA1252" s="73"/>
      <c r="BB1252" s="73"/>
      <c r="BC1252" s="73"/>
      <c r="BD1252" s="73"/>
      <c r="BE1252" s="73"/>
      <c r="BF1252" s="73"/>
      <c r="BG1252" s="73"/>
      <c r="BH1252" s="73"/>
      <c r="BI1252" s="73"/>
      <c r="BJ1252" s="73"/>
      <c r="BK1252" s="73"/>
      <c r="BL1252" s="73"/>
      <c r="BM1252" s="73"/>
      <c r="BN1252" s="73"/>
      <c r="BO1252" s="73"/>
      <c r="BP1252" s="73"/>
      <c r="BQ1252" s="73"/>
      <c r="BR1252" s="73"/>
      <c r="BS1252" s="73"/>
      <c r="BT1252" s="73"/>
      <c r="BU1252" s="73"/>
      <c r="BV1252" s="73"/>
      <c r="BW1252" s="73"/>
      <c r="BX1252" s="73"/>
      <c r="BY1252" s="73"/>
      <c r="BZ1252" s="73"/>
      <c r="CA1252" s="73"/>
      <c r="CB1252" s="73"/>
      <c r="CC1252" s="73"/>
      <c r="CD1252" s="73"/>
      <c r="CE1252" s="73"/>
      <c r="CF1252" s="73"/>
      <c r="CG1252" s="73"/>
      <c r="CH1252" s="73"/>
      <c r="CI1252" s="73"/>
      <c r="CJ1252" s="73"/>
      <c r="CK1252" s="73"/>
      <c r="CL1252" s="73"/>
      <c r="CM1252" s="73"/>
      <c r="CN1252" s="73"/>
      <c r="CO1252" s="73"/>
      <c r="CP1252" s="73"/>
      <c r="CQ1252" s="73"/>
      <c r="CR1252" s="73"/>
      <c r="CS1252" s="73"/>
      <c r="CT1252" s="73"/>
      <c r="CU1252" s="73"/>
      <c r="CV1252" s="73"/>
      <c r="CW1252" s="73"/>
      <c r="CX1252" s="73"/>
      <c r="CY1252" s="73"/>
      <c r="CZ1252" s="73"/>
      <c r="DA1252" s="73"/>
      <c r="DB1252" s="73"/>
      <c r="DC1252" s="73"/>
      <c r="DD1252" s="73"/>
      <c r="DE1252" s="73"/>
      <c r="DF1252" s="73"/>
      <c r="DG1252" s="73"/>
      <c r="DH1252" s="73"/>
      <c r="DI1252" s="73"/>
      <c r="DJ1252" s="73"/>
      <c r="DK1252" s="73"/>
      <c r="DL1252" s="73"/>
      <c r="DM1252" s="73"/>
    </row>
    <row r="1253" spans="1:117" s="48" customFormat="1">
      <c r="A1253" s="73"/>
      <c r="T1253" s="73"/>
      <c r="U1253" s="73"/>
      <c r="V1253" s="73"/>
      <c r="W1253" s="73"/>
      <c r="X1253" s="73"/>
      <c r="Y1253" s="73"/>
      <c r="Z1253" s="73"/>
      <c r="AA1253" s="73"/>
      <c r="AB1253" s="73"/>
      <c r="AC1253" s="73"/>
      <c r="AD1253" s="73"/>
      <c r="AE1253" s="73"/>
      <c r="AF1253" s="73"/>
      <c r="AG1253" s="73"/>
      <c r="AH1253" s="73"/>
      <c r="AI1253" s="73"/>
      <c r="AJ1253" s="73"/>
      <c r="AK1253" s="73"/>
      <c r="AL1253" s="73"/>
      <c r="AM1253" s="73"/>
      <c r="AN1253" s="73"/>
      <c r="AO1253" s="73"/>
      <c r="AP1253" s="73"/>
      <c r="AQ1253" s="73"/>
      <c r="AR1253" s="73"/>
      <c r="AS1253" s="73"/>
      <c r="AT1253" s="73"/>
      <c r="AU1253" s="73"/>
      <c r="AV1253" s="73"/>
      <c r="AW1253" s="73"/>
      <c r="AX1253" s="73"/>
      <c r="AY1253" s="73"/>
      <c r="AZ1253" s="73"/>
      <c r="BA1253" s="73"/>
      <c r="BB1253" s="73"/>
      <c r="BC1253" s="73"/>
      <c r="BD1253" s="73"/>
      <c r="BE1253" s="73"/>
      <c r="BF1253" s="73"/>
      <c r="BG1253" s="73"/>
      <c r="BH1253" s="73"/>
      <c r="BI1253" s="73"/>
      <c r="BJ1253" s="73"/>
      <c r="BK1253" s="73"/>
      <c r="BL1253" s="73"/>
      <c r="BM1253" s="73"/>
      <c r="BN1253" s="73"/>
      <c r="BO1253" s="73"/>
      <c r="BP1253" s="73"/>
      <c r="BQ1253" s="73"/>
      <c r="BR1253" s="73"/>
      <c r="BS1253" s="73"/>
      <c r="BT1253" s="73"/>
      <c r="BU1253" s="73"/>
      <c r="BV1253" s="73"/>
      <c r="BW1253" s="73"/>
      <c r="BX1253" s="73"/>
      <c r="BY1253" s="73"/>
      <c r="BZ1253" s="73"/>
      <c r="CA1253" s="73"/>
      <c r="CB1253" s="73"/>
      <c r="CC1253" s="73"/>
      <c r="CD1253" s="73"/>
      <c r="CE1253" s="73"/>
      <c r="CF1253" s="73"/>
      <c r="CG1253" s="73"/>
      <c r="CH1253" s="73"/>
      <c r="CI1253" s="73"/>
      <c r="CJ1253" s="73"/>
      <c r="CK1253" s="73"/>
      <c r="CL1253" s="73"/>
      <c r="CM1253" s="73"/>
      <c r="CN1253" s="73"/>
      <c r="CO1253" s="73"/>
      <c r="CP1253" s="73"/>
      <c r="CQ1253" s="73"/>
      <c r="CR1253" s="73"/>
      <c r="CS1253" s="73"/>
      <c r="CT1253" s="73"/>
      <c r="CU1253" s="73"/>
      <c r="CV1253" s="73"/>
      <c r="CW1253" s="73"/>
      <c r="CX1253" s="73"/>
      <c r="CY1253" s="73"/>
      <c r="CZ1253" s="73"/>
      <c r="DA1253" s="73"/>
      <c r="DB1253" s="73"/>
      <c r="DC1253" s="73"/>
      <c r="DD1253" s="73"/>
      <c r="DE1253" s="73"/>
      <c r="DF1253" s="73"/>
      <c r="DG1253" s="73"/>
      <c r="DH1253" s="73"/>
      <c r="DI1253" s="73"/>
      <c r="DJ1253" s="73"/>
      <c r="DK1253" s="73"/>
      <c r="DL1253" s="73"/>
      <c r="DM1253" s="73"/>
    </row>
    <row r="1254" spans="1:117" s="48" customFormat="1">
      <c r="A1254" s="73"/>
      <c r="T1254" s="73"/>
      <c r="U1254" s="73"/>
      <c r="V1254" s="73"/>
      <c r="W1254" s="73"/>
      <c r="X1254" s="73"/>
      <c r="Y1254" s="73"/>
      <c r="Z1254" s="73"/>
      <c r="AA1254" s="73"/>
      <c r="AB1254" s="73"/>
      <c r="AC1254" s="73"/>
      <c r="AD1254" s="73"/>
      <c r="AE1254" s="73"/>
      <c r="AF1254" s="73"/>
      <c r="AG1254" s="73"/>
      <c r="AH1254" s="73"/>
      <c r="AI1254" s="73"/>
      <c r="AJ1254" s="73"/>
      <c r="AK1254" s="73"/>
      <c r="AL1254" s="73"/>
      <c r="AM1254" s="73"/>
      <c r="AN1254" s="73"/>
      <c r="AO1254" s="73"/>
      <c r="AP1254" s="73"/>
      <c r="AQ1254" s="73"/>
      <c r="AR1254" s="73"/>
      <c r="AS1254" s="73"/>
      <c r="AT1254" s="73"/>
      <c r="AU1254" s="73"/>
      <c r="AV1254" s="73"/>
      <c r="AW1254" s="73"/>
      <c r="AX1254" s="73"/>
      <c r="AY1254" s="73"/>
      <c r="AZ1254" s="73"/>
      <c r="BA1254" s="73"/>
      <c r="BB1254" s="73"/>
      <c r="BC1254" s="73"/>
      <c r="BD1254" s="73"/>
      <c r="BE1254" s="73"/>
      <c r="BF1254" s="73"/>
      <c r="BG1254" s="73"/>
      <c r="BH1254" s="73"/>
      <c r="BI1254" s="73"/>
      <c r="BJ1254" s="73"/>
      <c r="BK1254" s="73"/>
      <c r="BL1254" s="73"/>
      <c r="BM1254" s="73"/>
      <c r="BN1254" s="73"/>
      <c r="BO1254" s="73"/>
      <c r="BP1254" s="73"/>
      <c r="BQ1254" s="73"/>
      <c r="BR1254" s="73"/>
      <c r="BS1254" s="73"/>
      <c r="BT1254" s="73"/>
      <c r="BU1254" s="73"/>
      <c r="BV1254" s="73"/>
      <c r="BW1254" s="73"/>
      <c r="BX1254" s="73"/>
      <c r="BY1254" s="73"/>
      <c r="BZ1254" s="73"/>
      <c r="CA1254" s="73"/>
      <c r="CB1254" s="73"/>
      <c r="CC1254" s="73"/>
      <c r="CD1254" s="73"/>
      <c r="CE1254" s="73"/>
      <c r="CF1254" s="73"/>
      <c r="CG1254" s="73"/>
      <c r="CH1254" s="73"/>
      <c r="CI1254" s="73"/>
      <c r="CJ1254" s="73"/>
      <c r="CK1254" s="73"/>
      <c r="CL1254" s="73"/>
      <c r="CM1254" s="73"/>
      <c r="CN1254" s="73"/>
      <c r="CO1254" s="73"/>
      <c r="CP1254" s="73"/>
      <c r="CQ1254" s="73"/>
      <c r="CR1254" s="73"/>
      <c r="CS1254" s="73"/>
      <c r="CT1254" s="73"/>
      <c r="CU1254" s="73"/>
      <c r="CV1254" s="73"/>
      <c r="CW1254" s="73"/>
      <c r="CX1254" s="73"/>
      <c r="CY1254" s="73"/>
      <c r="CZ1254" s="73"/>
      <c r="DA1254" s="73"/>
      <c r="DB1254" s="73"/>
      <c r="DC1254" s="73"/>
      <c r="DD1254" s="73"/>
      <c r="DE1254" s="73"/>
      <c r="DF1254" s="73"/>
      <c r="DG1254" s="73"/>
      <c r="DH1254" s="73"/>
      <c r="DI1254" s="73"/>
      <c r="DJ1254" s="73"/>
      <c r="DK1254" s="73"/>
      <c r="DL1254" s="73"/>
      <c r="DM1254" s="73"/>
    </row>
    <row r="1255" spans="1:117" s="48" customFormat="1">
      <c r="A1255" s="73"/>
      <c r="T1255" s="73"/>
      <c r="U1255" s="73"/>
      <c r="V1255" s="73"/>
      <c r="W1255" s="73"/>
      <c r="X1255" s="73"/>
      <c r="Y1255" s="73"/>
      <c r="Z1255" s="73"/>
      <c r="AA1255" s="73"/>
      <c r="AB1255" s="73"/>
      <c r="AC1255" s="73"/>
      <c r="AD1255" s="73"/>
      <c r="AE1255" s="73"/>
      <c r="AF1255" s="73"/>
      <c r="AG1255" s="73"/>
      <c r="AH1255" s="73"/>
      <c r="AI1255" s="73"/>
      <c r="AJ1255" s="73"/>
      <c r="AK1255" s="73"/>
      <c r="AL1255" s="73"/>
      <c r="AM1255" s="73"/>
      <c r="AN1255" s="73"/>
      <c r="AO1255" s="73"/>
      <c r="AP1255" s="73"/>
      <c r="AQ1255" s="73"/>
      <c r="AR1255" s="73"/>
      <c r="AS1255" s="73"/>
      <c r="AT1255" s="73"/>
      <c r="AU1255" s="73"/>
      <c r="AV1255" s="73"/>
      <c r="AW1255" s="73"/>
      <c r="AX1255" s="73"/>
      <c r="AY1255" s="73"/>
      <c r="AZ1255" s="73"/>
      <c r="BA1255" s="73"/>
      <c r="BB1255" s="73"/>
      <c r="BC1255" s="73"/>
      <c r="BD1255" s="73"/>
      <c r="BE1255" s="73"/>
      <c r="BF1255" s="73"/>
      <c r="BG1255" s="73"/>
      <c r="BH1255" s="73"/>
      <c r="BI1255" s="73"/>
      <c r="BJ1255" s="73"/>
      <c r="BK1255" s="73"/>
      <c r="BL1255" s="73"/>
      <c r="BM1255" s="73"/>
      <c r="BN1255" s="73"/>
      <c r="BO1255" s="73"/>
      <c r="BP1255" s="73"/>
      <c r="BQ1255" s="73"/>
      <c r="BR1255" s="73"/>
      <c r="BS1255" s="73"/>
      <c r="BT1255" s="73"/>
      <c r="BU1255" s="73"/>
      <c r="BV1255" s="73"/>
      <c r="BW1255" s="73"/>
      <c r="BX1255" s="73"/>
      <c r="BY1255" s="73"/>
      <c r="BZ1255" s="73"/>
      <c r="CA1255" s="73"/>
      <c r="CB1255" s="73"/>
      <c r="CC1255" s="73"/>
      <c r="CD1255" s="73"/>
      <c r="CE1255" s="73"/>
      <c r="CF1255" s="73"/>
      <c r="CG1255" s="73"/>
      <c r="CH1255" s="73"/>
      <c r="CI1255" s="73"/>
      <c r="CJ1255" s="73"/>
      <c r="CK1255" s="73"/>
      <c r="CL1255" s="73"/>
      <c r="CM1255" s="73"/>
      <c r="CN1255" s="73"/>
      <c r="CO1255" s="73"/>
      <c r="CP1255" s="73"/>
      <c r="CQ1255" s="73"/>
      <c r="CR1255" s="73"/>
      <c r="CS1255" s="73"/>
      <c r="CT1255" s="73"/>
      <c r="CU1255" s="73"/>
      <c r="CV1255" s="73"/>
      <c r="CW1255" s="73"/>
      <c r="CX1255" s="73"/>
      <c r="CY1255" s="73"/>
      <c r="CZ1255" s="73"/>
      <c r="DA1255" s="73"/>
      <c r="DB1255" s="73"/>
      <c r="DC1255" s="73"/>
      <c r="DD1255" s="73"/>
      <c r="DE1255" s="73"/>
      <c r="DF1255" s="73"/>
      <c r="DG1255" s="73"/>
      <c r="DH1255" s="73"/>
      <c r="DI1255" s="73"/>
      <c r="DJ1255" s="73"/>
      <c r="DK1255" s="73"/>
      <c r="DL1255" s="73"/>
      <c r="DM1255" s="73"/>
    </row>
    <row r="1256" spans="1:117" s="48" customFormat="1">
      <c r="A1256" s="73"/>
      <c r="T1256" s="73"/>
      <c r="U1256" s="73"/>
      <c r="V1256" s="73"/>
      <c r="W1256" s="73"/>
      <c r="X1256" s="73"/>
      <c r="Y1256" s="73"/>
      <c r="Z1256" s="73"/>
      <c r="AA1256" s="73"/>
      <c r="AB1256" s="73"/>
      <c r="AC1256" s="73"/>
      <c r="AD1256" s="73"/>
      <c r="AE1256" s="73"/>
      <c r="AF1256" s="73"/>
      <c r="AG1256" s="73"/>
      <c r="AH1256" s="73"/>
      <c r="AI1256" s="73"/>
      <c r="AJ1256" s="73"/>
      <c r="AK1256" s="73"/>
      <c r="AL1256" s="73"/>
      <c r="AM1256" s="73"/>
      <c r="AN1256" s="73"/>
      <c r="AO1256" s="73"/>
      <c r="AP1256" s="73"/>
      <c r="AQ1256" s="73"/>
      <c r="AR1256" s="73"/>
      <c r="AS1256" s="73"/>
      <c r="AT1256" s="73"/>
      <c r="AU1256" s="73"/>
      <c r="AV1256" s="73"/>
      <c r="AW1256" s="73"/>
      <c r="AX1256" s="73"/>
      <c r="AY1256" s="73"/>
      <c r="AZ1256" s="73"/>
      <c r="BA1256" s="73"/>
      <c r="BB1256" s="73"/>
      <c r="BC1256" s="73"/>
      <c r="BD1256" s="73"/>
      <c r="BE1256" s="73"/>
      <c r="BF1256" s="73"/>
      <c r="BG1256" s="73"/>
      <c r="BH1256" s="73"/>
      <c r="BI1256" s="73"/>
      <c r="BJ1256" s="73"/>
      <c r="BK1256" s="73"/>
      <c r="BL1256" s="73"/>
      <c r="BM1256" s="73"/>
      <c r="BN1256" s="73"/>
      <c r="BO1256" s="73"/>
      <c r="BP1256" s="73"/>
      <c r="BQ1256" s="73"/>
      <c r="BR1256" s="73"/>
      <c r="BS1256" s="73"/>
      <c r="BT1256" s="73"/>
      <c r="BU1256" s="73"/>
      <c r="BV1256" s="73"/>
      <c r="BW1256" s="73"/>
      <c r="BX1256" s="73"/>
      <c r="BY1256" s="73"/>
      <c r="BZ1256" s="73"/>
      <c r="CA1256" s="73"/>
      <c r="CB1256" s="73"/>
      <c r="CC1256" s="73"/>
      <c r="CD1256" s="73"/>
      <c r="CE1256" s="73"/>
      <c r="CF1256" s="73"/>
      <c r="CG1256" s="73"/>
      <c r="CH1256" s="73"/>
      <c r="CI1256" s="73"/>
      <c r="CJ1256" s="73"/>
      <c r="CK1256" s="73"/>
      <c r="CL1256" s="73"/>
      <c r="CM1256" s="73"/>
      <c r="CN1256" s="73"/>
      <c r="CO1256" s="73"/>
      <c r="CP1256" s="73"/>
      <c r="CQ1256" s="73"/>
      <c r="CR1256" s="73"/>
      <c r="CS1256" s="73"/>
      <c r="CT1256" s="73"/>
      <c r="CU1256" s="73"/>
      <c r="CV1256" s="73"/>
      <c r="CW1256" s="73"/>
      <c r="CX1256" s="73"/>
      <c r="CY1256" s="73"/>
      <c r="CZ1256" s="73"/>
      <c r="DA1256" s="73"/>
      <c r="DB1256" s="73"/>
      <c r="DC1256" s="73"/>
      <c r="DD1256" s="73"/>
      <c r="DE1256" s="73"/>
      <c r="DF1256" s="73"/>
      <c r="DG1256" s="73"/>
      <c r="DH1256" s="73"/>
      <c r="DI1256" s="73"/>
      <c r="DJ1256" s="73"/>
      <c r="DK1256" s="73"/>
      <c r="DL1256" s="73"/>
      <c r="DM1256" s="73"/>
    </row>
    <row r="1257" spans="1:117" s="48" customFormat="1">
      <c r="A1257" s="73"/>
      <c r="T1257" s="73"/>
      <c r="U1257" s="73"/>
      <c r="V1257" s="73"/>
      <c r="W1257" s="73"/>
      <c r="X1257" s="73"/>
      <c r="Y1257" s="73"/>
      <c r="Z1257" s="73"/>
      <c r="AA1257" s="73"/>
      <c r="AB1257" s="73"/>
      <c r="AC1257" s="73"/>
      <c r="AD1257" s="73"/>
      <c r="AE1257" s="73"/>
      <c r="AF1257" s="73"/>
      <c r="AG1257" s="73"/>
      <c r="AH1257" s="73"/>
      <c r="AI1257" s="73"/>
      <c r="AJ1257" s="73"/>
      <c r="AK1257" s="73"/>
      <c r="AL1257" s="73"/>
      <c r="AM1257" s="73"/>
      <c r="AN1257" s="73"/>
      <c r="AO1257" s="73"/>
      <c r="AP1257" s="73"/>
      <c r="AQ1257" s="73"/>
      <c r="AR1257" s="73"/>
      <c r="AS1257" s="73"/>
      <c r="AT1257" s="73"/>
      <c r="AU1257" s="73"/>
      <c r="AV1257" s="73"/>
      <c r="AW1257" s="73"/>
      <c r="AX1257" s="73"/>
      <c r="AY1257" s="73"/>
      <c r="AZ1257" s="73"/>
      <c r="BA1257" s="73"/>
      <c r="BB1257" s="73"/>
      <c r="BC1257" s="73"/>
      <c r="BD1257" s="73"/>
      <c r="BE1257" s="73"/>
      <c r="BF1257" s="73"/>
      <c r="BG1257" s="73"/>
      <c r="BH1257" s="73"/>
      <c r="BI1257" s="73"/>
      <c r="BJ1257" s="73"/>
      <c r="BK1257" s="73"/>
      <c r="BL1257" s="73"/>
      <c r="BM1257" s="73"/>
      <c r="BN1257" s="73"/>
      <c r="BO1257" s="73"/>
      <c r="BP1257" s="73"/>
      <c r="BQ1257" s="73"/>
      <c r="BR1257" s="73"/>
      <c r="BS1257" s="73"/>
      <c r="BT1257" s="73"/>
      <c r="BU1257" s="73"/>
      <c r="BV1257" s="73"/>
      <c r="BW1257" s="73"/>
      <c r="BX1257" s="73"/>
      <c r="BY1257" s="73"/>
      <c r="BZ1257" s="73"/>
      <c r="CA1257" s="73"/>
      <c r="CB1257" s="73"/>
      <c r="CC1257" s="73"/>
      <c r="CD1257" s="73"/>
      <c r="CE1257" s="73"/>
      <c r="CF1257" s="73"/>
      <c r="CG1257" s="73"/>
      <c r="CH1257" s="73"/>
      <c r="CI1257" s="73"/>
      <c r="CJ1257" s="73"/>
      <c r="CK1257" s="73"/>
      <c r="CL1257" s="73"/>
      <c r="CM1257" s="73"/>
      <c r="CN1257" s="73"/>
      <c r="CO1257" s="73"/>
      <c r="CP1257" s="73"/>
      <c r="CQ1257" s="73"/>
      <c r="CR1257" s="73"/>
      <c r="CS1257" s="73"/>
      <c r="CT1257" s="73"/>
      <c r="CU1257" s="73"/>
      <c r="CV1257" s="73"/>
      <c r="CW1257" s="73"/>
      <c r="CX1257" s="73"/>
      <c r="CY1257" s="73"/>
      <c r="CZ1257" s="73"/>
      <c r="DA1257" s="73"/>
      <c r="DB1257" s="73"/>
      <c r="DC1257" s="73"/>
      <c r="DD1257" s="73"/>
      <c r="DE1257" s="73"/>
      <c r="DF1257" s="73"/>
      <c r="DG1257" s="73"/>
      <c r="DH1257" s="73"/>
      <c r="DI1257" s="73"/>
      <c r="DJ1257" s="73"/>
      <c r="DK1257" s="73"/>
      <c r="DL1257" s="73"/>
      <c r="DM1257" s="73"/>
    </row>
    <row r="1258" spans="1:117" s="48" customFormat="1">
      <c r="A1258" s="73"/>
      <c r="T1258" s="73"/>
      <c r="U1258" s="73"/>
      <c r="V1258" s="73"/>
      <c r="W1258" s="73"/>
      <c r="X1258" s="73"/>
      <c r="Y1258" s="73"/>
      <c r="Z1258" s="73"/>
      <c r="AA1258" s="73"/>
      <c r="AB1258" s="73"/>
      <c r="AC1258" s="73"/>
      <c r="AD1258" s="73"/>
      <c r="AE1258" s="73"/>
      <c r="AF1258" s="73"/>
      <c r="AG1258" s="73"/>
      <c r="AH1258" s="73"/>
      <c r="AI1258" s="73"/>
      <c r="AJ1258" s="73"/>
      <c r="AK1258" s="73"/>
      <c r="AL1258" s="73"/>
      <c r="AM1258" s="73"/>
      <c r="AN1258" s="73"/>
      <c r="AO1258" s="73"/>
      <c r="AP1258" s="73"/>
      <c r="AQ1258" s="73"/>
      <c r="AR1258" s="73"/>
      <c r="AS1258" s="73"/>
      <c r="AT1258" s="73"/>
      <c r="AU1258" s="73"/>
      <c r="AV1258" s="73"/>
      <c r="AW1258" s="73"/>
      <c r="AX1258" s="73"/>
      <c r="AY1258" s="73"/>
      <c r="AZ1258" s="73"/>
      <c r="BA1258" s="73"/>
      <c r="BB1258" s="73"/>
      <c r="BC1258" s="73"/>
      <c r="BD1258" s="73"/>
      <c r="BE1258" s="73"/>
      <c r="BF1258" s="73"/>
      <c r="BG1258" s="73"/>
      <c r="BH1258" s="73"/>
      <c r="BI1258" s="73"/>
      <c r="BJ1258" s="73"/>
      <c r="BK1258" s="73"/>
      <c r="BL1258" s="73"/>
      <c r="BM1258" s="73"/>
      <c r="BN1258" s="73"/>
      <c r="BO1258" s="73"/>
      <c r="BP1258" s="73"/>
      <c r="BQ1258" s="73"/>
      <c r="BR1258" s="73"/>
      <c r="BS1258" s="73"/>
      <c r="BT1258" s="73"/>
      <c r="BU1258" s="73"/>
      <c r="BV1258" s="73"/>
      <c r="BW1258" s="73"/>
      <c r="BX1258" s="73"/>
      <c r="BY1258" s="73"/>
      <c r="BZ1258" s="73"/>
      <c r="CA1258" s="73"/>
      <c r="CB1258" s="73"/>
      <c r="CC1258" s="73"/>
      <c r="CD1258" s="73"/>
      <c r="CE1258" s="73"/>
      <c r="CF1258" s="73"/>
      <c r="CG1258" s="73"/>
      <c r="CH1258" s="73"/>
      <c r="CI1258" s="73"/>
      <c r="CJ1258" s="73"/>
      <c r="CK1258" s="73"/>
      <c r="CL1258" s="73"/>
      <c r="CM1258" s="73"/>
      <c r="CN1258" s="73"/>
      <c r="CO1258" s="73"/>
      <c r="CP1258" s="73"/>
      <c r="CQ1258" s="73"/>
      <c r="CR1258" s="73"/>
      <c r="CS1258" s="73"/>
      <c r="CT1258" s="73"/>
      <c r="CU1258" s="73"/>
      <c r="CV1258" s="73"/>
      <c r="CW1258" s="73"/>
      <c r="CX1258" s="73"/>
      <c r="CY1258" s="73"/>
      <c r="CZ1258" s="73"/>
      <c r="DA1258" s="73"/>
      <c r="DB1258" s="73"/>
      <c r="DC1258" s="73"/>
      <c r="DD1258" s="73"/>
      <c r="DE1258" s="73"/>
      <c r="DF1258" s="73"/>
      <c r="DG1258" s="73"/>
      <c r="DH1258" s="73"/>
      <c r="DI1258" s="73"/>
      <c r="DJ1258" s="73"/>
      <c r="DK1258" s="73"/>
      <c r="DL1258" s="73"/>
      <c r="DM1258" s="73"/>
    </row>
    <row r="1259" spans="1:117" s="48" customFormat="1">
      <c r="A1259" s="73"/>
      <c r="T1259" s="73"/>
      <c r="U1259" s="73"/>
      <c r="V1259" s="73"/>
      <c r="W1259" s="73"/>
      <c r="X1259" s="73"/>
      <c r="Y1259" s="73"/>
      <c r="Z1259" s="73"/>
      <c r="AA1259" s="73"/>
      <c r="AB1259" s="73"/>
      <c r="AC1259" s="73"/>
      <c r="AD1259" s="73"/>
      <c r="AE1259" s="73"/>
      <c r="AF1259" s="73"/>
      <c r="AG1259" s="73"/>
      <c r="AH1259" s="73"/>
      <c r="AI1259" s="73"/>
      <c r="AJ1259" s="73"/>
      <c r="AK1259" s="73"/>
      <c r="AL1259" s="73"/>
      <c r="AM1259" s="73"/>
      <c r="AN1259" s="73"/>
      <c r="AO1259" s="73"/>
      <c r="AP1259" s="73"/>
      <c r="AQ1259" s="73"/>
      <c r="AR1259" s="73"/>
      <c r="AS1259" s="73"/>
      <c r="AT1259" s="73"/>
      <c r="AU1259" s="73"/>
      <c r="AV1259" s="73"/>
      <c r="AW1259" s="73"/>
      <c r="AX1259" s="73"/>
      <c r="AY1259" s="73"/>
      <c r="AZ1259" s="73"/>
      <c r="BA1259" s="73"/>
      <c r="BB1259" s="73"/>
      <c r="BC1259" s="73"/>
      <c r="BD1259" s="73"/>
      <c r="BE1259" s="73"/>
      <c r="BF1259" s="73"/>
      <c r="BG1259" s="73"/>
      <c r="BH1259" s="73"/>
      <c r="BI1259" s="73"/>
      <c r="BJ1259" s="73"/>
      <c r="BK1259" s="73"/>
      <c r="BL1259" s="73"/>
      <c r="BM1259" s="73"/>
      <c r="BN1259" s="73"/>
      <c r="BO1259" s="73"/>
      <c r="BP1259" s="73"/>
      <c r="BQ1259" s="73"/>
      <c r="BR1259" s="73"/>
      <c r="BS1259" s="73"/>
      <c r="BT1259" s="73"/>
      <c r="BU1259" s="73"/>
      <c r="BV1259" s="73"/>
      <c r="BW1259" s="73"/>
      <c r="BX1259" s="73"/>
      <c r="BY1259" s="73"/>
      <c r="BZ1259" s="73"/>
      <c r="CA1259" s="73"/>
      <c r="CB1259" s="73"/>
      <c r="CC1259" s="73"/>
      <c r="CD1259" s="73"/>
      <c r="CE1259" s="73"/>
      <c r="CF1259" s="73"/>
      <c r="CG1259" s="73"/>
      <c r="CH1259" s="73"/>
      <c r="CI1259" s="73"/>
      <c r="CJ1259" s="73"/>
      <c r="CK1259" s="73"/>
      <c r="CL1259" s="73"/>
      <c r="CM1259" s="73"/>
      <c r="CN1259" s="73"/>
      <c r="CO1259" s="73"/>
      <c r="CP1259" s="73"/>
      <c r="CQ1259" s="73"/>
      <c r="CR1259" s="73"/>
      <c r="CS1259" s="73"/>
      <c r="CT1259" s="73"/>
      <c r="CU1259" s="73"/>
      <c r="CV1259" s="73"/>
      <c r="CW1259" s="73"/>
      <c r="CX1259" s="73"/>
      <c r="CY1259" s="73"/>
      <c r="CZ1259" s="73"/>
      <c r="DA1259" s="73"/>
      <c r="DB1259" s="73"/>
      <c r="DC1259" s="73"/>
      <c r="DD1259" s="73"/>
      <c r="DE1259" s="73"/>
      <c r="DF1259" s="73"/>
      <c r="DG1259" s="73"/>
      <c r="DH1259" s="73"/>
      <c r="DI1259" s="73"/>
      <c r="DJ1259" s="73"/>
      <c r="DK1259" s="73"/>
      <c r="DL1259" s="73"/>
      <c r="DM1259" s="73"/>
    </row>
    <row r="1260" spans="1:117" s="48" customFormat="1">
      <c r="A1260" s="73"/>
      <c r="T1260" s="73"/>
      <c r="U1260" s="73"/>
      <c r="V1260" s="73"/>
      <c r="W1260" s="73"/>
      <c r="X1260" s="73"/>
      <c r="Y1260" s="73"/>
      <c r="Z1260" s="73"/>
      <c r="AA1260" s="73"/>
      <c r="AB1260" s="73"/>
      <c r="AC1260" s="73"/>
      <c r="AD1260" s="73"/>
      <c r="AE1260" s="73"/>
      <c r="AF1260" s="73"/>
      <c r="AG1260" s="73"/>
      <c r="AH1260" s="73"/>
      <c r="AI1260" s="73"/>
      <c r="AJ1260" s="73"/>
      <c r="AK1260" s="73"/>
      <c r="AL1260" s="73"/>
      <c r="AM1260" s="73"/>
      <c r="AN1260" s="73"/>
      <c r="AO1260" s="73"/>
      <c r="AP1260" s="73"/>
      <c r="AQ1260" s="73"/>
      <c r="AR1260" s="73"/>
      <c r="AS1260" s="73"/>
      <c r="AT1260" s="73"/>
      <c r="AU1260" s="73"/>
      <c r="AV1260" s="73"/>
      <c r="AW1260" s="73"/>
      <c r="AX1260" s="73"/>
      <c r="AY1260" s="73"/>
      <c r="AZ1260" s="73"/>
      <c r="BA1260" s="73"/>
      <c r="BB1260" s="73"/>
      <c r="BC1260" s="73"/>
      <c r="BD1260" s="73"/>
      <c r="BE1260" s="73"/>
      <c r="BF1260" s="73"/>
      <c r="BG1260" s="73"/>
      <c r="BH1260" s="73"/>
      <c r="BI1260" s="73"/>
      <c r="BJ1260" s="73"/>
      <c r="BK1260" s="73"/>
      <c r="BL1260" s="73"/>
      <c r="BM1260" s="73"/>
      <c r="BN1260" s="73"/>
      <c r="BO1260" s="73"/>
      <c r="BP1260" s="73"/>
      <c r="BQ1260" s="73"/>
      <c r="BR1260" s="73"/>
      <c r="BS1260" s="73"/>
      <c r="BT1260" s="73"/>
      <c r="BU1260" s="73"/>
      <c r="BV1260" s="73"/>
      <c r="BW1260" s="73"/>
      <c r="BX1260" s="73"/>
      <c r="BY1260" s="73"/>
      <c r="BZ1260" s="73"/>
      <c r="CA1260" s="73"/>
      <c r="CB1260" s="73"/>
      <c r="CC1260" s="73"/>
      <c r="CD1260" s="73"/>
      <c r="CE1260" s="73"/>
      <c r="CF1260" s="73"/>
      <c r="CG1260" s="73"/>
      <c r="CH1260" s="73"/>
      <c r="CI1260" s="73"/>
      <c r="CJ1260" s="73"/>
      <c r="CK1260" s="73"/>
      <c r="CL1260" s="73"/>
      <c r="CM1260" s="73"/>
      <c r="CN1260" s="73"/>
      <c r="CO1260" s="73"/>
      <c r="CP1260" s="73"/>
      <c r="CQ1260" s="73"/>
      <c r="CR1260" s="73"/>
      <c r="CS1260" s="73"/>
      <c r="CT1260" s="73"/>
      <c r="CU1260" s="73"/>
      <c r="CV1260" s="73"/>
      <c r="CW1260" s="73"/>
      <c r="CX1260" s="73"/>
      <c r="CY1260" s="73"/>
      <c r="CZ1260" s="73"/>
      <c r="DA1260" s="73"/>
      <c r="DB1260" s="73"/>
      <c r="DC1260" s="73"/>
      <c r="DD1260" s="73"/>
      <c r="DE1260" s="73"/>
      <c r="DF1260" s="73"/>
      <c r="DG1260" s="73"/>
      <c r="DH1260" s="73"/>
      <c r="DI1260" s="73"/>
      <c r="DJ1260" s="73"/>
      <c r="DK1260" s="73"/>
      <c r="DL1260" s="73"/>
      <c r="DM1260" s="73"/>
    </row>
    <row r="1261" spans="1:117" s="48" customFormat="1">
      <c r="A1261" s="73"/>
      <c r="T1261" s="73"/>
      <c r="U1261" s="73"/>
      <c r="V1261" s="73"/>
      <c r="W1261" s="73"/>
      <c r="X1261" s="73"/>
      <c r="Y1261" s="73"/>
      <c r="Z1261" s="73"/>
      <c r="AA1261" s="73"/>
      <c r="AB1261" s="73"/>
      <c r="AC1261" s="73"/>
      <c r="AD1261" s="73"/>
      <c r="AE1261" s="73"/>
      <c r="AF1261" s="73"/>
      <c r="AG1261" s="73"/>
      <c r="AH1261" s="73"/>
      <c r="AI1261" s="73"/>
      <c r="AJ1261" s="73"/>
      <c r="AK1261" s="73"/>
      <c r="AL1261" s="73"/>
      <c r="AM1261" s="73"/>
      <c r="AN1261" s="73"/>
      <c r="AO1261" s="73"/>
      <c r="AP1261" s="73"/>
      <c r="AQ1261" s="73"/>
      <c r="AR1261" s="73"/>
      <c r="AS1261" s="73"/>
      <c r="AT1261" s="73"/>
      <c r="AU1261" s="73"/>
      <c r="AV1261" s="73"/>
      <c r="AW1261" s="73"/>
      <c r="AX1261" s="73"/>
      <c r="AY1261" s="73"/>
      <c r="AZ1261" s="73"/>
      <c r="BA1261" s="73"/>
      <c r="BB1261" s="73"/>
      <c r="BC1261" s="73"/>
      <c r="BD1261" s="73"/>
      <c r="BE1261" s="73"/>
      <c r="BF1261" s="73"/>
      <c r="BG1261" s="73"/>
      <c r="BH1261" s="73"/>
      <c r="BI1261" s="73"/>
      <c r="BJ1261" s="73"/>
      <c r="BK1261" s="73"/>
      <c r="BL1261" s="73"/>
      <c r="BM1261" s="73"/>
      <c r="BN1261" s="73"/>
      <c r="BO1261" s="73"/>
      <c r="BP1261" s="73"/>
      <c r="BQ1261" s="73"/>
      <c r="BR1261" s="73"/>
      <c r="BS1261" s="73"/>
      <c r="BT1261" s="73"/>
      <c r="BU1261" s="73"/>
      <c r="BV1261" s="73"/>
      <c r="BW1261" s="73"/>
      <c r="BX1261" s="73"/>
      <c r="BY1261" s="73"/>
      <c r="BZ1261" s="73"/>
      <c r="CA1261" s="73"/>
      <c r="CB1261" s="73"/>
      <c r="CC1261" s="73"/>
      <c r="CD1261" s="73"/>
      <c r="CE1261" s="73"/>
      <c r="CF1261" s="73"/>
      <c r="CG1261" s="73"/>
      <c r="CH1261" s="73"/>
      <c r="CI1261" s="73"/>
      <c r="CJ1261" s="73"/>
      <c r="CK1261" s="73"/>
      <c r="CL1261" s="73"/>
      <c r="CM1261" s="73"/>
      <c r="CN1261" s="73"/>
      <c r="CO1261" s="73"/>
      <c r="CP1261" s="73"/>
      <c r="CQ1261" s="73"/>
      <c r="CR1261" s="73"/>
      <c r="CS1261" s="73"/>
      <c r="CT1261" s="73"/>
      <c r="CU1261" s="73"/>
      <c r="CV1261" s="73"/>
      <c r="CW1261" s="73"/>
      <c r="CX1261" s="73"/>
      <c r="CY1261" s="73"/>
      <c r="CZ1261" s="73"/>
      <c r="DA1261" s="73"/>
      <c r="DB1261" s="73"/>
      <c r="DC1261" s="73"/>
      <c r="DD1261" s="73"/>
      <c r="DE1261" s="73"/>
      <c r="DF1261" s="73"/>
      <c r="DG1261" s="73"/>
      <c r="DH1261" s="73"/>
      <c r="DI1261" s="73"/>
      <c r="DJ1261" s="73"/>
      <c r="DK1261" s="73"/>
      <c r="DL1261" s="73"/>
      <c r="DM1261" s="73"/>
    </row>
    <row r="1262" spans="1:117" s="48" customFormat="1">
      <c r="A1262" s="73"/>
      <c r="T1262" s="73"/>
      <c r="U1262" s="73"/>
      <c r="V1262" s="73"/>
      <c r="W1262" s="73"/>
      <c r="X1262" s="73"/>
      <c r="Y1262" s="73"/>
      <c r="Z1262" s="73"/>
      <c r="AA1262" s="73"/>
      <c r="AB1262" s="73"/>
      <c r="AC1262" s="73"/>
      <c r="AD1262" s="73"/>
      <c r="AE1262" s="73"/>
      <c r="AF1262" s="73"/>
      <c r="AG1262" s="73"/>
      <c r="AH1262" s="73"/>
      <c r="AI1262" s="73"/>
      <c r="AJ1262" s="73"/>
      <c r="AK1262" s="73"/>
      <c r="AL1262" s="73"/>
      <c r="AM1262" s="73"/>
      <c r="AN1262" s="73"/>
      <c r="AO1262" s="73"/>
      <c r="AP1262" s="73"/>
      <c r="AQ1262" s="73"/>
      <c r="AR1262" s="73"/>
      <c r="AS1262" s="73"/>
      <c r="AT1262" s="73"/>
      <c r="AU1262" s="73"/>
      <c r="AV1262" s="73"/>
      <c r="AW1262" s="73"/>
      <c r="AX1262" s="73"/>
      <c r="AY1262" s="73"/>
      <c r="AZ1262" s="73"/>
      <c r="BA1262" s="73"/>
      <c r="BB1262" s="73"/>
      <c r="BC1262" s="73"/>
      <c r="BD1262" s="73"/>
      <c r="BE1262" s="73"/>
      <c r="BF1262" s="73"/>
      <c r="BG1262" s="73"/>
      <c r="BH1262" s="73"/>
      <c r="BI1262" s="73"/>
      <c r="BJ1262" s="73"/>
      <c r="BK1262" s="73"/>
      <c r="BL1262" s="73"/>
      <c r="BM1262" s="73"/>
      <c r="BN1262" s="73"/>
      <c r="BO1262" s="73"/>
      <c r="BP1262" s="73"/>
      <c r="BQ1262" s="73"/>
      <c r="BR1262" s="73"/>
      <c r="BS1262" s="73"/>
      <c r="BT1262" s="73"/>
      <c r="BU1262" s="73"/>
      <c r="BV1262" s="73"/>
      <c r="BW1262" s="73"/>
      <c r="BX1262" s="73"/>
      <c r="BY1262" s="73"/>
      <c r="BZ1262" s="73"/>
      <c r="CA1262" s="73"/>
      <c r="CB1262" s="73"/>
      <c r="CC1262" s="73"/>
      <c r="CD1262" s="73"/>
      <c r="CE1262" s="73"/>
      <c r="CF1262" s="73"/>
      <c r="CG1262" s="73"/>
      <c r="CH1262" s="73"/>
      <c r="CI1262" s="73"/>
      <c r="CJ1262" s="73"/>
      <c r="CK1262" s="73"/>
      <c r="CL1262" s="73"/>
      <c r="CM1262" s="73"/>
      <c r="CN1262" s="73"/>
      <c r="CO1262" s="73"/>
      <c r="CP1262" s="73"/>
      <c r="CQ1262" s="73"/>
      <c r="CR1262" s="73"/>
      <c r="CS1262" s="73"/>
      <c r="CT1262" s="73"/>
      <c r="CU1262" s="73"/>
      <c r="CV1262" s="73"/>
      <c r="CW1262" s="73"/>
      <c r="CX1262" s="73"/>
      <c r="CY1262" s="73"/>
      <c r="CZ1262" s="73"/>
      <c r="DA1262" s="73"/>
      <c r="DB1262" s="73"/>
      <c r="DC1262" s="73"/>
      <c r="DD1262" s="73"/>
      <c r="DE1262" s="73"/>
      <c r="DF1262" s="73"/>
      <c r="DG1262" s="73"/>
      <c r="DH1262" s="73"/>
      <c r="DI1262" s="73"/>
      <c r="DJ1262" s="73"/>
      <c r="DK1262" s="73"/>
      <c r="DL1262" s="73"/>
      <c r="DM1262" s="73"/>
    </row>
    <row r="1263" spans="1:117" s="48" customFormat="1">
      <c r="A1263" s="73"/>
      <c r="T1263" s="73"/>
      <c r="U1263" s="73"/>
      <c r="V1263" s="73"/>
      <c r="W1263" s="73"/>
      <c r="X1263" s="73"/>
      <c r="Y1263" s="73"/>
      <c r="Z1263" s="73"/>
      <c r="AA1263" s="73"/>
      <c r="AB1263" s="73"/>
      <c r="AC1263" s="73"/>
      <c r="AD1263" s="73"/>
      <c r="AE1263" s="73"/>
      <c r="AF1263" s="73"/>
      <c r="AG1263" s="73"/>
      <c r="AH1263" s="73"/>
      <c r="AI1263" s="73"/>
      <c r="AJ1263" s="73"/>
      <c r="AK1263" s="73"/>
      <c r="AL1263" s="73"/>
      <c r="AM1263" s="73"/>
      <c r="AN1263" s="73"/>
      <c r="AO1263" s="73"/>
      <c r="AP1263" s="73"/>
      <c r="AQ1263" s="73"/>
      <c r="AR1263" s="73"/>
      <c r="AS1263" s="73"/>
      <c r="AT1263" s="73"/>
      <c r="AU1263" s="73"/>
      <c r="AV1263" s="73"/>
      <c r="AW1263" s="73"/>
      <c r="AX1263" s="73"/>
      <c r="AY1263" s="73"/>
      <c r="AZ1263" s="73"/>
      <c r="BA1263" s="73"/>
      <c r="BB1263" s="73"/>
      <c r="BC1263" s="73"/>
      <c r="BD1263" s="73"/>
      <c r="BE1263" s="73"/>
      <c r="BF1263" s="73"/>
      <c r="BG1263" s="73"/>
      <c r="BH1263" s="73"/>
      <c r="BI1263" s="73"/>
      <c r="BJ1263" s="73"/>
      <c r="BK1263" s="73"/>
      <c r="BL1263" s="73"/>
      <c r="BM1263" s="73"/>
      <c r="BN1263" s="73"/>
      <c r="BO1263" s="73"/>
      <c r="BP1263" s="73"/>
      <c r="BQ1263" s="73"/>
      <c r="BR1263" s="73"/>
      <c r="BS1263" s="73"/>
      <c r="BT1263" s="73"/>
      <c r="BU1263" s="73"/>
      <c r="BV1263" s="73"/>
      <c r="BW1263" s="73"/>
      <c r="BX1263" s="73"/>
      <c r="BY1263" s="73"/>
      <c r="BZ1263" s="73"/>
      <c r="CA1263" s="73"/>
      <c r="CB1263" s="73"/>
      <c r="CC1263" s="73"/>
      <c r="CD1263" s="73"/>
      <c r="CE1263" s="73"/>
      <c r="CF1263" s="73"/>
      <c r="CG1263" s="73"/>
      <c r="CH1263" s="73"/>
      <c r="CI1263" s="73"/>
      <c r="CJ1263" s="73"/>
      <c r="CK1263" s="73"/>
      <c r="CL1263" s="73"/>
      <c r="CM1263" s="73"/>
      <c r="CN1263" s="73"/>
      <c r="CO1263" s="73"/>
      <c r="CP1263" s="73"/>
      <c r="CQ1263" s="73"/>
      <c r="CR1263" s="73"/>
      <c r="CS1263" s="73"/>
      <c r="CT1263" s="73"/>
      <c r="CU1263" s="73"/>
      <c r="CV1263" s="73"/>
      <c r="CW1263" s="73"/>
      <c r="CX1263" s="73"/>
      <c r="CY1263" s="73"/>
      <c r="CZ1263" s="73"/>
      <c r="DA1263" s="73"/>
      <c r="DB1263" s="73"/>
      <c r="DC1263" s="73"/>
      <c r="DD1263" s="73"/>
      <c r="DE1263" s="73"/>
      <c r="DF1263" s="73"/>
      <c r="DG1263" s="73"/>
      <c r="DH1263" s="73"/>
      <c r="DI1263" s="73"/>
      <c r="DJ1263" s="73"/>
      <c r="DK1263" s="73"/>
      <c r="DL1263" s="73"/>
      <c r="DM1263" s="73"/>
    </row>
    <row r="1264" spans="1:117" s="48" customFormat="1">
      <c r="A1264" s="73"/>
      <c r="T1264" s="73"/>
      <c r="U1264" s="73"/>
      <c r="V1264" s="73"/>
      <c r="W1264" s="73"/>
      <c r="X1264" s="73"/>
      <c r="Y1264" s="73"/>
      <c r="Z1264" s="73"/>
      <c r="AA1264" s="73"/>
      <c r="AB1264" s="73"/>
      <c r="AC1264" s="73"/>
      <c r="AD1264" s="73"/>
      <c r="AE1264" s="73"/>
      <c r="AF1264" s="73"/>
      <c r="AG1264" s="73"/>
      <c r="AH1264" s="73"/>
      <c r="AI1264" s="73"/>
      <c r="AJ1264" s="73"/>
      <c r="AK1264" s="73"/>
      <c r="AL1264" s="73"/>
      <c r="AM1264" s="73"/>
      <c r="AN1264" s="73"/>
      <c r="AO1264" s="73"/>
      <c r="AP1264" s="73"/>
      <c r="AQ1264" s="73"/>
      <c r="AR1264" s="73"/>
      <c r="AS1264" s="73"/>
      <c r="AT1264" s="73"/>
      <c r="AU1264" s="73"/>
      <c r="AV1264" s="73"/>
      <c r="AW1264" s="73"/>
      <c r="AX1264" s="73"/>
      <c r="AY1264" s="73"/>
      <c r="AZ1264" s="73"/>
      <c r="BA1264" s="73"/>
      <c r="BB1264" s="73"/>
      <c r="BC1264" s="73"/>
      <c r="BD1264" s="73"/>
      <c r="BE1264" s="73"/>
      <c r="BF1264" s="73"/>
      <c r="BG1264" s="73"/>
      <c r="BH1264" s="73"/>
      <c r="BI1264" s="73"/>
      <c r="BJ1264" s="73"/>
      <c r="BK1264" s="73"/>
      <c r="BL1264" s="73"/>
      <c r="BM1264" s="73"/>
      <c r="BN1264" s="73"/>
      <c r="BO1264" s="73"/>
      <c r="BP1264" s="73"/>
      <c r="BQ1264" s="73"/>
      <c r="BR1264" s="73"/>
      <c r="BS1264" s="73"/>
      <c r="BT1264" s="73"/>
      <c r="BU1264" s="73"/>
      <c r="BV1264" s="73"/>
      <c r="BW1264" s="73"/>
      <c r="BX1264" s="73"/>
      <c r="BY1264" s="73"/>
      <c r="BZ1264" s="73"/>
      <c r="CA1264" s="73"/>
      <c r="CB1264" s="73"/>
      <c r="CC1264" s="73"/>
      <c r="CD1264" s="73"/>
      <c r="CE1264" s="73"/>
      <c r="CF1264" s="73"/>
      <c r="CG1264" s="73"/>
      <c r="CH1264" s="73"/>
      <c r="CI1264" s="73"/>
      <c r="CJ1264" s="73"/>
      <c r="CK1264" s="73"/>
      <c r="CL1264" s="73"/>
      <c r="CM1264" s="73"/>
      <c r="CN1264" s="73"/>
      <c r="CO1264" s="73"/>
      <c r="CP1264" s="73"/>
      <c r="CQ1264" s="73"/>
      <c r="CR1264" s="73"/>
      <c r="CS1264" s="73"/>
      <c r="CT1264" s="73"/>
      <c r="CU1264" s="73"/>
      <c r="CV1264" s="73"/>
      <c r="CW1264" s="73"/>
      <c r="CX1264" s="73"/>
      <c r="CY1264" s="73"/>
      <c r="CZ1264" s="73"/>
      <c r="DA1264" s="73"/>
      <c r="DB1264" s="73"/>
      <c r="DC1264" s="73"/>
      <c r="DD1264" s="73"/>
      <c r="DE1264" s="73"/>
      <c r="DF1264" s="73"/>
      <c r="DG1264" s="73"/>
      <c r="DH1264" s="73"/>
      <c r="DI1264" s="73"/>
      <c r="DJ1264" s="73"/>
      <c r="DK1264" s="73"/>
      <c r="DL1264" s="73"/>
      <c r="DM1264" s="73"/>
    </row>
    <row r="1265" spans="1:117" s="48" customFormat="1">
      <c r="A1265" s="73"/>
      <c r="T1265" s="73"/>
      <c r="U1265" s="73"/>
      <c r="V1265" s="73"/>
      <c r="W1265" s="73"/>
      <c r="X1265" s="73"/>
      <c r="Y1265" s="73"/>
      <c r="Z1265" s="73"/>
      <c r="AA1265" s="73"/>
      <c r="AB1265" s="73"/>
      <c r="AC1265" s="73"/>
      <c r="AD1265" s="73"/>
      <c r="AE1265" s="73"/>
      <c r="AF1265" s="73"/>
      <c r="AG1265" s="73"/>
      <c r="AH1265" s="73"/>
      <c r="AI1265" s="73"/>
      <c r="AJ1265" s="73"/>
      <c r="AK1265" s="73"/>
      <c r="AL1265" s="73"/>
      <c r="AM1265" s="73"/>
      <c r="AN1265" s="73"/>
      <c r="AO1265" s="73"/>
      <c r="AP1265" s="73"/>
      <c r="AQ1265" s="73"/>
      <c r="AR1265" s="73"/>
      <c r="AS1265" s="73"/>
      <c r="AT1265" s="73"/>
      <c r="AU1265" s="73"/>
      <c r="AV1265" s="73"/>
      <c r="AW1265" s="73"/>
      <c r="AX1265" s="73"/>
      <c r="AY1265" s="73"/>
      <c r="AZ1265" s="73"/>
      <c r="BA1265" s="73"/>
      <c r="BB1265" s="73"/>
      <c r="BC1265" s="73"/>
      <c r="BD1265" s="73"/>
      <c r="BE1265" s="73"/>
      <c r="BF1265" s="73"/>
      <c r="BG1265" s="73"/>
      <c r="BH1265" s="73"/>
      <c r="BI1265" s="73"/>
      <c r="BJ1265" s="73"/>
      <c r="BK1265" s="73"/>
      <c r="BL1265" s="73"/>
      <c r="BM1265" s="73"/>
      <c r="BN1265" s="73"/>
      <c r="BO1265" s="73"/>
      <c r="BP1265" s="73"/>
      <c r="BQ1265" s="73"/>
      <c r="BR1265" s="73"/>
      <c r="BS1265" s="73"/>
      <c r="BT1265" s="73"/>
      <c r="BU1265" s="73"/>
      <c r="BV1265" s="73"/>
      <c r="BW1265" s="73"/>
      <c r="BX1265" s="73"/>
      <c r="BY1265" s="73"/>
      <c r="BZ1265" s="73"/>
      <c r="CA1265" s="73"/>
      <c r="CB1265" s="73"/>
      <c r="CC1265" s="73"/>
      <c r="CD1265" s="73"/>
      <c r="CE1265" s="73"/>
      <c r="CF1265" s="73"/>
      <c r="CG1265" s="73"/>
      <c r="CH1265" s="73"/>
      <c r="CI1265" s="73"/>
      <c r="CJ1265" s="73"/>
      <c r="CK1265" s="73"/>
      <c r="CL1265" s="73"/>
      <c r="CM1265" s="73"/>
      <c r="CN1265" s="73"/>
      <c r="CO1265" s="73"/>
      <c r="CP1265" s="73"/>
      <c r="CQ1265" s="73"/>
      <c r="CR1265" s="73"/>
      <c r="CS1265" s="73"/>
      <c r="CT1265" s="73"/>
      <c r="CU1265" s="73"/>
      <c r="CV1265" s="73"/>
      <c r="CW1265" s="73"/>
      <c r="CX1265" s="73"/>
      <c r="CY1265" s="73"/>
      <c r="CZ1265" s="73"/>
      <c r="DA1265" s="73"/>
      <c r="DB1265" s="73"/>
      <c r="DC1265" s="73"/>
      <c r="DD1265" s="73"/>
      <c r="DE1265" s="73"/>
      <c r="DF1265" s="73"/>
      <c r="DG1265" s="73"/>
      <c r="DH1265" s="73"/>
      <c r="DI1265" s="73"/>
      <c r="DJ1265" s="73"/>
      <c r="DK1265" s="73"/>
      <c r="DL1265" s="73"/>
      <c r="DM1265" s="73"/>
    </row>
    <row r="1266" spans="1:117" s="48" customFormat="1">
      <c r="A1266" s="73"/>
      <c r="T1266" s="73"/>
      <c r="U1266" s="73"/>
      <c r="V1266" s="73"/>
      <c r="W1266" s="73"/>
      <c r="X1266" s="73"/>
      <c r="Y1266" s="73"/>
      <c r="Z1266" s="73"/>
      <c r="AA1266" s="73"/>
      <c r="AB1266" s="73"/>
      <c r="AC1266" s="73"/>
      <c r="AD1266" s="73"/>
      <c r="AE1266" s="73"/>
      <c r="AF1266" s="73"/>
      <c r="AG1266" s="73"/>
      <c r="AH1266" s="73"/>
      <c r="AI1266" s="73"/>
      <c r="AJ1266" s="73"/>
      <c r="AK1266" s="73"/>
      <c r="AL1266" s="73"/>
      <c r="AM1266" s="73"/>
      <c r="AN1266" s="73"/>
      <c r="AO1266" s="73"/>
      <c r="AP1266" s="73"/>
      <c r="AQ1266" s="73"/>
      <c r="AR1266" s="73"/>
      <c r="AS1266" s="73"/>
      <c r="AT1266" s="73"/>
      <c r="AU1266" s="73"/>
      <c r="AV1266" s="73"/>
      <c r="AW1266" s="73"/>
      <c r="AX1266" s="73"/>
      <c r="AY1266" s="73"/>
      <c r="AZ1266" s="73"/>
      <c r="BA1266" s="73"/>
      <c r="BB1266" s="73"/>
      <c r="BC1266" s="73"/>
      <c r="BD1266" s="73"/>
      <c r="BE1266" s="73"/>
      <c r="BF1266" s="73"/>
      <c r="BG1266" s="73"/>
      <c r="BH1266" s="73"/>
      <c r="BI1266" s="73"/>
      <c r="BJ1266" s="73"/>
      <c r="BK1266" s="73"/>
      <c r="BL1266" s="73"/>
      <c r="BM1266" s="73"/>
      <c r="BN1266" s="73"/>
      <c r="BO1266" s="73"/>
      <c r="BP1266" s="73"/>
      <c r="BQ1266" s="73"/>
      <c r="BR1266" s="73"/>
      <c r="BS1266" s="73"/>
      <c r="BT1266" s="73"/>
      <c r="BU1266" s="73"/>
      <c r="BV1266" s="73"/>
      <c r="BW1266" s="73"/>
      <c r="BX1266" s="73"/>
      <c r="BY1266" s="73"/>
      <c r="BZ1266" s="73"/>
      <c r="CA1266" s="73"/>
      <c r="CB1266" s="73"/>
      <c r="CC1266" s="73"/>
      <c r="CD1266" s="73"/>
      <c r="CE1266" s="73"/>
      <c r="CF1266" s="73"/>
      <c r="CG1266" s="73"/>
      <c r="CH1266" s="73"/>
      <c r="CI1266" s="73"/>
      <c r="CJ1266" s="73"/>
      <c r="CK1266" s="73"/>
      <c r="CL1266" s="73"/>
      <c r="CM1266" s="73"/>
      <c r="CN1266" s="73"/>
      <c r="CO1266" s="73"/>
      <c r="CP1266" s="73"/>
      <c r="CQ1266" s="73"/>
      <c r="CR1266" s="73"/>
      <c r="CS1266" s="73"/>
      <c r="CT1266" s="73"/>
      <c r="CU1266" s="73"/>
      <c r="CV1266" s="73"/>
      <c r="CW1266" s="73"/>
      <c r="CX1266" s="73"/>
      <c r="CY1266" s="73"/>
      <c r="CZ1266" s="73"/>
      <c r="DA1266" s="73"/>
      <c r="DB1266" s="73"/>
      <c r="DC1266" s="73"/>
      <c r="DD1266" s="73"/>
      <c r="DE1266" s="73"/>
      <c r="DF1266" s="73"/>
      <c r="DG1266" s="73"/>
      <c r="DH1266" s="73"/>
      <c r="DI1266" s="73"/>
      <c r="DJ1266" s="73"/>
      <c r="DK1266" s="73"/>
      <c r="DL1266" s="73"/>
      <c r="DM1266" s="73"/>
    </row>
    <row r="1267" spans="1:117" s="48" customFormat="1">
      <c r="A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M1267" s="73"/>
      <c r="CN1267" s="73"/>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c r="DM1267" s="73"/>
    </row>
    <row r="1268" spans="1:117" s="48" customFormat="1">
      <c r="A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M1268" s="73"/>
      <c r="CN1268" s="73"/>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c r="DM1268" s="73"/>
    </row>
    <row r="1269" spans="1:117" s="48" customFormat="1">
      <c r="A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M1269" s="73"/>
      <c r="CN1269" s="73"/>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c r="DM1269" s="73"/>
    </row>
    <row r="1270" spans="1:117" s="48" customFormat="1">
      <c r="A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M1270" s="73"/>
      <c r="CN1270" s="73"/>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c r="DM1270" s="73"/>
    </row>
    <row r="1271" spans="1:117" s="48" customFormat="1">
      <c r="A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M1271" s="73"/>
      <c r="CN1271" s="73"/>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c r="DM1271" s="73"/>
    </row>
    <row r="1272" spans="1:117" s="48" customFormat="1">
      <c r="A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M1272" s="73"/>
      <c r="CN1272" s="73"/>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c r="DM1272" s="73"/>
    </row>
    <row r="1273" spans="1:117" s="48" customFormat="1">
      <c r="A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M1273" s="73"/>
      <c r="CN1273" s="73"/>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c r="DM1273" s="73"/>
    </row>
    <row r="1274" spans="1:117" s="48" customFormat="1">
      <c r="A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M1274" s="73"/>
      <c r="CN1274" s="73"/>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c r="DM1274" s="73"/>
    </row>
    <row r="1275" spans="1:117" s="48" customFormat="1">
      <c r="A1275" s="73"/>
      <c r="T1275" s="73"/>
      <c r="U1275" s="73"/>
      <c r="V1275" s="73"/>
      <c r="W1275" s="73"/>
      <c r="X1275" s="73"/>
      <c r="Y1275" s="73"/>
      <c r="Z1275" s="73"/>
      <c r="AA1275" s="73"/>
      <c r="AB1275" s="73"/>
      <c r="AC1275" s="73"/>
      <c r="AD1275" s="73"/>
      <c r="AE1275" s="73"/>
      <c r="AF1275" s="73"/>
      <c r="AG1275" s="73"/>
      <c r="AH1275" s="73"/>
      <c r="AI1275" s="73"/>
      <c r="AJ1275" s="73"/>
      <c r="AK1275" s="73"/>
      <c r="AL1275" s="73"/>
      <c r="AM1275" s="73"/>
      <c r="AN1275" s="73"/>
      <c r="AO1275" s="73"/>
      <c r="AP1275" s="73"/>
      <c r="AQ1275" s="73"/>
      <c r="AR1275" s="73"/>
      <c r="AS1275" s="73"/>
      <c r="AT1275" s="73"/>
      <c r="AU1275" s="73"/>
      <c r="AV1275" s="73"/>
      <c r="AW1275" s="73"/>
      <c r="AX1275" s="73"/>
      <c r="AY1275" s="73"/>
      <c r="AZ1275" s="73"/>
      <c r="BA1275" s="73"/>
      <c r="BB1275" s="73"/>
      <c r="BC1275" s="73"/>
      <c r="BD1275" s="73"/>
      <c r="BE1275" s="73"/>
      <c r="BF1275" s="73"/>
      <c r="BG1275" s="73"/>
      <c r="BH1275" s="73"/>
      <c r="BI1275" s="73"/>
      <c r="BJ1275" s="73"/>
      <c r="BK1275" s="73"/>
      <c r="BL1275" s="73"/>
      <c r="BM1275" s="73"/>
      <c r="BN1275" s="73"/>
      <c r="BO1275" s="73"/>
      <c r="BP1275" s="73"/>
      <c r="BQ1275" s="73"/>
      <c r="BR1275" s="73"/>
      <c r="BS1275" s="73"/>
      <c r="BT1275" s="73"/>
      <c r="BU1275" s="73"/>
      <c r="BV1275" s="73"/>
      <c r="BW1275" s="73"/>
      <c r="BX1275" s="73"/>
      <c r="BY1275" s="73"/>
      <c r="BZ1275" s="73"/>
      <c r="CA1275" s="73"/>
      <c r="CB1275" s="73"/>
      <c r="CC1275" s="73"/>
      <c r="CD1275" s="73"/>
      <c r="CE1275" s="73"/>
      <c r="CF1275" s="73"/>
      <c r="CG1275" s="73"/>
      <c r="CH1275" s="73"/>
      <c r="CI1275" s="73"/>
      <c r="CJ1275" s="73"/>
      <c r="CK1275" s="73"/>
      <c r="CL1275" s="73"/>
      <c r="CM1275" s="73"/>
      <c r="CN1275" s="73"/>
      <c r="CO1275" s="73"/>
      <c r="CP1275" s="73"/>
      <c r="CQ1275" s="73"/>
      <c r="CR1275" s="73"/>
      <c r="CS1275" s="73"/>
      <c r="CT1275" s="73"/>
      <c r="CU1275" s="73"/>
      <c r="CV1275" s="73"/>
      <c r="CW1275" s="73"/>
      <c r="CX1275" s="73"/>
      <c r="CY1275" s="73"/>
      <c r="CZ1275" s="73"/>
      <c r="DA1275" s="73"/>
      <c r="DB1275" s="73"/>
      <c r="DC1275" s="73"/>
      <c r="DD1275" s="73"/>
      <c r="DE1275" s="73"/>
      <c r="DF1275" s="73"/>
      <c r="DG1275" s="73"/>
      <c r="DH1275" s="73"/>
      <c r="DI1275" s="73"/>
      <c r="DJ1275" s="73"/>
      <c r="DK1275" s="73"/>
      <c r="DL1275" s="73"/>
      <c r="DM1275" s="73"/>
    </row>
    <row r="1276" spans="1:117" s="48" customFormat="1">
      <c r="A1276" s="73"/>
      <c r="T1276" s="73"/>
      <c r="U1276" s="73"/>
      <c r="V1276" s="73"/>
      <c r="W1276" s="73"/>
      <c r="X1276" s="73"/>
      <c r="Y1276" s="73"/>
      <c r="Z1276" s="73"/>
      <c r="AA1276" s="73"/>
      <c r="AB1276" s="73"/>
      <c r="AC1276" s="73"/>
      <c r="AD1276" s="73"/>
      <c r="AE1276" s="73"/>
      <c r="AF1276" s="73"/>
      <c r="AG1276" s="73"/>
      <c r="AH1276" s="73"/>
      <c r="AI1276" s="73"/>
      <c r="AJ1276" s="73"/>
      <c r="AK1276" s="73"/>
      <c r="AL1276" s="73"/>
      <c r="AM1276" s="73"/>
      <c r="AN1276" s="73"/>
      <c r="AO1276" s="73"/>
      <c r="AP1276" s="73"/>
      <c r="AQ1276" s="73"/>
      <c r="AR1276" s="73"/>
      <c r="AS1276" s="73"/>
      <c r="AT1276" s="73"/>
      <c r="AU1276" s="73"/>
      <c r="AV1276" s="73"/>
      <c r="AW1276" s="73"/>
      <c r="AX1276" s="73"/>
      <c r="AY1276" s="73"/>
      <c r="AZ1276" s="73"/>
      <c r="BA1276" s="73"/>
      <c r="BB1276" s="73"/>
      <c r="BC1276" s="73"/>
      <c r="BD1276" s="73"/>
      <c r="BE1276" s="73"/>
      <c r="BF1276" s="73"/>
      <c r="BG1276" s="73"/>
      <c r="BH1276" s="73"/>
      <c r="BI1276" s="73"/>
      <c r="BJ1276" s="73"/>
      <c r="BK1276" s="73"/>
      <c r="BL1276" s="73"/>
      <c r="BM1276" s="73"/>
      <c r="BN1276" s="73"/>
      <c r="BO1276" s="73"/>
      <c r="BP1276" s="73"/>
      <c r="BQ1276" s="73"/>
      <c r="BR1276" s="73"/>
      <c r="BS1276" s="73"/>
      <c r="BT1276" s="73"/>
      <c r="BU1276" s="73"/>
      <c r="BV1276" s="73"/>
      <c r="BW1276" s="73"/>
      <c r="BX1276" s="73"/>
      <c r="BY1276" s="73"/>
      <c r="BZ1276" s="73"/>
      <c r="CA1276" s="73"/>
      <c r="CB1276" s="73"/>
      <c r="CC1276" s="73"/>
      <c r="CD1276" s="73"/>
      <c r="CE1276" s="73"/>
      <c r="CF1276" s="73"/>
      <c r="CG1276" s="73"/>
      <c r="CH1276" s="73"/>
      <c r="CI1276" s="73"/>
      <c r="CJ1276" s="73"/>
      <c r="CK1276" s="73"/>
      <c r="CL1276" s="73"/>
      <c r="CM1276" s="73"/>
      <c r="CN1276" s="73"/>
      <c r="CO1276" s="73"/>
      <c r="CP1276" s="73"/>
      <c r="CQ1276" s="73"/>
      <c r="CR1276" s="73"/>
      <c r="CS1276" s="73"/>
      <c r="CT1276" s="73"/>
      <c r="CU1276" s="73"/>
      <c r="CV1276" s="73"/>
      <c r="CW1276" s="73"/>
      <c r="CX1276" s="73"/>
      <c r="CY1276" s="73"/>
      <c r="CZ1276" s="73"/>
      <c r="DA1276" s="73"/>
      <c r="DB1276" s="73"/>
      <c r="DC1276" s="73"/>
      <c r="DD1276" s="73"/>
      <c r="DE1276" s="73"/>
      <c r="DF1276" s="73"/>
      <c r="DG1276" s="73"/>
      <c r="DH1276" s="73"/>
      <c r="DI1276" s="73"/>
      <c r="DJ1276" s="73"/>
      <c r="DK1276" s="73"/>
      <c r="DL1276" s="73"/>
      <c r="DM1276" s="73"/>
    </row>
    <row r="1277" spans="1:117" s="48" customFormat="1">
      <c r="A1277" s="73"/>
      <c r="T1277" s="73"/>
      <c r="U1277" s="73"/>
      <c r="V1277" s="73"/>
      <c r="W1277" s="73"/>
      <c r="X1277" s="73"/>
      <c r="Y1277" s="73"/>
      <c r="Z1277" s="73"/>
      <c r="AA1277" s="73"/>
      <c r="AB1277" s="73"/>
      <c r="AC1277" s="73"/>
      <c r="AD1277" s="73"/>
      <c r="AE1277" s="73"/>
      <c r="AF1277" s="73"/>
      <c r="AG1277" s="73"/>
      <c r="AH1277" s="73"/>
      <c r="AI1277" s="73"/>
      <c r="AJ1277" s="73"/>
      <c r="AK1277" s="73"/>
      <c r="AL1277" s="73"/>
      <c r="AM1277" s="73"/>
      <c r="AN1277" s="73"/>
      <c r="AO1277" s="73"/>
      <c r="AP1277" s="73"/>
      <c r="AQ1277" s="73"/>
      <c r="AR1277" s="73"/>
      <c r="AS1277" s="73"/>
      <c r="AT1277" s="73"/>
      <c r="AU1277" s="73"/>
      <c r="AV1277" s="73"/>
      <c r="AW1277" s="73"/>
      <c r="AX1277" s="73"/>
      <c r="AY1277" s="73"/>
      <c r="AZ1277" s="73"/>
      <c r="BA1277" s="73"/>
      <c r="BB1277" s="73"/>
      <c r="BC1277" s="73"/>
      <c r="BD1277" s="73"/>
      <c r="BE1277" s="73"/>
      <c r="BF1277" s="73"/>
      <c r="BG1277" s="73"/>
      <c r="BH1277" s="73"/>
      <c r="BI1277" s="73"/>
      <c r="BJ1277" s="73"/>
      <c r="BK1277" s="73"/>
      <c r="BL1277" s="73"/>
      <c r="BM1277" s="73"/>
      <c r="BN1277" s="73"/>
      <c r="BO1277" s="73"/>
      <c r="BP1277" s="73"/>
      <c r="BQ1277" s="73"/>
      <c r="BR1277" s="73"/>
      <c r="BS1277" s="73"/>
      <c r="BT1277" s="73"/>
      <c r="BU1277" s="73"/>
      <c r="BV1277" s="73"/>
      <c r="BW1277" s="73"/>
      <c r="BX1277" s="73"/>
      <c r="BY1277" s="73"/>
      <c r="BZ1277" s="73"/>
      <c r="CA1277" s="73"/>
      <c r="CB1277" s="73"/>
      <c r="CC1277" s="73"/>
      <c r="CD1277" s="73"/>
      <c r="CE1277" s="73"/>
      <c r="CF1277" s="73"/>
      <c r="CG1277" s="73"/>
      <c r="CH1277" s="73"/>
      <c r="CI1277" s="73"/>
      <c r="CJ1277" s="73"/>
      <c r="CK1277" s="73"/>
      <c r="CL1277" s="73"/>
      <c r="CM1277" s="73"/>
      <c r="CN1277" s="73"/>
      <c r="CO1277" s="73"/>
      <c r="CP1277" s="73"/>
      <c r="CQ1277" s="73"/>
      <c r="CR1277" s="73"/>
      <c r="CS1277" s="73"/>
      <c r="CT1277" s="73"/>
      <c r="CU1277" s="73"/>
      <c r="CV1277" s="73"/>
      <c r="CW1277" s="73"/>
      <c r="CX1277" s="73"/>
      <c r="CY1277" s="73"/>
      <c r="CZ1277" s="73"/>
      <c r="DA1277" s="73"/>
      <c r="DB1277" s="73"/>
      <c r="DC1277" s="73"/>
      <c r="DD1277" s="73"/>
      <c r="DE1277" s="73"/>
      <c r="DF1277" s="73"/>
      <c r="DG1277" s="73"/>
      <c r="DH1277" s="73"/>
      <c r="DI1277" s="73"/>
      <c r="DJ1277" s="73"/>
      <c r="DK1277" s="73"/>
      <c r="DL1277" s="73"/>
      <c r="DM1277" s="73"/>
    </row>
    <row r="1278" spans="1:117" s="48" customFormat="1">
      <c r="A1278" s="73"/>
      <c r="T1278" s="73"/>
      <c r="U1278" s="73"/>
      <c r="V1278" s="73"/>
      <c r="W1278" s="73"/>
      <c r="X1278" s="73"/>
      <c r="Y1278" s="73"/>
      <c r="Z1278" s="73"/>
      <c r="AA1278" s="73"/>
      <c r="AB1278" s="73"/>
      <c r="AC1278" s="73"/>
      <c r="AD1278" s="73"/>
      <c r="AE1278" s="73"/>
      <c r="AF1278" s="73"/>
      <c r="AG1278" s="73"/>
      <c r="AH1278" s="73"/>
      <c r="AI1278" s="73"/>
      <c r="AJ1278" s="73"/>
      <c r="AK1278" s="73"/>
      <c r="AL1278" s="73"/>
      <c r="AM1278" s="73"/>
      <c r="AN1278" s="73"/>
      <c r="AO1278" s="73"/>
      <c r="AP1278" s="73"/>
      <c r="AQ1278" s="73"/>
      <c r="AR1278" s="73"/>
      <c r="AS1278" s="73"/>
      <c r="AT1278" s="73"/>
      <c r="AU1278" s="73"/>
      <c r="AV1278" s="73"/>
      <c r="AW1278" s="73"/>
      <c r="AX1278" s="73"/>
      <c r="AY1278" s="73"/>
      <c r="AZ1278" s="73"/>
      <c r="BA1278" s="73"/>
      <c r="BB1278" s="73"/>
      <c r="BC1278" s="73"/>
      <c r="BD1278" s="73"/>
      <c r="BE1278" s="73"/>
      <c r="BF1278" s="73"/>
      <c r="BG1278" s="73"/>
      <c r="BH1278" s="73"/>
      <c r="BI1278" s="73"/>
      <c r="BJ1278" s="73"/>
      <c r="BK1278" s="73"/>
      <c r="BL1278" s="73"/>
      <c r="BM1278" s="73"/>
      <c r="BN1278" s="73"/>
      <c r="BO1278" s="73"/>
      <c r="BP1278" s="73"/>
      <c r="BQ1278" s="73"/>
      <c r="BR1278" s="73"/>
      <c r="BS1278" s="73"/>
      <c r="BT1278" s="73"/>
      <c r="BU1278" s="73"/>
      <c r="BV1278" s="73"/>
      <c r="BW1278" s="73"/>
      <c r="BX1278" s="73"/>
      <c r="BY1278" s="73"/>
      <c r="BZ1278" s="73"/>
      <c r="CA1278" s="73"/>
      <c r="CB1278" s="73"/>
      <c r="CC1278" s="73"/>
      <c r="CD1278" s="73"/>
      <c r="CE1278" s="73"/>
      <c r="CF1278" s="73"/>
      <c r="CG1278" s="73"/>
      <c r="CH1278" s="73"/>
      <c r="CI1278" s="73"/>
      <c r="CJ1278" s="73"/>
      <c r="CK1278" s="73"/>
      <c r="CL1278" s="73"/>
      <c r="CM1278" s="73"/>
      <c r="CN1278" s="73"/>
      <c r="CO1278" s="73"/>
      <c r="CP1278" s="73"/>
      <c r="CQ1278" s="73"/>
      <c r="CR1278" s="73"/>
      <c r="CS1278" s="73"/>
      <c r="CT1278" s="73"/>
      <c r="CU1278" s="73"/>
      <c r="CV1278" s="73"/>
      <c r="CW1278" s="73"/>
      <c r="CX1278" s="73"/>
      <c r="CY1278" s="73"/>
      <c r="CZ1278" s="73"/>
      <c r="DA1278" s="73"/>
      <c r="DB1278" s="73"/>
      <c r="DC1278" s="73"/>
      <c r="DD1278" s="73"/>
      <c r="DE1278" s="73"/>
      <c r="DF1278" s="73"/>
      <c r="DG1278" s="73"/>
      <c r="DH1278" s="73"/>
      <c r="DI1278" s="73"/>
      <c r="DJ1278" s="73"/>
      <c r="DK1278" s="73"/>
      <c r="DL1278" s="73"/>
      <c r="DM1278" s="73"/>
    </row>
    <row r="1279" spans="1:117" s="48" customFormat="1">
      <c r="A1279" s="73"/>
      <c r="T1279" s="73"/>
      <c r="U1279" s="73"/>
      <c r="V1279" s="73"/>
      <c r="W1279" s="73"/>
      <c r="X1279" s="73"/>
      <c r="Y1279" s="73"/>
      <c r="Z1279" s="73"/>
      <c r="AA1279" s="73"/>
      <c r="AB1279" s="73"/>
      <c r="AC1279" s="73"/>
      <c r="AD1279" s="73"/>
      <c r="AE1279" s="73"/>
      <c r="AF1279" s="73"/>
      <c r="AG1279" s="73"/>
      <c r="AH1279" s="73"/>
      <c r="AI1279" s="73"/>
      <c r="AJ1279" s="73"/>
      <c r="AK1279" s="73"/>
      <c r="AL1279" s="73"/>
      <c r="AM1279" s="73"/>
      <c r="AN1279" s="73"/>
      <c r="AO1279" s="73"/>
      <c r="AP1279" s="73"/>
      <c r="AQ1279" s="73"/>
      <c r="AR1279" s="73"/>
      <c r="AS1279" s="73"/>
      <c r="AT1279" s="73"/>
      <c r="AU1279" s="73"/>
      <c r="AV1279" s="73"/>
      <c r="AW1279" s="73"/>
      <c r="AX1279" s="73"/>
      <c r="AY1279" s="73"/>
      <c r="AZ1279" s="73"/>
      <c r="BA1279" s="73"/>
      <c r="BB1279" s="73"/>
      <c r="BC1279" s="73"/>
      <c r="BD1279" s="73"/>
      <c r="BE1279" s="73"/>
      <c r="BF1279" s="73"/>
      <c r="BG1279" s="73"/>
      <c r="BH1279" s="73"/>
      <c r="BI1279" s="73"/>
      <c r="BJ1279" s="73"/>
      <c r="BK1279" s="73"/>
      <c r="BL1279" s="73"/>
      <c r="BM1279" s="73"/>
      <c r="BN1279" s="73"/>
      <c r="BO1279" s="73"/>
      <c r="BP1279" s="73"/>
      <c r="BQ1279" s="73"/>
      <c r="BR1279" s="73"/>
      <c r="BS1279" s="73"/>
      <c r="BT1279" s="73"/>
      <c r="BU1279" s="73"/>
      <c r="BV1279" s="73"/>
      <c r="BW1279" s="73"/>
      <c r="BX1279" s="73"/>
      <c r="BY1279" s="73"/>
      <c r="BZ1279" s="73"/>
      <c r="CA1279" s="73"/>
      <c r="CB1279" s="73"/>
      <c r="CC1279" s="73"/>
      <c r="CD1279" s="73"/>
      <c r="CE1279" s="73"/>
      <c r="CF1279" s="73"/>
      <c r="CG1279" s="73"/>
      <c r="CH1279" s="73"/>
      <c r="CI1279" s="73"/>
      <c r="CJ1279" s="73"/>
      <c r="CK1279" s="73"/>
      <c r="CL1279" s="73"/>
      <c r="CM1279" s="73"/>
      <c r="CN1279" s="73"/>
      <c r="CO1279" s="73"/>
      <c r="CP1279" s="73"/>
      <c r="CQ1279" s="73"/>
      <c r="CR1279" s="73"/>
      <c r="CS1279" s="73"/>
      <c r="CT1279" s="73"/>
      <c r="CU1279" s="73"/>
      <c r="CV1279" s="73"/>
      <c r="CW1279" s="73"/>
      <c r="CX1279" s="73"/>
      <c r="CY1279" s="73"/>
      <c r="CZ1279" s="73"/>
      <c r="DA1279" s="73"/>
      <c r="DB1279" s="73"/>
      <c r="DC1279" s="73"/>
      <c r="DD1279" s="73"/>
      <c r="DE1279" s="73"/>
      <c r="DF1279" s="73"/>
      <c r="DG1279" s="73"/>
      <c r="DH1279" s="73"/>
      <c r="DI1279" s="73"/>
      <c r="DJ1279" s="73"/>
      <c r="DK1279" s="73"/>
      <c r="DL1279" s="73"/>
      <c r="DM1279" s="73"/>
    </row>
    <row r="1280" spans="1:117" s="48" customFormat="1">
      <c r="A1280" s="73"/>
      <c r="T1280" s="73"/>
      <c r="U1280" s="73"/>
      <c r="V1280" s="73"/>
      <c r="W1280" s="73"/>
      <c r="X1280" s="73"/>
      <c r="Y1280" s="73"/>
      <c r="Z1280" s="73"/>
      <c r="AA1280" s="73"/>
      <c r="AB1280" s="73"/>
      <c r="AC1280" s="73"/>
      <c r="AD1280" s="73"/>
      <c r="AE1280" s="73"/>
      <c r="AF1280" s="73"/>
      <c r="AG1280" s="73"/>
      <c r="AH1280" s="73"/>
      <c r="AI1280" s="73"/>
      <c r="AJ1280" s="73"/>
      <c r="AK1280" s="73"/>
      <c r="AL1280" s="73"/>
      <c r="AM1280" s="73"/>
      <c r="AN1280" s="73"/>
      <c r="AO1280" s="73"/>
      <c r="AP1280" s="73"/>
      <c r="AQ1280" s="73"/>
      <c r="AR1280" s="73"/>
      <c r="AS1280" s="73"/>
      <c r="AT1280" s="73"/>
      <c r="AU1280" s="73"/>
      <c r="AV1280" s="73"/>
      <c r="AW1280" s="73"/>
      <c r="AX1280" s="73"/>
      <c r="AY1280" s="73"/>
      <c r="AZ1280" s="73"/>
      <c r="BA1280" s="73"/>
      <c r="BB1280" s="73"/>
      <c r="BC1280" s="73"/>
      <c r="BD1280" s="73"/>
      <c r="BE1280" s="73"/>
      <c r="BF1280" s="73"/>
      <c r="BG1280" s="73"/>
      <c r="BH1280" s="73"/>
      <c r="BI1280" s="73"/>
      <c r="BJ1280" s="73"/>
      <c r="BK1280" s="73"/>
      <c r="BL1280" s="73"/>
      <c r="BM1280" s="73"/>
      <c r="BN1280" s="73"/>
      <c r="BO1280" s="73"/>
      <c r="BP1280" s="73"/>
      <c r="BQ1280" s="73"/>
      <c r="BR1280" s="73"/>
      <c r="BS1280" s="73"/>
      <c r="BT1280" s="73"/>
      <c r="BU1280" s="73"/>
      <c r="BV1280" s="73"/>
      <c r="BW1280" s="73"/>
      <c r="BX1280" s="73"/>
      <c r="BY1280" s="73"/>
      <c r="BZ1280" s="73"/>
      <c r="CA1280" s="73"/>
      <c r="CB1280" s="73"/>
      <c r="CC1280" s="73"/>
      <c r="CD1280" s="73"/>
      <c r="CE1280" s="73"/>
      <c r="CF1280" s="73"/>
      <c r="CG1280" s="73"/>
      <c r="CH1280" s="73"/>
      <c r="CI1280" s="73"/>
      <c r="CJ1280" s="73"/>
      <c r="CK1280" s="73"/>
      <c r="CL1280" s="73"/>
      <c r="CM1280" s="73"/>
      <c r="CN1280" s="73"/>
      <c r="CO1280" s="73"/>
      <c r="CP1280" s="73"/>
      <c r="CQ1280" s="73"/>
      <c r="CR1280" s="73"/>
      <c r="CS1280" s="73"/>
      <c r="CT1280" s="73"/>
      <c r="CU1280" s="73"/>
      <c r="CV1280" s="73"/>
      <c r="CW1280" s="73"/>
      <c r="CX1280" s="73"/>
      <c r="CY1280" s="73"/>
      <c r="CZ1280" s="73"/>
      <c r="DA1280" s="73"/>
      <c r="DB1280" s="73"/>
      <c r="DC1280" s="73"/>
      <c r="DD1280" s="73"/>
      <c r="DE1280" s="73"/>
      <c r="DF1280" s="73"/>
      <c r="DG1280" s="73"/>
      <c r="DH1280" s="73"/>
      <c r="DI1280" s="73"/>
      <c r="DJ1280" s="73"/>
      <c r="DK1280" s="73"/>
      <c r="DL1280" s="73"/>
      <c r="DM1280" s="73"/>
    </row>
    <row r="1281" spans="1:117" s="48" customFormat="1">
      <c r="A1281" s="73"/>
      <c r="T1281" s="73"/>
      <c r="U1281" s="73"/>
      <c r="V1281" s="73"/>
      <c r="W1281" s="73"/>
      <c r="X1281" s="73"/>
      <c r="Y1281" s="73"/>
      <c r="Z1281" s="73"/>
      <c r="AA1281" s="73"/>
      <c r="AB1281" s="73"/>
      <c r="AC1281" s="73"/>
      <c r="AD1281" s="73"/>
      <c r="AE1281" s="73"/>
      <c r="AF1281" s="73"/>
      <c r="AG1281" s="73"/>
      <c r="AH1281" s="73"/>
      <c r="AI1281" s="73"/>
      <c r="AJ1281" s="73"/>
      <c r="AK1281" s="73"/>
      <c r="AL1281" s="73"/>
      <c r="AM1281" s="73"/>
      <c r="AN1281" s="73"/>
      <c r="AO1281" s="73"/>
      <c r="AP1281" s="73"/>
      <c r="AQ1281" s="73"/>
      <c r="AR1281" s="73"/>
      <c r="AS1281" s="73"/>
      <c r="AT1281" s="73"/>
      <c r="AU1281" s="73"/>
      <c r="AV1281" s="73"/>
      <c r="AW1281" s="73"/>
      <c r="AX1281" s="73"/>
      <c r="AY1281" s="73"/>
      <c r="AZ1281" s="73"/>
      <c r="BA1281" s="73"/>
      <c r="BB1281" s="73"/>
      <c r="BC1281" s="73"/>
      <c r="BD1281" s="73"/>
      <c r="BE1281" s="73"/>
      <c r="BF1281" s="73"/>
      <c r="BG1281" s="73"/>
      <c r="BH1281" s="73"/>
      <c r="BI1281" s="73"/>
      <c r="BJ1281" s="73"/>
      <c r="BK1281" s="73"/>
      <c r="BL1281" s="73"/>
      <c r="BM1281" s="73"/>
      <c r="BN1281" s="73"/>
      <c r="BO1281" s="73"/>
      <c r="BP1281" s="73"/>
      <c r="BQ1281" s="73"/>
      <c r="BR1281" s="73"/>
      <c r="BS1281" s="73"/>
      <c r="BT1281" s="73"/>
      <c r="BU1281" s="73"/>
      <c r="BV1281" s="73"/>
      <c r="BW1281" s="73"/>
      <c r="BX1281" s="73"/>
      <c r="BY1281" s="73"/>
      <c r="BZ1281" s="73"/>
      <c r="CA1281" s="73"/>
      <c r="CB1281" s="73"/>
      <c r="CC1281" s="73"/>
      <c r="CD1281" s="73"/>
      <c r="CE1281" s="73"/>
      <c r="CF1281" s="73"/>
      <c r="CG1281" s="73"/>
      <c r="CH1281" s="73"/>
      <c r="CI1281" s="73"/>
      <c r="CJ1281" s="73"/>
      <c r="CK1281" s="73"/>
      <c r="CL1281" s="73"/>
      <c r="CM1281" s="73"/>
      <c r="CN1281" s="73"/>
      <c r="CO1281" s="73"/>
      <c r="CP1281" s="73"/>
      <c r="CQ1281" s="73"/>
      <c r="CR1281" s="73"/>
      <c r="CS1281" s="73"/>
      <c r="CT1281" s="73"/>
      <c r="CU1281" s="73"/>
      <c r="CV1281" s="73"/>
      <c r="CW1281" s="73"/>
      <c r="CX1281" s="73"/>
      <c r="CY1281" s="73"/>
      <c r="CZ1281" s="73"/>
      <c r="DA1281" s="73"/>
      <c r="DB1281" s="73"/>
      <c r="DC1281" s="73"/>
      <c r="DD1281" s="73"/>
      <c r="DE1281" s="73"/>
      <c r="DF1281" s="73"/>
      <c r="DG1281" s="73"/>
      <c r="DH1281" s="73"/>
      <c r="DI1281" s="73"/>
      <c r="DJ1281" s="73"/>
      <c r="DK1281" s="73"/>
      <c r="DL1281" s="73"/>
      <c r="DM1281" s="73"/>
    </row>
    <row r="1282" spans="1:117" s="48" customFormat="1">
      <c r="A1282" s="73"/>
      <c r="T1282" s="73"/>
      <c r="U1282" s="73"/>
      <c r="V1282" s="73"/>
      <c r="W1282" s="73"/>
      <c r="X1282" s="73"/>
      <c r="Y1282" s="73"/>
      <c r="Z1282" s="73"/>
      <c r="AA1282" s="73"/>
      <c r="AB1282" s="73"/>
      <c r="AC1282" s="73"/>
      <c r="AD1282" s="73"/>
      <c r="AE1282" s="73"/>
      <c r="AF1282" s="73"/>
      <c r="AG1282" s="73"/>
      <c r="AH1282" s="73"/>
      <c r="AI1282" s="73"/>
      <c r="AJ1282" s="73"/>
      <c r="AK1282" s="73"/>
      <c r="AL1282" s="73"/>
      <c r="AM1282" s="73"/>
      <c r="AN1282" s="73"/>
      <c r="AO1282" s="73"/>
      <c r="AP1282" s="73"/>
      <c r="AQ1282" s="73"/>
      <c r="AR1282" s="73"/>
      <c r="AS1282" s="73"/>
      <c r="AT1282" s="73"/>
      <c r="AU1282" s="73"/>
      <c r="AV1282" s="73"/>
      <c r="AW1282" s="73"/>
      <c r="AX1282" s="73"/>
      <c r="AY1282" s="73"/>
      <c r="AZ1282" s="73"/>
      <c r="BA1282" s="73"/>
      <c r="BB1282" s="73"/>
      <c r="BC1282" s="73"/>
      <c r="BD1282" s="73"/>
      <c r="BE1282" s="73"/>
      <c r="BF1282" s="73"/>
      <c r="BG1282" s="73"/>
      <c r="BH1282" s="73"/>
      <c r="BI1282" s="73"/>
      <c r="BJ1282" s="73"/>
      <c r="BK1282" s="73"/>
      <c r="BL1282" s="73"/>
      <c r="BM1282" s="73"/>
      <c r="BN1282" s="73"/>
      <c r="BO1282" s="73"/>
      <c r="BP1282" s="73"/>
      <c r="BQ1282" s="73"/>
      <c r="BR1282" s="73"/>
      <c r="BS1282" s="73"/>
      <c r="BT1282" s="73"/>
      <c r="BU1282" s="73"/>
      <c r="BV1282" s="73"/>
      <c r="BW1282" s="73"/>
      <c r="BX1282" s="73"/>
      <c r="BY1282" s="73"/>
      <c r="BZ1282" s="73"/>
      <c r="CA1282" s="73"/>
      <c r="CB1282" s="73"/>
      <c r="CC1282" s="73"/>
      <c r="CD1282" s="73"/>
      <c r="CE1282" s="73"/>
      <c r="CF1282" s="73"/>
      <c r="CG1282" s="73"/>
      <c r="CH1282" s="73"/>
      <c r="CI1282" s="73"/>
      <c r="CJ1282" s="73"/>
      <c r="CK1282" s="73"/>
      <c r="CL1282" s="73"/>
      <c r="CM1282" s="73"/>
      <c r="CN1282" s="73"/>
      <c r="CO1282" s="73"/>
      <c r="CP1282" s="73"/>
      <c r="CQ1282" s="73"/>
      <c r="CR1282" s="73"/>
      <c r="CS1282" s="73"/>
      <c r="CT1282" s="73"/>
      <c r="CU1282" s="73"/>
      <c r="CV1282" s="73"/>
      <c r="CW1282" s="73"/>
      <c r="CX1282" s="73"/>
      <c r="CY1282" s="73"/>
      <c r="CZ1282" s="73"/>
      <c r="DA1282" s="73"/>
      <c r="DB1282" s="73"/>
      <c r="DC1282" s="73"/>
      <c r="DD1282" s="73"/>
      <c r="DE1282" s="73"/>
      <c r="DF1282" s="73"/>
      <c r="DG1282" s="73"/>
      <c r="DH1282" s="73"/>
      <c r="DI1282" s="73"/>
      <c r="DJ1282" s="73"/>
      <c r="DK1282" s="73"/>
      <c r="DL1282" s="73"/>
      <c r="DM1282" s="73"/>
    </row>
    <row r="1283" spans="1:117" s="48" customFormat="1">
      <c r="A1283" s="73"/>
      <c r="T1283" s="73"/>
      <c r="U1283" s="73"/>
      <c r="V1283" s="73"/>
      <c r="W1283" s="73"/>
      <c r="X1283" s="73"/>
      <c r="Y1283" s="73"/>
      <c r="Z1283" s="73"/>
      <c r="AA1283" s="73"/>
      <c r="AB1283" s="73"/>
      <c r="AC1283" s="73"/>
      <c r="AD1283" s="73"/>
      <c r="AE1283" s="73"/>
      <c r="AF1283" s="73"/>
      <c r="AG1283" s="73"/>
      <c r="AH1283" s="73"/>
      <c r="AI1283" s="73"/>
      <c r="AJ1283" s="73"/>
      <c r="AK1283" s="73"/>
      <c r="AL1283" s="73"/>
      <c r="AM1283" s="73"/>
      <c r="AN1283" s="73"/>
      <c r="AO1283" s="73"/>
      <c r="AP1283" s="73"/>
      <c r="AQ1283" s="73"/>
      <c r="AR1283" s="73"/>
      <c r="AS1283" s="73"/>
      <c r="AT1283" s="73"/>
      <c r="AU1283" s="73"/>
      <c r="AV1283" s="73"/>
      <c r="AW1283" s="73"/>
      <c r="AX1283" s="73"/>
      <c r="AY1283" s="73"/>
      <c r="AZ1283" s="73"/>
      <c r="BA1283" s="73"/>
      <c r="BB1283" s="73"/>
      <c r="BC1283" s="73"/>
      <c r="BD1283" s="73"/>
      <c r="BE1283" s="73"/>
      <c r="BF1283" s="73"/>
      <c r="BG1283" s="73"/>
      <c r="BH1283" s="73"/>
      <c r="BI1283" s="73"/>
      <c r="BJ1283" s="73"/>
      <c r="BK1283" s="73"/>
      <c r="BL1283" s="73"/>
      <c r="BM1283" s="73"/>
      <c r="BN1283" s="73"/>
      <c r="BO1283" s="73"/>
      <c r="BP1283" s="73"/>
      <c r="BQ1283" s="73"/>
      <c r="BR1283" s="73"/>
      <c r="BS1283" s="73"/>
      <c r="BT1283" s="73"/>
      <c r="BU1283" s="73"/>
      <c r="BV1283" s="73"/>
      <c r="BW1283" s="73"/>
      <c r="BX1283" s="73"/>
      <c r="BY1283" s="73"/>
      <c r="BZ1283" s="73"/>
      <c r="CA1283" s="73"/>
      <c r="CB1283" s="73"/>
      <c r="CC1283" s="73"/>
      <c r="CD1283" s="73"/>
      <c r="CE1283" s="73"/>
      <c r="CF1283" s="73"/>
      <c r="CG1283" s="73"/>
      <c r="CH1283" s="73"/>
      <c r="CI1283" s="73"/>
      <c r="CJ1283" s="73"/>
      <c r="CK1283" s="73"/>
      <c r="CL1283" s="73"/>
      <c r="CM1283" s="73"/>
      <c r="CN1283" s="73"/>
      <c r="CO1283" s="73"/>
      <c r="CP1283" s="73"/>
      <c r="CQ1283" s="73"/>
      <c r="CR1283" s="73"/>
      <c r="CS1283" s="73"/>
      <c r="CT1283" s="73"/>
      <c r="CU1283" s="73"/>
      <c r="CV1283" s="73"/>
      <c r="CW1283" s="73"/>
      <c r="CX1283" s="73"/>
      <c r="CY1283" s="73"/>
      <c r="CZ1283" s="73"/>
      <c r="DA1283" s="73"/>
      <c r="DB1283" s="73"/>
      <c r="DC1283" s="73"/>
      <c r="DD1283" s="73"/>
      <c r="DE1283" s="73"/>
      <c r="DF1283" s="73"/>
      <c r="DG1283" s="73"/>
      <c r="DH1283" s="73"/>
      <c r="DI1283" s="73"/>
      <c r="DJ1283" s="73"/>
      <c r="DK1283" s="73"/>
      <c r="DL1283" s="73"/>
      <c r="DM1283" s="73"/>
    </row>
    <row r="1284" spans="1:117" s="48" customFormat="1">
      <c r="A1284" s="73"/>
      <c r="T1284" s="73"/>
      <c r="U1284" s="73"/>
      <c r="V1284" s="73"/>
      <c r="W1284" s="73"/>
      <c r="X1284" s="73"/>
      <c r="Y1284" s="73"/>
      <c r="Z1284" s="73"/>
      <c r="AA1284" s="73"/>
      <c r="AB1284" s="73"/>
      <c r="AC1284" s="73"/>
      <c r="AD1284" s="73"/>
      <c r="AE1284" s="73"/>
      <c r="AF1284" s="73"/>
      <c r="AG1284" s="73"/>
      <c r="AH1284" s="73"/>
      <c r="AI1284" s="73"/>
      <c r="AJ1284" s="73"/>
      <c r="AK1284" s="73"/>
      <c r="AL1284" s="73"/>
      <c r="AM1284" s="73"/>
      <c r="AN1284" s="73"/>
      <c r="AO1284" s="73"/>
      <c r="AP1284" s="73"/>
      <c r="AQ1284" s="73"/>
      <c r="AR1284" s="73"/>
      <c r="AS1284" s="73"/>
      <c r="AT1284" s="73"/>
      <c r="AU1284" s="73"/>
      <c r="AV1284" s="73"/>
      <c r="AW1284" s="73"/>
      <c r="AX1284" s="73"/>
      <c r="AY1284" s="73"/>
      <c r="AZ1284" s="73"/>
      <c r="BA1284" s="73"/>
      <c r="BB1284" s="73"/>
      <c r="BC1284" s="73"/>
      <c r="BD1284" s="73"/>
      <c r="BE1284" s="73"/>
      <c r="BF1284" s="73"/>
      <c r="BG1284" s="73"/>
      <c r="BH1284" s="73"/>
      <c r="BI1284" s="73"/>
      <c r="BJ1284" s="73"/>
      <c r="BK1284" s="73"/>
      <c r="BL1284" s="73"/>
      <c r="BM1284" s="73"/>
      <c r="BN1284" s="73"/>
      <c r="BO1284" s="73"/>
      <c r="BP1284" s="73"/>
      <c r="BQ1284" s="73"/>
      <c r="BR1284" s="73"/>
      <c r="BS1284" s="73"/>
      <c r="BT1284" s="73"/>
      <c r="BU1284" s="73"/>
      <c r="BV1284" s="73"/>
      <c r="BW1284" s="73"/>
      <c r="BX1284" s="73"/>
      <c r="BY1284" s="73"/>
      <c r="BZ1284" s="73"/>
      <c r="CA1284" s="73"/>
      <c r="CB1284" s="73"/>
      <c r="CC1284" s="73"/>
      <c r="CD1284" s="73"/>
      <c r="CE1284" s="73"/>
      <c r="CF1284" s="73"/>
      <c r="CG1284" s="73"/>
      <c r="CH1284" s="73"/>
      <c r="CI1284" s="73"/>
      <c r="CJ1284" s="73"/>
      <c r="CK1284" s="73"/>
      <c r="CL1284" s="73"/>
      <c r="CM1284" s="73"/>
      <c r="CN1284" s="73"/>
      <c r="CO1284" s="73"/>
      <c r="CP1284" s="73"/>
      <c r="CQ1284" s="73"/>
      <c r="CR1284" s="73"/>
      <c r="CS1284" s="73"/>
      <c r="CT1284" s="73"/>
      <c r="CU1284" s="73"/>
      <c r="CV1284" s="73"/>
      <c r="CW1284" s="73"/>
      <c r="CX1284" s="73"/>
      <c r="CY1284" s="73"/>
      <c r="CZ1284" s="73"/>
      <c r="DA1284" s="73"/>
      <c r="DB1284" s="73"/>
      <c r="DC1284" s="73"/>
      <c r="DD1284" s="73"/>
      <c r="DE1284" s="73"/>
      <c r="DF1284" s="73"/>
      <c r="DG1284" s="73"/>
      <c r="DH1284" s="73"/>
      <c r="DI1284" s="73"/>
      <c r="DJ1284" s="73"/>
      <c r="DK1284" s="73"/>
      <c r="DL1284" s="73"/>
      <c r="DM1284" s="73"/>
    </row>
    <row r="1285" spans="1:117" s="48" customFormat="1">
      <c r="A1285" s="73"/>
      <c r="T1285" s="73"/>
      <c r="U1285" s="73"/>
      <c r="V1285" s="73"/>
      <c r="W1285" s="73"/>
      <c r="X1285" s="73"/>
      <c r="Y1285" s="73"/>
      <c r="Z1285" s="73"/>
      <c r="AA1285" s="73"/>
      <c r="AB1285" s="73"/>
      <c r="AC1285" s="73"/>
      <c r="AD1285" s="73"/>
      <c r="AE1285" s="73"/>
      <c r="AF1285" s="73"/>
      <c r="AG1285" s="73"/>
      <c r="AH1285" s="73"/>
      <c r="AI1285" s="73"/>
      <c r="AJ1285" s="73"/>
      <c r="AK1285" s="73"/>
      <c r="AL1285" s="73"/>
      <c r="AM1285" s="73"/>
      <c r="AN1285" s="73"/>
      <c r="AO1285" s="73"/>
      <c r="AP1285" s="73"/>
      <c r="AQ1285" s="73"/>
      <c r="AR1285" s="73"/>
      <c r="AS1285" s="73"/>
      <c r="AT1285" s="73"/>
      <c r="AU1285" s="73"/>
      <c r="AV1285" s="73"/>
      <c r="AW1285" s="73"/>
      <c r="AX1285" s="73"/>
      <c r="AY1285" s="73"/>
      <c r="AZ1285" s="73"/>
      <c r="BA1285" s="73"/>
      <c r="BB1285" s="73"/>
      <c r="BC1285" s="73"/>
      <c r="BD1285" s="73"/>
      <c r="BE1285" s="73"/>
      <c r="BF1285" s="73"/>
      <c r="BG1285" s="73"/>
      <c r="BH1285" s="73"/>
      <c r="BI1285" s="73"/>
      <c r="BJ1285" s="73"/>
      <c r="BK1285" s="73"/>
      <c r="BL1285" s="73"/>
      <c r="BM1285" s="73"/>
      <c r="BN1285" s="73"/>
      <c r="BO1285" s="73"/>
      <c r="BP1285" s="73"/>
      <c r="BQ1285" s="73"/>
      <c r="BR1285" s="73"/>
      <c r="BS1285" s="73"/>
      <c r="BT1285" s="73"/>
      <c r="BU1285" s="73"/>
      <c r="BV1285" s="73"/>
      <c r="BW1285" s="73"/>
      <c r="BX1285" s="73"/>
      <c r="BY1285" s="73"/>
      <c r="BZ1285" s="73"/>
      <c r="CA1285" s="73"/>
      <c r="CB1285" s="73"/>
      <c r="CC1285" s="73"/>
      <c r="CD1285" s="73"/>
      <c r="CE1285" s="73"/>
      <c r="CF1285" s="73"/>
      <c r="CG1285" s="73"/>
      <c r="CH1285" s="73"/>
      <c r="CI1285" s="73"/>
      <c r="CJ1285" s="73"/>
      <c r="CK1285" s="73"/>
      <c r="CL1285" s="73"/>
      <c r="CM1285" s="73"/>
      <c r="CN1285" s="73"/>
      <c r="CO1285" s="73"/>
      <c r="CP1285" s="73"/>
      <c r="CQ1285" s="73"/>
      <c r="CR1285" s="73"/>
      <c r="CS1285" s="73"/>
      <c r="CT1285" s="73"/>
      <c r="CU1285" s="73"/>
      <c r="CV1285" s="73"/>
      <c r="CW1285" s="73"/>
      <c r="CX1285" s="73"/>
      <c r="CY1285" s="73"/>
      <c r="CZ1285" s="73"/>
      <c r="DA1285" s="73"/>
      <c r="DB1285" s="73"/>
      <c r="DC1285" s="73"/>
      <c r="DD1285" s="73"/>
      <c r="DE1285" s="73"/>
      <c r="DF1285" s="73"/>
      <c r="DG1285" s="73"/>
      <c r="DH1285" s="73"/>
      <c r="DI1285" s="73"/>
      <c r="DJ1285" s="73"/>
      <c r="DK1285" s="73"/>
      <c r="DL1285" s="73"/>
      <c r="DM1285" s="73"/>
    </row>
    <row r="1286" spans="1:117" s="48" customFormat="1">
      <c r="A1286" s="73"/>
      <c r="T1286" s="73"/>
      <c r="U1286" s="73"/>
      <c r="V1286" s="73"/>
      <c r="W1286" s="73"/>
      <c r="X1286" s="73"/>
      <c r="Y1286" s="73"/>
      <c r="Z1286" s="73"/>
      <c r="AA1286" s="73"/>
      <c r="AB1286" s="73"/>
      <c r="AC1286" s="73"/>
      <c r="AD1286" s="73"/>
      <c r="AE1286" s="73"/>
      <c r="AF1286" s="73"/>
      <c r="AG1286" s="73"/>
      <c r="AH1286" s="73"/>
      <c r="AI1286" s="73"/>
      <c r="AJ1286" s="73"/>
      <c r="AK1286" s="73"/>
      <c r="AL1286" s="73"/>
      <c r="AM1286" s="73"/>
      <c r="AN1286" s="73"/>
      <c r="AO1286" s="73"/>
      <c r="AP1286" s="73"/>
      <c r="AQ1286" s="73"/>
      <c r="AR1286" s="73"/>
      <c r="AS1286" s="73"/>
      <c r="AT1286" s="73"/>
      <c r="AU1286" s="73"/>
      <c r="AV1286" s="73"/>
      <c r="AW1286" s="73"/>
      <c r="AX1286" s="73"/>
      <c r="AY1286" s="73"/>
      <c r="AZ1286" s="73"/>
      <c r="BA1286" s="73"/>
      <c r="BB1286" s="73"/>
      <c r="BC1286" s="73"/>
      <c r="BD1286" s="73"/>
      <c r="BE1286" s="73"/>
      <c r="BF1286" s="73"/>
      <c r="BG1286" s="73"/>
      <c r="BH1286" s="73"/>
      <c r="BI1286" s="73"/>
      <c r="BJ1286" s="73"/>
      <c r="BK1286" s="73"/>
      <c r="BL1286" s="73"/>
      <c r="BM1286" s="73"/>
      <c r="BN1286" s="73"/>
      <c r="BO1286" s="73"/>
      <c r="BP1286" s="73"/>
      <c r="BQ1286" s="73"/>
      <c r="BR1286" s="73"/>
      <c r="BS1286" s="73"/>
      <c r="BT1286" s="73"/>
      <c r="BU1286" s="73"/>
      <c r="BV1286" s="73"/>
      <c r="BW1286" s="73"/>
      <c r="BX1286" s="73"/>
      <c r="BY1286" s="73"/>
      <c r="BZ1286" s="73"/>
      <c r="CA1286" s="73"/>
      <c r="CB1286" s="73"/>
      <c r="CC1286" s="73"/>
      <c r="CD1286" s="73"/>
      <c r="CE1286" s="73"/>
      <c r="CF1286" s="73"/>
      <c r="CG1286" s="73"/>
      <c r="CH1286" s="73"/>
      <c r="CI1286" s="73"/>
      <c r="CJ1286" s="73"/>
      <c r="CK1286" s="73"/>
      <c r="CL1286" s="73"/>
      <c r="CM1286" s="73"/>
      <c r="CN1286" s="73"/>
      <c r="CO1286" s="73"/>
      <c r="CP1286" s="73"/>
      <c r="CQ1286" s="73"/>
      <c r="CR1286" s="73"/>
      <c r="CS1286" s="73"/>
      <c r="CT1286" s="73"/>
      <c r="CU1286" s="73"/>
      <c r="CV1286" s="73"/>
      <c r="CW1286" s="73"/>
      <c r="CX1286" s="73"/>
      <c r="CY1286" s="73"/>
      <c r="CZ1286" s="73"/>
      <c r="DA1286" s="73"/>
      <c r="DB1286" s="73"/>
      <c r="DC1286" s="73"/>
      <c r="DD1286" s="73"/>
      <c r="DE1286" s="73"/>
      <c r="DF1286" s="73"/>
      <c r="DG1286" s="73"/>
      <c r="DH1286" s="73"/>
      <c r="DI1286" s="73"/>
      <c r="DJ1286" s="73"/>
      <c r="DK1286" s="73"/>
      <c r="DL1286" s="73"/>
      <c r="DM1286" s="73"/>
    </row>
    <row r="1287" spans="1:117" s="48" customFormat="1">
      <c r="A1287" s="73"/>
      <c r="T1287" s="73"/>
      <c r="U1287" s="73"/>
      <c r="V1287" s="73"/>
      <c r="W1287" s="73"/>
      <c r="X1287" s="73"/>
      <c r="Y1287" s="73"/>
      <c r="Z1287" s="73"/>
      <c r="AA1287" s="73"/>
      <c r="AB1287" s="73"/>
      <c r="AC1287" s="73"/>
      <c r="AD1287" s="73"/>
      <c r="AE1287" s="73"/>
      <c r="AF1287" s="73"/>
      <c r="AG1287" s="73"/>
      <c r="AH1287" s="73"/>
      <c r="AI1287" s="73"/>
      <c r="AJ1287" s="73"/>
      <c r="AK1287" s="73"/>
      <c r="AL1287" s="73"/>
      <c r="AM1287" s="73"/>
      <c r="AN1287" s="73"/>
      <c r="AO1287" s="73"/>
      <c r="AP1287" s="73"/>
      <c r="AQ1287" s="73"/>
      <c r="AR1287" s="73"/>
      <c r="AS1287" s="73"/>
      <c r="AT1287" s="73"/>
      <c r="AU1287" s="73"/>
      <c r="AV1287" s="73"/>
      <c r="AW1287" s="73"/>
      <c r="AX1287" s="73"/>
      <c r="AY1287" s="73"/>
      <c r="AZ1287" s="73"/>
      <c r="BA1287" s="73"/>
      <c r="BB1287" s="73"/>
      <c r="BC1287" s="73"/>
      <c r="BD1287" s="73"/>
      <c r="BE1287" s="73"/>
      <c r="BF1287" s="73"/>
      <c r="BG1287" s="73"/>
      <c r="BH1287" s="73"/>
      <c r="BI1287" s="73"/>
      <c r="BJ1287" s="73"/>
      <c r="BK1287" s="73"/>
      <c r="BL1287" s="73"/>
      <c r="BM1287" s="73"/>
      <c r="BN1287" s="73"/>
      <c r="BO1287" s="73"/>
      <c r="BP1287" s="73"/>
      <c r="BQ1287" s="73"/>
      <c r="BR1287" s="73"/>
      <c r="BS1287" s="73"/>
      <c r="BT1287" s="73"/>
      <c r="BU1287" s="73"/>
      <c r="BV1287" s="73"/>
      <c r="BW1287" s="73"/>
      <c r="BX1287" s="73"/>
      <c r="BY1287" s="73"/>
      <c r="BZ1287" s="73"/>
      <c r="CA1287" s="73"/>
      <c r="CB1287" s="73"/>
      <c r="CC1287" s="73"/>
      <c r="CD1287" s="73"/>
      <c r="CE1287" s="73"/>
      <c r="CF1287" s="73"/>
      <c r="CG1287" s="73"/>
      <c r="CH1287" s="73"/>
      <c r="CI1287" s="73"/>
      <c r="CJ1287" s="73"/>
      <c r="CK1287" s="73"/>
      <c r="CL1287" s="73"/>
      <c r="CM1287" s="73"/>
      <c r="CN1287" s="73"/>
      <c r="CO1287" s="73"/>
      <c r="CP1287" s="73"/>
      <c r="CQ1287" s="73"/>
      <c r="CR1287" s="73"/>
      <c r="CS1287" s="73"/>
      <c r="CT1287" s="73"/>
      <c r="CU1287" s="73"/>
      <c r="CV1287" s="73"/>
      <c r="CW1287" s="73"/>
      <c r="CX1287" s="73"/>
      <c r="CY1287" s="73"/>
      <c r="CZ1287" s="73"/>
      <c r="DA1287" s="73"/>
      <c r="DB1287" s="73"/>
      <c r="DC1287" s="73"/>
      <c r="DD1287" s="73"/>
      <c r="DE1287" s="73"/>
      <c r="DF1287" s="73"/>
      <c r="DG1287" s="73"/>
      <c r="DH1287" s="73"/>
      <c r="DI1287" s="73"/>
      <c r="DJ1287" s="73"/>
      <c r="DK1287" s="73"/>
      <c r="DL1287" s="73"/>
      <c r="DM1287" s="73"/>
    </row>
    <row r="1288" spans="1:117" s="48" customFormat="1">
      <c r="A1288" s="73"/>
      <c r="T1288" s="73"/>
      <c r="U1288" s="73"/>
      <c r="V1288" s="73"/>
      <c r="W1288" s="73"/>
      <c r="X1288" s="73"/>
      <c r="Y1288" s="73"/>
      <c r="Z1288" s="73"/>
      <c r="AA1288" s="73"/>
      <c r="AB1288" s="73"/>
      <c r="AC1288" s="73"/>
      <c r="AD1288" s="73"/>
      <c r="AE1288" s="73"/>
      <c r="AF1288" s="73"/>
      <c r="AG1288" s="73"/>
      <c r="AH1288" s="73"/>
      <c r="AI1288" s="73"/>
      <c r="AJ1288" s="73"/>
      <c r="AK1288" s="73"/>
      <c r="AL1288" s="73"/>
      <c r="AM1288" s="73"/>
      <c r="AN1288" s="73"/>
      <c r="AO1288" s="73"/>
      <c r="AP1288" s="73"/>
      <c r="AQ1288" s="73"/>
      <c r="AR1288" s="73"/>
      <c r="AS1288" s="73"/>
      <c r="AT1288" s="73"/>
      <c r="AU1288" s="73"/>
      <c r="AV1288" s="73"/>
      <c r="AW1288" s="73"/>
      <c r="AX1288" s="73"/>
      <c r="AY1288" s="73"/>
      <c r="AZ1288" s="73"/>
      <c r="BA1288" s="73"/>
      <c r="BB1288" s="73"/>
      <c r="BC1288" s="73"/>
      <c r="BD1288" s="73"/>
      <c r="BE1288" s="73"/>
      <c r="BF1288" s="73"/>
      <c r="BG1288" s="73"/>
      <c r="BH1288" s="73"/>
      <c r="BI1288" s="73"/>
      <c r="BJ1288" s="73"/>
      <c r="BK1288" s="73"/>
      <c r="BL1288" s="73"/>
      <c r="BM1288" s="73"/>
      <c r="BN1288" s="73"/>
      <c r="BO1288" s="73"/>
      <c r="BP1288" s="73"/>
      <c r="BQ1288" s="73"/>
      <c r="BR1288" s="73"/>
      <c r="BS1288" s="73"/>
      <c r="BT1288" s="73"/>
      <c r="BU1288" s="73"/>
      <c r="BV1288" s="73"/>
      <c r="BW1288" s="73"/>
      <c r="BX1288" s="73"/>
      <c r="BY1288" s="73"/>
      <c r="BZ1288" s="73"/>
      <c r="CA1288" s="73"/>
      <c r="CB1288" s="73"/>
      <c r="CC1288" s="73"/>
      <c r="CD1288" s="73"/>
      <c r="CE1288" s="73"/>
      <c r="CF1288" s="73"/>
      <c r="CG1288" s="73"/>
      <c r="CH1288" s="73"/>
      <c r="CI1288" s="73"/>
      <c r="CJ1288" s="73"/>
      <c r="CK1288" s="73"/>
      <c r="CL1288" s="73"/>
      <c r="CM1288" s="73"/>
      <c r="CN1288" s="73"/>
      <c r="CO1288" s="73"/>
      <c r="CP1288" s="73"/>
      <c r="CQ1288" s="73"/>
      <c r="CR1288" s="73"/>
      <c r="CS1288" s="73"/>
      <c r="CT1288" s="73"/>
      <c r="CU1288" s="73"/>
      <c r="CV1288" s="73"/>
      <c r="CW1288" s="73"/>
      <c r="CX1288" s="73"/>
      <c r="CY1288" s="73"/>
      <c r="CZ1288" s="73"/>
      <c r="DA1288" s="73"/>
      <c r="DB1288" s="73"/>
      <c r="DC1288" s="73"/>
      <c r="DD1288" s="73"/>
      <c r="DE1288" s="73"/>
      <c r="DF1288" s="73"/>
      <c r="DG1288" s="73"/>
      <c r="DH1288" s="73"/>
      <c r="DI1288" s="73"/>
      <c r="DJ1288" s="73"/>
      <c r="DK1288" s="73"/>
      <c r="DL1288" s="73"/>
      <c r="DM1288" s="73"/>
    </row>
    <row r="1289" spans="1:117" s="48" customFormat="1">
      <c r="A1289" s="73"/>
      <c r="T1289" s="73"/>
      <c r="U1289" s="73"/>
      <c r="V1289" s="73"/>
      <c r="W1289" s="73"/>
      <c r="X1289" s="73"/>
      <c r="Y1289" s="73"/>
      <c r="Z1289" s="73"/>
      <c r="AA1289" s="73"/>
      <c r="AB1289" s="73"/>
      <c r="AC1289" s="73"/>
      <c r="AD1289" s="73"/>
      <c r="AE1289" s="73"/>
      <c r="AF1289" s="73"/>
      <c r="AG1289" s="73"/>
      <c r="AH1289" s="73"/>
      <c r="AI1289" s="73"/>
      <c r="AJ1289" s="73"/>
      <c r="AK1289" s="73"/>
      <c r="AL1289" s="73"/>
      <c r="AM1289" s="73"/>
      <c r="AN1289" s="73"/>
      <c r="AO1289" s="73"/>
      <c r="AP1289" s="73"/>
      <c r="AQ1289" s="73"/>
      <c r="AR1289" s="73"/>
      <c r="AS1289" s="73"/>
      <c r="AT1289" s="73"/>
      <c r="AU1289" s="73"/>
      <c r="AV1289" s="73"/>
      <c r="AW1289" s="73"/>
      <c r="AX1289" s="73"/>
      <c r="AY1289" s="73"/>
      <c r="AZ1289" s="73"/>
      <c r="BA1289" s="73"/>
      <c r="BB1289" s="73"/>
      <c r="BC1289" s="73"/>
      <c r="BD1289" s="73"/>
      <c r="BE1289" s="73"/>
      <c r="BF1289" s="73"/>
      <c r="BG1289" s="73"/>
      <c r="BH1289" s="73"/>
      <c r="BI1289" s="73"/>
      <c r="BJ1289" s="73"/>
      <c r="BK1289" s="73"/>
      <c r="BL1289" s="73"/>
      <c r="BM1289" s="73"/>
      <c r="BN1289" s="73"/>
      <c r="BO1289" s="73"/>
      <c r="BP1289" s="73"/>
      <c r="BQ1289" s="73"/>
      <c r="BR1289" s="73"/>
      <c r="BS1289" s="73"/>
      <c r="BT1289" s="73"/>
      <c r="BU1289" s="73"/>
      <c r="BV1289" s="73"/>
      <c r="BW1289" s="73"/>
      <c r="BX1289" s="73"/>
      <c r="BY1289" s="73"/>
      <c r="BZ1289" s="73"/>
      <c r="CA1289" s="73"/>
      <c r="CB1289" s="73"/>
      <c r="CC1289" s="73"/>
      <c r="CD1289" s="73"/>
      <c r="CE1289" s="73"/>
      <c r="CF1289" s="73"/>
      <c r="CG1289" s="73"/>
      <c r="CH1289" s="73"/>
      <c r="CI1289" s="73"/>
      <c r="CJ1289" s="73"/>
      <c r="CK1289" s="73"/>
      <c r="CL1289" s="73"/>
      <c r="CM1289" s="73"/>
      <c r="CN1289" s="73"/>
      <c r="CO1289" s="73"/>
      <c r="CP1289" s="73"/>
      <c r="CQ1289" s="73"/>
      <c r="CR1289" s="73"/>
      <c r="CS1289" s="73"/>
      <c r="CT1289" s="73"/>
      <c r="CU1289" s="73"/>
      <c r="CV1289" s="73"/>
      <c r="CW1289" s="73"/>
      <c r="CX1289" s="73"/>
      <c r="CY1289" s="73"/>
      <c r="CZ1289" s="73"/>
      <c r="DA1289" s="73"/>
      <c r="DB1289" s="73"/>
      <c r="DC1289" s="73"/>
      <c r="DD1289" s="73"/>
      <c r="DE1289" s="73"/>
      <c r="DF1289" s="73"/>
      <c r="DG1289" s="73"/>
      <c r="DH1289" s="73"/>
      <c r="DI1289" s="73"/>
      <c r="DJ1289" s="73"/>
      <c r="DK1289" s="73"/>
      <c r="DL1289" s="73"/>
      <c r="DM1289" s="73"/>
    </row>
    <row r="1290" spans="1:117" s="48" customFormat="1">
      <c r="A1290" s="73"/>
      <c r="T1290" s="73"/>
      <c r="U1290" s="73"/>
      <c r="V1290" s="73"/>
      <c r="W1290" s="73"/>
      <c r="X1290" s="73"/>
      <c r="Y1290" s="73"/>
      <c r="Z1290" s="73"/>
      <c r="AA1290" s="73"/>
      <c r="AB1290" s="73"/>
      <c r="AC1290" s="73"/>
      <c r="AD1290" s="73"/>
      <c r="AE1290" s="73"/>
      <c r="AF1290" s="73"/>
      <c r="AG1290" s="73"/>
      <c r="AH1290" s="73"/>
      <c r="AI1290" s="73"/>
      <c r="AJ1290" s="73"/>
      <c r="AK1290" s="73"/>
      <c r="AL1290" s="73"/>
      <c r="AM1290" s="73"/>
      <c r="AN1290" s="73"/>
      <c r="AO1290" s="73"/>
      <c r="AP1290" s="73"/>
      <c r="AQ1290" s="73"/>
      <c r="AR1290" s="73"/>
      <c r="AS1290" s="73"/>
      <c r="AT1290" s="73"/>
      <c r="AU1290" s="73"/>
      <c r="AV1290" s="73"/>
      <c r="AW1290" s="73"/>
      <c r="AX1290" s="73"/>
      <c r="AY1290" s="73"/>
      <c r="AZ1290" s="73"/>
      <c r="BA1290" s="73"/>
      <c r="BB1290" s="73"/>
      <c r="BC1290" s="73"/>
      <c r="BD1290" s="73"/>
      <c r="BE1290" s="73"/>
      <c r="BF1290" s="73"/>
      <c r="BG1290" s="73"/>
      <c r="BH1290" s="73"/>
      <c r="BI1290" s="73"/>
      <c r="BJ1290" s="73"/>
      <c r="BK1290" s="73"/>
      <c r="BL1290" s="73"/>
      <c r="BM1290" s="73"/>
      <c r="BN1290" s="73"/>
      <c r="BO1290" s="73"/>
      <c r="BP1290" s="73"/>
      <c r="BQ1290" s="73"/>
      <c r="BR1290" s="73"/>
      <c r="BS1290" s="73"/>
      <c r="BT1290" s="73"/>
      <c r="BU1290" s="73"/>
      <c r="BV1290" s="73"/>
      <c r="BW1290" s="73"/>
      <c r="BX1290" s="73"/>
      <c r="BY1290" s="73"/>
      <c r="BZ1290" s="73"/>
      <c r="CA1290" s="73"/>
      <c r="CB1290" s="73"/>
      <c r="CC1290" s="73"/>
      <c r="CD1290" s="73"/>
      <c r="CE1290" s="73"/>
      <c r="CF1290" s="73"/>
      <c r="CG1290" s="73"/>
      <c r="CH1290" s="73"/>
      <c r="CI1290" s="73"/>
      <c r="CJ1290" s="73"/>
      <c r="CK1290" s="73"/>
      <c r="CL1290" s="73"/>
      <c r="CM1290" s="73"/>
      <c r="CN1290" s="73"/>
      <c r="CO1290" s="73"/>
      <c r="CP1290" s="73"/>
      <c r="CQ1290" s="73"/>
      <c r="CR1290" s="73"/>
      <c r="CS1290" s="73"/>
      <c r="CT1290" s="73"/>
      <c r="CU1290" s="73"/>
      <c r="CV1290" s="73"/>
      <c r="CW1290" s="73"/>
      <c r="CX1290" s="73"/>
      <c r="CY1290" s="73"/>
      <c r="CZ1290" s="73"/>
      <c r="DA1290" s="73"/>
      <c r="DB1290" s="73"/>
      <c r="DC1290" s="73"/>
      <c r="DD1290" s="73"/>
      <c r="DE1290" s="73"/>
      <c r="DF1290" s="73"/>
      <c r="DG1290" s="73"/>
      <c r="DH1290" s="73"/>
      <c r="DI1290" s="73"/>
      <c r="DJ1290" s="73"/>
      <c r="DK1290" s="73"/>
      <c r="DL1290" s="73"/>
      <c r="DM1290" s="73"/>
    </row>
    <row r="1291" spans="1:117" s="48" customFormat="1">
      <c r="A1291" s="73"/>
      <c r="T1291" s="73"/>
      <c r="U1291" s="73"/>
      <c r="V1291" s="73"/>
      <c r="W1291" s="73"/>
      <c r="X1291" s="73"/>
      <c r="Y1291" s="73"/>
      <c r="Z1291" s="73"/>
      <c r="AA1291" s="73"/>
      <c r="AB1291" s="73"/>
      <c r="AC1291" s="73"/>
      <c r="AD1291" s="73"/>
      <c r="AE1291" s="73"/>
      <c r="AF1291" s="73"/>
      <c r="AG1291" s="73"/>
      <c r="AH1291" s="73"/>
      <c r="AI1291" s="73"/>
      <c r="AJ1291" s="73"/>
      <c r="AK1291" s="73"/>
      <c r="AL1291" s="73"/>
      <c r="AM1291" s="73"/>
      <c r="AN1291" s="73"/>
      <c r="AO1291" s="73"/>
      <c r="AP1291" s="73"/>
      <c r="AQ1291" s="73"/>
      <c r="AR1291" s="73"/>
      <c r="AS1291" s="73"/>
      <c r="AT1291" s="73"/>
      <c r="AU1291" s="73"/>
      <c r="AV1291" s="73"/>
      <c r="AW1291" s="73"/>
      <c r="AX1291" s="73"/>
      <c r="AY1291" s="73"/>
      <c r="AZ1291" s="73"/>
      <c r="BA1291" s="73"/>
      <c r="BB1291" s="73"/>
      <c r="BC1291" s="73"/>
      <c r="BD1291" s="73"/>
      <c r="BE1291" s="73"/>
      <c r="BF1291" s="73"/>
      <c r="BG1291" s="73"/>
      <c r="BH1291" s="73"/>
      <c r="BI1291" s="73"/>
      <c r="BJ1291" s="73"/>
      <c r="BK1291" s="73"/>
      <c r="BL1291" s="73"/>
      <c r="BM1291" s="73"/>
      <c r="BN1291" s="73"/>
      <c r="BO1291" s="73"/>
      <c r="BP1291" s="73"/>
      <c r="BQ1291" s="73"/>
      <c r="BR1291" s="73"/>
      <c r="BS1291" s="73"/>
      <c r="BT1291" s="73"/>
      <c r="BU1291" s="73"/>
      <c r="BV1291" s="73"/>
      <c r="BW1291" s="73"/>
      <c r="BX1291" s="73"/>
      <c r="BY1291" s="73"/>
      <c r="BZ1291" s="73"/>
      <c r="CA1291" s="73"/>
      <c r="CB1291" s="73"/>
      <c r="CC1291" s="73"/>
      <c r="CD1291" s="73"/>
      <c r="CE1291" s="73"/>
      <c r="CF1291" s="73"/>
      <c r="CG1291" s="73"/>
      <c r="CH1291" s="73"/>
      <c r="CI1291" s="73"/>
      <c r="CJ1291" s="73"/>
      <c r="CK1291" s="73"/>
      <c r="CL1291" s="73"/>
      <c r="CM1291" s="73"/>
      <c r="CN1291" s="73"/>
      <c r="CO1291" s="73"/>
      <c r="CP1291" s="73"/>
      <c r="CQ1291" s="73"/>
      <c r="CR1291" s="73"/>
      <c r="CS1291" s="73"/>
      <c r="CT1291" s="73"/>
      <c r="CU1291" s="73"/>
      <c r="CV1291" s="73"/>
      <c r="CW1291" s="73"/>
      <c r="CX1291" s="73"/>
      <c r="CY1291" s="73"/>
      <c r="CZ1291" s="73"/>
      <c r="DA1291" s="73"/>
      <c r="DB1291" s="73"/>
      <c r="DC1291" s="73"/>
      <c r="DD1291" s="73"/>
      <c r="DE1291" s="73"/>
      <c r="DF1291" s="73"/>
      <c r="DG1291" s="73"/>
      <c r="DH1291" s="73"/>
      <c r="DI1291" s="73"/>
      <c r="DJ1291" s="73"/>
      <c r="DK1291" s="73"/>
      <c r="DL1291" s="73"/>
      <c r="DM1291" s="73"/>
    </row>
    <row r="1292" spans="1:117" s="48" customFormat="1">
      <c r="A1292" s="73"/>
      <c r="T1292" s="73"/>
      <c r="U1292" s="73"/>
      <c r="V1292" s="73"/>
      <c r="W1292" s="73"/>
      <c r="X1292" s="73"/>
      <c r="Y1292" s="73"/>
      <c r="Z1292" s="73"/>
      <c r="AA1292" s="73"/>
      <c r="AB1292" s="73"/>
      <c r="AC1292" s="73"/>
      <c r="AD1292" s="73"/>
      <c r="AE1292" s="73"/>
      <c r="AF1292" s="73"/>
      <c r="AG1292" s="73"/>
      <c r="AH1292" s="73"/>
      <c r="AI1292" s="73"/>
      <c r="AJ1292" s="73"/>
      <c r="AK1292" s="73"/>
      <c r="AL1292" s="73"/>
      <c r="AM1292" s="73"/>
      <c r="AN1292" s="73"/>
      <c r="AO1292" s="73"/>
      <c r="AP1292" s="73"/>
      <c r="AQ1292" s="73"/>
      <c r="AR1292" s="73"/>
      <c r="AS1292" s="73"/>
      <c r="AT1292" s="73"/>
      <c r="AU1292" s="73"/>
      <c r="AV1292" s="73"/>
      <c r="AW1292" s="73"/>
      <c r="AX1292" s="73"/>
      <c r="AY1292" s="73"/>
      <c r="AZ1292" s="73"/>
      <c r="BA1292" s="73"/>
      <c r="BB1292" s="73"/>
      <c r="BC1292" s="73"/>
      <c r="BD1292" s="73"/>
      <c r="BE1292" s="73"/>
      <c r="BF1292" s="73"/>
      <c r="BG1292" s="73"/>
      <c r="BH1292" s="73"/>
      <c r="BI1292" s="73"/>
      <c r="BJ1292" s="73"/>
      <c r="BK1292" s="73"/>
      <c r="BL1292" s="73"/>
      <c r="BM1292" s="73"/>
      <c r="BN1292" s="73"/>
      <c r="BO1292" s="73"/>
      <c r="BP1292" s="73"/>
      <c r="BQ1292" s="73"/>
      <c r="BR1292" s="73"/>
      <c r="BS1292" s="73"/>
      <c r="BT1292" s="73"/>
      <c r="BU1292" s="73"/>
      <c r="BV1292" s="73"/>
      <c r="BW1292" s="73"/>
      <c r="BX1292" s="73"/>
      <c r="BY1292" s="73"/>
      <c r="BZ1292" s="73"/>
      <c r="CA1292" s="73"/>
      <c r="CB1292" s="73"/>
      <c r="CC1292" s="73"/>
      <c r="CD1292" s="73"/>
      <c r="CE1292" s="73"/>
      <c r="CF1292" s="73"/>
      <c r="CG1292" s="73"/>
      <c r="CH1292" s="73"/>
      <c r="CI1292" s="73"/>
      <c r="CJ1292" s="73"/>
      <c r="CK1292" s="73"/>
      <c r="CL1292" s="73"/>
      <c r="CM1292" s="73"/>
      <c r="CN1292" s="73"/>
      <c r="CO1292" s="73"/>
      <c r="CP1292" s="73"/>
      <c r="CQ1292" s="73"/>
      <c r="CR1292" s="73"/>
      <c r="CS1292" s="73"/>
      <c r="CT1292" s="73"/>
      <c r="CU1292" s="73"/>
      <c r="CV1292" s="73"/>
      <c r="CW1292" s="73"/>
      <c r="CX1292" s="73"/>
      <c r="CY1292" s="73"/>
      <c r="CZ1292" s="73"/>
      <c r="DA1292" s="73"/>
      <c r="DB1292" s="73"/>
      <c r="DC1292" s="73"/>
      <c r="DD1292" s="73"/>
      <c r="DE1292" s="73"/>
      <c r="DF1292" s="73"/>
      <c r="DG1292" s="73"/>
      <c r="DH1292" s="73"/>
      <c r="DI1292" s="73"/>
      <c r="DJ1292" s="73"/>
      <c r="DK1292" s="73"/>
      <c r="DL1292" s="73"/>
      <c r="DM1292" s="73"/>
    </row>
    <row r="1293" spans="1:117" s="48" customFormat="1">
      <c r="A1293" s="73"/>
      <c r="T1293" s="73"/>
      <c r="U1293" s="73"/>
      <c r="V1293" s="73"/>
      <c r="W1293" s="73"/>
      <c r="X1293" s="73"/>
      <c r="Y1293" s="73"/>
      <c r="Z1293" s="73"/>
      <c r="AA1293" s="73"/>
      <c r="AB1293" s="73"/>
      <c r="AC1293" s="73"/>
      <c r="AD1293" s="73"/>
      <c r="AE1293" s="73"/>
      <c r="AF1293" s="73"/>
      <c r="AG1293" s="73"/>
      <c r="AH1293" s="73"/>
      <c r="AI1293" s="73"/>
      <c r="AJ1293" s="73"/>
      <c r="AK1293" s="73"/>
      <c r="AL1293" s="73"/>
      <c r="AM1293" s="73"/>
      <c r="AN1293" s="73"/>
      <c r="AO1293" s="73"/>
      <c r="AP1293" s="73"/>
      <c r="AQ1293" s="73"/>
      <c r="AR1293" s="73"/>
      <c r="AS1293" s="73"/>
      <c r="AT1293" s="73"/>
      <c r="AU1293" s="73"/>
      <c r="AV1293" s="73"/>
      <c r="AW1293" s="73"/>
      <c r="AX1293" s="73"/>
      <c r="AY1293" s="73"/>
      <c r="AZ1293" s="73"/>
      <c r="BA1293" s="73"/>
      <c r="BB1293" s="73"/>
      <c r="BC1293" s="73"/>
      <c r="BD1293" s="73"/>
      <c r="BE1293" s="73"/>
      <c r="BF1293" s="73"/>
      <c r="BG1293" s="73"/>
      <c r="BH1293" s="73"/>
      <c r="BI1293" s="73"/>
      <c r="BJ1293" s="73"/>
      <c r="BK1293" s="73"/>
      <c r="BL1293" s="73"/>
      <c r="BM1293" s="73"/>
      <c r="BN1293" s="73"/>
      <c r="BO1293" s="73"/>
      <c r="BP1293" s="73"/>
      <c r="BQ1293" s="73"/>
      <c r="BR1293" s="73"/>
      <c r="BS1293" s="73"/>
      <c r="BT1293" s="73"/>
      <c r="BU1293" s="73"/>
      <c r="BV1293" s="73"/>
      <c r="BW1293" s="73"/>
      <c r="BX1293" s="73"/>
      <c r="BY1293" s="73"/>
      <c r="BZ1293" s="73"/>
      <c r="CA1293" s="73"/>
      <c r="CB1293" s="73"/>
      <c r="CC1293" s="73"/>
      <c r="CD1293" s="73"/>
      <c r="CE1293" s="73"/>
      <c r="CF1293" s="73"/>
      <c r="CG1293" s="73"/>
      <c r="CH1293" s="73"/>
      <c r="CI1293" s="73"/>
      <c r="CJ1293" s="73"/>
      <c r="CK1293" s="73"/>
      <c r="CL1293" s="73"/>
      <c r="CM1293" s="73"/>
      <c r="CN1293" s="73"/>
      <c r="CO1293" s="73"/>
      <c r="CP1293" s="73"/>
      <c r="CQ1293" s="73"/>
      <c r="CR1293" s="73"/>
      <c r="CS1293" s="73"/>
      <c r="CT1293" s="73"/>
      <c r="CU1293" s="73"/>
      <c r="CV1293" s="73"/>
      <c r="CW1293" s="73"/>
      <c r="CX1293" s="73"/>
      <c r="CY1293" s="73"/>
      <c r="CZ1293" s="73"/>
      <c r="DA1293" s="73"/>
      <c r="DB1293" s="73"/>
      <c r="DC1293" s="73"/>
      <c r="DD1293" s="73"/>
      <c r="DE1293" s="73"/>
      <c r="DF1293" s="73"/>
      <c r="DG1293" s="73"/>
      <c r="DH1293" s="73"/>
      <c r="DI1293" s="73"/>
      <c r="DJ1293" s="73"/>
      <c r="DK1293" s="73"/>
      <c r="DL1293" s="73"/>
      <c r="DM1293" s="73"/>
    </row>
    <row r="1294" spans="1:117" s="48" customFormat="1">
      <c r="A1294" s="73"/>
      <c r="T1294" s="73"/>
      <c r="U1294" s="73"/>
      <c r="V1294" s="73"/>
      <c r="W1294" s="73"/>
      <c r="X1294" s="73"/>
      <c r="Y1294" s="73"/>
      <c r="Z1294" s="73"/>
      <c r="AA1294" s="73"/>
      <c r="AB1294" s="73"/>
      <c r="AC1294" s="73"/>
      <c r="AD1294" s="73"/>
      <c r="AE1294" s="73"/>
      <c r="AF1294" s="73"/>
      <c r="AG1294" s="73"/>
      <c r="AH1294" s="73"/>
      <c r="AI1294" s="73"/>
      <c r="AJ1294" s="73"/>
      <c r="AK1294" s="73"/>
      <c r="AL1294" s="73"/>
      <c r="AM1294" s="73"/>
      <c r="AN1294" s="73"/>
      <c r="AO1294" s="73"/>
      <c r="AP1294" s="73"/>
      <c r="AQ1294" s="73"/>
      <c r="AR1294" s="73"/>
      <c r="AS1294" s="73"/>
      <c r="AT1294" s="73"/>
      <c r="AU1294" s="73"/>
      <c r="AV1294" s="73"/>
      <c r="AW1294" s="73"/>
      <c r="AX1294" s="73"/>
      <c r="AY1294" s="73"/>
      <c r="AZ1294" s="73"/>
      <c r="BA1294" s="73"/>
      <c r="BB1294" s="73"/>
      <c r="BC1294" s="73"/>
      <c r="BD1294" s="73"/>
      <c r="BE1294" s="73"/>
      <c r="BF1294" s="73"/>
      <c r="BG1294" s="73"/>
      <c r="BH1294" s="73"/>
      <c r="BI1294" s="73"/>
      <c r="BJ1294" s="73"/>
      <c r="BK1294" s="73"/>
      <c r="BL1294" s="73"/>
      <c r="BM1294" s="73"/>
      <c r="BN1294" s="73"/>
      <c r="BO1294" s="73"/>
      <c r="BP1294" s="73"/>
      <c r="BQ1294" s="73"/>
      <c r="BR1294" s="73"/>
      <c r="BS1294" s="73"/>
      <c r="BT1294" s="73"/>
      <c r="BU1294" s="73"/>
      <c r="BV1294" s="73"/>
      <c r="BW1294" s="73"/>
      <c r="BX1294" s="73"/>
      <c r="BY1294" s="73"/>
      <c r="BZ1294" s="73"/>
      <c r="CA1294" s="73"/>
      <c r="CB1294" s="73"/>
      <c r="CC1294" s="73"/>
      <c r="CD1294" s="73"/>
      <c r="CE1294" s="73"/>
      <c r="CF1294" s="73"/>
      <c r="CG1294" s="73"/>
      <c r="CH1294" s="73"/>
      <c r="CI1294" s="73"/>
      <c r="CJ1294" s="73"/>
      <c r="CK1294" s="73"/>
      <c r="CL1294" s="73"/>
      <c r="CM1294" s="73"/>
      <c r="CN1294" s="73"/>
      <c r="CO1294" s="73"/>
      <c r="CP1294" s="73"/>
      <c r="CQ1294" s="73"/>
      <c r="CR1294" s="73"/>
      <c r="CS1294" s="73"/>
      <c r="CT1294" s="73"/>
      <c r="CU1294" s="73"/>
      <c r="CV1294" s="73"/>
      <c r="CW1294" s="73"/>
      <c r="CX1294" s="73"/>
      <c r="CY1294" s="73"/>
      <c r="CZ1294" s="73"/>
      <c r="DA1294" s="73"/>
      <c r="DB1294" s="73"/>
      <c r="DC1294" s="73"/>
      <c r="DD1294" s="73"/>
      <c r="DE1294" s="73"/>
      <c r="DF1294" s="73"/>
      <c r="DG1294" s="73"/>
      <c r="DH1294" s="73"/>
      <c r="DI1294" s="73"/>
      <c r="DJ1294" s="73"/>
      <c r="DK1294" s="73"/>
      <c r="DL1294" s="73"/>
      <c r="DM1294" s="73"/>
    </row>
    <row r="1295" spans="1:117" s="48" customFormat="1">
      <c r="A1295" s="73"/>
      <c r="T1295" s="73"/>
      <c r="U1295" s="73"/>
      <c r="V1295" s="73"/>
      <c r="W1295" s="73"/>
      <c r="X1295" s="73"/>
      <c r="Y1295" s="73"/>
      <c r="Z1295" s="73"/>
      <c r="AA1295" s="73"/>
      <c r="AB1295" s="73"/>
      <c r="AC1295" s="73"/>
      <c r="AD1295" s="73"/>
      <c r="AE1295" s="73"/>
      <c r="AF1295" s="73"/>
      <c r="AG1295" s="73"/>
      <c r="AH1295" s="73"/>
      <c r="AI1295" s="73"/>
      <c r="AJ1295" s="73"/>
      <c r="AK1295" s="73"/>
      <c r="AL1295" s="73"/>
      <c r="AM1295" s="73"/>
      <c r="AN1295" s="73"/>
      <c r="AO1295" s="73"/>
      <c r="AP1295" s="73"/>
      <c r="AQ1295" s="73"/>
      <c r="AR1295" s="73"/>
      <c r="AS1295" s="73"/>
      <c r="AT1295" s="73"/>
      <c r="AU1295" s="73"/>
      <c r="AV1295" s="73"/>
      <c r="AW1295" s="73"/>
      <c r="AX1295" s="73"/>
      <c r="AY1295" s="73"/>
      <c r="AZ1295" s="73"/>
      <c r="BA1295" s="73"/>
      <c r="BB1295" s="73"/>
      <c r="BC1295" s="73"/>
      <c r="BD1295" s="73"/>
      <c r="BE1295" s="73"/>
      <c r="BF1295" s="73"/>
      <c r="BG1295" s="73"/>
      <c r="BH1295" s="73"/>
      <c r="BI1295" s="73"/>
      <c r="BJ1295" s="73"/>
      <c r="BK1295" s="73"/>
      <c r="BL1295" s="73"/>
      <c r="BM1295" s="73"/>
      <c r="BN1295" s="73"/>
      <c r="BO1295" s="73"/>
      <c r="BP1295" s="73"/>
      <c r="BQ1295" s="73"/>
      <c r="BR1295" s="73"/>
      <c r="BS1295" s="73"/>
      <c r="BT1295" s="73"/>
      <c r="BU1295" s="73"/>
      <c r="BV1295" s="73"/>
      <c r="BW1295" s="73"/>
      <c r="BX1295" s="73"/>
      <c r="BY1295" s="73"/>
      <c r="BZ1295" s="73"/>
      <c r="CA1295" s="73"/>
      <c r="CB1295" s="73"/>
      <c r="CC1295" s="73"/>
      <c r="CD1295" s="73"/>
      <c r="CE1295" s="73"/>
      <c r="CF1295" s="73"/>
      <c r="CG1295" s="73"/>
      <c r="CH1295" s="73"/>
      <c r="CI1295" s="73"/>
      <c r="CJ1295" s="73"/>
      <c r="CK1295" s="73"/>
      <c r="CL1295" s="73"/>
      <c r="CM1295" s="73"/>
      <c r="CN1295" s="73"/>
      <c r="CO1295" s="73"/>
      <c r="CP1295" s="73"/>
      <c r="CQ1295" s="73"/>
      <c r="CR1295" s="73"/>
      <c r="CS1295" s="73"/>
      <c r="CT1295" s="73"/>
      <c r="CU1295" s="73"/>
      <c r="CV1295" s="73"/>
      <c r="CW1295" s="73"/>
      <c r="CX1295" s="73"/>
      <c r="CY1295" s="73"/>
      <c r="CZ1295" s="73"/>
      <c r="DA1295" s="73"/>
      <c r="DB1295" s="73"/>
      <c r="DC1295" s="73"/>
      <c r="DD1295" s="73"/>
      <c r="DE1295" s="73"/>
      <c r="DF1295" s="73"/>
      <c r="DG1295" s="73"/>
      <c r="DH1295" s="73"/>
      <c r="DI1295" s="73"/>
      <c r="DJ1295" s="73"/>
      <c r="DK1295" s="73"/>
      <c r="DL1295" s="73"/>
      <c r="DM1295" s="73"/>
    </row>
    <row r="1296" spans="1:117" s="48" customFormat="1">
      <c r="A1296" s="73"/>
      <c r="T1296" s="73"/>
      <c r="U1296" s="73"/>
      <c r="V1296" s="73"/>
      <c r="W1296" s="73"/>
      <c r="X1296" s="73"/>
      <c r="Y1296" s="73"/>
      <c r="Z1296" s="73"/>
      <c r="AA1296" s="73"/>
      <c r="AB1296" s="73"/>
      <c r="AC1296" s="73"/>
      <c r="AD1296" s="73"/>
      <c r="AE1296" s="73"/>
      <c r="AF1296" s="73"/>
      <c r="AG1296" s="73"/>
      <c r="AH1296" s="73"/>
      <c r="AI1296" s="73"/>
      <c r="AJ1296" s="73"/>
      <c r="AK1296" s="73"/>
      <c r="AL1296" s="73"/>
      <c r="AM1296" s="73"/>
      <c r="AN1296" s="73"/>
      <c r="AO1296" s="73"/>
      <c r="AP1296" s="73"/>
      <c r="AQ1296" s="73"/>
      <c r="AR1296" s="73"/>
      <c r="AS1296" s="73"/>
      <c r="AT1296" s="73"/>
      <c r="AU1296" s="73"/>
      <c r="AV1296" s="73"/>
      <c r="AW1296" s="73"/>
      <c r="AX1296" s="73"/>
      <c r="AY1296" s="73"/>
      <c r="AZ1296" s="73"/>
      <c r="BA1296" s="73"/>
      <c r="BB1296" s="73"/>
      <c r="BC1296" s="73"/>
      <c r="BD1296" s="73"/>
      <c r="BE1296" s="73"/>
      <c r="BF1296" s="73"/>
      <c r="BG1296" s="73"/>
      <c r="BH1296" s="73"/>
      <c r="BI1296" s="73"/>
      <c r="BJ1296" s="73"/>
      <c r="BK1296" s="73"/>
      <c r="BL1296" s="73"/>
      <c r="BM1296" s="73"/>
      <c r="BN1296" s="73"/>
      <c r="BO1296" s="73"/>
      <c r="BP1296" s="73"/>
      <c r="BQ1296" s="73"/>
      <c r="BR1296" s="73"/>
      <c r="BS1296" s="73"/>
      <c r="BT1296" s="73"/>
      <c r="BU1296" s="73"/>
      <c r="BV1296" s="73"/>
      <c r="BW1296" s="73"/>
      <c r="BX1296" s="73"/>
      <c r="BY1296" s="73"/>
      <c r="BZ1296" s="73"/>
      <c r="CA1296" s="73"/>
      <c r="CB1296" s="73"/>
      <c r="CC1296" s="73"/>
      <c r="CD1296" s="73"/>
      <c r="CE1296" s="73"/>
      <c r="CF1296" s="73"/>
      <c r="CG1296" s="73"/>
      <c r="CH1296" s="73"/>
      <c r="CI1296" s="73"/>
      <c r="CJ1296" s="73"/>
      <c r="CK1296" s="73"/>
      <c r="CL1296" s="73"/>
      <c r="CM1296" s="73"/>
      <c r="CN1296" s="73"/>
      <c r="CO1296" s="73"/>
      <c r="CP1296" s="73"/>
      <c r="CQ1296" s="73"/>
      <c r="CR1296" s="73"/>
      <c r="CS1296" s="73"/>
      <c r="CT1296" s="73"/>
      <c r="CU1296" s="73"/>
      <c r="CV1296" s="73"/>
      <c r="CW1296" s="73"/>
      <c r="CX1296" s="73"/>
      <c r="CY1296" s="73"/>
      <c r="CZ1296" s="73"/>
      <c r="DA1296" s="73"/>
      <c r="DB1296" s="73"/>
      <c r="DC1296" s="73"/>
      <c r="DD1296" s="73"/>
      <c r="DE1296" s="73"/>
      <c r="DF1296" s="73"/>
      <c r="DG1296" s="73"/>
      <c r="DH1296" s="73"/>
      <c r="DI1296" s="73"/>
      <c r="DJ1296" s="73"/>
      <c r="DK1296" s="73"/>
      <c r="DL1296" s="73"/>
      <c r="DM1296" s="73"/>
    </row>
    <row r="1297" spans="1:117" s="48" customFormat="1">
      <c r="A1297" s="73"/>
      <c r="T1297" s="73"/>
      <c r="U1297" s="73"/>
      <c r="V1297" s="73"/>
      <c r="W1297" s="73"/>
      <c r="X1297" s="73"/>
      <c r="Y1297" s="73"/>
      <c r="Z1297" s="73"/>
      <c r="AA1297" s="73"/>
      <c r="AB1297" s="73"/>
      <c r="AC1297" s="73"/>
      <c r="AD1297" s="73"/>
      <c r="AE1297" s="73"/>
      <c r="AF1297" s="73"/>
      <c r="AG1297" s="73"/>
      <c r="AH1297" s="73"/>
      <c r="AI1297" s="73"/>
      <c r="AJ1297" s="73"/>
      <c r="AK1297" s="73"/>
      <c r="AL1297" s="73"/>
      <c r="AM1297" s="73"/>
      <c r="AN1297" s="73"/>
      <c r="AO1297" s="73"/>
      <c r="AP1297" s="73"/>
      <c r="AQ1297" s="73"/>
      <c r="AR1297" s="73"/>
      <c r="AS1297" s="73"/>
      <c r="AT1297" s="73"/>
      <c r="AU1297" s="73"/>
      <c r="AV1297" s="73"/>
      <c r="AW1297" s="73"/>
      <c r="AX1297" s="73"/>
      <c r="AY1297" s="73"/>
      <c r="AZ1297" s="73"/>
      <c r="BA1297" s="73"/>
      <c r="BB1297" s="73"/>
      <c r="BC1297" s="73"/>
      <c r="BD1297" s="73"/>
      <c r="BE1297" s="73"/>
      <c r="BF1297" s="73"/>
      <c r="BG1297" s="73"/>
      <c r="BH1297" s="73"/>
      <c r="BI1297" s="73"/>
      <c r="BJ1297" s="73"/>
      <c r="BK1297" s="73"/>
      <c r="BL1297" s="73"/>
      <c r="BM1297" s="73"/>
      <c r="BN1297" s="73"/>
      <c r="BO1297" s="73"/>
      <c r="BP1297" s="73"/>
      <c r="BQ1297" s="73"/>
      <c r="BR1297" s="73"/>
      <c r="BS1297" s="73"/>
      <c r="BT1297" s="73"/>
      <c r="BU1297" s="73"/>
      <c r="BV1297" s="73"/>
      <c r="BW1297" s="73"/>
      <c r="BX1297" s="73"/>
      <c r="BY1297" s="73"/>
      <c r="BZ1297" s="73"/>
      <c r="CA1297" s="73"/>
      <c r="CB1297" s="73"/>
      <c r="CC1297" s="73"/>
      <c r="CD1297" s="73"/>
      <c r="CE1297" s="73"/>
      <c r="CF1297" s="73"/>
      <c r="CG1297" s="73"/>
      <c r="CH1297" s="73"/>
      <c r="CI1297" s="73"/>
      <c r="CJ1297" s="73"/>
      <c r="CK1297" s="73"/>
      <c r="CL1297" s="73"/>
      <c r="CM1297" s="73"/>
      <c r="CN1297" s="73"/>
      <c r="CO1297" s="73"/>
      <c r="CP1297" s="73"/>
      <c r="CQ1297" s="73"/>
      <c r="CR1297" s="73"/>
      <c r="CS1297" s="73"/>
      <c r="CT1297" s="73"/>
      <c r="CU1297" s="73"/>
      <c r="CV1297" s="73"/>
      <c r="CW1297" s="73"/>
      <c r="CX1297" s="73"/>
      <c r="CY1297" s="73"/>
      <c r="CZ1297" s="73"/>
      <c r="DA1297" s="73"/>
      <c r="DB1297" s="73"/>
      <c r="DC1297" s="73"/>
      <c r="DD1297" s="73"/>
      <c r="DE1297" s="73"/>
      <c r="DF1297" s="73"/>
      <c r="DG1297" s="73"/>
      <c r="DH1297" s="73"/>
      <c r="DI1297" s="73"/>
      <c r="DJ1297" s="73"/>
      <c r="DK1297" s="73"/>
      <c r="DL1297" s="73"/>
      <c r="DM1297" s="73"/>
    </row>
    <row r="1298" spans="1:117" s="48" customFormat="1">
      <c r="A1298" s="73"/>
      <c r="T1298" s="73"/>
      <c r="U1298" s="73"/>
      <c r="V1298" s="73"/>
      <c r="W1298" s="73"/>
      <c r="X1298" s="73"/>
      <c r="Y1298" s="73"/>
      <c r="Z1298" s="73"/>
      <c r="AA1298" s="73"/>
      <c r="AB1298" s="73"/>
      <c r="AC1298" s="73"/>
      <c r="AD1298" s="73"/>
      <c r="AE1298" s="73"/>
      <c r="AF1298" s="73"/>
      <c r="AG1298" s="73"/>
      <c r="AH1298" s="73"/>
      <c r="AI1298" s="73"/>
      <c r="AJ1298" s="73"/>
      <c r="AK1298" s="73"/>
      <c r="AL1298" s="73"/>
      <c r="AM1298" s="73"/>
      <c r="AN1298" s="73"/>
      <c r="AO1298" s="73"/>
      <c r="AP1298" s="73"/>
      <c r="AQ1298" s="73"/>
      <c r="AR1298" s="73"/>
      <c r="AS1298" s="73"/>
      <c r="AT1298" s="73"/>
      <c r="AU1298" s="73"/>
      <c r="AV1298" s="73"/>
      <c r="AW1298" s="73"/>
      <c r="AX1298" s="73"/>
      <c r="AY1298" s="73"/>
      <c r="AZ1298" s="73"/>
      <c r="BA1298" s="73"/>
      <c r="BB1298" s="73"/>
      <c r="BC1298" s="73"/>
      <c r="BD1298" s="73"/>
      <c r="BE1298" s="73"/>
      <c r="BF1298" s="73"/>
      <c r="BG1298" s="73"/>
      <c r="BH1298" s="73"/>
      <c r="BI1298" s="73"/>
      <c r="BJ1298" s="73"/>
      <c r="BK1298" s="73"/>
      <c r="BL1298" s="73"/>
      <c r="BM1298" s="73"/>
      <c r="BN1298" s="73"/>
      <c r="BO1298" s="73"/>
      <c r="BP1298" s="73"/>
      <c r="BQ1298" s="73"/>
      <c r="BR1298" s="73"/>
      <c r="BS1298" s="73"/>
      <c r="BT1298" s="73"/>
      <c r="BU1298" s="73"/>
      <c r="BV1298" s="73"/>
      <c r="BW1298" s="73"/>
      <c r="BX1298" s="73"/>
      <c r="BY1298" s="73"/>
      <c r="BZ1298" s="73"/>
      <c r="CA1298" s="73"/>
      <c r="CB1298" s="73"/>
      <c r="CC1298" s="73"/>
      <c r="CD1298" s="73"/>
      <c r="CE1298" s="73"/>
      <c r="CF1298" s="73"/>
      <c r="CG1298" s="73"/>
      <c r="CH1298" s="73"/>
      <c r="CI1298" s="73"/>
      <c r="CJ1298" s="73"/>
      <c r="CK1298" s="73"/>
      <c r="CL1298" s="73"/>
      <c r="CM1298" s="73"/>
      <c r="CN1298" s="73"/>
      <c r="CO1298" s="73"/>
      <c r="CP1298" s="73"/>
      <c r="CQ1298" s="73"/>
      <c r="CR1298" s="73"/>
      <c r="CS1298" s="73"/>
      <c r="CT1298" s="73"/>
      <c r="CU1298" s="73"/>
      <c r="CV1298" s="73"/>
      <c r="CW1298" s="73"/>
      <c r="CX1298" s="73"/>
      <c r="CY1298" s="73"/>
      <c r="CZ1298" s="73"/>
      <c r="DA1298" s="73"/>
      <c r="DB1298" s="73"/>
      <c r="DC1298" s="73"/>
      <c r="DD1298" s="73"/>
      <c r="DE1298" s="73"/>
      <c r="DF1298" s="73"/>
      <c r="DG1298" s="73"/>
      <c r="DH1298" s="73"/>
      <c r="DI1298" s="73"/>
      <c r="DJ1298" s="73"/>
      <c r="DK1298" s="73"/>
      <c r="DL1298" s="73"/>
      <c r="DM1298" s="73"/>
    </row>
    <row r="1299" spans="1:117" s="48" customFormat="1">
      <c r="A1299" s="73"/>
      <c r="T1299" s="73"/>
      <c r="U1299" s="73"/>
      <c r="V1299" s="73"/>
      <c r="W1299" s="73"/>
      <c r="X1299" s="73"/>
      <c r="Y1299" s="73"/>
      <c r="Z1299" s="73"/>
      <c r="AA1299" s="73"/>
      <c r="AB1299" s="73"/>
      <c r="AC1299" s="73"/>
      <c r="AD1299" s="73"/>
      <c r="AE1299" s="73"/>
      <c r="AF1299" s="73"/>
      <c r="AG1299" s="73"/>
      <c r="AH1299" s="73"/>
      <c r="AI1299" s="73"/>
      <c r="AJ1299" s="73"/>
      <c r="AK1299" s="73"/>
      <c r="AL1299" s="73"/>
      <c r="AM1299" s="73"/>
      <c r="AN1299" s="73"/>
      <c r="AO1299" s="73"/>
      <c r="AP1299" s="73"/>
      <c r="AQ1299" s="73"/>
      <c r="AR1299" s="73"/>
      <c r="AS1299" s="73"/>
      <c r="AT1299" s="73"/>
      <c r="AU1299" s="73"/>
      <c r="AV1299" s="73"/>
      <c r="AW1299" s="73"/>
      <c r="AX1299" s="73"/>
      <c r="AY1299" s="73"/>
      <c r="AZ1299" s="73"/>
      <c r="BA1299" s="73"/>
      <c r="BB1299" s="73"/>
      <c r="BC1299" s="73"/>
      <c r="BD1299" s="73"/>
      <c r="BE1299" s="73"/>
      <c r="BF1299" s="73"/>
      <c r="BG1299" s="73"/>
      <c r="BH1299" s="73"/>
      <c r="BI1299" s="73"/>
      <c r="BJ1299" s="73"/>
      <c r="BK1299" s="73"/>
      <c r="BL1299" s="73"/>
      <c r="BM1299" s="73"/>
      <c r="BN1299" s="73"/>
      <c r="BO1299" s="73"/>
      <c r="BP1299" s="73"/>
      <c r="BQ1299" s="73"/>
      <c r="BR1299" s="73"/>
      <c r="BS1299" s="73"/>
      <c r="BT1299" s="73"/>
      <c r="BU1299" s="73"/>
      <c r="BV1299" s="73"/>
      <c r="BW1299" s="73"/>
      <c r="BX1299" s="73"/>
      <c r="BY1299" s="73"/>
      <c r="BZ1299" s="73"/>
      <c r="CA1299" s="73"/>
      <c r="CB1299" s="73"/>
      <c r="CC1299" s="73"/>
      <c r="CD1299" s="73"/>
      <c r="CE1299" s="73"/>
      <c r="CF1299" s="73"/>
      <c r="CG1299" s="73"/>
      <c r="CH1299" s="73"/>
      <c r="CI1299" s="73"/>
      <c r="CJ1299" s="73"/>
      <c r="CK1299" s="73"/>
      <c r="CL1299" s="73"/>
      <c r="CM1299" s="73"/>
      <c r="CN1299" s="73"/>
      <c r="CO1299" s="73"/>
      <c r="CP1299" s="73"/>
      <c r="CQ1299" s="73"/>
      <c r="CR1299" s="73"/>
      <c r="CS1299" s="73"/>
      <c r="CT1299" s="73"/>
      <c r="CU1299" s="73"/>
      <c r="CV1299" s="73"/>
      <c r="CW1299" s="73"/>
      <c r="CX1299" s="73"/>
      <c r="CY1299" s="73"/>
      <c r="CZ1299" s="73"/>
      <c r="DA1299" s="73"/>
      <c r="DB1299" s="73"/>
      <c r="DC1299" s="73"/>
      <c r="DD1299" s="73"/>
      <c r="DE1299" s="73"/>
      <c r="DF1299" s="73"/>
      <c r="DG1299" s="73"/>
      <c r="DH1299" s="73"/>
      <c r="DI1299" s="73"/>
      <c r="DJ1299" s="73"/>
      <c r="DK1299" s="73"/>
      <c r="DL1299" s="73"/>
      <c r="DM1299" s="73"/>
    </row>
    <row r="1300" spans="1:117" s="48" customFormat="1">
      <c r="A1300" s="73"/>
      <c r="T1300" s="73"/>
      <c r="U1300" s="73"/>
      <c r="V1300" s="73"/>
      <c r="W1300" s="73"/>
      <c r="X1300" s="73"/>
      <c r="Y1300" s="73"/>
      <c r="Z1300" s="73"/>
      <c r="AA1300" s="73"/>
      <c r="AB1300" s="73"/>
      <c r="AC1300" s="73"/>
      <c r="AD1300" s="73"/>
      <c r="AE1300" s="73"/>
      <c r="AF1300" s="73"/>
      <c r="AG1300" s="73"/>
      <c r="AH1300" s="73"/>
      <c r="AI1300" s="73"/>
      <c r="AJ1300" s="73"/>
      <c r="AK1300" s="73"/>
      <c r="AL1300" s="73"/>
      <c r="AM1300" s="73"/>
      <c r="AN1300" s="73"/>
      <c r="AO1300" s="73"/>
      <c r="AP1300" s="73"/>
      <c r="AQ1300" s="73"/>
      <c r="AR1300" s="73"/>
      <c r="AS1300" s="73"/>
      <c r="AT1300" s="73"/>
      <c r="AU1300" s="73"/>
      <c r="AV1300" s="73"/>
      <c r="AW1300" s="73"/>
      <c r="AX1300" s="73"/>
      <c r="AY1300" s="73"/>
      <c r="AZ1300" s="73"/>
      <c r="BA1300" s="73"/>
      <c r="BB1300" s="73"/>
      <c r="BC1300" s="73"/>
      <c r="BD1300" s="73"/>
      <c r="BE1300" s="73"/>
      <c r="BF1300" s="73"/>
      <c r="BG1300" s="73"/>
      <c r="BH1300" s="73"/>
      <c r="BI1300" s="73"/>
      <c r="BJ1300" s="73"/>
      <c r="BK1300" s="73"/>
      <c r="BL1300" s="73"/>
      <c r="BM1300" s="73"/>
      <c r="BN1300" s="73"/>
      <c r="BO1300" s="73"/>
      <c r="BP1300" s="73"/>
      <c r="BQ1300" s="73"/>
      <c r="BR1300" s="73"/>
      <c r="BS1300" s="73"/>
      <c r="BT1300" s="73"/>
      <c r="BU1300" s="73"/>
      <c r="BV1300" s="73"/>
      <c r="BW1300" s="73"/>
      <c r="BX1300" s="73"/>
      <c r="BY1300" s="73"/>
      <c r="BZ1300" s="73"/>
      <c r="CA1300" s="73"/>
      <c r="CB1300" s="73"/>
      <c r="CC1300" s="73"/>
      <c r="CD1300" s="73"/>
      <c r="CE1300" s="73"/>
      <c r="CF1300" s="73"/>
      <c r="CG1300" s="73"/>
      <c r="CH1300" s="73"/>
      <c r="CI1300" s="73"/>
      <c r="CJ1300" s="73"/>
      <c r="CK1300" s="73"/>
      <c r="CL1300" s="73"/>
      <c r="CM1300" s="73"/>
      <c r="CN1300" s="73"/>
      <c r="CO1300" s="73"/>
      <c r="CP1300" s="73"/>
      <c r="CQ1300" s="73"/>
      <c r="CR1300" s="73"/>
      <c r="CS1300" s="73"/>
      <c r="CT1300" s="73"/>
      <c r="CU1300" s="73"/>
      <c r="CV1300" s="73"/>
      <c r="CW1300" s="73"/>
      <c r="CX1300" s="73"/>
      <c r="CY1300" s="73"/>
      <c r="CZ1300" s="73"/>
      <c r="DA1300" s="73"/>
      <c r="DB1300" s="73"/>
      <c r="DC1300" s="73"/>
      <c r="DD1300" s="73"/>
      <c r="DE1300" s="73"/>
      <c r="DF1300" s="73"/>
      <c r="DG1300" s="73"/>
      <c r="DH1300" s="73"/>
      <c r="DI1300" s="73"/>
      <c r="DJ1300" s="73"/>
      <c r="DK1300" s="73"/>
      <c r="DL1300" s="73"/>
      <c r="DM1300" s="73"/>
    </row>
    <row r="1301" spans="1:117" s="48" customFormat="1">
      <c r="A1301" s="73"/>
      <c r="T1301" s="73"/>
      <c r="U1301" s="73"/>
      <c r="V1301" s="73"/>
      <c r="W1301" s="73"/>
      <c r="X1301" s="73"/>
      <c r="Y1301" s="73"/>
      <c r="Z1301" s="73"/>
      <c r="AA1301" s="73"/>
      <c r="AB1301" s="73"/>
      <c r="AC1301" s="73"/>
      <c r="AD1301" s="73"/>
      <c r="AE1301" s="73"/>
      <c r="AF1301" s="73"/>
      <c r="AG1301" s="73"/>
      <c r="AH1301" s="73"/>
      <c r="AI1301" s="73"/>
      <c r="AJ1301" s="73"/>
      <c r="AK1301" s="73"/>
      <c r="AL1301" s="73"/>
      <c r="AM1301" s="73"/>
      <c r="AN1301" s="73"/>
      <c r="AO1301" s="73"/>
      <c r="AP1301" s="73"/>
      <c r="AQ1301" s="73"/>
      <c r="AR1301" s="73"/>
      <c r="AS1301" s="73"/>
      <c r="AT1301" s="73"/>
      <c r="AU1301" s="73"/>
      <c r="AV1301" s="73"/>
      <c r="AW1301" s="73"/>
      <c r="AX1301" s="73"/>
      <c r="AY1301" s="73"/>
      <c r="AZ1301" s="73"/>
      <c r="BA1301" s="73"/>
      <c r="BB1301" s="73"/>
      <c r="BC1301" s="73"/>
      <c r="BD1301" s="73"/>
      <c r="BE1301" s="73"/>
      <c r="BF1301" s="73"/>
      <c r="BG1301" s="73"/>
      <c r="BH1301" s="73"/>
      <c r="BI1301" s="73"/>
      <c r="BJ1301" s="73"/>
      <c r="BK1301" s="73"/>
      <c r="BL1301" s="73"/>
      <c r="BM1301" s="73"/>
      <c r="BN1301" s="73"/>
      <c r="BO1301" s="73"/>
      <c r="BP1301" s="73"/>
      <c r="BQ1301" s="73"/>
      <c r="BR1301" s="73"/>
      <c r="BS1301" s="73"/>
      <c r="BT1301" s="73"/>
      <c r="BU1301" s="73"/>
      <c r="BV1301" s="73"/>
      <c r="BW1301" s="73"/>
      <c r="BX1301" s="73"/>
      <c r="BY1301" s="73"/>
      <c r="BZ1301" s="73"/>
      <c r="CA1301" s="73"/>
      <c r="CB1301" s="73"/>
      <c r="CC1301" s="73"/>
      <c r="CD1301" s="73"/>
      <c r="CE1301" s="73"/>
      <c r="CF1301" s="73"/>
      <c r="CG1301" s="73"/>
      <c r="CH1301" s="73"/>
      <c r="CI1301" s="73"/>
      <c r="CJ1301" s="73"/>
      <c r="CK1301" s="73"/>
      <c r="CL1301" s="73"/>
      <c r="CM1301" s="73"/>
      <c r="CN1301" s="73"/>
      <c r="CO1301" s="73"/>
      <c r="CP1301" s="73"/>
      <c r="CQ1301" s="73"/>
      <c r="CR1301" s="73"/>
      <c r="CS1301" s="73"/>
      <c r="CT1301" s="73"/>
      <c r="CU1301" s="73"/>
      <c r="CV1301" s="73"/>
      <c r="CW1301" s="73"/>
      <c r="CX1301" s="73"/>
      <c r="CY1301" s="73"/>
      <c r="CZ1301" s="73"/>
      <c r="DA1301" s="73"/>
      <c r="DB1301" s="73"/>
      <c r="DC1301" s="73"/>
      <c r="DD1301" s="73"/>
      <c r="DE1301" s="73"/>
      <c r="DF1301" s="73"/>
      <c r="DG1301" s="73"/>
      <c r="DH1301" s="73"/>
      <c r="DI1301" s="73"/>
      <c r="DJ1301" s="73"/>
      <c r="DK1301" s="73"/>
      <c r="DL1301" s="73"/>
      <c r="DM1301" s="73"/>
    </row>
    <row r="1302" spans="1:117" s="48" customFormat="1">
      <c r="A1302" s="73"/>
      <c r="T1302" s="73"/>
      <c r="U1302" s="73"/>
      <c r="V1302" s="73"/>
      <c r="W1302" s="73"/>
      <c r="X1302" s="73"/>
      <c r="Y1302" s="73"/>
      <c r="Z1302" s="73"/>
      <c r="AA1302" s="73"/>
      <c r="AB1302" s="73"/>
      <c r="AC1302" s="73"/>
      <c r="AD1302" s="73"/>
      <c r="AE1302" s="73"/>
      <c r="AF1302" s="73"/>
      <c r="AG1302" s="73"/>
      <c r="AH1302" s="73"/>
      <c r="AI1302" s="73"/>
      <c r="AJ1302" s="73"/>
      <c r="AK1302" s="73"/>
      <c r="AL1302" s="73"/>
      <c r="AM1302" s="73"/>
      <c r="AN1302" s="73"/>
      <c r="AO1302" s="73"/>
      <c r="AP1302" s="73"/>
      <c r="AQ1302" s="73"/>
      <c r="AR1302" s="73"/>
      <c r="AS1302" s="73"/>
      <c r="AT1302" s="73"/>
      <c r="AU1302" s="73"/>
      <c r="AV1302" s="73"/>
      <c r="AW1302" s="73"/>
      <c r="AX1302" s="73"/>
      <c r="AY1302" s="73"/>
      <c r="AZ1302" s="73"/>
      <c r="BA1302" s="73"/>
      <c r="BB1302" s="73"/>
      <c r="BC1302" s="73"/>
      <c r="BD1302" s="73"/>
      <c r="BE1302" s="73"/>
      <c r="BF1302" s="73"/>
      <c r="BG1302" s="73"/>
      <c r="BH1302" s="73"/>
      <c r="BI1302" s="73"/>
      <c r="BJ1302" s="73"/>
      <c r="BK1302" s="73"/>
      <c r="BL1302" s="73"/>
      <c r="BM1302" s="73"/>
      <c r="BN1302" s="73"/>
      <c r="BO1302" s="73"/>
      <c r="BP1302" s="73"/>
      <c r="BQ1302" s="73"/>
      <c r="BR1302" s="73"/>
      <c r="BS1302" s="73"/>
      <c r="BT1302" s="73"/>
      <c r="BU1302" s="73"/>
      <c r="BV1302" s="73"/>
      <c r="BW1302" s="73"/>
      <c r="BX1302" s="73"/>
      <c r="BY1302" s="73"/>
      <c r="BZ1302" s="73"/>
      <c r="CA1302" s="73"/>
      <c r="CB1302" s="73"/>
      <c r="CC1302" s="73"/>
      <c r="CD1302" s="73"/>
      <c r="CE1302" s="73"/>
      <c r="CF1302" s="73"/>
      <c r="CG1302" s="73"/>
      <c r="CH1302" s="73"/>
      <c r="CI1302" s="73"/>
      <c r="CJ1302" s="73"/>
      <c r="CK1302" s="73"/>
      <c r="CL1302" s="73"/>
      <c r="CM1302" s="73"/>
      <c r="CN1302" s="73"/>
      <c r="CO1302" s="73"/>
      <c r="CP1302" s="73"/>
      <c r="CQ1302" s="73"/>
      <c r="CR1302" s="73"/>
      <c r="CS1302" s="73"/>
      <c r="CT1302" s="73"/>
      <c r="CU1302" s="73"/>
      <c r="CV1302" s="73"/>
      <c r="CW1302" s="73"/>
      <c r="CX1302" s="73"/>
      <c r="CY1302" s="73"/>
      <c r="CZ1302" s="73"/>
      <c r="DA1302" s="73"/>
      <c r="DB1302" s="73"/>
      <c r="DC1302" s="73"/>
      <c r="DD1302" s="73"/>
      <c r="DE1302" s="73"/>
      <c r="DF1302" s="73"/>
      <c r="DG1302" s="73"/>
      <c r="DH1302" s="73"/>
      <c r="DI1302" s="73"/>
      <c r="DJ1302" s="73"/>
      <c r="DK1302" s="73"/>
      <c r="DL1302" s="73"/>
      <c r="DM1302" s="73"/>
    </row>
    <row r="1303" spans="1:117" s="48" customFormat="1">
      <c r="A1303" s="73"/>
      <c r="T1303" s="73"/>
      <c r="U1303" s="73"/>
      <c r="V1303" s="73"/>
      <c r="W1303" s="73"/>
      <c r="X1303" s="73"/>
      <c r="Y1303" s="73"/>
      <c r="Z1303" s="73"/>
      <c r="AA1303" s="73"/>
      <c r="AB1303" s="73"/>
      <c r="AC1303" s="73"/>
      <c r="AD1303" s="73"/>
      <c r="AE1303" s="73"/>
      <c r="AF1303" s="73"/>
      <c r="AG1303" s="73"/>
      <c r="AH1303" s="73"/>
      <c r="AI1303" s="73"/>
      <c r="AJ1303" s="73"/>
      <c r="AK1303" s="73"/>
      <c r="AL1303" s="73"/>
      <c r="AM1303" s="73"/>
      <c r="AN1303" s="73"/>
      <c r="AO1303" s="73"/>
      <c r="AP1303" s="73"/>
      <c r="AQ1303" s="73"/>
      <c r="AR1303" s="73"/>
      <c r="AS1303" s="73"/>
      <c r="AT1303" s="73"/>
      <c r="AU1303" s="73"/>
      <c r="AV1303" s="73"/>
      <c r="AW1303" s="73"/>
      <c r="AX1303" s="73"/>
      <c r="AY1303" s="73"/>
      <c r="AZ1303" s="73"/>
      <c r="BA1303" s="73"/>
      <c r="BB1303" s="73"/>
      <c r="BC1303" s="73"/>
      <c r="BD1303" s="73"/>
      <c r="BE1303" s="73"/>
      <c r="BF1303" s="73"/>
      <c r="BG1303" s="73"/>
      <c r="BH1303" s="73"/>
      <c r="BI1303" s="73"/>
      <c r="BJ1303" s="73"/>
      <c r="BK1303" s="73"/>
      <c r="BL1303" s="73"/>
      <c r="BM1303" s="73"/>
      <c r="BN1303" s="73"/>
      <c r="BO1303" s="73"/>
      <c r="BP1303" s="73"/>
      <c r="BQ1303" s="73"/>
      <c r="BR1303" s="73"/>
      <c r="BS1303" s="73"/>
      <c r="BT1303" s="73"/>
      <c r="BU1303" s="73"/>
      <c r="BV1303" s="73"/>
      <c r="BW1303" s="73"/>
      <c r="BX1303" s="73"/>
      <c r="BY1303" s="73"/>
      <c r="BZ1303" s="73"/>
      <c r="CA1303" s="73"/>
      <c r="CB1303" s="73"/>
      <c r="CC1303" s="73"/>
      <c r="CD1303" s="73"/>
      <c r="CE1303" s="73"/>
      <c r="CF1303" s="73"/>
      <c r="CG1303" s="73"/>
      <c r="CH1303" s="73"/>
      <c r="CI1303" s="73"/>
      <c r="CJ1303" s="73"/>
      <c r="CK1303" s="73"/>
      <c r="CL1303" s="73"/>
      <c r="CM1303" s="73"/>
      <c r="CN1303" s="73"/>
      <c r="CO1303" s="73"/>
      <c r="CP1303" s="73"/>
      <c r="CQ1303" s="73"/>
      <c r="CR1303" s="73"/>
      <c r="CS1303" s="73"/>
      <c r="CT1303" s="73"/>
      <c r="CU1303" s="73"/>
      <c r="CV1303" s="73"/>
      <c r="CW1303" s="73"/>
      <c r="CX1303" s="73"/>
      <c r="CY1303" s="73"/>
      <c r="CZ1303" s="73"/>
      <c r="DA1303" s="73"/>
      <c r="DB1303" s="73"/>
      <c r="DC1303" s="73"/>
      <c r="DD1303" s="73"/>
      <c r="DE1303" s="73"/>
      <c r="DF1303" s="73"/>
      <c r="DG1303" s="73"/>
      <c r="DH1303" s="73"/>
      <c r="DI1303" s="73"/>
      <c r="DJ1303" s="73"/>
      <c r="DK1303" s="73"/>
      <c r="DL1303" s="73"/>
      <c r="DM1303" s="73"/>
    </row>
    <row r="1304" spans="1:117" s="48" customFormat="1">
      <c r="A1304" s="73"/>
      <c r="T1304" s="73"/>
      <c r="U1304" s="73"/>
      <c r="V1304" s="73"/>
      <c r="W1304" s="73"/>
      <c r="X1304" s="73"/>
      <c r="Y1304" s="73"/>
      <c r="Z1304" s="73"/>
      <c r="AA1304" s="73"/>
      <c r="AB1304" s="73"/>
      <c r="AC1304" s="73"/>
      <c r="AD1304" s="73"/>
      <c r="AE1304" s="73"/>
      <c r="AF1304" s="73"/>
      <c r="AG1304" s="73"/>
      <c r="AH1304" s="73"/>
      <c r="AI1304" s="73"/>
      <c r="AJ1304" s="73"/>
      <c r="AK1304" s="73"/>
      <c r="AL1304" s="73"/>
      <c r="AM1304" s="73"/>
      <c r="AN1304" s="73"/>
      <c r="AO1304" s="73"/>
      <c r="AP1304" s="73"/>
      <c r="AQ1304" s="73"/>
      <c r="AR1304" s="73"/>
      <c r="AS1304" s="73"/>
      <c r="AT1304" s="73"/>
      <c r="AU1304" s="73"/>
      <c r="AV1304" s="73"/>
      <c r="AW1304" s="73"/>
      <c r="AX1304" s="73"/>
      <c r="AY1304" s="73"/>
      <c r="AZ1304" s="73"/>
      <c r="BA1304" s="73"/>
      <c r="BB1304" s="73"/>
      <c r="BC1304" s="73"/>
      <c r="BD1304" s="73"/>
      <c r="BE1304" s="73"/>
      <c r="BF1304" s="73"/>
      <c r="BG1304" s="73"/>
      <c r="BH1304" s="73"/>
      <c r="BI1304" s="73"/>
      <c r="BJ1304" s="73"/>
      <c r="BK1304" s="73"/>
      <c r="BL1304" s="73"/>
      <c r="BM1304" s="73"/>
      <c r="BN1304" s="73"/>
      <c r="BO1304" s="73"/>
      <c r="BP1304" s="73"/>
      <c r="BQ1304" s="73"/>
      <c r="BR1304" s="73"/>
      <c r="BS1304" s="73"/>
      <c r="BT1304" s="73"/>
      <c r="BU1304" s="73"/>
      <c r="BV1304" s="73"/>
      <c r="BW1304" s="73"/>
      <c r="BX1304" s="73"/>
      <c r="BY1304" s="73"/>
      <c r="BZ1304" s="73"/>
      <c r="CA1304" s="73"/>
      <c r="CB1304" s="73"/>
      <c r="CC1304" s="73"/>
      <c r="CD1304" s="73"/>
      <c r="CE1304" s="73"/>
      <c r="CF1304" s="73"/>
      <c r="CG1304" s="73"/>
      <c r="CH1304" s="73"/>
      <c r="CI1304" s="73"/>
      <c r="CJ1304" s="73"/>
      <c r="CK1304" s="73"/>
      <c r="CL1304" s="73"/>
      <c r="CM1304" s="73"/>
      <c r="CN1304" s="73"/>
      <c r="CO1304" s="73"/>
      <c r="CP1304" s="73"/>
      <c r="CQ1304" s="73"/>
      <c r="CR1304" s="73"/>
      <c r="CS1304" s="73"/>
      <c r="CT1304" s="73"/>
      <c r="CU1304" s="73"/>
      <c r="CV1304" s="73"/>
      <c r="CW1304" s="73"/>
      <c r="CX1304" s="73"/>
      <c r="CY1304" s="73"/>
      <c r="CZ1304" s="73"/>
      <c r="DA1304" s="73"/>
      <c r="DB1304" s="73"/>
      <c r="DC1304" s="73"/>
      <c r="DD1304" s="73"/>
      <c r="DE1304" s="73"/>
      <c r="DF1304" s="73"/>
      <c r="DG1304" s="73"/>
      <c r="DH1304" s="73"/>
      <c r="DI1304" s="73"/>
      <c r="DJ1304" s="73"/>
      <c r="DK1304" s="73"/>
      <c r="DL1304" s="73"/>
      <c r="DM1304" s="73"/>
    </row>
    <row r="1305" spans="1:117" s="48" customFormat="1">
      <c r="A1305" s="73"/>
      <c r="T1305" s="73"/>
      <c r="U1305" s="73"/>
      <c r="V1305" s="73"/>
      <c r="W1305" s="73"/>
      <c r="X1305" s="73"/>
      <c r="Y1305" s="73"/>
      <c r="Z1305" s="73"/>
      <c r="AA1305" s="73"/>
      <c r="AB1305" s="73"/>
      <c r="AC1305" s="73"/>
      <c r="AD1305" s="73"/>
      <c r="AE1305" s="73"/>
      <c r="AF1305" s="73"/>
      <c r="AG1305" s="73"/>
      <c r="AH1305" s="73"/>
      <c r="AI1305" s="73"/>
      <c r="AJ1305" s="73"/>
      <c r="AK1305" s="73"/>
      <c r="AL1305" s="73"/>
      <c r="AM1305" s="73"/>
      <c r="AN1305" s="73"/>
      <c r="AO1305" s="73"/>
      <c r="AP1305" s="73"/>
      <c r="AQ1305" s="73"/>
      <c r="AR1305" s="73"/>
      <c r="AS1305" s="73"/>
      <c r="AT1305" s="73"/>
      <c r="AU1305" s="73"/>
      <c r="AV1305" s="73"/>
      <c r="AW1305" s="73"/>
      <c r="AX1305" s="73"/>
      <c r="AY1305" s="73"/>
      <c r="AZ1305" s="73"/>
      <c r="BA1305" s="73"/>
      <c r="BB1305" s="73"/>
      <c r="BC1305" s="73"/>
      <c r="BD1305" s="73"/>
      <c r="BE1305" s="73"/>
      <c r="BF1305" s="73"/>
      <c r="BG1305" s="73"/>
      <c r="BH1305" s="73"/>
      <c r="BI1305" s="73"/>
      <c r="BJ1305" s="73"/>
      <c r="BK1305" s="73"/>
      <c r="BL1305" s="73"/>
      <c r="BM1305" s="73"/>
      <c r="BN1305" s="73"/>
      <c r="BO1305" s="73"/>
      <c r="BP1305" s="73"/>
      <c r="BQ1305" s="73"/>
      <c r="BR1305" s="73"/>
      <c r="BS1305" s="73"/>
      <c r="BT1305" s="73"/>
      <c r="BU1305" s="73"/>
      <c r="BV1305" s="73"/>
      <c r="BW1305" s="73"/>
      <c r="BX1305" s="73"/>
      <c r="BY1305" s="73"/>
      <c r="BZ1305" s="73"/>
      <c r="CA1305" s="73"/>
      <c r="CB1305" s="73"/>
      <c r="CC1305" s="73"/>
      <c r="CD1305" s="73"/>
      <c r="CE1305" s="73"/>
      <c r="CF1305" s="73"/>
      <c r="CG1305" s="73"/>
      <c r="CH1305" s="73"/>
      <c r="CI1305" s="73"/>
      <c r="CJ1305" s="73"/>
      <c r="CK1305" s="73"/>
      <c r="CL1305" s="73"/>
      <c r="CM1305" s="73"/>
      <c r="CN1305" s="73"/>
      <c r="CO1305" s="73"/>
      <c r="CP1305" s="73"/>
      <c r="CQ1305" s="73"/>
      <c r="CR1305" s="73"/>
      <c r="CS1305" s="73"/>
      <c r="CT1305" s="73"/>
      <c r="CU1305" s="73"/>
      <c r="CV1305" s="73"/>
      <c r="CW1305" s="73"/>
      <c r="CX1305" s="73"/>
      <c r="CY1305" s="73"/>
      <c r="CZ1305" s="73"/>
      <c r="DA1305" s="73"/>
      <c r="DB1305" s="73"/>
      <c r="DC1305" s="73"/>
      <c r="DD1305" s="73"/>
      <c r="DE1305" s="73"/>
      <c r="DF1305" s="73"/>
      <c r="DG1305" s="73"/>
      <c r="DH1305" s="73"/>
      <c r="DI1305" s="73"/>
      <c r="DJ1305" s="73"/>
      <c r="DK1305" s="73"/>
      <c r="DL1305" s="73"/>
      <c r="DM1305" s="73"/>
    </row>
    <row r="1306" spans="1:117" s="48" customFormat="1">
      <c r="A1306" s="73"/>
      <c r="T1306" s="73"/>
      <c r="U1306" s="73"/>
      <c r="V1306" s="73"/>
      <c r="W1306" s="73"/>
      <c r="X1306" s="73"/>
      <c r="Y1306" s="73"/>
      <c r="Z1306" s="73"/>
      <c r="AA1306" s="73"/>
      <c r="AB1306" s="73"/>
      <c r="AC1306" s="73"/>
      <c r="AD1306" s="73"/>
      <c r="AE1306" s="73"/>
      <c r="AF1306" s="73"/>
      <c r="AG1306" s="73"/>
      <c r="AH1306" s="73"/>
      <c r="AI1306" s="73"/>
      <c r="AJ1306" s="73"/>
      <c r="AK1306" s="73"/>
      <c r="AL1306" s="73"/>
      <c r="AM1306" s="73"/>
      <c r="AN1306" s="73"/>
      <c r="AO1306" s="73"/>
      <c r="AP1306" s="73"/>
      <c r="AQ1306" s="73"/>
      <c r="AR1306" s="73"/>
      <c r="AS1306" s="73"/>
      <c r="AT1306" s="73"/>
      <c r="AU1306" s="73"/>
      <c r="AV1306" s="73"/>
      <c r="AW1306" s="73"/>
      <c r="AX1306" s="73"/>
      <c r="AY1306" s="73"/>
      <c r="AZ1306" s="73"/>
      <c r="BA1306" s="73"/>
      <c r="BB1306" s="73"/>
      <c r="BC1306" s="73"/>
      <c r="BD1306" s="73"/>
      <c r="BE1306" s="73"/>
      <c r="BF1306" s="73"/>
      <c r="BG1306" s="73"/>
      <c r="BH1306" s="73"/>
      <c r="BI1306" s="73"/>
      <c r="BJ1306" s="73"/>
      <c r="BK1306" s="73"/>
      <c r="BL1306" s="73"/>
      <c r="BM1306" s="73"/>
      <c r="BN1306" s="73"/>
      <c r="BO1306" s="73"/>
      <c r="BP1306" s="73"/>
      <c r="BQ1306" s="73"/>
      <c r="BR1306" s="73"/>
      <c r="BS1306" s="73"/>
      <c r="BT1306" s="73"/>
      <c r="BU1306" s="73"/>
      <c r="BV1306" s="73"/>
      <c r="BW1306" s="73"/>
      <c r="BX1306" s="73"/>
      <c r="BY1306" s="73"/>
      <c r="BZ1306" s="73"/>
      <c r="CA1306" s="73"/>
      <c r="CB1306" s="73"/>
      <c r="CC1306" s="73"/>
      <c r="CD1306" s="73"/>
      <c r="CE1306" s="73"/>
      <c r="CF1306" s="73"/>
      <c r="CG1306" s="73"/>
      <c r="CH1306" s="73"/>
      <c r="CI1306" s="73"/>
      <c r="CJ1306" s="73"/>
      <c r="CK1306" s="73"/>
      <c r="CL1306" s="73"/>
      <c r="CM1306" s="73"/>
      <c r="CN1306" s="73"/>
      <c r="CO1306" s="73"/>
      <c r="CP1306" s="73"/>
      <c r="CQ1306" s="73"/>
      <c r="CR1306" s="73"/>
      <c r="CS1306" s="73"/>
      <c r="CT1306" s="73"/>
      <c r="CU1306" s="73"/>
      <c r="CV1306" s="73"/>
      <c r="CW1306" s="73"/>
      <c r="CX1306" s="73"/>
      <c r="CY1306" s="73"/>
      <c r="CZ1306" s="73"/>
      <c r="DA1306" s="73"/>
      <c r="DB1306" s="73"/>
      <c r="DC1306" s="73"/>
      <c r="DD1306" s="73"/>
      <c r="DE1306" s="73"/>
      <c r="DF1306" s="73"/>
      <c r="DG1306" s="73"/>
      <c r="DH1306" s="73"/>
      <c r="DI1306" s="73"/>
      <c r="DJ1306" s="73"/>
      <c r="DK1306" s="73"/>
      <c r="DL1306" s="73"/>
      <c r="DM1306" s="73"/>
    </row>
    <row r="1307" spans="1:117" s="48" customFormat="1">
      <c r="A1307" s="73"/>
      <c r="T1307" s="73"/>
      <c r="U1307" s="73"/>
      <c r="V1307" s="73"/>
      <c r="W1307" s="73"/>
      <c r="X1307" s="73"/>
      <c r="Y1307" s="73"/>
      <c r="Z1307" s="73"/>
      <c r="AA1307" s="73"/>
      <c r="AB1307" s="73"/>
      <c r="AC1307" s="73"/>
      <c r="AD1307" s="73"/>
      <c r="AE1307" s="73"/>
      <c r="AF1307" s="73"/>
      <c r="AG1307" s="73"/>
      <c r="AH1307" s="73"/>
      <c r="AI1307" s="73"/>
      <c r="AJ1307" s="73"/>
      <c r="AK1307" s="73"/>
      <c r="AL1307" s="73"/>
      <c r="AM1307" s="73"/>
      <c r="AN1307" s="73"/>
      <c r="AO1307" s="73"/>
      <c r="AP1307" s="73"/>
      <c r="AQ1307" s="73"/>
      <c r="AR1307" s="73"/>
      <c r="AS1307" s="73"/>
      <c r="AT1307" s="73"/>
      <c r="AU1307" s="73"/>
      <c r="AV1307" s="73"/>
      <c r="AW1307" s="73"/>
      <c r="AX1307" s="73"/>
      <c r="AY1307" s="73"/>
      <c r="AZ1307" s="73"/>
      <c r="BA1307" s="73"/>
      <c r="BB1307" s="73"/>
      <c r="BC1307" s="73"/>
      <c r="BD1307" s="73"/>
      <c r="BE1307" s="73"/>
      <c r="BF1307" s="73"/>
      <c r="BG1307" s="73"/>
      <c r="BH1307" s="73"/>
      <c r="BI1307" s="73"/>
      <c r="BJ1307" s="73"/>
      <c r="BK1307" s="73"/>
      <c r="BL1307" s="73"/>
      <c r="BM1307" s="73"/>
      <c r="BN1307" s="73"/>
      <c r="BO1307" s="73"/>
      <c r="BP1307" s="73"/>
      <c r="BQ1307" s="73"/>
      <c r="BR1307" s="73"/>
      <c r="BS1307" s="73"/>
      <c r="BT1307" s="73"/>
      <c r="BU1307" s="73"/>
      <c r="BV1307" s="73"/>
      <c r="BW1307" s="73"/>
      <c r="BX1307" s="73"/>
      <c r="BY1307" s="73"/>
      <c r="BZ1307" s="73"/>
      <c r="CA1307" s="73"/>
      <c r="CB1307" s="73"/>
      <c r="CC1307" s="73"/>
      <c r="CD1307" s="73"/>
      <c r="CE1307" s="73"/>
      <c r="CF1307" s="73"/>
      <c r="CG1307" s="73"/>
      <c r="CH1307" s="73"/>
      <c r="CI1307" s="73"/>
      <c r="CJ1307" s="73"/>
      <c r="CK1307" s="73"/>
      <c r="CL1307" s="73"/>
      <c r="CM1307" s="73"/>
      <c r="CN1307" s="73"/>
      <c r="CO1307" s="73"/>
      <c r="CP1307" s="73"/>
      <c r="CQ1307" s="73"/>
      <c r="CR1307" s="73"/>
      <c r="CS1307" s="73"/>
      <c r="CT1307" s="73"/>
      <c r="CU1307" s="73"/>
      <c r="CV1307" s="73"/>
      <c r="CW1307" s="73"/>
      <c r="CX1307" s="73"/>
      <c r="CY1307" s="73"/>
      <c r="CZ1307" s="73"/>
      <c r="DA1307" s="73"/>
      <c r="DB1307" s="73"/>
      <c r="DC1307" s="73"/>
      <c r="DD1307" s="73"/>
      <c r="DE1307" s="73"/>
      <c r="DF1307" s="73"/>
      <c r="DG1307" s="73"/>
      <c r="DH1307" s="73"/>
      <c r="DI1307" s="73"/>
      <c r="DJ1307" s="73"/>
      <c r="DK1307" s="73"/>
      <c r="DL1307" s="73"/>
      <c r="DM1307" s="73"/>
    </row>
    <row r="1308" spans="1:117" s="48" customFormat="1">
      <c r="A1308" s="73"/>
      <c r="T1308" s="73"/>
      <c r="U1308" s="73"/>
      <c r="V1308" s="73"/>
      <c r="W1308" s="73"/>
      <c r="X1308" s="73"/>
      <c r="Y1308" s="73"/>
      <c r="Z1308" s="73"/>
      <c r="AA1308" s="73"/>
      <c r="AB1308" s="73"/>
      <c r="AC1308" s="73"/>
      <c r="AD1308" s="73"/>
      <c r="AE1308" s="73"/>
      <c r="AF1308" s="73"/>
      <c r="AG1308" s="73"/>
      <c r="AH1308" s="73"/>
      <c r="AI1308" s="73"/>
      <c r="AJ1308" s="73"/>
      <c r="AK1308" s="73"/>
      <c r="AL1308" s="73"/>
      <c r="AM1308" s="73"/>
      <c r="AN1308" s="73"/>
      <c r="AO1308" s="73"/>
      <c r="AP1308" s="73"/>
      <c r="AQ1308" s="73"/>
      <c r="AR1308" s="73"/>
      <c r="AS1308" s="73"/>
      <c r="AT1308" s="73"/>
      <c r="AU1308" s="73"/>
      <c r="AV1308" s="73"/>
      <c r="AW1308" s="73"/>
      <c r="AX1308" s="73"/>
      <c r="AY1308" s="73"/>
      <c r="AZ1308" s="73"/>
      <c r="BA1308" s="73"/>
      <c r="BB1308" s="73"/>
      <c r="BC1308" s="73"/>
      <c r="BD1308" s="73"/>
      <c r="BE1308" s="73"/>
      <c r="BF1308" s="73"/>
      <c r="BG1308" s="73"/>
      <c r="BH1308" s="73"/>
      <c r="BI1308" s="73"/>
      <c r="BJ1308" s="73"/>
      <c r="BK1308" s="73"/>
      <c r="BL1308" s="73"/>
      <c r="BM1308" s="73"/>
      <c r="BN1308" s="73"/>
      <c r="BO1308" s="73"/>
      <c r="BP1308" s="73"/>
      <c r="BQ1308" s="73"/>
      <c r="BR1308" s="73"/>
      <c r="BS1308" s="73"/>
      <c r="BT1308" s="73"/>
      <c r="BU1308" s="73"/>
      <c r="BV1308" s="73"/>
      <c r="BW1308" s="73"/>
      <c r="BX1308" s="73"/>
      <c r="BY1308" s="73"/>
      <c r="BZ1308" s="73"/>
      <c r="CA1308" s="73"/>
      <c r="CB1308" s="73"/>
      <c r="CC1308" s="73"/>
      <c r="CD1308" s="73"/>
      <c r="CE1308" s="73"/>
      <c r="CF1308" s="73"/>
      <c r="CG1308" s="73"/>
      <c r="CH1308" s="73"/>
      <c r="CI1308" s="73"/>
      <c r="CJ1308" s="73"/>
      <c r="CK1308" s="73"/>
      <c r="CL1308" s="73"/>
      <c r="CM1308" s="73"/>
      <c r="CN1308" s="73"/>
      <c r="CO1308" s="73"/>
      <c r="CP1308" s="73"/>
      <c r="CQ1308" s="73"/>
      <c r="CR1308" s="73"/>
      <c r="CS1308" s="73"/>
      <c r="CT1308" s="73"/>
      <c r="CU1308" s="73"/>
      <c r="CV1308" s="73"/>
      <c r="CW1308" s="73"/>
      <c r="CX1308" s="73"/>
      <c r="CY1308" s="73"/>
      <c r="CZ1308" s="73"/>
      <c r="DA1308" s="73"/>
      <c r="DB1308" s="73"/>
      <c r="DC1308" s="73"/>
      <c r="DD1308" s="73"/>
      <c r="DE1308" s="73"/>
      <c r="DF1308" s="73"/>
      <c r="DG1308" s="73"/>
      <c r="DH1308" s="73"/>
      <c r="DI1308" s="73"/>
      <c r="DJ1308" s="73"/>
      <c r="DK1308" s="73"/>
      <c r="DL1308" s="73"/>
      <c r="DM1308" s="73"/>
    </row>
    <row r="1309" spans="1:117" s="48" customFormat="1">
      <c r="A1309" s="73"/>
      <c r="T1309" s="73"/>
      <c r="U1309" s="73"/>
      <c r="V1309" s="73"/>
      <c r="W1309" s="73"/>
      <c r="X1309" s="73"/>
      <c r="Y1309" s="73"/>
      <c r="Z1309" s="73"/>
      <c r="AA1309" s="73"/>
      <c r="AB1309" s="73"/>
      <c r="AC1309" s="73"/>
      <c r="AD1309" s="73"/>
      <c r="AE1309" s="73"/>
      <c r="AF1309" s="73"/>
      <c r="AG1309" s="73"/>
      <c r="AH1309" s="73"/>
      <c r="AI1309" s="73"/>
      <c r="AJ1309" s="73"/>
      <c r="AK1309" s="73"/>
      <c r="AL1309" s="73"/>
      <c r="AM1309" s="73"/>
      <c r="AN1309" s="73"/>
      <c r="AO1309" s="73"/>
      <c r="AP1309" s="73"/>
      <c r="AQ1309" s="73"/>
      <c r="AR1309" s="73"/>
      <c r="AS1309" s="73"/>
      <c r="AT1309" s="73"/>
      <c r="AU1309" s="73"/>
      <c r="AV1309" s="73"/>
      <c r="AW1309" s="73"/>
      <c r="AX1309" s="73"/>
      <c r="AY1309" s="73"/>
      <c r="AZ1309" s="73"/>
      <c r="BA1309" s="73"/>
      <c r="BB1309" s="73"/>
      <c r="BC1309" s="73"/>
      <c r="BD1309" s="73"/>
      <c r="BE1309" s="73"/>
      <c r="BF1309" s="73"/>
      <c r="BG1309" s="73"/>
      <c r="BH1309" s="73"/>
      <c r="BI1309" s="73"/>
      <c r="BJ1309" s="73"/>
      <c r="BK1309" s="73"/>
      <c r="BL1309" s="73"/>
      <c r="BM1309" s="73"/>
      <c r="BN1309" s="73"/>
      <c r="BO1309" s="73"/>
      <c r="BP1309" s="73"/>
      <c r="BQ1309" s="73"/>
      <c r="BR1309" s="73"/>
      <c r="BS1309" s="73"/>
      <c r="BT1309" s="73"/>
      <c r="BU1309" s="73"/>
      <c r="BV1309" s="73"/>
      <c r="BW1309" s="73"/>
      <c r="BX1309" s="73"/>
      <c r="BY1309" s="73"/>
      <c r="BZ1309" s="73"/>
      <c r="CA1309" s="73"/>
      <c r="CB1309" s="73"/>
      <c r="CC1309" s="73"/>
      <c r="CD1309" s="73"/>
      <c r="CE1309" s="73"/>
      <c r="CF1309" s="73"/>
      <c r="CG1309" s="73"/>
      <c r="CH1309" s="73"/>
      <c r="CI1309" s="73"/>
      <c r="CJ1309" s="73"/>
      <c r="CK1309" s="73"/>
      <c r="CL1309" s="73"/>
      <c r="CM1309" s="73"/>
      <c r="CN1309" s="73"/>
      <c r="CO1309" s="73"/>
      <c r="CP1309" s="73"/>
      <c r="CQ1309" s="73"/>
      <c r="CR1309" s="73"/>
      <c r="CS1309" s="73"/>
      <c r="CT1309" s="73"/>
      <c r="CU1309" s="73"/>
      <c r="CV1309" s="73"/>
      <c r="CW1309" s="73"/>
      <c r="CX1309" s="73"/>
      <c r="CY1309" s="73"/>
      <c r="CZ1309" s="73"/>
      <c r="DA1309" s="73"/>
      <c r="DB1309" s="73"/>
      <c r="DC1309" s="73"/>
      <c r="DD1309" s="73"/>
      <c r="DE1309" s="73"/>
      <c r="DF1309" s="73"/>
      <c r="DG1309" s="73"/>
      <c r="DH1309" s="73"/>
      <c r="DI1309" s="73"/>
      <c r="DJ1309" s="73"/>
      <c r="DK1309" s="73"/>
      <c r="DL1309" s="73"/>
      <c r="DM1309" s="73"/>
    </row>
    <row r="1310" spans="1:117" s="48" customFormat="1">
      <c r="A1310" s="73"/>
      <c r="T1310" s="73"/>
      <c r="U1310" s="73"/>
      <c r="V1310" s="73"/>
      <c r="W1310" s="73"/>
      <c r="X1310" s="73"/>
      <c r="Y1310" s="73"/>
      <c r="Z1310" s="73"/>
      <c r="AA1310" s="73"/>
      <c r="AB1310" s="73"/>
      <c r="AC1310" s="73"/>
      <c r="AD1310" s="73"/>
      <c r="AE1310" s="73"/>
      <c r="AF1310" s="73"/>
      <c r="AG1310" s="73"/>
      <c r="AH1310" s="73"/>
      <c r="AI1310" s="73"/>
      <c r="AJ1310" s="73"/>
      <c r="AK1310" s="73"/>
      <c r="AL1310" s="73"/>
      <c r="AM1310" s="73"/>
      <c r="AN1310" s="73"/>
      <c r="AO1310" s="73"/>
      <c r="AP1310" s="73"/>
      <c r="AQ1310" s="73"/>
      <c r="AR1310" s="73"/>
      <c r="AS1310" s="73"/>
      <c r="AT1310" s="73"/>
      <c r="AU1310" s="73"/>
      <c r="AV1310" s="73"/>
      <c r="AW1310" s="73"/>
      <c r="AX1310" s="73"/>
      <c r="AY1310" s="73"/>
      <c r="AZ1310" s="73"/>
      <c r="BA1310" s="73"/>
      <c r="BB1310" s="73"/>
      <c r="BC1310" s="73"/>
      <c r="BD1310" s="73"/>
      <c r="BE1310" s="73"/>
      <c r="BF1310" s="73"/>
      <c r="BG1310" s="73"/>
      <c r="BH1310" s="73"/>
      <c r="BI1310" s="73"/>
      <c r="BJ1310" s="73"/>
      <c r="BK1310" s="73"/>
      <c r="BL1310" s="73"/>
      <c r="BM1310" s="73"/>
      <c r="BN1310" s="73"/>
      <c r="BO1310" s="73"/>
      <c r="BP1310" s="73"/>
      <c r="BQ1310" s="73"/>
      <c r="BR1310" s="73"/>
      <c r="BS1310" s="73"/>
      <c r="BT1310" s="73"/>
      <c r="BU1310" s="73"/>
      <c r="BV1310" s="73"/>
      <c r="BW1310" s="73"/>
      <c r="BX1310" s="73"/>
      <c r="BY1310" s="73"/>
      <c r="BZ1310" s="73"/>
      <c r="CA1310" s="73"/>
      <c r="CB1310" s="73"/>
      <c r="CC1310" s="73"/>
      <c r="CD1310" s="73"/>
      <c r="CE1310" s="73"/>
      <c r="CF1310" s="73"/>
      <c r="CG1310" s="73"/>
      <c r="CH1310" s="73"/>
      <c r="CI1310" s="73"/>
      <c r="CJ1310" s="73"/>
      <c r="CK1310" s="73"/>
      <c r="CL1310" s="73"/>
      <c r="CM1310" s="73"/>
      <c r="CN1310" s="73"/>
      <c r="CO1310" s="73"/>
      <c r="CP1310" s="73"/>
      <c r="CQ1310" s="73"/>
      <c r="CR1310" s="73"/>
      <c r="CS1310" s="73"/>
      <c r="CT1310" s="73"/>
      <c r="CU1310" s="73"/>
      <c r="CV1310" s="73"/>
      <c r="CW1310" s="73"/>
      <c r="CX1310" s="73"/>
      <c r="CY1310" s="73"/>
      <c r="CZ1310" s="73"/>
      <c r="DA1310" s="73"/>
      <c r="DB1310" s="73"/>
      <c r="DC1310" s="73"/>
      <c r="DD1310" s="73"/>
      <c r="DE1310" s="73"/>
      <c r="DF1310" s="73"/>
      <c r="DG1310" s="73"/>
      <c r="DH1310" s="73"/>
      <c r="DI1310" s="73"/>
      <c r="DJ1310" s="73"/>
      <c r="DK1310" s="73"/>
      <c r="DL1310" s="73"/>
      <c r="DM1310" s="73"/>
    </row>
    <row r="1311" spans="1:117" s="48" customFormat="1">
      <c r="A1311" s="73"/>
      <c r="T1311" s="73"/>
      <c r="U1311" s="73"/>
      <c r="V1311" s="73"/>
      <c r="W1311" s="73"/>
      <c r="X1311" s="73"/>
      <c r="Y1311" s="73"/>
      <c r="Z1311" s="73"/>
      <c r="AA1311" s="73"/>
      <c r="AB1311" s="73"/>
      <c r="AC1311" s="73"/>
      <c r="AD1311" s="73"/>
      <c r="AE1311" s="73"/>
      <c r="AF1311" s="73"/>
      <c r="AG1311" s="73"/>
      <c r="AH1311" s="73"/>
      <c r="AI1311" s="73"/>
      <c r="AJ1311" s="73"/>
      <c r="AK1311" s="73"/>
      <c r="AL1311" s="73"/>
      <c r="AM1311" s="73"/>
      <c r="AN1311" s="73"/>
      <c r="AO1311" s="73"/>
      <c r="AP1311" s="73"/>
      <c r="AQ1311" s="73"/>
      <c r="AR1311" s="73"/>
      <c r="AS1311" s="73"/>
      <c r="AT1311" s="73"/>
      <c r="AU1311" s="73"/>
      <c r="AV1311" s="73"/>
      <c r="AW1311" s="73"/>
      <c r="AX1311" s="73"/>
      <c r="AY1311" s="73"/>
      <c r="AZ1311" s="73"/>
      <c r="BA1311" s="73"/>
      <c r="BB1311" s="73"/>
      <c r="BC1311" s="73"/>
      <c r="BD1311" s="73"/>
      <c r="BE1311" s="73"/>
      <c r="BF1311" s="73"/>
      <c r="BG1311" s="73"/>
      <c r="BH1311" s="73"/>
      <c r="BI1311" s="73"/>
      <c r="BJ1311" s="73"/>
      <c r="BK1311" s="73"/>
      <c r="BL1311" s="73"/>
      <c r="BM1311" s="73"/>
      <c r="BN1311" s="73"/>
      <c r="BO1311" s="73"/>
      <c r="BP1311" s="73"/>
      <c r="BQ1311" s="73"/>
      <c r="BR1311" s="73"/>
      <c r="BS1311" s="73"/>
      <c r="BT1311" s="73"/>
      <c r="BU1311" s="73"/>
      <c r="BV1311" s="73"/>
      <c r="BW1311" s="73"/>
      <c r="BX1311" s="73"/>
      <c r="BY1311" s="73"/>
      <c r="BZ1311" s="73"/>
      <c r="CA1311" s="73"/>
      <c r="CB1311" s="73"/>
      <c r="CC1311" s="73"/>
      <c r="CD1311" s="73"/>
      <c r="CE1311" s="73"/>
      <c r="CF1311" s="73"/>
      <c r="CG1311" s="73"/>
      <c r="CH1311" s="73"/>
      <c r="CI1311" s="73"/>
      <c r="CJ1311" s="73"/>
      <c r="CK1311" s="73"/>
      <c r="CL1311" s="73"/>
      <c r="CM1311" s="73"/>
      <c r="CN1311" s="73"/>
      <c r="CO1311" s="73"/>
      <c r="CP1311" s="73"/>
      <c r="CQ1311" s="73"/>
      <c r="CR1311" s="73"/>
      <c r="CS1311" s="73"/>
      <c r="CT1311" s="73"/>
      <c r="CU1311" s="73"/>
      <c r="CV1311" s="73"/>
      <c r="CW1311" s="73"/>
      <c r="CX1311" s="73"/>
      <c r="CY1311" s="73"/>
      <c r="CZ1311" s="73"/>
      <c r="DA1311" s="73"/>
      <c r="DB1311" s="73"/>
      <c r="DC1311" s="73"/>
      <c r="DD1311" s="73"/>
      <c r="DE1311" s="73"/>
      <c r="DF1311" s="73"/>
      <c r="DG1311" s="73"/>
      <c r="DH1311" s="73"/>
      <c r="DI1311" s="73"/>
      <c r="DJ1311" s="73"/>
      <c r="DK1311" s="73"/>
      <c r="DL1311" s="73"/>
      <c r="DM1311" s="73"/>
    </row>
    <row r="1312" spans="1:117" s="48" customFormat="1">
      <c r="A1312" s="73"/>
      <c r="T1312" s="73"/>
      <c r="U1312" s="73"/>
      <c r="V1312" s="73"/>
      <c r="W1312" s="73"/>
      <c r="X1312" s="73"/>
      <c r="Y1312" s="73"/>
      <c r="Z1312" s="73"/>
      <c r="AA1312" s="73"/>
      <c r="AB1312" s="73"/>
      <c r="AC1312" s="73"/>
      <c r="AD1312" s="73"/>
      <c r="AE1312" s="73"/>
      <c r="AF1312" s="73"/>
      <c r="AG1312" s="73"/>
      <c r="AH1312" s="73"/>
      <c r="AI1312" s="73"/>
      <c r="AJ1312" s="73"/>
      <c r="AK1312" s="73"/>
      <c r="AL1312" s="73"/>
      <c r="AM1312" s="73"/>
      <c r="AN1312" s="73"/>
      <c r="AO1312" s="73"/>
      <c r="AP1312" s="73"/>
      <c r="AQ1312" s="73"/>
      <c r="AR1312" s="73"/>
      <c r="AS1312" s="73"/>
      <c r="AT1312" s="73"/>
      <c r="AU1312" s="73"/>
      <c r="AV1312" s="73"/>
      <c r="AW1312" s="73"/>
      <c r="AX1312" s="73"/>
      <c r="AY1312" s="73"/>
      <c r="AZ1312" s="73"/>
      <c r="BA1312" s="73"/>
      <c r="BB1312" s="73"/>
      <c r="BC1312" s="73"/>
      <c r="BD1312" s="73"/>
      <c r="BE1312" s="73"/>
      <c r="BF1312" s="73"/>
      <c r="BG1312" s="73"/>
      <c r="BH1312" s="73"/>
      <c r="BI1312" s="73"/>
      <c r="BJ1312" s="73"/>
      <c r="BK1312" s="73"/>
      <c r="BL1312" s="73"/>
      <c r="BM1312" s="73"/>
      <c r="BN1312" s="73"/>
      <c r="BO1312" s="73"/>
      <c r="BP1312" s="73"/>
      <c r="BQ1312" s="73"/>
      <c r="BR1312" s="73"/>
      <c r="BS1312" s="73"/>
      <c r="BT1312" s="73"/>
      <c r="BU1312" s="73"/>
      <c r="BV1312" s="73"/>
      <c r="BW1312" s="73"/>
      <c r="BX1312" s="73"/>
      <c r="BY1312" s="73"/>
      <c r="BZ1312" s="73"/>
      <c r="CA1312" s="73"/>
      <c r="CB1312" s="73"/>
      <c r="CC1312" s="73"/>
      <c r="CD1312" s="73"/>
      <c r="CE1312" s="73"/>
      <c r="CF1312" s="73"/>
      <c r="CG1312" s="73"/>
      <c r="CH1312" s="73"/>
      <c r="CI1312" s="73"/>
      <c r="CJ1312" s="73"/>
      <c r="CK1312" s="73"/>
      <c r="CL1312" s="73"/>
      <c r="CM1312" s="73"/>
      <c r="CN1312" s="73"/>
      <c r="CO1312" s="73"/>
      <c r="CP1312" s="73"/>
      <c r="CQ1312" s="73"/>
      <c r="CR1312" s="73"/>
      <c r="CS1312" s="73"/>
      <c r="CT1312" s="73"/>
      <c r="CU1312" s="73"/>
      <c r="CV1312" s="73"/>
      <c r="CW1312" s="73"/>
      <c r="CX1312" s="73"/>
      <c r="CY1312" s="73"/>
      <c r="CZ1312" s="73"/>
      <c r="DA1312" s="73"/>
      <c r="DB1312" s="73"/>
      <c r="DC1312" s="73"/>
      <c r="DD1312" s="73"/>
      <c r="DE1312" s="73"/>
      <c r="DF1312" s="73"/>
      <c r="DG1312" s="73"/>
      <c r="DH1312" s="73"/>
      <c r="DI1312" s="73"/>
      <c r="DJ1312" s="73"/>
      <c r="DK1312" s="73"/>
      <c r="DL1312" s="73"/>
      <c r="DM1312" s="73"/>
    </row>
    <row r="1313" spans="1:117" s="48" customFormat="1">
      <c r="A1313" s="73"/>
      <c r="T1313" s="73"/>
      <c r="U1313" s="73"/>
      <c r="V1313" s="73"/>
      <c r="W1313" s="73"/>
      <c r="X1313" s="73"/>
      <c r="Y1313" s="73"/>
      <c r="Z1313" s="73"/>
      <c r="AA1313" s="73"/>
      <c r="AB1313" s="73"/>
      <c r="AC1313" s="73"/>
      <c r="AD1313" s="73"/>
      <c r="AE1313" s="73"/>
      <c r="AF1313" s="73"/>
      <c r="AG1313" s="73"/>
      <c r="AH1313" s="73"/>
      <c r="AI1313" s="73"/>
      <c r="AJ1313" s="73"/>
      <c r="AK1313" s="73"/>
      <c r="AL1313" s="73"/>
      <c r="AM1313" s="73"/>
      <c r="AN1313" s="73"/>
      <c r="AO1313" s="73"/>
      <c r="AP1313" s="73"/>
      <c r="AQ1313" s="73"/>
      <c r="AR1313" s="73"/>
      <c r="AS1313" s="73"/>
      <c r="AT1313" s="73"/>
      <c r="AU1313" s="73"/>
      <c r="AV1313" s="73"/>
      <c r="AW1313" s="73"/>
      <c r="AX1313" s="73"/>
      <c r="AY1313" s="73"/>
      <c r="AZ1313" s="73"/>
      <c r="BA1313" s="73"/>
      <c r="BB1313" s="73"/>
      <c r="BC1313" s="73"/>
      <c r="BD1313" s="73"/>
      <c r="BE1313" s="73"/>
      <c r="BF1313" s="73"/>
      <c r="BG1313" s="73"/>
      <c r="BH1313" s="73"/>
      <c r="BI1313" s="73"/>
      <c r="BJ1313" s="73"/>
      <c r="BK1313" s="73"/>
      <c r="BL1313" s="73"/>
      <c r="BM1313" s="73"/>
      <c r="BN1313" s="73"/>
      <c r="BO1313" s="73"/>
      <c r="BP1313" s="73"/>
      <c r="BQ1313" s="73"/>
      <c r="BR1313" s="73"/>
      <c r="BS1313" s="73"/>
      <c r="BT1313" s="73"/>
      <c r="BU1313" s="73"/>
      <c r="BV1313" s="73"/>
      <c r="BW1313" s="73"/>
      <c r="BX1313" s="73"/>
      <c r="BY1313" s="73"/>
      <c r="BZ1313" s="73"/>
      <c r="CA1313" s="73"/>
      <c r="CB1313" s="73"/>
      <c r="CC1313" s="73"/>
      <c r="CD1313" s="73"/>
      <c r="CE1313" s="73"/>
      <c r="CF1313" s="73"/>
      <c r="CG1313" s="73"/>
      <c r="CH1313" s="73"/>
      <c r="CI1313" s="73"/>
      <c r="CJ1313" s="73"/>
      <c r="CK1313" s="73"/>
      <c r="CL1313" s="73"/>
      <c r="CM1313" s="73"/>
      <c r="CN1313" s="73"/>
      <c r="CO1313" s="73"/>
      <c r="CP1313" s="73"/>
      <c r="CQ1313" s="73"/>
      <c r="CR1313" s="73"/>
      <c r="CS1313" s="73"/>
      <c r="CT1313" s="73"/>
      <c r="CU1313" s="73"/>
      <c r="CV1313" s="73"/>
      <c r="CW1313" s="73"/>
      <c r="CX1313" s="73"/>
      <c r="CY1313" s="73"/>
      <c r="CZ1313" s="73"/>
      <c r="DA1313" s="73"/>
      <c r="DB1313" s="73"/>
      <c r="DC1313" s="73"/>
      <c r="DD1313" s="73"/>
      <c r="DE1313" s="73"/>
      <c r="DF1313" s="73"/>
      <c r="DG1313" s="73"/>
      <c r="DH1313" s="73"/>
      <c r="DI1313" s="73"/>
      <c r="DJ1313" s="73"/>
      <c r="DK1313" s="73"/>
      <c r="DL1313" s="73"/>
      <c r="DM1313" s="73"/>
    </row>
    <row r="1314" spans="1:117" s="48" customFormat="1">
      <c r="A1314" s="73"/>
      <c r="T1314" s="73"/>
      <c r="U1314" s="73"/>
      <c r="V1314" s="73"/>
      <c r="W1314" s="73"/>
      <c r="X1314" s="73"/>
      <c r="Y1314" s="73"/>
      <c r="Z1314" s="73"/>
      <c r="AA1314" s="73"/>
      <c r="AB1314" s="73"/>
      <c r="AC1314" s="73"/>
      <c r="AD1314" s="73"/>
      <c r="AE1314" s="73"/>
      <c r="AF1314" s="73"/>
      <c r="AG1314" s="73"/>
      <c r="AH1314" s="73"/>
      <c r="AI1314" s="73"/>
      <c r="AJ1314" s="73"/>
      <c r="AK1314" s="73"/>
      <c r="AL1314" s="73"/>
      <c r="AM1314" s="73"/>
      <c r="AN1314" s="73"/>
      <c r="AO1314" s="73"/>
      <c r="AP1314" s="73"/>
      <c r="AQ1314" s="73"/>
      <c r="AR1314" s="73"/>
      <c r="AS1314" s="73"/>
      <c r="AT1314" s="73"/>
      <c r="AU1314" s="73"/>
      <c r="AV1314" s="73"/>
      <c r="AW1314" s="73"/>
      <c r="AX1314" s="73"/>
      <c r="AY1314" s="73"/>
      <c r="AZ1314" s="73"/>
      <c r="BA1314" s="73"/>
      <c r="BB1314" s="73"/>
      <c r="BC1314" s="73"/>
      <c r="BD1314" s="73"/>
      <c r="BE1314" s="73"/>
      <c r="BF1314" s="73"/>
      <c r="BG1314" s="73"/>
      <c r="BH1314" s="73"/>
      <c r="BI1314" s="73"/>
      <c r="BJ1314" s="73"/>
      <c r="BK1314" s="73"/>
      <c r="BL1314" s="73"/>
      <c r="BM1314" s="73"/>
      <c r="BN1314" s="73"/>
      <c r="BO1314" s="73"/>
      <c r="BP1314" s="73"/>
      <c r="BQ1314" s="73"/>
      <c r="BR1314" s="73"/>
      <c r="BS1314" s="73"/>
      <c r="BT1314" s="73"/>
      <c r="BU1314" s="73"/>
      <c r="BV1314" s="73"/>
      <c r="BW1314" s="73"/>
      <c r="BX1314" s="73"/>
      <c r="BY1314" s="73"/>
      <c r="BZ1314" s="73"/>
      <c r="CA1314" s="73"/>
      <c r="CB1314" s="73"/>
      <c r="CC1314" s="73"/>
      <c r="CD1314" s="73"/>
      <c r="CE1314" s="73"/>
      <c r="CF1314" s="73"/>
      <c r="CG1314" s="73"/>
      <c r="CH1314" s="73"/>
      <c r="CI1314" s="73"/>
      <c r="CJ1314" s="73"/>
      <c r="CK1314" s="73"/>
      <c r="CL1314" s="73"/>
      <c r="CM1314" s="73"/>
      <c r="CN1314" s="73"/>
      <c r="CO1314" s="73"/>
      <c r="CP1314" s="73"/>
      <c r="CQ1314" s="73"/>
      <c r="CR1314" s="73"/>
      <c r="CS1314" s="73"/>
      <c r="CT1314" s="73"/>
      <c r="CU1314" s="73"/>
      <c r="CV1314" s="73"/>
      <c r="CW1314" s="73"/>
      <c r="CX1314" s="73"/>
      <c r="CY1314" s="73"/>
      <c r="CZ1314" s="73"/>
      <c r="DA1314" s="73"/>
      <c r="DB1314" s="73"/>
      <c r="DC1314" s="73"/>
      <c r="DD1314" s="73"/>
      <c r="DE1314" s="73"/>
      <c r="DF1314" s="73"/>
      <c r="DG1314" s="73"/>
      <c r="DH1314" s="73"/>
      <c r="DI1314" s="73"/>
      <c r="DJ1314" s="73"/>
      <c r="DK1314" s="73"/>
      <c r="DL1314" s="73"/>
      <c r="DM1314" s="73"/>
    </row>
    <row r="1315" spans="1:117" s="48" customFormat="1">
      <c r="A1315" s="73"/>
      <c r="T1315" s="73"/>
      <c r="U1315" s="73"/>
      <c r="V1315" s="73"/>
      <c r="W1315" s="73"/>
      <c r="X1315" s="73"/>
      <c r="Y1315" s="73"/>
      <c r="Z1315" s="73"/>
      <c r="AA1315" s="73"/>
      <c r="AB1315" s="73"/>
      <c r="AC1315" s="73"/>
      <c r="AD1315" s="73"/>
      <c r="AE1315" s="73"/>
      <c r="AF1315" s="73"/>
      <c r="AG1315" s="73"/>
      <c r="AH1315" s="73"/>
      <c r="AI1315" s="73"/>
      <c r="AJ1315" s="73"/>
      <c r="AK1315" s="73"/>
      <c r="AL1315" s="73"/>
      <c r="AM1315" s="73"/>
      <c r="AN1315" s="73"/>
      <c r="AO1315" s="73"/>
      <c r="AP1315" s="73"/>
      <c r="AQ1315" s="73"/>
      <c r="AR1315" s="73"/>
      <c r="AS1315" s="73"/>
      <c r="AT1315" s="73"/>
      <c r="AU1315" s="73"/>
      <c r="AV1315" s="73"/>
      <c r="AW1315" s="73"/>
      <c r="AX1315" s="73"/>
      <c r="AY1315" s="73"/>
      <c r="AZ1315" s="73"/>
      <c r="BA1315" s="73"/>
      <c r="BB1315" s="73"/>
      <c r="BC1315" s="73"/>
      <c r="BD1315" s="73"/>
      <c r="BE1315" s="73"/>
      <c r="BF1315" s="73"/>
      <c r="BG1315" s="73"/>
      <c r="BH1315" s="73"/>
      <c r="BI1315" s="73"/>
      <c r="BJ1315" s="73"/>
      <c r="BK1315" s="73"/>
      <c r="BL1315" s="73"/>
      <c r="BM1315" s="73"/>
      <c r="BN1315" s="73"/>
      <c r="BO1315" s="73"/>
      <c r="BP1315" s="73"/>
      <c r="BQ1315" s="73"/>
      <c r="BR1315" s="73"/>
      <c r="BS1315" s="73"/>
      <c r="BT1315" s="73"/>
      <c r="BU1315" s="73"/>
      <c r="BV1315" s="73"/>
      <c r="BW1315" s="73"/>
      <c r="BX1315" s="73"/>
      <c r="BY1315" s="73"/>
      <c r="BZ1315" s="73"/>
      <c r="CA1315" s="73"/>
      <c r="CB1315" s="73"/>
      <c r="CC1315" s="73"/>
      <c r="CD1315" s="73"/>
      <c r="CE1315" s="73"/>
      <c r="CF1315" s="73"/>
      <c r="CG1315" s="73"/>
      <c r="CH1315" s="73"/>
      <c r="CI1315" s="73"/>
      <c r="CJ1315" s="73"/>
      <c r="CK1315" s="73"/>
      <c r="CL1315" s="73"/>
      <c r="CM1315" s="73"/>
      <c r="CN1315" s="73"/>
      <c r="CO1315" s="73"/>
      <c r="CP1315" s="73"/>
      <c r="CQ1315" s="73"/>
      <c r="CR1315" s="73"/>
      <c r="CS1315" s="73"/>
      <c r="CT1315" s="73"/>
      <c r="CU1315" s="73"/>
      <c r="CV1315" s="73"/>
      <c r="CW1315" s="73"/>
      <c r="CX1315" s="73"/>
      <c r="CY1315" s="73"/>
      <c r="CZ1315" s="73"/>
      <c r="DA1315" s="73"/>
      <c r="DB1315" s="73"/>
      <c r="DC1315" s="73"/>
      <c r="DD1315" s="73"/>
      <c r="DE1315" s="73"/>
      <c r="DF1315" s="73"/>
      <c r="DG1315" s="73"/>
      <c r="DH1315" s="73"/>
      <c r="DI1315" s="73"/>
      <c r="DJ1315" s="73"/>
      <c r="DK1315" s="73"/>
      <c r="DL1315" s="73"/>
      <c r="DM1315" s="73"/>
    </row>
    <row r="1316" spans="1:117" s="48" customFormat="1">
      <c r="A1316" s="73"/>
      <c r="T1316" s="73"/>
      <c r="U1316" s="73"/>
      <c r="V1316" s="73"/>
      <c r="W1316" s="73"/>
      <c r="X1316" s="73"/>
      <c r="Y1316" s="73"/>
      <c r="Z1316" s="73"/>
      <c r="AA1316" s="73"/>
      <c r="AB1316" s="73"/>
      <c r="AC1316" s="73"/>
      <c r="AD1316" s="73"/>
      <c r="AE1316" s="73"/>
      <c r="AF1316" s="73"/>
      <c r="AG1316" s="73"/>
      <c r="AH1316" s="73"/>
      <c r="AI1316" s="73"/>
      <c r="AJ1316" s="73"/>
      <c r="AK1316" s="73"/>
      <c r="AL1316" s="73"/>
      <c r="AM1316" s="73"/>
      <c r="AN1316" s="73"/>
      <c r="AO1316" s="73"/>
      <c r="AP1316" s="73"/>
      <c r="AQ1316" s="73"/>
      <c r="AR1316" s="73"/>
      <c r="AS1316" s="73"/>
      <c r="AT1316" s="73"/>
      <c r="AU1316" s="73"/>
      <c r="AV1316" s="73"/>
      <c r="AW1316" s="73"/>
      <c r="AX1316" s="73"/>
      <c r="AY1316" s="73"/>
      <c r="AZ1316" s="73"/>
      <c r="BA1316" s="73"/>
      <c r="BB1316" s="73"/>
      <c r="BC1316" s="73"/>
      <c r="BD1316" s="73"/>
      <c r="BE1316" s="73"/>
      <c r="BF1316" s="73"/>
      <c r="BG1316" s="73"/>
      <c r="BH1316" s="73"/>
      <c r="BI1316" s="73"/>
      <c r="BJ1316" s="73"/>
      <c r="BK1316" s="73"/>
      <c r="BL1316" s="73"/>
      <c r="BM1316" s="73"/>
      <c r="BN1316" s="73"/>
      <c r="BO1316" s="73"/>
      <c r="BP1316" s="73"/>
      <c r="BQ1316" s="73"/>
      <c r="BR1316" s="73"/>
      <c r="BS1316" s="73"/>
      <c r="BT1316" s="73"/>
      <c r="BU1316" s="73"/>
      <c r="BV1316" s="73"/>
      <c r="BW1316" s="73"/>
      <c r="BX1316" s="73"/>
      <c r="BY1316" s="73"/>
      <c r="BZ1316" s="73"/>
      <c r="CA1316" s="73"/>
      <c r="CB1316" s="73"/>
      <c r="CC1316" s="73"/>
      <c r="CD1316" s="73"/>
      <c r="CE1316" s="73"/>
      <c r="CF1316" s="73"/>
      <c r="CG1316" s="73"/>
      <c r="CH1316" s="73"/>
      <c r="CI1316" s="73"/>
      <c r="CJ1316" s="73"/>
      <c r="CK1316" s="73"/>
      <c r="CL1316" s="73"/>
      <c r="CM1316" s="73"/>
      <c r="CN1316" s="73"/>
      <c r="CO1316" s="73"/>
      <c r="CP1316" s="73"/>
      <c r="CQ1316" s="73"/>
      <c r="CR1316" s="73"/>
      <c r="CS1316" s="73"/>
      <c r="CT1316" s="73"/>
      <c r="CU1316" s="73"/>
      <c r="CV1316" s="73"/>
      <c r="CW1316" s="73"/>
      <c r="CX1316" s="73"/>
      <c r="CY1316" s="73"/>
      <c r="CZ1316" s="73"/>
      <c r="DA1316" s="73"/>
      <c r="DB1316" s="73"/>
      <c r="DC1316" s="73"/>
      <c r="DD1316" s="73"/>
      <c r="DE1316" s="73"/>
      <c r="DF1316" s="73"/>
      <c r="DG1316" s="73"/>
      <c r="DH1316" s="73"/>
      <c r="DI1316" s="73"/>
      <c r="DJ1316" s="73"/>
      <c r="DK1316" s="73"/>
      <c r="DL1316" s="73"/>
      <c r="DM1316" s="73"/>
    </row>
    <row r="1317" spans="1:117" s="48" customFormat="1">
      <c r="A1317" s="73"/>
      <c r="T1317" s="73"/>
      <c r="U1317" s="73"/>
      <c r="V1317" s="73"/>
      <c r="W1317" s="73"/>
      <c r="X1317" s="73"/>
      <c r="Y1317" s="73"/>
      <c r="Z1317" s="73"/>
      <c r="AA1317" s="73"/>
      <c r="AB1317" s="73"/>
      <c r="AC1317" s="73"/>
      <c r="AD1317" s="73"/>
      <c r="AE1317" s="73"/>
      <c r="AF1317" s="73"/>
      <c r="AG1317" s="73"/>
      <c r="AH1317" s="73"/>
      <c r="AI1317" s="73"/>
      <c r="AJ1317" s="73"/>
      <c r="AK1317" s="73"/>
      <c r="AL1317" s="73"/>
      <c r="AM1317" s="73"/>
      <c r="AN1317" s="73"/>
      <c r="AO1317" s="73"/>
      <c r="AP1317" s="73"/>
      <c r="AQ1317" s="73"/>
      <c r="AR1317" s="73"/>
      <c r="AS1317" s="73"/>
      <c r="AT1317" s="73"/>
      <c r="AU1317" s="73"/>
      <c r="AV1317" s="73"/>
      <c r="AW1317" s="73"/>
      <c r="AX1317" s="73"/>
      <c r="AY1317" s="73"/>
      <c r="AZ1317" s="73"/>
      <c r="BA1317" s="73"/>
      <c r="BB1317" s="73"/>
      <c r="BC1317" s="73"/>
      <c r="BD1317" s="73"/>
      <c r="BE1317" s="73"/>
      <c r="BF1317" s="73"/>
      <c r="BG1317" s="73"/>
      <c r="BH1317" s="73"/>
      <c r="BI1317" s="73"/>
      <c r="BJ1317" s="73"/>
      <c r="BK1317" s="73"/>
      <c r="BL1317" s="73"/>
      <c r="BM1317" s="73"/>
      <c r="BN1317" s="73"/>
      <c r="BO1317" s="73"/>
      <c r="BP1317" s="73"/>
      <c r="BQ1317" s="73"/>
      <c r="BR1317" s="73"/>
      <c r="BS1317" s="73"/>
      <c r="BT1317" s="73"/>
      <c r="BU1317" s="73"/>
      <c r="BV1317" s="73"/>
      <c r="BW1317" s="73"/>
      <c r="BX1317" s="73"/>
      <c r="BY1317" s="73"/>
      <c r="BZ1317" s="73"/>
      <c r="CA1317" s="73"/>
      <c r="CB1317" s="73"/>
      <c r="CC1317" s="73"/>
      <c r="CD1317" s="73"/>
      <c r="CE1317" s="73"/>
      <c r="CF1317" s="73"/>
      <c r="CG1317" s="73"/>
      <c r="CH1317" s="73"/>
      <c r="CI1317" s="73"/>
      <c r="CJ1317" s="73"/>
      <c r="CK1317" s="73"/>
      <c r="CL1317" s="73"/>
      <c r="CM1317" s="73"/>
      <c r="CN1317" s="73"/>
      <c r="CO1317" s="73"/>
      <c r="CP1317" s="73"/>
      <c r="CQ1317" s="73"/>
      <c r="CR1317" s="73"/>
      <c r="CS1317" s="73"/>
      <c r="CT1317" s="73"/>
      <c r="CU1317" s="73"/>
      <c r="CV1317" s="73"/>
      <c r="CW1317" s="73"/>
      <c r="CX1317" s="73"/>
      <c r="CY1317" s="73"/>
      <c r="CZ1317" s="73"/>
      <c r="DA1317" s="73"/>
      <c r="DB1317" s="73"/>
      <c r="DC1317" s="73"/>
      <c r="DD1317" s="73"/>
      <c r="DE1317" s="73"/>
      <c r="DF1317" s="73"/>
      <c r="DG1317" s="73"/>
      <c r="DH1317" s="73"/>
      <c r="DI1317" s="73"/>
      <c r="DJ1317" s="73"/>
      <c r="DK1317" s="73"/>
      <c r="DL1317" s="73"/>
      <c r="DM1317" s="73"/>
    </row>
    <row r="1318" spans="1:117" s="48" customFormat="1">
      <c r="A1318" s="73"/>
      <c r="T1318" s="73"/>
      <c r="U1318" s="73"/>
      <c r="V1318" s="73"/>
      <c r="W1318" s="73"/>
      <c r="X1318" s="73"/>
      <c r="Y1318" s="73"/>
      <c r="Z1318" s="73"/>
      <c r="AA1318" s="73"/>
      <c r="AB1318" s="73"/>
      <c r="AC1318" s="73"/>
      <c r="AD1318" s="73"/>
      <c r="AE1318" s="73"/>
      <c r="AF1318" s="73"/>
      <c r="AG1318" s="73"/>
      <c r="AH1318" s="73"/>
      <c r="AI1318" s="73"/>
      <c r="AJ1318" s="73"/>
      <c r="AK1318" s="73"/>
      <c r="AL1318" s="73"/>
      <c r="AM1318" s="73"/>
      <c r="AN1318" s="73"/>
      <c r="AO1318" s="73"/>
      <c r="AP1318" s="73"/>
      <c r="AQ1318" s="73"/>
      <c r="AR1318" s="73"/>
      <c r="AS1318" s="73"/>
      <c r="AT1318" s="73"/>
      <c r="AU1318" s="73"/>
      <c r="AV1318" s="73"/>
      <c r="AW1318" s="73"/>
      <c r="AX1318" s="73"/>
      <c r="AY1318" s="73"/>
      <c r="AZ1318" s="73"/>
      <c r="BA1318" s="73"/>
      <c r="BB1318" s="73"/>
      <c r="BC1318" s="73"/>
      <c r="BD1318" s="73"/>
      <c r="BE1318" s="73"/>
      <c r="BF1318" s="73"/>
      <c r="BG1318" s="73"/>
      <c r="BH1318" s="73"/>
      <c r="BI1318" s="73"/>
      <c r="BJ1318" s="73"/>
      <c r="BK1318" s="73"/>
      <c r="BL1318" s="73"/>
      <c r="BM1318" s="73"/>
      <c r="BN1318" s="73"/>
      <c r="BO1318" s="73"/>
      <c r="BP1318" s="73"/>
      <c r="BQ1318" s="73"/>
      <c r="BR1318" s="73"/>
      <c r="BS1318" s="73"/>
      <c r="BT1318" s="73"/>
      <c r="BU1318" s="73"/>
      <c r="BV1318" s="73"/>
      <c r="BW1318" s="73"/>
      <c r="BX1318" s="73"/>
      <c r="BY1318" s="73"/>
      <c r="BZ1318" s="73"/>
      <c r="CA1318" s="73"/>
      <c r="CB1318" s="73"/>
      <c r="CC1318" s="73"/>
      <c r="CD1318" s="73"/>
      <c r="CE1318" s="73"/>
      <c r="CF1318" s="73"/>
      <c r="CG1318" s="73"/>
      <c r="CH1318" s="73"/>
      <c r="CI1318" s="73"/>
      <c r="CJ1318" s="73"/>
      <c r="CK1318" s="73"/>
      <c r="CL1318" s="73"/>
      <c r="CM1318" s="73"/>
      <c r="CN1318" s="73"/>
      <c r="CO1318" s="73"/>
      <c r="CP1318" s="73"/>
      <c r="CQ1318" s="73"/>
      <c r="CR1318" s="73"/>
      <c r="CS1318" s="73"/>
      <c r="CT1318" s="73"/>
      <c r="CU1318" s="73"/>
      <c r="CV1318" s="73"/>
      <c r="CW1318" s="73"/>
      <c r="CX1318" s="73"/>
      <c r="CY1318" s="73"/>
      <c r="CZ1318" s="73"/>
      <c r="DA1318" s="73"/>
      <c r="DB1318" s="73"/>
      <c r="DC1318" s="73"/>
      <c r="DD1318" s="73"/>
      <c r="DE1318" s="73"/>
      <c r="DF1318" s="73"/>
      <c r="DG1318" s="73"/>
      <c r="DH1318" s="73"/>
      <c r="DI1318" s="73"/>
      <c r="DJ1318" s="73"/>
      <c r="DK1318" s="73"/>
      <c r="DL1318" s="73"/>
      <c r="DM1318" s="73"/>
    </row>
    <row r="1319" spans="1:117" s="48" customFormat="1">
      <c r="A1319" s="73"/>
      <c r="T1319" s="73"/>
      <c r="U1319" s="73"/>
      <c r="V1319" s="73"/>
      <c r="W1319" s="73"/>
      <c r="X1319" s="73"/>
      <c r="Y1319" s="73"/>
      <c r="Z1319" s="73"/>
      <c r="AA1319" s="73"/>
      <c r="AB1319" s="73"/>
      <c r="AC1319" s="73"/>
      <c r="AD1319" s="73"/>
      <c r="AE1319" s="73"/>
      <c r="AF1319" s="73"/>
      <c r="AG1319" s="73"/>
      <c r="AH1319" s="73"/>
      <c r="AI1319" s="73"/>
      <c r="AJ1319" s="73"/>
      <c r="AK1319" s="73"/>
      <c r="AL1319" s="73"/>
      <c r="AM1319" s="73"/>
      <c r="AN1319" s="73"/>
      <c r="AO1319" s="73"/>
      <c r="AP1319" s="73"/>
      <c r="AQ1319" s="73"/>
      <c r="AR1319" s="73"/>
      <c r="AS1319" s="73"/>
      <c r="AT1319" s="73"/>
      <c r="AU1319" s="73"/>
      <c r="AV1319" s="73"/>
      <c r="AW1319" s="73"/>
      <c r="AX1319" s="73"/>
      <c r="AY1319" s="73"/>
      <c r="AZ1319" s="73"/>
      <c r="BA1319" s="73"/>
      <c r="BB1319" s="73"/>
      <c r="BC1319" s="73"/>
      <c r="BD1319" s="73"/>
      <c r="BE1319" s="73"/>
      <c r="BF1319" s="73"/>
      <c r="BG1319" s="73"/>
      <c r="BH1319" s="73"/>
      <c r="BI1319" s="73"/>
      <c r="BJ1319" s="73"/>
      <c r="BK1319" s="73"/>
      <c r="BL1319" s="73"/>
      <c r="BM1319" s="73"/>
      <c r="BN1319" s="73"/>
      <c r="BO1319" s="73"/>
      <c r="BP1319" s="73"/>
      <c r="BQ1319" s="73"/>
      <c r="BR1319" s="73"/>
      <c r="BS1319" s="73"/>
      <c r="BT1319" s="73"/>
      <c r="BU1319" s="73"/>
      <c r="BV1319" s="73"/>
      <c r="BW1319" s="73"/>
      <c r="BX1319" s="73"/>
      <c r="BY1319" s="73"/>
      <c r="BZ1319" s="73"/>
      <c r="CA1319" s="73"/>
      <c r="CB1319" s="73"/>
      <c r="CC1319" s="73"/>
      <c r="CD1319" s="73"/>
      <c r="CE1319" s="73"/>
      <c r="CF1319" s="73"/>
      <c r="CG1319" s="73"/>
      <c r="CH1319" s="73"/>
      <c r="CI1319" s="73"/>
      <c r="CJ1319" s="73"/>
      <c r="CK1319" s="73"/>
      <c r="CL1319" s="73"/>
      <c r="CM1319" s="73"/>
      <c r="CN1319" s="73"/>
      <c r="CO1319" s="73"/>
      <c r="CP1319" s="73"/>
      <c r="CQ1319" s="73"/>
      <c r="CR1319" s="73"/>
      <c r="CS1319" s="73"/>
      <c r="CT1319" s="73"/>
      <c r="CU1319" s="73"/>
      <c r="CV1319" s="73"/>
      <c r="CW1319" s="73"/>
      <c r="CX1319" s="73"/>
      <c r="CY1319" s="73"/>
      <c r="CZ1319" s="73"/>
      <c r="DA1319" s="73"/>
      <c r="DB1319" s="73"/>
      <c r="DC1319" s="73"/>
      <c r="DD1319" s="73"/>
      <c r="DE1319" s="73"/>
      <c r="DF1319" s="73"/>
      <c r="DG1319" s="73"/>
      <c r="DH1319" s="73"/>
      <c r="DI1319" s="73"/>
      <c r="DJ1319" s="73"/>
      <c r="DK1319" s="73"/>
      <c r="DL1319" s="73"/>
      <c r="DM1319" s="73"/>
    </row>
    <row r="1320" spans="1:117" s="48" customFormat="1">
      <c r="A1320" s="73"/>
      <c r="T1320" s="73"/>
      <c r="U1320" s="73"/>
      <c r="V1320" s="73"/>
      <c r="W1320" s="73"/>
      <c r="X1320" s="73"/>
      <c r="Y1320" s="73"/>
      <c r="Z1320" s="73"/>
      <c r="AA1320" s="73"/>
      <c r="AB1320" s="73"/>
      <c r="AC1320" s="73"/>
      <c r="AD1320" s="73"/>
      <c r="AE1320" s="73"/>
      <c r="AF1320" s="73"/>
      <c r="AG1320" s="73"/>
      <c r="AH1320" s="73"/>
      <c r="AI1320" s="73"/>
      <c r="AJ1320" s="73"/>
      <c r="AK1320" s="73"/>
      <c r="AL1320" s="73"/>
      <c r="AM1320" s="73"/>
      <c r="AN1320" s="73"/>
      <c r="AO1320" s="73"/>
      <c r="AP1320" s="73"/>
      <c r="AQ1320" s="73"/>
      <c r="AR1320" s="73"/>
      <c r="AS1320" s="73"/>
      <c r="AT1320" s="73"/>
      <c r="AU1320" s="73"/>
      <c r="AV1320" s="73"/>
      <c r="AW1320" s="73"/>
      <c r="AX1320" s="73"/>
      <c r="AY1320" s="73"/>
      <c r="AZ1320" s="73"/>
      <c r="BA1320" s="73"/>
      <c r="BB1320" s="73"/>
      <c r="BC1320" s="73"/>
      <c r="BD1320" s="73"/>
      <c r="BE1320" s="73"/>
      <c r="BF1320" s="73"/>
      <c r="BG1320" s="73"/>
      <c r="BH1320" s="73"/>
      <c r="BI1320" s="73"/>
      <c r="BJ1320" s="73"/>
      <c r="BK1320" s="73"/>
      <c r="BL1320" s="73"/>
      <c r="BM1320" s="73"/>
      <c r="BN1320" s="73"/>
      <c r="BO1320" s="73"/>
      <c r="BP1320" s="73"/>
      <c r="BQ1320" s="73"/>
      <c r="BR1320" s="73"/>
      <c r="BS1320" s="73"/>
      <c r="BT1320" s="73"/>
      <c r="BU1320" s="73"/>
      <c r="BV1320" s="73"/>
      <c r="BW1320" s="73"/>
      <c r="BX1320" s="73"/>
      <c r="BY1320" s="73"/>
      <c r="BZ1320" s="73"/>
      <c r="CA1320" s="73"/>
      <c r="CB1320" s="73"/>
      <c r="CC1320" s="73"/>
      <c r="CD1320" s="73"/>
      <c r="CE1320" s="73"/>
      <c r="CF1320" s="73"/>
      <c r="CG1320" s="73"/>
      <c r="CH1320" s="73"/>
      <c r="CI1320" s="73"/>
      <c r="CJ1320" s="73"/>
      <c r="CK1320" s="73"/>
      <c r="CL1320" s="73"/>
      <c r="CM1320" s="73"/>
      <c r="CN1320" s="73"/>
      <c r="CO1320" s="73"/>
      <c r="CP1320" s="73"/>
      <c r="CQ1320" s="73"/>
      <c r="CR1320" s="73"/>
      <c r="CS1320" s="73"/>
      <c r="CT1320" s="73"/>
      <c r="CU1320" s="73"/>
      <c r="CV1320" s="73"/>
      <c r="CW1320" s="73"/>
      <c r="CX1320" s="73"/>
      <c r="CY1320" s="73"/>
      <c r="CZ1320" s="73"/>
      <c r="DA1320" s="73"/>
      <c r="DB1320" s="73"/>
      <c r="DC1320" s="73"/>
      <c r="DD1320" s="73"/>
      <c r="DE1320" s="73"/>
      <c r="DF1320" s="73"/>
      <c r="DG1320" s="73"/>
      <c r="DH1320" s="73"/>
      <c r="DI1320" s="73"/>
      <c r="DJ1320" s="73"/>
      <c r="DK1320" s="73"/>
      <c r="DL1320" s="73"/>
      <c r="DM1320" s="73"/>
    </row>
    <row r="1321" spans="1:117" s="48" customFormat="1">
      <c r="A1321" s="73"/>
      <c r="T1321" s="73"/>
      <c r="U1321" s="73"/>
      <c r="V1321" s="73"/>
      <c r="W1321" s="73"/>
      <c r="X1321" s="73"/>
      <c r="Y1321" s="73"/>
      <c r="Z1321" s="73"/>
      <c r="AA1321" s="73"/>
      <c r="AB1321" s="73"/>
      <c r="AC1321" s="73"/>
      <c r="AD1321" s="73"/>
      <c r="AE1321" s="73"/>
      <c r="AF1321" s="73"/>
      <c r="AG1321" s="73"/>
      <c r="AH1321" s="73"/>
      <c r="AI1321" s="73"/>
      <c r="AJ1321" s="73"/>
      <c r="AK1321" s="73"/>
      <c r="AL1321" s="73"/>
      <c r="AM1321" s="73"/>
      <c r="AN1321" s="73"/>
      <c r="AO1321" s="73"/>
      <c r="AP1321" s="73"/>
      <c r="AQ1321" s="73"/>
      <c r="AR1321" s="73"/>
      <c r="AS1321" s="73"/>
      <c r="AT1321" s="73"/>
      <c r="AU1321" s="73"/>
      <c r="AV1321" s="73"/>
      <c r="AW1321" s="73"/>
      <c r="AX1321" s="73"/>
      <c r="AY1321" s="73"/>
      <c r="AZ1321" s="73"/>
      <c r="BA1321" s="73"/>
      <c r="BB1321" s="73"/>
      <c r="BC1321" s="73"/>
      <c r="BD1321" s="73"/>
      <c r="BE1321" s="73"/>
      <c r="BF1321" s="73"/>
      <c r="BG1321" s="73"/>
      <c r="BH1321" s="73"/>
      <c r="BI1321" s="73"/>
      <c r="BJ1321" s="73"/>
      <c r="BK1321" s="73"/>
      <c r="BL1321" s="73"/>
      <c r="BM1321" s="73"/>
      <c r="BN1321" s="73"/>
      <c r="BO1321" s="73"/>
      <c r="BP1321" s="73"/>
      <c r="BQ1321" s="73"/>
      <c r="BR1321" s="73"/>
      <c r="BS1321" s="73"/>
      <c r="BT1321" s="73"/>
      <c r="BU1321" s="73"/>
      <c r="BV1321" s="73"/>
      <c r="BW1321" s="73"/>
      <c r="BX1321" s="73"/>
      <c r="BY1321" s="73"/>
      <c r="BZ1321" s="73"/>
      <c r="CA1321" s="73"/>
      <c r="CB1321" s="73"/>
      <c r="CC1321" s="73"/>
      <c r="CD1321" s="73"/>
      <c r="CE1321" s="73"/>
      <c r="CF1321" s="73"/>
      <c r="CG1321" s="73"/>
      <c r="CH1321" s="73"/>
      <c r="CI1321" s="73"/>
      <c r="CJ1321" s="73"/>
      <c r="CK1321" s="73"/>
      <c r="CL1321" s="73"/>
      <c r="CM1321" s="73"/>
      <c r="CN1321" s="73"/>
      <c r="CO1321" s="73"/>
      <c r="CP1321" s="73"/>
      <c r="CQ1321" s="73"/>
      <c r="CR1321" s="73"/>
      <c r="CS1321" s="73"/>
      <c r="CT1321" s="73"/>
      <c r="CU1321" s="73"/>
      <c r="CV1321" s="73"/>
      <c r="CW1321" s="73"/>
      <c r="CX1321" s="73"/>
      <c r="CY1321" s="73"/>
      <c r="CZ1321" s="73"/>
      <c r="DA1321" s="73"/>
      <c r="DB1321" s="73"/>
      <c r="DC1321" s="73"/>
      <c r="DD1321" s="73"/>
      <c r="DE1321" s="73"/>
      <c r="DF1321" s="73"/>
      <c r="DG1321" s="73"/>
      <c r="DH1321" s="73"/>
      <c r="DI1321" s="73"/>
      <c r="DJ1321" s="73"/>
      <c r="DK1321" s="73"/>
      <c r="DL1321" s="73"/>
      <c r="DM1321" s="73"/>
    </row>
    <row r="1322" spans="1:117" s="48" customFormat="1">
      <c r="A1322" s="73"/>
      <c r="T1322" s="73"/>
      <c r="U1322" s="73"/>
      <c r="V1322" s="73"/>
      <c r="W1322" s="73"/>
      <c r="X1322" s="73"/>
      <c r="Y1322" s="73"/>
      <c r="Z1322" s="73"/>
      <c r="AA1322" s="73"/>
      <c r="AB1322" s="73"/>
      <c r="AC1322" s="73"/>
      <c r="AD1322" s="73"/>
      <c r="AE1322" s="73"/>
      <c r="AF1322" s="73"/>
      <c r="AG1322" s="73"/>
      <c r="AH1322" s="73"/>
      <c r="AI1322" s="73"/>
      <c r="AJ1322" s="73"/>
      <c r="AK1322" s="73"/>
      <c r="AL1322" s="73"/>
      <c r="AM1322" s="73"/>
      <c r="AN1322" s="73"/>
      <c r="AO1322" s="73"/>
      <c r="AP1322" s="73"/>
      <c r="AQ1322" s="73"/>
      <c r="AR1322" s="73"/>
      <c r="AS1322" s="73"/>
      <c r="AT1322" s="73"/>
      <c r="AU1322" s="73"/>
      <c r="AV1322" s="73"/>
      <c r="AW1322" s="73"/>
      <c r="AX1322" s="73"/>
      <c r="AY1322" s="73"/>
      <c r="AZ1322" s="73"/>
      <c r="BA1322" s="73"/>
      <c r="BB1322" s="73"/>
      <c r="BC1322" s="73"/>
      <c r="BD1322" s="73"/>
      <c r="BE1322" s="73"/>
      <c r="BF1322" s="73"/>
      <c r="BG1322" s="73"/>
      <c r="BH1322" s="73"/>
      <c r="BI1322" s="73"/>
      <c r="BJ1322" s="73"/>
      <c r="BK1322" s="73"/>
      <c r="BL1322" s="73"/>
      <c r="BM1322" s="73"/>
      <c r="BN1322" s="73"/>
      <c r="BO1322" s="73"/>
      <c r="BP1322" s="73"/>
      <c r="BQ1322" s="73"/>
      <c r="BR1322" s="73"/>
      <c r="BS1322" s="73"/>
      <c r="BT1322" s="73"/>
      <c r="BU1322" s="73"/>
      <c r="BV1322" s="73"/>
      <c r="BW1322" s="73"/>
      <c r="BX1322" s="73"/>
      <c r="BY1322" s="73"/>
      <c r="BZ1322" s="73"/>
      <c r="CA1322" s="73"/>
      <c r="CB1322" s="73"/>
      <c r="CC1322" s="73"/>
      <c r="CD1322" s="73"/>
      <c r="CE1322" s="73"/>
      <c r="CF1322" s="73"/>
      <c r="CG1322" s="73"/>
      <c r="CH1322" s="73"/>
      <c r="CI1322" s="73"/>
      <c r="CJ1322" s="73"/>
      <c r="CK1322" s="73"/>
      <c r="CL1322" s="73"/>
      <c r="CM1322" s="73"/>
      <c r="CN1322" s="73"/>
      <c r="CO1322" s="73"/>
      <c r="CP1322" s="73"/>
      <c r="CQ1322" s="73"/>
      <c r="CR1322" s="73"/>
      <c r="CS1322" s="73"/>
      <c r="CT1322" s="73"/>
      <c r="CU1322" s="73"/>
      <c r="CV1322" s="73"/>
      <c r="CW1322" s="73"/>
      <c r="CX1322" s="73"/>
      <c r="CY1322" s="73"/>
      <c r="CZ1322" s="73"/>
      <c r="DA1322" s="73"/>
      <c r="DB1322" s="73"/>
      <c r="DC1322" s="73"/>
      <c r="DD1322" s="73"/>
      <c r="DE1322" s="73"/>
      <c r="DF1322" s="73"/>
      <c r="DG1322" s="73"/>
      <c r="DH1322" s="73"/>
      <c r="DI1322" s="73"/>
      <c r="DJ1322" s="73"/>
      <c r="DK1322" s="73"/>
      <c r="DL1322" s="73"/>
      <c r="DM1322" s="73"/>
    </row>
    <row r="1323" spans="1:117" s="48" customFormat="1">
      <c r="A1323" s="73"/>
      <c r="T1323" s="73"/>
      <c r="U1323" s="73"/>
      <c r="V1323" s="73"/>
      <c r="W1323" s="73"/>
      <c r="X1323" s="73"/>
      <c r="Y1323" s="73"/>
      <c r="Z1323" s="73"/>
      <c r="AA1323" s="73"/>
      <c r="AB1323" s="73"/>
      <c r="AC1323" s="73"/>
      <c r="AD1323" s="73"/>
      <c r="AE1323" s="73"/>
      <c r="AF1323" s="73"/>
      <c r="AG1323" s="73"/>
      <c r="AH1323" s="73"/>
      <c r="AI1323" s="73"/>
      <c r="AJ1323" s="73"/>
      <c r="AK1323" s="73"/>
      <c r="AL1323" s="73"/>
      <c r="AM1323" s="73"/>
      <c r="AN1323" s="73"/>
      <c r="AO1323" s="73"/>
      <c r="AP1323" s="73"/>
      <c r="AQ1323" s="73"/>
      <c r="AR1323" s="73"/>
      <c r="AS1323" s="73"/>
      <c r="AT1323" s="73"/>
      <c r="AU1323" s="73"/>
      <c r="AV1323" s="73"/>
      <c r="AW1323" s="73"/>
      <c r="AX1323" s="73"/>
      <c r="AY1323" s="73"/>
      <c r="AZ1323" s="73"/>
      <c r="BA1323" s="73"/>
      <c r="BB1323" s="73"/>
      <c r="BC1323" s="73"/>
      <c r="BD1323" s="73"/>
      <c r="BE1323" s="73"/>
      <c r="BF1323" s="73"/>
      <c r="BG1323" s="73"/>
      <c r="BH1323" s="73"/>
      <c r="BI1323" s="73"/>
      <c r="BJ1323" s="73"/>
      <c r="BK1323" s="73"/>
      <c r="BL1323" s="73"/>
      <c r="BM1323" s="73"/>
      <c r="BN1323" s="73"/>
      <c r="BO1323" s="73"/>
      <c r="BP1323" s="73"/>
      <c r="BQ1323" s="73"/>
      <c r="BR1323" s="73"/>
      <c r="BS1323" s="73"/>
      <c r="BT1323" s="73"/>
      <c r="BU1323" s="73"/>
      <c r="BV1323" s="73"/>
      <c r="BW1323" s="73"/>
      <c r="BX1323" s="73"/>
      <c r="BY1323" s="73"/>
      <c r="BZ1323" s="73"/>
      <c r="CA1323" s="73"/>
      <c r="CB1323" s="73"/>
      <c r="CC1323" s="73"/>
      <c r="CD1323" s="73"/>
      <c r="CE1323" s="73"/>
      <c r="CF1323" s="73"/>
      <c r="CG1323" s="73"/>
      <c r="CH1323" s="73"/>
      <c r="CI1323" s="73"/>
      <c r="CJ1323" s="73"/>
      <c r="CK1323" s="73"/>
      <c r="CL1323" s="73"/>
      <c r="CM1323" s="73"/>
      <c r="CN1323" s="73"/>
      <c r="CO1323" s="73"/>
      <c r="CP1323" s="73"/>
      <c r="CQ1323" s="73"/>
      <c r="CR1323" s="73"/>
      <c r="CS1323" s="73"/>
      <c r="CT1323" s="73"/>
      <c r="CU1323" s="73"/>
      <c r="CV1323" s="73"/>
      <c r="CW1323" s="73"/>
      <c r="CX1323" s="73"/>
      <c r="CY1323" s="73"/>
      <c r="CZ1323" s="73"/>
      <c r="DA1323" s="73"/>
      <c r="DB1323" s="73"/>
      <c r="DC1323" s="73"/>
      <c r="DD1323" s="73"/>
      <c r="DE1323" s="73"/>
      <c r="DF1323" s="73"/>
      <c r="DG1323" s="73"/>
      <c r="DH1323" s="73"/>
      <c r="DI1323" s="73"/>
      <c r="DJ1323" s="73"/>
      <c r="DK1323" s="73"/>
      <c r="DL1323" s="73"/>
      <c r="DM1323" s="73"/>
    </row>
    <row r="1324" spans="1:117" s="48" customFormat="1">
      <c r="A1324" s="73"/>
      <c r="T1324" s="73"/>
      <c r="U1324" s="73"/>
      <c r="V1324" s="73"/>
      <c r="W1324" s="73"/>
      <c r="X1324" s="73"/>
      <c r="Y1324" s="73"/>
      <c r="Z1324" s="73"/>
      <c r="AA1324" s="73"/>
      <c r="AB1324" s="73"/>
      <c r="AC1324" s="73"/>
      <c r="AD1324" s="73"/>
      <c r="AE1324" s="73"/>
      <c r="AF1324" s="73"/>
      <c r="AG1324" s="73"/>
      <c r="AH1324" s="73"/>
      <c r="AI1324" s="73"/>
      <c r="AJ1324" s="73"/>
      <c r="AK1324" s="73"/>
      <c r="AL1324" s="73"/>
      <c r="AM1324" s="73"/>
      <c r="AN1324" s="73"/>
      <c r="AO1324" s="73"/>
      <c r="AP1324" s="73"/>
      <c r="AQ1324" s="73"/>
      <c r="AR1324" s="73"/>
      <c r="AS1324" s="73"/>
      <c r="AT1324" s="73"/>
      <c r="AU1324" s="73"/>
      <c r="AV1324" s="73"/>
      <c r="AW1324" s="73"/>
      <c r="AX1324" s="73"/>
      <c r="AY1324" s="73"/>
      <c r="AZ1324" s="73"/>
      <c r="BA1324" s="73"/>
      <c r="BB1324" s="73"/>
      <c r="BC1324" s="73"/>
      <c r="BD1324" s="73"/>
      <c r="BE1324" s="73"/>
      <c r="BF1324" s="73"/>
      <c r="BG1324" s="73"/>
      <c r="BH1324" s="73"/>
      <c r="BI1324" s="73"/>
      <c r="BJ1324" s="73"/>
      <c r="BK1324" s="73"/>
      <c r="BL1324" s="73"/>
      <c r="BM1324" s="73"/>
      <c r="BN1324" s="73"/>
      <c r="BO1324" s="73"/>
      <c r="BP1324" s="73"/>
      <c r="BQ1324" s="73"/>
      <c r="BR1324" s="73"/>
      <c r="BS1324" s="73"/>
      <c r="BT1324" s="73"/>
      <c r="BU1324" s="73"/>
      <c r="BV1324" s="73"/>
      <c r="BW1324" s="73"/>
      <c r="BX1324" s="73"/>
      <c r="BY1324" s="73"/>
      <c r="BZ1324" s="73"/>
      <c r="CA1324" s="73"/>
      <c r="CB1324" s="73"/>
      <c r="CC1324" s="73"/>
      <c r="CD1324" s="73"/>
      <c r="CE1324" s="73"/>
      <c r="CF1324" s="73"/>
      <c r="CG1324" s="73"/>
      <c r="CH1324" s="73"/>
      <c r="CI1324" s="73"/>
      <c r="CJ1324" s="73"/>
      <c r="CK1324" s="73"/>
      <c r="CL1324" s="73"/>
      <c r="CM1324" s="73"/>
      <c r="CN1324" s="73"/>
      <c r="CO1324" s="73"/>
      <c r="CP1324" s="73"/>
      <c r="CQ1324" s="73"/>
      <c r="CR1324" s="73"/>
      <c r="CS1324" s="73"/>
      <c r="CT1324" s="73"/>
      <c r="CU1324" s="73"/>
      <c r="CV1324" s="73"/>
      <c r="CW1324" s="73"/>
      <c r="CX1324" s="73"/>
      <c r="CY1324" s="73"/>
      <c r="CZ1324" s="73"/>
      <c r="DA1324" s="73"/>
      <c r="DB1324" s="73"/>
      <c r="DC1324" s="73"/>
      <c r="DD1324" s="73"/>
      <c r="DE1324" s="73"/>
      <c r="DF1324" s="73"/>
      <c r="DG1324" s="73"/>
      <c r="DH1324" s="73"/>
      <c r="DI1324" s="73"/>
      <c r="DJ1324" s="73"/>
      <c r="DK1324" s="73"/>
      <c r="DL1324" s="73"/>
      <c r="DM1324" s="73"/>
    </row>
    <row r="1325" spans="1:117" s="48" customFormat="1">
      <c r="A1325" s="73"/>
      <c r="T1325" s="73"/>
      <c r="U1325" s="73"/>
      <c r="V1325" s="73"/>
      <c r="W1325" s="73"/>
      <c r="X1325" s="73"/>
      <c r="Y1325" s="73"/>
      <c r="Z1325" s="73"/>
      <c r="AA1325" s="73"/>
      <c r="AB1325" s="73"/>
      <c r="AC1325" s="73"/>
      <c r="AD1325" s="73"/>
      <c r="AE1325" s="73"/>
      <c r="AF1325" s="73"/>
      <c r="AG1325" s="73"/>
      <c r="AH1325" s="73"/>
      <c r="AI1325" s="73"/>
      <c r="AJ1325" s="73"/>
      <c r="AK1325" s="73"/>
      <c r="AL1325" s="73"/>
      <c r="AM1325" s="73"/>
      <c r="AN1325" s="73"/>
      <c r="AO1325" s="73"/>
      <c r="AP1325" s="73"/>
      <c r="AQ1325" s="73"/>
      <c r="AR1325" s="73"/>
      <c r="AS1325" s="73"/>
      <c r="AT1325" s="73"/>
      <c r="AU1325" s="73"/>
      <c r="AV1325" s="73"/>
      <c r="AW1325" s="73"/>
      <c r="AX1325" s="73"/>
      <c r="AY1325" s="73"/>
      <c r="AZ1325" s="73"/>
      <c r="BA1325" s="73"/>
      <c r="BB1325" s="73"/>
      <c r="BC1325" s="73"/>
      <c r="BD1325" s="73"/>
      <c r="BE1325" s="73"/>
      <c r="BF1325" s="73"/>
      <c r="BG1325" s="73"/>
      <c r="BH1325" s="73"/>
      <c r="BI1325" s="73"/>
      <c r="BJ1325" s="73"/>
      <c r="BK1325" s="73"/>
      <c r="BL1325" s="73"/>
      <c r="BM1325" s="73"/>
      <c r="BN1325" s="73"/>
      <c r="BO1325" s="73"/>
      <c r="BP1325" s="73"/>
      <c r="BQ1325" s="73"/>
      <c r="BR1325" s="73"/>
      <c r="BS1325" s="73"/>
      <c r="BT1325" s="73"/>
      <c r="BU1325" s="73"/>
      <c r="BV1325" s="73"/>
      <c r="BW1325" s="73"/>
      <c r="BX1325" s="73"/>
      <c r="BY1325" s="73"/>
      <c r="BZ1325" s="73"/>
      <c r="CA1325" s="73"/>
      <c r="CB1325" s="73"/>
      <c r="CC1325" s="73"/>
      <c r="CD1325" s="73"/>
      <c r="CE1325" s="73"/>
      <c r="CF1325" s="73"/>
      <c r="CG1325" s="73"/>
      <c r="CH1325" s="73"/>
      <c r="CI1325" s="73"/>
      <c r="CJ1325" s="73"/>
      <c r="CK1325" s="73"/>
      <c r="CL1325" s="73"/>
      <c r="CM1325" s="73"/>
      <c r="CN1325" s="73"/>
      <c r="CO1325" s="73"/>
      <c r="CP1325" s="73"/>
      <c r="CQ1325" s="73"/>
      <c r="CR1325" s="73"/>
      <c r="CS1325" s="73"/>
      <c r="CT1325" s="73"/>
      <c r="CU1325" s="73"/>
      <c r="CV1325" s="73"/>
      <c r="CW1325" s="73"/>
      <c r="CX1325" s="73"/>
      <c r="CY1325" s="73"/>
      <c r="CZ1325" s="73"/>
      <c r="DA1325" s="73"/>
      <c r="DB1325" s="73"/>
      <c r="DC1325" s="73"/>
      <c r="DD1325" s="73"/>
      <c r="DE1325" s="73"/>
      <c r="DF1325" s="73"/>
      <c r="DG1325" s="73"/>
      <c r="DH1325" s="73"/>
      <c r="DI1325" s="73"/>
      <c r="DJ1325" s="73"/>
      <c r="DK1325" s="73"/>
      <c r="DL1325" s="73"/>
      <c r="DM1325" s="73"/>
    </row>
    <row r="1326" spans="1:117" s="48" customFormat="1">
      <c r="A1326" s="73"/>
      <c r="T1326" s="73"/>
      <c r="U1326" s="73"/>
      <c r="V1326" s="73"/>
      <c r="W1326" s="73"/>
      <c r="X1326" s="73"/>
      <c r="Y1326" s="73"/>
      <c r="Z1326" s="73"/>
      <c r="AA1326" s="73"/>
      <c r="AB1326" s="73"/>
      <c r="AC1326" s="73"/>
      <c r="AD1326" s="73"/>
      <c r="AE1326" s="73"/>
      <c r="AF1326" s="73"/>
      <c r="AG1326" s="73"/>
      <c r="AH1326" s="73"/>
      <c r="AI1326" s="73"/>
      <c r="AJ1326" s="73"/>
      <c r="AK1326" s="73"/>
      <c r="AL1326" s="73"/>
      <c r="AM1326" s="73"/>
      <c r="AN1326" s="73"/>
      <c r="AO1326" s="73"/>
      <c r="AP1326" s="73"/>
      <c r="AQ1326" s="73"/>
      <c r="AR1326" s="73"/>
      <c r="AS1326" s="73"/>
      <c r="AT1326" s="73"/>
      <c r="AU1326" s="73"/>
      <c r="AV1326" s="73"/>
      <c r="AW1326" s="73"/>
      <c r="AX1326" s="73"/>
      <c r="AY1326" s="73"/>
      <c r="AZ1326" s="73"/>
      <c r="BA1326" s="73"/>
      <c r="BB1326" s="73"/>
      <c r="BC1326" s="73"/>
      <c r="BD1326" s="73"/>
      <c r="BE1326" s="73"/>
      <c r="BF1326" s="73"/>
      <c r="BG1326" s="73"/>
      <c r="BH1326" s="73"/>
      <c r="BI1326" s="73"/>
      <c r="BJ1326" s="73"/>
      <c r="BK1326" s="73"/>
      <c r="BL1326" s="73"/>
      <c r="BM1326" s="73"/>
      <c r="BN1326" s="73"/>
      <c r="BO1326" s="73"/>
      <c r="BP1326" s="73"/>
      <c r="BQ1326" s="73"/>
      <c r="BR1326" s="73"/>
      <c r="BS1326" s="73"/>
      <c r="BT1326" s="73"/>
      <c r="BU1326" s="73"/>
      <c r="BV1326" s="73"/>
      <c r="BW1326" s="73"/>
      <c r="BX1326" s="73"/>
      <c r="BY1326" s="73"/>
      <c r="BZ1326" s="73"/>
      <c r="CA1326" s="73"/>
      <c r="CB1326" s="73"/>
      <c r="CC1326" s="73"/>
      <c r="CD1326" s="73"/>
      <c r="CE1326" s="73"/>
      <c r="CF1326" s="73"/>
      <c r="CG1326" s="73"/>
      <c r="CH1326" s="73"/>
      <c r="CI1326" s="73"/>
      <c r="CJ1326" s="73"/>
      <c r="CK1326" s="73"/>
      <c r="CL1326" s="73"/>
      <c r="CM1326" s="73"/>
      <c r="CN1326" s="73"/>
      <c r="CO1326" s="73"/>
      <c r="CP1326" s="73"/>
      <c r="CQ1326" s="73"/>
      <c r="CR1326" s="73"/>
      <c r="CS1326" s="73"/>
      <c r="CT1326" s="73"/>
      <c r="CU1326" s="73"/>
      <c r="CV1326" s="73"/>
      <c r="CW1326" s="73"/>
      <c r="CX1326" s="73"/>
      <c r="CY1326" s="73"/>
      <c r="CZ1326" s="73"/>
      <c r="DA1326" s="73"/>
      <c r="DB1326" s="73"/>
      <c r="DC1326" s="73"/>
      <c r="DD1326" s="73"/>
      <c r="DE1326" s="73"/>
      <c r="DF1326" s="73"/>
      <c r="DG1326" s="73"/>
      <c r="DH1326" s="73"/>
      <c r="DI1326" s="73"/>
      <c r="DJ1326" s="73"/>
      <c r="DK1326" s="73"/>
      <c r="DL1326" s="73"/>
      <c r="DM1326" s="73"/>
    </row>
    <row r="1327" spans="1:117" s="48" customFormat="1">
      <c r="A1327" s="73"/>
      <c r="T1327" s="73"/>
      <c r="U1327" s="73"/>
      <c r="V1327" s="73"/>
      <c r="W1327" s="73"/>
      <c r="X1327" s="73"/>
      <c r="Y1327" s="73"/>
      <c r="Z1327" s="73"/>
      <c r="AA1327" s="73"/>
      <c r="AB1327" s="73"/>
      <c r="AC1327" s="73"/>
      <c r="AD1327" s="73"/>
      <c r="AE1327" s="73"/>
      <c r="AF1327" s="73"/>
      <c r="AG1327" s="73"/>
      <c r="AH1327" s="73"/>
      <c r="AI1327" s="73"/>
      <c r="AJ1327" s="73"/>
      <c r="AK1327" s="73"/>
      <c r="AL1327" s="73"/>
      <c r="AM1327" s="73"/>
      <c r="AN1327" s="73"/>
      <c r="AO1327" s="73"/>
      <c r="AP1327" s="73"/>
      <c r="AQ1327" s="73"/>
      <c r="AR1327" s="73"/>
      <c r="AS1327" s="73"/>
      <c r="AT1327" s="73"/>
      <c r="AU1327" s="73"/>
      <c r="AV1327" s="73"/>
      <c r="AW1327" s="73"/>
      <c r="AX1327" s="73"/>
      <c r="AY1327" s="73"/>
      <c r="AZ1327" s="73"/>
      <c r="BA1327" s="73"/>
      <c r="BB1327" s="73"/>
      <c r="BC1327" s="73"/>
      <c r="BD1327" s="73"/>
      <c r="BE1327" s="73"/>
      <c r="BF1327" s="73"/>
      <c r="BG1327" s="73"/>
      <c r="BH1327" s="73"/>
      <c r="BI1327" s="73"/>
      <c r="BJ1327" s="73"/>
      <c r="BK1327" s="73"/>
      <c r="BL1327" s="73"/>
      <c r="BM1327" s="73"/>
      <c r="BN1327" s="73"/>
      <c r="BO1327" s="73"/>
      <c r="BP1327" s="73"/>
      <c r="BQ1327" s="73"/>
      <c r="BR1327" s="73"/>
      <c r="BS1327" s="73"/>
      <c r="BT1327" s="73"/>
      <c r="BU1327" s="73"/>
      <c r="BV1327" s="73"/>
      <c r="BW1327" s="73"/>
      <c r="BX1327" s="73"/>
      <c r="BY1327" s="73"/>
      <c r="BZ1327" s="73"/>
      <c r="CA1327" s="73"/>
      <c r="CB1327" s="73"/>
      <c r="CC1327" s="73"/>
      <c r="CD1327" s="73"/>
      <c r="CE1327" s="73"/>
      <c r="CF1327" s="73"/>
      <c r="CG1327" s="73"/>
      <c r="CH1327" s="73"/>
      <c r="CI1327" s="73"/>
      <c r="CJ1327" s="73"/>
      <c r="CK1327" s="73"/>
      <c r="CL1327" s="73"/>
      <c r="CM1327" s="73"/>
      <c r="CN1327" s="73"/>
      <c r="CO1327" s="73"/>
      <c r="CP1327" s="73"/>
      <c r="CQ1327" s="73"/>
      <c r="CR1327" s="73"/>
      <c r="CS1327" s="73"/>
      <c r="CT1327" s="73"/>
      <c r="CU1327" s="73"/>
      <c r="CV1327" s="73"/>
      <c r="CW1327" s="73"/>
      <c r="CX1327" s="73"/>
      <c r="CY1327" s="73"/>
      <c r="CZ1327" s="73"/>
      <c r="DA1327" s="73"/>
      <c r="DB1327" s="73"/>
      <c r="DC1327" s="73"/>
      <c r="DD1327" s="73"/>
      <c r="DE1327" s="73"/>
      <c r="DF1327" s="73"/>
      <c r="DG1327" s="73"/>
      <c r="DH1327" s="73"/>
      <c r="DI1327" s="73"/>
      <c r="DJ1327" s="73"/>
      <c r="DK1327" s="73"/>
      <c r="DL1327" s="73"/>
      <c r="DM1327" s="73"/>
    </row>
    <row r="1328" spans="1:117" s="48" customFormat="1">
      <c r="A1328" s="73"/>
      <c r="T1328" s="73"/>
      <c r="U1328" s="73"/>
      <c r="V1328" s="73"/>
      <c r="W1328" s="73"/>
      <c r="X1328" s="73"/>
      <c r="Y1328" s="73"/>
      <c r="Z1328" s="73"/>
      <c r="AA1328" s="73"/>
      <c r="AB1328" s="73"/>
      <c r="AC1328" s="73"/>
      <c r="AD1328" s="73"/>
      <c r="AE1328" s="73"/>
      <c r="AF1328" s="73"/>
      <c r="AG1328" s="73"/>
      <c r="AH1328" s="73"/>
      <c r="AI1328" s="73"/>
      <c r="AJ1328" s="73"/>
      <c r="AK1328" s="73"/>
      <c r="AL1328" s="73"/>
      <c r="AM1328" s="73"/>
      <c r="AN1328" s="73"/>
      <c r="AO1328" s="73"/>
      <c r="AP1328" s="73"/>
      <c r="AQ1328" s="73"/>
      <c r="AR1328" s="73"/>
      <c r="AS1328" s="73"/>
      <c r="AT1328" s="73"/>
      <c r="AU1328" s="73"/>
      <c r="AV1328" s="73"/>
      <c r="AW1328" s="73"/>
      <c r="AX1328" s="73"/>
      <c r="AY1328" s="73"/>
      <c r="AZ1328" s="73"/>
      <c r="BA1328" s="73"/>
      <c r="BB1328" s="73"/>
      <c r="BC1328" s="73"/>
      <c r="BD1328" s="73"/>
      <c r="BE1328" s="73"/>
      <c r="BF1328" s="73"/>
      <c r="BG1328" s="73"/>
      <c r="BH1328" s="73"/>
      <c r="BI1328" s="73"/>
      <c r="BJ1328" s="73"/>
      <c r="BK1328" s="73"/>
      <c r="BL1328" s="73"/>
      <c r="BM1328" s="73"/>
      <c r="BN1328" s="73"/>
      <c r="BO1328" s="73"/>
      <c r="BP1328" s="73"/>
      <c r="BQ1328" s="73"/>
      <c r="BR1328" s="73"/>
      <c r="BS1328" s="73"/>
      <c r="BT1328" s="73"/>
      <c r="BU1328" s="73"/>
      <c r="BV1328" s="73"/>
      <c r="BW1328" s="73"/>
      <c r="BX1328" s="73"/>
      <c r="BY1328" s="73"/>
      <c r="BZ1328" s="73"/>
      <c r="CA1328" s="73"/>
      <c r="CB1328" s="73"/>
      <c r="CC1328" s="73"/>
      <c r="CD1328" s="73"/>
      <c r="CE1328" s="73"/>
      <c r="CF1328" s="73"/>
      <c r="CG1328" s="73"/>
      <c r="CH1328" s="73"/>
      <c r="CI1328" s="73"/>
      <c r="CJ1328" s="73"/>
      <c r="CK1328" s="73"/>
      <c r="CL1328" s="73"/>
      <c r="CM1328" s="73"/>
      <c r="CN1328" s="73"/>
      <c r="CO1328" s="73"/>
      <c r="CP1328" s="73"/>
      <c r="CQ1328" s="73"/>
      <c r="CR1328" s="73"/>
      <c r="CS1328" s="73"/>
      <c r="CT1328" s="73"/>
      <c r="CU1328" s="73"/>
      <c r="CV1328" s="73"/>
      <c r="CW1328" s="73"/>
      <c r="CX1328" s="73"/>
      <c r="CY1328" s="73"/>
      <c r="CZ1328" s="73"/>
      <c r="DA1328" s="73"/>
      <c r="DB1328" s="73"/>
      <c r="DC1328" s="73"/>
      <c r="DD1328" s="73"/>
      <c r="DE1328" s="73"/>
      <c r="DF1328" s="73"/>
      <c r="DG1328" s="73"/>
      <c r="DH1328" s="73"/>
      <c r="DI1328" s="73"/>
      <c r="DJ1328" s="73"/>
      <c r="DK1328" s="73"/>
      <c r="DL1328" s="73"/>
      <c r="DM1328" s="73"/>
    </row>
    <row r="1329" spans="1:117" s="48" customFormat="1">
      <c r="A1329" s="73"/>
      <c r="T1329" s="73"/>
      <c r="U1329" s="73"/>
      <c r="V1329" s="73"/>
      <c r="W1329" s="73"/>
      <c r="X1329" s="73"/>
      <c r="Y1329" s="73"/>
      <c r="Z1329" s="73"/>
      <c r="AA1329" s="73"/>
      <c r="AB1329" s="73"/>
      <c r="AC1329" s="73"/>
      <c r="AD1329" s="73"/>
      <c r="AE1329" s="73"/>
      <c r="AF1329" s="73"/>
      <c r="AG1329" s="73"/>
      <c r="AH1329" s="73"/>
      <c r="AI1329" s="73"/>
      <c r="AJ1329" s="73"/>
      <c r="AK1329" s="73"/>
      <c r="AL1329" s="73"/>
      <c r="AM1329" s="73"/>
      <c r="AN1329" s="73"/>
      <c r="AO1329" s="73"/>
      <c r="AP1329" s="73"/>
      <c r="AQ1329" s="73"/>
      <c r="AR1329" s="73"/>
      <c r="AS1329" s="73"/>
      <c r="AT1329" s="73"/>
      <c r="AU1329" s="73"/>
      <c r="AV1329" s="73"/>
      <c r="AW1329" s="73"/>
      <c r="AX1329" s="73"/>
      <c r="AY1329" s="73"/>
      <c r="AZ1329" s="73"/>
      <c r="BA1329" s="73"/>
      <c r="BB1329" s="73"/>
      <c r="BC1329" s="73"/>
      <c r="BD1329" s="73"/>
      <c r="BE1329" s="73"/>
      <c r="BF1329" s="73"/>
      <c r="BG1329" s="73"/>
      <c r="BH1329" s="73"/>
      <c r="BI1329" s="73"/>
      <c r="BJ1329" s="73"/>
      <c r="BK1329" s="73"/>
      <c r="BL1329" s="73"/>
      <c r="BM1329" s="73"/>
      <c r="BN1329" s="73"/>
      <c r="BO1329" s="73"/>
      <c r="BP1329" s="73"/>
      <c r="BQ1329" s="73"/>
      <c r="BR1329" s="73"/>
      <c r="BS1329" s="73"/>
      <c r="BT1329" s="73"/>
      <c r="BU1329" s="73"/>
      <c r="BV1329" s="73"/>
      <c r="BW1329" s="73"/>
      <c r="BX1329" s="73"/>
      <c r="BY1329" s="73"/>
      <c r="BZ1329" s="73"/>
      <c r="CA1329" s="73"/>
      <c r="CB1329" s="73"/>
      <c r="CC1329" s="73"/>
      <c r="CD1329" s="73"/>
      <c r="CE1329" s="73"/>
      <c r="CF1329" s="73"/>
      <c r="CG1329" s="73"/>
      <c r="CH1329" s="73"/>
      <c r="CI1329" s="73"/>
      <c r="CJ1329" s="73"/>
      <c r="CK1329" s="73"/>
      <c r="CL1329" s="73"/>
      <c r="CM1329" s="73"/>
      <c r="CN1329" s="73"/>
      <c r="CO1329" s="73"/>
      <c r="CP1329" s="73"/>
      <c r="CQ1329" s="73"/>
      <c r="CR1329" s="73"/>
      <c r="CS1329" s="73"/>
      <c r="CT1329" s="73"/>
      <c r="CU1329" s="73"/>
      <c r="CV1329" s="73"/>
      <c r="CW1329" s="73"/>
      <c r="CX1329" s="73"/>
      <c r="CY1329" s="73"/>
      <c r="CZ1329" s="73"/>
      <c r="DA1329" s="73"/>
      <c r="DB1329" s="73"/>
      <c r="DC1329" s="73"/>
      <c r="DD1329" s="73"/>
      <c r="DE1329" s="73"/>
      <c r="DF1329" s="73"/>
      <c r="DG1329" s="73"/>
      <c r="DH1329" s="73"/>
      <c r="DI1329" s="73"/>
      <c r="DJ1329" s="73"/>
      <c r="DK1329" s="73"/>
      <c r="DL1329" s="73"/>
      <c r="DM1329" s="73"/>
    </row>
    <row r="1330" spans="1:117" s="48" customFormat="1">
      <c r="A1330" s="73"/>
      <c r="T1330" s="73"/>
      <c r="U1330" s="73"/>
      <c r="V1330" s="73"/>
      <c r="W1330" s="73"/>
      <c r="X1330" s="73"/>
      <c r="Y1330" s="73"/>
      <c r="Z1330" s="73"/>
      <c r="AA1330" s="73"/>
      <c r="AB1330" s="73"/>
      <c r="AC1330" s="73"/>
      <c r="AD1330" s="73"/>
      <c r="AE1330" s="73"/>
      <c r="AF1330" s="73"/>
      <c r="AG1330" s="73"/>
      <c r="AH1330" s="73"/>
      <c r="AI1330" s="73"/>
      <c r="AJ1330" s="73"/>
      <c r="AK1330" s="73"/>
      <c r="AL1330" s="73"/>
      <c r="AM1330" s="73"/>
      <c r="AN1330" s="73"/>
      <c r="AO1330" s="73"/>
      <c r="AP1330" s="73"/>
      <c r="AQ1330" s="73"/>
      <c r="AR1330" s="73"/>
      <c r="AS1330" s="73"/>
      <c r="AT1330" s="73"/>
      <c r="AU1330" s="73"/>
      <c r="AV1330" s="73"/>
      <c r="AW1330" s="73"/>
      <c r="AX1330" s="73"/>
      <c r="AY1330" s="73"/>
      <c r="AZ1330" s="73"/>
      <c r="BA1330" s="73"/>
      <c r="BB1330" s="73"/>
      <c r="BC1330" s="73"/>
      <c r="BD1330" s="73"/>
      <c r="BE1330" s="73"/>
      <c r="BF1330" s="73"/>
      <c r="BG1330" s="73"/>
      <c r="BH1330" s="73"/>
      <c r="BI1330" s="73"/>
      <c r="BJ1330" s="73"/>
      <c r="BK1330" s="73"/>
      <c r="BL1330" s="73"/>
      <c r="BM1330" s="73"/>
      <c r="BN1330" s="73"/>
      <c r="BO1330" s="73"/>
      <c r="BP1330" s="73"/>
      <c r="BQ1330" s="73"/>
      <c r="BR1330" s="73"/>
      <c r="BS1330" s="73"/>
      <c r="BT1330" s="73"/>
      <c r="BU1330" s="73"/>
      <c r="BV1330" s="73"/>
      <c r="BW1330" s="73"/>
      <c r="BX1330" s="73"/>
      <c r="BY1330" s="73"/>
      <c r="BZ1330" s="73"/>
      <c r="CA1330" s="73"/>
      <c r="CB1330" s="73"/>
      <c r="CC1330" s="73"/>
      <c r="CD1330" s="73"/>
      <c r="CE1330" s="73"/>
      <c r="CF1330" s="73"/>
      <c r="CG1330" s="73"/>
      <c r="CH1330" s="73"/>
      <c r="CI1330" s="73"/>
      <c r="CJ1330" s="73"/>
      <c r="CK1330" s="73"/>
      <c r="CL1330" s="73"/>
      <c r="CM1330" s="73"/>
      <c r="CN1330" s="73"/>
      <c r="CO1330" s="73"/>
      <c r="CP1330" s="73"/>
      <c r="CQ1330" s="73"/>
      <c r="CR1330" s="73"/>
      <c r="CS1330" s="73"/>
      <c r="CT1330" s="73"/>
      <c r="CU1330" s="73"/>
      <c r="CV1330" s="73"/>
      <c r="CW1330" s="73"/>
      <c r="CX1330" s="73"/>
      <c r="CY1330" s="73"/>
      <c r="CZ1330" s="73"/>
      <c r="DA1330" s="73"/>
      <c r="DB1330" s="73"/>
      <c r="DC1330" s="73"/>
      <c r="DD1330" s="73"/>
      <c r="DE1330" s="73"/>
      <c r="DF1330" s="73"/>
      <c r="DG1330" s="73"/>
      <c r="DH1330" s="73"/>
      <c r="DI1330" s="73"/>
      <c r="DJ1330" s="73"/>
      <c r="DK1330" s="73"/>
      <c r="DL1330" s="73"/>
      <c r="DM1330" s="73"/>
    </row>
    <row r="1331" spans="1:117" s="48" customFormat="1">
      <c r="A1331" s="73"/>
      <c r="T1331" s="73"/>
      <c r="U1331" s="73"/>
      <c r="V1331" s="73"/>
      <c r="W1331" s="73"/>
      <c r="X1331" s="73"/>
      <c r="Y1331" s="73"/>
      <c r="Z1331" s="73"/>
      <c r="AA1331" s="73"/>
      <c r="AB1331" s="73"/>
      <c r="AC1331" s="73"/>
      <c r="AD1331" s="73"/>
      <c r="AE1331" s="73"/>
      <c r="AF1331" s="73"/>
      <c r="AG1331" s="73"/>
      <c r="AH1331" s="73"/>
      <c r="AI1331" s="73"/>
      <c r="AJ1331" s="73"/>
      <c r="AK1331" s="73"/>
      <c r="AL1331" s="73"/>
      <c r="AM1331" s="73"/>
      <c r="AN1331" s="73"/>
      <c r="AO1331" s="73"/>
      <c r="AP1331" s="73"/>
      <c r="AQ1331" s="73"/>
      <c r="AR1331" s="73"/>
      <c r="AS1331" s="73"/>
      <c r="AT1331" s="73"/>
      <c r="AU1331" s="73"/>
      <c r="AV1331" s="73"/>
      <c r="AW1331" s="73"/>
      <c r="AX1331" s="73"/>
      <c r="AY1331" s="73"/>
      <c r="AZ1331" s="73"/>
      <c r="BA1331" s="73"/>
      <c r="BB1331" s="73"/>
      <c r="BC1331" s="73"/>
      <c r="BD1331" s="73"/>
      <c r="BE1331" s="73"/>
      <c r="BF1331" s="73"/>
      <c r="BG1331" s="73"/>
      <c r="BH1331" s="73"/>
      <c r="BI1331" s="73"/>
      <c r="BJ1331" s="73"/>
      <c r="BK1331" s="73"/>
      <c r="BL1331" s="73"/>
      <c r="BM1331" s="73"/>
      <c r="BN1331" s="73"/>
      <c r="BO1331" s="73"/>
      <c r="BP1331" s="73"/>
      <c r="BQ1331" s="73"/>
      <c r="BR1331" s="73"/>
      <c r="BS1331" s="73"/>
      <c r="BT1331" s="73"/>
      <c r="BU1331" s="73"/>
      <c r="BV1331" s="73"/>
      <c r="BW1331" s="73"/>
      <c r="BX1331" s="73"/>
      <c r="BY1331" s="73"/>
      <c r="BZ1331" s="73"/>
      <c r="CA1331" s="73"/>
      <c r="CB1331" s="73"/>
      <c r="CC1331" s="73"/>
      <c r="CD1331" s="73"/>
      <c r="CE1331" s="73"/>
      <c r="CF1331" s="73"/>
      <c r="CG1331" s="73"/>
      <c r="CH1331" s="73"/>
      <c r="CI1331" s="73"/>
      <c r="CJ1331" s="73"/>
      <c r="CK1331" s="73"/>
      <c r="CL1331" s="73"/>
      <c r="CM1331" s="73"/>
      <c r="CN1331" s="73"/>
      <c r="CO1331" s="73"/>
      <c r="CP1331" s="73"/>
      <c r="CQ1331" s="73"/>
      <c r="CR1331" s="73"/>
      <c r="CS1331" s="73"/>
      <c r="CT1331" s="73"/>
      <c r="CU1331" s="73"/>
      <c r="CV1331" s="73"/>
      <c r="CW1331" s="73"/>
      <c r="CX1331" s="73"/>
      <c r="CY1331" s="73"/>
      <c r="CZ1331" s="73"/>
      <c r="DA1331" s="73"/>
      <c r="DB1331" s="73"/>
      <c r="DC1331" s="73"/>
      <c r="DD1331" s="73"/>
      <c r="DE1331" s="73"/>
      <c r="DF1331" s="73"/>
      <c r="DG1331" s="73"/>
      <c r="DH1331" s="73"/>
      <c r="DI1331" s="73"/>
      <c r="DJ1331" s="73"/>
      <c r="DK1331" s="73"/>
      <c r="DL1331" s="73"/>
      <c r="DM1331" s="73"/>
    </row>
    <row r="1332" spans="1:117" s="48" customFormat="1">
      <c r="A1332" s="73"/>
      <c r="T1332" s="73"/>
      <c r="U1332" s="73"/>
      <c r="V1332" s="73"/>
      <c r="W1332" s="73"/>
      <c r="X1332" s="73"/>
      <c r="Y1332" s="73"/>
      <c r="Z1332" s="73"/>
      <c r="AA1332" s="73"/>
      <c r="AB1332" s="73"/>
      <c r="AC1332" s="73"/>
      <c r="AD1332" s="73"/>
      <c r="AE1332" s="73"/>
      <c r="AF1332" s="73"/>
      <c r="AG1332" s="73"/>
      <c r="AH1332" s="73"/>
      <c r="AI1332" s="73"/>
      <c r="AJ1332" s="73"/>
      <c r="AK1332" s="73"/>
      <c r="AL1332" s="73"/>
      <c r="AM1332" s="73"/>
      <c r="AN1332" s="73"/>
      <c r="AO1332" s="73"/>
      <c r="AP1332" s="73"/>
      <c r="AQ1332" s="73"/>
      <c r="AR1332" s="73"/>
      <c r="AS1332" s="73"/>
      <c r="AT1332" s="73"/>
      <c r="AU1332" s="73"/>
      <c r="AV1332" s="73"/>
      <c r="AW1332" s="73"/>
      <c r="AX1332" s="73"/>
      <c r="AY1332" s="73"/>
      <c r="AZ1332" s="73"/>
      <c r="BA1332" s="73"/>
      <c r="BB1332" s="73"/>
      <c r="BC1332" s="73"/>
      <c r="BD1332" s="73"/>
      <c r="BE1332" s="73"/>
      <c r="BF1332" s="73"/>
      <c r="BG1332" s="73"/>
      <c r="BH1332" s="73"/>
      <c r="BI1332" s="73"/>
      <c r="BJ1332" s="73"/>
      <c r="BK1332" s="73"/>
      <c r="BL1332" s="73"/>
      <c r="BM1332" s="73"/>
      <c r="BN1332" s="73"/>
      <c r="BO1332" s="73"/>
      <c r="BP1332" s="73"/>
      <c r="BQ1332" s="73"/>
      <c r="BR1332" s="73"/>
      <c r="BS1332" s="73"/>
      <c r="BT1332" s="73"/>
      <c r="BU1332" s="73"/>
      <c r="BV1332" s="73"/>
      <c r="BW1332" s="73"/>
      <c r="BX1332" s="73"/>
      <c r="BY1332" s="73"/>
      <c r="BZ1332" s="73"/>
      <c r="CA1332" s="73"/>
      <c r="CB1332" s="73"/>
      <c r="CC1332" s="73"/>
      <c r="CD1332" s="73"/>
      <c r="CE1332" s="73"/>
      <c r="CF1332" s="73"/>
      <c r="CG1332" s="73"/>
      <c r="CH1332" s="73"/>
      <c r="CI1332" s="73"/>
      <c r="CJ1332" s="73"/>
      <c r="CK1332" s="73"/>
      <c r="CL1332" s="73"/>
      <c r="CM1332" s="73"/>
      <c r="CN1332" s="73"/>
      <c r="CO1332" s="73"/>
      <c r="CP1332" s="73"/>
      <c r="CQ1332" s="73"/>
      <c r="CR1332" s="73"/>
      <c r="CS1332" s="73"/>
      <c r="CT1332" s="73"/>
      <c r="CU1332" s="73"/>
      <c r="CV1332" s="73"/>
      <c r="CW1332" s="73"/>
      <c r="CX1332" s="73"/>
      <c r="CY1332" s="73"/>
      <c r="CZ1332" s="73"/>
      <c r="DA1332" s="73"/>
      <c r="DB1332" s="73"/>
      <c r="DC1332" s="73"/>
      <c r="DD1332" s="73"/>
      <c r="DE1332" s="73"/>
      <c r="DF1332" s="73"/>
      <c r="DG1332" s="73"/>
      <c r="DH1332" s="73"/>
      <c r="DI1332" s="73"/>
      <c r="DJ1332" s="73"/>
      <c r="DK1332" s="73"/>
      <c r="DL1332" s="73"/>
      <c r="DM1332" s="73"/>
    </row>
    <row r="1333" spans="1:117" s="48" customFormat="1">
      <c r="A1333" s="73"/>
      <c r="T1333" s="73"/>
      <c r="U1333" s="73"/>
      <c r="V1333" s="73"/>
      <c r="W1333" s="73"/>
      <c r="X1333" s="73"/>
      <c r="Y1333" s="73"/>
      <c r="Z1333" s="73"/>
      <c r="AA1333" s="73"/>
      <c r="AB1333" s="73"/>
      <c r="AC1333" s="73"/>
      <c r="AD1333" s="73"/>
      <c r="AE1333" s="73"/>
      <c r="AF1333" s="73"/>
      <c r="AG1333" s="73"/>
      <c r="AH1333" s="73"/>
      <c r="AI1333" s="73"/>
      <c r="AJ1333" s="73"/>
      <c r="AK1333" s="73"/>
      <c r="AL1333" s="73"/>
      <c r="AM1333" s="73"/>
      <c r="AN1333" s="73"/>
      <c r="AO1333" s="73"/>
      <c r="AP1333" s="73"/>
      <c r="AQ1333" s="73"/>
      <c r="AR1333" s="73"/>
      <c r="AS1333" s="73"/>
      <c r="AT1333" s="73"/>
      <c r="AU1333" s="73"/>
      <c r="AV1333" s="73"/>
      <c r="AW1333" s="73"/>
      <c r="AX1333" s="73"/>
      <c r="AY1333" s="73"/>
      <c r="AZ1333" s="73"/>
      <c r="BA1333" s="73"/>
      <c r="BB1333" s="73"/>
      <c r="BC1333" s="73"/>
      <c r="BD1333" s="73"/>
      <c r="BE1333" s="73"/>
      <c r="BF1333" s="73"/>
      <c r="BG1333" s="73"/>
      <c r="BH1333" s="73"/>
      <c r="BI1333" s="73"/>
      <c r="BJ1333" s="73"/>
      <c r="BK1333" s="73"/>
      <c r="BL1333" s="73"/>
      <c r="BM1333" s="73"/>
      <c r="BN1333" s="73"/>
      <c r="BO1333" s="73"/>
      <c r="BP1333" s="73"/>
      <c r="BQ1333" s="73"/>
      <c r="BR1333" s="73"/>
      <c r="BS1333" s="73"/>
      <c r="BT1333" s="73"/>
      <c r="BU1333" s="73"/>
      <c r="BV1333" s="73"/>
      <c r="BW1333" s="73"/>
      <c r="BX1333" s="73"/>
      <c r="BY1333" s="73"/>
      <c r="BZ1333" s="73"/>
      <c r="CA1333" s="73"/>
      <c r="CB1333" s="73"/>
      <c r="CC1333" s="73"/>
      <c r="CD1333" s="73"/>
      <c r="CE1333" s="73"/>
      <c r="CF1333" s="73"/>
      <c r="CG1333" s="73"/>
      <c r="CH1333" s="73"/>
      <c r="CI1333" s="73"/>
      <c r="CJ1333" s="73"/>
      <c r="CK1333" s="73"/>
      <c r="CL1333" s="73"/>
      <c r="CM1333" s="73"/>
      <c r="CN1333" s="73"/>
      <c r="CO1333" s="73"/>
      <c r="CP1333" s="73"/>
      <c r="CQ1333" s="73"/>
      <c r="CR1333" s="73"/>
      <c r="CS1333" s="73"/>
      <c r="CT1333" s="73"/>
      <c r="CU1333" s="73"/>
      <c r="CV1333" s="73"/>
      <c r="CW1333" s="73"/>
      <c r="CX1333" s="73"/>
      <c r="CY1333" s="73"/>
      <c r="CZ1333" s="73"/>
      <c r="DA1333" s="73"/>
      <c r="DB1333" s="73"/>
      <c r="DC1333" s="73"/>
      <c r="DD1333" s="73"/>
      <c r="DE1333" s="73"/>
      <c r="DF1333" s="73"/>
      <c r="DG1333" s="73"/>
      <c r="DH1333" s="73"/>
      <c r="DI1333" s="73"/>
      <c r="DJ1333" s="73"/>
      <c r="DK1333" s="73"/>
      <c r="DL1333" s="73"/>
      <c r="DM1333" s="73"/>
    </row>
    <row r="1334" spans="1:117" s="48" customFormat="1">
      <c r="A1334" s="73"/>
      <c r="T1334" s="73"/>
      <c r="U1334" s="73"/>
      <c r="V1334" s="73"/>
      <c r="W1334" s="73"/>
      <c r="X1334" s="73"/>
      <c r="Y1334" s="73"/>
      <c r="Z1334" s="73"/>
      <c r="AA1334" s="73"/>
      <c r="AB1334" s="73"/>
      <c r="AC1334" s="73"/>
      <c r="AD1334" s="73"/>
      <c r="AE1334" s="73"/>
      <c r="AF1334" s="73"/>
      <c r="AG1334" s="73"/>
      <c r="AH1334" s="73"/>
      <c r="AI1334" s="73"/>
      <c r="AJ1334" s="73"/>
      <c r="AK1334" s="73"/>
      <c r="AL1334" s="73"/>
      <c r="AM1334" s="73"/>
      <c r="AN1334" s="73"/>
      <c r="AO1334" s="73"/>
      <c r="AP1334" s="73"/>
      <c r="AQ1334" s="73"/>
      <c r="AR1334" s="73"/>
      <c r="AS1334" s="73"/>
      <c r="AT1334" s="73"/>
      <c r="AU1334" s="73"/>
      <c r="AV1334" s="73"/>
      <c r="AW1334" s="73"/>
      <c r="AX1334" s="73"/>
      <c r="AY1334" s="73"/>
      <c r="AZ1334" s="73"/>
      <c r="BA1334" s="73"/>
      <c r="BB1334" s="73"/>
      <c r="BC1334" s="73"/>
      <c r="BD1334" s="73"/>
      <c r="BE1334" s="73"/>
      <c r="BF1334" s="73"/>
      <c r="BG1334" s="73"/>
      <c r="BH1334" s="73"/>
      <c r="BI1334" s="73"/>
      <c r="BJ1334" s="73"/>
      <c r="BK1334" s="73"/>
      <c r="BL1334" s="73"/>
      <c r="BM1334" s="73"/>
      <c r="BN1334" s="73"/>
      <c r="BO1334" s="73"/>
      <c r="BP1334" s="73"/>
      <c r="BQ1334" s="73"/>
      <c r="BR1334" s="73"/>
      <c r="BS1334" s="73"/>
      <c r="BT1334" s="73"/>
      <c r="BU1334" s="73"/>
      <c r="BV1334" s="73"/>
      <c r="BW1334" s="73"/>
      <c r="BX1334" s="73"/>
      <c r="BY1334" s="73"/>
      <c r="BZ1334" s="73"/>
      <c r="CA1334" s="73"/>
      <c r="CB1334" s="73"/>
      <c r="CC1334" s="73"/>
      <c r="CD1334" s="73"/>
      <c r="CE1334" s="73"/>
      <c r="CF1334" s="73"/>
      <c r="CG1334" s="73"/>
      <c r="CH1334" s="73"/>
      <c r="CI1334" s="73"/>
      <c r="CJ1334" s="73"/>
      <c r="CK1334" s="73"/>
      <c r="CL1334" s="73"/>
      <c r="CM1334" s="73"/>
      <c r="CN1334" s="73"/>
      <c r="CO1334" s="73"/>
      <c r="CP1334" s="73"/>
      <c r="CQ1334" s="73"/>
      <c r="CR1334" s="73"/>
      <c r="CS1334" s="73"/>
      <c r="CT1334" s="73"/>
      <c r="CU1334" s="73"/>
      <c r="CV1334" s="73"/>
      <c r="CW1334" s="73"/>
      <c r="CX1334" s="73"/>
      <c r="CY1334" s="73"/>
      <c r="CZ1334" s="73"/>
      <c r="DA1334" s="73"/>
      <c r="DB1334" s="73"/>
      <c r="DC1334" s="73"/>
      <c r="DD1334" s="73"/>
      <c r="DE1334" s="73"/>
      <c r="DF1334" s="73"/>
      <c r="DG1334" s="73"/>
      <c r="DH1334" s="73"/>
      <c r="DI1334" s="73"/>
      <c r="DJ1334" s="73"/>
      <c r="DK1334" s="73"/>
      <c r="DL1334" s="73"/>
      <c r="DM1334" s="73"/>
    </row>
    <row r="1335" spans="1:117" s="48" customFormat="1">
      <c r="A1335" s="73"/>
      <c r="T1335" s="73"/>
      <c r="U1335" s="73"/>
      <c r="V1335" s="73"/>
      <c r="W1335" s="73"/>
      <c r="X1335" s="73"/>
      <c r="Y1335" s="73"/>
      <c r="Z1335" s="73"/>
      <c r="AA1335" s="73"/>
      <c r="AB1335" s="73"/>
      <c r="AC1335" s="73"/>
      <c r="AD1335" s="73"/>
      <c r="AE1335" s="73"/>
      <c r="AF1335" s="73"/>
      <c r="AG1335" s="73"/>
      <c r="AH1335" s="73"/>
      <c r="AI1335" s="73"/>
      <c r="AJ1335" s="73"/>
      <c r="AK1335" s="73"/>
      <c r="AL1335" s="73"/>
      <c r="AM1335" s="73"/>
      <c r="AN1335" s="73"/>
      <c r="AO1335" s="73"/>
      <c r="AP1335" s="73"/>
      <c r="AQ1335" s="73"/>
      <c r="AR1335" s="73"/>
      <c r="AS1335" s="73"/>
      <c r="AT1335" s="73"/>
      <c r="AU1335" s="73"/>
      <c r="AV1335" s="73"/>
      <c r="AW1335" s="73"/>
      <c r="AX1335" s="73"/>
      <c r="AY1335" s="73"/>
      <c r="AZ1335" s="73"/>
      <c r="BA1335" s="73"/>
      <c r="BB1335" s="73"/>
      <c r="BC1335" s="73"/>
      <c r="BD1335" s="73"/>
      <c r="BE1335" s="73"/>
      <c r="BF1335" s="73"/>
      <c r="BG1335" s="73"/>
      <c r="BH1335" s="73"/>
      <c r="BI1335" s="73"/>
      <c r="BJ1335" s="73"/>
      <c r="BK1335" s="73"/>
      <c r="BL1335" s="73"/>
      <c r="BM1335" s="73"/>
      <c r="BN1335" s="73"/>
      <c r="BO1335" s="73"/>
      <c r="BP1335" s="73"/>
      <c r="BQ1335" s="73"/>
      <c r="BR1335" s="73"/>
      <c r="BS1335" s="73"/>
      <c r="BT1335" s="73"/>
      <c r="BU1335" s="73"/>
      <c r="BV1335" s="73"/>
      <c r="BW1335" s="73"/>
      <c r="BX1335" s="73"/>
      <c r="BY1335" s="73"/>
      <c r="BZ1335" s="73"/>
      <c r="CA1335" s="73"/>
      <c r="CB1335" s="73"/>
      <c r="CC1335" s="73"/>
      <c r="CD1335" s="73"/>
      <c r="CE1335" s="73"/>
      <c r="CF1335" s="73"/>
      <c r="CG1335" s="73"/>
      <c r="CH1335" s="73"/>
      <c r="CI1335" s="73"/>
      <c r="CJ1335" s="73"/>
      <c r="CK1335" s="73"/>
      <c r="CL1335" s="73"/>
      <c r="CM1335" s="73"/>
      <c r="CN1335" s="73"/>
      <c r="CO1335" s="73"/>
      <c r="CP1335" s="73"/>
      <c r="CQ1335" s="73"/>
      <c r="CR1335" s="73"/>
      <c r="CS1335" s="73"/>
      <c r="CT1335" s="73"/>
      <c r="CU1335" s="73"/>
      <c r="CV1335" s="73"/>
      <c r="CW1335" s="73"/>
      <c r="CX1335" s="73"/>
      <c r="CY1335" s="73"/>
      <c r="CZ1335" s="73"/>
      <c r="DA1335" s="73"/>
      <c r="DB1335" s="73"/>
      <c r="DC1335" s="73"/>
      <c r="DD1335" s="73"/>
      <c r="DE1335" s="73"/>
      <c r="DF1335" s="73"/>
      <c r="DG1335" s="73"/>
      <c r="DH1335" s="73"/>
      <c r="DI1335" s="73"/>
      <c r="DJ1335" s="73"/>
      <c r="DK1335" s="73"/>
      <c r="DL1335" s="73"/>
      <c r="DM1335" s="73"/>
    </row>
    <row r="1336" spans="1:117" s="48" customFormat="1">
      <c r="A1336" s="73"/>
      <c r="T1336" s="73"/>
      <c r="U1336" s="73"/>
      <c r="V1336" s="73"/>
      <c r="W1336" s="73"/>
      <c r="X1336" s="73"/>
      <c r="Y1336" s="73"/>
      <c r="Z1336" s="73"/>
      <c r="AA1336" s="73"/>
      <c r="AB1336" s="73"/>
      <c r="AC1336" s="73"/>
      <c r="AD1336" s="73"/>
      <c r="AE1336" s="73"/>
      <c r="AF1336" s="73"/>
      <c r="AG1336" s="73"/>
      <c r="AH1336" s="73"/>
      <c r="AI1336" s="73"/>
      <c r="AJ1336" s="73"/>
      <c r="AK1336" s="73"/>
      <c r="AL1336" s="73"/>
      <c r="AM1336" s="73"/>
      <c r="AN1336" s="73"/>
      <c r="AO1336" s="73"/>
      <c r="AP1336" s="73"/>
      <c r="AQ1336" s="73"/>
      <c r="AR1336" s="73"/>
      <c r="AS1336" s="73"/>
      <c r="AT1336" s="73"/>
      <c r="AU1336" s="73"/>
      <c r="AV1336" s="73"/>
      <c r="AW1336" s="73"/>
      <c r="AX1336" s="73"/>
      <c r="AY1336" s="73"/>
      <c r="AZ1336" s="73"/>
      <c r="BA1336" s="73"/>
      <c r="BB1336" s="73"/>
      <c r="BC1336" s="73"/>
      <c r="BD1336" s="73"/>
      <c r="BE1336" s="73"/>
      <c r="BF1336" s="73"/>
      <c r="BG1336" s="73"/>
      <c r="BH1336" s="73"/>
      <c r="BI1336" s="73"/>
      <c r="BJ1336" s="73"/>
      <c r="BK1336" s="73"/>
      <c r="BL1336" s="73"/>
      <c r="BM1336" s="73"/>
      <c r="BN1336" s="73"/>
      <c r="BO1336" s="73"/>
      <c r="BP1336" s="73"/>
      <c r="BQ1336" s="73"/>
      <c r="BR1336" s="73"/>
      <c r="BS1336" s="73"/>
      <c r="BT1336" s="73"/>
      <c r="BU1336" s="73"/>
      <c r="BV1336" s="73"/>
      <c r="BW1336" s="73"/>
      <c r="BX1336" s="73"/>
      <c r="BY1336" s="73"/>
      <c r="BZ1336" s="73"/>
      <c r="CA1336" s="73"/>
      <c r="CB1336" s="73"/>
      <c r="CC1336" s="73"/>
      <c r="CD1336" s="73"/>
      <c r="CE1336" s="73"/>
      <c r="CF1336" s="73"/>
      <c r="CG1336" s="73"/>
      <c r="CH1336" s="73"/>
      <c r="CI1336" s="73"/>
      <c r="CJ1336" s="73"/>
      <c r="CK1336" s="73"/>
      <c r="CL1336" s="73"/>
      <c r="CM1336" s="73"/>
      <c r="CN1336" s="73"/>
      <c r="CO1336" s="73"/>
      <c r="CP1336" s="73"/>
      <c r="CQ1336" s="73"/>
      <c r="CR1336" s="73"/>
      <c r="CS1336" s="73"/>
      <c r="CT1336" s="73"/>
      <c r="CU1336" s="73"/>
      <c r="CV1336" s="73"/>
      <c r="CW1336" s="73"/>
      <c r="CX1336" s="73"/>
      <c r="CY1336" s="73"/>
      <c r="CZ1336" s="73"/>
      <c r="DA1336" s="73"/>
      <c r="DB1336" s="73"/>
      <c r="DC1336" s="73"/>
      <c r="DD1336" s="73"/>
      <c r="DE1336" s="73"/>
      <c r="DF1336" s="73"/>
      <c r="DG1336" s="73"/>
      <c r="DH1336" s="73"/>
      <c r="DI1336" s="73"/>
      <c r="DJ1336" s="73"/>
      <c r="DK1336" s="73"/>
      <c r="DL1336" s="73"/>
      <c r="DM1336" s="73"/>
    </row>
    <row r="1337" spans="1:117" s="48" customFormat="1">
      <c r="A1337" s="73"/>
      <c r="T1337" s="73"/>
      <c r="U1337" s="73"/>
      <c r="V1337" s="73"/>
      <c r="W1337" s="73"/>
      <c r="X1337" s="73"/>
      <c r="Y1337" s="73"/>
      <c r="Z1337" s="73"/>
      <c r="AA1337" s="73"/>
      <c r="AB1337" s="73"/>
      <c r="AC1337" s="73"/>
      <c r="AD1337" s="73"/>
      <c r="AE1337" s="73"/>
      <c r="AF1337" s="73"/>
      <c r="AG1337" s="73"/>
      <c r="AH1337" s="73"/>
      <c r="AI1337" s="73"/>
      <c r="AJ1337" s="73"/>
      <c r="AK1337" s="73"/>
      <c r="AL1337" s="73"/>
      <c r="AM1337" s="73"/>
      <c r="AN1337" s="73"/>
      <c r="AO1337" s="73"/>
      <c r="AP1337" s="73"/>
      <c r="AQ1337" s="73"/>
      <c r="AR1337" s="73"/>
      <c r="AS1337" s="73"/>
      <c r="AT1337" s="73"/>
      <c r="AU1337" s="73"/>
      <c r="AV1337" s="73"/>
      <c r="AW1337" s="73"/>
      <c r="AX1337" s="73"/>
      <c r="AY1337" s="73"/>
      <c r="AZ1337" s="73"/>
      <c r="BA1337" s="73"/>
      <c r="BB1337" s="73"/>
      <c r="BC1337" s="73"/>
      <c r="BD1337" s="73"/>
      <c r="BE1337" s="73"/>
      <c r="BF1337" s="73"/>
      <c r="BG1337" s="73"/>
      <c r="BH1337" s="73"/>
      <c r="BI1337" s="73"/>
      <c r="BJ1337" s="73"/>
      <c r="BK1337" s="73"/>
      <c r="BL1337" s="73"/>
      <c r="BM1337" s="73"/>
      <c r="BN1337" s="73"/>
      <c r="BO1337" s="73"/>
      <c r="BP1337" s="73"/>
      <c r="BQ1337" s="73"/>
      <c r="BR1337" s="73"/>
      <c r="BS1337" s="73"/>
      <c r="BT1337" s="73"/>
      <c r="BU1337" s="73"/>
      <c r="BV1337" s="73"/>
      <c r="BW1337" s="73"/>
      <c r="BX1337" s="73"/>
      <c r="BY1337" s="73"/>
      <c r="BZ1337" s="73"/>
      <c r="CA1337" s="73"/>
      <c r="CB1337" s="73"/>
      <c r="CC1337" s="73"/>
      <c r="CD1337" s="73"/>
      <c r="CE1337" s="73"/>
      <c r="CF1337" s="73"/>
      <c r="CG1337" s="73"/>
      <c r="CH1337" s="73"/>
      <c r="CI1337" s="73"/>
      <c r="CJ1337" s="73"/>
      <c r="CK1337" s="73"/>
      <c r="CL1337" s="73"/>
      <c r="CM1337" s="73"/>
      <c r="CN1337" s="73"/>
      <c r="CO1337" s="73"/>
      <c r="CP1337" s="73"/>
      <c r="CQ1337" s="73"/>
      <c r="CR1337" s="73"/>
      <c r="CS1337" s="73"/>
      <c r="CT1337" s="73"/>
      <c r="CU1337" s="73"/>
      <c r="CV1337" s="73"/>
      <c r="CW1337" s="73"/>
      <c r="CX1337" s="73"/>
      <c r="CY1337" s="73"/>
      <c r="CZ1337" s="73"/>
      <c r="DA1337" s="73"/>
      <c r="DB1337" s="73"/>
      <c r="DC1337" s="73"/>
      <c r="DD1337" s="73"/>
      <c r="DE1337" s="73"/>
      <c r="DF1337" s="73"/>
      <c r="DG1337" s="73"/>
      <c r="DH1337" s="73"/>
      <c r="DI1337" s="73"/>
      <c r="DJ1337" s="73"/>
      <c r="DK1337" s="73"/>
      <c r="DL1337" s="73"/>
      <c r="DM1337" s="73"/>
    </row>
    <row r="1338" spans="1:117" s="48" customFormat="1">
      <c r="A1338" s="73"/>
      <c r="T1338" s="73"/>
      <c r="U1338" s="73"/>
      <c r="V1338" s="73"/>
      <c r="W1338" s="73"/>
      <c r="X1338" s="73"/>
      <c r="Y1338" s="73"/>
      <c r="Z1338" s="73"/>
      <c r="AA1338" s="73"/>
      <c r="AB1338" s="73"/>
      <c r="AC1338" s="73"/>
      <c r="AD1338" s="73"/>
      <c r="AE1338" s="73"/>
      <c r="AF1338" s="73"/>
      <c r="AG1338" s="73"/>
      <c r="AH1338" s="73"/>
      <c r="AI1338" s="73"/>
      <c r="AJ1338" s="73"/>
      <c r="AK1338" s="73"/>
      <c r="AL1338" s="73"/>
      <c r="AM1338" s="73"/>
      <c r="AN1338" s="73"/>
      <c r="AO1338" s="73"/>
      <c r="AP1338" s="73"/>
      <c r="AQ1338" s="73"/>
      <c r="AR1338" s="73"/>
      <c r="AS1338" s="73"/>
      <c r="AT1338" s="73"/>
      <c r="AU1338" s="73"/>
      <c r="AV1338" s="73"/>
      <c r="AW1338" s="73"/>
      <c r="AX1338" s="73"/>
      <c r="AY1338" s="73"/>
      <c r="AZ1338" s="73"/>
      <c r="BA1338" s="73"/>
      <c r="BB1338" s="73"/>
      <c r="BC1338" s="73"/>
      <c r="BD1338" s="73"/>
      <c r="BE1338" s="73"/>
      <c r="BF1338" s="73"/>
      <c r="BG1338" s="73"/>
      <c r="BH1338" s="73"/>
      <c r="BI1338" s="73"/>
      <c r="BJ1338" s="73"/>
      <c r="BK1338" s="73"/>
      <c r="BL1338" s="73"/>
      <c r="BM1338" s="73"/>
      <c r="BN1338" s="73"/>
      <c r="BO1338" s="73"/>
      <c r="BP1338" s="73"/>
      <c r="BQ1338" s="73"/>
      <c r="BR1338" s="73"/>
      <c r="BS1338" s="73"/>
      <c r="BT1338" s="73"/>
      <c r="BU1338" s="73"/>
      <c r="BV1338" s="73"/>
      <c r="BW1338" s="73"/>
      <c r="BX1338" s="73"/>
      <c r="BY1338" s="73"/>
      <c r="BZ1338" s="73"/>
      <c r="CA1338" s="73"/>
      <c r="CB1338" s="73"/>
      <c r="CC1338" s="73"/>
      <c r="CD1338" s="73"/>
      <c r="CE1338" s="73"/>
      <c r="CF1338" s="73"/>
      <c r="CG1338" s="73"/>
      <c r="CH1338" s="73"/>
      <c r="CI1338" s="73"/>
      <c r="CJ1338" s="73"/>
      <c r="CK1338" s="73"/>
      <c r="CL1338" s="73"/>
      <c r="CM1338" s="73"/>
      <c r="CN1338" s="73"/>
      <c r="CO1338" s="73"/>
      <c r="CP1338" s="73"/>
      <c r="CQ1338" s="73"/>
      <c r="CR1338" s="73"/>
      <c r="CS1338" s="73"/>
      <c r="CT1338" s="73"/>
      <c r="CU1338" s="73"/>
      <c r="CV1338" s="73"/>
      <c r="CW1338" s="73"/>
      <c r="CX1338" s="73"/>
      <c r="CY1338" s="73"/>
      <c r="CZ1338" s="73"/>
      <c r="DA1338" s="73"/>
      <c r="DB1338" s="73"/>
      <c r="DC1338" s="73"/>
      <c r="DD1338" s="73"/>
      <c r="DE1338" s="73"/>
      <c r="DF1338" s="73"/>
      <c r="DG1338" s="73"/>
      <c r="DH1338" s="73"/>
      <c r="DI1338" s="73"/>
      <c r="DJ1338" s="73"/>
      <c r="DK1338" s="73"/>
      <c r="DL1338" s="73"/>
      <c r="DM1338" s="73"/>
    </row>
    <row r="1339" spans="1:117" s="48" customFormat="1">
      <c r="A1339" s="73"/>
      <c r="T1339" s="73"/>
      <c r="U1339" s="73"/>
      <c r="V1339" s="73"/>
      <c r="W1339" s="73"/>
      <c r="X1339" s="73"/>
      <c r="Y1339" s="73"/>
      <c r="Z1339" s="73"/>
      <c r="AA1339" s="73"/>
      <c r="AB1339" s="73"/>
      <c r="AC1339" s="73"/>
      <c r="AD1339" s="73"/>
      <c r="AE1339" s="73"/>
      <c r="AF1339" s="73"/>
      <c r="AG1339" s="73"/>
      <c r="AH1339" s="73"/>
      <c r="AI1339" s="73"/>
      <c r="AJ1339" s="73"/>
      <c r="AK1339" s="73"/>
      <c r="AL1339" s="73"/>
      <c r="AM1339" s="73"/>
      <c r="AN1339" s="73"/>
      <c r="AO1339" s="73"/>
      <c r="AP1339" s="73"/>
      <c r="AQ1339" s="73"/>
      <c r="AR1339" s="73"/>
      <c r="AS1339" s="73"/>
      <c r="AT1339" s="73"/>
      <c r="AU1339" s="73"/>
      <c r="AV1339" s="73"/>
      <c r="AW1339" s="73"/>
      <c r="AX1339" s="73"/>
      <c r="AY1339" s="73"/>
      <c r="AZ1339" s="73"/>
      <c r="BA1339" s="73"/>
      <c r="BB1339" s="73"/>
      <c r="BC1339" s="73"/>
      <c r="BD1339" s="73"/>
      <c r="BE1339" s="73"/>
      <c r="BF1339" s="73"/>
      <c r="BG1339" s="73"/>
      <c r="BH1339" s="73"/>
      <c r="BI1339" s="73"/>
      <c r="BJ1339" s="73"/>
      <c r="BK1339" s="73"/>
      <c r="BL1339" s="73"/>
      <c r="BM1339" s="73"/>
      <c r="BN1339" s="73"/>
      <c r="BO1339" s="73"/>
      <c r="BP1339" s="73"/>
      <c r="BQ1339" s="73"/>
      <c r="BR1339" s="73"/>
      <c r="BS1339" s="73"/>
      <c r="BT1339" s="73"/>
      <c r="BU1339" s="73"/>
      <c r="BV1339" s="73"/>
      <c r="BW1339" s="73"/>
      <c r="BX1339" s="73"/>
      <c r="BY1339" s="73"/>
      <c r="BZ1339" s="73"/>
      <c r="CA1339" s="73"/>
      <c r="CB1339" s="73"/>
      <c r="CC1339" s="73"/>
      <c r="CD1339" s="73"/>
      <c r="CE1339" s="73"/>
      <c r="CF1339" s="73"/>
      <c r="CG1339" s="73"/>
      <c r="CH1339" s="73"/>
      <c r="CI1339" s="73"/>
      <c r="CJ1339" s="73"/>
      <c r="CK1339" s="73"/>
      <c r="CL1339" s="73"/>
      <c r="CM1339" s="73"/>
      <c r="CN1339" s="73"/>
      <c r="CO1339" s="73"/>
      <c r="CP1339" s="73"/>
      <c r="CQ1339" s="73"/>
      <c r="CR1339" s="73"/>
      <c r="CS1339" s="73"/>
      <c r="CT1339" s="73"/>
      <c r="CU1339" s="73"/>
      <c r="CV1339" s="73"/>
      <c r="CW1339" s="73"/>
      <c r="CX1339" s="73"/>
      <c r="CY1339" s="73"/>
      <c r="CZ1339" s="73"/>
      <c r="DA1339" s="73"/>
      <c r="DB1339" s="73"/>
      <c r="DC1339" s="73"/>
      <c r="DD1339" s="73"/>
      <c r="DE1339" s="73"/>
      <c r="DF1339" s="73"/>
      <c r="DG1339" s="73"/>
      <c r="DH1339" s="73"/>
      <c r="DI1339" s="73"/>
      <c r="DJ1339" s="73"/>
      <c r="DK1339" s="73"/>
      <c r="DL1339" s="73"/>
      <c r="DM1339" s="73"/>
    </row>
    <row r="1340" spans="1:117" s="48" customFormat="1">
      <c r="A1340" s="73"/>
      <c r="T1340" s="73"/>
      <c r="U1340" s="73"/>
      <c r="V1340" s="73"/>
      <c r="W1340" s="73"/>
      <c r="X1340" s="73"/>
      <c r="Y1340" s="73"/>
      <c r="Z1340" s="73"/>
      <c r="AA1340" s="73"/>
      <c r="AB1340" s="73"/>
      <c r="AC1340" s="73"/>
      <c r="AD1340" s="73"/>
      <c r="AE1340" s="73"/>
      <c r="AF1340" s="73"/>
      <c r="AG1340" s="73"/>
      <c r="AH1340" s="73"/>
      <c r="AI1340" s="73"/>
      <c r="AJ1340" s="73"/>
      <c r="AK1340" s="73"/>
      <c r="AL1340" s="73"/>
      <c r="AM1340" s="73"/>
      <c r="AN1340" s="73"/>
      <c r="AO1340" s="73"/>
      <c r="AP1340" s="73"/>
      <c r="AQ1340" s="73"/>
      <c r="AR1340" s="73"/>
      <c r="AS1340" s="73"/>
      <c r="AT1340" s="73"/>
      <c r="AU1340" s="73"/>
      <c r="AV1340" s="73"/>
      <c r="AW1340" s="73"/>
      <c r="AX1340" s="73"/>
      <c r="AY1340" s="73"/>
      <c r="AZ1340" s="73"/>
      <c r="BA1340" s="73"/>
      <c r="BB1340" s="73"/>
      <c r="BC1340" s="73"/>
      <c r="BD1340" s="73"/>
      <c r="BE1340" s="73"/>
      <c r="BF1340" s="73"/>
      <c r="BG1340" s="73"/>
      <c r="BH1340" s="73"/>
      <c r="BI1340" s="73"/>
      <c r="BJ1340" s="73"/>
      <c r="BK1340" s="73"/>
      <c r="BL1340" s="73"/>
      <c r="BM1340" s="73"/>
      <c r="BN1340" s="73"/>
      <c r="BO1340" s="73"/>
      <c r="BP1340" s="73"/>
      <c r="BQ1340" s="73"/>
      <c r="BR1340" s="73"/>
      <c r="BS1340" s="73"/>
      <c r="BT1340" s="73"/>
      <c r="BU1340" s="73"/>
      <c r="BV1340" s="73"/>
      <c r="BW1340" s="73"/>
      <c r="BX1340" s="73"/>
      <c r="BY1340" s="73"/>
      <c r="BZ1340" s="73"/>
      <c r="CA1340" s="73"/>
      <c r="CB1340" s="73"/>
      <c r="CC1340" s="73"/>
      <c r="CD1340" s="73"/>
      <c r="CE1340" s="73"/>
      <c r="CF1340" s="73"/>
      <c r="CG1340" s="73"/>
      <c r="CH1340" s="73"/>
      <c r="CI1340" s="73"/>
      <c r="CJ1340" s="73"/>
      <c r="CK1340" s="73"/>
      <c r="CL1340" s="73"/>
      <c r="CM1340" s="73"/>
      <c r="CN1340" s="73"/>
      <c r="CO1340" s="73"/>
      <c r="CP1340" s="73"/>
      <c r="CQ1340" s="73"/>
      <c r="CR1340" s="73"/>
      <c r="CS1340" s="73"/>
      <c r="CT1340" s="73"/>
      <c r="CU1340" s="73"/>
      <c r="CV1340" s="73"/>
      <c r="CW1340" s="73"/>
      <c r="CX1340" s="73"/>
      <c r="CY1340" s="73"/>
      <c r="CZ1340" s="73"/>
      <c r="DA1340" s="73"/>
      <c r="DB1340" s="73"/>
      <c r="DC1340" s="73"/>
      <c r="DD1340" s="73"/>
      <c r="DE1340" s="73"/>
      <c r="DF1340" s="73"/>
      <c r="DG1340" s="73"/>
      <c r="DH1340" s="73"/>
      <c r="DI1340" s="73"/>
      <c r="DJ1340" s="73"/>
      <c r="DK1340" s="73"/>
      <c r="DL1340" s="73"/>
      <c r="DM1340" s="73"/>
    </row>
    <row r="1341" spans="1:117" s="48" customFormat="1">
      <c r="A1341" s="73"/>
      <c r="T1341" s="73"/>
      <c r="U1341" s="73"/>
      <c r="V1341" s="73"/>
      <c r="W1341" s="73"/>
      <c r="X1341" s="73"/>
      <c r="Y1341" s="73"/>
      <c r="Z1341" s="73"/>
      <c r="AA1341" s="73"/>
      <c r="AB1341" s="73"/>
      <c r="AC1341" s="73"/>
      <c r="AD1341" s="73"/>
      <c r="AE1341" s="73"/>
      <c r="AF1341" s="73"/>
      <c r="AG1341" s="73"/>
      <c r="AH1341" s="73"/>
      <c r="AI1341" s="73"/>
      <c r="AJ1341" s="73"/>
      <c r="AK1341" s="73"/>
      <c r="AL1341" s="73"/>
      <c r="AM1341" s="73"/>
      <c r="AN1341" s="73"/>
      <c r="AO1341" s="73"/>
      <c r="AP1341" s="73"/>
      <c r="AQ1341" s="73"/>
      <c r="AR1341" s="73"/>
      <c r="AS1341" s="73"/>
      <c r="AT1341" s="73"/>
      <c r="AU1341" s="73"/>
      <c r="AV1341" s="73"/>
      <c r="AW1341" s="73"/>
      <c r="AX1341" s="73"/>
      <c r="AY1341" s="73"/>
      <c r="AZ1341" s="73"/>
      <c r="BA1341" s="73"/>
      <c r="BB1341" s="73"/>
      <c r="BC1341" s="73"/>
      <c r="BD1341" s="73"/>
      <c r="BE1341" s="73"/>
      <c r="BF1341" s="73"/>
      <c r="BG1341" s="73"/>
      <c r="BH1341" s="73"/>
      <c r="BI1341" s="73"/>
      <c r="BJ1341" s="73"/>
      <c r="BK1341" s="73"/>
      <c r="BL1341" s="73"/>
      <c r="BM1341" s="73"/>
      <c r="BN1341" s="73"/>
      <c r="BO1341" s="73"/>
      <c r="BP1341" s="73"/>
      <c r="BQ1341" s="73"/>
      <c r="BR1341" s="73"/>
      <c r="BS1341" s="73"/>
      <c r="BT1341" s="73"/>
      <c r="BU1341" s="73"/>
      <c r="BV1341" s="73"/>
      <c r="BW1341" s="73"/>
      <c r="BX1341" s="73"/>
      <c r="BY1341" s="73"/>
      <c r="BZ1341" s="73"/>
      <c r="CA1341" s="73"/>
      <c r="CB1341" s="73"/>
      <c r="CC1341" s="73"/>
      <c r="CD1341" s="73"/>
      <c r="CE1341" s="73"/>
      <c r="CF1341" s="73"/>
      <c r="CG1341" s="73"/>
      <c r="CH1341" s="73"/>
      <c r="CI1341" s="73"/>
      <c r="CJ1341" s="73"/>
      <c r="CK1341" s="73"/>
      <c r="CL1341" s="73"/>
      <c r="CM1341" s="73"/>
      <c r="CN1341" s="73"/>
      <c r="CO1341" s="73"/>
      <c r="CP1341" s="73"/>
      <c r="CQ1341" s="73"/>
      <c r="CR1341" s="73"/>
      <c r="CS1341" s="73"/>
      <c r="CT1341" s="73"/>
      <c r="CU1341" s="73"/>
      <c r="CV1341" s="73"/>
      <c r="CW1341" s="73"/>
      <c r="CX1341" s="73"/>
      <c r="CY1341" s="73"/>
      <c r="CZ1341" s="73"/>
      <c r="DA1341" s="73"/>
      <c r="DB1341" s="73"/>
      <c r="DC1341" s="73"/>
      <c r="DD1341" s="73"/>
      <c r="DE1341" s="73"/>
      <c r="DF1341" s="73"/>
      <c r="DG1341" s="73"/>
      <c r="DH1341" s="73"/>
      <c r="DI1341" s="73"/>
      <c r="DJ1341" s="73"/>
      <c r="DK1341" s="73"/>
      <c r="DL1341" s="73"/>
      <c r="DM1341" s="73"/>
    </row>
    <row r="1342" spans="1:117" s="48" customFormat="1">
      <c r="A1342" s="73"/>
      <c r="T1342" s="73"/>
      <c r="U1342" s="73"/>
      <c r="V1342" s="73"/>
      <c r="W1342" s="73"/>
      <c r="X1342" s="73"/>
      <c r="Y1342" s="73"/>
      <c r="Z1342" s="73"/>
      <c r="AA1342" s="73"/>
      <c r="AB1342" s="73"/>
      <c r="AC1342" s="73"/>
      <c r="AD1342" s="73"/>
      <c r="AE1342" s="73"/>
      <c r="AF1342" s="73"/>
      <c r="AG1342" s="73"/>
      <c r="AH1342" s="73"/>
      <c r="AI1342" s="73"/>
      <c r="AJ1342" s="73"/>
      <c r="AK1342" s="73"/>
      <c r="AL1342" s="73"/>
      <c r="AM1342" s="73"/>
      <c r="AN1342" s="73"/>
      <c r="AO1342" s="73"/>
      <c r="AP1342" s="73"/>
      <c r="AQ1342" s="73"/>
      <c r="AR1342" s="73"/>
      <c r="AS1342" s="73"/>
      <c r="AT1342" s="73"/>
      <c r="AU1342" s="73"/>
      <c r="AV1342" s="73"/>
      <c r="AW1342" s="73"/>
      <c r="AX1342" s="73"/>
      <c r="AY1342" s="73"/>
      <c r="AZ1342" s="73"/>
      <c r="BA1342" s="73"/>
      <c r="BB1342" s="73"/>
      <c r="BC1342" s="73"/>
      <c r="BD1342" s="73"/>
      <c r="BE1342" s="73"/>
      <c r="BF1342" s="73"/>
      <c r="BG1342" s="73"/>
      <c r="BH1342" s="73"/>
      <c r="BI1342" s="73"/>
      <c r="BJ1342" s="73"/>
      <c r="BK1342" s="73"/>
      <c r="BL1342" s="73"/>
      <c r="BM1342" s="73"/>
      <c r="BN1342" s="73"/>
      <c r="BO1342" s="73"/>
      <c r="BP1342" s="73"/>
      <c r="BQ1342" s="73"/>
      <c r="BR1342" s="73"/>
      <c r="BS1342" s="73"/>
      <c r="BT1342" s="73"/>
      <c r="BU1342" s="73"/>
      <c r="BV1342" s="73"/>
      <c r="BW1342" s="73"/>
      <c r="BX1342" s="73"/>
      <c r="BY1342" s="73"/>
      <c r="BZ1342" s="73"/>
      <c r="CA1342" s="73"/>
      <c r="CB1342" s="73"/>
      <c r="CC1342" s="73"/>
      <c r="CD1342" s="73"/>
      <c r="CE1342" s="73"/>
      <c r="CF1342" s="73"/>
      <c r="CG1342" s="73"/>
      <c r="CH1342" s="73"/>
      <c r="CI1342" s="73"/>
      <c r="CJ1342" s="73"/>
      <c r="CK1342" s="73"/>
      <c r="CL1342" s="73"/>
      <c r="CM1342" s="73"/>
      <c r="CN1342" s="73"/>
      <c r="CO1342" s="73"/>
      <c r="CP1342" s="73"/>
      <c r="CQ1342" s="73"/>
      <c r="CR1342" s="73"/>
      <c r="CS1342" s="73"/>
      <c r="CT1342" s="73"/>
      <c r="CU1342" s="73"/>
      <c r="CV1342" s="73"/>
      <c r="CW1342" s="73"/>
      <c r="CX1342" s="73"/>
      <c r="CY1342" s="73"/>
      <c r="CZ1342" s="73"/>
      <c r="DA1342" s="73"/>
      <c r="DB1342" s="73"/>
      <c r="DC1342" s="73"/>
      <c r="DD1342" s="73"/>
      <c r="DE1342" s="73"/>
      <c r="DF1342" s="73"/>
      <c r="DG1342" s="73"/>
      <c r="DH1342" s="73"/>
      <c r="DI1342" s="73"/>
      <c r="DJ1342" s="73"/>
      <c r="DK1342" s="73"/>
      <c r="DL1342" s="73"/>
      <c r="DM1342" s="73"/>
    </row>
    <row r="1343" spans="1:117" s="48" customFormat="1">
      <c r="A1343" s="73"/>
      <c r="T1343" s="73"/>
      <c r="U1343" s="73"/>
      <c r="V1343" s="73"/>
      <c r="W1343" s="73"/>
      <c r="X1343" s="73"/>
      <c r="Y1343" s="73"/>
      <c r="Z1343" s="73"/>
      <c r="AA1343" s="73"/>
      <c r="AB1343" s="73"/>
      <c r="AC1343" s="73"/>
      <c r="AD1343" s="73"/>
      <c r="AE1343" s="73"/>
      <c r="AF1343" s="73"/>
      <c r="AG1343" s="73"/>
      <c r="AH1343" s="73"/>
      <c r="AI1343" s="73"/>
      <c r="AJ1343" s="73"/>
      <c r="AK1343" s="73"/>
      <c r="AL1343" s="73"/>
      <c r="AM1343" s="73"/>
      <c r="AN1343" s="73"/>
      <c r="AO1343" s="73"/>
      <c r="AP1343" s="73"/>
      <c r="AQ1343" s="73"/>
      <c r="AR1343" s="73"/>
      <c r="AS1343" s="73"/>
      <c r="AT1343" s="73"/>
      <c r="AU1343" s="73"/>
      <c r="AV1343" s="73"/>
      <c r="AW1343" s="73"/>
      <c r="AX1343" s="73"/>
      <c r="AY1343" s="73"/>
      <c r="AZ1343" s="73"/>
      <c r="BA1343" s="73"/>
      <c r="BB1343" s="73"/>
      <c r="BC1343" s="73"/>
      <c r="BD1343" s="73"/>
      <c r="BE1343" s="73"/>
      <c r="BF1343" s="73"/>
      <c r="BG1343" s="73"/>
      <c r="BH1343" s="73"/>
      <c r="BI1343" s="73"/>
      <c r="BJ1343" s="73"/>
      <c r="BK1343" s="73"/>
      <c r="BL1343" s="73"/>
      <c r="BM1343" s="73"/>
      <c r="BN1343" s="73"/>
      <c r="BO1343" s="73"/>
      <c r="BP1343" s="73"/>
      <c r="BQ1343" s="73"/>
      <c r="BR1343" s="73"/>
      <c r="BS1343" s="73"/>
      <c r="BT1343" s="73"/>
      <c r="BU1343" s="73"/>
      <c r="BV1343" s="73"/>
      <c r="BW1343" s="73"/>
      <c r="BX1343" s="73"/>
      <c r="BY1343" s="73"/>
      <c r="BZ1343" s="73"/>
      <c r="CA1343" s="73"/>
      <c r="CB1343" s="73"/>
      <c r="CC1343" s="73"/>
      <c r="CD1343" s="73"/>
      <c r="CE1343" s="73"/>
      <c r="CF1343" s="73"/>
      <c r="CG1343" s="73"/>
      <c r="CH1343" s="73"/>
      <c r="CI1343" s="73"/>
      <c r="CJ1343" s="73"/>
      <c r="CK1343" s="73"/>
      <c r="CL1343" s="73"/>
      <c r="CM1343" s="73"/>
      <c r="CN1343" s="73"/>
      <c r="CO1343" s="73"/>
      <c r="CP1343" s="73"/>
      <c r="CQ1343" s="73"/>
      <c r="CR1343" s="73"/>
      <c r="CS1343" s="73"/>
      <c r="CT1343" s="73"/>
      <c r="CU1343" s="73"/>
      <c r="CV1343" s="73"/>
      <c r="CW1343" s="73"/>
      <c r="CX1343" s="73"/>
      <c r="CY1343" s="73"/>
      <c r="CZ1343" s="73"/>
      <c r="DA1343" s="73"/>
      <c r="DB1343" s="73"/>
      <c r="DC1343" s="73"/>
      <c r="DD1343" s="73"/>
      <c r="DE1343" s="73"/>
      <c r="DF1343" s="73"/>
      <c r="DG1343" s="73"/>
      <c r="DH1343" s="73"/>
      <c r="DI1343" s="73"/>
      <c r="DJ1343" s="73"/>
      <c r="DK1343" s="73"/>
      <c r="DL1343" s="73"/>
      <c r="DM1343" s="73"/>
    </row>
    <row r="1344" spans="1:117" s="48" customFormat="1">
      <c r="A1344" s="73"/>
      <c r="T1344" s="73"/>
      <c r="U1344" s="73"/>
      <c r="V1344" s="73"/>
      <c r="W1344" s="73"/>
      <c r="X1344" s="73"/>
      <c r="Y1344" s="73"/>
      <c r="Z1344" s="73"/>
      <c r="AA1344" s="73"/>
      <c r="AB1344" s="73"/>
      <c r="AC1344" s="73"/>
      <c r="AD1344" s="73"/>
      <c r="AE1344" s="73"/>
      <c r="AF1344" s="73"/>
      <c r="AG1344" s="73"/>
      <c r="AH1344" s="73"/>
      <c r="AI1344" s="73"/>
      <c r="AJ1344" s="73"/>
      <c r="AK1344" s="73"/>
      <c r="AL1344" s="73"/>
      <c r="AM1344" s="73"/>
      <c r="AN1344" s="73"/>
      <c r="AO1344" s="73"/>
      <c r="AP1344" s="73"/>
      <c r="AQ1344" s="73"/>
      <c r="AR1344" s="73"/>
      <c r="AS1344" s="73"/>
      <c r="AT1344" s="73"/>
      <c r="AU1344" s="73"/>
      <c r="AV1344" s="73"/>
      <c r="AW1344" s="73"/>
      <c r="AX1344" s="73"/>
      <c r="AY1344" s="73"/>
      <c r="AZ1344" s="73"/>
      <c r="BA1344" s="73"/>
      <c r="BB1344" s="73"/>
      <c r="BC1344" s="73"/>
      <c r="BD1344" s="73"/>
      <c r="BE1344" s="73"/>
      <c r="BF1344" s="73"/>
      <c r="BG1344" s="73"/>
      <c r="BH1344" s="73"/>
      <c r="BI1344" s="73"/>
      <c r="BJ1344" s="73"/>
      <c r="BK1344" s="73"/>
      <c r="BL1344" s="73"/>
      <c r="BM1344" s="73"/>
      <c r="BN1344" s="73"/>
      <c r="BO1344" s="73"/>
      <c r="BP1344" s="73"/>
      <c r="BQ1344" s="73"/>
      <c r="BR1344" s="73"/>
      <c r="BS1344" s="73"/>
      <c r="BT1344" s="73"/>
      <c r="BU1344" s="73"/>
      <c r="BV1344" s="73"/>
      <c r="BW1344" s="73"/>
      <c r="BX1344" s="73"/>
      <c r="BY1344" s="73"/>
      <c r="BZ1344" s="73"/>
      <c r="CA1344" s="73"/>
      <c r="CB1344" s="73"/>
      <c r="CC1344" s="73"/>
      <c r="CD1344" s="73"/>
      <c r="CE1344" s="73"/>
      <c r="CF1344" s="73"/>
      <c r="CG1344" s="73"/>
      <c r="CH1344" s="73"/>
      <c r="CI1344" s="73"/>
      <c r="CJ1344" s="73"/>
      <c r="CK1344" s="73"/>
      <c r="CL1344" s="73"/>
      <c r="CM1344" s="73"/>
      <c r="CN1344" s="73"/>
      <c r="CO1344" s="73"/>
      <c r="CP1344" s="73"/>
      <c r="CQ1344" s="73"/>
      <c r="CR1344" s="73"/>
      <c r="CS1344" s="73"/>
      <c r="CT1344" s="73"/>
      <c r="CU1344" s="73"/>
      <c r="CV1344" s="73"/>
      <c r="CW1344" s="73"/>
      <c r="CX1344" s="73"/>
      <c r="CY1344" s="73"/>
      <c r="CZ1344" s="73"/>
      <c r="DA1344" s="73"/>
      <c r="DB1344" s="73"/>
      <c r="DC1344" s="73"/>
      <c r="DD1344" s="73"/>
      <c r="DE1344" s="73"/>
      <c r="DF1344" s="73"/>
      <c r="DG1344" s="73"/>
      <c r="DH1344" s="73"/>
      <c r="DI1344" s="73"/>
      <c r="DJ1344" s="73"/>
      <c r="DK1344" s="73"/>
      <c r="DL1344" s="73"/>
      <c r="DM1344" s="73"/>
    </row>
    <row r="1345" spans="1:117" s="48" customFormat="1">
      <c r="A1345" s="73"/>
      <c r="T1345" s="73"/>
      <c r="U1345" s="73"/>
      <c r="V1345" s="73"/>
      <c r="W1345" s="73"/>
      <c r="X1345" s="73"/>
      <c r="Y1345" s="73"/>
      <c r="Z1345" s="73"/>
      <c r="AA1345" s="73"/>
      <c r="AB1345" s="73"/>
      <c r="AC1345" s="73"/>
      <c r="AD1345" s="73"/>
      <c r="AE1345" s="73"/>
      <c r="AF1345" s="73"/>
      <c r="AG1345" s="73"/>
      <c r="AH1345" s="73"/>
      <c r="AI1345" s="73"/>
      <c r="AJ1345" s="73"/>
      <c r="AK1345" s="73"/>
      <c r="AL1345" s="73"/>
      <c r="AM1345" s="73"/>
      <c r="AN1345" s="73"/>
      <c r="AO1345" s="73"/>
      <c r="AP1345" s="73"/>
      <c r="AQ1345" s="73"/>
      <c r="AR1345" s="73"/>
      <c r="AS1345" s="73"/>
      <c r="AT1345" s="73"/>
      <c r="AU1345" s="73"/>
      <c r="AV1345" s="73"/>
      <c r="AW1345" s="73"/>
      <c r="AX1345" s="73"/>
      <c r="AY1345" s="73"/>
      <c r="AZ1345" s="73"/>
      <c r="BA1345" s="73"/>
      <c r="BB1345" s="73"/>
      <c r="BC1345" s="73"/>
      <c r="BD1345" s="73"/>
      <c r="BE1345" s="73"/>
      <c r="BF1345" s="73"/>
      <c r="BG1345" s="73"/>
      <c r="BH1345" s="73"/>
      <c r="BI1345" s="73"/>
      <c r="BJ1345" s="73"/>
      <c r="BK1345" s="73"/>
      <c r="BL1345" s="73"/>
      <c r="BM1345" s="73"/>
      <c r="BN1345" s="73"/>
      <c r="BO1345" s="73"/>
      <c r="BP1345" s="73"/>
      <c r="BQ1345" s="73"/>
      <c r="BR1345" s="73"/>
      <c r="BS1345" s="73"/>
      <c r="BT1345" s="73"/>
      <c r="BU1345" s="73"/>
      <c r="BV1345" s="73"/>
      <c r="BW1345" s="73"/>
      <c r="BX1345" s="73"/>
      <c r="BY1345" s="73"/>
      <c r="BZ1345" s="73"/>
      <c r="CA1345" s="73"/>
      <c r="CB1345" s="73"/>
      <c r="CC1345" s="73"/>
      <c r="CD1345" s="73"/>
      <c r="CE1345" s="73"/>
      <c r="CF1345" s="73"/>
      <c r="CG1345" s="73"/>
      <c r="CH1345" s="73"/>
      <c r="CI1345" s="73"/>
      <c r="CJ1345" s="73"/>
      <c r="CK1345" s="73"/>
      <c r="CL1345" s="73"/>
      <c r="CM1345" s="73"/>
      <c r="CN1345" s="73"/>
      <c r="CO1345" s="73"/>
      <c r="CP1345" s="73"/>
      <c r="CQ1345" s="73"/>
      <c r="CR1345" s="73"/>
      <c r="CS1345" s="73"/>
      <c r="CT1345" s="73"/>
      <c r="CU1345" s="73"/>
      <c r="CV1345" s="73"/>
      <c r="CW1345" s="73"/>
      <c r="CX1345" s="73"/>
      <c r="CY1345" s="73"/>
      <c r="CZ1345" s="73"/>
      <c r="DA1345" s="73"/>
      <c r="DB1345" s="73"/>
      <c r="DC1345" s="73"/>
      <c r="DD1345" s="73"/>
      <c r="DE1345" s="73"/>
      <c r="DF1345" s="73"/>
      <c r="DG1345" s="73"/>
      <c r="DH1345" s="73"/>
      <c r="DI1345" s="73"/>
      <c r="DJ1345" s="73"/>
      <c r="DK1345" s="73"/>
      <c r="DL1345" s="73"/>
      <c r="DM1345" s="73"/>
    </row>
    <row r="1346" spans="1:117" s="48" customFormat="1">
      <c r="A1346" s="73"/>
      <c r="T1346" s="73"/>
      <c r="U1346" s="73"/>
      <c r="V1346" s="73"/>
      <c r="W1346" s="73"/>
      <c r="X1346" s="73"/>
      <c r="Y1346" s="73"/>
      <c r="Z1346" s="73"/>
      <c r="AA1346" s="73"/>
      <c r="AB1346" s="73"/>
      <c r="AC1346" s="73"/>
      <c r="AD1346" s="73"/>
      <c r="AE1346" s="73"/>
      <c r="AF1346" s="73"/>
      <c r="AG1346" s="73"/>
      <c r="AH1346" s="73"/>
      <c r="AI1346" s="73"/>
      <c r="AJ1346" s="73"/>
      <c r="AK1346" s="73"/>
      <c r="AL1346" s="73"/>
      <c r="AM1346" s="73"/>
      <c r="AN1346" s="73"/>
      <c r="AO1346" s="73"/>
      <c r="AP1346" s="73"/>
      <c r="AQ1346" s="73"/>
      <c r="AR1346" s="73"/>
      <c r="AS1346" s="73"/>
      <c r="AT1346" s="73"/>
      <c r="AU1346" s="73"/>
      <c r="AV1346" s="73"/>
      <c r="AW1346" s="73"/>
      <c r="AX1346" s="73"/>
      <c r="AY1346" s="73"/>
      <c r="AZ1346" s="73"/>
      <c r="BA1346" s="73"/>
      <c r="BB1346" s="73"/>
      <c r="BC1346" s="73"/>
      <c r="BD1346" s="73"/>
      <c r="BE1346" s="73"/>
      <c r="BF1346" s="73"/>
      <c r="BG1346" s="73"/>
      <c r="BH1346" s="73"/>
      <c r="BI1346" s="73"/>
      <c r="BJ1346" s="73"/>
      <c r="BK1346" s="73"/>
      <c r="BL1346" s="73"/>
      <c r="BM1346" s="73"/>
      <c r="BN1346" s="73"/>
      <c r="BO1346" s="73"/>
      <c r="BP1346" s="73"/>
      <c r="BQ1346" s="73"/>
      <c r="BR1346" s="73"/>
      <c r="BS1346" s="73"/>
      <c r="BT1346" s="73"/>
      <c r="BU1346" s="73"/>
      <c r="BV1346" s="73"/>
      <c r="BW1346" s="73"/>
      <c r="BX1346" s="73"/>
      <c r="BY1346" s="73"/>
      <c r="BZ1346" s="73"/>
      <c r="CA1346" s="73"/>
      <c r="CB1346" s="73"/>
      <c r="CC1346" s="73"/>
      <c r="CD1346" s="73"/>
      <c r="CE1346" s="73"/>
      <c r="CF1346" s="73"/>
      <c r="CG1346" s="73"/>
      <c r="CH1346" s="73"/>
      <c r="CI1346" s="73"/>
      <c r="CJ1346" s="73"/>
      <c r="CK1346" s="73"/>
      <c r="CL1346" s="73"/>
      <c r="CM1346" s="73"/>
      <c r="CN1346" s="73"/>
      <c r="CO1346" s="73"/>
      <c r="CP1346" s="73"/>
      <c r="CQ1346" s="73"/>
      <c r="CR1346" s="73"/>
      <c r="CS1346" s="73"/>
      <c r="CT1346" s="73"/>
      <c r="CU1346" s="73"/>
      <c r="CV1346" s="73"/>
      <c r="CW1346" s="73"/>
      <c r="CX1346" s="73"/>
      <c r="CY1346" s="73"/>
      <c r="CZ1346" s="73"/>
      <c r="DA1346" s="73"/>
      <c r="DB1346" s="73"/>
      <c r="DC1346" s="73"/>
      <c r="DD1346" s="73"/>
      <c r="DE1346" s="73"/>
      <c r="DF1346" s="73"/>
      <c r="DG1346" s="73"/>
      <c r="DH1346" s="73"/>
      <c r="DI1346" s="73"/>
      <c r="DJ1346" s="73"/>
      <c r="DK1346" s="73"/>
      <c r="DL1346" s="73"/>
      <c r="DM1346" s="73"/>
    </row>
    <row r="1347" spans="1:117" s="48" customFormat="1">
      <c r="A1347" s="73"/>
      <c r="T1347" s="73"/>
      <c r="U1347" s="73"/>
      <c r="V1347" s="73"/>
      <c r="W1347" s="73"/>
      <c r="X1347" s="73"/>
      <c r="Y1347" s="73"/>
      <c r="Z1347" s="73"/>
      <c r="AA1347" s="73"/>
      <c r="AB1347" s="73"/>
      <c r="AC1347" s="73"/>
      <c r="AD1347" s="73"/>
      <c r="AE1347" s="73"/>
      <c r="AF1347" s="73"/>
      <c r="AG1347" s="73"/>
      <c r="AH1347" s="73"/>
      <c r="AI1347" s="73"/>
      <c r="AJ1347" s="73"/>
      <c r="AK1347" s="73"/>
      <c r="AL1347" s="73"/>
      <c r="AM1347" s="73"/>
      <c r="AN1347" s="73"/>
      <c r="AO1347" s="73"/>
      <c r="AP1347" s="73"/>
      <c r="AQ1347" s="73"/>
      <c r="AR1347" s="73"/>
      <c r="AS1347" s="73"/>
      <c r="AT1347" s="73"/>
      <c r="AU1347" s="73"/>
      <c r="AV1347" s="73"/>
      <c r="AW1347" s="73"/>
      <c r="AX1347" s="73"/>
      <c r="AY1347" s="73"/>
      <c r="AZ1347" s="73"/>
      <c r="BA1347" s="73"/>
      <c r="BB1347" s="73"/>
      <c r="BC1347" s="73"/>
      <c r="BD1347" s="73"/>
      <c r="BE1347" s="73"/>
      <c r="BF1347" s="73"/>
      <c r="BG1347" s="73"/>
      <c r="BH1347" s="73"/>
      <c r="BI1347" s="73"/>
      <c r="BJ1347" s="73"/>
      <c r="BK1347" s="73"/>
      <c r="BL1347" s="73"/>
      <c r="BM1347" s="73"/>
      <c r="BN1347" s="73"/>
      <c r="BO1347" s="73"/>
      <c r="BP1347" s="73"/>
      <c r="BQ1347" s="73"/>
      <c r="BR1347" s="73"/>
      <c r="BS1347" s="73"/>
      <c r="BT1347" s="73"/>
      <c r="BU1347" s="73"/>
      <c r="BV1347" s="73"/>
      <c r="BW1347" s="73"/>
      <c r="BX1347" s="73"/>
      <c r="BY1347" s="73"/>
      <c r="BZ1347" s="73"/>
      <c r="CA1347" s="73"/>
      <c r="CB1347" s="73"/>
      <c r="CC1347" s="73"/>
      <c r="CD1347" s="73"/>
      <c r="CE1347" s="73"/>
      <c r="CF1347" s="73"/>
      <c r="CG1347" s="73"/>
      <c r="CH1347" s="73"/>
      <c r="CI1347" s="73"/>
      <c r="CJ1347" s="73"/>
      <c r="CK1347" s="73"/>
      <c r="CL1347" s="73"/>
      <c r="CM1347" s="73"/>
      <c r="CN1347" s="73"/>
      <c r="CO1347" s="73"/>
      <c r="CP1347" s="73"/>
      <c r="CQ1347" s="73"/>
      <c r="CR1347" s="73"/>
      <c r="CS1347" s="73"/>
      <c r="CT1347" s="73"/>
      <c r="CU1347" s="73"/>
      <c r="CV1347" s="73"/>
      <c r="CW1347" s="73"/>
      <c r="CX1347" s="73"/>
      <c r="CY1347" s="73"/>
      <c r="CZ1347" s="73"/>
      <c r="DA1347" s="73"/>
      <c r="DB1347" s="73"/>
      <c r="DC1347" s="73"/>
      <c r="DD1347" s="73"/>
      <c r="DE1347" s="73"/>
      <c r="DF1347" s="73"/>
      <c r="DG1347" s="73"/>
      <c r="DH1347" s="73"/>
      <c r="DI1347" s="73"/>
      <c r="DJ1347" s="73"/>
      <c r="DK1347" s="73"/>
      <c r="DL1347" s="73"/>
      <c r="DM1347" s="73"/>
    </row>
    <row r="1348" spans="1:117" s="48" customFormat="1">
      <c r="A1348" s="73"/>
      <c r="T1348" s="73"/>
      <c r="U1348" s="73"/>
      <c r="V1348" s="73"/>
      <c r="W1348" s="73"/>
      <c r="X1348" s="73"/>
      <c r="Y1348" s="73"/>
      <c r="Z1348" s="73"/>
      <c r="AA1348" s="73"/>
      <c r="AB1348" s="73"/>
      <c r="AC1348" s="73"/>
      <c r="AD1348" s="73"/>
      <c r="AE1348" s="73"/>
      <c r="AF1348" s="73"/>
      <c r="AG1348" s="73"/>
      <c r="AH1348" s="73"/>
      <c r="AI1348" s="73"/>
      <c r="AJ1348" s="73"/>
      <c r="AK1348" s="73"/>
      <c r="AL1348" s="73"/>
      <c r="AM1348" s="73"/>
      <c r="AN1348" s="73"/>
      <c r="AO1348" s="73"/>
      <c r="AP1348" s="73"/>
      <c r="AQ1348" s="73"/>
      <c r="AR1348" s="73"/>
      <c r="AS1348" s="73"/>
      <c r="AT1348" s="73"/>
      <c r="AU1348" s="73"/>
      <c r="AV1348" s="73"/>
      <c r="AW1348" s="73"/>
      <c r="AX1348" s="73"/>
      <c r="AY1348" s="73"/>
      <c r="AZ1348" s="73"/>
      <c r="BA1348" s="73"/>
      <c r="BB1348" s="73"/>
      <c r="BC1348" s="73"/>
      <c r="BD1348" s="73"/>
      <c r="BE1348" s="73"/>
      <c r="BF1348" s="73"/>
      <c r="BG1348" s="73"/>
      <c r="BH1348" s="73"/>
      <c r="BI1348" s="73"/>
      <c r="BJ1348" s="73"/>
      <c r="BK1348" s="73"/>
      <c r="BL1348" s="73"/>
      <c r="BM1348" s="73"/>
      <c r="BN1348" s="73"/>
      <c r="BO1348" s="73"/>
      <c r="BP1348" s="73"/>
      <c r="BQ1348" s="73"/>
      <c r="BR1348" s="73"/>
      <c r="BS1348" s="73"/>
      <c r="BT1348" s="73"/>
      <c r="BU1348" s="73"/>
      <c r="BV1348" s="73"/>
      <c r="BW1348" s="73"/>
      <c r="BX1348" s="73"/>
      <c r="BY1348" s="73"/>
      <c r="BZ1348" s="73"/>
      <c r="CA1348" s="73"/>
      <c r="CB1348" s="73"/>
      <c r="CC1348" s="73"/>
      <c r="CD1348" s="73"/>
      <c r="CE1348" s="73"/>
      <c r="CF1348" s="73"/>
      <c r="CG1348" s="73"/>
      <c r="CH1348" s="73"/>
      <c r="CI1348" s="73"/>
      <c r="CJ1348" s="73"/>
      <c r="CK1348" s="73"/>
      <c r="CL1348" s="73"/>
      <c r="CM1348" s="73"/>
      <c r="CN1348" s="73"/>
      <c r="CO1348" s="73"/>
      <c r="CP1348" s="73"/>
      <c r="CQ1348" s="73"/>
      <c r="CR1348" s="73"/>
      <c r="CS1348" s="73"/>
      <c r="CT1348" s="73"/>
      <c r="CU1348" s="73"/>
      <c r="CV1348" s="73"/>
      <c r="CW1348" s="73"/>
      <c r="CX1348" s="73"/>
      <c r="CY1348" s="73"/>
      <c r="CZ1348" s="73"/>
      <c r="DA1348" s="73"/>
      <c r="DB1348" s="73"/>
      <c r="DC1348" s="73"/>
      <c r="DD1348" s="73"/>
      <c r="DE1348" s="73"/>
      <c r="DF1348" s="73"/>
      <c r="DG1348" s="73"/>
      <c r="DH1348" s="73"/>
      <c r="DI1348" s="73"/>
      <c r="DJ1348" s="73"/>
      <c r="DK1348" s="73"/>
      <c r="DL1348" s="73"/>
      <c r="DM1348" s="73"/>
    </row>
    <row r="1349" spans="1:117" s="48" customFormat="1">
      <c r="A1349" s="73"/>
      <c r="T1349" s="73"/>
      <c r="U1349" s="73"/>
      <c r="V1349" s="73"/>
      <c r="W1349" s="73"/>
      <c r="X1349" s="73"/>
      <c r="Y1349" s="73"/>
      <c r="Z1349" s="73"/>
      <c r="AA1349" s="73"/>
      <c r="AB1349" s="73"/>
      <c r="AC1349" s="73"/>
      <c r="AD1349" s="73"/>
      <c r="AE1349" s="73"/>
      <c r="AF1349" s="73"/>
      <c r="AG1349" s="73"/>
      <c r="AH1349" s="73"/>
      <c r="AI1349" s="73"/>
      <c r="AJ1349" s="73"/>
      <c r="AK1349" s="73"/>
      <c r="AL1349" s="73"/>
      <c r="AM1349" s="73"/>
      <c r="AN1349" s="73"/>
      <c r="AO1349" s="73"/>
      <c r="AP1349" s="73"/>
      <c r="AQ1349" s="73"/>
      <c r="AR1349" s="73"/>
      <c r="AS1349" s="73"/>
      <c r="AT1349" s="73"/>
      <c r="AU1349" s="73"/>
      <c r="AV1349" s="73"/>
      <c r="AW1349" s="73"/>
      <c r="AX1349" s="73"/>
      <c r="AY1349" s="73"/>
      <c r="AZ1349" s="73"/>
      <c r="BA1349" s="73"/>
      <c r="BB1349" s="73"/>
      <c r="BC1349" s="73"/>
      <c r="BD1349" s="73"/>
      <c r="BE1349" s="73"/>
      <c r="BF1349" s="73"/>
      <c r="BG1349" s="73"/>
      <c r="BH1349" s="73"/>
      <c r="BI1349" s="73"/>
      <c r="BJ1349" s="73"/>
      <c r="BK1349" s="73"/>
      <c r="BL1349" s="73"/>
      <c r="BM1349" s="73"/>
      <c r="BN1349" s="73"/>
      <c r="BO1349" s="73"/>
      <c r="BP1349" s="73"/>
      <c r="BQ1349" s="73"/>
      <c r="BR1349" s="73"/>
      <c r="BS1349" s="73"/>
      <c r="BT1349" s="73"/>
      <c r="BU1349" s="73"/>
      <c r="BV1349" s="73"/>
      <c r="BW1349" s="73"/>
      <c r="BX1349" s="73"/>
      <c r="BY1349" s="73"/>
      <c r="BZ1349" s="73"/>
      <c r="CA1349" s="73"/>
      <c r="CB1349" s="73"/>
      <c r="CC1349" s="73"/>
      <c r="CD1349" s="73"/>
      <c r="CE1349" s="73"/>
      <c r="CF1349" s="73"/>
      <c r="CG1349" s="73"/>
      <c r="CH1349" s="73"/>
      <c r="CI1349" s="73"/>
      <c r="CJ1349" s="73"/>
      <c r="CK1349" s="73"/>
      <c r="CL1349" s="73"/>
      <c r="CM1349" s="73"/>
      <c r="CN1349" s="73"/>
      <c r="CO1349" s="73"/>
      <c r="CP1349" s="73"/>
      <c r="CQ1349" s="73"/>
      <c r="CR1349" s="73"/>
      <c r="CS1349" s="73"/>
      <c r="CT1349" s="73"/>
      <c r="CU1349" s="73"/>
      <c r="CV1349" s="73"/>
      <c r="CW1349" s="73"/>
      <c r="CX1349" s="73"/>
      <c r="CY1349" s="73"/>
      <c r="CZ1349" s="73"/>
      <c r="DA1349" s="73"/>
      <c r="DB1349" s="73"/>
      <c r="DC1349" s="73"/>
      <c r="DD1349" s="73"/>
      <c r="DE1349" s="73"/>
      <c r="DF1349" s="73"/>
      <c r="DG1349" s="73"/>
      <c r="DH1349" s="73"/>
      <c r="DI1349" s="73"/>
      <c r="DJ1349" s="73"/>
      <c r="DK1349" s="73"/>
      <c r="DL1349" s="73"/>
      <c r="DM1349" s="73"/>
    </row>
    <row r="1350" spans="1:117" s="48" customFormat="1">
      <c r="A1350" s="73"/>
      <c r="T1350" s="73"/>
      <c r="U1350" s="73"/>
      <c r="V1350" s="73"/>
      <c r="W1350" s="73"/>
      <c r="X1350" s="73"/>
      <c r="Y1350" s="73"/>
      <c r="Z1350" s="73"/>
      <c r="AA1350" s="73"/>
      <c r="AB1350" s="73"/>
      <c r="AC1350" s="73"/>
      <c r="AD1350" s="73"/>
      <c r="AE1350" s="73"/>
      <c r="AF1350" s="73"/>
      <c r="AG1350" s="73"/>
      <c r="AH1350" s="73"/>
      <c r="AI1350" s="73"/>
      <c r="AJ1350" s="73"/>
      <c r="AK1350" s="73"/>
      <c r="AL1350" s="73"/>
      <c r="AM1350" s="73"/>
      <c r="AN1350" s="73"/>
      <c r="AO1350" s="73"/>
      <c r="AP1350" s="73"/>
      <c r="AQ1350" s="73"/>
      <c r="AR1350" s="73"/>
      <c r="AS1350" s="73"/>
      <c r="AT1350" s="73"/>
      <c r="AU1350" s="73"/>
      <c r="AV1350" s="73"/>
      <c r="AW1350" s="73"/>
      <c r="AX1350" s="73"/>
      <c r="AY1350" s="73"/>
      <c r="AZ1350" s="73"/>
      <c r="BA1350" s="73"/>
      <c r="BB1350" s="73"/>
      <c r="BC1350" s="73"/>
      <c r="BD1350" s="73"/>
      <c r="BE1350" s="73"/>
      <c r="BF1350" s="73"/>
      <c r="BG1350" s="73"/>
      <c r="BH1350" s="73"/>
      <c r="BI1350" s="73"/>
      <c r="BJ1350" s="73"/>
      <c r="BK1350" s="73"/>
      <c r="BL1350" s="73"/>
      <c r="BM1350" s="73"/>
      <c r="BN1350" s="73"/>
      <c r="BO1350" s="73"/>
      <c r="BP1350" s="73"/>
      <c r="BQ1350" s="73"/>
      <c r="BR1350" s="73"/>
      <c r="BS1350" s="73"/>
      <c r="BT1350" s="73"/>
      <c r="BU1350" s="73"/>
      <c r="BV1350" s="73"/>
      <c r="BW1350" s="73"/>
      <c r="BX1350" s="73"/>
      <c r="BY1350" s="73"/>
      <c r="BZ1350" s="73"/>
      <c r="CA1350" s="73"/>
      <c r="CB1350" s="73"/>
      <c r="CC1350" s="73"/>
      <c r="CD1350" s="73"/>
      <c r="CE1350" s="73"/>
      <c r="CF1350" s="73"/>
      <c r="CG1350" s="73"/>
      <c r="CH1350" s="73"/>
      <c r="CI1350" s="73"/>
      <c r="CJ1350" s="73"/>
      <c r="CK1350" s="73"/>
      <c r="CL1350" s="73"/>
      <c r="CM1350" s="73"/>
      <c r="CN1350" s="73"/>
      <c r="CO1350" s="73"/>
      <c r="CP1350" s="73"/>
      <c r="CQ1350" s="73"/>
      <c r="CR1350" s="73"/>
      <c r="CS1350" s="73"/>
      <c r="CT1350" s="73"/>
      <c r="CU1350" s="73"/>
      <c r="CV1350" s="73"/>
      <c r="CW1350" s="73"/>
      <c r="CX1350" s="73"/>
      <c r="CY1350" s="73"/>
      <c r="CZ1350" s="73"/>
      <c r="DA1350" s="73"/>
      <c r="DB1350" s="73"/>
      <c r="DC1350" s="73"/>
      <c r="DD1350" s="73"/>
      <c r="DE1350" s="73"/>
      <c r="DF1350" s="73"/>
      <c r="DG1350" s="73"/>
      <c r="DH1350" s="73"/>
      <c r="DI1350" s="73"/>
      <c r="DJ1350" s="73"/>
      <c r="DK1350" s="73"/>
      <c r="DL1350" s="73"/>
      <c r="DM1350" s="73"/>
    </row>
    <row r="1351" spans="1:117" s="48" customFormat="1">
      <c r="A1351" s="73"/>
      <c r="T1351" s="73"/>
      <c r="U1351" s="73"/>
      <c r="V1351" s="73"/>
      <c r="W1351" s="73"/>
      <c r="X1351" s="73"/>
      <c r="Y1351" s="73"/>
      <c r="Z1351" s="73"/>
      <c r="AA1351" s="73"/>
      <c r="AB1351" s="73"/>
      <c r="AC1351" s="73"/>
      <c r="AD1351" s="73"/>
      <c r="AE1351" s="73"/>
      <c r="AF1351" s="73"/>
      <c r="AG1351" s="73"/>
      <c r="AH1351" s="73"/>
      <c r="AI1351" s="73"/>
      <c r="AJ1351" s="73"/>
      <c r="AK1351" s="73"/>
      <c r="AL1351" s="73"/>
      <c r="AM1351" s="73"/>
      <c r="AN1351" s="73"/>
      <c r="AO1351" s="73"/>
      <c r="AP1351" s="73"/>
      <c r="AQ1351" s="73"/>
      <c r="AR1351" s="73"/>
      <c r="AS1351" s="73"/>
      <c r="AT1351" s="73"/>
      <c r="AU1351" s="73"/>
      <c r="AV1351" s="73"/>
      <c r="AW1351" s="73"/>
      <c r="AX1351" s="73"/>
      <c r="AY1351" s="73"/>
      <c r="AZ1351" s="73"/>
      <c r="BA1351" s="73"/>
      <c r="BB1351" s="73"/>
      <c r="BC1351" s="73"/>
      <c r="BD1351" s="73"/>
      <c r="BE1351" s="73"/>
      <c r="BF1351" s="73"/>
      <c r="BG1351" s="73"/>
      <c r="BH1351" s="73"/>
      <c r="BI1351" s="73"/>
      <c r="BJ1351" s="73"/>
      <c r="BK1351" s="73"/>
      <c r="BL1351" s="73"/>
      <c r="BM1351" s="73"/>
      <c r="BN1351" s="73"/>
      <c r="BO1351" s="73"/>
      <c r="BP1351" s="73"/>
      <c r="BQ1351" s="73"/>
      <c r="BR1351" s="73"/>
      <c r="BS1351" s="73"/>
      <c r="BT1351" s="73"/>
      <c r="BU1351" s="73"/>
      <c r="BV1351" s="73"/>
      <c r="BW1351" s="73"/>
      <c r="BX1351" s="73"/>
      <c r="BY1351" s="73"/>
      <c r="BZ1351" s="73"/>
      <c r="CA1351" s="73"/>
      <c r="CB1351" s="73"/>
      <c r="CC1351" s="73"/>
      <c r="CD1351" s="73"/>
      <c r="CE1351" s="73"/>
      <c r="CF1351" s="73"/>
      <c r="CG1351" s="73"/>
      <c r="CH1351" s="73"/>
      <c r="CI1351" s="73"/>
      <c r="CJ1351" s="73"/>
      <c r="CK1351" s="73"/>
      <c r="CL1351" s="73"/>
      <c r="CM1351" s="73"/>
      <c r="CN1351" s="73"/>
      <c r="CO1351" s="73"/>
      <c r="CP1351" s="73"/>
      <c r="CQ1351" s="73"/>
      <c r="CR1351" s="73"/>
      <c r="CS1351" s="73"/>
      <c r="CT1351" s="73"/>
      <c r="CU1351" s="73"/>
      <c r="CV1351" s="73"/>
      <c r="CW1351" s="73"/>
      <c r="CX1351" s="73"/>
      <c r="CY1351" s="73"/>
      <c r="CZ1351" s="73"/>
      <c r="DA1351" s="73"/>
      <c r="DB1351" s="73"/>
      <c r="DC1351" s="73"/>
      <c r="DD1351" s="73"/>
      <c r="DE1351" s="73"/>
      <c r="DF1351" s="73"/>
      <c r="DG1351" s="73"/>
      <c r="DH1351" s="73"/>
      <c r="DI1351" s="73"/>
      <c r="DJ1351" s="73"/>
      <c r="DK1351" s="73"/>
      <c r="DL1351" s="73"/>
      <c r="DM1351" s="73"/>
    </row>
    <row r="1352" spans="1:117" s="48" customFormat="1">
      <c r="A1352" s="73"/>
      <c r="T1352" s="73"/>
      <c r="U1352" s="73"/>
      <c r="V1352" s="73"/>
      <c r="W1352" s="73"/>
      <c r="X1352" s="73"/>
      <c r="Y1352" s="73"/>
      <c r="Z1352" s="73"/>
      <c r="AA1352" s="73"/>
      <c r="AB1352" s="73"/>
      <c r="AC1352" s="73"/>
      <c r="AD1352" s="73"/>
      <c r="AE1352" s="73"/>
      <c r="AF1352" s="73"/>
      <c r="AG1352" s="73"/>
      <c r="AH1352" s="73"/>
      <c r="AI1352" s="73"/>
      <c r="AJ1352" s="73"/>
      <c r="AK1352" s="73"/>
      <c r="AL1352" s="73"/>
      <c r="AM1352" s="73"/>
      <c r="AN1352" s="73"/>
      <c r="AO1352" s="73"/>
      <c r="AP1352" s="73"/>
      <c r="AQ1352" s="73"/>
      <c r="AR1352" s="73"/>
      <c r="AS1352" s="73"/>
      <c r="AT1352" s="73"/>
      <c r="AU1352" s="73"/>
      <c r="AV1352" s="73"/>
      <c r="AW1352" s="73"/>
      <c r="AX1352" s="73"/>
      <c r="AY1352" s="73"/>
      <c r="AZ1352" s="73"/>
      <c r="BA1352" s="73"/>
      <c r="BB1352" s="73"/>
      <c r="BC1352" s="73"/>
      <c r="BD1352" s="73"/>
      <c r="BE1352" s="73"/>
      <c r="BF1352" s="73"/>
      <c r="BG1352" s="73"/>
      <c r="BH1352" s="73"/>
      <c r="BI1352" s="73"/>
      <c r="BJ1352" s="73"/>
      <c r="BK1352" s="73"/>
      <c r="BL1352" s="73"/>
      <c r="BM1352" s="73"/>
      <c r="BN1352" s="73"/>
      <c r="BO1352" s="73"/>
      <c r="BP1352" s="73"/>
      <c r="BQ1352" s="73"/>
      <c r="BR1352" s="73"/>
      <c r="BS1352" s="73"/>
      <c r="BT1352" s="73"/>
      <c r="BU1352" s="73"/>
      <c r="BV1352" s="73"/>
      <c r="BW1352" s="73"/>
      <c r="BX1352" s="73"/>
      <c r="BY1352" s="73"/>
      <c r="BZ1352" s="73"/>
      <c r="CA1352" s="73"/>
      <c r="CB1352" s="73"/>
      <c r="CC1352" s="73"/>
      <c r="CD1352" s="73"/>
      <c r="CE1352" s="73"/>
      <c r="CF1352" s="73"/>
      <c r="CG1352" s="73"/>
      <c r="CH1352" s="73"/>
      <c r="CI1352" s="73"/>
      <c r="CJ1352" s="73"/>
      <c r="CK1352" s="73"/>
      <c r="CL1352" s="73"/>
      <c r="CM1352" s="73"/>
      <c r="CN1352" s="73"/>
      <c r="CO1352" s="73"/>
      <c r="CP1352" s="73"/>
      <c r="CQ1352" s="73"/>
      <c r="CR1352" s="73"/>
      <c r="CS1352" s="73"/>
      <c r="CT1352" s="73"/>
      <c r="CU1352" s="73"/>
      <c r="CV1352" s="73"/>
      <c r="CW1352" s="73"/>
      <c r="CX1352" s="73"/>
      <c r="CY1352" s="73"/>
      <c r="CZ1352" s="73"/>
      <c r="DA1352" s="73"/>
      <c r="DB1352" s="73"/>
      <c r="DC1352" s="73"/>
      <c r="DD1352" s="73"/>
      <c r="DE1352" s="73"/>
      <c r="DF1352" s="73"/>
      <c r="DG1352" s="73"/>
      <c r="DH1352" s="73"/>
      <c r="DI1352" s="73"/>
      <c r="DJ1352" s="73"/>
      <c r="DK1352" s="73"/>
      <c r="DL1352" s="73"/>
      <c r="DM1352" s="73"/>
    </row>
    <row r="1353" spans="1:117" s="48" customFormat="1">
      <c r="A1353" s="73"/>
      <c r="T1353" s="73"/>
      <c r="U1353" s="73"/>
      <c r="V1353" s="73"/>
      <c r="W1353" s="73"/>
      <c r="X1353" s="73"/>
      <c r="Y1353" s="73"/>
      <c r="Z1353" s="73"/>
      <c r="AA1353" s="73"/>
      <c r="AB1353" s="73"/>
      <c r="AC1353" s="73"/>
      <c r="AD1353" s="73"/>
      <c r="AE1353" s="73"/>
      <c r="AF1353" s="73"/>
      <c r="AG1353" s="73"/>
      <c r="AH1353" s="73"/>
      <c r="AI1353" s="73"/>
      <c r="AJ1353" s="73"/>
      <c r="AK1353" s="73"/>
      <c r="AL1353" s="73"/>
      <c r="AM1353" s="73"/>
      <c r="AN1353" s="73"/>
      <c r="AO1353" s="73"/>
      <c r="AP1353" s="73"/>
      <c r="AQ1353" s="73"/>
      <c r="AR1353" s="73"/>
      <c r="AS1353" s="73"/>
      <c r="AT1353" s="73"/>
      <c r="AU1353" s="73"/>
      <c r="AV1353" s="73"/>
      <c r="AW1353" s="73"/>
      <c r="AX1353" s="73"/>
      <c r="AY1353" s="73"/>
      <c r="AZ1353" s="73"/>
      <c r="BA1353" s="73"/>
      <c r="BB1353" s="73"/>
      <c r="BC1353" s="73"/>
      <c r="BD1353" s="73"/>
      <c r="BE1353" s="73"/>
      <c r="BF1353" s="73"/>
      <c r="BG1353" s="73"/>
      <c r="BH1353" s="73"/>
      <c r="BI1353" s="73"/>
      <c r="BJ1353" s="73"/>
      <c r="BK1353" s="73"/>
      <c r="BL1353" s="73"/>
      <c r="BM1353" s="73"/>
      <c r="BN1353" s="73"/>
      <c r="BO1353" s="73"/>
      <c r="BP1353" s="73"/>
      <c r="BQ1353" s="73"/>
      <c r="BR1353" s="73"/>
      <c r="BS1353" s="73"/>
      <c r="BT1353" s="73"/>
      <c r="BU1353" s="73"/>
      <c r="BV1353" s="73"/>
      <c r="BW1353" s="73"/>
      <c r="BX1353" s="73"/>
      <c r="BY1353" s="73"/>
      <c r="BZ1353" s="73"/>
      <c r="CA1353" s="73"/>
      <c r="CB1353" s="73"/>
      <c r="CC1353" s="73"/>
      <c r="CD1353" s="73"/>
      <c r="CE1353" s="73"/>
      <c r="CF1353" s="73"/>
      <c r="CG1353" s="73"/>
      <c r="CH1353" s="73"/>
      <c r="CI1353" s="73"/>
      <c r="CJ1353" s="73"/>
      <c r="CK1353" s="73"/>
      <c r="CL1353" s="73"/>
      <c r="CM1353" s="73"/>
      <c r="CN1353" s="73"/>
      <c r="CO1353" s="73"/>
      <c r="CP1353" s="73"/>
      <c r="CQ1353" s="73"/>
      <c r="CR1353" s="73"/>
      <c r="CS1353" s="73"/>
      <c r="CT1353" s="73"/>
      <c r="CU1353" s="73"/>
      <c r="CV1353" s="73"/>
      <c r="CW1353" s="73"/>
      <c r="CX1353" s="73"/>
      <c r="CY1353" s="73"/>
      <c r="CZ1353" s="73"/>
      <c r="DA1353" s="73"/>
      <c r="DB1353" s="73"/>
      <c r="DC1353" s="73"/>
      <c r="DD1353" s="73"/>
      <c r="DE1353" s="73"/>
      <c r="DF1353" s="73"/>
      <c r="DG1353" s="73"/>
      <c r="DH1353" s="73"/>
      <c r="DI1353" s="73"/>
      <c r="DJ1353" s="73"/>
      <c r="DK1353" s="73"/>
      <c r="DL1353" s="73"/>
      <c r="DM1353" s="73"/>
    </row>
    <row r="1354" spans="1:117" s="48" customFormat="1">
      <c r="A1354" s="73"/>
      <c r="T1354" s="73"/>
      <c r="U1354" s="73"/>
      <c r="V1354" s="73"/>
      <c r="W1354" s="73"/>
      <c r="X1354" s="73"/>
      <c r="Y1354" s="73"/>
      <c r="Z1354" s="73"/>
      <c r="AA1354" s="73"/>
      <c r="AB1354" s="73"/>
      <c r="AC1354" s="73"/>
      <c r="AD1354" s="73"/>
      <c r="AE1354" s="73"/>
      <c r="AF1354" s="73"/>
      <c r="AG1354" s="73"/>
      <c r="AH1354" s="73"/>
      <c r="AI1354" s="73"/>
      <c r="AJ1354" s="73"/>
      <c r="AK1354" s="73"/>
      <c r="AL1354" s="73"/>
      <c r="AM1354" s="73"/>
      <c r="AN1354" s="73"/>
      <c r="AO1354" s="73"/>
      <c r="AP1354" s="73"/>
      <c r="AQ1354" s="73"/>
      <c r="AR1354" s="73"/>
      <c r="AS1354" s="73"/>
      <c r="AT1354" s="73"/>
      <c r="AU1354" s="73"/>
      <c r="AV1354" s="73"/>
      <c r="AW1354" s="73"/>
      <c r="AX1354" s="73"/>
      <c r="AY1354" s="73"/>
      <c r="AZ1354" s="73"/>
      <c r="BA1354" s="73"/>
      <c r="BB1354" s="73"/>
      <c r="BC1354" s="73"/>
      <c r="BD1354" s="73"/>
      <c r="BE1354" s="73"/>
      <c r="BF1354" s="73"/>
      <c r="BG1354" s="73"/>
      <c r="BH1354" s="73"/>
      <c r="BI1354" s="73"/>
      <c r="BJ1354" s="73"/>
      <c r="BK1354" s="73"/>
      <c r="BL1354" s="73"/>
      <c r="BM1354" s="73"/>
      <c r="BN1354" s="73"/>
      <c r="BO1354" s="73"/>
      <c r="BP1354" s="73"/>
      <c r="BQ1354" s="73"/>
      <c r="BR1354" s="73"/>
      <c r="BS1354" s="73"/>
      <c r="BT1354" s="73"/>
      <c r="BU1354" s="73"/>
      <c r="BV1354" s="73"/>
      <c r="BW1354" s="73"/>
      <c r="BX1354" s="73"/>
      <c r="BY1354" s="73"/>
      <c r="BZ1354" s="73"/>
      <c r="CA1354" s="73"/>
      <c r="CB1354" s="73"/>
      <c r="CC1354" s="73"/>
      <c r="CD1354" s="73"/>
      <c r="CE1354" s="73"/>
      <c r="CF1354" s="73"/>
      <c r="CG1354" s="73"/>
      <c r="CH1354" s="73"/>
      <c r="CI1354" s="73"/>
      <c r="CJ1354" s="73"/>
      <c r="CK1354" s="73"/>
      <c r="CL1354" s="73"/>
      <c r="CM1354" s="73"/>
      <c r="CN1354" s="73"/>
      <c r="CO1354" s="73"/>
      <c r="CP1354" s="73"/>
      <c r="CQ1354" s="73"/>
      <c r="CR1354" s="73"/>
      <c r="CS1354" s="73"/>
      <c r="CT1354" s="73"/>
      <c r="CU1354" s="73"/>
      <c r="CV1354" s="73"/>
      <c r="CW1354" s="73"/>
      <c r="CX1354" s="73"/>
      <c r="CY1354" s="73"/>
      <c r="CZ1354" s="73"/>
      <c r="DA1354" s="73"/>
      <c r="DB1354" s="73"/>
      <c r="DC1354" s="73"/>
      <c r="DD1354" s="73"/>
      <c r="DE1354" s="73"/>
      <c r="DF1354" s="73"/>
      <c r="DG1354" s="73"/>
      <c r="DH1354" s="73"/>
      <c r="DI1354" s="73"/>
      <c r="DJ1354" s="73"/>
      <c r="DK1354" s="73"/>
      <c r="DL1354" s="73"/>
      <c r="DM1354" s="73"/>
    </row>
    <row r="1355" spans="1:117" s="48" customFormat="1">
      <c r="A1355" s="73"/>
      <c r="T1355" s="73"/>
      <c r="U1355" s="73"/>
      <c r="V1355" s="73"/>
      <c r="W1355" s="73"/>
      <c r="X1355" s="73"/>
      <c r="Y1355" s="73"/>
      <c r="Z1355" s="73"/>
      <c r="AA1355" s="73"/>
      <c r="AB1355" s="73"/>
      <c r="AC1355" s="73"/>
      <c r="AD1355" s="73"/>
      <c r="AE1355" s="73"/>
      <c r="AF1355" s="73"/>
      <c r="AG1355" s="73"/>
      <c r="AH1355" s="73"/>
      <c r="AI1355" s="73"/>
      <c r="AJ1355" s="73"/>
      <c r="AK1355" s="73"/>
      <c r="AL1355" s="73"/>
      <c r="AM1355" s="73"/>
      <c r="AN1355" s="73"/>
      <c r="AO1355" s="73"/>
      <c r="AP1355" s="73"/>
      <c r="AQ1355" s="73"/>
      <c r="AR1355" s="73"/>
      <c r="AS1355" s="73"/>
      <c r="AT1355" s="73"/>
      <c r="AU1355" s="73"/>
      <c r="AV1355" s="73"/>
      <c r="AW1355" s="73"/>
      <c r="AX1355" s="73"/>
      <c r="AY1355" s="73"/>
      <c r="AZ1355" s="73"/>
      <c r="BA1355" s="73"/>
      <c r="BB1355" s="73"/>
      <c r="BC1355" s="73"/>
      <c r="BD1355" s="73"/>
      <c r="BE1355" s="73"/>
      <c r="BF1355" s="73"/>
      <c r="BG1355" s="73"/>
      <c r="BH1355" s="73"/>
      <c r="BI1355" s="73"/>
      <c r="BJ1355" s="73"/>
      <c r="BK1355" s="73"/>
      <c r="BL1355" s="73"/>
      <c r="BM1355" s="73"/>
      <c r="BN1355" s="73"/>
      <c r="BO1355" s="73"/>
      <c r="BP1355" s="73"/>
      <c r="BQ1355" s="73"/>
      <c r="BR1355" s="73"/>
      <c r="BS1355" s="73"/>
      <c r="BT1355" s="73"/>
      <c r="BU1355" s="73"/>
      <c r="BV1355" s="73"/>
      <c r="BW1355" s="73"/>
      <c r="BX1355" s="73"/>
      <c r="BY1355" s="73"/>
      <c r="BZ1355" s="73"/>
      <c r="CA1355" s="73"/>
      <c r="CB1355" s="73"/>
      <c r="CC1355" s="73"/>
      <c r="CD1355" s="73"/>
      <c r="CE1355" s="73"/>
      <c r="CF1355" s="73"/>
      <c r="CG1355" s="73"/>
      <c r="CH1355" s="73"/>
      <c r="CI1355" s="73"/>
      <c r="CJ1355" s="73"/>
      <c r="CK1355" s="73"/>
      <c r="CL1355" s="73"/>
      <c r="CM1355" s="73"/>
      <c r="CN1355" s="73"/>
      <c r="CO1355" s="73"/>
      <c r="CP1355" s="73"/>
      <c r="CQ1355" s="73"/>
      <c r="CR1355" s="73"/>
      <c r="CS1355" s="73"/>
      <c r="CT1355" s="73"/>
      <c r="CU1355" s="73"/>
      <c r="CV1355" s="73"/>
      <c r="CW1355" s="73"/>
      <c r="CX1355" s="73"/>
      <c r="CY1355" s="73"/>
      <c r="CZ1355" s="73"/>
      <c r="DA1355" s="73"/>
      <c r="DB1355" s="73"/>
      <c r="DC1355" s="73"/>
      <c r="DD1355" s="73"/>
      <c r="DE1355" s="73"/>
      <c r="DF1355" s="73"/>
      <c r="DG1355" s="73"/>
      <c r="DH1355" s="73"/>
      <c r="DI1355" s="73"/>
      <c r="DJ1355" s="73"/>
      <c r="DK1355" s="73"/>
      <c r="DL1355" s="73"/>
      <c r="DM1355" s="73"/>
    </row>
    <row r="1356" spans="1:117" s="48" customFormat="1">
      <c r="A1356" s="73"/>
      <c r="T1356" s="73"/>
      <c r="U1356" s="73"/>
      <c r="V1356" s="73"/>
      <c r="W1356" s="73"/>
      <c r="X1356" s="73"/>
      <c r="Y1356" s="73"/>
      <c r="Z1356" s="73"/>
      <c r="AA1356" s="73"/>
      <c r="AB1356" s="73"/>
      <c r="AC1356" s="73"/>
      <c r="AD1356" s="73"/>
      <c r="AE1356" s="73"/>
      <c r="AF1356" s="73"/>
      <c r="AG1356" s="73"/>
      <c r="AH1356" s="73"/>
      <c r="AI1356" s="73"/>
      <c r="AJ1356" s="73"/>
      <c r="AK1356" s="73"/>
      <c r="AL1356" s="73"/>
      <c r="AM1356" s="73"/>
      <c r="AN1356" s="73"/>
      <c r="AO1356" s="73"/>
      <c r="AP1356" s="73"/>
      <c r="AQ1356" s="73"/>
      <c r="AR1356" s="73"/>
      <c r="AS1356" s="73"/>
      <c r="AT1356" s="73"/>
      <c r="AU1356" s="73"/>
      <c r="AV1356" s="73"/>
      <c r="AW1356" s="73"/>
      <c r="AX1356" s="73"/>
      <c r="AY1356" s="73"/>
      <c r="AZ1356" s="73"/>
      <c r="BA1356" s="73"/>
      <c r="BB1356" s="73"/>
      <c r="BC1356" s="73"/>
      <c r="BD1356" s="73"/>
      <c r="BE1356" s="73"/>
      <c r="BF1356" s="73"/>
      <c r="BG1356" s="73"/>
      <c r="BH1356" s="73"/>
      <c r="BI1356" s="73"/>
      <c r="BJ1356" s="73"/>
      <c r="BK1356" s="73"/>
      <c r="BL1356" s="73"/>
      <c r="BM1356" s="73"/>
      <c r="BN1356" s="73"/>
      <c r="BO1356" s="73"/>
      <c r="BP1356" s="73"/>
      <c r="BQ1356" s="73"/>
      <c r="BR1356" s="73"/>
      <c r="BS1356" s="73"/>
      <c r="BT1356" s="73"/>
      <c r="BU1356" s="73"/>
      <c r="BV1356" s="73"/>
      <c r="BW1356" s="73"/>
      <c r="BX1356" s="73"/>
      <c r="BY1356" s="73"/>
      <c r="BZ1356" s="73"/>
      <c r="CA1356" s="73"/>
      <c r="CB1356" s="73"/>
      <c r="CC1356" s="73"/>
      <c r="CD1356" s="73"/>
      <c r="CE1356" s="73"/>
      <c r="CF1356" s="73"/>
      <c r="CG1356" s="73"/>
      <c r="CH1356" s="73"/>
      <c r="CI1356" s="73"/>
      <c r="CJ1356" s="73"/>
      <c r="CK1356" s="73"/>
      <c r="CL1356" s="73"/>
      <c r="CM1356" s="73"/>
      <c r="CN1356" s="73"/>
      <c r="CO1356" s="73"/>
      <c r="CP1356" s="73"/>
      <c r="CQ1356" s="73"/>
      <c r="CR1356" s="73"/>
      <c r="CS1356" s="73"/>
      <c r="CT1356" s="73"/>
      <c r="CU1356" s="73"/>
      <c r="CV1356" s="73"/>
      <c r="CW1356" s="73"/>
      <c r="CX1356" s="73"/>
      <c r="CY1356" s="73"/>
      <c r="CZ1356" s="73"/>
      <c r="DA1356" s="73"/>
      <c r="DB1356" s="73"/>
      <c r="DC1356" s="73"/>
      <c r="DD1356" s="73"/>
      <c r="DE1356" s="73"/>
      <c r="DF1356" s="73"/>
      <c r="DG1356" s="73"/>
      <c r="DH1356" s="73"/>
      <c r="DI1356" s="73"/>
      <c r="DJ1356" s="73"/>
      <c r="DK1356" s="73"/>
      <c r="DL1356" s="73"/>
      <c r="DM1356" s="73"/>
    </row>
    <row r="1357" spans="1:117" s="48" customFormat="1">
      <c r="A1357" s="73"/>
      <c r="T1357" s="73"/>
      <c r="U1357" s="73"/>
      <c r="V1357" s="73"/>
      <c r="W1357" s="73"/>
      <c r="X1357" s="73"/>
      <c r="Y1357" s="73"/>
      <c r="Z1357" s="73"/>
      <c r="AA1357" s="73"/>
      <c r="AB1357" s="73"/>
      <c r="AC1357" s="73"/>
      <c r="AD1357" s="73"/>
      <c r="AE1357" s="73"/>
      <c r="AF1357" s="73"/>
      <c r="AG1357" s="73"/>
      <c r="AH1357" s="73"/>
      <c r="AI1357" s="73"/>
      <c r="AJ1357" s="73"/>
      <c r="AK1357" s="73"/>
      <c r="AL1357" s="73"/>
      <c r="AM1357" s="73"/>
      <c r="AN1357" s="73"/>
      <c r="AO1357" s="73"/>
      <c r="AP1357" s="73"/>
      <c r="AQ1357" s="73"/>
      <c r="AR1357" s="73"/>
      <c r="AS1357" s="73"/>
      <c r="AT1357" s="73"/>
      <c r="AU1357" s="73"/>
      <c r="AV1357" s="73"/>
      <c r="AW1357" s="73"/>
      <c r="AX1357" s="73"/>
      <c r="AY1357" s="73"/>
      <c r="AZ1357" s="73"/>
      <c r="BA1357" s="73"/>
      <c r="BB1357" s="73"/>
      <c r="BC1357" s="73"/>
      <c r="BD1357" s="73"/>
      <c r="BE1357" s="73"/>
      <c r="BF1357" s="73"/>
      <c r="BG1357" s="73"/>
      <c r="BH1357" s="73"/>
      <c r="BI1357" s="73"/>
      <c r="BJ1357" s="73"/>
      <c r="BK1357" s="73"/>
      <c r="BL1357" s="73"/>
      <c r="BM1357" s="73"/>
      <c r="BN1357" s="73"/>
      <c r="BO1357" s="73"/>
      <c r="BP1357" s="73"/>
      <c r="BQ1357" s="73"/>
      <c r="BR1357" s="73"/>
      <c r="BS1357" s="73"/>
      <c r="BT1357" s="73"/>
      <c r="BU1357" s="73"/>
      <c r="BV1357" s="73"/>
      <c r="BW1357" s="73"/>
      <c r="BX1357" s="73"/>
      <c r="BY1357" s="73"/>
      <c r="BZ1357" s="73"/>
      <c r="CA1357" s="73"/>
      <c r="CB1357" s="73"/>
      <c r="CC1357" s="73"/>
      <c r="CD1357" s="73"/>
      <c r="CE1357" s="73"/>
      <c r="CF1357" s="73"/>
      <c r="CG1357" s="73"/>
      <c r="CH1357" s="73"/>
      <c r="CI1357" s="73"/>
      <c r="CJ1357" s="73"/>
      <c r="CK1357" s="73"/>
      <c r="CL1357" s="73"/>
      <c r="CM1357" s="73"/>
      <c r="CN1357" s="73"/>
      <c r="CO1357" s="73"/>
      <c r="CP1357" s="73"/>
      <c r="CQ1357" s="73"/>
      <c r="CR1357" s="73"/>
      <c r="CS1357" s="73"/>
      <c r="CT1357" s="73"/>
      <c r="CU1357" s="73"/>
      <c r="CV1357" s="73"/>
      <c r="CW1357" s="73"/>
      <c r="CX1357" s="73"/>
      <c r="CY1357" s="73"/>
      <c r="CZ1357" s="73"/>
      <c r="DA1357" s="73"/>
      <c r="DB1357" s="73"/>
      <c r="DC1357" s="73"/>
      <c r="DD1357" s="73"/>
      <c r="DE1357" s="73"/>
      <c r="DF1357" s="73"/>
      <c r="DG1357" s="73"/>
      <c r="DH1357" s="73"/>
      <c r="DI1357" s="73"/>
      <c r="DJ1357" s="73"/>
      <c r="DK1357" s="73"/>
      <c r="DL1357" s="73"/>
      <c r="DM1357" s="73"/>
    </row>
    <row r="1358" spans="1:117" s="48" customFormat="1">
      <c r="A1358" s="73"/>
      <c r="T1358" s="73"/>
      <c r="U1358" s="73"/>
      <c r="V1358" s="73"/>
      <c r="W1358" s="73"/>
      <c r="X1358" s="73"/>
      <c r="Y1358" s="73"/>
      <c r="Z1358" s="73"/>
      <c r="AA1358" s="73"/>
      <c r="AB1358" s="73"/>
      <c r="AC1358" s="73"/>
      <c r="AD1358" s="73"/>
      <c r="AE1358" s="73"/>
      <c r="AF1358" s="73"/>
      <c r="AG1358" s="73"/>
      <c r="AH1358" s="73"/>
      <c r="AI1358" s="73"/>
      <c r="AJ1358" s="73"/>
      <c r="AK1358" s="73"/>
      <c r="AL1358" s="73"/>
      <c r="AM1358" s="73"/>
      <c r="AN1358" s="73"/>
      <c r="AO1358" s="73"/>
      <c r="AP1358" s="73"/>
      <c r="AQ1358" s="73"/>
      <c r="AR1358" s="73"/>
      <c r="AS1358" s="73"/>
      <c r="AT1358" s="73"/>
      <c r="AU1358" s="73"/>
      <c r="AV1358" s="73"/>
      <c r="AW1358" s="73"/>
      <c r="AX1358" s="73"/>
      <c r="AY1358" s="73"/>
      <c r="AZ1358" s="73"/>
      <c r="BA1358" s="73"/>
      <c r="BB1358" s="73"/>
      <c r="BC1358" s="73"/>
      <c r="BD1358" s="73"/>
      <c r="BE1358" s="73"/>
      <c r="BF1358" s="73"/>
      <c r="BG1358" s="73"/>
      <c r="BH1358" s="73"/>
      <c r="BI1358" s="73"/>
      <c r="BJ1358" s="73"/>
      <c r="BK1358" s="73"/>
      <c r="BL1358" s="73"/>
      <c r="BM1358" s="73"/>
      <c r="BN1358" s="73"/>
      <c r="BO1358" s="73"/>
      <c r="BP1358" s="73"/>
      <c r="BQ1358" s="73"/>
      <c r="BR1358" s="73"/>
      <c r="BS1358" s="73"/>
      <c r="BT1358" s="73"/>
      <c r="BU1358" s="73"/>
      <c r="BV1358" s="73"/>
      <c r="BW1358" s="73"/>
      <c r="BX1358" s="73"/>
      <c r="BY1358" s="73"/>
      <c r="BZ1358" s="73"/>
      <c r="CA1358" s="73"/>
      <c r="CB1358" s="73"/>
      <c r="CC1358" s="73"/>
      <c r="CD1358" s="73"/>
      <c r="CE1358" s="73"/>
      <c r="CF1358" s="73"/>
      <c r="CG1358" s="73"/>
      <c r="CH1358" s="73"/>
      <c r="CI1358" s="73"/>
      <c r="CJ1358" s="73"/>
      <c r="CK1358" s="73"/>
      <c r="CL1358" s="73"/>
      <c r="CM1358" s="73"/>
      <c r="CN1358" s="73"/>
      <c r="CO1358" s="73"/>
      <c r="CP1358" s="73"/>
      <c r="CQ1358" s="73"/>
      <c r="CR1358" s="73"/>
      <c r="CS1358" s="73"/>
      <c r="CT1358" s="73"/>
      <c r="CU1358" s="73"/>
      <c r="CV1358" s="73"/>
      <c r="CW1358" s="73"/>
      <c r="CX1358" s="73"/>
      <c r="CY1358" s="73"/>
      <c r="CZ1358" s="73"/>
      <c r="DA1358" s="73"/>
      <c r="DB1358" s="73"/>
      <c r="DC1358" s="73"/>
      <c r="DD1358" s="73"/>
      <c r="DE1358" s="73"/>
      <c r="DF1358" s="73"/>
      <c r="DG1358" s="73"/>
      <c r="DH1358" s="73"/>
      <c r="DI1358" s="73"/>
      <c r="DJ1358" s="73"/>
      <c r="DK1358" s="73"/>
      <c r="DL1358" s="73"/>
      <c r="DM1358" s="73"/>
    </row>
    <row r="1359" spans="1:117" s="48" customFormat="1">
      <c r="A1359" s="73"/>
      <c r="T1359" s="73"/>
      <c r="U1359" s="73"/>
      <c r="V1359" s="73"/>
      <c r="W1359" s="73"/>
      <c r="X1359" s="73"/>
      <c r="Y1359" s="73"/>
      <c r="Z1359" s="73"/>
      <c r="AA1359" s="73"/>
      <c r="AB1359" s="73"/>
      <c r="AC1359" s="73"/>
      <c r="AD1359" s="73"/>
      <c r="AE1359" s="73"/>
      <c r="AF1359" s="73"/>
      <c r="AG1359" s="73"/>
      <c r="AH1359" s="73"/>
      <c r="AI1359" s="73"/>
      <c r="AJ1359" s="73"/>
      <c r="AK1359" s="73"/>
      <c r="AL1359" s="73"/>
      <c r="AM1359" s="73"/>
      <c r="AN1359" s="73"/>
      <c r="AO1359" s="73"/>
      <c r="AP1359" s="73"/>
      <c r="AQ1359" s="73"/>
      <c r="AR1359" s="73"/>
      <c r="AS1359" s="73"/>
      <c r="AT1359" s="73"/>
      <c r="AU1359" s="73"/>
      <c r="AV1359" s="73"/>
      <c r="AW1359" s="73"/>
      <c r="AX1359" s="73"/>
      <c r="AY1359" s="73"/>
      <c r="AZ1359" s="73"/>
      <c r="BA1359" s="73"/>
      <c r="BB1359" s="73"/>
      <c r="BC1359" s="73"/>
      <c r="BD1359" s="73"/>
      <c r="BE1359" s="73"/>
      <c r="BF1359" s="73"/>
      <c r="BG1359" s="73"/>
      <c r="BH1359" s="73"/>
      <c r="BI1359" s="73"/>
      <c r="BJ1359" s="73"/>
      <c r="BK1359" s="73"/>
      <c r="BL1359" s="73"/>
      <c r="BM1359" s="73"/>
      <c r="BN1359" s="73"/>
      <c r="BO1359" s="73"/>
      <c r="BP1359" s="73"/>
      <c r="BQ1359" s="73"/>
      <c r="BR1359" s="73"/>
      <c r="BS1359" s="73"/>
      <c r="BT1359" s="73"/>
      <c r="BU1359" s="73"/>
      <c r="BV1359" s="73"/>
      <c r="BW1359" s="73"/>
      <c r="BX1359" s="73"/>
      <c r="BY1359" s="73"/>
      <c r="BZ1359" s="73"/>
      <c r="CA1359" s="73"/>
      <c r="CB1359" s="73"/>
      <c r="CC1359" s="73"/>
      <c r="CD1359" s="73"/>
      <c r="CE1359" s="73"/>
      <c r="CF1359" s="73"/>
      <c r="CG1359" s="73"/>
      <c r="CH1359" s="73"/>
      <c r="CI1359" s="73"/>
      <c r="CJ1359" s="73"/>
      <c r="CK1359" s="73"/>
      <c r="CL1359" s="73"/>
      <c r="CM1359" s="73"/>
      <c r="CN1359" s="73"/>
      <c r="CO1359" s="73"/>
      <c r="CP1359" s="73"/>
      <c r="CQ1359" s="73"/>
      <c r="CR1359" s="73"/>
      <c r="CS1359" s="73"/>
      <c r="CT1359" s="73"/>
      <c r="CU1359" s="73"/>
      <c r="CV1359" s="73"/>
      <c r="CW1359" s="73"/>
      <c r="CX1359" s="73"/>
      <c r="CY1359" s="73"/>
      <c r="CZ1359" s="73"/>
      <c r="DA1359" s="73"/>
      <c r="DB1359" s="73"/>
      <c r="DC1359" s="73"/>
      <c r="DD1359" s="73"/>
      <c r="DE1359" s="73"/>
      <c r="DF1359" s="73"/>
      <c r="DG1359" s="73"/>
      <c r="DH1359" s="73"/>
      <c r="DI1359" s="73"/>
      <c r="DJ1359" s="73"/>
      <c r="DK1359" s="73"/>
      <c r="DL1359" s="73"/>
      <c r="DM1359" s="73"/>
    </row>
    <row r="1360" spans="1:117" s="48" customFormat="1">
      <c r="A1360" s="73"/>
      <c r="T1360" s="73"/>
      <c r="U1360" s="73"/>
      <c r="V1360" s="73"/>
      <c r="W1360" s="73"/>
      <c r="X1360" s="73"/>
      <c r="Y1360" s="73"/>
      <c r="Z1360" s="73"/>
      <c r="AA1360" s="73"/>
      <c r="AB1360" s="73"/>
      <c r="AC1360" s="73"/>
      <c r="AD1360" s="73"/>
      <c r="AE1360" s="73"/>
      <c r="AF1360" s="73"/>
      <c r="AG1360" s="73"/>
      <c r="AH1360" s="73"/>
      <c r="AI1360" s="73"/>
      <c r="AJ1360" s="73"/>
      <c r="AK1360" s="73"/>
      <c r="AL1360" s="73"/>
      <c r="AM1360" s="73"/>
      <c r="AN1360" s="73"/>
      <c r="AO1360" s="73"/>
      <c r="AP1360" s="73"/>
      <c r="AQ1360" s="73"/>
      <c r="AR1360" s="73"/>
      <c r="AS1360" s="73"/>
      <c r="AT1360" s="73"/>
      <c r="AU1360" s="73"/>
      <c r="AV1360" s="73"/>
      <c r="AW1360" s="73"/>
      <c r="AX1360" s="73"/>
      <c r="AY1360" s="73"/>
      <c r="AZ1360" s="73"/>
      <c r="BA1360" s="73"/>
      <c r="BB1360" s="73"/>
      <c r="BC1360" s="73"/>
      <c r="BD1360" s="73"/>
      <c r="BE1360" s="73"/>
      <c r="BF1360" s="73"/>
      <c r="BG1360" s="73"/>
      <c r="BH1360" s="73"/>
      <c r="BI1360" s="73"/>
      <c r="BJ1360" s="73"/>
      <c r="BK1360" s="73"/>
      <c r="BL1360" s="73"/>
      <c r="BM1360" s="73"/>
      <c r="BN1360" s="73"/>
      <c r="BO1360" s="73"/>
      <c r="BP1360" s="73"/>
      <c r="BQ1360" s="73"/>
      <c r="BR1360" s="73"/>
      <c r="BS1360" s="73"/>
      <c r="BT1360" s="73"/>
      <c r="BU1360" s="73"/>
      <c r="BV1360" s="73"/>
      <c r="BW1360" s="73"/>
      <c r="BX1360" s="73"/>
      <c r="BY1360" s="73"/>
      <c r="BZ1360" s="73"/>
      <c r="CA1360" s="73"/>
      <c r="CB1360" s="73"/>
      <c r="CC1360" s="73"/>
      <c r="CD1360" s="73"/>
      <c r="CE1360" s="73"/>
      <c r="CF1360" s="73"/>
      <c r="CG1360" s="73"/>
      <c r="CH1360" s="73"/>
      <c r="CI1360" s="73"/>
      <c r="CJ1360" s="73"/>
      <c r="CK1360" s="73"/>
      <c r="CL1360" s="73"/>
      <c r="CM1360" s="73"/>
      <c r="CN1360" s="73"/>
      <c r="CO1360" s="73"/>
      <c r="CP1360" s="73"/>
      <c r="CQ1360" s="73"/>
      <c r="CR1360" s="73"/>
      <c r="CS1360" s="73"/>
      <c r="CT1360" s="73"/>
      <c r="CU1360" s="73"/>
      <c r="CV1360" s="73"/>
      <c r="CW1360" s="73"/>
      <c r="CX1360" s="73"/>
      <c r="CY1360" s="73"/>
      <c r="CZ1360" s="73"/>
      <c r="DA1360" s="73"/>
      <c r="DB1360" s="73"/>
      <c r="DC1360" s="73"/>
      <c r="DD1360" s="73"/>
      <c r="DE1360" s="73"/>
      <c r="DF1360" s="73"/>
      <c r="DG1360" s="73"/>
      <c r="DH1360" s="73"/>
      <c r="DI1360" s="73"/>
      <c r="DJ1360" s="73"/>
      <c r="DK1360" s="73"/>
      <c r="DL1360" s="73"/>
      <c r="DM1360" s="73"/>
    </row>
    <row r="1361" spans="1:117" s="48" customFormat="1">
      <c r="A1361" s="73"/>
      <c r="T1361" s="73"/>
      <c r="U1361" s="73"/>
      <c r="V1361" s="73"/>
      <c r="W1361" s="73"/>
      <c r="X1361" s="73"/>
      <c r="Y1361" s="73"/>
      <c r="Z1361" s="73"/>
      <c r="AA1361" s="73"/>
      <c r="AB1361" s="73"/>
      <c r="AC1361" s="73"/>
      <c r="AD1361" s="73"/>
      <c r="AE1361" s="73"/>
      <c r="AF1361" s="73"/>
      <c r="AG1361" s="73"/>
      <c r="AH1361" s="73"/>
      <c r="AI1361" s="73"/>
      <c r="AJ1361" s="73"/>
      <c r="AK1361" s="73"/>
      <c r="AL1361" s="73"/>
      <c r="AM1361" s="73"/>
      <c r="AN1361" s="73"/>
      <c r="AO1361" s="73"/>
      <c r="AP1361" s="73"/>
      <c r="AQ1361" s="73"/>
      <c r="AR1361" s="73"/>
      <c r="AS1361" s="73"/>
      <c r="AT1361" s="73"/>
      <c r="AU1361" s="73"/>
      <c r="AV1361" s="73"/>
      <c r="AW1361" s="73"/>
      <c r="AX1361" s="73"/>
      <c r="AY1361" s="73"/>
      <c r="AZ1361" s="73"/>
      <c r="BA1361" s="73"/>
      <c r="BB1361" s="73"/>
      <c r="BC1361" s="73"/>
      <c r="BD1361" s="73"/>
      <c r="BE1361" s="73"/>
      <c r="BF1361" s="73"/>
      <c r="BG1361" s="73"/>
      <c r="BH1361" s="73"/>
      <c r="BI1361" s="73"/>
      <c r="BJ1361" s="73"/>
      <c r="BK1361" s="73"/>
      <c r="BL1361" s="73"/>
      <c r="BM1361" s="73"/>
      <c r="BN1361" s="73"/>
      <c r="BO1361" s="73"/>
      <c r="BP1361" s="73"/>
      <c r="BQ1361" s="73"/>
      <c r="BR1361" s="73"/>
      <c r="BS1361" s="73"/>
      <c r="BT1361" s="73"/>
      <c r="BU1361" s="73"/>
      <c r="BV1361" s="73"/>
      <c r="BW1361" s="73"/>
      <c r="BX1361" s="73"/>
      <c r="BY1361" s="73"/>
      <c r="BZ1361" s="73"/>
      <c r="CA1361" s="73"/>
      <c r="CB1361" s="73"/>
      <c r="CC1361" s="73"/>
      <c r="CD1361" s="73"/>
      <c r="CE1361" s="73"/>
      <c r="CF1361" s="73"/>
      <c r="CG1361" s="73"/>
      <c r="CH1361" s="73"/>
      <c r="CI1361" s="73"/>
      <c r="CJ1361" s="73"/>
      <c r="CK1361" s="73"/>
      <c r="CL1361" s="73"/>
      <c r="CM1361" s="73"/>
      <c r="CN1361" s="73"/>
      <c r="CO1361" s="73"/>
      <c r="CP1361" s="73"/>
      <c r="CQ1361" s="73"/>
      <c r="CR1361" s="73"/>
      <c r="CS1361" s="73"/>
      <c r="CT1361" s="73"/>
      <c r="CU1361" s="73"/>
      <c r="CV1361" s="73"/>
      <c r="CW1361" s="73"/>
      <c r="CX1361" s="73"/>
      <c r="CY1361" s="73"/>
      <c r="CZ1361" s="73"/>
      <c r="DA1361" s="73"/>
      <c r="DB1361" s="73"/>
      <c r="DC1361" s="73"/>
      <c r="DD1361" s="73"/>
      <c r="DE1361" s="73"/>
      <c r="DF1361" s="73"/>
      <c r="DG1361" s="73"/>
      <c r="DH1361" s="73"/>
      <c r="DI1361" s="73"/>
      <c r="DJ1361" s="73"/>
      <c r="DK1361" s="73"/>
      <c r="DL1361" s="73"/>
      <c r="DM1361" s="73"/>
    </row>
    <row r="1362" spans="1:117" s="48" customFormat="1">
      <c r="A1362" s="73"/>
      <c r="T1362" s="73"/>
      <c r="U1362" s="73"/>
      <c r="V1362" s="73"/>
      <c r="W1362" s="73"/>
      <c r="X1362" s="73"/>
      <c r="Y1362" s="73"/>
      <c r="Z1362" s="73"/>
      <c r="AA1362" s="73"/>
      <c r="AB1362" s="73"/>
      <c r="AC1362" s="73"/>
      <c r="AD1362" s="73"/>
      <c r="AE1362" s="73"/>
      <c r="AF1362" s="73"/>
      <c r="AG1362" s="73"/>
      <c r="AH1362" s="73"/>
      <c r="AI1362" s="73"/>
      <c r="AJ1362" s="73"/>
      <c r="AK1362" s="73"/>
      <c r="AL1362" s="73"/>
      <c r="AM1362" s="73"/>
      <c r="AN1362" s="73"/>
      <c r="AO1362" s="73"/>
      <c r="AP1362" s="73"/>
      <c r="AQ1362" s="73"/>
      <c r="AR1362" s="73"/>
      <c r="AS1362" s="73"/>
      <c r="AT1362" s="73"/>
      <c r="AU1362" s="73"/>
      <c r="AV1362" s="73"/>
      <c r="AW1362" s="73"/>
      <c r="AX1362" s="73"/>
      <c r="AY1362" s="73"/>
      <c r="AZ1362" s="73"/>
      <c r="BA1362" s="73"/>
      <c r="BB1362" s="73"/>
      <c r="BC1362" s="73"/>
      <c r="BD1362" s="73"/>
      <c r="BE1362" s="73"/>
      <c r="BF1362" s="73"/>
      <c r="BG1362" s="73"/>
      <c r="BH1362" s="73"/>
      <c r="BI1362" s="73"/>
      <c r="BJ1362" s="73"/>
      <c r="BK1362" s="73"/>
      <c r="BL1362" s="73"/>
      <c r="BM1362" s="73"/>
      <c r="BN1362" s="73"/>
      <c r="BO1362" s="73"/>
      <c r="BP1362" s="73"/>
      <c r="BQ1362" s="73"/>
      <c r="BR1362" s="73"/>
      <c r="BS1362" s="73"/>
      <c r="BT1362" s="73"/>
      <c r="BU1362" s="73"/>
      <c r="BV1362" s="73"/>
      <c r="BW1362" s="73"/>
      <c r="BX1362" s="73"/>
      <c r="BY1362" s="73"/>
      <c r="BZ1362" s="73"/>
      <c r="CA1362" s="73"/>
      <c r="CB1362" s="73"/>
      <c r="CC1362" s="73"/>
      <c r="CD1362" s="73"/>
      <c r="CE1362" s="73"/>
      <c r="CF1362" s="73"/>
      <c r="CG1362" s="73"/>
      <c r="CH1362" s="73"/>
      <c r="CI1362" s="73"/>
      <c r="CJ1362" s="73"/>
      <c r="CK1362" s="73"/>
      <c r="CL1362" s="73"/>
      <c r="CM1362" s="73"/>
      <c r="CN1362" s="73"/>
      <c r="CO1362" s="73"/>
      <c r="CP1362" s="73"/>
      <c r="CQ1362" s="73"/>
      <c r="CR1362" s="73"/>
      <c r="CS1362" s="73"/>
      <c r="CT1362" s="73"/>
      <c r="CU1362" s="73"/>
      <c r="CV1362" s="73"/>
      <c r="CW1362" s="73"/>
      <c r="CX1362" s="73"/>
      <c r="CY1362" s="73"/>
      <c r="CZ1362" s="73"/>
      <c r="DA1362" s="73"/>
      <c r="DB1362" s="73"/>
      <c r="DC1362" s="73"/>
      <c r="DD1362" s="73"/>
      <c r="DE1362" s="73"/>
      <c r="DF1362" s="73"/>
      <c r="DG1362" s="73"/>
      <c r="DH1362" s="73"/>
      <c r="DI1362" s="73"/>
      <c r="DJ1362" s="73"/>
      <c r="DK1362" s="73"/>
      <c r="DL1362" s="73"/>
      <c r="DM1362" s="73"/>
    </row>
    <row r="1363" spans="1:117" s="48" customFormat="1">
      <c r="A1363" s="73"/>
      <c r="T1363" s="73"/>
      <c r="U1363" s="73"/>
      <c r="V1363" s="73"/>
      <c r="W1363" s="73"/>
      <c r="X1363" s="73"/>
      <c r="Y1363" s="73"/>
      <c r="Z1363" s="73"/>
      <c r="AA1363" s="73"/>
      <c r="AB1363" s="73"/>
      <c r="AC1363" s="73"/>
      <c r="AD1363" s="73"/>
      <c r="AE1363" s="73"/>
      <c r="AF1363" s="73"/>
      <c r="AG1363" s="73"/>
      <c r="AH1363" s="73"/>
      <c r="AI1363" s="73"/>
      <c r="AJ1363" s="73"/>
      <c r="AK1363" s="73"/>
      <c r="AL1363" s="73"/>
      <c r="AM1363" s="73"/>
      <c r="AN1363" s="73"/>
      <c r="AO1363" s="73"/>
      <c r="AP1363" s="73"/>
      <c r="AQ1363" s="73"/>
      <c r="AR1363" s="73"/>
      <c r="AS1363" s="73"/>
      <c r="AT1363" s="73"/>
      <c r="AU1363" s="73"/>
      <c r="AV1363" s="73"/>
      <c r="AW1363" s="73"/>
      <c r="AX1363" s="73"/>
      <c r="AY1363" s="73"/>
      <c r="AZ1363" s="73"/>
      <c r="BA1363" s="73"/>
      <c r="BB1363" s="73"/>
      <c r="BC1363" s="73"/>
      <c r="BD1363" s="73"/>
      <c r="BE1363" s="73"/>
      <c r="BF1363" s="73"/>
      <c r="BG1363" s="73"/>
      <c r="BH1363" s="73"/>
      <c r="BI1363" s="73"/>
      <c r="BJ1363" s="73"/>
      <c r="BK1363" s="73"/>
      <c r="BL1363" s="73"/>
      <c r="BM1363" s="73"/>
      <c r="BN1363" s="73"/>
      <c r="BO1363" s="73"/>
      <c r="BP1363" s="73"/>
      <c r="BQ1363" s="73"/>
      <c r="BR1363" s="73"/>
      <c r="BS1363" s="73"/>
      <c r="BT1363" s="73"/>
      <c r="BU1363" s="73"/>
      <c r="BV1363" s="73"/>
      <c r="BW1363" s="73"/>
      <c r="BX1363" s="73"/>
      <c r="BY1363" s="73"/>
      <c r="BZ1363" s="73"/>
      <c r="CA1363" s="73"/>
      <c r="CB1363" s="73"/>
      <c r="CC1363" s="73"/>
      <c r="CD1363" s="73"/>
      <c r="CE1363" s="73"/>
      <c r="CF1363" s="73"/>
      <c r="CG1363" s="73"/>
      <c r="CH1363" s="73"/>
      <c r="CI1363" s="73"/>
      <c r="CJ1363" s="73"/>
      <c r="CK1363" s="73"/>
      <c r="CL1363" s="73"/>
      <c r="CM1363" s="73"/>
      <c r="CN1363" s="73"/>
      <c r="CO1363" s="73"/>
      <c r="CP1363" s="73"/>
      <c r="CQ1363" s="73"/>
      <c r="CR1363" s="73"/>
      <c r="CS1363" s="73"/>
      <c r="CT1363" s="73"/>
      <c r="CU1363" s="73"/>
      <c r="CV1363" s="73"/>
      <c r="CW1363" s="73"/>
      <c r="CX1363" s="73"/>
      <c r="CY1363" s="73"/>
      <c r="CZ1363" s="73"/>
      <c r="DA1363" s="73"/>
      <c r="DB1363" s="73"/>
      <c r="DC1363" s="73"/>
      <c r="DD1363" s="73"/>
      <c r="DE1363" s="73"/>
      <c r="DF1363" s="73"/>
      <c r="DG1363" s="73"/>
      <c r="DH1363" s="73"/>
      <c r="DI1363" s="73"/>
      <c r="DJ1363" s="73"/>
      <c r="DK1363" s="73"/>
      <c r="DL1363" s="73"/>
      <c r="DM1363" s="73"/>
    </row>
    <row r="1364" spans="1:117" s="48" customFormat="1">
      <c r="A1364" s="73"/>
      <c r="T1364" s="73"/>
      <c r="U1364" s="73"/>
      <c r="V1364" s="73"/>
      <c r="W1364" s="73"/>
      <c r="X1364" s="73"/>
      <c r="Y1364" s="73"/>
      <c r="Z1364" s="73"/>
      <c r="AA1364" s="73"/>
      <c r="AB1364" s="73"/>
      <c r="AC1364" s="73"/>
      <c r="AD1364" s="73"/>
      <c r="AE1364" s="73"/>
      <c r="AF1364" s="73"/>
      <c r="AG1364" s="73"/>
      <c r="AH1364" s="73"/>
      <c r="AI1364" s="73"/>
      <c r="AJ1364" s="73"/>
      <c r="AK1364" s="73"/>
      <c r="AL1364" s="73"/>
      <c r="AM1364" s="73"/>
      <c r="AN1364" s="73"/>
      <c r="AO1364" s="73"/>
      <c r="AP1364" s="73"/>
      <c r="AQ1364" s="73"/>
      <c r="AR1364" s="73"/>
      <c r="AS1364" s="73"/>
      <c r="AT1364" s="73"/>
      <c r="AU1364" s="73"/>
      <c r="AV1364" s="73"/>
      <c r="AW1364" s="73"/>
      <c r="AX1364" s="73"/>
      <c r="AY1364" s="73"/>
      <c r="AZ1364" s="73"/>
      <c r="BA1364" s="73"/>
      <c r="BB1364" s="73"/>
      <c r="BC1364" s="73"/>
      <c r="BD1364" s="73"/>
      <c r="BE1364" s="73"/>
      <c r="BF1364" s="73"/>
      <c r="BG1364" s="73"/>
      <c r="BH1364" s="73"/>
      <c r="BI1364" s="73"/>
      <c r="BJ1364" s="73"/>
      <c r="BK1364" s="73"/>
      <c r="BL1364" s="73"/>
      <c r="BM1364" s="73"/>
      <c r="BN1364" s="73"/>
      <c r="BO1364" s="73"/>
      <c r="BP1364" s="73"/>
      <c r="BQ1364" s="73"/>
      <c r="BR1364" s="73"/>
      <c r="BS1364" s="73"/>
      <c r="BT1364" s="73"/>
      <c r="BU1364" s="73"/>
      <c r="BV1364" s="73"/>
      <c r="BW1364" s="73"/>
      <c r="BX1364" s="73"/>
      <c r="BY1364" s="73"/>
      <c r="BZ1364" s="73"/>
      <c r="CA1364" s="73"/>
      <c r="CB1364" s="73"/>
      <c r="CC1364" s="73"/>
      <c r="CD1364" s="73"/>
      <c r="CE1364" s="73"/>
      <c r="CF1364" s="73"/>
      <c r="CG1364" s="73"/>
      <c r="CH1364" s="73"/>
      <c r="CI1364" s="73"/>
      <c r="CJ1364" s="73"/>
      <c r="CK1364" s="73"/>
      <c r="CL1364" s="73"/>
      <c r="CM1364" s="73"/>
      <c r="CN1364" s="73"/>
      <c r="CO1364" s="73"/>
      <c r="CP1364" s="73"/>
      <c r="CQ1364" s="73"/>
      <c r="CR1364" s="73"/>
      <c r="CS1364" s="73"/>
      <c r="CT1364" s="73"/>
      <c r="CU1364" s="73"/>
      <c r="CV1364" s="73"/>
      <c r="CW1364" s="73"/>
      <c r="CX1364" s="73"/>
      <c r="CY1364" s="73"/>
      <c r="CZ1364" s="73"/>
      <c r="DA1364" s="73"/>
      <c r="DB1364" s="73"/>
      <c r="DC1364" s="73"/>
      <c r="DD1364" s="73"/>
      <c r="DE1364" s="73"/>
      <c r="DF1364" s="73"/>
      <c r="DG1364" s="73"/>
      <c r="DH1364" s="73"/>
      <c r="DI1364" s="73"/>
      <c r="DJ1364" s="73"/>
      <c r="DK1364" s="73"/>
      <c r="DL1364" s="73"/>
      <c r="DM1364" s="73"/>
    </row>
    <row r="1365" spans="1:117" s="48" customFormat="1">
      <c r="A1365" s="73"/>
      <c r="T1365" s="73"/>
      <c r="U1365" s="73"/>
      <c r="V1365" s="73"/>
      <c r="W1365" s="73"/>
      <c r="X1365" s="73"/>
      <c r="Y1365" s="73"/>
      <c r="Z1365" s="73"/>
      <c r="AA1365" s="73"/>
      <c r="AB1365" s="73"/>
      <c r="AC1365" s="73"/>
      <c r="AD1365" s="73"/>
      <c r="AE1365" s="73"/>
      <c r="AF1365" s="73"/>
      <c r="AG1365" s="73"/>
      <c r="AH1365" s="73"/>
      <c r="AI1365" s="73"/>
      <c r="AJ1365" s="73"/>
      <c r="AK1365" s="73"/>
      <c r="AL1365" s="73"/>
      <c r="AM1365" s="73"/>
      <c r="AN1365" s="73"/>
      <c r="AO1365" s="73"/>
      <c r="AP1365" s="73"/>
      <c r="AQ1365" s="73"/>
      <c r="AR1365" s="73"/>
      <c r="AS1365" s="73"/>
      <c r="AT1365" s="73"/>
      <c r="AU1365" s="73"/>
      <c r="AV1365" s="73"/>
      <c r="AW1365" s="73"/>
      <c r="AX1365" s="73"/>
      <c r="AY1365" s="73"/>
      <c r="AZ1365" s="73"/>
      <c r="BA1365" s="73"/>
      <c r="BB1365" s="73"/>
      <c r="BC1365" s="73"/>
      <c r="BD1365" s="73"/>
      <c r="BE1365" s="73"/>
      <c r="BF1365" s="73"/>
      <c r="BG1365" s="73"/>
      <c r="BH1365" s="73"/>
      <c r="BI1365" s="73"/>
      <c r="BJ1365" s="73"/>
      <c r="BK1365" s="73"/>
      <c r="BL1365" s="73"/>
      <c r="BM1365" s="73"/>
      <c r="BN1365" s="73"/>
      <c r="BO1365" s="73"/>
      <c r="BP1365" s="73"/>
      <c r="BQ1365" s="73"/>
      <c r="BR1365" s="73"/>
      <c r="BS1365" s="73"/>
      <c r="BT1365" s="73"/>
      <c r="BU1365" s="73"/>
      <c r="BV1365" s="73"/>
      <c r="BW1365" s="73"/>
      <c r="BX1365" s="73"/>
      <c r="BY1365" s="73"/>
      <c r="BZ1365" s="73"/>
      <c r="CA1365" s="73"/>
      <c r="CB1365" s="73"/>
      <c r="CC1365" s="73"/>
      <c r="CD1365" s="73"/>
      <c r="CE1365" s="73"/>
      <c r="CF1365" s="73"/>
      <c r="CG1365" s="73"/>
      <c r="CH1365" s="73"/>
      <c r="CI1365" s="73"/>
      <c r="CJ1365" s="73"/>
      <c r="CK1365" s="73"/>
      <c r="CL1365" s="73"/>
      <c r="CM1365" s="73"/>
      <c r="CN1365" s="73"/>
      <c r="CO1365" s="73"/>
      <c r="CP1365" s="73"/>
      <c r="CQ1365" s="73"/>
      <c r="CR1365" s="73"/>
      <c r="CS1365" s="73"/>
      <c r="CT1365" s="73"/>
      <c r="CU1365" s="73"/>
      <c r="CV1365" s="73"/>
      <c r="CW1365" s="73"/>
      <c r="CX1365" s="73"/>
      <c r="CY1365" s="73"/>
      <c r="CZ1365" s="73"/>
      <c r="DA1365" s="73"/>
      <c r="DB1365" s="73"/>
      <c r="DC1365" s="73"/>
      <c r="DD1365" s="73"/>
      <c r="DE1365" s="73"/>
      <c r="DF1365" s="73"/>
      <c r="DG1365" s="73"/>
      <c r="DH1365" s="73"/>
      <c r="DI1365" s="73"/>
      <c r="DJ1365" s="73"/>
      <c r="DK1365" s="73"/>
      <c r="DL1365" s="73"/>
      <c r="DM1365" s="73"/>
    </row>
    <row r="1366" spans="1:117" s="48" customFormat="1">
      <c r="A1366" s="73"/>
      <c r="T1366" s="73"/>
      <c r="U1366" s="73"/>
      <c r="V1366" s="73"/>
      <c r="W1366" s="73"/>
      <c r="X1366" s="73"/>
      <c r="Y1366" s="73"/>
      <c r="Z1366" s="73"/>
      <c r="AA1366" s="73"/>
      <c r="AB1366" s="73"/>
      <c r="AC1366" s="73"/>
      <c r="AD1366" s="73"/>
      <c r="AE1366" s="73"/>
      <c r="AF1366" s="73"/>
      <c r="AG1366" s="73"/>
      <c r="AH1366" s="73"/>
      <c r="AI1366" s="73"/>
      <c r="AJ1366" s="73"/>
      <c r="AK1366" s="73"/>
      <c r="AL1366" s="73"/>
      <c r="AM1366" s="73"/>
      <c r="AN1366" s="73"/>
      <c r="AO1366" s="73"/>
      <c r="AP1366" s="73"/>
      <c r="AQ1366" s="73"/>
      <c r="AR1366" s="73"/>
      <c r="AS1366" s="73"/>
      <c r="AT1366" s="73"/>
      <c r="AU1366" s="73"/>
      <c r="AV1366" s="73"/>
      <c r="AW1366" s="73"/>
      <c r="AX1366" s="73"/>
      <c r="AY1366" s="73"/>
      <c r="AZ1366" s="73"/>
      <c r="BA1366" s="73"/>
      <c r="BB1366" s="73"/>
      <c r="BC1366" s="73"/>
      <c r="BD1366" s="73"/>
      <c r="BE1366" s="73"/>
      <c r="BF1366" s="73"/>
      <c r="BG1366" s="73"/>
      <c r="BH1366" s="73"/>
      <c r="BI1366" s="73"/>
      <c r="BJ1366" s="73"/>
      <c r="BK1366" s="73"/>
      <c r="BL1366" s="73"/>
      <c r="BM1366" s="73"/>
      <c r="BN1366" s="73"/>
      <c r="BO1366" s="73"/>
      <c r="BP1366" s="73"/>
      <c r="BQ1366" s="73"/>
      <c r="BR1366" s="73"/>
      <c r="BS1366" s="73"/>
      <c r="BT1366" s="73"/>
      <c r="BU1366" s="73"/>
      <c r="BV1366" s="73"/>
      <c r="BW1366" s="73"/>
      <c r="BX1366" s="73"/>
      <c r="BY1366" s="73"/>
      <c r="BZ1366" s="73"/>
      <c r="CA1366" s="73"/>
      <c r="CB1366" s="73"/>
      <c r="CC1366" s="73"/>
      <c r="CD1366" s="73"/>
      <c r="CE1366" s="73"/>
      <c r="CF1366" s="73"/>
      <c r="CG1366" s="73"/>
      <c r="CH1366" s="73"/>
      <c r="CI1366" s="73"/>
      <c r="CJ1366" s="73"/>
      <c r="CK1366" s="73"/>
      <c r="CL1366" s="73"/>
      <c r="CM1366" s="73"/>
      <c r="CN1366" s="73"/>
      <c r="CO1366" s="73"/>
      <c r="CP1366" s="73"/>
      <c r="CQ1366" s="73"/>
      <c r="CR1366" s="73"/>
      <c r="CS1366" s="73"/>
      <c r="CT1366" s="73"/>
      <c r="CU1366" s="73"/>
      <c r="CV1366" s="73"/>
      <c r="CW1366" s="73"/>
      <c r="CX1366" s="73"/>
      <c r="CY1366" s="73"/>
      <c r="CZ1366" s="73"/>
      <c r="DA1366" s="73"/>
      <c r="DB1366" s="73"/>
      <c r="DC1366" s="73"/>
      <c r="DD1366" s="73"/>
      <c r="DE1366" s="73"/>
      <c r="DF1366" s="73"/>
      <c r="DG1366" s="73"/>
      <c r="DH1366" s="73"/>
      <c r="DI1366" s="73"/>
      <c r="DJ1366" s="73"/>
      <c r="DK1366" s="73"/>
      <c r="DL1366" s="73"/>
      <c r="DM1366" s="73"/>
    </row>
    <row r="1367" spans="1:117" s="48" customFormat="1">
      <c r="A1367" s="73"/>
      <c r="T1367" s="73"/>
      <c r="U1367" s="73"/>
      <c r="V1367" s="73"/>
      <c r="W1367" s="73"/>
      <c r="X1367" s="73"/>
      <c r="Y1367" s="73"/>
      <c r="Z1367" s="73"/>
      <c r="AA1367" s="73"/>
      <c r="AB1367" s="73"/>
      <c r="AC1367" s="73"/>
      <c r="AD1367" s="73"/>
      <c r="AE1367" s="73"/>
      <c r="AF1367" s="73"/>
      <c r="AG1367" s="73"/>
      <c r="AH1367" s="73"/>
      <c r="AI1367" s="73"/>
      <c r="AJ1367" s="73"/>
      <c r="AK1367" s="73"/>
      <c r="AL1367" s="73"/>
      <c r="AM1367" s="73"/>
      <c r="AN1367" s="73"/>
      <c r="AO1367" s="73"/>
      <c r="AP1367" s="73"/>
      <c r="AQ1367" s="73"/>
      <c r="AR1367" s="73"/>
      <c r="AS1367" s="73"/>
      <c r="AT1367" s="73"/>
      <c r="AU1367" s="73"/>
      <c r="AV1367" s="73"/>
      <c r="AW1367" s="73"/>
      <c r="AX1367" s="73"/>
      <c r="AY1367" s="73"/>
      <c r="AZ1367" s="73"/>
      <c r="BA1367" s="73"/>
      <c r="BB1367" s="73"/>
      <c r="BC1367" s="73"/>
      <c r="BD1367" s="73"/>
      <c r="BE1367" s="73"/>
      <c r="BF1367" s="73"/>
      <c r="BG1367" s="73"/>
      <c r="BH1367" s="73"/>
      <c r="BI1367" s="73"/>
      <c r="BJ1367" s="73"/>
      <c r="BK1367" s="73"/>
      <c r="BL1367" s="73"/>
      <c r="BM1367" s="73"/>
      <c r="BN1367" s="73"/>
      <c r="BO1367" s="73"/>
      <c r="BP1367" s="73"/>
      <c r="BQ1367" s="73"/>
      <c r="BR1367" s="73"/>
      <c r="BS1367" s="73"/>
      <c r="BT1367" s="73"/>
      <c r="BU1367" s="73"/>
      <c r="BV1367" s="73"/>
      <c r="BW1367" s="73"/>
      <c r="BX1367" s="73"/>
      <c r="BY1367" s="73"/>
      <c r="BZ1367" s="73"/>
      <c r="CA1367" s="73"/>
      <c r="CB1367" s="73"/>
      <c r="CC1367" s="73"/>
      <c r="CD1367" s="73"/>
      <c r="CE1367" s="73"/>
      <c r="CF1367" s="73"/>
      <c r="CG1367" s="73"/>
      <c r="CH1367" s="73"/>
      <c r="CI1367" s="73"/>
      <c r="CJ1367" s="73"/>
      <c r="CK1367" s="73"/>
      <c r="CL1367" s="73"/>
      <c r="CM1367" s="73"/>
      <c r="CN1367" s="73"/>
      <c r="CO1367" s="73"/>
      <c r="CP1367" s="73"/>
      <c r="CQ1367" s="73"/>
      <c r="CR1367" s="73"/>
      <c r="CS1367" s="73"/>
      <c r="CT1367" s="73"/>
      <c r="CU1367" s="73"/>
      <c r="CV1367" s="73"/>
      <c r="CW1367" s="73"/>
      <c r="CX1367" s="73"/>
      <c r="CY1367" s="73"/>
      <c r="CZ1367" s="73"/>
      <c r="DA1367" s="73"/>
      <c r="DB1367" s="73"/>
      <c r="DC1367" s="73"/>
      <c r="DD1367" s="73"/>
      <c r="DE1367" s="73"/>
      <c r="DF1367" s="73"/>
      <c r="DG1367" s="73"/>
      <c r="DH1367" s="73"/>
      <c r="DI1367" s="73"/>
      <c r="DJ1367" s="73"/>
      <c r="DK1367" s="73"/>
      <c r="DL1367" s="73"/>
      <c r="DM1367" s="73"/>
    </row>
    <row r="1368" spans="1:117" s="48" customFormat="1">
      <c r="A1368" s="73"/>
      <c r="T1368" s="73"/>
      <c r="U1368" s="73"/>
      <c r="V1368" s="73"/>
      <c r="W1368" s="73"/>
      <c r="X1368" s="73"/>
      <c r="Y1368" s="73"/>
      <c r="Z1368" s="73"/>
      <c r="AA1368" s="73"/>
      <c r="AB1368" s="73"/>
      <c r="AC1368" s="73"/>
      <c r="AD1368" s="73"/>
      <c r="AE1368" s="73"/>
      <c r="AF1368" s="73"/>
      <c r="AG1368" s="73"/>
      <c r="AH1368" s="73"/>
      <c r="AI1368" s="73"/>
      <c r="AJ1368" s="73"/>
      <c r="AK1368" s="73"/>
      <c r="AL1368" s="73"/>
      <c r="AM1368" s="73"/>
      <c r="AN1368" s="73"/>
      <c r="AO1368" s="73"/>
      <c r="AP1368" s="73"/>
      <c r="AQ1368" s="73"/>
      <c r="AR1368" s="73"/>
      <c r="AS1368" s="73"/>
      <c r="AT1368" s="73"/>
      <c r="AU1368" s="73"/>
      <c r="AV1368" s="73"/>
      <c r="AW1368" s="73"/>
      <c r="AX1368" s="73"/>
      <c r="AY1368" s="73"/>
      <c r="AZ1368" s="73"/>
      <c r="BA1368" s="73"/>
      <c r="BB1368" s="73"/>
      <c r="BC1368" s="73"/>
      <c r="BD1368" s="73"/>
      <c r="BE1368" s="73"/>
      <c r="BF1368" s="73"/>
      <c r="BG1368" s="73"/>
      <c r="BH1368" s="73"/>
      <c r="BI1368" s="73"/>
      <c r="BJ1368" s="73"/>
      <c r="BK1368" s="73"/>
      <c r="BL1368" s="73"/>
      <c r="BM1368" s="73"/>
      <c r="BN1368" s="73"/>
      <c r="BO1368" s="73"/>
      <c r="BP1368" s="73"/>
      <c r="BQ1368" s="73"/>
      <c r="BR1368" s="73"/>
      <c r="BS1368" s="73"/>
      <c r="BT1368" s="73"/>
      <c r="BU1368" s="73"/>
      <c r="BV1368" s="73"/>
      <c r="BW1368" s="73"/>
      <c r="BX1368" s="73"/>
      <c r="BY1368" s="73"/>
      <c r="BZ1368" s="73"/>
      <c r="CA1368" s="73"/>
      <c r="CB1368" s="73"/>
      <c r="CC1368" s="73"/>
      <c r="CD1368" s="73"/>
      <c r="CE1368" s="73"/>
      <c r="CF1368" s="73"/>
      <c r="CG1368" s="73"/>
      <c r="CH1368" s="73"/>
      <c r="CI1368" s="73"/>
      <c r="CJ1368" s="73"/>
      <c r="CK1368" s="73"/>
      <c r="CL1368" s="73"/>
      <c r="CM1368" s="73"/>
      <c r="CN1368" s="73"/>
      <c r="CO1368" s="73"/>
      <c r="CP1368" s="73"/>
      <c r="CQ1368" s="73"/>
      <c r="CR1368" s="73"/>
      <c r="CS1368" s="73"/>
      <c r="CT1368" s="73"/>
      <c r="CU1368" s="73"/>
      <c r="CV1368" s="73"/>
      <c r="CW1368" s="73"/>
      <c r="CX1368" s="73"/>
      <c r="CY1368" s="73"/>
      <c r="CZ1368" s="73"/>
      <c r="DA1368" s="73"/>
      <c r="DB1368" s="73"/>
      <c r="DC1368" s="73"/>
      <c r="DD1368" s="73"/>
      <c r="DE1368" s="73"/>
      <c r="DF1368" s="73"/>
      <c r="DG1368" s="73"/>
      <c r="DH1368" s="73"/>
      <c r="DI1368" s="73"/>
      <c r="DJ1368" s="73"/>
      <c r="DK1368" s="73"/>
      <c r="DL1368" s="73"/>
      <c r="DM1368" s="73"/>
    </row>
    <row r="1369" spans="1:117" s="48" customFormat="1">
      <c r="A1369" s="73"/>
      <c r="T1369" s="73"/>
      <c r="U1369" s="73"/>
      <c r="V1369" s="73"/>
      <c r="W1369" s="73"/>
      <c r="X1369" s="73"/>
      <c r="Y1369" s="73"/>
      <c r="Z1369" s="73"/>
      <c r="AA1369" s="73"/>
      <c r="AB1369" s="73"/>
      <c r="AC1369" s="73"/>
      <c r="AD1369" s="73"/>
      <c r="AE1369" s="73"/>
      <c r="AF1369" s="73"/>
      <c r="AG1369" s="73"/>
      <c r="AH1369" s="73"/>
      <c r="AI1369" s="73"/>
      <c r="AJ1369" s="73"/>
      <c r="AK1369" s="73"/>
      <c r="AL1369" s="73"/>
      <c r="AM1369" s="73"/>
      <c r="AN1369" s="73"/>
      <c r="AO1369" s="73"/>
      <c r="AP1369" s="73"/>
      <c r="AQ1369" s="73"/>
      <c r="AR1369" s="73"/>
      <c r="AS1369" s="73"/>
      <c r="AT1369" s="73"/>
      <c r="AU1369" s="73"/>
      <c r="AV1369" s="73"/>
      <c r="AW1369" s="73"/>
      <c r="AX1369" s="73"/>
      <c r="AY1369" s="73"/>
      <c r="AZ1369" s="73"/>
      <c r="BA1369" s="73"/>
      <c r="BB1369" s="73"/>
      <c r="BC1369" s="73"/>
      <c r="BD1369" s="73"/>
      <c r="BE1369" s="73"/>
      <c r="BF1369" s="73"/>
      <c r="BG1369" s="73"/>
      <c r="BH1369" s="73"/>
      <c r="BI1369" s="73"/>
      <c r="BJ1369" s="73"/>
      <c r="BK1369" s="73"/>
      <c r="BL1369" s="73"/>
      <c r="BM1369" s="73"/>
      <c r="BN1369" s="73"/>
      <c r="BO1369" s="73"/>
      <c r="BP1369" s="73"/>
      <c r="BQ1369" s="73"/>
      <c r="BR1369" s="73"/>
      <c r="BS1369" s="73"/>
      <c r="BT1369" s="73"/>
      <c r="BU1369" s="73"/>
      <c r="BV1369" s="73"/>
      <c r="BW1369" s="73"/>
      <c r="BX1369" s="73"/>
      <c r="BY1369" s="73"/>
      <c r="BZ1369" s="73"/>
      <c r="CA1369" s="73"/>
      <c r="CB1369" s="73"/>
      <c r="CC1369" s="73"/>
      <c r="CD1369" s="73"/>
      <c r="CE1369" s="73"/>
      <c r="CF1369" s="73"/>
      <c r="CG1369" s="73"/>
      <c r="CH1369" s="73"/>
      <c r="CI1369" s="73"/>
      <c r="CJ1369" s="73"/>
      <c r="CK1369" s="73"/>
      <c r="CL1369" s="73"/>
      <c r="CM1369" s="73"/>
      <c r="CN1369" s="73"/>
      <c r="CO1369" s="73"/>
      <c r="CP1369" s="73"/>
      <c r="CQ1369" s="73"/>
      <c r="CR1369" s="73"/>
      <c r="CS1369" s="73"/>
      <c r="CT1369" s="73"/>
      <c r="CU1369" s="73"/>
      <c r="CV1369" s="73"/>
      <c r="CW1369" s="73"/>
      <c r="CX1369" s="73"/>
      <c r="CY1369" s="73"/>
      <c r="CZ1369" s="73"/>
      <c r="DA1369" s="73"/>
      <c r="DB1369" s="73"/>
      <c r="DC1369" s="73"/>
      <c r="DD1369" s="73"/>
      <c r="DE1369" s="73"/>
      <c r="DF1369" s="73"/>
      <c r="DG1369" s="73"/>
      <c r="DH1369" s="73"/>
      <c r="DI1369" s="73"/>
      <c r="DJ1369" s="73"/>
      <c r="DK1369" s="73"/>
      <c r="DL1369" s="73"/>
      <c r="DM1369" s="73"/>
    </row>
    <row r="1370" spans="1:117" s="48" customFormat="1">
      <c r="A1370" s="73"/>
      <c r="T1370" s="73"/>
      <c r="U1370" s="73"/>
      <c r="V1370" s="73"/>
      <c r="W1370" s="73"/>
      <c r="X1370" s="73"/>
      <c r="Y1370" s="73"/>
      <c r="Z1370" s="73"/>
      <c r="AA1370" s="73"/>
      <c r="AB1370" s="73"/>
      <c r="AC1370" s="73"/>
      <c r="AD1370" s="73"/>
      <c r="AE1370" s="73"/>
      <c r="AF1370" s="73"/>
      <c r="AG1370" s="73"/>
      <c r="AH1370" s="73"/>
      <c r="AI1370" s="73"/>
      <c r="AJ1370" s="73"/>
      <c r="AK1370" s="73"/>
      <c r="AL1370" s="73"/>
      <c r="AM1370" s="73"/>
      <c r="AN1370" s="73"/>
      <c r="AO1370" s="73"/>
      <c r="AP1370" s="73"/>
      <c r="AQ1370" s="73"/>
      <c r="AR1370" s="73"/>
      <c r="AS1370" s="73"/>
      <c r="AT1370" s="73"/>
      <c r="AU1370" s="73"/>
      <c r="AV1370" s="73"/>
      <c r="AW1370" s="73"/>
      <c r="AX1370" s="73"/>
      <c r="AY1370" s="73"/>
      <c r="AZ1370" s="73"/>
      <c r="BA1370" s="73"/>
      <c r="BB1370" s="73"/>
      <c r="BC1370" s="73"/>
      <c r="BD1370" s="73"/>
      <c r="BE1370" s="73"/>
      <c r="BF1370" s="73"/>
      <c r="BG1370" s="73"/>
      <c r="BH1370" s="73"/>
      <c r="BI1370" s="73"/>
      <c r="BJ1370" s="73"/>
      <c r="BK1370" s="73"/>
      <c r="BL1370" s="73"/>
      <c r="BM1370" s="73"/>
      <c r="BN1370" s="73"/>
      <c r="BO1370" s="73"/>
      <c r="BP1370" s="73"/>
      <c r="BQ1370" s="73"/>
      <c r="BR1370" s="73"/>
      <c r="BS1370" s="73"/>
      <c r="BT1370" s="73"/>
      <c r="BU1370" s="73"/>
      <c r="BV1370" s="73"/>
      <c r="BW1370" s="73"/>
      <c r="BX1370" s="73"/>
      <c r="BY1370" s="73"/>
      <c r="BZ1370" s="73"/>
      <c r="CA1370" s="73"/>
      <c r="CB1370" s="73"/>
      <c r="CC1370" s="73"/>
      <c r="CD1370" s="73"/>
      <c r="CE1370" s="73"/>
      <c r="CF1370" s="73"/>
      <c r="CG1370" s="73"/>
      <c r="CH1370" s="73"/>
      <c r="CI1370" s="73"/>
      <c r="CJ1370" s="73"/>
      <c r="CK1370" s="73"/>
      <c r="CL1370" s="73"/>
      <c r="CM1370" s="73"/>
      <c r="CN1370" s="73"/>
      <c r="CO1370" s="73"/>
      <c r="CP1370" s="73"/>
      <c r="CQ1370" s="73"/>
      <c r="CR1370" s="73"/>
      <c r="CS1370" s="73"/>
      <c r="CT1370" s="73"/>
      <c r="CU1370" s="73"/>
      <c r="CV1370" s="73"/>
      <c r="CW1370" s="73"/>
      <c r="CX1370" s="73"/>
      <c r="CY1370" s="73"/>
      <c r="CZ1370" s="73"/>
      <c r="DA1370" s="73"/>
      <c r="DB1370" s="73"/>
      <c r="DC1370" s="73"/>
      <c r="DD1370" s="73"/>
      <c r="DE1370" s="73"/>
      <c r="DF1370" s="73"/>
      <c r="DG1370" s="73"/>
      <c r="DH1370" s="73"/>
      <c r="DI1370" s="73"/>
      <c r="DJ1370" s="73"/>
      <c r="DK1370" s="73"/>
      <c r="DL1370" s="73"/>
      <c r="DM1370" s="73"/>
    </row>
    <row r="1371" spans="1:117" s="48" customFormat="1">
      <c r="A1371" s="73"/>
      <c r="T1371" s="73"/>
      <c r="U1371" s="73"/>
      <c r="V1371" s="73"/>
      <c r="W1371" s="73"/>
      <c r="X1371" s="73"/>
      <c r="Y1371" s="73"/>
      <c r="Z1371" s="73"/>
      <c r="AA1371" s="73"/>
      <c r="AB1371" s="73"/>
      <c r="AC1371" s="73"/>
      <c r="AD1371" s="73"/>
      <c r="AE1371" s="73"/>
      <c r="AF1371" s="73"/>
      <c r="AG1371" s="73"/>
      <c r="AH1371" s="73"/>
      <c r="AI1371" s="73"/>
      <c r="AJ1371" s="73"/>
      <c r="AK1371" s="73"/>
      <c r="AL1371" s="73"/>
      <c r="AM1371" s="73"/>
      <c r="AN1371" s="73"/>
      <c r="AO1371" s="73"/>
      <c r="AP1371" s="73"/>
      <c r="AQ1371" s="73"/>
      <c r="AR1371" s="73"/>
      <c r="AS1371" s="73"/>
      <c r="AT1371" s="73"/>
      <c r="AU1371" s="73"/>
      <c r="AV1371" s="73"/>
      <c r="AW1371" s="73"/>
      <c r="AX1371" s="73"/>
      <c r="AY1371" s="73"/>
      <c r="AZ1371" s="73"/>
      <c r="BA1371" s="73"/>
      <c r="BB1371" s="73"/>
      <c r="BC1371" s="73"/>
      <c r="BD1371" s="73"/>
      <c r="BE1371" s="73"/>
      <c r="BF1371" s="73"/>
      <c r="BG1371" s="73"/>
      <c r="BH1371" s="73"/>
      <c r="BI1371" s="73"/>
      <c r="BJ1371" s="73"/>
      <c r="BK1371" s="73"/>
      <c r="BL1371" s="73"/>
      <c r="BM1371" s="73"/>
      <c r="BN1371" s="73"/>
      <c r="BO1371" s="73"/>
      <c r="BP1371" s="73"/>
      <c r="BQ1371" s="73"/>
      <c r="BR1371" s="73"/>
      <c r="BS1371" s="73"/>
      <c r="BT1371" s="73"/>
      <c r="BU1371" s="73"/>
      <c r="BV1371" s="73"/>
      <c r="BW1371" s="73"/>
      <c r="BX1371" s="73"/>
      <c r="BY1371" s="73"/>
      <c r="BZ1371" s="73"/>
      <c r="CA1371" s="73"/>
      <c r="CB1371" s="73"/>
      <c r="CC1371" s="73"/>
      <c r="CD1371" s="73"/>
      <c r="CE1371" s="73"/>
      <c r="CF1371" s="73"/>
      <c r="CG1371" s="73"/>
      <c r="CH1371" s="73"/>
      <c r="CI1371" s="73"/>
      <c r="CJ1371" s="73"/>
      <c r="CK1371" s="73"/>
      <c r="CL1371" s="73"/>
      <c r="CM1371" s="73"/>
      <c r="CN1371" s="73"/>
      <c r="CO1371" s="73"/>
      <c r="CP1371" s="73"/>
      <c r="CQ1371" s="73"/>
      <c r="CR1371" s="73"/>
      <c r="CS1371" s="73"/>
      <c r="CT1371" s="73"/>
      <c r="CU1371" s="73"/>
      <c r="CV1371" s="73"/>
      <c r="CW1371" s="73"/>
      <c r="CX1371" s="73"/>
      <c r="CY1371" s="73"/>
      <c r="CZ1371" s="73"/>
      <c r="DA1371" s="73"/>
      <c r="DB1371" s="73"/>
      <c r="DC1371" s="73"/>
      <c r="DD1371" s="73"/>
      <c r="DE1371" s="73"/>
      <c r="DF1371" s="73"/>
      <c r="DG1371" s="73"/>
      <c r="DH1371" s="73"/>
      <c r="DI1371" s="73"/>
      <c r="DJ1371" s="73"/>
      <c r="DK1371" s="73"/>
      <c r="DL1371" s="73"/>
      <c r="DM1371" s="73"/>
    </row>
    <row r="1372" spans="1:117" s="48" customFormat="1">
      <c r="A1372" s="73"/>
      <c r="T1372" s="73"/>
      <c r="U1372" s="73"/>
      <c r="V1372" s="73"/>
      <c r="W1372" s="73"/>
      <c r="X1372" s="73"/>
      <c r="Y1372" s="73"/>
      <c r="Z1372" s="73"/>
      <c r="AA1372" s="73"/>
      <c r="AB1372" s="73"/>
      <c r="AC1372" s="73"/>
      <c r="AD1372" s="73"/>
      <c r="AE1372" s="73"/>
      <c r="AF1372" s="73"/>
      <c r="AG1372" s="73"/>
      <c r="AH1372" s="73"/>
      <c r="AI1372" s="73"/>
      <c r="AJ1372" s="73"/>
      <c r="AK1372" s="73"/>
      <c r="AL1372" s="73"/>
      <c r="AM1372" s="73"/>
      <c r="AN1372" s="73"/>
      <c r="AO1372" s="73"/>
      <c r="AP1372" s="73"/>
      <c r="AQ1372" s="73"/>
      <c r="AR1372" s="73"/>
      <c r="AS1372" s="73"/>
      <c r="AT1372" s="73"/>
      <c r="AU1372" s="73"/>
      <c r="AV1372" s="73"/>
      <c r="AW1372" s="73"/>
      <c r="AX1372" s="73"/>
      <c r="AY1372" s="73"/>
      <c r="AZ1372" s="73"/>
      <c r="BA1372" s="73"/>
      <c r="BB1372" s="73"/>
      <c r="BC1372" s="73"/>
      <c r="BD1372" s="73"/>
      <c r="BE1372" s="73"/>
      <c r="BF1372" s="73"/>
      <c r="BG1372" s="73"/>
      <c r="BH1372" s="73"/>
      <c r="BI1372" s="73"/>
      <c r="BJ1372" s="73"/>
      <c r="BK1372" s="73"/>
      <c r="BL1372" s="73"/>
      <c r="BM1372" s="73"/>
      <c r="BN1372" s="73"/>
      <c r="BO1372" s="73"/>
      <c r="BP1372" s="73"/>
      <c r="BQ1372" s="73"/>
      <c r="BR1372" s="73"/>
      <c r="BS1372" s="73"/>
      <c r="BT1372" s="73"/>
      <c r="BU1372" s="73"/>
      <c r="BV1372" s="73"/>
      <c r="BW1372" s="73"/>
      <c r="BX1372" s="73"/>
      <c r="BY1372" s="73"/>
      <c r="BZ1372" s="73"/>
      <c r="CA1372" s="73"/>
      <c r="CB1372" s="73"/>
      <c r="CC1372" s="73"/>
      <c r="CD1372" s="73"/>
      <c r="CE1372" s="73"/>
      <c r="CF1372" s="73"/>
      <c r="CG1372" s="73"/>
      <c r="CH1372" s="73"/>
      <c r="CI1372" s="73"/>
      <c r="CJ1372" s="73"/>
      <c r="CK1372" s="73"/>
      <c r="CL1372" s="73"/>
      <c r="CM1372" s="73"/>
      <c r="CN1372" s="73"/>
      <c r="CO1372" s="73"/>
      <c r="CP1372" s="73"/>
      <c r="CQ1372" s="73"/>
      <c r="CR1372" s="73"/>
      <c r="CS1372" s="73"/>
      <c r="CT1372" s="73"/>
      <c r="CU1372" s="73"/>
      <c r="CV1372" s="73"/>
      <c r="CW1372" s="73"/>
      <c r="CX1372" s="73"/>
      <c r="CY1372" s="73"/>
      <c r="CZ1372" s="73"/>
      <c r="DA1372" s="73"/>
      <c r="DB1372" s="73"/>
      <c r="DC1372" s="73"/>
      <c r="DD1372" s="73"/>
      <c r="DE1372" s="73"/>
      <c r="DF1372" s="73"/>
      <c r="DG1372" s="73"/>
      <c r="DH1372" s="73"/>
      <c r="DI1372" s="73"/>
      <c r="DJ1372" s="73"/>
      <c r="DK1372" s="73"/>
      <c r="DL1372" s="73"/>
      <c r="DM1372" s="73"/>
    </row>
    <row r="1373" spans="1:117" s="48" customFormat="1">
      <c r="A1373" s="73"/>
      <c r="T1373" s="73"/>
      <c r="U1373" s="73"/>
      <c r="V1373" s="73"/>
      <c r="W1373" s="73"/>
      <c r="X1373" s="73"/>
      <c r="Y1373" s="73"/>
      <c r="Z1373" s="73"/>
      <c r="AA1373" s="73"/>
      <c r="AB1373" s="73"/>
      <c r="AC1373" s="73"/>
      <c r="AD1373" s="73"/>
      <c r="AE1373" s="73"/>
      <c r="AF1373" s="73"/>
      <c r="AG1373" s="73"/>
      <c r="AH1373" s="73"/>
      <c r="AI1373" s="73"/>
      <c r="AJ1373" s="73"/>
      <c r="AK1373" s="73"/>
      <c r="AL1373" s="73"/>
      <c r="AM1373" s="73"/>
      <c r="AN1373" s="73"/>
      <c r="AO1373" s="73"/>
      <c r="AP1373" s="73"/>
      <c r="AQ1373" s="73"/>
      <c r="AR1373" s="73"/>
      <c r="AS1373" s="73"/>
      <c r="AT1373" s="73"/>
      <c r="AU1373" s="73"/>
      <c r="AV1373" s="73"/>
      <c r="AW1373" s="73"/>
      <c r="AX1373" s="73"/>
      <c r="AY1373" s="73"/>
      <c r="AZ1373" s="73"/>
      <c r="BA1373" s="73"/>
      <c r="BB1373" s="73"/>
      <c r="BC1373" s="73"/>
      <c r="BD1373" s="73"/>
      <c r="BE1373" s="73"/>
      <c r="BF1373" s="73"/>
      <c r="BG1373" s="73"/>
      <c r="BH1373" s="73"/>
      <c r="BI1373" s="73"/>
      <c r="BJ1373" s="73"/>
      <c r="BK1373" s="73"/>
      <c r="BL1373" s="73"/>
      <c r="BM1373" s="73"/>
      <c r="BN1373" s="73"/>
      <c r="BO1373" s="73"/>
      <c r="BP1373" s="73"/>
      <c r="BQ1373" s="73"/>
      <c r="BR1373" s="73"/>
      <c r="BS1373" s="73"/>
      <c r="BT1373" s="73"/>
      <c r="BU1373" s="73"/>
      <c r="BV1373" s="73"/>
      <c r="BW1373" s="73"/>
      <c r="BX1373" s="73"/>
      <c r="BY1373" s="73"/>
      <c r="BZ1373" s="73"/>
      <c r="CA1373" s="73"/>
      <c r="CB1373" s="73"/>
      <c r="CC1373" s="73"/>
      <c r="CD1373" s="73"/>
      <c r="CE1373" s="73"/>
      <c r="CF1373" s="73"/>
      <c r="CG1373" s="73"/>
      <c r="CH1373" s="73"/>
      <c r="CI1373" s="73"/>
      <c r="CJ1373" s="73"/>
      <c r="CK1373" s="73"/>
      <c r="CL1373" s="73"/>
      <c r="CM1373" s="73"/>
      <c r="CN1373" s="73"/>
      <c r="CO1373" s="73"/>
      <c r="CP1373" s="73"/>
      <c r="CQ1373" s="73"/>
      <c r="CR1373" s="73"/>
      <c r="CS1373" s="73"/>
      <c r="CT1373" s="73"/>
      <c r="CU1373" s="73"/>
      <c r="CV1373" s="73"/>
      <c r="CW1373" s="73"/>
      <c r="CX1373" s="73"/>
      <c r="CY1373" s="73"/>
      <c r="CZ1373" s="73"/>
      <c r="DA1373" s="73"/>
      <c r="DB1373" s="73"/>
      <c r="DC1373" s="73"/>
      <c r="DD1373" s="73"/>
      <c r="DE1373" s="73"/>
      <c r="DF1373" s="73"/>
      <c r="DG1373" s="73"/>
      <c r="DH1373" s="73"/>
      <c r="DI1373" s="73"/>
      <c r="DJ1373" s="73"/>
      <c r="DK1373" s="73"/>
      <c r="DL1373" s="73"/>
      <c r="DM1373" s="73"/>
    </row>
    <row r="1374" spans="1:117" s="48" customFormat="1">
      <c r="A1374" s="73"/>
      <c r="T1374" s="73"/>
      <c r="U1374" s="73"/>
      <c r="V1374" s="73"/>
      <c r="W1374" s="73"/>
      <c r="X1374" s="73"/>
      <c r="Y1374" s="73"/>
      <c r="Z1374" s="73"/>
      <c r="AA1374" s="73"/>
      <c r="AB1374" s="73"/>
      <c r="AC1374" s="73"/>
      <c r="AD1374" s="73"/>
      <c r="AE1374" s="73"/>
      <c r="AF1374" s="73"/>
      <c r="AG1374" s="73"/>
      <c r="AH1374" s="73"/>
      <c r="AI1374" s="73"/>
      <c r="AJ1374" s="73"/>
      <c r="AK1374" s="73"/>
      <c r="AL1374" s="73"/>
      <c r="AM1374" s="73"/>
      <c r="AN1374" s="73"/>
      <c r="AO1374" s="73"/>
      <c r="AP1374" s="73"/>
      <c r="AQ1374" s="73"/>
      <c r="AR1374" s="73"/>
      <c r="AS1374" s="73"/>
      <c r="AT1374" s="73"/>
      <c r="AU1374" s="73"/>
      <c r="AV1374" s="73"/>
      <c r="AW1374" s="73"/>
      <c r="AX1374" s="73"/>
      <c r="AY1374" s="73"/>
      <c r="AZ1374" s="73"/>
      <c r="BA1374" s="73"/>
      <c r="BB1374" s="73"/>
      <c r="BC1374" s="73"/>
      <c r="BD1374" s="73"/>
      <c r="BE1374" s="73"/>
      <c r="BF1374" s="73"/>
      <c r="BG1374" s="73"/>
      <c r="BH1374" s="73"/>
      <c r="BI1374" s="73"/>
      <c r="BJ1374" s="73"/>
      <c r="BK1374" s="73"/>
      <c r="BL1374" s="73"/>
      <c r="BM1374" s="73"/>
      <c r="BN1374" s="73"/>
      <c r="BO1374" s="73"/>
      <c r="BP1374" s="73"/>
      <c r="BQ1374" s="73"/>
      <c r="BR1374" s="73"/>
      <c r="BS1374" s="73"/>
      <c r="BT1374" s="73"/>
      <c r="BU1374" s="73"/>
      <c r="BV1374" s="73"/>
      <c r="BW1374" s="73"/>
      <c r="BX1374" s="73"/>
      <c r="BY1374" s="73"/>
      <c r="BZ1374" s="73"/>
      <c r="CA1374" s="73"/>
      <c r="CB1374" s="73"/>
      <c r="CC1374" s="73"/>
      <c r="CD1374" s="73"/>
      <c r="CE1374" s="73"/>
      <c r="CF1374" s="73"/>
      <c r="CG1374" s="73"/>
      <c r="CH1374" s="73"/>
      <c r="CI1374" s="73"/>
      <c r="CJ1374" s="73"/>
      <c r="CK1374" s="73"/>
      <c r="CL1374" s="73"/>
      <c r="CM1374" s="73"/>
      <c r="CN1374" s="73"/>
      <c r="CO1374" s="73"/>
      <c r="CP1374" s="73"/>
      <c r="CQ1374" s="73"/>
      <c r="CR1374" s="73"/>
      <c r="CS1374" s="73"/>
      <c r="CT1374" s="73"/>
      <c r="CU1374" s="73"/>
      <c r="CV1374" s="73"/>
      <c r="CW1374" s="73"/>
      <c r="CX1374" s="73"/>
      <c r="CY1374" s="73"/>
      <c r="CZ1374" s="73"/>
      <c r="DA1374" s="73"/>
      <c r="DB1374" s="73"/>
      <c r="DC1374" s="73"/>
      <c r="DD1374" s="73"/>
      <c r="DE1374" s="73"/>
      <c r="DF1374" s="73"/>
      <c r="DG1374" s="73"/>
      <c r="DH1374" s="73"/>
      <c r="DI1374" s="73"/>
      <c r="DJ1374" s="73"/>
      <c r="DK1374" s="73"/>
      <c r="DL1374" s="73"/>
      <c r="DM1374" s="73"/>
    </row>
    <row r="1375" spans="1:117" s="48" customFormat="1">
      <c r="A1375" s="73"/>
      <c r="T1375" s="73"/>
      <c r="U1375" s="73"/>
      <c r="V1375" s="73"/>
      <c r="W1375" s="73"/>
      <c r="X1375" s="73"/>
      <c r="Y1375" s="73"/>
      <c r="Z1375" s="73"/>
      <c r="AA1375" s="73"/>
      <c r="AB1375" s="73"/>
      <c r="AC1375" s="73"/>
      <c r="AD1375" s="73"/>
      <c r="AE1375" s="73"/>
      <c r="AF1375" s="73"/>
      <c r="AG1375" s="73"/>
      <c r="AH1375" s="73"/>
      <c r="AI1375" s="73"/>
      <c r="AJ1375" s="73"/>
      <c r="AK1375" s="73"/>
      <c r="AL1375" s="73"/>
      <c r="AM1375" s="73"/>
      <c r="AN1375" s="73"/>
      <c r="AO1375" s="73"/>
      <c r="AP1375" s="73"/>
      <c r="AQ1375" s="73"/>
      <c r="AR1375" s="73"/>
      <c r="AS1375" s="73"/>
      <c r="AT1375" s="73"/>
      <c r="AU1375" s="73"/>
      <c r="AV1375" s="73"/>
      <c r="AW1375" s="73"/>
      <c r="AX1375" s="73"/>
      <c r="AY1375" s="73"/>
      <c r="AZ1375" s="73"/>
      <c r="BA1375" s="73"/>
      <c r="BB1375" s="73"/>
      <c r="BC1375" s="73"/>
      <c r="BD1375" s="73"/>
      <c r="BE1375" s="73"/>
      <c r="BF1375" s="73"/>
      <c r="BG1375" s="73"/>
      <c r="BH1375" s="73"/>
      <c r="BI1375" s="73"/>
      <c r="BJ1375" s="73"/>
      <c r="BK1375" s="73"/>
      <c r="BL1375" s="73"/>
      <c r="BM1375" s="73"/>
      <c r="BN1375" s="73"/>
      <c r="BO1375" s="73"/>
      <c r="BP1375" s="73"/>
      <c r="BQ1375" s="73"/>
      <c r="BR1375" s="73"/>
      <c r="BS1375" s="73"/>
      <c r="BT1375" s="73"/>
      <c r="BU1375" s="73"/>
      <c r="BV1375" s="73"/>
      <c r="BW1375" s="73"/>
      <c r="BX1375" s="73"/>
      <c r="BY1375" s="73"/>
      <c r="BZ1375" s="73"/>
      <c r="CA1375" s="73"/>
      <c r="CB1375" s="73"/>
      <c r="CC1375" s="73"/>
      <c r="CD1375" s="73"/>
      <c r="CE1375" s="73"/>
      <c r="CF1375" s="73"/>
      <c r="CG1375" s="73"/>
      <c r="CH1375" s="73"/>
      <c r="CI1375" s="73"/>
      <c r="CJ1375" s="73"/>
      <c r="CK1375" s="73"/>
      <c r="CL1375" s="73"/>
      <c r="CM1375" s="73"/>
      <c r="CN1375" s="73"/>
      <c r="CO1375" s="73"/>
      <c r="CP1375" s="73"/>
      <c r="CQ1375" s="73"/>
      <c r="CR1375" s="73"/>
      <c r="CS1375" s="73"/>
      <c r="CT1375" s="73"/>
      <c r="CU1375" s="73"/>
      <c r="CV1375" s="73"/>
      <c r="CW1375" s="73"/>
      <c r="CX1375" s="73"/>
      <c r="CY1375" s="73"/>
      <c r="CZ1375" s="73"/>
      <c r="DA1375" s="73"/>
      <c r="DB1375" s="73"/>
      <c r="DC1375" s="73"/>
      <c r="DD1375" s="73"/>
      <c r="DE1375" s="73"/>
      <c r="DF1375" s="73"/>
      <c r="DG1375" s="73"/>
      <c r="DH1375" s="73"/>
      <c r="DI1375" s="73"/>
      <c r="DJ1375" s="73"/>
      <c r="DK1375" s="73"/>
      <c r="DL1375" s="73"/>
      <c r="DM1375" s="73"/>
    </row>
    <row r="1376" spans="1:117" s="48" customFormat="1">
      <c r="A1376" s="73"/>
      <c r="T1376" s="73"/>
      <c r="U1376" s="73"/>
      <c r="V1376" s="73"/>
      <c r="W1376" s="73"/>
      <c r="X1376" s="73"/>
      <c r="Y1376" s="73"/>
      <c r="Z1376" s="73"/>
      <c r="AA1376" s="73"/>
      <c r="AB1376" s="73"/>
      <c r="AC1376" s="73"/>
      <c r="AD1376" s="73"/>
      <c r="AE1376" s="73"/>
      <c r="AF1376" s="73"/>
      <c r="AG1376" s="73"/>
      <c r="AH1376" s="73"/>
      <c r="AI1376" s="73"/>
      <c r="AJ1376" s="73"/>
      <c r="AK1376" s="73"/>
      <c r="AL1376" s="73"/>
      <c r="AM1376" s="73"/>
      <c r="AN1376" s="73"/>
      <c r="AO1376" s="73"/>
      <c r="AP1376" s="73"/>
      <c r="AQ1376" s="73"/>
      <c r="AR1376" s="73"/>
      <c r="AS1376" s="73"/>
      <c r="AT1376" s="73"/>
      <c r="AU1376" s="73"/>
      <c r="AV1376" s="73"/>
      <c r="AW1376" s="73"/>
      <c r="AX1376" s="73"/>
      <c r="AY1376" s="73"/>
      <c r="AZ1376" s="73"/>
      <c r="BA1376" s="73"/>
      <c r="BB1376" s="73"/>
      <c r="BC1376" s="73"/>
      <c r="BD1376" s="73"/>
      <c r="BE1376" s="73"/>
      <c r="BF1376" s="73"/>
      <c r="BG1376" s="73"/>
      <c r="BH1376" s="73"/>
      <c r="BI1376" s="73"/>
      <c r="BJ1376" s="73"/>
      <c r="BK1376" s="73"/>
      <c r="BL1376" s="73"/>
      <c r="BM1376" s="73"/>
      <c r="BN1376" s="73"/>
      <c r="BO1376" s="73"/>
      <c r="BP1376" s="73"/>
      <c r="BQ1376" s="73"/>
      <c r="BR1376" s="73"/>
      <c r="BS1376" s="73"/>
      <c r="BT1376" s="73"/>
      <c r="BU1376" s="73"/>
      <c r="BV1376" s="73"/>
      <c r="BW1376" s="73"/>
      <c r="BX1376" s="73"/>
      <c r="BY1376" s="73"/>
      <c r="BZ1376" s="73"/>
      <c r="CA1376" s="73"/>
      <c r="CB1376" s="73"/>
      <c r="CC1376" s="73"/>
      <c r="CD1376" s="73"/>
      <c r="CE1376" s="73"/>
      <c r="CF1376" s="73"/>
      <c r="CG1376" s="73"/>
      <c r="CH1376" s="73"/>
      <c r="CI1376" s="73"/>
      <c r="CJ1376" s="73"/>
      <c r="CK1376" s="73"/>
      <c r="CL1376" s="73"/>
      <c r="CM1376" s="73"/>
      <c r="CN1376" s="73"/>
      <c r="CO1376" s="73"/>
      <c r="CP1376" s="73"/>
      <c r="CQ1376" s="73"/>
      <c r="CR1376" s="73"/>
      <c r="CS1376" s="73"/>
      <c r="CT1376" s="73"/>
      <c r="CU1376" s="73"/>
      <c r="CV1376" s="73"/>
      <c r="CW1376" s="73"/>
      <c r="CX1376" s="73"/>
      <c r="CY1376" s="73"/>
      <c r="CZ1376" s="73"/>
      <c r="DA1376" s="73"/>
      <c r="DB1376" s="73"/>
      <c r="DC1376" s="73"/>
      <c r="DD1376" s="73"/>
      <c r="DE1376" s="73"/>
      <c r="DF1376" s="73"/>
      <c r="DG1376" s="73"/>
      <c r="DH1376" s="73"/>
      <c r="DI1376" s="73"/>
      <c r="DJ1376" s="73"/>
      <c r="DK1376" s="73"/>
      <c r="DL1376" s="73"/>
      <c r="DM1376" s="73"/>
    </row>
    <row r="1377" spans="1:117" s="48" customFormat="1">
      <c r="A1377" s="73"/>
      <c r="T1377" s="73"/>
      <c r="U1377" s="73"/>
      <c r="V1377" s="73"/>
      <c r="W1377" s="73"/>
      <c r="X1377" s="73"/>
      <c r="Y1377" s="73"/>
      <c r="Z1377" s="73"/>
      <c r="AA1377" s="73"/>
      <c r="AB1377" s="73"/>
      <c r="AC1377" s="73"/>
      <c r="AD1377" s="73"/>
      <c r="AE1377" s="73"/>
      <c r="AF1377" s="73"/>
      <c r="AG1377" s="73"/>
      <c r="AH1377" s="73"/>
      <c r="AI1377" s="73"/>
      <c r="AJ1377" s="73"/>
      <c r="AK1377" s="73"/>
      <c r="AL1377" s="73"/>
      <c r="AM1377" s="73"/>
      <c r="AN1377" s="73"/>
      <c r="AO1377" s="73"/>
      <c r="AP1377" s="73"/>
      <c r="AQ1377" s="73"/>
      <c r="AR1377" s="73"/>
      <c r="AS1377" s="73"/>
      <c r="AT1377" s="73"/>
      <c r="AU1377" s="73"/>
      <c r="AV1377" s="73"/>
      <c r="AW1377" s="73"/>
      <c r="AX1377" s="73"/>
      <c r="AY1377" s="73"/>
      <c r="AZ1377" s="73"/>
      <c r="BA1377" s="73"/>
      <c r="BB1377" s="73"/>
      <c r="BC1377" s="73"/>
      <c r="BD1377" s="73"/>
      <c r="BE1377" s="73"/>
      <c r="BF1377" s="73"/>
      <c r="BG1377" s="73"/>
      <c r="BH1377" s="73"/>
      <c r="BI1377" s="73"/>
      <c r="BJ1377" s="73"/>
      <c r="BK1377" s="73"/>
      <c r="BL1377" s="73"/>
      <c r="BM1377" s="73"/>
      <c r="BN1377" s="73"/>
      <c r="BO1377" s="73"/>
      <c r="BP1377" s="73"/>
      <c r="BQ1377" s="73"/>
      <c r="BR1377" s="73"/>
      <c r="BS1377" s="73"/>
      <c r="BT1377" s="73"/>
      <c r="BU1377" s="73"/>
      <c r="BV1377" s="73"/>
      <c r="BW1377" s="73"/>
      <c r="BX1377" s="73"/>
      <c r="BY1377" s="73"/>
      <c r="BZ1377" s="73"/>
      <c r="CA1377" s="73"/>
      <c r="CB1377" s="73"/>
      <c r="CC1377" s="73"/>
      <c r="CD1377" s="73"/>
      <c r="CE1377" s="73"/>
      <c r="CF1377" s="73"/>
      <c r="CG1377" s="73"/>
      <c r="CH1377" s="73"/>
      <c r="CI1377" s="73"/>
      <c r="CJ1377" s="73"/>
      <c r="CK1377" s="73"/>
      <c r="CL1377" s="73"/>
      <c r="CM1377" s="73"/>
      <c r="CN1377" s="73"/>
      <c r="CO1377" s="73"/>
      <c r="CP1377" s="73"/>
      <c r="CQ1377" s="73"/>
      <c r="CR1377" s="73"/>
      <c r="CS1377" s="73"/>
      <c r="CT1377" s="73"/>
      <c r="CU1377" s="73"/>
      <c r="CV1377" s="73"/>
      <c r="CW1377" s="73"/>
      <c r="CX1377" s="73"/>
      <c r="CY1377" s="73"/>
      <c r="CZ1377" s="73"/>
      <c r="DA1377" s="73"/>
      <c r="DB1377" s="73"/>
      <c r="DC1377" s="73"/>
      <c r="DD1377" s="73"/>
      <c r="DE1377" s="73"/>
      <c r="DF1377" s="73"/>
      <c r="DG1377" s="73"/>
      <c r="DH1377" s="73"/>
      <c r="DI1377" s="73"/>
      <c r="DJ1377" s="73"/>
      <c r="DK1377" s="73"/>
      <c r="DL1377" s="73"/>
      <c r="DM1377" s="73"/>
    </row>
    <row r="1378" spans="1:117" s="48" customFormat="1">
      <c r="A1378" s="73"/>
      <c r="T1378" s="73"/>
      <c r="U1378" s="73"/>
      <c r="V1378" s="73"/>
      <c r="W1378" s="73"/>
      <c r="X1378" s="73"/>
      <c r="Y1378" s="73"/>
      <c r="Z1378" s="73"/>
      <c r="AA1378" s="73"/>
      <c r="AB1378" s="73"/>
      <c r="AC1378" s="73"/>
      <c r="AD1378" s="73"/>
      <c r="AE1378" s="73"/>
      <c r="AF1378" s="73"/>
      <c r="AG1378" s="73"/>
      <c r="AH1378" s="73"/>
      <c r="AI1378" s="73"/>
      <c r="AJ1378" s="73"/>
      <c r="AK1378" s="73"/>
      <c r="AL1378" s="73"/>
      <c r="AM1378" s="73"/>
      <c r="AN1378" s="73"/>
      <c r="AO1378" s="73"/>
      <c r="AP1378" s="73"/>
      <c r="AQ1378" s="73"/>
      <c r="AR1378" s="73"/>
      <c r="AS1378" s="73"/>
      <c r="AT1378" s="73"/>
      <c r="AU1378" s="73"/>
      <c r="AV1378" s="73"/>
      <c r="AW1378" s="73"/>
      <c r="AX1378" s="73"/>
      <c r="AY1378" s="73"/>
      <c r="AZ1378" s="73"/>
      <c r="BA1378" s="73"/>
      <c r="BB1378" s="73"/>
      <c r="BC1378" s="73"/>
      <c r="BD1378" s="73"/>
      <c r="BE1378" s="73"/>
      <c r="BF1378" s="73"/>
      <c r="BG1378" s="73"/>
      <c r="BH1378" s="73"/>
      <c r="BI1378" s="73"/>
      <c r="BJ1378" s="73"/>
      <c r="BK1378" s="73"/>
      <c r="BL1378" s="73"/>
      <c r="BM1378" s="73"/>
      <c r="BN1378" s="73"/>
      <c r="BO1378" s="73"/>
      <c r="BP1378" s="73"/>
      <c r="BQ1378" s="73"/>
      <c r="BR1378" s="73"/>
      <c r="BS1378" s="73"/>
      <c r="BT1378" s="73"/>
      <c r="BU1378" s="73"/>
      <c r="BV1378" s="73"/>
      <c r="BW1378" s="73"/>
      <c r="BX1378" s="73"/>
      <c r="BY1378" s="73"/>
      <c r="BZ1378" s="73"/>
      <c r="CA1378" s="73"/>
      <c r="CB1378" s="73"/>
      <c r="CC1378" s="73"/>
      <c r="CD1378" s="73"/>
      <c r="CE1378" s="73"/>
      <c r="CF1378" s="73"/>
      <c r="CG1378" s="73"/>
      <c r="CH1378" s="73"/>
      <c r="CI1378" s="73"/>
      <c r="CJ1378" s="73"/>
      <c r="CK1378" s="73"/>
      <c r="CL1378" s="73"/>
      <c r="CM1378" s="73"/>
      <c r="CN1378" s="73"/>
      <c r="CO1378" s="73"/>
      <c r="CP1378" s="73"/>
      <c r="CQ1378" s="73"/>
      <c r="CR1378" s="73"/>
      <c r="CS1378" s="73"/>
      <c r="CT1378" s="73"/>
      <c r="CU1378" s="73"/>
      <c r="CV1378" s="73"/>
      <c r="CW1378" s="73"/>
      <c r="CX1378" s="73"/>
      <c r="CY1378" s="73"/>
      <c r="CZ1378" s="73"/>
      <c r="DA1378" s="73"/>
      <c r="DB1378" s="73"/>
      <c r="DC1378" s="73"/>
      <c r="DD1378" s="73"/>
      <c r="DE1378" s="73"/>
      <c r="DF1378" s="73"/>
      <c r="DG1378" s="73"/>
      <c r="DH1378" s="73"/>
      <c r="DI1378" s="73"/>
      <c r="DJ1378" s="73"/>
      <c r="DK1378" s="73"/>
      <c r="DL1378" s="73"/>
      <c r="DM1378" s="73"/>
    </row>
    <row r="1379" spans="1:117" s="48" customFormat="1">
      <c r="A1379" s="73"/>
      <c r="T1379" s="73"/>
      <c r="U1379" s="73"/>
      <c r="V1379" s="73"/>
      <c r="W1379" s="73"/>
      <c r="X1379" s="73"/>
      <c r="Y1379" s="73"/>
      <c r="Z1379" s="73"/>
      <c r="AA1379" s="73"/>
      <c r="AB1379" s="73"/>
      <c r="AC1379" s="73"/>
      <c r="AD1379" s="73"/>
      <c r="AE1379" s="73"/>
      <c r="AF1379" s="73"/>
      <c r="AG1379" s="73"/>
      <c r="AH1379" s="73"/>
      <c r="AI1379" s="73"/>
      <c r="AJ1379" s="73"/>
      <c r="AK1379" s="73"/>
      <c r="AL1379" s="73"/>
      <c r="AM1379" s="73"/>
      <c r="AN1379" s="73"/>
      <c r="AO1379" s="73"/>
      <c r="AP1379" s="73"/>
      <c r="AQ1379" s="73"/>
      <c r="AR1379" s="73"/>
      <c r="AS1379" s="73"/>
      <c r="AT1379" s="73"/>
      <c r="AU1379" s="73"/>
      <c r="AV1379" s="73"/>
      <c r="AW1379" s="73"/>
      <c r="AX1379" s="73"/>
      <c r="AY1379" s="73"/>
      <c r="AZ1379" s="73"/>
      <c r="BA1379" s="73"/>
      <c r="BB1379" s="73"/>
      <c r="BC1379" s="73"/>
      <c r="BD1379" s="73"/>
      <c r="BE1379" s="73"/>
      <c r="BF1379" s="73"/>
      <c r="BG1379" s="73"/>
      <c r="BH1379" s="73"/>
      <c r="BI1379" s="73"/>
      <c r="BJ1379" s="73"/>
      <c r="BK1379" s="73"/>
      <c r="BL1379" s="73"/>
      <c r="BM1379" s="73"/>
      <c r="BN1379" s="73"/>
      <c r="BO1379" s="73"/>
      <c r="BP1379" s="73"/>
      <c r="BQ1379" s="73"/>
      <c r="BR1379" s="73"/>
      <c r="BS1379" s="73"/>
      <c r="BT1379" s="73"/>
      <c r="BU1379" s="73"/>
      <c r="BV1379" s="73"/>
      <c r="BW1379" s="73"/>
      <c r="BX1379" s="73"/>
      <c r="BY1379" s="73"/>
      <c r="BZ1379" s="73"/>
      <c r="CA1379" s="73"/>
      <c r="CB1379" s="73"/>
      <c r="CC1379" s="73"/>
      <c r="CD1379" s="73"/>
      <c r="CE1379" s="73"/>
      <c r="CF1379" s="73"/>
      <c r="CG1379" s="73"/>
      <c r="CH1379" s="73"/>
      <c r="CI1379" s="73"/>
      <c r="CJ1379" s="73"/>
      <c r="CK1379" s="73"/>
      <c r="CL1379" s="73"/>
      <c r="CM1379" s="73"/>
      <c r="CN1379" s="73"/>
      <c r="CO1379" s="73"/>
      <c r="CP1379" s="73"/>
      <c r="CQ1379" s="73"/>
      <c r="CR1379" s="73"/>
      <c r="CS1379" s="73"/>
      <c r="CT1379" s="73"/>
      <c r="CU1379" s="73"/>
      <c r="CV1379" s="73"/>
      <c r="CW1379" s="73"/>
      <c r="CX1379" s="73"/>
      <c r="CY1379" s="73"/>
      <c r="CZ1379" s="73"/>
      <c r="DA1379" s="73"/>
      <c r="DB1379" s="73"/>
      <c r="DC1379" s="73"/>
      <c r="DD1379" s="73"/>
      <c r="DE1379" s="73"/>
      <c r="DF1379" s="73"/>
      <c r="DG1379" s="73"/>
      <c r="DH1379" s="73"/>
      <c r="DI1379" s="73"/>
      <c r="DJ1379" s="73"/>
      <c r="DK1379" s="73"/>
      <c r="DL1379" s="73"/>
      <c r="DM1379" s="73"/>
    </row>
    <row r="1380" spans="1:117" s="48" customFormat="1">
      <c r="A1380" s="73"/>
      <c r="T1380" s="73"/>
      <c r="U1380" s="73"/>
      <c r="V1380" s="73"/>
      <c r="W1380" s="73"/>
      <c r="X1380" s="73"/>
      <c r="Y1380" s="73"/>
      <c r="Z1380" s="73"/>
      <c r="AA1380" s="73"/>
      <c r="AB1380" s="73"/>
      <c r="AC1380" s="73"/>
      <c r="AD1380" s="73"/>
      <c r="AE1380" s="73"/>
      <c r="AF1380" s="73"/>
      <c r="AG1380" s="73"/>
      <c r="AH1380" s="73"/>
      <c r="AI1380" s="73"/>
      <c r="AJ1380" s="73"/>
      <c r="AK1380" s="73"/>
      <c r="AL1380" s="73"/>
      <c r="AM1380" s="73"/>
      <c r="AN1380" s="73"/>
      <c r="AO1380" s="73"/>
      <c r="AP1380" s="73"/>
      <c r="AQ1380" s="73"/>
      <c r="AR1380" s="73"/>
      <c r="AS1380" s="73"/>
      <c r="AT1380" s="73"/>
      <c r="AU1380" s="73"/>
      <c r="AV1380" s="73"/>
      <c r="AW1380" s="73"/>
      <c r="AX1380" s="73"/>
      <c r="AY1380" s="73"/>
      <c r="AZ1380" s="73"/>
      <c r="BA1380" s="73"/>
      <c r="BB1380" s="73"/>
      <c r="BC1380" s="73"/>
      <c r="BD1380" s="73"/>
      <c r="BE1380" s="73"/>
      <c r="BF1380" s="73"/>
      <c r="BG1380" s="73"/>
      <c r="BH1380" s="73"/>
      <c r="BI1380" s="73"/>
      <c r="BJ1380" s="73"/>
      <c r="BK1380" s="73"/>
      <c r="BL1380" s="73"/>
      <c r="BM1380" s="73"/>
      <c r="BN1380" s="73"/>
      <c r="BO1380" s="73"/>
      <c r="BP1380" s="73"/>
      <c r="BQ1380" s="73"/>
      <c r="BR1380" s="73"/>
      <c r="BS1380" s="73"/>
      <c r="BT1380" s="73"/>
      <c r="BU1380" s="73"/>
      <c r="BV1380" s="73"/>
      <c r="BW1380" s="73"/>
      <c r="BX1380" s="73"/>
      <c r="BY1380" s="73"/>
      <c r="BZ1380" s="73"/>
      <c r="CA1380" s="73"/>
      <c r="CB1380" s="73"/>
      <c r="CC1380" s="73"/>
      <c r="CD1380" s="73"/>
      <c r="CE1380" s="73"/>
      <c r="CF1380" s="73"/>
      <c r="CG1380" s="73"/>
      <c r="CH1380" s="73"/>
      <c r="CI1380" s="73"/>
      <c r="CJ1380" s="73"/>
      <c r="CK1380" s="73"/>
      <c r="CL1380" s="73"/>
      <c r="CM1380" s="73"/>
      <c r="CN1380" s="73"/>
      <c r="CO1380" s="73"/>
      <c r="CP1380" s="73"/>
      <c r="CQ1380" s="73"/>
      <c r="CR1380" s="73"/>
      <c r="CS1380" s="73"/>
      <c r="CT1380" s="73"/>
      <c r="CU1380" s="73"/>
      <c r="CV1380" s="73"/>
      <c r="CW1380" s="73"/>
      <c r="CX1380" s="73"/>
      <c r="CY1380" s="73"/>
      <c r="CZ1380" s="73"/>
      <c r="DA1380" s="73"/>
      <c r="DB1380" s="73"/>
      <c r="DC1380" s="73"/>
      <c r="DD1380" s="73"/>
      <c r="DE1380" s="73"/>
      <c r="DF1380" s="73"/>
      <c r="DG1380" s="73"/>
      <c r="DH1380" s="73"/>
      <c r="DI1380" s="73"/>
      <c r="DJ1380" s="73"/>
      <c r="DK1380" s="73"/>
      <c r="DL1380" s="73"/>
      <c r="DM1380" s="73"/>
    </row>
    <row r="1381" spans="1:117" s="48" customFormat="1">
      <c r="A1381" s="73"/>
      <c r="T1381" s="73"/>
      <c r="U1381" s="73"/>
      <c r="V1381" s="73"/>
      <c r="W1381" s="73"/>
      <c r="X1381" s="73"/>
      <c r="Y1381" s="73"/>
      <c r="Z1381" s="73"/>
      <c r="AA1381" s="73"/>
      <c r="AB1381" s="73"/>
      <c r="AC1381" s="73"/>
      <c r="AD1381" s="73"/>
      <c r="AE1381" s="73"/>
      <c r="AF1381" s="73"/>
      <c r="AG1381" s="73"/>
      <c r="AH1381" s="73"/>
      <c r="AI1381" s="73"/>
      <c r="AJ1381" s="73"/>
      <c r="AK1381" s="73"/>
      <c r="AL1381" s="73"/>
      <c r="AM1381" s="73"/>
      <c r="AN1381" s="73"/>
      <c r="AO1381" s="73"/>
      <c r="AP1381" s="73"/>
      <c r="AQ1381" s="73"/>
      <c r="AR1381" s="73"/>
      <c r="AS1381" s="73"/>
      <c r="AT1381" s="73"/>
      <c r="AU1381" s="73"/>
      <c r="AV1381" s="73"/>
      <c r="AW1381" s="73"/>
      <c r="AX1381" s="73"/>
      <c r="AY1381" s="73"/>
      <c r="AZ1381" s="73"/>
      <c r="BA1381" s="73"/>
      <c r="BB1381" s="73"/>
      <c r="BC1381" s="73"/>
      <c r="BD1381" s="73"/>
      <c r="BE1381" s="73"/>
      <c r="BF1381" s="73"/>
      <c r="BG1381" s="73"/>
      <c r="BH1381" s="73"/>
      <c r="BI1381" s="73"/>
      <c r="BJ1381" s="73"/>
      <c r="BK1381" s="73"/>
      <c r="BL1381" s="73"/>
      <c r="BM1381" s="73"/>
      <c r="BN1381" s="73"/>
      <c r="BO1381" s="73"/>
      <c r="BP1381" s="73"/>
      <c r="BQ1381" s="73"/>
      <c r="BR1381" s="73"/>
      <c r="BS1381" s="73"/>
      <c r="BT1381" s="73"/>
      <c r="BU1381" s="73"/>
      <c r="BV1381" s="73"/>
      <c r="BW1381" s="73"/>
      <c r="BX1381" s="73"/>
      <c r="BY1381" s="73"/>
      <c r="BZ1381" s="73"/>
      <c r="CA1381" s="73"/>
      <c r="CB1381" s="73"/>
      <c r="CC1381" s="73"/>
      <c r="CD1381" s="73"/>
      <c r="CE1381" s="73"/>
      <c r="CF1381" s="73"/>
      <c r="CG1381" s="73"/>
      <c r="CH1381" s="73"/>
      <c r="CI1381" s="73"/>
      <c r="CJ1381" s="73"/>
      <c r="CK1381" s="73"/>
      <c r="CL1381" s="73"/>
      <c r="CM1381" s="73"/>
      <c r="CN1381" s="73"/>
      <c r="CO1381" s="73"/>
      <c r="CP1381" s="73"/>
      <c r="CQ1381" s="73"/>
      <c r="CR1381" s="73"/>
      <c r="CS1381" s="73"/>
      <c r="CT1381" s="73"/>
      <c r="CU1381" s="73"/>
      <c r="CV1381" s="73"/>
      <c r="CW1381" s="73"/>
      <c r="CX1381" s="73"/>
      <c r="CY1381" s="73"/>
      <c r="CZ1381" s="73"/>
      <c r="DA1381" s="73"/>
      <c r="DB1381" s="73"/>
      <c r="DC1381" s="73"/>
      <c r="DD1381" s="73"/>
      <c r="DE1381" s="73"/>
      <c r="DF1381" s="73"/>
      <c r="DG1381" s="73"/>
      <c r="DH1381" s="73"/>
      <c r="DI1381" s="73"/>
      <c r="DJ1381" s="73"/>
      <c r="DK1381" s="73"/>
      <c r="DL1381" s="73"/>
      <c r="DM1381" s="73"/>
    </row>
    <row r="1382" spans="1:117" s="48" customFormat="1">
      <c r="A1382" s="73"/>
      <c r="T1382" s="73"/>
      <c r="U1382" s="73"/>
      <c r="V1382" s="73"/>
      <c r="W1382" s="73"/>
      <c r="X1382" s="73"/>
      <c r="Y1382" s="73"/>
      <c r="Z1382" s="73"/>
      <c r="AA1382" s="73"/>
      <c r="AB1382" s="73"/>
      <c r="AC1382" s="73"/>
      <c r="AD1382" s="73"/>
      <c r="AE1382" s="73"/>
      <c r="AF1382" s="73"/>
      <c r="AG1382" s="73"/>
      <c r="AH1382" s="73"/>
      <c r="AI1382" s="73"/>
      <c r="AJ1382" s="73"/>
      <c r="AK1382" s="73"/>
      <c r="AL1382" s="73"/>
      <c r="AM1382" s="73"/>
      <c r="AN1382" s="73"/>
      <c r="AO1382" s="73"/>
      <c r="AP1382" s="73"/>
      <c r="AQ1382" s="73"/>
      <c r="AR1382" s="73"/>
      <c r="AS1382" s="73"/>
      <c r="AT1382" s="73"/>
      <c r="AU1382" s="73"/>
      <c r="AV1382" s="73"/>
      <c r="AW1382" s="73"/>
      <c r="AX1382" s="73"/>
      <c r="AY1382" s="73"/>
      <c r="AZ1382" s="73"/>
      <c r="BA1382" s="73"/>
      <c r="BB1382" s="73"/>
      <c r="BC1382" s="73"/>
      <c r="BD1382" s="73"/>
      <c r="BE1382" s="73"/>
      <c r="BF1382" s="73"/>
      <c r="BG1382" s="73"/>
      <c r="BH1382" s="73"/>
      <c r="BI1382" s="73"/>
      <c r="BJ1382" s="73"/>
      <c r="BK1382" s="73"/>
      <c r="BL1382" s="73"/>
      <c r="BM1382" s="73"/>
      <c r="BN1382" s="73"/>
      <c r="BO1382" s="73"/>
      <c r="BP1382" s="73"/>
      <c r="BQ1382" s="73"/>
      <c r="BR1382" s="73"/>
      <c r="BS1382" s="73"/>
      <c r="BT1382" s="73"/>
      <c r="BU1382" s="73"/>
      <c r="BV1382" s="73"/>
      <c r="BW1382" s="73"/>
      <c r="BX1382" s="73"/>
      <c r="BY1382" s="73"/>
      <c r="BZ1382" s="73"/>
      <c r="CA1382" s="73"/>
      <c r="CB1382" s="73"/>
      <c r="CC1382" s="73"/>
      <c r="CD1382" s="73"/>
      <c r="CE1382" s="73"/>
      <c r="CF1382" s="73"/>
      <c r="CG1382" s="73"/>
      <c r="CH1382" s="73"/>
      <c r="CI1382" s="73"/>
      <c r="CJ1382" s="73"/>
      <c r="CK1382" s="73"/>
      <c r="CL1382" s="73"/>
      <c r="CM1382" s="73"/>
      <c r="CN1382" s="73"/>
      <c r="CO1382" s="73"/>
      <c r="CP1382" s="73"/>
      <c r="CQ1382" s="73"/>
      <c r="CR1382" s="73"/>
      <c r="CS1382" s="73"/>
      <c r="CT1382" s="73"/>
      <c r="CU1382" s="73"/>
      <c r="CV1382" s="73"/>
      <c r="CW1382" s="73"/>
      <c r="CX1382" s="73"/>
      <c r="CY1382" s="73"/>
      <c r="CZ1382" s="73"/>
      <c r="DA1382" s="73"/>
      <c r="DB1382" s="73"/>
      <c r="DC1382" s="73"/>
      <c r="DD1382" s="73"/>
      <c r="DE1382" s="73"/>
      <c r="DF1382" s="73"/>
      <c r="DG1382" s="73"/>
      <c r="DH1382" s="73"/>
      <c r="DI1382" s="73"/>
      <c r="DJ1382" s="73"/>
      <c r="DK1382" s="73"/>
      <c r="DL1382" s="73"/>
      <c r="DM1382" s="73"/>
    </row>
    <row r="1383" spans="1:117" s="48" customFormat="1">
      <c r="A1383" s="73"/>
      <c r="T1383" s="73"/>
      <c r="U1383" s="73"/>
      <c r="V1383" s="73"/>
      <c r="W1383" s="73"/>
      <c r="X1383" s="73"/>
      <c r="Y1383" s="73"/>
      <c r="Z1383" s="73"/>
      <c r="AA1383" s="73"/>
      <c r="AB1383" s="73"/>
      <c r="AC1383" s="73"/>
      <c r="AD1383" s="73"/>
      <c r="AE1383" s="73"/>
      <c r="AF1383" s="73"/>
      <c r="AG1383" s="73"/>
      <c r="AH1383" s="73"/>
      <c r="AI1383" s="73"/>
      <c r="AJ1383" s="73"/>
      <c r="AK1383" s="73"/>
      <c r="AL1383" s="73"/>
      <c r="AM1383" s="73"/>
      <c r="AN1383" s="73"/>
      <c r="AO1383" s="73"/>
      <c r="AP1383" s="73"/>
      <c r="AQ1383" s="73"/>
      <c r="AR1383" s="73"/>
      <c r="AS1383" s="73"/>
      <c r="AT1383" s="73"/>
      <c r="AU1383" s="73"/>
      <c r="AV1383" s="73"/>
      <c r="AW1383" s="73"/>
      <c r="AX1383" s="73"/>
      <c r="AY1383" s="73"/>
      <c r="AZ1383" s="73"/>
      <c r="BA1383" s="73"/>
      <c r="BB1383" s="73"/>
      <c r="BC1383" s="73"/>
      <c r="BD1383" s="73"/>
      <c r="BE1383" s="73"/>
      <c r="BF1383" s="73"/>
      <c r="BG1383" s="73"/>
      <c r="BH1383" s="73"/>
      <c r="BI1383" s="73"/>
      <c r="BJ1383" s="73"/>
      <c r="BK1383" s="73"/>
      <c r="BL1383" s="73"/>
      <c r="BM1383" s="73"/>
      <c r="BN1383" s="73"/>
      <c r="BO1383" s="73"/>
      <c r="BP1383" s="73"/>
      <c r="BQ1383" s="73"/>
      <c r="BR1383" s="73"/>
      <c r="BS1383" s="73"/>
      <c r="BT1383" s="73"/>
      <c r="BU1383" s="73"/>
      <c r="BV1383" s="73"/>
      <c r="BW1383" s="73"/>
      <c r="BX1383" s="73"/>
      <c r="BY1383" s="73"/>
      <c r="BZ1383" s="73"/>
      <c r="CA1383" s="73"/>
      <c r="CB1383" s="73"/>
      <c r="CC1383" s="73"/>
      <c r="CD1383" s="73"/>
      <c r="CE1383" s="73"/>
      <c r="CF1383" s="73"/>
      <c r="CG1383" s="73"/>
      <c r="CH1383" s="73"/>
      <c r="CI1383" s="73"/>
      <c r="CJ1383" s="73"/>
      <c r="CK1383" s="73"/>
      <c r="CL1383" s="73"/>
      <c r="CM1383" s="73"/>
      <c r="CN1383" s="73"/>
      <c r="CO1383" s="73"/>
      <c r="CP1383" s="73"/>
      <c r="CQ1383" s="73"/>
      <c r="CR1383" s="73"/>
      <c r="CS1383" s="73"/>
      <c r="CT1383" s="73"/>
      <c r="CU1383" s="73"/>
      <c r="CV1383" s="73"/>
      <c r="CW1383" s="73"/>
      <c r="CX1383" s="73"/>
      <c r="CY1383" s="73"/>
      <c r="CZ1383" s="73"/>
      <c r="DA1383" s="73"/>
      <c r="DB1383" s="73"/>
      <c r="DC1383" s="73"/>
      <c r="DD1383" s="73"/>
      <c r="DE1383" s="73"/>
      <c r="DF1383" s="73"/>
      <c r="DG1383" s="73"/>
      <c r="DH1383" s="73"/>
      <c r="DI1383" s="73"/>
      <c r="DJ1383" s="73"/>
      <c r="DK1383" s="73"/>
      <c r="DL1383" s="73"/>
      <c r="DM1383" s="73"/>
    </row>
    <row r="1384" spans="1:117" s="48" customFormat="1">
      <c r="A1384" s="73"/>
      <c r="T1384" s="73"/>
      <c r="U1384" s="73"/>
      <c r="V1384" s="73"/>
      <c r="W1384" s="73"/>
      <c r="X1384" s="73"/>
      <c r="Y1384" s="73"/>
      <c r="Z1384" s="73"/>
      <c r="AA1384" s="73"/>
      <c r="AB1384" s="73"/>
      <c r="AC1384" s="73"/>
      <c r="AD1384" s="73"/>
      <c r="AE1384" s="73"/>
      <c r="AF1384" s="73"/>
      <c r="AG1384" s="73"/>
      <c r="AH1384" s="73"/>
      <c r="AI1384" s="73"/>
      <c r="AJ1384" s="73"/>
      <c r="AK1384" s="73"/>
      <c r="AL1384" s="73"/>
      <c r="AM1384" s="73"/>
      <c r="AN1384" s="73"/>
      <c r="AO1384" s="73"/>
      <c r="AP1384" s="73"/>
      <c r="AQ1384" s="73"/>
      <c r="AR1384" s="73"/>
      <c r="AS1384" s="73"/>
      <c r="AT1384" s="73"/>
      <c r="AU1384" s="73"/>
      <c r="AV1384" s="73"/>
      <c r="AW1384" s="73"/>
      <c r="AX1384" s="73"/>
      <c r="AY1384" s="73"/>
      <c r="AZ1384" s="73"/>
      <c r="BA1384" s="73"/>
      <c r="BB1384" s="73"/>
      <c r="BC1384" s="73"/>
      <c r="BD1384" s="73"/>
      <c r="BE1384" s="73"/>
      <c r="BF1384" s="73"/>
      <c r="BG1384" s="73"/>
      <c r="BH1384" s="73"/>
      <c r="BI1384" s="73"/>
      <c r="BJ1384" s="73"/>
      <c r="BK1384" s="73"/>
      <c r="BL1384" s="73"/>
      <c r="BM1384" s="73"/>
      <c r="BN1384" s="73"/>
      <c r="BO1384" s="73"/>
      <c r="BP1384" s="73"/>
      <c r="BQ1384" s="73"/>
      <c r="BR1384" s="73"/>
      <c r="BS1384" s="73"/>
      <c r="BT1384" s="73"/>
      <c r="BU1384" s="73"/>
      <c r="BV1384" s="73"/>
      <c r="BW1384" s="73"/>
      <c r="BX1384" s="73"/>
      <c r="BY1384" s="73"/>
      <c r="BZ1384" s="73"/>
      <c r="CA1384" s="73"/>
      <c r="CB1384" s="73"/>
      <c r="CC1384" s="73"/>
      <c r="CD1384" s="73"/>
      <c r="CE1384" s="73"/>
      <c r="CF1384" s="73"/>
      <c r="CG1384" s="73"/>
      <c r="CH1384" s="73"/>
      <c r="CI1384" s="73"/>
      <c r="CJ1384" s="73"/>
      <c r="CK1384" s="73"/>
      <c r="CL1384" s="73"/>
      <c r="CM1384" s="73"/>
      <c r="CN1384" s="73"/>
      <c r="CO1384" s="73"/>
      <c r="CP1384" s="73"/>
      <c r="CQ1384" s="73"/>
      <c r="CR1384" s="73"/>
      <c r="CS1384" s="73"/>
      <c r="CT1384" s="73"/>
      <c r="CU1384" s="73"/>
      <c r="CV1384" s="73"/>
      <c r="CW1384" s="73"/>
      <c r="CX1384" s="73"/>
      <c r="CY1384" s="73"/>
      <c r="CZ1384" s="73"/>
      <c r="DA1384" s="73"/>
      <c r="DB1384" s="73"/>
      <c r="DC1384" s="73"/>
      <c r="DD1384" s="73"/>
      <c r="DE1384" s="73"/>
      <c r="DF1384" s="73"/>
      <c r="DG1384" s="73"/>
      <c r="DH1384" s="73"/>
      <c r="DI1384" s="73"/>
      <c r="DJ1384" s="73"/>
      <c r="DK1384" s="73"/>
      <c r="DL1384" s="73"/>
      <c r="DM1384" s="73"/>
    </row>
    <row r="1385" spans="1:117" s="48" customFormat="1">
      <c r="A1385" s="73"/>
      <c r="T1385" s="73"/>
      <c r="U1385" s="73"/>
      <c r="V1385" s="73"/>
      <c r="W1385" s="73"/>
      <c r="X1385" s="73"/>
      <c r="Y1385" s="73"/>
      <c r="Z1385" s="73"/>
      <c r="AA1385" s="73"/>
      <c r="AB1385" s="73"/>
      <c r="AC1385" s="73"/>
      <c r="AD1385" s="73"/>
      <c r="AE1385" s="73"/>
      <c r="AF1385" s="73"/>
      <c r="AG1385" s="73"/>
      <c r="AH1385" s="73"/>
      <c r="AI1385" s="73"/>
      <c r="AJ1385" s="73"/>
      <c r="AK1385" s="73"/>
      <c r="AL1385" s="73"/>
      <c r="AM1385" s="73"/>
      <c r="AN1385" s="73"/>
      <c r="AO1385" s="73"/>
      <c r="AP1385" s="73"/>
      <c r="AQ1385" s="73"/>
      <c r="AR1385" s="73"/>
      <c r="AS1385" s="73"/>
      <c r="AT1385" s="73"/>
      <c r="AU1385" s="73"/>
      <c r="AV1385" s="73"/>
      <c r="AW1385" s="73"/>
      <c r="AX1385" s="73"/>
      <c r="AY1385" s="73"/>
      <c r="AZ1385" s="73"/>
      <c r="BA1385" s="73"/>
      <c r="BB1385" s="73"/>
      <c r="BC1385" s="73"/>
      <c r="BD1385" s="73"/>
      <c r="BE1385" s="73"/>
      <c r="BF1385" s="73"/>
      <c r="BG1385" s="73"/>
      <c r="BH1385" s="73"/>
      <c r="BI1385" s="73"/>
      <c r="BJ1385" s="73"/>
      <c r="BK1385" s="73"/>
      <c r="BL1385" s="73"/>
      <c r="BM1385" s="73"/>
      <c r="BN1385" s="73"/>
      <c r="BO1385" s="73"/>
      <c r="BP1385" s="73"/>
      <c r="BQ1385" s="73"/>
      <c r="BR1385" s="73"/>
      <c r="BS1385" s="73"/>
      <c r="BT1385" s="73"/>
      <c r="BU1385" s="73"/>
      <c r="BV1385" s="73"/>
      <c r="BW1385" s="73"/>
      <c r="BX1385" s="73"/>
      <c r="BY1385" s="73"/>
      <c r="BZ1385" s="73"/>
      <c r="CA1385" s="73"/>
      <c r="CB1385" s="73"/>
      <c r="CC1385" s="73"/>
      <c r="CD1385" s="73"/>
      <c r="CE1385" s="73"/>
      <c r="CF1385" s="73"/>
      <c r="CG1385" s="73"/>
      <c r="CH1385" s="73"/>
      <c r="CI1385" s="73"/>
      <c r="CJ1385" s="73"/>
      <c r="CK1385" s="73"/>
      <c r="CL1385" s="73"/>
      <c r="CM1385" s="73"/>
      <c r="CN1385" s="73"/>
      <c r="CO1385" s="73"/>
      <c r="CP1385" s="73"/>
      <c r="CQ1385" s="73"/>
      <c r="CR1385" s="73"/>
      <c r="CS1385" s="73"/>
      <c r="CT1385" s="73"/>
      <c r="CU1385" s="73"/>
      <c r="CV1385" s="73"/>
      <c r="CW1385" s="73"/>
      <c r="CX1385" s="73"/>
      <c r="CY1385" s="73"/>
      <c r="CZ1385" s="73"/>
      <c r="DA1385" s="73"/>
      <c r="DB1385" s="73"/>
      <c r="DC1385" s="73"/>
      <c r="DD1385" s="73"/>
      <c r="DE1385" s="73"/>
      <c r="DF1385" s="73"/>
      <c r="DG1385" s="73"/>
      <c r="DH1385" s="73"/>
      <c r="DI1385" s="73"/>
      <c r="DJ1385" s="73"/>
      <c r="DK1385" s="73"/>
      <c r="DL1385" s="73"/>
      <c r="DM1385" s="73"/>
    </row>
    <row r="1386" spans="1:117" s="48" customFormat="1">
      <c r="A1386" s="73"/>
      <c r="T1386" s="73"/>
      <c r="U1386" s="73"/>
      <c r="V1386" s="73"/>
      <c r="W1386" s="73"/>
      <c r="X1386" s="73"/>
      <c r="Y1386" s="73"/>
      <c r="Z1386" s="73"/>
      <c r="AA1386" s="73"/>
      <c r="AB1386" s="73"/>
      <c r="AC1386" s="73"/>
      <c r="AD1386" s="73"/>
      <c r="AE1386" s="73"/>
      <c r="AF1386" s="73"/>
      <c r="AG1386" s="73"/>
      <c r="AH1386" s="73"/>
      <c r="AI1386" s="73"/>
      <c r="AJ1386" s="73"/>
      <c r="AK1386" s="73"/>
      <c r="AL1386" s="73"/>
      <c r="AM1386" s="73"/>
      <c r="AN1386" s="73"/>
      <c r="AO1386" s="73"/>
      <c r="AP1386" s="73"/>
      <c r="AQ1386" s="73"/>
      <c r="AR1386" s="73"/>
      <c r="AS1386" s="73"/>
      <c r="AT1386" s="73"/>
      <c r="AU1386" s="73"/>
      <c r="AV1386" s="73"/>
      <c r="AW1386" s="73"/>
      <c r="AX1386" s="73"/>
      <c r="AY1386" s="73"/>
      <c r="AZ1386" s="73"/>
      <c r="BA1386" s="73"/>
      <c r="BB1386" s="73"/>
      <c r="BC1386" s="73"/>
      <c r="BD1386" s="73"/>
      <c r="BE1386" s="73"/>
      <c r="BF1386" s="73"/>
      <c r="BG1386" s="73"/>
      <c r="BH1386" s="73"/>
      <c r="BI1386" s="73"/>
      <c r="BJ1386" s="73"/>
      <c r="BK1386" s="73"/>
      <c r="BL1386" s="73"/>
      <c r="BM1386" s="73"/>
      <c r="BN1386" s="73"/>
      <c r="BO1386" s="73"/>
      <c r="BP1386" s="73"/>
      <c r="BQ1386" s="73"/>
      <c r="BR1386" s="73"/>
      <c r="BS1386" s="73"/>
      <c r="BT1386" s="73"/>
      <c r="BU1386" s="73"/>
      <c r="BV1386" s="73"/>
      <c r="BW1386" s="73"/>
      <c r="BX1386" s="73"/>
      <c r="BY1386" s="73"/>
      <c r="BZ1386" s="73"/>
      <c r="CA1386" s="73"/>
      <c r="CB1386" s="73"/>
      <c r="CC1386" s="73"/>
      <c r="CD1386" s="73"/>
      <c r="CE1386" s="73"/>
      <c r="CF1386" s="73"/>
      <c r="CG1386" s="73"/>
      <c r="CH1386" s="73"/>
      <c r="CI1386" s="73"/>
      <c r="CJ1386" s="73"/>
      <c r="CK1386" s="73"/>
      <c r="CL1386" s="73"/>
      <c r="CM1386" s="73"/>
      <c r="CN1386" s="73"/>
      <c r="CO1386" s="73"/>
      <c r="CP1386" s="73"/>
      <c r="CQ1386" s="73"/>
      <c r="CR1386" s="73"/>
      <c r="CS1386" s="73"/>
      <c r="CT1386" s="73"/>
      <c r="CU1386" s="73"/>
      <c r="CV1386" s="73"/>
      <c r="CW1386" s="73"/>
      <c r="CX1386" s="73"/>
      <c r="CY1386" s="73"/>
      <c r="CZ1386" s="73"/>
      <c r="DA1386" s="73"/>
      <c r="DB1386" s="73"/>
      <c r="DC1386" s="73"/>
      <c r="DD1386" s="73"/>
      <c r="DE1386" s="73"/>
      <c r="DF1386" s="73"/>
      <c r="DG1386" s="73"/>
      <c r="DH1386" s="73"/>
      <c r="DI1386" s="73"/>
      <c r="DJ1386" s="73"/>
      <c r="DK1386" s="73"/>
      <c r="DL1386" s="73"/>
      <c r="DM1386" s="73"/>
    </row>
    <row r="1387" spans="1:117" s="48" customFormat="1">
      <c r="A1387" s="73"/>
      <c r="T1387" s="73"/>
      <c r="U1387" s="73"/>
      <c r="V1387" s="73"/>
      <c r="W1387" s="73"/>
      <c r="X1387" s="73"/>
      <c r="Y1387" s="73"/>
      <c r="Z1387" s="73"/>
      <c r="AA1387" s="73"/>
      <c r="AB1387" s="73"/>
      <c r="AC1387" s="73"/>
      <c r="AD1387" s="73"/>
      <c r="AE1387" s="73"/>
      <c r="AF1387" s="73"/>
      <c r="AG1387" s="73"/>
      <c r="AH1387" s="73"/>
      <c r="AI1387" s="73"/>
      <c r="AJ1387" s="73"/>
      <c r="AK1387" s="73"/>
      <c r="AL1387" s="73"/>
      <c r="AM1387" s="73"/>
      <c r="AN1387" s="73"/>
      <c r="AO1387" s="73"/>
      <c r="AP1387" s="73"/>
      <c r="AQ1387" s="73"/>
      <c r="AR1387" s="73"/>
      <c r="AS1387" s="73"/>
      <c r="AT1387" s="73"/>
      <c r="AU1387" s="73"/>
      <c r="AV1387" s="73"/>
      <c r="AW1387" s="73"/>
      <c r="AX1387" s="73"/>
      <c r="AY1387" s="73"/>
      <c r="AZ1387" s="73"/>
      <c r="BA1387" s="73"/>
      <c r="BB1387" s="73"/>
      <c r="BC1387" s="73"/>
      <c r="BD1387" s="73"/>
      <c r="BE1387" s="73"/>
      <c r="BF1387" s="73"/>
      <c r="BG1387" s="73"/>
      <c r="BH1387" s="73"/>
      <c r="BI1387" s="73"/>
      <c r="BJ1387" s="73"/>
      <c r="BK1387" s="73"/>
      <c r="BL1387" s="73"/>
      <c r="BM1387" s="73"/>
      <c r="BN1387" s="73"/>
      <c r="BO1387" s="73"/>
      <c r="BP1387" s="73"/>
      <c r="BQ1387" s="73"/>
      <c r="BR1387" s="73"/>
      <c r="BS1387" s="73"/>
      <c r="BT1387" s="73"/>
      <c r="BU1387" s="73"/>
      <c r="BV1387" s="73"/>
      <c r="BW1387" s="73"/>
      <c r="BX1387" s="73"/>
      <c r="BY1387" s="73"/>
      <c r="BZ1387" s="73"/>
      <c r="CA1387" s="73"/>
      <c r="CB1387" s="73"/>
      <c r="CC1387" s="73"/>
      <c r="CD1387" s="73"/>
      <c r="CE1387" s="73"/>
      <c r="CF1387" s="73"/>
      <c r="CG1387" s="73"/>
      <c r="CH1387" s="73"/>
      <c r="CI1387" s="73"/>
      <c r="CJ1387" s="73"/>
      <c r="CK1387" s="73"/>
      <c r="CL1387" s="73"/>
      <c r="CM1387" s="73"/>
      <c r="CN1387" s="73"/>
      <c r="CO1387" s="73"/>
      <c r="CP1387" s="73"/>
      <c r="CQ1387" s="73"/>
      <c r="CR1387" s="73"/>
      <c r="CS1387" s="73"/>
      <c r="CT1387" s="73"/>
      <c r="CU1387" s="73"/>
      <c r="CV1387" s="73"/>
      <c r="CW1387" s="73"/>
      <c r="CX1387" s="73"/>
      <c r="CY1387" s="73"/>
      <c r="CZ1387" s="73"/>
      <c r="DA1387" s="73"/>
      <c r="DB1387" s="73"/>
      <c r="DC1387" s="73"/>
      <c r="DD1387" s="73"/>
      <c r="DE1387" s="73"/>
      <c r="DF1387" s="73"/>
      <c r="DG1387" s="73"/>
      <c r="DH1387" s="73"/>
      <c r="DI1387" s="73"/>
      <c r="DJ1387" s="73"/>
      <c r="DK1387" s="73"/>
      <c r="DL1387" s="73"/>
      <c r="DM1387" s="73"/>
    </row>
    <row r="1388" spans="1:117" s="48" customFormat="1">
      <c r="A1388" s="73"/>
      <c r="T1388" s="73"/>
      <c r="U1388" s="73"/>
      <c r="V1388" s="73"/>
      <c r="W1388" s="73"/>
      <c r="X1388" s="73"/>
      <c r="Y1388" s="73"/>
      <c r="Z1388" s="73"/>
      <c r="AA1388" s="73"/>
      <c r="AB1388" s="73"/>
      <c r="AC1388" s="73"/>
      <c r="AD1388" s="73"/>
      <c r="AE1388" s="73"/>
      <c r="AF1388" s="73"/>
      <c r="AG1388" s="73"/>
      <c r="AH1388" s="73"/>
      <c r="AI1388" s="73"/>
      <c r="AJ1388" s="73"/>
      <c r="AK1388" s="73"/>
      <c r="AL1388" s="73"/>
      <c r="AM1388" s="73"/>
      <c r="AN1388" s="73"/>
      <c r="AO1388" s="73"/>
      <c r="AP1388" s="73"/>
      <c r="AQ1388" s="73"/>
      <c r="AR1388" s="73"/>
      <c r="AS1388" s="73"/>
      <c r="AT1388" s="73"/>
      <c r="AU1388" s="73"/>
      <c r="AV1388" s="73"/>
      <c r="AW1388" s="73"/>
      <c r="AX1388" s="73"/>
      <c r="AY1388" s="73"/>
      <c r="AZ1388" s="73"/>
      <c r="BA1388" s="73"/>
      <c r="BB1388" s="73"/>
      <c r="BC1388" s="73"/>
      <c r="BD1388" s="73"/>
      <c r="BE1388" s="73"/>
      <c r="BF1388" s="73"/>
      <c r="BG1388" s="73"/>
      <c r="BH1388" s="73"/>
      <c r="BI1388" s="73"/>
      <c r="BJ1388" s="73"/>
      <c r="BK1388" s="73"/>
      <c r="BL1388" s="73"/>
      <c r="BM1388" s="73"/>
      <c r="BN1388" s="73"/>
      <c r="BO1388" s="73"/>
      <c r="BP1388" s="73"/>
      <c r="BQ1388" s="73"/>
      <c r="BR1388" s="73"/>
      <c r="BS1388" s="73"/>
      <c r="BT1388" s="73"/>
      <c r="BU1388" s="73"/>
      <c r="BV1388" s="73"/>
      <c r="BW1388" s="73"/>
      <c r="BX1388" s="73"/>
      <c r="BY1388" s="73"/>
      <c r="BZ1388" s="73"/>
      <c r="CA1388" s="73"/>
      <c r="CB1388" s="73"/>
      <c r="CC1388" s="73"/>
      <c r="CD1388" s="73"/>
      <c r="CE1388" s="73"/>
      <c r="CF1388" s="73"/>
      <c r="CG1388" s="73"/>
      <c r="CH1388" s="73"/>
      <c r="CI1388" s="73"/>
      <c r="CJ1388" s="73"/>
      <c r="CK1388" s="73"/>
      <c r="CL1388" s="73"/>
      <c r="CM1388" s="73"/>
      <c r="CN1388" s="73"/>
      <c r="CO1388" s="73"/>
      <c r="CP1388" s="73"/>
      <c r="CQ1388" s="73"/>
      <c r="CR1388" s="73"/>
      <c r="CS1388" s="73"/>
      <c r="CT1388" s="73"/>
      <c r="CU1388" s="73"/>
      <c r="CV1388" s="73"/>
      <c r="CW1388" s="73"/>
      <c r="CX1388" s="73"/>
      <c r="CY1388" s="73"/>
      <c r="CZ1388" s="73"/>
      <c r="DA1388" s="73"/>
      <c r="DB1388" s="73"/>
      <c r="DC1388" s="73"/>
      <c r="DD1388" s="73"/>
      <c r="DE1388" s="73"/>
      <c r="DF1388" s="73"/>
      <c r="DG1388" s="73"/>
      <c r="DH1388" s="73"/>
      <c r="DI1388" s="73"/>
      <c r="DJ1388" s="73"/>
      <c r="DK1388" s="73"/>
      <c r="DL1388" s="73"/>
      <c r="DM1388" s="73"/>
    </row>
    <row r="1389" spans="1:117" s="48" customFormat="1">
      <c r="A1389" s="73"/>
      <c r="T1389" s="73"/>
      <c r="U1389" s="73"/>
      <c r="V1389" s="73"/>
      <c r="W1389" s="73"/>
      <c r="X1389" s="73"/>
      <c r="Y1389" s="73"/>
      <c r="Z1389" s="73"/>
      <c r="AA1389" s="73"/>
      <c r="AB1389" s="73"/>
      <c r="AC1389" s="73"/>
      <c r="AD1389" s="73"/>
      <c r="AE1389" s="73"/>
      <c r="AF1389" s="73"/>
      <c r="AG1389" s="73"/>
      <c r="AH1389" s="73"/>
      <c r="AI1389" s="73"/>
      <c r="AJ1389" s="73"/>
      <c r="AK1389" s="73"/>
      <c r="AL1389" s="73"/>
      <c r="AM1389" s="73"/>
      <c r="AN1389" s="73"/>
      <c r="AO1389" s="73"/>
      <c r="AP1389" s="73"/>
      <c r="AQ1389" s="73"/>
      <c r="AR1389" s="73"/>
      <c r="AS1389" s="73"/>
      <c r="AT1389" s="73"/>
      <c r="AU1389" s="73"/>
      <c r="AV1389" s="73"/>
      <c r="AW1389" s="73"/>
      <c r="AX1389" s="73"/>
      <c r="AY1389" s="73"/>
      <c r="AZ1389" s="73"/>
      <c r="BA1389" s="73"/>
      <c r="BB1389" s="73"/>
      <c r="BC1389" s="73"/>
      <c r="BD1389" s="73"/>
      <c r="BE1389" s="73"/>
      <c r="BF1389" s="73"/>
      <c r="BG1389" s="73"/>
      <c r="BH1389" s="73"/>
      <c r="BI1389" s="73"/>
      <c r="BJ1389" s="73"/>
      <c r="BK1389" s="73"/>
      <c r="BL1389" s="73"/>
      <c r="BM1389" s="73"/>
      <c r="BN1389" s="73"/>
      <c r="BO1389" s="73"/>
      <c r="BP1389" s="73"/>
      <c r="BQ1389" s="73"/>
      <c r="BR1389" s="73"/>
      <c r="BS1389" s="73"/>
      <c r="BT1389" s="73"/>
      <c r="BU1389" s="73"/>
      <c r="BV1389" s="73"/>
      <c r="BW1389" s="73"/>
      <c r="BX1389" s="73"/>
      <c r="BY1389" s="73"/>
      <c r="BZ1389" s="73"/>
      <c r="CA1389" s="73"/>
      <c r="CB1389" s="73"/>
      <c r="CC1389" s="73"/>
      <c r="CD1389" s="73"/>
      <c r="CE1389" s="73"/>
      <c r="CF1389" s="73"/>
      <c r="CG1389" s="73"/>
      <c r="CH1389" s="73"/>
      <c r="CI1389" s="73"/>
      <c r="CJ1389" s="73"/>
      <c r="CK1389" s="73"/>
      <c r="CL1389" s="73"/>
      <c r="CM1389" s="73"/>
      <c r="CN1389" s="73"/>
      <c r="CO1389" s="73"/>
      <c r="CP1389" s="73"/>
      <c r="CQ1389" s="73"/>
      <c r="CR1389" s="73"/>
      <c r="CS1389" s="73"/>
      <c r="CT1389" s="73"/>
      <c r="CU1389" s="73"/>
      <c r="CV1389" s="73"/>
      <c r="CW1389" s="73"/>
      <c r="CX1389" s="73"/>
      <c r="CY1389" s="73"/>
      <c r="CZ1389" s="73"/>
      <c r="DA1389" s="73"/>
      <c r="DB1389" s="73"/>
      <c r="DC1389" s="73"/>
      <c r="DD1389" s="73"/>
      <c r="DE1389" s="73"/>
      <c r="DF1389" s="73"/>
      <c r="DG1389" s="73"/>
      <c r="DH1389" s="73"/>
      <c r="DI1389" s="73"/>
      <c r="DJ1389" s="73"/>
      <c r="DK1389" s="73"/>
      <c r="DL1389" s="73"/>
      <c r="DM1389" s="73"/>
    </row>
    <row r="1390" spans="1:117" s="48" customFormat="1">
      <c r="A1390" s="73"/>
      <c r="T1390" s="73"/>
      <c r="U1390" s="73"/>
      <c r="V1390" s="73"/>
      <c r="W1390" s="73"/>
      <c r="X1390" s="73"/>
      <c r="Y1390" s="73"/>
      <c r="Z1390" s="73"/>
      <c r="AA1390" s="73"/>
      <c r="AB1390" s="73"/>
      <c r="AC1390" s="73"/>
      <c r="AD1390" s="73"/>
      <c r="AE1390" s="73"/>
      <c r="AF1390" s="73"/>
      <c r="AG1390" s="73"/>
      <c r="AH1390" s="73"/>
      <c r="AI1390" s="73"/>
      <c r="AJ1390" s="73"/>
      <c r="AK1390" s="73"/>
      <c r="AL1390" s="73"/>
      <c r="AM1390" s="73"/>
      <c r="AN1390" s="73"/>
      <c r="AO1390" s="73"/>
      <c r="AP1390" s="73"/>
      <c r="AQ1390" s="73"/>
      <c r="AR1390" s="73"/>
      <c r="AS1390" s="73"/>
      <c r="AT1390" s="73"/>
      <c r="AU1390" s="73"/>
      <c r="AV1390" s="73"/>
      <c r="AW1390" s="73"/>
      <c r="AX1390" s="73"/>
      <c r="AY1390" s="73"/>
      <c r="AZ1390" s="73"/>
      <c r="BA1390" s="73"/>
      <c r="BB1390" s="73"/>
      <c r="BC1390" s="73"/>
      <c r="BD1390" s="73"/>
      <c r="BE1390" s="73"/>
      <c r="BF1390" s="73"/>
      <c r="BG1390" s="73"/>
      <c r="BH1390" s="73"/>
      <c r="BI1390" s="73"/>
      <c r="BJ1390" s="73"/>
      <c r="BK1390" s="73"/>
      <c r="BL1390" s="73"/>
      <c r="BM1390" s="73"/>
      <c r="BN1390" s="73"/>
      <c r="BO1390" s="73"/>
      <c r="BP1390" s="73"/>
      <c r="BQ1390" s="73"/>
      <c r="BR1390" s="73"/>
      <c r="BS1390" s="73"/>
      <c r="BT1390" s="73"/>
      <c r="BU1390" s="73"/>
      <c r="BV1390" s="73"/>
      <c r="BW1390" s="73"/>
      <c r="BX1390" s="73"/>
      <c r="BY1390" s="73"/>
      <c r="BZ1390" s="73"/>
      <c r="CA1390" s="73"/>
      <c r="CB1390" s="73"/>
      <c r="CC1390" s="73"/>
      <c r="CD1390" s="73"/>
      <c r="CE1390" s="73"/>
      <c r="CF1390" s="73"/>
      <c r="CG1390" s="73"/>
      <c r="CH1390" s="73"/>
      <c r="CI1390" s="73"/>
      <c r="CJ1390" s="73"/>
      <c r="CK1390" s="73"/>
      <c r="CL1390" s="73"/>
      <c r="CM1390" s="73"/>
      <c r="CN1390" s="73"/>
      <c r="CO1390" s="73"/>
      <c r="CP1390" s="73"/>
      <c r="CQ1390" s="73"/>
      <c r="CR1390" s="73"/>
      <c r="CS1390" s="73"/>
      <c r="CT1390" s="73"/>
      <c r="CU1390" s="73"/>
      <c r="CV1390" s="73"/>
      <c r="CW1390" s="73"/>
      <c r="CX1390" s="73"/>
      <c r="CY1390" s="73"/>
      <c r="CZ1390" s="73"/>
      <c r="DA1390" s="73"/>
      <c r="DB1390" s="73"/>
      <c r="DC1390" s="73"/>
      <c r="DD1390" s="73"/>
      <c r="DE1390" s="73"/>
      <c r="DF1390" s="73"/>
      <c r="DG1390" s="73"/>
      <c r="DH1390" s="73"/>
      <c r="DI1390" s="73"/>
      <c r="DJ1390" s="73"/>
      <c r="DK1390" s="73"/>
      <c r="DL1390" s="73"/>
      <c r="DM1390" s="73"/>
    </row>
    <row r="1391" spans="1:117" s="48" customFormat="1">
      <c r="A1391" s="73"/>
      <c r="T1391" s="73"/>
      <c r="U1391" s="73"/>
      <c r="V1391" s="73"/>
      <c r="W1391" s="73"/>
      <c r="X1391" s="73"/>
      <c r="Y1391" s="73"/>
      <c r="Z1391" s="73"/>
      <c r="AA1391" s="73"/>
      <c r="AB1391" s="73"/>
      <c r="AC1391" s="73"/>
      <c r="AD1391" s="73"/>
      <c r="AE1391" s="73"/>
      <c r="AF1391" s="73"/>
      <c r="AG1391" s="73"/>
      <c r="AH1391" s="73"/>
      <c r="AI1391" s="73"/>
      <c r="AJ1391" s="73"/>
      <c r="AK1391" s="73"/>
      <c r="AL1391" s="73"/>
      <c r="AM1391" s="73"/>
      <c r="AN1391" s="73"/>
      <c r="AO1391" s="73"/>
      <c r="AP1391" s="73"/>
      <c r="AQ1391" s="73"/>
      <c r="AR1391" s="73"/>
      <c r="AS1391" s="73"/>
      <c r="AT1391" s="73"/>
      <c r="AU1391" s="73"/>
      <c r="AV1391" s="73"/>
      <c r="AW1391" s="73"/>
      <c r="AX1391" s="73"/>
      <c r="AY1391" s="73"/>
      <c r="AZ1391" s="73"/>
      <c r="BA1391" s="73"/>
      <c r="BB1391" s="73"/>
      <c r="BC1391" s="73"/>
      <c r="BD1391" s="73"/>
      <c r="BE1391" s="73"/>
      <c r="BF1391" s="73"/>
      <c r="BG1391" s="73"/>
      <c r="BH1391" s="73"/>
      <c r="BI1391" s="73"/>
      <c r="BJ1391" s="73"/>
      <c r="BK1391" s="73"/>
      <c r="BL1391" s="73"/>
      <c r="BM1391" s="73"/>
      <c r="BN1391" s="73"/>
      <c r="BO1391" s="73"/>
      <c r="BP1391" s="73"/>
      <c r="BQ1391" s="73"/>
      <c r="BR1391" s="73"/>
      <c r="BS1391" s="73"/>
      <c r="BT1391" s="73"/>
      <c r="BU1391" s="73"/>
      <c r="BV1391" s="73"/>
      <c r="BW1391" s="73"/>
      <c r="BX1391" s="73"/>
      <c r="BY1391" s="73"/>
      <c r="BZ1391" s="73"/>
      <c r="CA1391" s="73"/>
      <c r="CB1391" s="73"/>
      <c r="CC1391" s="73"/>
      <c r="CD1391" s="73"/>
      <c r="CE1391" s="73"/>
      <c r="CF1391" s="73"/>
      <c r="CG1391" s="73"/>
      <c r="CH1391" s="73"/>
      <c r="CI1391" s="73"/>
      <c r="CJ1391" s="73"/>
      <c r="CK1391" s="73"/>
      <c r="CL1391" s="73"/>
      <c r="CM1391" s="73"/>
      <c r="CN1391" s="73"/>
      <c r="CO1391" s="73"/>
      <c r="CP1391" s="73"/>
      <c r="CQ1391" s="73"/>
      <c r="CR1391" s="73"/>
      <c r="CS1391" s="73"/>
      <c r="CT1391" s="73"/>
      <c r="CU1391" s="73"/>
      <c r="CV1391" s="73"/>
      <c r="CW1391" s="73"/>
      <c r="CX1391" s="73"/>
      <c r="CY1391" s="73"/>
      <c r="CZ1391" s="73"/>
      <c r="DA1391" s="73"/>
      <c r="DB1391" s="73"/>
      <c r="DC1391" s="73"/>
      <c r="DD1391" s="73"/>
      <c r="DE1391" s="73"/>
      <c r="DF1391" s="73"/>
      <c r="DG1391" s="73"/>
      <c r="DH1391" s="73"/>
      <c r="DI1391" s="73"/>
      <c r="DJ1391" s="73"/>
      <c r="DK1391" s="73"/>
      <c r="DL1391" s="73"/>
      <c r="DM1391" s="73"/>
    </row>
    <row r="1392" spans="1:117" s="48" customFormat="1">
      <c r="A1392" s="73"/>
      <c r="T1392" s="73"/>
      <c r="U1392" s="73"/>
      <c r="V1392" s="73"/>
      <c r="W1392" s="73"/>
      <c r="X1392" s="73"/>
      <c r="Y1392" s="73"/>
      <c r="Z1392" s="73"/>
      <c r="AA1392" s="73"/>
      <c r="AB1392" s="73"/>
      <c r="AC1392" s="73"/>
      <c r="AD1392" s="73"/>
      <c r="AE1392" s="73"/>
      <c r="AF1392" s="73"/>
      <c r="AG1392" s="73"/>
      <c r="AH1392" s="73"/>
      <c r="AI1392" s="73"/>
      <c r="AJ1392" s="73"/>
      <c r="AK1392" s="73"/>
      <c r="AL1392" s="73"/>
      <c r="AM1392" s="73"/>
      <c r="AN1392" s="73"/>
      <c r="AO1392" s="73"/>
      <c r="AP1392" s="73"/>
      <c r="AQ1392" s="73"/>
      <c r="AR1392" s="73"/>
      <c r="AS1392" s="73"/>
      <c r="AT1392" s="73"/>
      <c r="AU1392" s="73"/>
      <c r="AV1392" s="73"/>
      <c r="AW1392" s="73"/>
      <c r="AX1392" s="73"/>
      <c r="AY1392" s="73"/>
      <c r="AZ1392" s="73"/>
      <c r="BA1392" s="73"/>
      <c r="BB1392" s="73"/>
      <c r="BC1392" s="73"/>
      <c r="BD1392" s="73"/>
      <c r="BE1392" s="73"/>
      <c r="BF1392" s="73"/>
      <c r="BG1392" s="73"/>
      <c r="BH1392" s="73"/>
      <c r="BI1392" s="73"/>
      <c r="BJ1392" s="73"/>
      <c r="BK1392" s="73"/>
      <c r="BL1392" s="73"/>
      <c r="BM1392" s="73"/>
      <c r="BN1392" s="73"/>
      <c r="BO1392" s="73"/>
      <c r="BP1392" s="73"/>
      <c r="BQ1392" s="73"/>
      <c r="BR1392" s="73"/>
      <c r="BS1392" s="73"/>
      <c r="BT1392" s="73"/>
      <c r="BU1392" s="73"/>
      <c r="BV1392" s="73"/>
      <c r="BW1392" s="73"/>
      <c r="BX1392" s="73"/>
      <c r="BY1392" s="73"/>
      <c r="BZ1392" s="73"/>
      <c r="CA1392" s="73"/>
      <c r="CB1392" s="73"/>
      <c r="CC1392" s="73"/>
      <c r="CD1392" s="73"/>
      <c r="CE1392" s="73"/>
      <c r="CF1392" s="73"/>
      <c r="CG1392" s="73"/>
      <c r="CH1392" s="73"/>
      <c r="CI1392" s="73"/>
      <c r="CJ1392" s="73"/>
      <c r="CK1392" s="73"/>
      <c r="CL1392" s="73"/>
      <c r="CM1392" s="73"/>
      <c r="CN1392" s="73"/>
      <c r="CO1392" s="73"/>
      <c r="CP1392" s="73"/>
      <c r="CQ1392" s="73"/>
      <c r="CR1392" s="73"/>
      <c r="CS1392" s="73"/>
      <c r="CT1392" s="73"/>
      <c r="CU1392" s="73"/>
      <c r="CV1392" s="73"/>
      <c r="CW1392" s="73"/>
      <c r="CX1392" s="73"/>
      <c r="CY1392" s="73"/>
      <c r="CZ1392" s="73"/>
      <c r="DA1392" s="73"/>
      <c r="DB1392" s="73"/>
      <c r="DC1392" s="73"/>
      <c r="DD1392" s="73"/>
      <c r="DE1392" s="73"/>
      <c r="DF1392" s="73"/>
      <c r="DG1392" s="73"/>
      <c r="DH1392" s="73"/>
      <c r="DI1392" s="73"/>
      <c r="DJ1392" s="73"/>
      <c r="DK1392" s="73"/>
      <c r="DL1392" s="73"/>
      <c r="DM1392" s="73"/>
    </row>
    <row r="1393" spans="1:117" s="48" customFormat="1">
      <c r="A1393" s="73"/>
      <c r="T1393" s="73"/>
      <c r="U1393" s="73"/>
      <c r="V1393" s="73"/>
      <c r="W1393" s="73"/>
      <c r="X1393" s="73"/>
      <c r="Y1393" s="73"/>
      <c r="Z1393" s="73"/>
      <c r="AA1393" s="73"/>
      <c r="AB1393" s="73"/>
      <c r="AC1393" s="73"/>
      <c r="AD1393" s="73"/>
      <c r="AE1393" s="73"/>
      <c r="AF1393" s="73"/>
      <c r="AG1393" s="73"/>
      <c r="AH1393" s="73"/>
      <c r="AI1393" s="73"/>
      <c r="AJ1393" s="73"/>
      <c r="AK1393" s="73"/>
      <c r="AL1393" s="73"/>
      <c r="AM1393" s="73"/>
      <c r="AN1393" s="73"/>
      <c r="AO1393" s="73"/>
      <c r="AP1393" s="73"/>
      <c r="AQ1393" s="73"/>
      <c r="AR1393" s="73"/>
      <c r="AS1393" s="73"/>
      <c r="AT1393" s="73"/>
      <c r="AU1393" s="73"/>
      <c r="AV1393" s="73"/>
      <c r="AW1393" s="73"/>
      <c r="AX1393" s="73"/>
      <c r="AY1393" s="73"/>
      <c r="AZ1393" s="73"/>
      <c r="BA1393" s="73"/>
      <c r="BB1393" s="73"/>
      <c r="BC1393" s="73"/>
      <c r="BD1393" s="73"/>
      <c r="BE1393" s="73"/>
      <c r="BF1393" s="73"/>
      <c r="BG1393" s="73"/>
      <c r="BH1393" s="73"/>
      <c r="BI1393" s="73"/>
      <c r="BJ1393" s="73"/>
      <c r="BK1393" s="73"/>
      <c r="BL1393" s="73"/>
      <c r="BM1393" s="73"/>
      <c r="BN1393" s="73"/>
      <c r="BO1393" s="73"/>
      <c r="BP1393" s="73"/>
      <c r="BQ1393" s="73"/>
      <c r="BR1393" s="73"/>
      <c r="BS1393" s="73"/>
      <c r="BT1393" s="73"/>
      <c r="BU1393" s="73"/>
      <c r="BV1393" s="73"/>
      <c r="BW1393" s="73"/>
      <c r="BX1393" s="73"/>
      <c r="BY1393" s="73"/>
      <c r="BZ1393" s="73"/>
      <c r="CA1393" s="73"/>
      <c r="CB1393" s="73"/>
      <c r="CC1393" s="73"/>
      <c r="CD1393" s="73"/>
      <c r="CE1393" s="73"/>
      <c r="CF1393" s="73"/>
      <c r="CG1393" s="73"/>
      <c r="CH1393" s="73"/>
      <c r="CI1393" s="73"/>
      <c r="CJ1393" s="73"/>
      <c r="CK1393" s="73"/>
      <c r="CL1393" s="73"/>
      <c r="CM1393" s="73"/>
      <c r="CN1393" s="73"/>
      <c r="CO1393" s="73"/>
      <c r="CP1393" s="73"/>
      <c r="CQ1393" s="73"/>
      <c r="CR1393" s="73"/>
      <c r="CS1393" s="73"/>
      <c r="CT1393" s="73"/>
      <c r="CU1393" s="73"/>
      <c r="CV1393" s="73"/>
      <c r="CW1393" s="73"/>
      <c r="CX1393" s="73"/>
      <c r="CY1393" s="73"/>
      <c r="CZ1393" s="73"/>
      <c r="DA1393" s="73"/>
      <c r="DB1393" s="73"/>
      <c r="DC1393" s="73"/>
      <c r="DD1393" s="73"/>
      <c r="DE1393" s="73"/>
      <c r="DF1393" s="73"/>
      <c r="DG1393" s="73"/>
      <c r="DH1393" s="73"/>
      <c r="DI1393" s="73"/>
      <c r="DJ1393" s="73"/>
      <c r="DK1393" s="73"/>
      <c r="DL1393" s="73"/>
      <c r="DM1393" s="73"/>
    </row>
    <row r="1394" spans="1:117" s="48" customFormat="1">
      <c r="A1394" s="73"/>
      <c r="T1394" s="73"/>
      <c r="U1394" s="73"/>
      <c r="V1394" s="73"/>
      <c r="W1394" s="73"/>
      <c r="X1394" s="73"/>
      <c r="Y1394" s="73"/>
      <c r="Z1394" s="73"/>
      <c r="AA1394" s="73"/>
      <c r="AB1394" s="73"/>
      <c r="AC1394" s="73"/>
      <c r="AD1394" s="73"/>
      <c r="AE1394" s="73"/>
      <c r="AF1394" s="73"/>
      <c r="AG1394" s="73"/>
      <c r="AH1394" s="73"/>
      <c r="AI1394" s="73"/>
      <c r="AJ1394" s="73"/>
      <c r="AK1394" s="73"/>
      <c r="AL1394" s="73"/>
      <c r="AM1394" s="73"/>
      <c r="AN1394" s="73"/>
      <c r="AO1394" s="73"/>
      <c r="AP1394" s="73"/>
      <c r="AQ1394" s="73"/>
      <c r="AR1394" s="73"/>
      <c r="AS1394" s="73"/>
      <c r="AT1394" s="73"/>
      <c r="AU1394" s="73"/>
      <c r="AV1394" s="73"/>
      <c r="AW1394" s="73"/>
      <c r="AX1394" s="73"/>
      <c r="AY1394" s="73"/>
      <c r="AZ1394" s="73"/>
      <c r="BA1394" s="73"/>
      <c r="BB1394" s="73"/>
      <c r="BC1394" s="73"/>
      <c r="BD1394" s="73"/>
      <c r="BE1394" s="73"/>
      <c r="BF1394" s="73"/>
      <c r="BG1394" s="73"/>
      <c r="BH1394" s="73"/>
      <c r="BI1394" s="73"/>
      <c r="BJ1394" s="73"/>
      <c r="BK1394" s="73"/>
      <c r="BL1394" s="73"/>
      <c r="BM1394" s="73"/>
      <c r="BN1394" s="73"/>
      <c r="BO1394" s="73"/>
      <c r="BP1394" s="73"/>
      <c r="BQ1394" s="73"/>
      <c r="BR1394" s="73"/>
      <c r="BS1394" s="73"/>
      <c r="BT1394" s="73"/>
      <c r="BU1394" s="73"/>
      <c r="BV1394" s="73"/>
      <c r="BW1394" s="73"/>
      <c r="BX1394" s="73"/>
      <c r="BY1394" s="73"/>
      <c r="BZ1394" s="73"/>
      <c r="CA1394" s="73"/>
      <c r="CB1394" s="73"/>
      <c r="CC1394" s="73"/>
      <c r="CD1394" s="73"/>
      <c r="CE1394" s="73"/>
      <c r="CF1394" s="73"/>
      <c r="CG1394" s="73"/>
      <c r="CH1394" s="73"/>
      <c r="CI1394" s="73"/>
      <c r="CJ1394" s="73"/>
      <c r="CK1394" s="73"/>
      <c r="CL1394" s="73"/>
      <c r="CM1394" s="73"/>
      <c r="CN1394" s="73"/>
      <c r="CO1394" s="73"/>
      <c r="CP1394" s="73"/>
      <c r="CQ1394" s="73"/>
      <c r="CR1394" s="73"/>
      <c r="CS1394" s="73"/>
      <c r="CT1394" s="73"/>
      <c r="CU1394" s="73"/>
      <c r="CV1394" s="73"/>
      <c r="CW1394" s="73"/>
      <c r="CX1394" s="73"/>
      <c r="CY1394" s="73"/>
      <c r="CZ1394" s="73"/>
      <c r="DA1394" s="73"/>
      <c r="DB1394" s="73"/>
      <c r="DC1394" s="73"/>
      <c r="DD1394" s="73"/>
      <c r="DE1394" s="73"/>
      <c r="DF1394" s="73"/>
      <c r="DG1394" s="73"/>
      <c r="DH1394" s="73"/>
      <c r="DI1394" s="73"/>
      <c r="DJ1394" s="73"/>
      <c r="DK1394" s="73"/>
      <c r="DL1394" s="73"/>
      <c r="DM1394" s="73"/>
    </row>
    <row r="1395" spans="1:117" s="48" customFormat="1">
      <c r="A1395" s="73"/>
      <c r="T1395" s="73"/>
      <c r="U1395" s="73"/>
      <c r="V1395" s="73"/>
      <c r="W1395" s="73"/>
      <c r="X1395" s="73"/>
      <c r="Y1395" s="73"/>
      <c r="Z1395" s="73"/>
      <c r="AA1395" s="73"/>
      <c r="AB1395" s="73"/>
      <c r="AC1395" s="73"/>
      <c r="AD1395" s="73"/>
      <c r="AE1395" s="73"/>
      <c r="AF1395" s="73"/>
      <c r="AG1395" s="73"/>
      <c r="AH1395" s="73"/>
      <c r="AI1395" s="73"/>
      <c r="AJ1395" s="73"/>
      <c r="AK1395" s="73"/>
      <c r="AL1395" s="73"/>
      <c r="AM1395" s="73"/>
      <c r="AN1395" s="73"/>
      <c r="AO1395" s="73"/>
      <c r="AP1395" s="73"/>
      <c r="AQ1395" s="73"/>
      <c r="AR1395" s="73"/>
      <c r="AS1395" s="73"/>
      <c r="AT1395" s="73"/>
      <c r="AU1395" s="73"/>
      <c r="AV1395" s="73"/>
      <c r="AW1395" s="73"/>
      <c r="AX1395" s="73"/>
      <c r="AY1395" s="73"/>
      <c r="AZ1395" s="73"/>
      <c r="BA1395" s="73"/>
      <c r="BB1395" s="73"/>
      <c r="BC1395" s="73"/>
      <c r="BD1395" s="73"/>
      <c r="BE1395" s="73"/>
      <c r="BF1395" s="73"/>
      <c r="BG1395" s="73"/>
      <c r="BH1395" s="73"/>
      <c r="BI1395" s="73"/>
      <c r="BJ1395" s="73"/>
      <c r="BK1395" s="73"/>
      <c r="BL1395" s="73"/>
      <c r="BM1395" s="73"/>
      <c r="BN1395" s="73"/>
      <c r="BO1395" s="73"/>
      <c r="BP1395" s="73"/>
      <c r="BQ1395" s="73"/>
      <c r="BR1395" s="73"/>
      <c r="BS1395" s="73"/>
      <c r="BT1395" s="73"/>
      <c r="BU1395" s="73"/>
      <c r="BV1395" s="73"/>
      <c r="BW1395" s="73"/>
      <c r="BX1395" s="73"/>
      <c r="BY1395" s="73"/>
      <c r="BZ1395" s="73"/>
      <c r="CA1395" s="73"/>
      <c r="CB1395" s="73"/>
      <c r="CC1395" s="73"/>
      <c r="CD1395" s="73"/>
      <c r="CE1395" s="73"/>
      <c r="CF1395" s="73"/>
      <c r="CG1395" s="73"/>
      <c r="CH1395" s="73"/>
      <c r="CI1395" s="73"/>
      <c r="CJ1395" s="73"/>
      <c r="CK1395" s="73"/>
      <c r="CL1395" s="73"/>
      <c r="CM1395" s="73"/>
      <c r="CN1395" s="73"/>
      <c r="CO1395" s="73"/>
      <c r="CP1395" s="73"/>
      <c r="CQ1395" s="73"/>
      <c r="CR1395" s="73"/>
      <c r="CS1395" s="73"/>
      <c r="CT1395" s="73"/>
      <c r="CU1395" s="73"/>
      <c r="CV1395" s="73"/>
      <c r="CW1395" s="73"/>
      <c r="CX1395" s="73"/>
      <c r="CY1395" s="73"/>
      <c r="CZ1395" s="73"/>
      <c r="DA1395" s="73"/>
      <c r="DB1395" s="73"/>
      <c r="DC1395" s="73"/>
      <c r="DD1395" s="73"/>
      <c r="DE1395" s="73"/>
      <c r="DF1395" s="73"/>
      <c r="DG1395" s="73"/>
      <c r="DH1395" s="73"/>
      <c r="DI1395" s="73"/>
      <c r="DJ1395" s="73"/>
      <c r="DK1395" s="73"/>
      <c r="DL1395" s="73"/>
      <c r="DM1395" s="73"/>
    </row>
    <row r="1396" spans="1:117" s="48" customFormat="1">
      <c r="A1396" s="73"/>
      <c r="T1396" s="73"/>
      <c r="U1396" s="73"/>
      <c r="V1396" s="73"/>
      <c r="W1396" s="73"/>
      <c r="X1396" s="73"/>
      <c r="Y1396" s="73"/>
      <c r="Z1396" s="73"/>
      <c r="AA1396" s="73"/>
      <c r="AB1396" s="73"/>
      <c r="AC1396" s="73"/>
      <c r="AD1396" s="73"/>
      <c r="AE1396" s="73"/>
      <c r="AF1396" s="73"/>
      <c r="AG1396" s="73"/>
      <c r="AH1396" s="73"/>
      <c r="AI1396" s="73"/>
      <c r="AJ1396" s="73"/>
      <c r="AK1396" s="73"/>
      <c r="AL1396" s="73"/>
      <c r="AM1396" s="73"/>
      <c r="AN1396" s="73"/>
      <c r="AO1396" s="73"/>
      <c r="AP1396" s="73"/>
      <c r="AQ1396" s="73"/>
      <c r="AR1396" s="73"/>
      <c r="AS1396" s="73"/>
      <c r="AT1396" s="73"/>
      <c r="AU1396" s="73"/>
      <c r="AV1396" s="73"/>
      <c r="AW1396" s="73"/>
      <c r="AX1396" s="73"/>
      <c r="AY1396" s="73"/>
      <c r="AZ1396" s="73"/>
      <c r="BA1396" s="73"/>
      <c r="BB1396" s="73"/>
      <c r="BC1396" s="73"/>
      <c r="BD1396" s="73"/>
      <c r="BE1396" s="73"/>
      <c r="BF1396" s="73"/>
      <c r="BG1396" s="73"/>
      <c r="BH1396" s="73"/>
      <c r="BI1396" s="73"/>
      <c r="BJ1396" s="73"/>
      <c r="BK1396" s="73"/>
      <c r="BL1396" s="73"/>
      <c r="BM1396" s="73"/>
      <c r="BN1396" s="73"/>
      <c r="BO1396" s="73"/>
      <c r="BP1396" s="73"/>
      <c r="BQ1396" s="73"/>
      <c r="BR1396" s="73"/>
      <c r="BS1396" s="73"/>
      <c r="BT1396" s="73"/>
      <c r="BU1396" s="73"/>
      <c r="BV1396" s="73"/>
      <c r="BW1396" s="73"/>
      <c r="BX1396" s="73"/>
      <c r="BY1396" s="73"/>
      <c r="BZ1396" s="73"/>
      <c r="CA1396" s="73"/>
      <c r="CB1396" s="73"/>
      <c r="CC1396" s="73"/>
      <c r="CD1396" s="73"/>
      <c r="CE1396" s="73"/>
      <c r="CF1396" s="73"/>
      <c r="CG1396" s="73"/>
      <c r="CH1396" s="73"/>
      <c r="CI1396" s="73"/>
      <c r="CJ1396" s="73"/>
      <c r="CK1396" s="73"/>
      <c r="CL1396" s="73"/>
      <c r="CM1396" s="73"/>
      <c r="CN1396" s="73"/>
      <c r="CO1396" s="73"/>
      <c r="CP1396" s="73"/>
      <c r="CQ1396" s="73"/>
      <c r="CR1396" s="73"/>
      <c r="CS1396" s="73"/>
      <c r="CT1396" s="73"/>
      <c r="CU1396" s="73"/>
      <c r="CV1396" s="73"/>
      <c r="CW1396" s="73"/>
      <c r="CX1396" s="73"/>
      <c r="CY1396" s="73"/>
      <c r="CZ1396" s="73"/>
      <c r="DA1396" s="73"/>
      <c r="DB1396" s="73"/>
      <c r="DC1396" s="73"/>
      <c r="DD1396" s="73"/>
      <c r="DE1396" s="73"/>
      <c r="DF1396" s="73"/>
      <c r="DG1396" s="73"/>
      <c r="DH1396" s="73"/>
      <c r="DI1396" s="73"/>
      <c r="DJ1396" s="73"/>
      <c r="DK1396" s="73"/>
      <c r="DL1396" s="73"/>
      <c r="DM1396" s="73"/>
    </row>
    <row r="1397" spans="1:117" s="48" customFormat="1">
      <c r="A1397" s="73"/>
      <c r="T1397" s="73"/>
      <c r="U1397" s="73"/>
      <c r="V1397" s="73"/>
      <c r="W1397" s="73"/>
      <c r="X1397" s="73"/>
      <c r="Y1397" s="73"/>
      <c r="Z1397" s="73"/>
      <c r="AA1397" s="73"/>
      <c r="AB1397" s="73"/>
      <c r="AC1397" s="73"/>
      <c r="AD1397" s="73"/>
      <c r="AE1397" s="73"/>
      <c r="AF1397" s="73"/>
      <c r="AG1397" s="73"/>
      <c r="AH1397" s="73"/>
      <c r="AI1397" s="73"/>
      <c r="AJ1397" s="73"/>
      <c r="AK1397" s="73"/>
      <c r="AL1397" s="73"/>
      <c r="AM1397" s="73"/>
      <c r="AN1397" s="73"/>
      <c r="AO1397" s="73"/>
      <c r="AP1397" s="73"/>
      <c r="AQ1397" s="73"/>
      <c r="AR1397" s="73"/>
      <c r="AS1397" s="73"/>
      <c r="AT1397" s="73"/>
      <c r="AU1397" s="73"/>
      <c r="AV1397" s="73"/>
      <c r="AW1397" s="73"/>
      <c r="AX1397" s="73"/>
      <c r="AY1397" s="73"/>
      <c r="AZ1397" s="73"/>
      <c r="BA1397" s="73"/>
      <c r="BB1397" s="73"/>
      <c r="BC1397" s="73"/>
      <c r="BD1397" s="73"/>
      <c r="BE1397" s="73"/>
      <c r="BF1397" s="73"/>
      <c r="BG1397" s="73"/>
      <c r="BH1397" s="73"/>
      <c r="BI1397" s="73"/>
      <c r="BJ1397" s="73"/>
      <c r="BK1397" s="73"/>
      <c r="BL1397" s="73"/>
      <c r="BM1397" s="73"/>
      <c r="BN1397" s="73"/>
      <c r="BO1397" s="73"/>
      <c r="BP1397" s="73"/>
      <c r="BQ1397" s="73"/>
      <c r="BR1397" s="73"/>
      <c r="BS1397" s="73"/>
      <c r="BT1397" s="73"/>
      <c r="BU1397" s="73"/>
      <c r="BV1397" s="73"/>
      <c r="BW1397" s="73"/>
      <c r="BX1397" s="73"/>
      <c r="BY1397" s="73"/>
      <c r="BZ1397" s="73"/>
      <c r="CA1397" s="73"/>
      <c r="CB1397" s="73"/>
      <c r="CC1397" s="73"/>
      <c r="CD1397" s="73"/>
      <c r="CE1397" s="73"/>
      <c r="CF1397" s="73"/>
      <c r="CG1397" s="73"/>
      <c r="CH1397" s="73"/>
      <c r="CI1397" s="73"/>
      <c r="CJ1397" s="73"/>
      <c r="CK1397" s="73"/>
      <c r="CL1397" s="73"/>
      <c r="CM1397" s="73"/>
      <c r="CN1397" s="73"/>
      <c r="CO1397" s="73"/>
      <c r="CP1397" s="73"/>
      <c r="CQ1397" s="73"/>
      <c r="CR1397" s="73"/>
      <c r="CS1397" s="73"/>
      <c r="CT1397" s="73"/>
      <c r="CU1397" s="73"/>
      <c r="CV1397" s="73"/>
      <c r="CW1397" s="73"/>
      <c r="CX1397" s="73"/>
      <c r="CY1397" s="73"/>
      <c r="CZ1397" s="73"/>
      <c r="DA1397" s="73"/>
      <c r="DB1397" s="73"/>
      <c r="DC1397" s="73"/>
      <c r="DD1397" s="73"/>
      <c r="DE1397" s="73"/>
      <c r="DF1397" s="73"/>
      <c r="DG1397" s="73"/>
      <c r="DH1397" s="73"/>
      <c r="DI1397" s="73"/>
      <c r="DJ1397" s="73"/>
      <c r="DK1397" s="73"/>
      <c r="DL1397" s="73"/>
      <c r="DM1397" s="73"/>
    </row>
    <row r="1398" spans="1:117" s="48" customFormat="1">
      <c r="A1398" s="73"/>
      <c r="T1398" s="73"/>
      <c r="U1398" s="73"/>
      <c r="V1398" s="73"/>
      <c r="W1398" s="73"/>
      <c r="X1398" s="73"/>
      <c r="Y1398" s="73"/>
      <c r="Z1398" s="73"/>
      <c r="AA1398" s="73"/>
      <c r="AB1398" s="73"/>
      <c r="AC1398" s="73"/>
      <c r="AD1398" s="73"/>
      <c r="AE1398" s="73"/>
      <c r="AF1398" s="73"/>
      <c r="AG1398" s="73"/>
      <c r="AH1398" s="73"/>
      <c r="AI1398" s="73"/>
      <c r="AJ1398" s="73"/>
      <c r="AK1398" s="73"/>
      <c r="AL1398" s="73"/>
      <c r="AM1398" s="73"/>
      <c r="AN1398" s="73"/>
      <c r="AO1398" s="73"/>
      <c r="AP1398" s="73"/>
      <c r="AQ1398" s="73"/>
      <c r="AR1398" s="73"/>
      <c r="AS1398" s="73"/>
      <c r="AT1398" s="73"/>
      <c r="AU1398" s="73"/>
      <c r="AV1398" s="73"/>
      <c r="AW1398" s="73"/>
      <c r="AX1398" s="73"/>
      <c r="AY1398" s="73"/>
      <c r="AZ1398" s="73"/>
      <c r="BA1398" s="73"/>
      <c r="BB1398" s="73"/>
      <c r="BC1398" s="73"/>
      <c r="BD1398" s="73"/>
      <c r="BE1398" s="73"/>
      <c r="BF1398" s="73"/>
      <c r="BG1398" s="73"/>
      <c r="BH1398" s="73"/>
      <c r="BI1398" s="73"/>
      <c r="BJ1398" s="73"/>
      <c r="BK1398" s="73"/>
      <c r="BL1398" s="73"/>
      <c r="BM1398" s="73"/>
      <c r="BN1398" s="73"/>
      <c r="BO1398" s="73"/>
      <c r="BP1398" s="73"/>
      <c r="BQ1398" s="73"/>
      <c r="BR1398" s="73"/>
      <c r="BS1398" s="73"/>
      <c r="BT1398" s="73"/>
      <c r="BU1398" s="73"/>
      <c r="BV1398" s="73"/>
      <c r="BW1398" s="73"/>
      <c r="BX1398" s="73"/>
      <c r="BY1398" s="73"/>
      <c r="BZ1398" s="73"/>
      <c r="CA1398" s="73"/>
      <c r="CB1398" s="73"/>
      <c r="CC1398" s="73"/>
      <c r="CD1398" s="73"/>
      <c r="CE1398" s="73"/>
      <c r="CF1398" s="73"/>
      <c r="CG1398" s="73"/>
      <c r="CH1398" s="73"/>
      <c r="CI1398" s="73"/>
      <c r="CJ1398" s="73"/>
      <c r="CK1398" s="73"/>
      <c r="CL1398" s="73"/>
      <c r="CM1398" s="73"/>
      <c r="CN1398" s="73"/>
      <c r="CO1398" s="73"/>
      <c r="CP1398" s="73"/>
      <c r="CQ1398" s="73"/>
      <c r="CR1398" s="73"/>
      <c r="CS1398" s="73"/>
      <c r="CT1398" s="73"/>
      <c r="CU1398" s="73"/>
      <c r="CV1398" s="73"/>
      <c r="CW1398" s="73"/>
      <c r="CX1398" s="73"/>
      <c r="CY1398" s="73"/>
      <c r="CZ1398" s="73"/>
      <c r="DA1398" s="73"/>
      <c r="DB1398" s="73"/>
      <c r="DC1398" s="73"/>
      <c r="DD1398" s="73"/>
      <c r="DE1398" s="73"/>
      <c r="DF1398" s="73"/>
      <c r="DG1398" s="73"/>
      <c r="DH1398" s="73"/>
      <c r="DI1398" s="73"/>
      <c r="DJ1398" s="73"/>
      <c r="DK1398" s="73"/>
      <c r="DL1398" s="73"/>
      <c r="DM1398" s="73"/>
    </row>
    <row r="1399" spans="1:117" s="48" customFormat="1">
      <c r="A1399" s="73"/>
      <c r="T1399" s="73"/>
      <c r="U1399" s="73"/>
      <c r="V1399" s="73"/>
      <c r="W1399" s="73"/>
      <c r="X1399" s="73"/>
      <c r="Y1399" s="73"/>
      <c r="Z1399" s="73"/>
      <c r="AA1399" s="73"/>
      <c r="AB1399" s="73"/>
      <c r="AC1399" s="73"/>
      <c r="AD1399" s="73"/>
      <c r="AE1399" s="73"/>
      <c r="AF1399" s="73"/>
      <c r="AG1399" s="73"/>
      <c r="AH1399" s="73"/>
      <c r="AI1399" s="73"/>
      <c r="AJ1399" s="73"/>
      <c r="AK1399" s="73"/>
      <c r="AL1399" s="73"/>
      <c r="AM1399" s="73"/>
      <c r="AN1399" s="73"/>
      <c r="AO1399" s="73"/>
      <c r="AP1399" s="73"/>
      <c r="AQ1399" s="73"/>
      <c r="AR1399" s="73"/>
      <c r="AS1399" s="73"/>
      <c r="AT1399" s="73"/>
      <c r="AU1399" s="73"/>
      <c r="AV1399" s="73"/>
      <c r="AW1399" s="73"/>
      <c r="AX1399" s="73"/>
      <c r="AY1399" s="73"/>
      <c r="AZ1399" s="73"/>
      <c r="BA1399" s="73"/>
      <c r="BB1399" s="73"/>
      <c r="BC1399" s="73"/>
      <c r="BD1399" s="73"/>
      <c r="BE1399" s="73"/>
      <c r="BF1399" s="73"/>
      <c r="BG1399" s="73"/>
      <c r="BH1399" s="73"/>
      <c r="BI1399" s="73"/>
      <c r="BJ1399" s="73"/>
      <c r="BK1399" s="73"/>
      <c r="BL1399" s="73"/>
      <c r="BM1399" s="73"/>
      <c r="BN1399" s="73"/>
      <c r="BO1399" s="73"/>
      <c r="BP1399" s="73"/>
      <c r="BQ1399" s="73"/>
      <c r="BR1399" s="73"/>
      <c r="BS1399" s="73"/>
      <c r="BT1399" s="73"/>
      <c r="BU1399" s="73"/>
      <c r="BV1399" s="73"/>
      <c r="BW1399" s="73"/>
      <c r="BX1399" s="73"/>
      <c r="BY1399" s="73"/>
      <c r="BZ1399" s="73"/>
      <c r="CA1399" s="73"/>
      <c r="CB1399" s="73"/>
      <c r="CC1399" s="73"/>
      <c r="CD1399" s="73"/>
      <c r="CE1399" s="73"/>
      <c r="CF1399" s="73"/>
      <c r="CG1399" s="73"/>
      <c r="CH1399" s="73"/>
      <c r="CI1399" s="73"/>
      <c r="CJ1399" s="73"/>
      <c r="CK1399" s="73"/>
      <c r="CL1399" s="73"/>
      <c r="CM1399" s="73"/>
      <c r="CN1399" s="73"/>
      <c r="CO1399" s="73"/>
      <c r="CP1399" s="73"/>
      <c r="CQ1399" s="73"/>
      <c r="CR1399" s="73"/>
      <c r="CS1399" s="73"/>
      <c r="CT1399" s="73"/>
      <c r="CU1399" s="73"/>
      <c r="CV1399" s="73"/>
      <c r="CW1399" s="73"/>
      <c r="CX1399" s="73"/>
      <c r="CY1399" s="73"/>
      <c r="CZ1399" s="73"/>
      <c r="DA1399" s="73"/>
      <c r="DB1399" s="73"/>
      <c r="DC1399" s="73"/>
      <c r="DD1399" s="73"/>
      <c r="DE1399" s="73"/>
      <c r="DF1399" s="73"/>
      <c r="DG1399" s="73"/>
      <c r="DH1399" s="73"/>
      <c r="DI1399" s="73"/>
      <c r="DJ1399" s="73"/>
      <c r="DK1399" s="73"/>
      <c r="DL1399" s="73"/>
      <c r="DM1399" s="73"/>
    </row>
    <row r="1400" spans="1:117" s="48" customFormat="1">
      <c r="A1400" s="73"/>
      <c r="T1400" s="73"/>
      <c r="U1400" s="73"/>
      <c r="V1400" s="73"/>
      <c r="W1400" s="73"/>
      <c r="X1400" s="73"/>
      <c r="Y1400" s="73"/>
      <c r="Z1400" s="73"/>
      <c r="AA1400" s="73"/>
      <c r="AB1400" s="73"/>
      <c r="AC1400" s="73"/>
      <c r="AD1400" s="73"/>
      <c r="AE1400" s="73"/>
      <c r="AF1400" s="73"/>
      <c r="AG1400" s="73"/>
      <c r="AH1400" s="73"/>
      <c r="AI1400" s="73"/>
      <c r="AJ1400" s="73"/>
      <c r="AK1400" s="73"/>
      <c r="AL1400" s="73"/>
      <c r="AM1400" s="73"/>
      <c r="AN1400" s="73"/>
      <c r="AO1400" s="73"/>
      <c r="AP1400" s="73"/>
      <c r="AQ1400" s="73"/>
      <c r="AR1400" s="73"/>
      <c r="AS1400" s="73"/>
      <c r="AT1400" s="73"/>
      <c r="AU1400" s="73"/>
      <c r="AV1400" s="73"/>
      <c r="AW1400" s="73"/>
      <c r="AX1400" s="73"/>
      <c r="AY1400" s="73"/>
      <c r="AZ1400" s="73"/>
      <c r="BA1400" s="73"/>
      <c r="BB1400" s="73"/>
      <c r="BC1400" s="73"/>
      <c r="BD1400" s="73"/>
      <c r="BE1400" s="73"/>
      <c r="BF1400" s="73"/>
      <c r="BG1400" s="73"/>
      <c r="BH1400" s="73"/>
      <c r="BI1400" s="73"/>
      <c r="BJ1400" s="73"/>
      <c r="BK1400" s="73"/>
      <c r="BL1400" s="73"/>
      <c r="BM1400" s="73"/>
      <c r="BN1400" s="73"/>
      <c r="BO1400" s="73"/>
      <c r="BP1400" s="73"/>
      <c r="BQ1400" s="73"/>
      <c r="BR1400" s="73"/>
      <c r="BS1400" s="73"/>
      <c r="BT1400" s="73"/>
      <c r="BU1400" s="73"/>
      <c r="BV1400" s="73"/>
      <c r="BW1400" s="73"/>
      <c r="BX1400" s="73"/>
      <c r="BY1400" s="73"/>
      <c r="BZ1400" s="73"/>
      <c r="CA1400" s="73"/>
      <c r="CB1400" s="73"/>
      <c r="CC1400" s="73"/>
      <c r="CD1400" s="73"/>
      <c r="CE1400" s="73"/>
      <c r="CF1400" s="73"/>
      <c r="CG1400" s="73"/>
      <c r="CH1400" s="73"/>
      <c r="CI1400" s="73"/>
      <c r="CJ1400" s="73"/>
      <c r="CK1400" s="73"/>
      <c r="CL1400" s="73"/>
      <c r="CM1400" s="73"/>
      <c r="CN1400" s="73"/>
      <c r="CO1400" s="73"/>
      <c r="CP1400" s="73"/>
      <c r="CQ1400" s="73"/>
      <c r="CR1400" s="73"/>
      <c r="CS1400" s="73"/>
      <c r="CT1400" s="73"/>
      <c r="CU1400" s="73"/>
      <c r="CV1400" s="73"/>
      <c r="CW1400" s="73"/>
      <c r="CX1400" s="73"/>
      <c r="CY1400" s="73"/>
      <c r="CZ1400" s="73"/>
      <c r="DA1400" s="73"/>
      <c r="DB1400" s="73"/>
      <c r="DC1400" s="73"/>
      <c r="DD1400" s="73"/>
      <c r="DE1400" s="73"/>
      <c r="DF1400" s="73"/>
      <c r="DG1400" s="73"/>
      <c r="DH1400" s="73"/>
      <c r="DI1400" s="73"/>
      <c r="DJ1400" s="73"/>
      <c r="DK1400" s="73"/>
      <c r="DL1400" s="73"/>
      <c r="DM1400" s="73"/>
    </row>
    <row r="1401" spans="1:117" s="48" customFormat="1">
      <c r="A1401" s="73"/>
      <c r="T1401" s="73"/>
      <c r="U1401" s="73"/>
      <c r="V1401" s="73"/>
      <c r="W1401" s="73"/>
      <c r="X1401" s="73"/>
      <c r="Y1401" s="73"/>
      <c r="Z1401" s="73"/>
      <c r="AA1401" s="73"/>
      <c r="AB1401" s="73"/>
      <c r="AC1401" s="73"/>
      <c r="AD1401" s="73"/>
      <c r="AE1401" s="73"/>
      <c r="AF1401" s="73"/>
      <c r="AG1401" s="73"/>
      <c r="AH1401" s="73"/>
      <c r="AI1401" s="73"/>
      <c r="AJ1401" s="73"/>
      <c r="AK1401" s="73"/>
      <c r="AL1401" s="73"/>
      <c r="AM1401" s="73"/>
      <c r="AN1401" s="73"/>
      <c r="AO1401" s="73"/>
      <c r="AP1401" s="73"/>
      <c r="AQ1401" s="73"/>
      <c r="AR1401" s="73"/>
      <c r="AS1401" s="73"/>
      <c r="AT1401" s="73"/>
      <c r="AU1401" s="73"/>
      <c r="AV1401" s="73"/>
      <c r="AW1401" s="73"/>
      <c r="AX1401" s="73"/>
      <c r="AY1401" s="73"/>
      <c r="AZ1401" s="73"/>
      <c r="BA1401" s="73"/>
      <c r="BB1401" s="73"/>
      <c r="BC1401" s="73"/>
      <c r="BD1401" s="73"/>
      <c r="BE1401" s="73"/>
      <c r="BF1401" s="73"/>
      <c r="BG1401" s="73"/>
      <c r="BH1401" s="73"/>
      <c r="BI1401" s="73"/>
      <c r="BJ1401" s="73"/>
      <c r="BK1401" s="73"/>
      <c r="BL1401" s="73"/>
      <c r="BM1401" s="73"/>
      <c r="BN1401" s="73"/>
      <c r="BO1401" s="73"/>
      <c r="BP1401" s="73"/>
      <c r="BQ1401" s="73"/>
      <c r="BR1401" s="73"/>
      <c r="BS1401" s="73"/>
      <c r="BT1401" s="73"/>
      <c r="BU1401" s="73"/>
      <c r="BV1401" s="73"/>
      <c r="BW1401" s="73"/>
      <c r="BX1401" s="73"/>
      <c r="BY1401" s="73"/>
      <c r="BZ1401" s="73"/>
      <c r="CA1401" s="73"/>
      <c r="CB1401" s="73"/>
      <c r="CC1401" s="73"/>
      <c r="CD1401" s="73"/>
      <c r="CE1401" s="73"/>
      <c r="CF1401" s="73"/>
      <c r="CG1401" s="73"/>
      <c r="CH1401" s="73"/>
      <c r="CI1401" s="73"/>
      <c r="CJ1401" s="73"/>
      <c r="CK1401" s="73"/>
      <c r="CL1401" s="73"/>
      <c r="CM1401" s="73"/>
      <c r="CN1401" s="73"/>
      <c r="CO1401" s="73"/>
      <c r="CP1401" s="73"/>
      <c r="CQ1401" s="73"/>
      <c r="CR1401" s="73"/>
      <c r="CS1401" s="73"/>
      <c r="CT1401" s="73"/>
      <c r="CU1401" s="73"/>
      <c r="CV1401" s="73"/>
      <c r="CW1401" s="73"/>
      <c r="CX1401" s="73"/>
      <c r="CY1401" s="73"/>
      <c r="CZ1401" s="73"/>
      <c r="DA1401" s="73"/>
      <c r="DB1401" s="73"/>
      <c r="DC1401" s="73"/>
      <c r="DD1401" s="73"/>
      <c r="DE1401" s="73"/>
      <c r="DF1401" s="73"/>
      <c r="DG1401" s="73"/>
      <c r="DH1401" s="73"/>
      <c r="DI1401" s="73"/>
      <c r="DJ1401" s="73"/>
      <c r="DK1401" s="73"/>
      <c r="DL1401" s="73"/>
      <c r="DM1401" s="73"/>
    </row>
    <row r="1402" spans="1:117" s="48" customFormat="1">
      <c r="A1402" s="73"/>
      <c r="T1402" s="73"/>
      <c r="U1402" s="73"/>
      <c r="V1402" s="73"/>
      <c r="W1402" s="73"/>
      <c r="X1402" s="73"/>
      <c r="Y1402" s="73"/>
      <c r="Z1402" s="73"/>
      <c r="AA1402" s="73"/>
      <c r="AB1402" s="73"/>
      <c r="AC1402" s="73"/>
      <c r="AD1402" s="73"/>
      <c r="AE1402" s="73"/>
      <c r="AF1402" s="73"/>
      <c r="AG1402" s="73"/>
      <c r="AH1402" s="73"/>
      <c r="AI1402" s="73"/>
      <c r="AJ1402" s="73"/>
      <c r="AK1402" s="73"/>
      <c r="AL1402" s="73"/>
      <c r="AM1402" s="73"/>
      <c r="AN1402" s="73"/>
      <c r="AO1402" s="73"/>
      <c r="AP1402" s="73"/>
      <c r="AQ1402" s="73"/>
      <c r="AR1402" s="73"/>
      <c r="AS1402" s="73"/>
      <c r="AT1402" s="73"/>
      <c r="AU1402" s="73"/>
      <c r="AV1402" s="73"/>
      <c r="AW1402" s="73"/>
      <c r="AX1402" s="73"/>
      <c r="AY1402" s="73"/>
      <c r="AZ1402" s="73"/>
      <c r="BA1402" s="73"/>
      <c r="BB1402" s="73"/>
      <c r="BC1402" s="73"/>
      <c r="BD1402" s="73"/>
      <c r="BE1402" s="73"/>
      <c r="BF1402" s="73"/>
      <c r="BG1402" s="73"/>
      <c r="BH1402" s="73"/>
      <c r="BI1402" s="73"/>
      <c r="BJ1402" s="73"/>
      <c r="BK1402" s="73"/>
      <c r="BL1402" s="73"/>
      <c r="BM1402" s="73"/>
      <c r="BN1402" s="73"/>
      <c r="BO1402" s="73"/>
      <c r="BP1402" s="73"/>
      <c r="BQ1402" s="73"/>
      <c r="BR1402" s="73"/>
      <c r="BS1402" s="73"/>
      <c r="BT1402" s="73"/>
      <c r="BU1402" s="73"/>
      <c r="BV1402" s="73"/>
      <c r="BW1402" s="73"/>
      <c r="BX1402" s="73"/>
      <c r="BY1402" s="73"/>
      <c r="BZ1402" s="73"/>
      <c r="CA1402" s="73"/>
      <c r="CB1402" s="73"/>
      <c r="CC1402" s="73"/>
      <c r="CD1402" s="73"/>
      <c r="CE1402" s="73"/>
      <c r="CF1402" s="73"/>
      <c r="CG1402" s="73"/>
      <c r="CH1402" s="73"/>
      <c r="CI1402" s="73"/>
      <c r="CJ1402" s="73"/>
      <c r="CK1402" s="73"/>
      <c r="CL1402" s="73"/>
      <c r="CM1402" s="73"/>
      <c r="CN1402" s="73"/>
      <c r="CO1402" s="73"/>
      <c r="CP1402" s="73"/>
      <c r="CQ1402" s="73"/>
      <c r="CR1402" s="73"/>
      <c r="CS1402" s="73"/>
      <c r="CT1402" s="73"/>
      <c r="CU1402" s="73"/>
      <c r="CV1402" s="73"/>
      <c r="CW1402" s="73"/>
      <c r="CX1402" s="73"/>
      <c r="CY1402" s="73"/>
      <c r="CZ1402" s="73"/>
      <c r="DA1402" s="73"/>
      <c r="DB1402" s="73"/>
      <c r="DC1402" s="73"/>
      <c r="DD1402" s="73"/>
      <c r="DE1402" s="73"/>
      <c r="DF1402" s="73"/>
      <c r="DG1402" s="73"/>
      <c r="DH1402" s="73"/>
      <c r="DI1402" s="73"/>
      <c r="DJ1402" s="73"/>
      <c r="DK1402" s="73"/>
      <c r="DL1402" s="73"/>
      <c r="DM1402" s="73"/>
    </row>
    <row r="1403" spans="1:117" s="48" customFormat="1">
      <c r="A1403" s="73"/>
      <c r="T1403" s="73"/>
      <c r="U1403" s="73"/>
      <c r="V1403" s="73"/>
      <c r="W1403" s="73"/>
      <c r="X1403" s="73"/>
      <c r="Y1403" s="73"/>
      <c r="Z1403" s="73"/>
      <c r="AA1403" s="73"/>
      <c r="AB1403" s="73"/>
      <c r="AC1403" s="73"/>
      <c r="AD1403" s="73"/>
      <c r="AE1403" s="73"/>
      <c r="AF1403" s="73"/>
      <c r="AG1403" s="73"/>
      <c r="AH1403" s="73"/>
      <c r="AI1403" s="73"/>
      <c r="AJ1403" s="73"/>
      <c r="AK1403" s="73"/>
      <c r="AL1403" s="73"/>
      <c r="AM1403" s="73"/>
      <c r="AN1403" s="73"/>
      <c r="AO1403" s="73"/>
      <c r="AP1403" s="73"/>
      <c r="AQ1403" s="73"/>
      <c r="AR1403" s="73"/>
      <c r="AS1403" s="73"/>
      <c r="AT1403" s="73"/>
      <c r="AU1403" s="73"/>
      <c r="AV1403" s="73"/>
      <c r="AW1403" s="73"/>
      <c r="AX1403" s="73"/>
      <c r="AY1403" s="73"/>
      <c r="AZ1403" s="73"/>
      <c r="BA1403" s="73"/>
      <c r="BB1403" s="73"/>
      <c r="BC1403" s="73"/>
      <c r="BD1403" s="73"/>
      <c r="BE1403" s="73"/>
      <c r="BF1403" s="73"/>
      <c r="BG1403" s="73"/>
      <c r="BH1403" s="73"/>
      <c r="BI1403" s="73"/>
      <c r="BJ1403" s="73"/>
      <c r="BK1403" s="73"/>
      <c r="BL1403" s="73"/>
      <c r="BM1403" s="73"/>
      <c r="BN1403" s="73"/>
      <c r="BO1403" s="73"/>
      <c r="BP1403" s="73"/>
      <c r="BQ1403" s="73"/>
      <c r="BR1403" s="73"/>
      <c r="BS1403" s="73"/>
      <c r="BT1403" s="73"/>
      <c r="BU1403" s="73"/>
      <c r="BV1403" s="73"/>
      <c r="BW1403" s="73"/>
      <c r="BX1403" s="73"/>
      <c r="BY1403" s="73"/>
      <c r="BZ1403" s="73"/>
      <c r="CA1403" s="73"/>
      <c r="CB1403" s="73"/>
      <c r="CC1403" s="73"/>
      <c r="CD1403" s="73"/>
      <c r="CE1403" s="73"/>
      <c r="CF1403" s="73"/>
      <c r="CG1403" s="73"/>
      <c r="CH1403" s="73"/>
      <c r="CI1403" s="73"/>
      <c r="CJ1403" s="73"/>
      <c r="CK1403" s="73"/>
      <c r="CL1403" s="73"/>
      <c r="CM1403" s="73"/>
      <c r="CN1403" s="73"/>
      <c r="CO1403" s="73"/>
      <c r="CP1403" s="73"/>
      <c r="CQ1403" s="73"/>
      <c r="CR1403" s="73"/>
      <c r="CS1403" s="73"/>
      <c r="CT1403" s="73"/>
      <c r="CU1403" s="73"/>
      <c r="CV1403" s="73"/>
      <c r="CW1403" s="73"/>
      <c r="CX1403" s="73"/>
      <c r="CY1403" s="73"/>
      <c r="CZ1403" s="73"/>
      <c r="DA1403" s="73"/>
      <c r="DB1403" s="73"/>
      <c r="DC1403" s="73"/>
      <c r="DD1403" s="73"/>
      <c r="DE1403" s="73"/>
      <c r="DF1403" s="73"/>
      <c r="DG1403" s="73"/>
      <c r="DH1403" s="73"/>
      <c r="DI1403" s="73"/>
      <c r="DJ1403" s="73"/>
      <c r="DK1403" s="73"/>
      <c r="DL1403" s="73"/>
      <c r="DM1403" s="73"/>
    </row>
    <row r="1404" spans="1:117" s="48" customFormat="1">
      <c r="A1404" s="73"/>
      <c r="T1404" s="73"/>
      <c r="U1404" s="73"/>
      <c r="V1404" s="73"/>
      <c r="W1404" s="73"/>
      <c r="X1404" s="73"/>
      <c r="Y1404" s="73"/>
      <c r="Z1404" s="73"/>
      <c r="AA1404" s="73"/>
      <c r="AB1404" s="73"/>
      <c r="AC1404" s="73"/>
      <c r="AD1404" s="73"/>
      <c r="AE1404" s="73"/>
      <c r="AF1404" s="73"/>
      <c r="AG1404" s="73"/>
      <c r="AH1404" s="73"/>
      <c r="AI1404" s="73"/>
      <c r="AJ1404" s="73"/>
      <c r="AK1404" s="73"/>
      <c r="AL1404" s="73"/>
      <c r="AM1404" s="73"/>
      <c r="AN1404" s="73"/>
      <c r="AO1404" s="73"/>
      <c r="AP1404" s="73"/>
      <c r="AQ1404" s="73"/>
      <c r="AR1404" s="73"/>
      <c r="AS1404" s="73"/>
      <c r="AT1404" s="73"/>
      <c r="AU1404" s="73"/>
      <c r="AV1404" s="73"/>
      <c r="AW1404" s="73"/>
      <c r="AX1404" s="73"/>
      <c r="AY1404" s="73"/>
      <c r="AZ1404" s="73"/>
      <c r="BA1404" s="73"/>
      <c r="BB1404" s="73"/>
      <c r="BC1404" s="73"/>
      <c r="BD1404" s="73"/>
      <c r="BE1404" s="73"/>
      <c r="BF1404" s="73"/>
      <c r="BG1404" s="73"/>
      <c r="BH1404" s="73"/>
      <c r="BI1404" s="73"/>
      <c r="BJ1404" s="73"/>
      <c r="BK1404" s="73"/>
      <c r="BL1404" s="73"/>
      <c r="BM1404" s="73"/>
      <c r="BN1404" s="73"/>
      <c r="BO1404" s="73"/>
      <c r="BP1404" s="73"/>
      <c r="BQ1404" s="73"/>
      <c r="BR1404" s="73"/>
      <c r="BS1404" s="73"/>
      <c r="BT1404" s="73"/>
      <c r="BU1404" s="73"/>
      <c r="BV1404" s="73"/>
      <c r="BW1404" s="73"/>
      <c r="BX1404" s="73"/>
      <c r="BY1404" s="73"/>
      <c r="BZ1404" s="73"/>
      <c r="CA1404" s="73"/>
      <c r="CB1404" s="73"/>
      <c r="CC1404" s="73"/>
      <c r="CD1404" s="73"/>
      <c r="CE1404" s="73"/>
      <c r="CF1404" s="73"/>
      <c r="CG1404" s="73"/>
      <c r="CH1404" s="73"/>
      <c r="CI1404" s="73"/>
      <c r="CJ1404" s="73"/>
      <c r="CK1404" s="73"/>
      <c r="CL1404" s="73"/>
      <c r="CM1404" s="73"/>
      <c r="CN1404" s="73"/>
      <c r="CO1404" s="73"/>
      <c r="CP1404" s="73"/>
      <c r="CQ1404" s="73"/>
      <c r="CR1404" s="73"/>
      <c r="CS1404" s="73"/>
      <c r="CT1404" s="73"/>
      <c r="CU1404" s="73"/>
      <c r="CV1404" s="73"/>
      <c r="CW1404" s="73"/>
      <c r="CX1404" s="73"/>
      <c r="CY1404" s="73"/>
      <c r="CZ1404" s="73"/>
      <c r="DA1404" s="73"/>
      <c r="DB1404" s="73"/>
      <c r="DC1404" s="73"/>
      <c r="DD1404" s="73"/>
      <c r="DE1404" s="73"/>
      <c r="DF1404" s="73"/>
      <c r="DG1404" s="73"/>
      <c r="DH1404" s="73"/>
      <c r="DI1404" s="73"/>
      <c r="DJ1404" s="73"/>
      <c r="DK1404" s="73"/>
      <c r="DL1404" s="73"/>
      <c r="DM1404" s="73"/>
    </row>
    <row r="1405" spans="1:117" s="48" customFormat="1">
      <c r="A1405" s="73"/>
      <c r="T1405" s="73"/>
      <c r="U1405" s="73"/>
      <c r="V1405" s="73"/>
      <c r="W1405" s="73"/>
      <c r="X1405" s="73"/>
      <c r="Y1405" s="73"/>
      <c r="Z1405" s="73"/>
      <c r="AA1405" s="73"/>
      <c r="AB1405" s="73"/>
      <c r="AC1405" s="73"/>
      <c r="AD1405" s="73"/>
      <c r="AE1405" s="73"/>
      <c r="AF1405" s="73"/>
      <c r="AG1405" s="73"/>
      <c r="AH1405" s="73"/>
      <c r="AI1405" s="73"/>
      <c r="AJ1405" s="73"/>
      <c r="AK1405" s="73"/>
      <c r="AL1405" s="73"/>
      <c r="AM1405" s="73"/>
      <c r="AN1405" s="73"/>
      <c r="AO1405" s="73"/>
      <c r="AP1405" s="73"/>
      <c r="AQ1405" s="73"/>
      <c r="AR1405" s="73"/>
      <c r="AS1405" s="73"/>
      <c r="AT1405" s="73"/>
      <c r="AU1405" s="73"/>
      <c r="AV1405" s="73"/>
      <c r="AW1405" s="73"/>
      <c r="AX1405" s="73"/>
      <c r="AY1405" s="73"/>
      <c r="AZ1405" s="73"/>
      <c r="BA1405" s="73"/>
      <c r="BB1405" s="73"/>
      <c r="BC1405" s="73"/>
      <c r="BD1405" s="73"/>
      <c r="BE1405" s="73"/>
      <c r="BF1405" s="73"/>
      <c r="BG1405" s="73"/>
      <c r="BH1405" s="73"/>
      <c r="BI1405" s="73"/>
      <c r="BJ1405" s="73"/>
      <c r="BK1405" s="73"/>
      <c r="BL1405" s="73"/>
      <c r="BM1405" s="73"/>
      <c r="BN1405" s="73"/>
      <c r="BO1405" s="73"/>
      <c r="BP1405" s="73"/>
      <c r="BQ1405" s="73"/>
      <c r="BR1405" s="73"/>
      <c r="BS1405" s="73"/>
      <c r="BT1405" s="73"/>
      <c r="BU1405" s="73"/>
      <c r="BV1405" s="73"/>
      <c r="BW1405" s="73"/>
      <c r="BX1405" s="73"/>
      <c r="BY1405" s="73"/>
      <c r="BZ1405" s="73"/>
      <c r="CA1405" s="73"/>
      <c r="CB1405" s="73"/>
      <c r="CC1405" s="73"/>
      <c r="CD1405" s="73"/>
      <c r="CE1405" s="73"/>
      <c r="CF1405" s="73"/>
      <c r="CG1405" s="73"/>
      <c r="CH1405" s="73"/>
      <c r="CI1405" s="73"/>
      <c r="CJ1405" s="73"/>
      <c r="CK1405" s="73"/>
      <c r="CL1405" s="73"/>
      <c r="CM1405" s="73"/>
      <c r="CN1405" s="73"/>
      <c r="CO1405" s="73"/>
      <c r="CP1405" s="73"/>
      <c r="CQ1405" s="73"/>
      <c r="CR1405" s="73"/>
      <c r="CS1405" s="73"/>
      <c r="CT1405" s="73"/>
      <c r="CU1405" s="73"/>
      <c r="CV1405" s="73"/>
      <c r="CW1405" s="73"/>
      <c r="CX1405" s="73"/>
      <c r="CY1405" s="73"/>
      <c r="CZ1405" s="73"/>
      <c r="DA1405" s="73"/>
      <c r="DB1405" s="73"/>
      <c r="DC1405" s="73"/>
      <c r="DD1405" s="73"/>
      <c r="DE1405" s="73"/>
      <c r="DF1405" s="73"/>
      <c r="DG1405" s="73"/>
      <c r="DH1405" s="73"/>
      <c r="DI1405" s="73"/>
      <c r="DJ1405" s="73"/>
      <c r="DK1405" s="73"/>
      <c r="DL1405" s="73"/>
      <c r="DM1405" s="73"/>
    </row>
    <row r="1406" spans="1:117" s="48" customFormat="1">
      <c r="A1406" s="73"/>
      <c r="T1406" s="73"/>
      <c r="U1406" s="73"/>
      <c r="V1406" s="73"/>
      <c r="W1406" s="73"/>
      <c r="X1406" s="73"/>
      <c r="Y1406" s="73"/>
      <c r="Z1406" s="73"/>
      <c r="AA1406" s="73"/>
      <c r="AB1406" s="73"/>
      <c r="AC1406" s="73"/>
      <c r="AD1406" s="73"/>
      <c r="AE1406" s="73"/>
      <c r="AF1406" s="73"/>
      <c r="AG1406" s="73"/>
      <c r="AH1406" s="73"/>
      <c r="AI1406" s="73"/>
      <c r="AJ1406" s="73"/>
      <c r="AK1406" s="73"/>
      <c r="AL1406" s="73"/>
      <c r="AM1406" s="73"/>
      <c r="AN1406" s="73"/>
      <c r="AO1406" s="73"/>
      <c r="AP1406" s="73"/>
      <c r="AQ1406" s="73"/>
      <c r="AR1406" s="73"/>
      <c r="AS1406" s="73"/>
      <c r="AT1406" s="73"/>
      <c r="AU1406" s="73"/>
      <c r="AV1406" s="73"/>
      <c r="AW1406" s="73"/>
      <c r="AX1406" s="73"/>
      <c r="AY1406" s="73"/>
      <c r="AZ1406" s="73"/>
      <c r="BA1406" s="73"/>
      <c r="BB1406" s="73"/>
      <c r="BC1406" s="73"/>
      <c r="BD1406" s="73"/>
      <c r="BE1406" s="73"/>
      <c r="BF1406" s="73"/>
      <c r="BG1406" s="73"/>
      <c r="BH1406" s="73"/>
      <c r="BI1406" s="73"/>
      <c r="BJ1406" s="73"/>
      <c r="BK1406" s="73"/>
      <c r="BL1406" s="73"/>
      <c r="BM1406" s="73"/>
      <c r="BN1406" s="73"/>
      <c r="BO1406" s="73"/>
      <c r="BP1406" s="73"/>
      <c r="BQ1406" s="73"/>
      <c r="BR1406" s="73"/>
      <c r="BS1406" s="73"/>
      <c r="BT1406" s="73"/>
      <c r="BU1406" s="73"/>
      <c r="BV1406" s="73"/>
      <c r="BW1406" s="73"/>
      <c r="BX1406" s="73"/>
      <c r="BY1406" s="73"/>
      <c r="BZ1406" s="73"/>
      <c r="CA1406" s="73"/>
      <c r="CB1406" s="73"/>
      <c r="CC1406" s="73"/>
      <c r="CD1406" s="73"/>
      <c r="CE1406" s="73"/>
      <c r="CF1406" s="73"/>
      <c r="CG1406" s="73"/>
      <c r="CH1406" s="73"/>
      <c r="CI1406" s="73"/>
      <c r="CJ1406" s="73"/>
      <c r="CK1406" s="73"/>
      <c r="CL1406" s="73"/>
      <c r="CM1406" s="73"/>
      <c r="CN1406" s="73"/>
      <c r="CO1406" s="73"/>
      <c r="CP1406" s="73"/>
      <c r="CQ1406" s="73"/>
      <c r="CR1406" s="73"/>
      <c r="CS1406" s="73"/>
      <c r="CT1406" s="73"/>
      <c r="CU1406" s="73"/>
      <c r="CV1406" s="73"/>
      <c r="CW1406" s="73"/>
      <c r="CX1406" s="73"/>
      <c r="CY1406" s="73"/>
      <c r="CZ1406" s="73"/>
      <c r="DA1406" s="73"/>
      <c r="DB1406" s="73"/>
      <c r="DC1406" s="73"/>
      <c r="DD1406" s="73"/>
      <c r="DE1406" s="73"/>
      <c r="DF1406" s="73"/>
      <c r="DG1406" s="73"/>
      <c r="DH1406" s="73"/>
      <c r="DI1406" s="73"/>
      <c r="DJ1406" s="73"/>
      <c r="DK1406" s="73"/>
      <c r="DL1406" s="73"/>
      <c r="DM1406" s="73"/>
    </row>
    <row r="1407" spans="1:117" s="48" customFormat="1">
      <c r="A1407" s="73"/>
      <c r="T1407" s="73"/>
      <c r="U1407" s="73"/>
      <c r="V1407" s="73"/>
      <c r="W1407" s="73"/>
      <c r="X1407" s="73"/>
      <c r="Y1407" s="73"/>
      <c r="Z1407" s="73"/>
      <c r="AA1407" s="73"/>
      <c r="AB1407" s="73"/>
      <c r="AC1407" s="73"/>
      <c r="AD1407" s="73"/>
      <c r="AE1407" s="73"/>
      <c r="AF1407" s="73"/>
      <c r="AG1407" s="73"/>
      <c r="AH1407" s="73"/>
      <c r="AI1407" s="73"/>
      <c r="AJ1407" s="73"/>
      <c r="AK1407" s="73"/>
      <c r="AL1407" s="73"/>
      <c r="AM1407" s="73"/>
      <c r="AN1407" s="73"/>
      <c r="AO1407" s="73"/>
      <c r="AP1407" s="73"/>
      <c r="AQ1407" s="73"/>
      <c r="AR1407" s="73"/>
      <c r="AS1407" s="73"/>
      <c r="AT1407" s="73"/>
      <c r="AU1407" s="73"/>
      <c r="AV1407" s="73"/>
      <c r="AW1407" s="73"/>
      <c r="AX1407" s="73"/>
      <c r="AY1407" s="73"/>
      <c r="AZ1407" s="73"/>
      <c r="BA1407" s="73"/>
      <c r="BB1407" s="73"/>
      <c r="BC1407" s="73"/>
      <c r="BD1407" s="73"/>
      <c r="BE1407" s="73"/>
      <c r="BF1407" s="73"/>
      <c r="BG1407" s="73"/>
      <c r="BH1407" s="73"/>
      <c r="BI1407" s="73"/>
      <c r="BJ1407" s="73"/>
      <c r="BK1407" s="73"/>
      <c r="BL1407" s="73"/>
      <c r="BM1407" s="73"/>
      <c r="BN1407" s="73"/>
      <c r="BO1407" s="73"/>
      <c r="BP1407" s="73"/>
      <c r="BQ1407" s="73"/>
      <c r="BR1407" s="73"/>
      <c r="BS1407" s="73"/>
      <c r="BT1407" s="73"/>
      <c r="BU1407" s="73"/>
      <c r="BV1407" s="73"/>
      <c r="BW1407" s="73"/>
      <c r="BX1407" s="73"/>
      <c r="BY1407" s="73"/>
      <c r="BZ1407" s="73"/>
      <c r="CA1407" s="73"/>
      <c r="CB1407" s="73"/>
      <c r="CC1407" s="73"/>
      <c r="CD1407" s="73"/>
      <c r="CE1407" s="73"/>
      <c r="CF1407" s="73"/>
      <c r="CG1407" s="73"/>
      <c r="CH1407" s="73"/>
      <c r="CI1407" s="73"/>
      <c r="CJ1407" s="73"/>
      <c r="CK1407" s="73"/>
      <c r="CL1407" s="73"/>
      <c r="CM1407" s="73"/>
      <c r="CN1407" s="73"/>
      <c r="CO1407" s="73"/>
      <c r="CP1407" s="73"/>
      <c r="CQ1407" s="73"/>
      <c r="CR1407" s="73"/>
      <c r="CS1407" s="73"/>
      <c r="CT1407" s="73"/>
      <c r="CU1407" s="73"/>
      <c r="CV1407" s="73"/>
      <c r="CW1407" s="73"/>
      <c r="CX1407" s="73"/>
      <c r="CY1407" s="73"/>
      <c r="CZ1407" s="73"/>
      <c r="DA1407" s="73"/>
      <c r="DB1407" s="73"/>
      <c r="DC1407" s="73"/>
      <c r="DD1407" s="73"/>
      <c r="DE1407" s="73"/>
      <c r="DF1407" s="73"/>
      <c r="DG1407" s="73"/>
      <c r="DH1407" s="73"/>
      <c r="DI1407" s="73"/>
      <c r="DJ1407" s="73"/>
      <c r="DK1407" s="73"/>
      <c r="DL1407" s="73"/>
      <c r="DM1407" s="73"/>
    </row>
    <row r="1408" spans="1:117" s="48" customFormat="1">
      <c r="A1408" s="73"/>
      <c r="T1408" s="73"/>
      <c r="U1408" s="73"/>
      <c r="V1408" s="73"/>
      <c r="W1408" s="73"/>
      <c r="X1408" s="73"/>
      <c r="Y1408" s="73"/>
      <c r="Z1408" s="73"/>
      <c r="AA1408" s="73"/>
      <c r="AB1408" s="73"/>
      <c r="AC1408" s="73"/>
      <c r="AD1408" s="73"/>
      <c r="AE1408" s="73"/>
      <c r="AF1408" s="73"/>
      <c r="AG1408" s="73"/>
      <c r="AH1408" s="73"/>
      <c r="AI1408" s="73"/>
      <c r="AJ1408" s="73"/>
      <c r="AK1408" s="73"/>
      <c r="AL1408" s="73"/>
      <c r="AM1408" s="73"/>
      <c r="AN1408" s="73"/>
      <c r="AO1408" s="73"/>
      <c r="AP1408" s="73"/>
      <c r="AQ1408" s="73"/>
      <c r="AR1408" s="73"/>
      <c r="AS1408" s="73"/>
      <c r="AT1408" s="73"/>
      <c r="AU1408" s="73"/>
      <c r="AV1408" s="73"/>
      <c r="AW1408" s="73"/>
      <c r="AX1408" s="73"/>
      <c r="AY1408" s="73"/>
      <c r="AZ1408" s="73"/>
      <c r="BA1408" s="73"/>
      <c r="BB1408" s="73"/>
      <c r="BC1408" s="73"/>
      <c r="BD1408" s="73"/>
      <c r="BE1408" s="73"/>
      <c r="BF1408" s="73"/>
      <c r="BG1408" s="73"/>
      <c r="BH1408" s="73"/>
      <c r="BI1408" s="73"/>
      <c r="BJ1408" s="73"/>
      <c r="BK1408" s="73"/>
      <c r="BL1408" s="73"/>
      <c r="BM1408" s="73"/>
      <c r="BN1408" s="73"/>
      <c r="BO1408" s="73"/>
      <c r="BP1408" s="73"/>
      <c r="BQ1408" s="73"/>
      <c r="BR1408" s="73"/>
      <c r="BS1408" s="73"/>
      <c r="BT1408" s="73"/>
      <c r="BU1408" s="73"/>
      <c r="BV1408" s="73"/>
      <c r="BW1408" s="73"/>
      <c r="BX1408" s="73"/>
      <c r="BY1408" s="73"/>
      <c r="BZ1408" s="73"/>
      <c r="CA1408" s="73"/>
      <c r="CB1408" s="73"/>
      <c r="CC1408" s="73"/>
      <c r="CD1408" s="73"/>
      <c r="CE1408" s="73"/>
      <c r="CF1408" s="73"/>
      <c r="CG1408" s="73"/>
      <c r="CH1408" s="73"/>
      <c r="CI1408" s="73"/>
      <c r="CJ1408" s="73"/>
      <c r="CK1408" s="73"/>
      <c r="CL1408" s="73"/>
      <c r="CM1408" s="73"/>
      <c r="CN1408" s="73"/>
      <c r="CO1408" s="73"/>
      <c r="CP1408" s="73"/>
      <c r="CQ1408" s="73"/>
      <c r="CR1408" s="73"/>
      <c r="CS1408" s="73"/>
      <c r="CT1408" s="73"/>
      <c r="CU1408" s="73"/>
      <c r="CV1408" s="73"/>
      <c r="CW1408" s="73"/>
      <c r="CX1408" s="73"/>
      <c r="CY1408" s="73"/>
      <c r="CZ1408" s="73"/>
      <c r="DA1408" s="73"/>
      <c r="DB1408" s="73"/>
      <c r="DC1408" s="73"/>
      <c r="DD1408" s="73"/>
      <c r="DE1408" s="73"/>
      <c r="DF1408" s="73"/>
      <c r="DG1408" s="73"/>
      <c r="DH1408" s="73"/>
      <c r="DI1408" s="73"/>
      <c r="DJ1408" s="73"/>
      <c r="DK1408" s="73"/>
      <c r="DL1408" s="73"/>
      <c r="DM1408" s="73"/>
    </row>
    <row r="1409" spans="1:117" s="48" customFormat="1">
      <c r="A1409" s="73"/>
      <c r="T1409" s="73"/>
      <c r="U1409" s="73"/>
      <c r="V1409" s="73"/>
      <c r="W1409" s="73"/>
      <c r="X1409" s="73"/>
      <c r="Y1409" s="73"/>
      <c r="Z1409" s="73"/>
      <c r="AA1409" s="73"/>
      <c r="AB1409" s="73"/>
      <c r="AC1409" s="73"/>
      <c r="AD1409" s="73"/>
      <c r="AE1409" s="73"/>
      <c r="AF1409" s="73"/>
      <c r="AG1409" s="73"/>
      <c r="AH1409" s="73"/>
      <c r="AI1409" s="73"/>
      <c r="AJ1409" s="73"/>
      <c r="AK1409" s="73"/>
      <c r="AL1409" s="73"/>
      <c r="AM1409" s="73"/>
      <c r="AN1409" s="73"/>
      <c r="AO1409" s="73"/>
      <c r="AP1409" s="73"/>
      <c r="AQ1409" s="73"/>
      <c r="AR1409" s="73"/>
      <c r="AS1409" s="73"/>
      <c r="AT1409" s="73"/>
      <c r="AU1409" s="73"/>
      <c r="AV1409" s="73"/>
      <c r="AW1409" s="73"/>
      <c r="AX1409" s="73"/>
      <c r="AY1409" s="73"/>
      <c r="AZ1409" s="73"/>
      <c r="BA1409" s="73"/>
      <c r="BB1409" s="73"/>
      <c r="BC1409" s="73"/>
      <c r="BD1409" s="73"/>
      <c r="BE1409" s="73"/>
      <c r="BF1409" s="73"/>
      <c r="BG1409" s="73"/>
      <c r="BH1409" s="73"/>
      <c r="BI1409" s="73"/>
      <c r="BJ1409" s="73"/>
      <c r="BK1409" s="73"/>
      <c r="BL1409" s="73"/>
      <c r="BM1409" s="73"/>
      <c r="BN1409" s="73"/>
      <c r="BO1409" s="73"/>
      <c r="BP1409" s="73"/>
      <c r="BQ1409" s="73"/>
      <c r="BR1409" s="73"/>
      <c r="BS1409" s="73"/>
      <c r="BT1409" s="73"/>
      <c r="BU1409" s="73"/>
      <c r="BV1409" s="73"/>
      <c r="BW1409" s="73"/>
      <c r="BX1409" s="73"/>
      <c r="BY1409" s="73"/>
      <c r="BZ1409" s="73"/>
      <c r="CA1409" s="73"/>
      <c r="CB1409" s="73"/>
      <c r="CC1409" s="73"/>
      <c r="CD1409" s="73"/>
      <c r="CE1409" s="73"/>
      <c r="CF1409" s="73"/>
      <c r="CG1409" s="73"/>
      <c r="CH1409" s="73"/>
      <c r="CI1409" s="73"/>
      <c r="CJ1409" s="73"/>
      <c r="CK1409" s="73"/>
      <c r="CL1409" s="73"/>
      <c r="CM1409" s="73"/>
      <c r="CN1409" s="73"/>
      <c r="CO1409" s="73"/>
      <c r="CP1409" s="73"/>
      <c r="CQ1409" s="73"/>
      <c r="CR1409" s="73"/>
      <c r="CS1409" s="73"/>
      <c r="CT1409" s="73"/>
      <c r="CU1409" s="73"/>
      <c r="CV1409" s="73"/>
      <c r="CW1409" s="73"/>
      <c r="CX1409" s="73"/>
      <c r="CY1409" s="73"/>
      <c r="CZ1409" s="73"/>
      <c r="DA1409" s="73"/>
      <c r="DB1409" s="73"/>
      <c r="DC1409" s="73"/>
      <c r="DD1409" s="73"/>
      <c r="DE1409" s="73"/>
      <c r="DF1409" s="73"/>
      <c r="DG1409" s="73"/>
      <c r="DH1409" s="73"/>
      <c r="DI1409" s="73"/>
      <c r="DJ1409" s="73"/>
      <c r="DK1409" s="73"/>
      <c r="DL1409" s="73"/>
      <c r="DM1409" s="73"/>
    </row>
    <row r="1410" spans="1:117" s="48" customFormat="1">
      <c r="A1410" s="73"/>
      <c r="T1410" s="73"/>
      <c r="U1410" s="73"/>
      <c r="V1410" s="73"/>
      <c r="W1410" s="73"/>
      <c r="X1410" s="73"/>
      <c r="Y1410" s="73"/>
      <c r="Z1410" s="73"/>
      <c r="AA1410" s="73"/>
      <c r="AB1410" s="73"/>
      <c r="AC1410" s="73"/>
      <c r="AD1410" s="73"/>
      <c r="AE1410" s="73"/>
      <c r="AF1410" s="73"/>
      <c r="AG1410" s="73"/>
      <c r="AH1410" s="73"/>
      <c r="AI1410" s="73"/>
      <c r="AJ1410" s="73"/>
      <c r="AK1410" s="73"/>
      <c r="AL1410" s="73"/>
      <c r="AM1410" s="73"/>
      <c r="AN1410" s="73"/>
      <c r="AO1410" s="73"/>
      <c r="AP1410" s="73"/>
      <c r="AQ1410" s="73"/>
      <c r="AR1410" s="73"/>
      <c r="AS1410" s="73"/>
      <c r="AT1410" s="73"/>
      <c r="AU1410" s="73"/>
      <c r="AV1410" s="73"/>
      <c r="AW1410" s="73"/>
      <c r="AX1410" s="73"/>
      <c r="AY1410" s="73"/>
      <c r="AZ1410" s="73"/>
      <c r="BA1410" s="73"/>
      <c r="BB1410" s="73"/>
      <c r="BC1410" s="73"/>
      <c r="BD1410" s="73"/>
      <c r="BE1410" s="73"/>
      <c r="BF1410" s="73"/>
      <c r="BG1410" s="73"/>
      <c r="BH1410" s="73"/>
      <c r="BI1410" s="73"/>
      <c r="BJ1410" s="73"/>
      <c r="BK1410" s="73"/>
      <c r="BL1410" s="73"/>
      <c r="BM1410" s="73"/>
      <c r="BN1410" s="73"/>
      <c r="BO1410" s="73"/>
      <c r="BP1410" s="73"/>
      <c r="BQ1410" s="73"/>
      <c r="BR1410" s="73"/>
      <c r="BS1410" s="73"/>
      <c r="BT1410" s="73"/>
      <c r="BU1410" s="73"/>
      <c r="BV1410" s="73"/>
      <c r="BW1410" s="73"/>
      <c r="BX1410" s="73"/>
      <c r="BY1410" s="73"/>
      <c r="BZ1410" s="73"/>
      <c r="CA1410" s="73"/>
      <c r="CB1410" s="73"/>
      <c r="CC1410" s="73"/>
      <c r="CD1410" s="73"/>
      <c r="CE1410" s="73"/>
      <c r="CF1410" s="73"/>
      <c r="CG1410" s="73"/>
      <c r="CH1410" s="73"/>
      <c r="CI1410" s="73"/>
      <c r="CJ1410" s="73"/>
      <c r="CK1410" s="73"/>
      <c r="CL1410" s="73"/>
      <c r="CM1410" s="73"/>
      <c r="CN1410" s="73"/>
      <c r="CO1410" s="73"/>
      <c r="CP1410" s="73"/>
      <c r="CQ1410" s="73"/>
      <c r="CR1410" s="73"/>
      <c r="CS1410" s="73"/>
      <c r="CT1410" s="73"/>
      <c r="CU1410" s="73"/>
      <c r="CV1410" s="73"/>
      <c r="CW1410" s="73"/>
      <c r="CX1410" s="73"/>
      <c r="CY1410" s="73"/>
      <c r="CZ1410" s="73"/>
      <c r="DA1410" s="73"/>
      <c r="DB1410" s="73"/>
      <c r="DC1410" s="73"/>
      <c r="DD1410" s="73"/>
      <c r="DE1410" s="73"/>
      <c r="DF1410" s="73"/>
      <c r="DG1410" s="73"/>
      <c r="DH1410" s="73"/>
      <c r="DI1410" s="73"/>
      <c r="DJ1410" s="73"/>
      <c r="DK1410" s="73"/>
      <c r="DL1410" s="73"/>
      <c r="DM1410" s="73"/>
    </row>
    <row r="1411" spans="1:117" s="48" customFormat="1">
      <c r="A1411" s="73"/>
      <c r="T1411" s="73"/>
      <c r="U1411" s="73"/>
      <c r="V1411" s="73"/>
      <c r="W1411" s="73"/>
      <c r="X1411" s="73"/>
      <c r="Y1411" s="73"/>
      <c r="Z1411" s="73"/>
      <c r="AA1411" s="73"/>
      <c r="AB1411" s="73"/>
      <c r="AC1411" s="73"/>
      <c r="AD1411" s="73"/>
      <c r="AE1411" s="73"/>
      <c r="AF1411" s="73"/>
      <c r="AG1411" s="73"/>
      <c r="AH1411" s="73"/>
      <c r="AI1411" s="73"/>
      <c r="AJ1411" s="73"/>
      <c r="AK1411" s="73"/>
      <c r="AL1411" s="73"/>
      <c r="AM1411" s="73"/>
      <c r="AN1411" s="73"/>
      <c r="AO1411" s="73"/>
      <c r="AP1411" s="73"/>
      <c r="AQ1411" s="73"/>
      <c r="AR1411" s="73"/>
      <c r="AS1411" s="73"/>
      <c r="AT1411" s="73"/>
      <c r="AU1411" s="73"/>
      <c r="AV1411" s="73"/>
      <c r="AW1411" s="73"/>
      <c r="AX1411" s="73"/>
      <c r="AY1411" s="73"/>
      <c r="AZ1411" s="73"/>
      <c r="BA1411" s="73"/>
      <c r="BB1411" s="73"/>
      <c r="BC1411" s="73"/>
      <c r="BD1411" s="73"/>
      <c r="BE1411" s="73"/>
      <c r="BF1411" s="73"/>
      <c r="BG1411" s="73"/>
      <c r="BH1411" s="73"/>
      <c r="BI1411" s="73"/>
      <c r="BJ1411" s="73"/>
      <c r="BK1411" s="73"/>
      <c r="BL1411" s="73"/>
      <c r="BM1411" s="73"/>
      <c r="BN1411" s="73"/>
      <c r="BO1411" s="73"/>
      <c r="BP1411" s="73"/>
      <c r="BQ1411" s="73"/>
      <c r="BR1411" s="73"/>
      <c r="BS1411" s="73"/>
      <c r="BT1411" s="73"/>
      <c r="BU1411" s="73"/>
      <c r="BV1411" s="73"/>
      <c r="BW1411" s="73"/>
      <c r="BX1411" s="73"/>
      <c r="BY1411" s="73"/>
      <c r="BZ1411" s="73"/>
      <c r="CA1411" s="73"/>
      <c r="CB1411" s="73"/>
      <c r="CC1411" s="73"/>
      <c r="CD1411" s="73"/>
      <c r="CE1411" s="73"/>
      <c r="CF1411" s="73"/>
      <c r="CG1411" s="73"/>
      <c r="CH1411" s="73"/>
      <c r="CI1411" s="73"/>
      <c r="CJ1411" s="73"/>
      <c r="CK1411" s="73"/>
      <c r="CL1411" s="73"/>
      <c r="CM1411" s="73"/>
      <c r="CN1411" s="73"/>
      <c r="CO1411" s="73"/>
      <c r="CP1411" s="73"/>
      <c r="CQ1411" s="73"/>
      <c r="CR1411" s="73"/>
      <c r="CS1411" s="73"/>
      <c r="CT1411" s="73"/>
      <c r="CU1411" s="73"/>
      <c r="CV1411" s="73"/>
      <c r="CW1411" s="73"/>
      <c r="CX1411" s="73"/>
      <c r="CY1411" s="73"/>
      <c r="CZ1411" s="73"/>
      <c r="DA1411" s="73"/>
      <c r="DB1411" s="73"/>
      <c r="DC1411" s="73"/>
      <c r="DD1411" s="73"/>
      <c r="DE1411" s="73"/>
      <c r="DF1411" s="73"/>
      <c r="DG1411" s="73"/>
      <c r="DH1411" s="73"/>
      <c r="DI1411" s="73"/>
      <c r="DJ1411" s="73"/>
      <c r="DK1411" s="73"/>
      <c r="DL1411" s="73"/>
      <c r="DM1411" s="73"/>
    </row>
    <row r="1412" spans="1:117" s="48" customFormat="1">
      <c r="A1412" s="73"/>
      <c r="T1412" s="73"/>
      <c r="U1412" s="73"/>
      <c r="V1412" s="73"/>
      <c r="W1412" s="73"/>
      <c r="X1412" s="73"/>
      <c r="Y1412" s="73"/>
      <c r="Z1412" s="73"/>
      <c r="AA1412" s="73"/>
      <c r="AB1412" s="73"/>
      <c r="AC1412" s="73"/>
      <c r="AD1412" s="73"/>
      <c r="AE1412" s="73"/>
      <c r="AF1412" s="73"/>
      <c r="AG1412" s="73"/>
      <c r="AH1412" s="73"/>
      <c r="AI1412" s="73"/>
      <c r="AJ1412" s="73"/>
      <c r="AK1412" s="73"/>
      <c r="AL1412" s="73"/>
      <c r="AM1412" s="73"/>
      <c r="AN1412" s="73"/>
      <c r="AO1412" s="73"/>
      <c r="AP1412" s="73"/>
      <c r="AQ1412" s="73"/>
      <c r="AR1412" s="73"/>
      <c r="AS1412" s="73"/>
      <c r="AT1412" s="73"/>
      <c r="AU1412" s="73"/>
      <c r="AV1412" s="73"/>
      <c r="AW1412" s="73"/>
      <c r="AX1412" s="73"/>
      <c r="AY1412" s="73"/>
      <c r="AZ1412" s="73"/>
      <c r="BA1412" s="73"/>
      <c r="BB1412" s="73"/>
      <c r="BC1412" s="73"/>
      <c r="BD1412" s="73"/>
      <c r="BE1412" s="73"/>
      <c r="BF1412" s="73"/>
      <c r="BG1412" s="73"/>
      <c r="BH1412" s="73"/>
      <c r="BI1412" s="73"/>
      <c r="BJ1412" s="73"/>
      <c r="BK1412" s="73"/>
      <c r="BL1412" s="73"/>
      <c r="BM1412" s="73"/>
      <c r="BN1412" s="73"/>
      <c r="BO1412" s="73"/>
      <c r="BP1412" s="73"/>
      <c r="BQ1412" s="73"/>
      <c r="BR1412" s="73"/>
      <c r="BS1412" s="73"/>
      <c r="BT1412" s="73"/>
      <c r="BU1412" s="73"/>
      <c r="BV1412" s="73"/>
      <c r="BW1412" s="73"/>
      <c r="BX1412" s="73"/>
      <c r="BY1412" s="73"/>
      <c r="BZ1412" s="73"/>
      <c r="CA1412" s="73"/>
      <c r="CB1412" s="73"/>
      <c r="CC1412" s="73"/>
      <c r="CD1412" s="73"/>
      <c r="CE1412" s="73"/>
      <c r="CF1412" s="73"/>
      <c r="CG1412" s="73"/>
      <c r="CH1412" s="73"/>
      <c r="CI1412" s="73"/>
      <c r="CJ1412" s="73"/>
      <c r="CK1412" s="73"/>
      <c r="CL1412" s="73"/>
      <c r="CM1412" s="73"/>
      <c r="CN1412" s="73"/>
      <c r="CO1412" s="73"/>
      <c r="CP1412" s="73"/>
      <c r="CQ1412" s="73"/>
      <c r="CR1412" s="73"/>
      <c r="CS1412" s="73"/>
      <c r="CT1412" s="73"/>
      <c r="CU1412" s="73"/>
      <c r="CV1412" s="73"/>
      <c r="CW1412" s="73"/>
      <c r="CX1412" s="73"/>
      <c r="CY1412" s="73"/>
      <c r="CZ1412" s="73"/>
      <c r="DA1412" s="73"/>
      <c r="DB1412" s="73"/>
      <c r="DC1412" s="73"/>
      <c r="DD1412" s="73"/>
      <c r="DE1412" s="73"/>
      <c r="DF1412" s="73"/>
      <c r="DG1412" s="73"/>
      <c r="DH1412" s="73"/>
      <c r="DI1412" s="73"/>
      <c r="DJ1412" s="73"/>
      <c r="DK1412" s="73"/>
      <c r="DL1412" s="73"/>
      <c r="DM1412" s="73"/>
    </row>
    <row r="1413" spans="1:117" s="48" customFormat="1">
      <c r="A1413" s="73"/>
      <c r="T1413" s="73"/>
      <c r="U1413" s="73"/>
      <c r="V1413" s="73"/>
      <c r="W1413" s="73"/>
      <c r="X1413" s="73"/>
      <c r="Y1413" s="73"/>
      <c r="Z1413" s="73"/>
      <c r="AA1413" s="73"/>
      <c r="AB1413" s="73"/>
      <c r="AC1413" s="73"/>
      <c r="AD1413" s="73"/>
      <c r="AE1413" s="73"/>
      <c r="AF1413" s="73"/>
      <c r="AG1413" s="73"/>
      <c r="AH1413" s="73"/>
      <c r="AI1413" s="73"/>
      <c r="AJ1413" s="73"/>
      <c r="AK1413" s="73"/>
      <c r="AL1413" s="73"/>
      <c r="AM1413" s="73"/>
      <c r="AN1413" s="73"/>
      <c r="AO1413" s="73"/>
      <c r="AP1413" s="73"/>
      <c r="AQ1413" s="73"/>
      <c r="AR1413" s="73"/>
      <c r="AS1413" s="73"/>
      <c r="AT1413" s="73"/>
      <c r="AU1413" s="73"/>
      <c r="AV1413" s="73"/>
      <c r="AW1413" s="73"/>
      <c r="AX1413" s="73"/>
      <c r="AY1413" s="73"/>
      <c r="AZ1413" s="73"/>
      <c r="BA1413" s="73"/>
      <c r="BB1413" s="73"/>
      <c r="BC1413" s="73"/>
      <c r="BD1413" s="73"/>
      <c r="BE1413" s="73"/>
      <c r="BF1413" s="73"/>
      <c r="BG1413" s="73"/>
      <c r="BH1413" s="73"/>
      <c r="BI1413" s="73"/>
      <c r="BJ1413" s="73"/>
      <c r="BK1413" s="73"/>
      <c r="BL1413" s="73"/>
      <c r="BM1413" s="73"/>
      <c r="BN1413" s="73"/>
      <c r="BO1413" s="73"/>
      <c r="BP1413" s="73"/>
      <c r="BQ1413" s="73"/>
      <c r="BR1413" s="73"/>
      <c r="BS1413" s="73"/>
      <c r="BT1413" s="73"/>
      <c r="BU1413" s="73"/>
      <c r="BV1413" s="73"/>
      <c r="BW1413" s="73"/>
      <c r="BX1413" s="73"/>
      <c r="BY1413" s="73"/>
      <c r="BZ1413" s="73"/>
      <c r="CA1413" s="73"/>
      <c r="CB1413" s="73"/>
      <c r="CC1413" s="73"/>
      <c r="CD1413" s="73"/>
      <c r="CE1413" s="73"/>
      <c r="CF1413" s="73"/>
      <c r="CG1413" s="73"/>
      <c r="CH1413" s="73"/>
      <c r="CI1413" s="73"/>
      <c r="CJ1413" s="73"/>
      <c r="CK1413" s="73"/>
      <c r="CL1413" s="73"/>
      <c r="CM1413" s="73"/>
      <c r="CN1413" s="73"/>
      <c r="CO1413" s="73"/>
      <c r="CP1413" s="73"/>
      <c r="CQ1413" s="73"/>
      <c r="CR1413" s="73"/>
      <c r="CS1413" s="73"/>
      <c r="CT1413" s="73"/>
      <c r="CU1413" s="73"/>
      <c r="CV1413" s="73"/>
      <c r="CW1413" s="73"/>
      <c r="CX1413" s="73"/>
      <c r="CY1413" s="73"/>
      <c r="CZ1413" s="73"/>
      <c r="DA1413" s="73"/>
      <c r="DB1413" s="73"/>
      <c r="DC1413" s="73"/>
      <c r="DD1413" s="73"/>
      <c r="DE1413" s="73"/>
      <c r="DF1413" s="73"/>
      <c r="DG1413" s="73"/>
      <c r="DH1413" s="73"/>
      <c r="DI1413" s="73"/>
      <c r="DJ1413" s="73"/>
      <c r="DK1413" s="73"/>
      <c r="DL1413" s="73"/>
      <c r="DM1413" s="73"/>
    </row>
    <row r="1414" spans="1:117" s="48" customFormat="1">
      <c r="A1414" s="73"/>
      <c r="T1414" s="73"/>
      <c r="U1414" s="73"/>
      <c r="V1414" s="73"/>
      <c r="W1414" s="73"/>
      <c r="X1414" s="73"/>
      <c r="Y1414" s="73"/>
      <c r="Z1414" s="73"/>
      <c r="AA1414" s="73"/>
      <c r="AB1414" s="73"/>
      <c r="AC1414" s="73"/>
      <c r="AD1414" s="73"/>
      <c r="AE1414" s="73"/>
      <c r="AF1414" s="73"/>
      <c r="AG1414" s="73"/>
      <c r="AH1414" s="73"/>
      <c r="AI1414" s="73"/>
      <c r="AJ1414" s="73"/>
      <c r="AK1414" s="73"/>
      <c r="AL1414" s="73"/>
      <c r="AM1414" s="73"/>
      <c r="AN1414" s="73"/>
      <c r="AO1414" s="73"/>
      <c r="AP1414" s="73"/>
      <c r="AQ1414" s="73"/>
      <c r="AR1414" s="73"/>
      <c r="AS1414" s="73"/>
      <c r="AT1414" s="73"/>
      <c r="AU1414" s="73"/>
      <c r="AV1414" s="73"/>
      <c r="AW1414" s="73"/>
      <c r="AX1414" s="73"/>
      <c r="AY1414" s="73"/>
      <c r="AZ1414" s="73"/>
      <c r="BA1414" s="73"/>
      <c r="BB1414" s="73"/>
      <c r="BC1414" s="73"/>
      <c r="BD1414" s="73"/>
      <c r="BE1414" s="73"/>
      <c r="BF1414" s="73"/>
      <c r="BG1414" s="73"/>
      <c r="BH1414" s="73"/>
      <c r="BI1414" s="73"/>
      <c r="BJ1414" s="73"/>
      <c r="BK1414" s="73"/>
      <c r="BL1414" s="73"/>
      <c r="BM1414" s="73"/>
      <c r="BN1414" s="73"/>
      <c r="BO1414" s="73"/>
      <c r="BP1414" s="73"/>
      <c r="BQ1414" s="73"/>
      <c r="BR1414" s="73"/>
      <c r="BS1414" s="73"/>
      <c r="BT1414" s="73"/>
      <c r="BU1414" s="73"/>
      <c r="BV1414" s="73"/>
      <c r="BW1414" s="73"/>
      <c r="BX1414" s="73"/>
      <c r="BY1414" s="73"/>
      <c r="BZ1414" s="73"/>
      <c r="CA1414" s="73"/>
      <c r="CB1414" s="73"/>
      <c r="CC1414" s="73"/>
      <c r="CD1414" s="73"/>
      <c r="CE1414" s="73"/>
      <c r="CF1414" s="73"/>
      <c r="CG1414" s="73"/>
      <c r="CH1414" s="73"/>
      <c r="CI1414" s="73"/>
      <c r="CJ1414" s="73"/>
      <c r="CK1414" s="73"/>
      <c r="CL1414" s="73"/>
      <c r="CM1414" s="73"/>
      <c r="CN1414" s="73"/>
      <c r="CO1414" s="73"/>
      <c r="CP1414" s="73"/>
      <c r="CQ1414" s="73"/>
      <c r="CR1414" s="73"/>
      <c r="CS1414" s="73"/>
      <c r="CT1414" s="73"/>
      <c r="CU1414" s="73"/>
      <c r="CV1414" s="73"/>
      <c r="CW1414" s="73"/>
      <c r="CX1414" s="73"/>
      <c r="CY1414" s="73"/>
      <c r="CZ1414" s="73"/>
      <c r="DA1414" s="73"/>
      <c r="DB1414" s="73"/>
      <c r="DC1414" s="73"/>
      <c r="DD1414" s="73"/>
      <c r="DE1414" s="73"/>
      <c r="DF1414" s="73"/>
      <c r="DG1414" s="73"/>
      <c r="DH1414" s="73"/>
      <c r="DI1414" s="73"/>
      <c r="DJ1414" s="73"/>
      <c r="DK1414" s="73"/>
      <c r="DL1414" s="73"/>
      <c r="DM1414" s="73"/>
    </row>
    <row r="1415" spans="1:117" s="48" customFormat="1">
      <c r="A1415" s="73"/>
      <c r="T1415" s="73"/>
      <c r="U1415" s="73"/>
      <c r="V1415" s="73"/>
      <c r="W1415" s="73"/>
      <c r="X1415" s="73"/>
      <c r="Y1415" s="73"/>
      <c r="Z1415" s="73"/>
      <c r="AA1415" s="73"/>
      <c r="AB1415" s="73"/>
      <c r="AC1415" s="73"/>
      <c r="AD1415" s="73"/>
      <c r="AE1415" s="73"/>
      <c r="AF1415" s="73"/>
      <c r="AG1415" s="73"/>
      <c r="AH1415" s="73"/>
      <c r="AI1415" s="73"/>
      <c r="AJ1415" s="73"/>
      <c r="AK1415" s="73"/>
      <c r="AL1415" s="73"/>
      <c r="AM1415" s="73"/>
      <c r="AN1415" s="73"/>
      <c r="AO1415" s="73"/>
      <c r="AP1415" s="73"/>
      <c r="AQ1415" s="73"/>
      <c r="AR1415" s="73"/>
      <c r="AS1415" s="73"/>
      <c r="AT1415" s="73"/>
      <c r="AU1415" s="73"/>
      <c r="AV1415" s="73"/>
      <c r="AW1415" s="73"/>
      <c r="AX1415" s="73"/>
      <c r="AY1415" s="73"/>
      <c r="AZ1415" s="73"/>
      <c r="BA1415" s="73"/>
      <c r="BB1415" s="73"/>
      <c r="BC1415" s="73"/>
      <c r="BD1415" s="73"/>
      <c r="BE1415" s="73"/>
      <c r="BF1415" s="73"/>
      <c r="BG1415" s="73"/>
      <c r="BH1415" s="73"/>
      <c r="BI1415" s="73"/>
      <c r="BJ1415" s="73"/>
      <c r="BK1415" s="73"/>
      <c r="BL1415" s="73"/>
      <c r="BM1415" s="73"/>
      <c r="BN1415" s="73"/>
      <c r="BO1415" s="73"/>
      <c r="BP1415" s="73"/>
      <c r="BQ1415" s="73"/>
      <c r="BR1415" s="73"/>
      <c r="BS1415" s="73"/>
      <c r="BT1415" s="73"/>
      <c r="BU1415" s="73"/>
      <c r="BV1415" s="73"/>
      <c r="BW1415" s="73"/>
      <c r="BX1415" s="73"/>
      <c r="BY1415" s="73"/>
      <c r="BZ1415" s="73"/>
      <c r="CA1415" s="73"/>
      <c r="CB1415" s="73"/>
      <c r="CC1415" s="73"/>
      <c r="CD1415" s="73"/>
      <c r="CE1415" s="73"/>
      <c r="CF1415" s="73"/>
      <c r="CG1415" s="73"/>
      <c r="CH1415" s="73"/>
      <c r="CI1415" s="73"/>
      <c r="CJ1415" s="73"/>
      <c r="CK1415" s="73"/>
      <c r="CL1415" s="73"/>
      <c r="CM1415" s="73"/>
      <c r="CN1415" s="73"/>
      <c r="CO1415" s="73"/>
      <c r="CP1415" s="73"/>
      <c r="CQ1415" s="73"/>
      <c r="CR1415" s="73"/>
      <c r="CS1415" s="73"/>
      <c r="CT1415" s="73"/>
      <c r="CU1415" s="73"/>
      <c r="CV1415" s="73"/>
      <c r="CW1415" s="73"/>
      <c r="CX1415" s="73"/>
      <c r="CY1415" s="73"/>
      <c r="CZ1415" s="73"/>
      <c r="DA1415" s="73"/>
      <c r="DB1415" s="73"/>
      <c r="DC1415" s="73"/>
      <c r="DD1415" s="73"/>
      <c r="DE1415" s="73"/>
      <c r="DF1415" s="73"/>
      <c r="DG1415" s="73"/>
      <c r="DH1415" s="73"/>
      <c r="DI1415" s="73"/>
      <c r="DJ1415" s="73"/>
      <c r="DK1415" s="73"/>
      <c r="DL1415" s="73"/>
      <c r="DM1415" s="73"/>
    </row>
    <row r="1416" spans="1:117" s="48" customFormat="1">
      <c r="A1416" s="73"/>
      <c r="T1416" s="73"/>
      <c r="U1416" s="73"/>
      <c r="V1416" s="73"/>
      <c r="W1416" s="73"/>
      <c r="X1416" s="73"/>
      <c r="Y1416" s="73"/>
      <c r="Z1416" s="73"/>
      <c r="AA1416" s="73"/>
      <c r="AB1416" s="73"/>
      <c r="AC1416" s="73"/>
      <c r="AD1416" s="73"/>
      <c r="AE1416" s="73"/>
      <c r="AF1416" s="73"/>
      <c r="AG1416" s="73"/>
      <c r="AH1416" s="73"/>
      <c r="AI1416" s="73"/>
      <c r="AJ1416" s="73"/>
      <c r="AK1416" s="73"/>
      <c r="AL1416" s="73"/>
      <c r="AM1416" s="73"/>
      <c r="AN1416" s="73"/>
      <c r="AO1416" s="73"/>
      <c r="AP1416" s="73"/>
      <c r="AQ1416" s="73"/>
      <c r="AR1416" s="73"/>
      <c r="AS1416" s="73"/>
      <c r="AT1416" s="73"/>
      <c r="AU1416" s="73"/>
      <c r="AV1416" s="73"/>
      <c r="AW1416" s="73"/>
      <c r="AX1416" s="73"/>
      <c r="AY1416" s="73"/>
      <c r="AZ1416" s="73"/>
      <c r="BA1416" s="73"/>
      <c r="BB1416" s="73"/>
      <c r="BC1416" s="73"/>
      <c r="BD1416" s="73"/>
      <c r="BE1416" s="73"/>
      <c r="BF1416" s="73"/>
      <c r="BG1416" s="73"/>
      <c r="BH1416" s="73"/>
      <c r="BI1416" s="73"/>
      <c r="BJ1416" s="73"/>
      <c r="BK1416" s="73"/>
      <c r="BL1416" s="73"/>
      <c r="BM1416" s="73"/>
      <c r="BN1416" s="73"/>
      <c r="BO1416" s="73"/>
      <c r="BP1416" s="73"/>
      <c r="BQ1416" s="73"/>
      <c r="BR1416" s="73"/>
      <c r="BS1416" s="73"/>
      <c r="BT1416" s="73"/>
      <c r="BU1416" s="73"/>
      <c r="BV1416" s="73"/>
      <c r="BW1416" s="73"/>
      <c r="BX1416" s="73"/>
      <c r="BY1416" s="73"/>
      <c r="BZ1416" s="73"/>
      <c r="CA1416" s="73"/>
      <c r="CB1416" s="73"/>
      <c r="CC1416" s="73"/>
      <c r="CD1416" s="73"/>
      <c r="CE1416" s="73"/>
      <c r="CF1416" s="73"/>
      <c r="CG1416" s="73"/>
      <c r="CH1416" s="73"/>
      <c r="CI1416" s="73"/>
      <c r="CJ1416" s="73"/>
      <c r="CK1416" s="73"/>
      <c r="CL1416" s="73"/>
      <c r="CM1416" s="73"/>
      <c r="CN1416" s="73"/>
      <c r="CO1416" s="73"/>
      <c r="CP1416" s="73"/>
      <c r="CQ1416" s="73"/>
      <c r="CR1416" s="73"/>
      <c r="CS1416" s="73"/>
      <c r="CT1416" s="73"/>
      <c r="CU1416" s="73"/>
      <c r="CV1416" s="73"/>
      <c r="CW1416" s="73"/>
      <c r="CX1416" s="73"/>
      <c r="CY1416" s="73"/>
      <c r="CZ1416" s="73"/>
      <c r="DA1416" s="73"/>
      <c r="DB1416" s="73"/>
      <c r="DC1416" s="73"/>
      <c r="DD1416" s="73"/>
      <c r="DE1416" s="73"/>
      <c r="DF1416" s="73"/>
      <c r="DG1416" s="73"/>
      <c r="DH1416" s="73"/>
      <c r="DI1416" s="73"/>
      <c r="DJ1416" s="73"/>
      <c r="DK1416" s="73"/>
      <c r="DL1416" s="73"/>
      <c r="DM1416" s="73"/>
    </row>
    <row r="1417" spans="1:117" s="48" customFormat="1">
      <c r="A1417" s="73"/>
      <c r="T1417" s="73"/>
      <c r="U1417" s="73"/>
      <c r="V1417" s="73"/>
      <c r="W1417" s="73"/>
      <c r="X1417" s="73"/>
      <c r="Y1417" s="73"/>
      <c r="Z1417" s="73"/>
      <c r="AA1417" s="73"/>
      <c r="AB1417" s="73"/>
      <c r="AC1417" s="73"/>
      <c r="AD1417" s="73"/>
      <c r="AE1417" s="73"/>
      <c r="AF1417" s="73"/>
      <c r="AG1417" s="73"/>
      <c r="AH1417" s="73"/>
      <c r="AI1417" s="73"/>
      <c r="AJ1417" s="73"/>
      <c r="AK1417" s="73"/>
      <c r="AL1417" s="73"/>
      <c r="AM1417" s="73"/>
      <c r="AN1417" s="73"/>
      <c r="AO1417" s="73"/>
      <c r="AP1417" s="73"/>
      <c r="AQ1417" s="73"/>
      <c r="AR1417" s="73"/>
      <c r="AS1417" s="73"/>
      <c r="AT1417" s="73"/>
      <c r="AU1417" s="73"/>
      <c r="AV1417" s="73"/>
      <c r="AW1417" s="73"/>
      <c r="AX1417" s="73"/>
      <c r="AY1417" s="73"/>
      <c r="AZ1417" s="73"/>
      <c r="BA1417" s="73"/>
      <c r="BB1417" s="73"/>
      <c r="BC1417" s="73"/>
      <c r="BD1417" s="73"/>
      <c r="BE1417" s="73"/>
      <c r="BF1417" s="73"/>
      <c r="BG1417" s="73"/>
      <c r="BH1417" s="73"/>
      <c r="BI1417" s="73"/>
      <c r="BJ1417" s="73"/>
      <c r="BK1417" s="73"/>
      <c r="BL1417" s="73"/>
      <c r="BM1417" s="73"/>
      <c r="BN1417" s="73"/>
      <c r="BO1417" s="73"/>
      <c r="BP1417" s="73"/>
      <c r="BQ1417" s="73"/>
      <c r="BR1417" s="73"/>
      <c r="BS1417" s="73"/>
      <c r="BT1417" s="73"/>
      <c r="BU1417" s="73"/>
      <c r="BV1417" s="73"/>
      <c r="BW1417" s="73"/>
      <c r="BX1417" s="73"/>
      <c r="BY1417" s="73"/>
      <c r="BZ1417" s="73"/>
      <c r="CA1417" s="73"/>
      <c r="CB1417" s="73"/>
      <c r="CC1417" s="73"/>
      <c r="CD1417" s="73"/>
      <c r="CE1417" s="73"/>
      <c r="CF1417" s="73"/>
      <c r="CG1417" s="73"/>
      <c r="CH1417" s="73"/>
      <c r="CI1417" s="73"/>
      <c r="CJ1417" s="73"/>
      <c r="CK1417" s="73"/>
      <c r="CL1417" s="73"/>
      <c r="CM1417" s="73"/>
      <c r="CN1417" s="73"/>
      <c r="CO1417" s="73"/>
      <c r="CP1417" s="73"/>
      <c r="CQ1417" s="73"/>
      <c r="CR1417" s="73"/>
      <c r="CS1417" s="73"/>
      <c r="CT1417" s="73"/>
      <c r="CU1417" s="73"/>
      <c r="CV1417" s="73"/>
      <c r="CW1417" s="73"/>
      <c r="CX1417" s="73"/>
      <c r="CY1417" s="73"/>
      <c r="CZ1417" s="73"/>
      <c r="DA1417" s="73"/>
      <c r="DB1417" s="73"/>
      <c r="DC1417" s="73"/>
      <c r="DD1417" s="73"/>
      <c r="DE1417" s="73"/>
      <c r="DF1417" s="73"/>
      <c r="DG1417" s="73"/>
      <c r="DH1417" s="73"/>
      <c r="DI1417" s="73"/>
      <c r="DJ1417" s="73"/>
      <c r="DK1417" s="73"/>
      <c r="DL1417" s="73"/>
      <c r="DM1417" s="73"/>
    </row>
    <row r="1418" spans="1:117" s="48" customFormat="1">
      <c r="A1418" s="73"/>
      <c r="T1418" s="73"/>
      <c r="U1418" s="73"/>
      <c r="V1418" s="73"/>
      <c r="W1418" s="73"/>
      <c r="X1418" s="73"/>
      <c r="Y1418" s="73"/>
      <c r="Z1418" s="73"/>
      <c r="AA1418" s="73"/>
      <c r="AB1418" s="73"/>
      <c r="AC1418" s="73"/>
      <c r="AD1418" s="73"/>
      <c r="AE1418" s="73"/>
      <c r="AF1418" s="73"/>
      <c r="AG1418" s="73"/>
      <c r="AH1418" s="73"/>
      <c r="AI1418" s="73"/>
      <c r="AJ1418" s="73"/>
      <c r="AK1418" s="73"/>
      <c r="AL1418" s="73"/>
      <c r="AM1418" s="73"/>
      <c r="AN1418" s="73"/>
      <c r="AO1418" s="73"/>
      <c r="AP1418" s="73"/>
      <c r="AQ1418" s="73"/>
      <c r="AR1418" s="73"/>
      <c r="AS1418" s="73"/>
      <c r="AT1418" s="73"/>
      <c r="AU1418" s="73"/>
      <c r="AV1418" s="73"/>
      <c r="AW1418" s="73"/>
      <c r="AX1418" s="73"/>
      <c r="AY1418" s="73"/>
      <c r="AZ1418" s="73"/>
      <c r="BA1418" s="73"/>
      <c r="BB1418" s="73"/>
      <c r="BC1418" s="73"/>
      <c r="BD1418" s="73"/>
      <c r="BE1418" s="73"/>
      <c r="BF1418" s="73"/>
      <c r="BG1418" s="73"/>
      <c r="BH1418" s="73"/>
      <c r="BI1418" s="73"/>
      <c r="BJ1418" s="73"/>
      <c r="BK1418" s="73"/>
      <c r="BL1418" s="73"/>
      <c r="BM1418" s="73"/>
      <c r="BN1418" s="73"/>
      <c r="BO1418" s="73"/>
      <c r="BP1418" s="73"/>
      <c r="BQ1418" s="73"/>
      <c r="BR1418" s="73"/>
      <c r="BS1418" s="73"/>
      <c r="BT1418" s="73"/>
      <c r="BU1418" s="73"/>
      <c r="BV1418" s="73"/>
      <c r="BW1418" s="73"/>
      <c r="BX1418" s="73"/>
      <c r="BY1418" s="73"/>
      <c r="BZ1418" s="73"/>
      <c r="CA1418" s="73"/>
      <c r="CB1418" s="73"/>
      <c r="CC1418" s="73"/>
      <c r="CD1418" s="73"/>
      <c r="CE1418" s="73"/>
      <c r="CF1418" s="73"/>
      <c r="CG1418" s="73"/>
      <c r="CH1418" s="73"/>
      <c r="CI1418" s="73"/>
      <c r="CJ1418" s="73"/>
      <c r="CK1418" s="73"/>
      <c r="CL1418" s="73"/>
      <c r="CM1418" s="73"/>
      <c r="CN1418" s="73"/>
      <c r="CO1418" s="73"/>
      <c r="CP1418" s="73"/>
      <c r="CQ1418" s="73"/>
      <c r="CR1418" s="73"/>
      <c r="CS1418" s="73"/>
      <c r="CT1418" s="73"/>
      <c r="CU1418" s="73"/>
      <c r="CV1418" s="73"/>
      <c r="CW1418" s="73"/>
      <c r="CX1418" s="73"/>
      <c r="CY1418" s="73"/>
      <c r="CZ1418" s="73"/>
      <c r="DA1418" s="73"/>
      <c r="DB1418" s="73"/>
      <c r="DC1418" s="73"/>
      <c r="DD1418" s="73"/>
      <c r="DE1418" s="73"/>
      <c r="DF1418" s="73"/>
      <c r="DG1418" s="73"/>
      <c r="DH1418" s="73"/>
      <c r="DI1418" s="73"/>
      <c r="DJ1418" s="73"/>
      <c r="DK1418" s="73"/>
      <c r="DL1418" s="73"/>
      <c r="DM1418" s="73"/>
    </row>
    <row r="1419" spans="1:117" s="48" customFormat="1">
      <c r="A1419" s="73"/>
      <c r="T1419" s="73"/>
      <c r="U1419" s="73"/>
      <c r="V1419" s="73"/>
      <c r="W1419" s="73"/>
      <c r="X1419" s="73"/>
      <c r="Y1419" s="73"/>
      <c r="Z1419" s="73"/>
      <c r="AA1419" s="73"/>
      <c r="AB1419" s="73"/>
      <c r="AC1419" s="73"/>
      <c r="AD1419" s="73"/>
      <c r="AE1419" s="73"/>
      <c r="AF1419" s="73"/>
      <c r="AG1419" s="73"/>
      <c r="AH1419" s="73"/>
      <c r="AI1419" s="73"/>
      <c r="AJ1419" s="73"/>
      <c r="AK1419" s="73"/>
      <c r="AL1419" s="73"/>
      <c r="AM1419" s="73"/>
      <c r="AN1419" s="73"/>
      <c r="AO1419" s="73"/>
      <c r="AP1419" s="73"/>
      <c r="AQ1419" s="73"/>
      <c r="AR1419" s="73"/>
      <c r="AS1419" s="73"/>
      <c r="AT1419" s="73"/>
      <c r="AU1419" s="73"/>
      <c r="AV1419" s="73"/>
      <c r="AW1419" s="73"/>
      <c r="AX1419" s="73"/>
      <c r="AY1419" s="73"/>
      <c r="AZ1419" s="73"/>
      <c r="BA1419" s="73"/>
      <c r="BB1419" s="73"/>
      <c r="BC1419" s="73"/>
      <c r="BD1419" s="73"/>
      <c r="BE1419" s="73"/>
      <c r="BF1419" s="73"/>
      <c r="BG1419" s="73"/>
      <c r="BH1419" s="73"/>
      <c r="BI1419" s="73"/>
      <c r="BJ1419" s="73"/>
      <c r="BK1419" s="73"/>
      <c r="BL1419" s="73"/>
      <c r="BM1419" s="73"/>
      <c r="BN1419" s="73"/>
      <c r="BO1419" s="73"/>
      <c r="BP1419" s="73"/>
      <c r="BQ1419" s="73"/>
      <c r="BR1419" s="73"/>
      <c r="BS1419" s="73"/>
      <c r="BT1419" s="73"/>
      <c r="BU1419" s="73"/>
      <c r="BV1419" s="73"/>
      <c r="BW1419" s="73"/>
      <c r="BX1419" s="73"/>
      <c r="BY1419" s="73"/>
      <c r="BZ1419" s="73"/>
      <c r="CA1419" s="73"/>
      <c r="CB1419" s="73"/>
      <c r="CC1419" s="73"/>
      <c r="CD1419" s="73"/>
      <c r="CE1419" s="73"/>
      <c r="CF1419" s="73"/>
      <c r="CG1419" s="73"/>
      <c r="CH1419" s="73"/>
      <c r="CI1419" s="73"/>
      <c r="CJ1419" s="73"/>
      <c r="CK1419" s="73"/>
      <c r="CL1419" s="73"/>
      <c r="CM1419" s="73"/>
      <c r="CN1419" s="73"/>
      <c r="CO1419" s="73"/>
      <c r="CP1419" s="73"/>
      <c r="CQ1419" s="73"/>
      <c r="CR1419" s="73"/>
      <c r="CS1419" s="73"/>
      <c r="CT1419" s="73"/>
      <c r="CU1419" s="73"/>
      <c r="CV1419" s="73"/>
      <c r="CW1419" s="73"/>
      <c r="CX1419" s="73"/>
      <c r="CY1419" s="73"/>
      <c r="CZ1419" s="73"/>
      <c r="DA1419" s="73"/>
      <c r="DB1419" s="73"/>
      <c r="DC1419" s="73"/>
      <c r="DD1419" s="73"/>
      <c r="DE1419" s="73"/>
      <c r="DF1419" s="73"/>
      <c r="DG1419" s="73"/>
      <c r="DH1419" s="73"/>
      <c r="DI1419" s="73"/>
      <c r="DJ1419" s="73"/>
      <c r="DK1419" s="73"/>
      <c r="DL1419" s="73"/>
      <c r="DM1419" s="73"/>
    </row>
    <row r="1420" spans="1:117" s="48" customFormat="1">
      <c r="A1420" s="73"/>
      <c r="T1420" s="73"/>
      <c r="U1420" s="73"/>
      <c r="V1420" s="73"/>
      <c r="W1420" s="73"/>
      <c r="X1420" s="73"/>
      <c r="Y1420" s="73"/>
      <c r="Z1420" s="73"/>
      <c r="AA1420" s="73"/>
      <c r="AB1420" s="73"/>
      <c r="AC1420" s="73"/>
      <c r="AD1420" s="73"/>
      <c r="AE1420" s="73"/>
      <c r="AF1420" s="73"/>
      <c r="AG1420" s="73"/>
      <c r="AH1420" s="73"/>
      <c r="AI1420" s="73"/>
      <c r="AJ1420" s="73"/>
      <c r="AK1420" s="73"/>
      <c r="AL1420" s="73"/>
      <c r="AM1420" s="73"/>
      <c r="AN1420" s="73"/>
      <c r="AO1420" s="73"/>
      <c r="AP1420" s="73"/>
      <c r="AQ1420" s="73"/>
      <c r="AR1420" s="73"/>
      <c r="AS1420" s="73"/>
      <c r="AT1420" s="73"/>
      <c r="AU1420" s="73"/>
      <c r="AV1420" s="73"/>
      <c r="AW1420" s="73"/>
      <c r="AX1420" s="73"/>
      <c r="AY1420" s="73"/>
      <c r="AZ1420" s="73"/>
      <c r="BA1420" s="73"/>
      <c r="BB1420" s="73"/>
      <c r="BC1420" s="73"/>
      <c r="BD1420" s="73"/>
      <c r="BE1420" s="73"/>
      <c r="BF1420" s="73"/>
      <c r="BG1420" s="73"/>
      <c r="BH1420" s="73"/>
      <c r="BI1420" s="73"/>
      <c r="BJ1420" s="73"/>
      <c r="BK1420" s="73"/>
      <c r="BL1420" s="73"/>
      <c r="BM1420" s="73"/>
      <c r="BN1420" s="73"/>
      <c r="BO1420" s="73"/>
      <c r="BP1420" s="73"/>
      <c r="BQ1420" s="73"/>
      <c r="BR1420" s="73"/>
      <c r="BS1420" s="73"/>
      <c r="BT1420" s="73"/>
      <c r="BU1420" s="73"/>
      <c r="BV1420" s="73"/>
      <c r="BW1420" s="73"/>
      <c r="BX1420" s="73"/>
      <c r="BY1420" s="73"/>
      <c r="BZ1420" s="73"/>
      <c r="CA1420" s="73"/>
      <c r="CB1420" s="73"/>
      <c r="CC1420" s="73"/>
      <c r="CD1420" s="73"/>
      <c r="CE1420" s="73"/>
      <c r="CF1420" s="73"/>
      <c r="CG1420" s="73"/>
      <c r="CH1420" s="73"/>
      <c r="CI1420" s="73"/>
      <c r="CJ1420" s="73"/>
      <c r="CK1420" s="73"/>
      <c r="CL1420" s="73"/>
      <c r="CM1420" s="73"/>
      <c r="CN1420" s="73"/>
      <c r="CO1420" s="73"/>
      <c r="CP1420" s="73"/>
      <c r="CQ1420" s="73"/>
      <c r="CR1420" s="73"/>
      <c r="CS1420" s="73"/>
      <c r="CT1420" s="73"/>
      <c r="CU1420" s="73"/>
      <c r="CV1420" s="73"/>
      <c r="CW1420" s="73"/>
      <c r="CX1420" s="73"/>
      <c r="CY1420" s="73"/>
      <c r="CZ1420" s="73"/>
      <c r="DA1420" s="73"/>
      <c r="DB1420" s="73"/>
      <c r="DC1420" s="73"/>
      <c r="DD1420" s="73"/>
      <c r="DE1420" s="73"/>
      <c r="DF1420" s="73"/>
      <c r="DG1420" s="73"/>
      <c r="DH1420" s="73"/>
      <c r="DI1420" s="73"/>
      <c r="DJ1420" s="73"/>
      <c r="DK1420" s="73"/>
      <c r="DL1420" s="73"/>
      <c r="DM1420" s="73"/>
    </row>
    <row r="1421" spans="1:117" s="48" customFormat="1">
      <c r="A1421" s="73"/>
      <c r="T1421" s="73"/>
      <c r="U1421" s="73"/>
      <c r="V1421" s="73"/>
      <c r="W1421" s="73"/>
      <c r="X1421" s="73"/>
      <c r="Y1421" s="73"/>
      <c r="Z1421" s="73"/>
      <c r="AA1421" s="73"/>
      <c r="AB1421" s="73"/>
      <c r="AC1421" s="73"/>
      <c r="AD1421" s="73"/>
      <c r="AE1421" s="73"/>
      <c r="AF1421" s="73"/>
      <c r="AG1421" s="73"/>
      <c r="AH1421" s="73"/>
      <c r="AI1421" s="73"/>
      <c r="AJ1421" s="73"/>
      <c r="AK1421" s="73"/>
      <c r="AL1421" s="73"/>
      <c r="AM1421" s="73"/>
      <c r="AN1421" s="73"/>
      <c r="AO1421" s="73"/>
      <c r="AP1421" s="73"/>
      <c r="AQ1421" s="73"/>
      <c r="AR1421" s="73"/>
      <c r="AS1421" s="73"/>
      <c r="AT1421" s="73"/>
      <c r="AU1421" s="73"/>
      <c r="AV1421" s="73"/>
      <c r="AW1421" s="73"/>
      <c r="AX1421" s="73"/>
      <c r="AY1421" s="73"/>
      <c r="AZ1421" s="73"/>
      <c r="BA1421" s="73"/>
      <c r="BB1421" s="73"/>
      <c r="BC1421" s="73"/>
      <c r="BD1421" s="73"/>
      <c r="BE1421" s="73"/>
      <c r="BF1421" s="73"/>
      <c r="BG1421" s="73"/>
      <c r="BH1421" s="73"/>
      <c r="BI1421" s="73"/>
      <c r="BJ1421" s="73"/>
      <c r="BK1421" s="73"/>
      <c r="BL1421" s="73"/>
      <c r="BM1421" s="73"/>
      <c r="BN1421" s="73"/>
      <c r="BO1421" s="73"/>
      <c r="BP1421" s="73"/>
      <c r="BQ1421" s="73"/>
      <c r="BR1421" s="73"/>
      <c r="BS1421" s="73"/>
      <c r="BT1421" s="73"/>
      <c r="BU1421" s="73"/>
      <c r="BV1421" s="73"/>
      <c r="BW1421" s="73"/>
      <c r="BX1421" s="73"/>
      <c r="BY1421" s="73"/>
      <c r="BZ1421" s="73"/>
      <c r="CA1421" s="73"/>
      <c r="CB1421" s="73"/>
      <c r="CC1421" s="73"/>
      <c r="CD1421" s="73"/>
      <c r="CE1421" s="73"/>
      <c r="CF1421" s="73"/>
      <c r="CG1421" s="73"/>
      <c r="CH1421" s="73"/>
      <c r="CI1421" s="73"/>
      <c r="CJ1421" s="73"/>
      <c r="CK1421" s="73"/>
      <c r="CL1421" s="73"/>
      <c r="CM1421" s="73"/>
      <c r="CN1421" s="73"/>
      <c r="CO1421" s="73"/>
      <c r="CP1421" s="73"/>
      <c r="CQ1421" s="73"/>
      <c r="CR1421" s="73"/>
      <c r="CS1421" s="73"/>
      <c r="CT1421" s="73"/>
      <c r="CU1421" s="73"/>
      <c r="CV1421" s="73"/>
      <c r="CW1421" s="73"/>
      <c r="CX1421" s="73"/>
      <c r="CY1421" s="73"/>
      <c r="CZ1421" s="73"/>
      <c r="DA1421" s="73"/>
      <c r="DB1421" s="73"/>
      <c r="DC1421" s="73"/>
      <c r="DD1421" s="73"/>
      <c r="DE1421" s="73"/>
      <c r="DF1421" s="73"/>
      <c r="DG1421" s="73"/>
      <c r="DH1421" s="73"/>
      <c r="DI1421" s="73"/>
      <c r="DJ1421" s="73"/>
      <c r="DK1421" s="73"/>
      <c r="DL1421" s="73"/>
      <c r="DM1421" s="73"/>
    </row>
    <row r="1422" spans="1:117" s="48" customFormat="1">
      <c r="A1422" s="73"/>
      <c r="T1422" s="73"/>
      <c r="U1422" s="73"/>
      <c r="V1422" s="73"/>
      <c r="W1422" s="73"/>
      <c r="X1422" s="73"/>
      <c r="Y1422" s="73"/>
      <c r="Z1422" s="73"/>
      <c r="AA1422" s="73"/>
      <c r="AB1422" s="73"/>
      <c r="AC1422" s="73"/>
      <c r="AD1422" s="73"/>
      <c r="AE1422" s="73"/>
      <c r="AF1422" s="73"/>
      <c r="AG1422" s="73"/>
      <c r="AH1422" s="73"/>
      <c r="AI1422" s="73"/>
      <c r="AJ1422" s="73"/>
      <c r="AK1422" s="73"/>
      <c r="AL1422" s="73"/>
      <c r="AM1422" s="73"/>
      <c r="AN1422" s="73"/>
      <c r="AO1422" s="73"/>
      <c r="AP1422" s="73"/>
      <c r="AQ1422" s="73"/>
      <c r="AR1422" s="73"/>
      <c r="AS1422" s="73"/>
      <c r="AT1422" s="73"/>
      <c r="AU1422" s="73"/>
      <c r="AV1422" s="73"/>
      <c r="AW1422" s="73"/>
      <c r="AX1422" s="73"/>
      <c r="AY1422" s="73"/>
      <c r="AZ1422" s="73"/>
      <c r="BA1422" s="73"/>
      <c r="BB1422" s="73"/>
      <c r="BC1422" s="73"/>
      <c r="BD1422" s="73"/>
      <c r="BE1422" s="73"/>
      <c r="BF1422" s="73"/>
      <c r="BG1422" s="73"/>
      <c r="BH1422" s="73"/>
      <c r="BI1422" s="73"/>
      <c r="BJ1422" s="73"/>
      <c r="BK1422" s="73"/>
      <c r="BL1422" s="73"/>
      <c r="BM1422" s="73"/>
      <c r="BN1422" s="73"/>
      <c r="BO1422" s="73"/>
      <c r="BP1422" s="73"/>
      <c r="BQ1422" s="73"/>
      <c r="BR1422" s="73"/>
      <c r="BS1422" s="73"/>
      <c r="BT1422" s="73"/>
      <c r="BU1422" s="73"/>
      <c r="BV1422" s="73"/>
      <c r="BW1422" s="73"/>
      <c r="BX1422" s="73"/>
      <c r="BY1422" s="73"/>
      <c r="BZ1422" s="73"/>
      <c r="CA1422" s="73"/>
      <c r="CB1422" s="73"/>
      <c r="CC1422" s="73"/>
      <c r="CD1422" s="73"/>
      <c r="CE1422" s="73"/>
      <c r="CF1422" s="73"/>
      <c r="CG1422" s="73"/>
      <c r="CH1422" s="73"/>
      <c r="CI1422" s="73"/>
      <c r="CJ1422" s="73"/>
      <c r="CK1422" s="73"/>
      <c r="CL1422" s="73"/>
      <c r="CM1422" s="73"/>
      <c r="CN1422" s="73"/>
      <c r="CO1422" s="73"/>
      <c r="CP1422" s="73"/>
      <c r="CQ1422" s="73"/>
      <c r="CR1422" s="73"/>
      <c r="CS1422" s="73"/>
      <c r="CT1422" s="73"/>
      <c r="CU1422" s="73"/>
      <c r="CV1422" s="73"/>
      <c r="CW1422" s="73"/>
      <c r="CX1422" s="73"/>
      <c r="CY1422" s="73"/>
      <c r="CZ1422" s="73"/>
      <c r="DA1422" s="73"/>
      <c r="DB1422" s="73"/>
      <c r="DC1422" s="73"/>
      <c r="DD1422" s="73"/>
      <c r="DE1422" s="73"/>
      <c r="DF1422" s="73"/>
      <c r="DG1422" s="73"/>
      <c r="DH1422" s="73"/>
      <c r="DI1422" s="73"/>
      <c r="DJ1422" s="73"/>
      <c r="DK1422" s="73"/>
      <c r="DL1422" s="73"/>
      <c r="DM1422" s="73"/>
    </row>
    <row r="1423" spans="1:117" s="48" customFormat="1">
      <c r="A1423" s="73"/>
      <c r="T1423" s="73"/>
      <c r="U1423" s="73"/>
      <c r="V1423" s="73"/>
      <c r="W1423" s="73"/>
      <c r="X1423" s="73"/>
      <c r="Y1423" s="73"/>
      <c r="Z1423" s="73"/>
      <c r="AA1423" s="73"/>
      <c r="AB1423" s="73"/>
      <c r="AC1423" s="73"/>
      <c r="AD1423" s="73"/>
      <c r="AE1423" s="73"/>
      <c r="AF1423" s="73"/>
      <c r="AG1423" s="73"/>
      <c r="AH1423" s="73"/>
      <c r="AI1423" s="73"/>
      <c r="AJ1423" s="73"/>
      <c r="AK1423" s="73"/>
      <c r="AL1423" s="73"/>
      <c r="AM1423" s="73"/>
      <c r="AN1423" s="73"/>
      <c r="AO1423" s="73"/>
      <c r="AP1423" s="73"/>
      <c r="AQ1423" s="73"/>
      <c r="AR1423" s="73"/>
      <c r="AS1423" s="73"/>
      <c r="AT1423" s="73"/>
      <c r="AU1423" s="73"/>
      <c r="AV1423" s="73"/>
      <c r="AW1423" s="73"/>
      <c r="AX1423" s="73"/>
      <c r="AY1423" s="73"/>
      <c r="AZ1423" s="73"/>
      <c r="BA1423" s="73"/>
      <c r="BB1423" s="73"/>
      <c r="BC1423" s="73"/>
      <c r="BD1423" s="73"/>
      <c r="BE1423" s="73"/>
      <c r="BF1423" s="73"/>
      <c r="BG1423" s="73"/>
      <c r="BH1423" s="73"/>
      <c r="BI1423" s="73"/>
      <c r="BJ1423" s="73"/>
      <c r="BK1423" s="73"/>
      <c r="BL1423" s="73"/>
      <c r="BM1423" s="73"/>
      <c r="BN1423" s="73"/>
      <c r="BO1423" s="73"/>
      <c r="BP1423" s="73"/>
      <c r="BQ1423" s="73"/>
      <c r="BR1423" s="73"/>
      <c r="BS1423" s="73"/>
      <c r="BT1423" s="73"/>
      <c r="BU1423" s="73"/>
      <c r="BV1423" s="73"/>
      <c r="BW1423" s="73"/>
      <c r="BX1423" s="73"/>
      <c r="BY1423" s="73"/>
      <c r="BZ1423" s="73"/>
      <c r="CA1423" s="73"/>
      <c r="CB1423" s="73"/>
      <c r="CC1423" s="73"/>
      <c r="CD1423" s="73"/>
      <c r="CE1423" s="73"/>
      <c r="CF1423" s="73"/>
      <c r="CG1423" s="73"/>
      <c r="CH1423" s="73"/>
      <c r="CI1423" s="73"/>
      <c r="CJ1423" s="73"/>
      <c r="CK1423" s="73"/>
      <c r="CL1423" s="73"/>
      <c r="CM1423" s="73"/>
      <c r="CN1423" s="73"/>
      <c r="CO1423" s="73"/>
      <c r="CP1423" s="73"/>
      <c r="CQ1423" s="73"/>
      <c r="CR1423" s="73"/>
      <c r="CS1423" s="73"/>
      <c r="CT1423" s="73"/>
      <c r="CU1423" s="73"/>
      <c r="CV1423" s="73"/>
      <c r="CW1423" s="73"/>
      <c r="CX1423" s="73"/>
      <c r="CY1423" s="73"/>
      <c r="CZ1423" s="73"/>
      <c r="DA1423" s="73"/>
      <c r="DB1423" s="73"/>
      <c r="DC1423" s="73"/>
      <c r="DD1423" s="73"/>
      <c r="DE1423" s="73"/>
      <c r="DF1423" s="73"/>
      <c r="DG1423" s="73"/>
      <c r="DH1423" s="73"/>
      <c r="DI1423" s="73"/>
      <c r="DJ1423" s="73"/>
      <c r="DK1423" s="73"/>
      <c r="DL1423" s="73"/>
      <c r="DM1423" s="73"/>
    </row>
    <row r="1424" spans="1:117" s="48" customFormat="1">
      <c r="A1424" s="73"/>
      <c r="T1424" s="73"/>
      <c r="U1424" s="73"/>
      <c r="V1424" s="73"/>
      <c r="W1424" s="73"/>
      <c r="X1424" s="73"/>
      <c r="Y1424" s="73"/>
      <c r="Z1424" s="73"/>
      <c r="AA1424" s="73"/>
      <c r="AB1424" s="73"/>
      <c r="AC1424" s="73"/>
      <c r="AD1424" s="73"/>
      <c r="AE1424" s="73"/>
      <c r="AF1424" s="73"/>
      <c r="AG1424" s="73"/>
      <c r="AH1424" s="73"/>
      <c r="AI1424" s="73"/>
      <c r="AJ1424" s="73"/>
      <c r="AK1424" s="73"/>
      <c r="AL1424" s="73"/>
      <c r="AM1424" s="73"/>
      <c r="AN1424" s="73"/>
      <c r="AO1424" s="73"/>
      <c r="AP1424" s="73"/>
      <c r="AQ1424" s="73"/>
      <c r="AR1424" s="73"/>
      <c r="AS1424" s="73"/>
      <c r="AT1424" s="73"/>
      <c r="AU1424" s="73"/>
      <c r="AV1424" s="73"/>
      <c r="AW1424" s="73"/>
      <c r="AX1424" s="73"/>
      <c r="AY1424" s="73"/>
      <c r="AZ1424" s="73"/>
      <c r="BA1424" s="73"/>
      <c r="BB1424" s="73"/>
      <c r="BC1424" s="73"/>
      <c r="BD1424" s="73"/>
      <c r="BE1424" s="73"/>
      <c r="BF1424" s="73"/>
      <c r="BG1424" s="73"/>
      <c r="BH1424" s="73"/>
      <c r="BI1424" s="73"/>
      <c r="BJ1424" s="73"/>
      <c r="BK1424" s="73"/>
      <c r="BL1424" s="73"/>
      <c r="BM1424" s="73"/>
      <c r="BN1424" s="73"/>
      <c r="BO1424" s="73"/>
      <c r="BP1424" s="73"/>
      <c r="BQ1424" s="73"/>
      <c r="BR1424" s="73"/>
      <c r="BS1424" s="73"/>
      <c r="BT1424" s="73"/>
      <c r="BU1424" s="73"/>
      <c r="BV1424" s="73"/>
      <c r="BW1424" s="73"/>
      <c r="BX1424" s="73"/>
      <c r="BY1424" s="73"/>
      <c r="BZ1424" s="73"/>
      <c r="CA1424" s="73"/>
      <c r="CB1424" s="73"/>
      <c r="CC1424" s="73"/>
      <c r="CD1424" s="73"/>
      <c r="CE1424" s="73"/>
      <c r="CF1424" s="73"/>
      <c r="CG1424" s="73"/>
      <c r="CH1424" s="73"/>
      <c r="CI1424" s="73"/>
      <c r="CJ1424" s="73"/>
      <c r="CK1424" s="73"/>
      <c r="CL1424" s="73"/>
      <c r="CM1424" s="73"/>
      <c r="CN1424" s="73"/>
      <c r="CO1424" s="73"/>
      <c r="CP1424" s="73"/>
      <c r="CQ1424" s="73"/>
      <c r="CR1424" s="73"/>
      <c r="CS1424" s="73"/>
      <c r="CT1424" s="73"/>
      <c r="CU1424" s="73"/>
      <c r="CV1424" s="73"/>
      <c r="CW1424" s="73"/>
      <c r="CX1424" s="73"/>
      <c r="CY1424" s="73"/>
      <c r="CZ1424" s="73"/>
      <c r="DA1424" s="73"/>
      <c r="DB1424" s="73"/>
      <c r="DC1424" s="73"/>
      <c r="DD1424" s="73"/>
      <c r="DE1424" s="73"/>
      <c r="DF1424" s="73"/>
      <c r="DG1424" s="73"/>
      <c r="DH1424" s="73"/>
      <c r="DI1424" s="73"/>
      <c r="DJ1424" s="73"/>
      <c r="DK1424" s="73"/>
      <c r="DL1424" s="73"/>
      <c r="DM1424" s="73"/>
    </row>
    <row r="1425" spans="1:117" s="48" customFormat="1">
      <c r="A1425" s="73"/>
      <c r="T1425" s="73"/>
      <c r="U1425" s="73"/>
      <c r="V1425" s="73"/>
      <c r="W1425" s="73"/>
      <c r="X1425" s="73"/>
      <c r="Y1425" s="73"/>
      <c r="Z1425" s="73"/>
      <c r="AA1425" s="73"/>
      <c r="AB1425" s="73"/>
      <c r="AC1425" s="73"/>
      <c r="AD1425" s="73"/>
      <c r="AE1425" s="73"/>
      <c r="AF1425" s="73"/>
      <c r="AG1425" s="73"/>
      <c r="AH1425" s="73"/>
      <c r="AI1425" s="73"/>
      <c r="AJ1425" s="73"/>
      <c r="AK1425" s="73"/>
      <c r="AL1425" s="73"/>
      <c r="AM1425" s="73"/>
      <c r="AN1425" s="73"/>
      <c r="AO1425" s="73"/>
      <c r="AP1425" s="73"/>
      <c r="AQ1425" s="73"/>
      <c r="AR1425" s="73"/>
      <c r="AS1425" s="73"/>
      <c r="AT1425" s="73"/>
      <c r="AU1425" s="73"/>
      <c r="AV1425" s="73"/>
      <c r="AW1425" s="73"/>
      <c r="AX1425" s="73"/>
      <c r="AY1425" s="73"/>
      <c r="AZ1425" s="73"/>
      <c r="BA1425" s="73"/>
      <c r="BB1425" s="73"/>
      <c r="BC1425" s="73"/>
      <c r="BD1425" s="73"/>
      <c r="BE1425" s="73"/>
      <c r="BF1425" s="73"/>
      <c r="BG1425" s="73"/>
      <c r="BH1425" s="73"/>
      <c r="BI1425" s="73"/>
      <c r="BJ1425" s="73"/>
      <c r="BK1425" s="73"/>
      <c r="BL1425" s="73"/>
      <c r="BM1425" s="73"/>
      <c r="BN1425" s="73"/>
      <c r="BO1425" s="73"/>
      <c r="BP1425" s="73"/>
      <c r="BQ1425" s="73"/>
      <c r="BR1425" s="73"/>
      <c r="BS1425" s="73"/>
      <c r="BT1425" s="73"/>
      <c r="BU1425" s="73"/>
      <c r="BV1425" s="73"/>
      <c r="BW1425" s="73"/>
      <c r="BX1425" s="73"/>
      <c r="BY1425" s="73"/>
      <c r="BZ1425" s="73"/>
      <c r="CA1425" s="73"/>
      <c r="CB1425" s="73"/>
      <c r="CC1425" s="73"/>
      <c r="CD1425" s="73"/>
      <c r="CE1425" s="73"/>
      <c r="CF1425" s="73"/>
      <c r="CG1425" s="73"/>
      <c r="CH1425" s="73"/>
      <c r="CI1425" s="73"/>
      <c r="CJ1425" s="73"/>
      <c r="CK1425" s="73"/>
      <c r="CL1425" s="73"/>
      <c r="CM1425" s="73"/>
      <c r="CN1425" s="73"/>
      <c r="CO1425" s="73"/>
      <c r="CP1425" s="73"/>
      <c r="CQ1425" s="73"/>
      <c r="CR1425" s="73"/>
      <c r="CS1425" s="73"/>
      <c r="CT1425" s="73"/>
      <c r="CU1425" s="73"/>
      <c r="CV1425" s="73"/>
      <c r="CW1425" s="73"/>
      <c r="CX1425" s="73"/>
      <c r="CY1425" s="73"/>
      <c r="CZ1425" s="73"/>
      <c r="DA1425" s="73"/>
      <c r="DB1425" s="73"/>
      <c r="DC1425" s="73"/>
      <c r="DD1425" s="73"/>
      <c r="DE1425" s="73"/>
      <c r="DF1425" s="73"/>
      <c r="DG1425" s="73"/>
      <c r="DH1425" s="73"/>
      <c r="DI1425" s="73"/>
      <c r="DJ1425" s="73"/>
      <c r="DK1425" s="73"/>
      <c r="DL1425" s="73"/>
      <c r="DM1425" s="73"/>
    </row>
    <row r="1426" spans="1:117" s="48" customFormat="1">
      <c r="A1426" s="73"/>
      <c r="T1426" s="73"/>
      <c r="U1426" s="73"/>
      <c r="V1426" s="73"/>
      <c r="W1426" s="73"/>
      <c r="X1426" s="73"/>
      <c r="Y1426" s="73"/>
      <c r="Z1426" s="73"/>
      <c r="AA1426" s="73"/>
      <c r="AB1426" s="73"/>
      <c r="AC1426" s="73"/>
      <c r="AD1426" s="73"/>
      <c r="AE1426" s="73"/>
      <c r="AF1426" s="73"/>
      <c r="AG1426" s="73"/>
      <c r="AH1426" s="73"/>
      <c r="AI1426" s="73"/>
      <c r="AJ1426" s="73"/>
      <c r="AK1426" s="73"/>
      <c r="AL1426" s="73"/>
      <c r="AM1426" s="73"/>
      <c r="AN1426" s="73"/>
      <c r="AO1426" s="73"/>
      <c r="AP1426" s="73"/>
      <c r="AQ1426" s="73"/>
      <c r="AR1426" s="73"/>
      <c r="AS1426" s="73"/>
      <c r="AT1426" s="73"/>
      <c r="AU1426" s="73"/>
      <c r="AV1426" s="73"/>
      <c r="AW1426" s="73"/>
      <c r="AX1426" s="73"/>
      <c r="AY1426" s="73"/>
      <c r="AZ1426" s="73"/>
      <c r="BA1426" s="73"/>
      <c r="BB1426" s="73"/>
      <c r="BC1426" s="73"/>
      <c r="BD1426" s="73"/>
      <c r="BE1426" s="73"/>
      <c r="BF1426" s="73"/>
      <c r="BG1426" s="73"/>
      <c r="BH1426" s="73"/>
      <c r="BI1426" s="73"/>
      <c r="BJ1426" s="73"/>
      <c r="BK1426" s="73"/>
      <c r="BL1426" s="73"/>
      <c r="BM1426" s="73"/>
      <c r="BN1426" s="73"/>
      <c r="BO1426" s="73"/>
      <c r="BP1426" s="73"/>
      <c r="BQ1426" s="73"/>
      <c r="BR1426" s="73"/>
      <c r="BS1426" s="73"/>
      <c r="BT1426" s="73"/>
      <c r="BU1426" s="73"/>
      <c r="BV1426" s="73"/>
      <c r="BW1426" s="73"/>
      <c r="BX1426" s="73"/>
      <c r="BY1426" s="73"/>
      <c r="BZ1426" s="73"/>
      <c r="CA1426" s="73"/>
      <c r="CB1426" s="73"/>
      <c r="CC1426" s="73"/>
      <c r="CD1426" s="73"/>
      <c r="CE1426" s="73"/>
      <c r="CF1426" s="73"/>
      <c r="CG1426" s="73"/>
      <c r="CH1426" s="73"/>
      <c r="CI1426" s="73"/>
      <c r="CJ1426" s="73"/>
      <c r="CK1426" s="73"/>
      <c r="CL1426" s="73"/>
      <c r="CM1426" s="73"/>
      <c r="CN1426" s="73"/>
      <c r="CO1426" s="73"/>
      <c r="CP1426" s="73"/>
      <c r="CQ1426" s="73"/>
      <c r="CR1426" s="73"/>
      <c r="CS1426" s="73"/>
      <c r="CT1426" s="73"/>
      <c r="CU1426" s="73"/>
      <c r="CV1426" s="73"/>
      <c r="CW1426" s="73"/>
      <c r="CX1426" s="73"/>
      <c r="CY1426" s="73"/>
      <c r="CZ1426" s="73"/>
      <c r="DA1426" s="73"/>
      <c r="DB1426" s="73"/>
      <c r="DC1426" s="73"/>
      <c r="DD1426" s="73"/>
      <c r="DE1426" s="73"/>
      <c r="DF1426" s="73"/>
      <c r="DG1426" s="73"/>
      <c r="DH1426" s="73"/>
      <c r="DI1426" s="73"/>
      <c r="DJ1426" s="73"/>
      <c r="DK1426" s="73"/>
      <c r="DL1426" s="73"/>
      <c r="DM1426" s="73"/>
    </row>
    <row r="1427" spans="1:117" s="48" customFormat="1">
      <c r="A1427" s="73"/>
      <c r="T1427" s="73"/>
      <c r="U1427" s="73"/>
      <c r="V1427" s="73"/>
      <c r="W1427" s="73"/>
      <c r="X1427" s="73"/>
      <c r="Y1427" s="73"/>
      <c r="Z1427" s="73"/>
      <c r="AA1427" s="73"/>
      <c r="AB1427" s="73"/>
      <c r="AC1427" s="73"/>
      <c r="AD1427" s="73"/>
      <c r="AE1427" s="73"/>
      <c r="AF1427" s="73"/>
      <c r="AG1427" s="73"/>
      <c r="AH1427" s="73"/>
      <c r="AI1427" s="73"/>
      <c r="AJ1427" s="73"/>
      <c r="AK1427" s="73"/>
      <c r="AL1427" s="73"/>
      <c r="AM1427" s="73"/>
      <c r="AN1427" s="73"/>
      <c r="AO1427" s="73"/>
      <c r="AP1427" s="73"/>
      <c r="AQ1427" s="73"/>
      <c r="AR1427" s="73"/>
      <c r="AS1427" s="73"/>
      <c r="AT1427" s="73"/>
      <c r="AU1427" s="73"/>
      <c r="AV1427" s="73"/>
      <c r="AW1427" s="73"/>
      <c r="AX1427" s="73"/>
      <c r="AY1427" s="73"/>
      <c r="AZ1427" s="73"/>
      <c r="BA1427" s="73"/>
      <c r="BB1427" s="73"/>
      <c r="BC1427" s="73"/>
      <c r="BD1427" s="73"/>
      <c r="BE1427" s="73"/>
      <c r="BF1427" s="73"/>
      <c r="BG1427" s="73"/>
      <c r="BH1427" s="73"/>
      <c r="BI1427" s="73"/>
      <c r="BJ1427" s="73"/>
      <c r="BK1427" s="73"/>
      <c r="BL1427" s="73"/>
      <c r="BM1427" s="73"/>
      <c r="BN1427" s="73"/>
      <c r="BO1427" s="73"/>
      <c r="BP1427" s="73"/>
      <c r="BQ1427" s="73"/>
      <c r="BR1427" s="73"/>
      <c r="BS1427" s="73"/>
      <c r="BT1427" s="73"/>
      <c r="BU1427" s="73"/>
      <c r="BV1427" s="73"/>
      <c r="BW1427" s="73"/>
      <c r="BX1427" s="73"/>
      <c r="BY1427" s="73"/>
      <c r="BZ1427" s="73"/>
      <c r="CA1427" s="73"/>
      <c r="CB1427" s="73"/>
      <c r="CC1427" s="73"/>
      <c r="CD1427" s="73"/>
      <c r="CE1427" s="73"/>
      <c r="CF1427" s="73"/>
      <c r="CG1427" s="73"/>
      <c r="CH1427" s="73"/>
      <c r="CI1427" s="73"/>
      <c r="CJ1427" s="73"/>
      <c r="CK1427" s="73"/>
      <c r="CL1427" s="73"/>
      <c r="CM1427" s="73"/>
      <c r="CN1427" s="73"/>
      <c r="CO1427" s="73"/>
      <c r="CP1427" s="73"/>
      <c r="CQ1427" s="73"/>
      <c r="CR1427" s="73"/>
      <c r="CS1427" s="73"/>
      <c r="CT1427" s="73"/>
      <c r="CU1427" s="73"/>
      <c r="CV1427" s="73"/>
      <c r="CW1427" s="73"/>
      <c r="CX1427" s="73"/>
      <c r="CY1427" s="73"/>
      <c r="CZ1427" s="73"/>
      <c r="DA1427" s="73"/>
      <c r="DB1427" s="73"/>
      <c r="DC1427" s="73"/>
      <c r="DD1427" s="73"/>
      <c r="DE1427" s="73"/>
      <c r="DF1427" s="73"/>
      <c r="DG1427" s="73"/>
      <c r="DH1427" s="73"/>
      <c r="DI1427" s="73"/>
      <c r="DJ1427" s="73"/>
      <c r="DK1427" s="73"/>
      <c r="DL1427" s="73"/>
      <c r="DM1427" s="73"/>
    </row>
    <row r="1428" spans="1:117" s="48" customFormat="1">
      <c r="A1428" s="73"/>
      <c r="T1428" s="73"/>
      <c r="U1428" s="73"/>
      <c r="V1428" s="73"/>
      <c r="W1428" s="73"/>
      <c r="X1428" s="73"/>
      <c r="Y1428" s="73"/>
      <c r="Z1428" s="73"/>
      <c r="AA1428" s="73"/>
      <c r="AB1428" s="73"/>
      <c r="AC1428" s="73"/>
      <c r="AD1428" s="73"/>
      <c r="AE1428" s="73"/>
      <c r="AF1428" s="73"/>
      <c r="AG1428" s="73"/>
      <c r="AH1428" s="73"/>
      <c r="AI1428" s="73"/>
      <c r="AJ1428" s="73"/>
      <c r="AK1428" s="73"/>
      <c r="AL1428" s="73"/>
      <c r="AM1428" s="73"/>
      <c r="AN1428" s="73"/>
      <c r="AO1428" s="73"/>
      <c r="AP1428" s="73"/>
      <c r="AQ1428" s="73"/>
      <c r="AR1428" s="73"/>
      <c r="AS1428" s="73"/>
      <c r="AT1428" s="73"/>
      <c r="AU1428" s="73"/>
      <c r="AV1428" s="73"/>
      <c r="AW1428" s="73"/>
      <c r="AX1428" s="73"/>
      <c r="AY1428" s="73"/>
      <c r="AZ1428" s="73"/>
      <c r="BA1428" s="73"/>
      <c r="BB1428" s="73"/>
      <c r="BC1428" s="73"/>
      <c r="BD1428" s="73"/>
      <c r="BE1428" s="73"/>
      <c r="BF1428" s="73"/>
      <c r="BG1428" s="73"/>
      <c r="BH1428" s="73"/>
      <c r="BI1428" s="73"/>
      <c r="BJ1428" s="73"/>
      <c r="BK1428" s="73"/>
      <c r="BL1428" s="73"/>
      <c r="BM1428" s="73"/>
      <c r="BN1428" s="73"/>
      <c r="BO1428" s="73"/>
      <c r="BP1428" s="73"/>
      <c r="BQ1428" s="73"/>
      <c r="BR1428" s="73"/>
      <c r="BS1428" s="73"/>
      <c r="BT1428" s="73"/>
      <c r="BU1428" s="73"/>
      <c r="BV1428" s="73"/>
      <c r="BW1428" s="73"/>
      <c r="BX1428" s="73"/>
      <c r="BY1428" s="73"/>
      <c r="BZ1428" s="73"/>
      <c r="CA1428" s="73"/>
      <c r="CB1428" s="73"/>
      <c r="CC1428" s="73"/>
      <c r="CD1428" s="73"/>
      <c r="CE1428" s="73"/>
      <c r="CF1428" s="73"/>
      <c r="CG1428" s="73"/>
      <c r="CH1428" s="73"/>
      <c r="CI1428" s="73"/>
      <c r="CJ1428" s="73"/>
      <c r="CK1428" s="73"/>
      <c r="CL1428" s="73"/>
      <c r="CM1428" s="73"/>
      <c r="CN1428" s="73"/>
      <c r="CO1428" s="73"/>
      <c r="CP1428" s="73"/>
      <c r="CQ1428" s="73"/>
      <c r="CR1428" s="73"/>
      <c r="CS1428" s="73"/>
      <c r="CT1428" s="73"/>
      <c r="CU1428" s="73"/>
      <c r="CV1428" s="73"/>
      <c r="CW1428" s="73"/>
      <c r="CX1428" s="73"/>
      <c r="CY1428" s="73"/>
      <c r="CZ1428" s="73"/>
      <c r="DA1428" s="73"/>
      <c r="DB1428" s="73"/>
      <c r="DC1428" s="73"/>
      <c r="DD1428" s="73"/>
      <c r="DE1428" s="73"/>
      <c r="DF1428" s="73"/>
      <c r="DG1428" s="73"/>
      <c r="DH1428" s="73"/>
      <c r="DI1428" s="73"/>
      <c r="DJ1428" s="73"/>
      <c r="DK1428" s="73"/>
      <c r="DL1428" s="73"/>
      <c r="DM1428" s="73"/>
    </row>
    <row r="1429" spans="1:117" s="48" customFormat="1">
      <c r="A1429" s="73"/>
      <c r="T1429" s="73"/>
      <c r="U1429" s="73"/>
      <c r="V1429" s="73"/>
      <c r="W1429" s="73"/>
      <c r="X1429" s="73"/>
      <c r="Y1429" s="73"/>
      <c r="Z1429" s="73"/>
      <c r="AA1429" s="73"/>
      <c r="AB1429" s="73"/>
      <c r="AC1429" s="73"/>
      <c r="AD1429" s="73"/>
      <c r="AE1429" s="73"/>
      <c r="AF1429" s="73"/>
      <c r="AG1429" s="73"/>
      <c r="AH1429" s="73"/>
      <c r="AI1429" s="73"/>
      <c r="AJ1429" s="73"/>
      <c r="AK1429" s="73"/>
      <c r="AL1429" s="73"/>
      <c r="AM1429" s="73"/>
      <c r="AN1429" s="73"/>
      <c r="AO1429" s="73"/>
      <c r="AP1429" s="73"/>
      <c r="AQ1429" s="73"/>
      <c r="AR1429" s="73"/>
      <c r="AS1429" s="73"/>
      <c r="AT1429" s="73"/>
      <c r="AU1429" s="73"/>
      <c r="AV1429" s="73"/>
      <c r="AW1429" s="73"/>
      <c r="AX1429" s="73"/>
      <c r="AY1429" s="73"/>
      <c r="AZ1429" s="73"/>
      <c r="BA1429" s="73"/>
      <c r="BB1429" s="73"/>
      <c r="BC1429" s="73"/>
      <c r="BD1429" s="73"/>
      <c r="BE1429" s="73"/>
      <c r="BF1429" s="73"/>
      <c r="BG1429" s="73"/>
      <c r="BH1429" s="73"/>
      <c r="BI1429" s="73"/>
      <c r="BJ1429" s="73"/>
      <c r="BK1429" s="73"/>
      <c r="BL1429" s="73"/>
      <c r="BM1429" s="73"/>
      <c r="BN1429" s="73"/>
      <c r="BO1429" s="73"/>
      <c r="BP1429" s="73"/>
      <c r="BQ1429" s="73"/>
      <c r="BR1429" s="73"/>
      <c r="BS1429" s="73"/>
      <c r="BT1429" s="73"/>
      <c r="BU1429" s="73"/>
      <c r="BV1429" s="73"/>
      <c r="BW1429" s="73"/>
      <c r="BX1429" s="73"/>
      <c r="BY1429" s="73"/>
      <c r="BZ1429" s="73"/>
      <c r="CA1429" s="73"/>
      <c r="CB1429" s="73"/>
      <c r="CC1429" s="73"/>
      <c r="CD1429" s="73"/>
      <c r="CE1429" s="73"/>
      <c r="CF1429" s="73"/>
      <c r="CG1429" s="73"/>
      <c r="CH1429" s="73"/>
      <c r="CI1429" s="73"/>
      <c r="CJ1429" s="73"/>
      <c r="CK1429" s="73"/>
      <c r="CL1429" s="73"/>
      <c r="CM1429" s="73"/>
      <c r="CN1429" s="73"/>
      <c r="CO1429" s="73"/>
      <c r="CP1429" s="73"/>
      <c r="CQ1429" s="73"/>
      <c r="CR1429" s="73"/>
      <c r="CS1429" s="73"/>
      <c r="CT1429" s="73"/>
      <c r="CU1429" s="73"/>
      <c r="CV1429" s="73"/>
      <c r="CW1429" s="73"/>
      <c r="CX1429" s="73"/>
      <c r="CY1429" s="73"/>
      <c r="CZ1429" s="73"/>
      <c r="DA1429" s="73"/>
      <c r="DB1429" s="73"/>
      <c r="DC1429" s="73"/>
      <c r="DD1429" s="73"/>
      <c r="DE1429" s="73"/>
      <c r="DF1429" s="73"/>
      <c r="DG1429" s="73"/>
      <c r="DH1429" s="73"/>
      <c r="DI1429" s="73"/>
      <c r="DJ1429" s="73"/>
      <c r="DK1429" s="73"/>
      <c r="DL1429" s="73"/>
      <c r="DM1429" s="73"/>
    </row>
    <row r="1430" spans="1:117" s="48" customFormat="1">
      <c r="A1430" s="73"/>
      <c r="T1430" s="73"/>
      <c r="U1430" s="73"/>
      <c r="V1430" s="73"/>
      <c r="W1430" s="73"/>
      <c r="X1430" s="73"/>
      <c r="Y1430" s="73"/>
      <c r="Z1430" s="73"/>
      <c r="AA1430" s="73"/>
      <c r="AB1430" s="73"/>
      <c r="AC1430" s="73"/>
      <c r="AD1430" s="73"/>
      <c r="AE1430" s="73"/>
      <c r="AF1430" s="73"/>
      <c r="AG1430" s="73"/>
      <c r="AH1430" s="73"/>
      <c r="AI1430" s="73"/>
      <c r="AJ1430" s="73"/>
      <c r="AK1430" s="73"/>
      <c r="AL1430" s="73"/>
      <c r="AM1430" s="73"/>
      <c r="AN1430" s="73"/>
      <c r="AO1430" s="73"/>
      <c r="AP1430" s="73"/>
      <c r="AQ1430" s="73"/>
      <c r="AR1430" s="73"/>
      <c r="AS1430" s="73"/>
      <c r="AT1430" s="73"/>
      <c r="AU1430" s="73"/>
      <c r="AV1430" s="73"/>
      <c r="AW1430" s="73"/>
      <c r="AX1430" s="73"/>
      <c r="AY1430" s="73"/>
      <c r="AZ1430" s="73"/>
      <c r="BA1430" s="73"/>
      <c r="BB1430" s="73"/>
      <c r="BC1430" s="73"/>
      <c r="BD1430" s="73"/>
      <c r="BE1430" s="73"/>
      <c r="BF1430" s="73"/>
      <c r="BG1430" s="73"/>
      <c r="BH1430" s="73"/>
      <c r="BI1430" s="73"/>
      <c r="BJ1430" s="73"/>
      <c r="BK1430" s="73"/>
      <c r="BL1430" s="73"/>
      <c r="BM1430" s="73"/>
      <c r="BN1430" s="73"/>
      <c r="BO1430" s="73"/>
      <c r="BP1430" s="73"/>
      <c r="BQ1430" s="73"/>
      <c r="BR1430" s="73"/>
      <c r="BS1430" s="73"/>
      <c r="BT1430" s="73"/>
      <c r="BU1430" s="73"/>
      <c r="BV1430" s="73"/>
      <c r="BW1430" s="73"/>
      <c r="BX1430" s="73"/>
      <c r="BY1430" s="73"/>
      <c r="BZ1430" s="73"/>
      <c r="CA1430" s="73"/>
      <c r="CB1430" s="73"/>
      <c r="CC1430" s="73"/>
      <c r="CD1430" s="73"/>
      <c r="CE1430" s="73"/>
      <c r="CF1430" s="73"/>
      <c r="CG1430" s="73"/>
      <c r="CH1430" s="73"/>
      <c r="CI1430" s="73"/>
      <c r="CJ1430" s="73"/>
      <c r="CK1430" s="73"/>
      <c r="CL1430" s="73"/>
      <c r="CM1430" s="73"/>
      <c r="CN1430" s="73"/>
      <c r="CO1430" s="73"/>
      <c r="CP1430" s="73"/>
      <c r="CQ1430" s="73"/>
      <c r="CR1430" s="73"/>
      <c r="CS1430" s="73"/>
      <c r="CT1430" s="73"/>
      <c r="CU1430" s="73"/>
      <c r="CV1430" s="73"/>
      <c r="CW1430" s="73"/>
      <c r="CX1430" s="73"/>
      <c r="CY1430" s="73"/>
      <c r="CZ1430" s="73"/>
      <c r="DA1430" s="73"/>
      <c r="DB1430" s="73"/>
      <c r="DC1430" s="73"/>
      <c r="DD1430" s="73"/>
      <c r="DE1430" s="73"/>
      <c r="DF1430" s="73"/>
      <c r="DG1430" s="73"/>
      <c r="DH1430" s="73"/>
      <c r="DI1430" s="73"/>
      <c r="DJ1430" s="73"/>
      <c r="DK1430" s="73"/>
      <c r="DL1430" s="73"/>
      <c r="DM1430" s="73"/>
    </row>
    <row r="1431" spans="1:117" s="48" customFormat="1">
      <c r="A1431" s="73"/>
      <c r="T1431" s="73"/>
      <c r="U1431" s="73"/>
      <c r="V1431" s="73"/>
      <c r="W1431" s="73"/>
      <c r="X1431" s="73"/>
      <c r="Y1431" s="73"/>
      <c r="Z1431" s="73"/>
      <c r="AA1431" s="73"/>
      <c r="AB1431" s="73"/>
      <c r="AC1431" s="73"/>
      <c r="AD1431" s="73"/>
      <c r="AE1431" s="73"/>
      <c r="AF1431" s="73"/>
      <c r="AG1431" s="73"/>
      <c r="AH1431" s="73"/>
      <c r="AI1431" s="73"/>
      <c r="AJ1431" s="73"/>
      <c r="AK1431" s="73"/>
      <c r="AL1431" s="73"/>
      <c r="AM1431" s="73"/>
      <c r="AN1431" s="73"/>
      <c r="AO1431" s="73"/>
      <c r="AP1431" s="73"/>
      <c r="AQ1431" s="73"/>
      <c r="AR1431" s="73"/>
      <c r="AS1431" s="73"/>
      <c r="AT1431" s="73"/>
      <c r="AU1431" s="73"/>
      <c r="AV1431" s="73"/>
      <c r="AW1431" s="73"/>
      <c r="AX1431" s="73"/>
      <c r="AY1431" s="73"/>
      <c r="AZ1431" s="73"/>
      <c r="BA1431" s="73"/>
      <c r="BB1431" s="73"/>
      <c r="BC1431" s="73"/>
      <c r="BD1431" s="73"/>
      <c r="BE1431" s="73"/>
      <c r="BF1431" s="73"/>
      <c r="BG1431" s="73"/>
      <c r="BH1431" s="73"/>
      <c r="BI1431" s="73"/>
      <c r="BJ1431" s="73"/>
      <c r="BK1431" s="73"/>
      <c r="BL1431" s="73"/>
      <c r="BM1431" s="73"/>
      <c r="BN1431" s="73"/>
      <c r="BO1431" s="73"/>
      <c r="BP1431" s="73"/>
      <c r="BQ1431" s="73"/>
      <c r="BR1431" s="73"/>
      <c r="BS1431" s="73"/>
      <c r="BT1431" s="73"/>
      <c r="BU1431" s="73"/>
      <c r="BV1431" s="73"/>
      <c r="BW1431" s="73"/>
      <c r="BX1431" s="73"/>
      <c r="BY1431" s="73"/>
      <c r="BZ1431" s="73"/>
      <c r="CA1431" s="73"/>
      <c r="CB1431" s="73"/>
      <c r="CC1431" s="73"/>
      <c r="CD1431" s="73"/>
      <c r="CE1431" s="73"/>
      <c r="CF1431" s="73"/>
      <c r="CG1431" s="73"/>
      <c r="CH1431" s="73"/>
      <c r="CI1431" s="73"/>
      <c r="CJ1431" s="73"/>
      <c r="CK1431" s="73"/>
      <c r="CL1431" s="73"/>
      <c r="CM1431" s="73"/>
      <c r="CN1431" s="73"/>
      <c r="CO1431" s="73"/>
      <c r="CP1431" s="73"/>
      <c r="CQ1431" s="73"/>
      <c r="CR1431" s="73"/>
      <c r="CS1431" s="73"/>
      <c r="CT1431" s="73"/>
      <c r="CU1431" s="73"/>
      <c r="CV1431" s="73"/>
      <c r="CW1431" s="73"/>
      <c r="CX1431" s="73"/>
      <c r="CY1431" s="73"/>
      <c r="CZ1431" s="73"/>
      <c r="DA1431" s="73"/>
      <c r="DB1431" s="73"/>
      <c r="DC1431" s="73"/>
      <c r="DD1431" s="73"/>
      <c r="DE1431" s="73"/>
      <c r="DF1431" s="73"/>
      <c r="DG1431" s="73"/>
      <c r="DH1431" s="73"/>
      <c r="DI1431" s="73"/>
      <c r="DJ1431" s="73"/>
      <c r="DK1431" s="73"/>
      <c r="DL1431" s="73"/>
      <c r="DM1431" s="73"/>
    </row>
    <row r="1432" spans="1:117" s="48" customFormat="1">
      <c r="A1432" s="73"/>
      <c r="T1432" s="73"/>
      <c r="U1432" s="73"/>
      <c r="V1432" s="73"/>
      <c r="W1432" s="73"/>
      <c r="X1432" s="73"/>
      <c r="Y1432" s="73"/>
      <c r="Z1432" s="73"/>
      <c r="AA1432" s="73"/>
      <c r="AB1432" s="73"/>
      <c r="AC1432" s="73"/>
      <c r="AD1432" s="73"/>
      <c r="AE1432" s="73"/>
      <c r="AF1432" s="73"/>
      <c r="AG1432" s="73"/>
      <c r="AH1432" s="73"/>
      <c r="AI1432" s="73"/>
      <c r="AJ1432" s="73"/>
      <c r="AK1432" s="73"/>
      <c r="AL1432" s="73"/>
      <c r="AM1432" s="73"/>
      <c r="AN1432" s="73"/>
      <c r="AO1432" s="73"/>
      <c r="AP1432" s="73"/>
      <c r="AQ1432" s="73"/>
      <c r="AR1432" s="73"/>
      <c r="AS1432" s="73"/>
      <c r="AT1432" s="73"/>
      <c r="AU1432" s="73"/>
      <c r="AV1432" s="73"/>
      <c r="AW1432" s="73"/>
      <c r="AX1432" s="73"/>
      <c r="AY1432" s="73"/>
      <c r="AZ1432" s="73"/>
      <c r="BA1432" s="73"/>
      <c r="BB1432" s="73"/>
      <c r="BC1432" s="73"/>
      <c r="BD1432" s="73"/>
      <c r="BE1432" s="73"/>
      <c r="BF1432" s="73"/>
      <c r="BG1432" s="73"/>
      <c r="BH1432" s="73"/>
      <c r="BI1432" s="73"/>
      <c r="BJ1432" s="73"/>
      <c r="BK1432" s="73"/>
      <c r="BL1432" s="73"/>
      <c r="BM1432" s="73"/>
      <c r="BN1432" s="73"/>
      <c r="BO1432" s="73"/>
      <c r="BP1432" s="73"/>
      <c r="BQ1432" s="73"/>
      <c r="BR1432" s="73"/>
      <c r="BS1432" s="73"/>
      <c r="BT1432" s="73"/>
      <c r="BU1432" s="73"/>
      <c r="BV1432" s="73"/>
      <c r="BW1432" s="73"/>
      <c r="BX1432" s="73"/>
      <c r="BY1432" s="73"/>
      <c r="BZ1432" s="73"/>
      <c r="CA1432" s="73"/>
      <c r="CB1432" s="73"/>
      <c r="CC1432" s="73"/>
      <c r="CD1432" s="73"/>
      <c r="CE1432" s="73"/>
      <c r="CF1432" s="73"/>
      <c r="CG1432" s="73"/>
      <c r="CH1432" s="73"/>
      <c r="CI1432" s="73"/>
      <c r="CJ1432" s="73"/>
      <c r="CK1432" s="73"/>
      <c r="CL1432" s="73"/>
      <c r="CM1432" s="73"/>
      <c r="CN1432" s="73"/>
      <c r="CO1432" s="73"/>
      <c r="CP1432" s="73"/>
      <c r="CQ1432" s="73"/>
      <c r="CR1432" s="73"/>
      <c r="CS1432" s="73"/>
      <c r="CT1432" s="73"/>
      <c r="CU1432" s="73"/>
      <c r="CV1432" s="73"/>
      <c r="CW1432" s="73"/>
      <c r="CX1432" s="73"/>
      <c r="CY1432" s="73"/>
      <c r="CZ1432" s="73"/>
      <c r="DA1432" s="73"/>
      <c r="DB1432" s="73"/>
      <c r="DC1432" s="73"/>
      <c r="DD1432" s="73"/>
      <c r="DE1432" s="73"/>
      <c r="DF1432" s="73"/>
      <c r="DG1432" s="73"/>
      <c r="DH1432" s="73"/>
      <c r="DI1432" s="73"/>
      <c r="DJ1432" s="73"/>
      <c r="DK1432" s="73"/>
      <c r="DL1432" s="73"/>
      <c r="DM1432" s="73"/>
    </row>
    <row r="1433" spans="1:117" s="48" customFormat="1">
      <c r="A1433" s="73"/>
      <c r="T1433" s="73"/>
      <c r="U1433" s="73"/>
      <c r="V1433" s="73"/>
      <c r="W1433" s="73"/>
      <c r="X1433" s="73"/>
      <c r="Y1433" s="73"/>
      <c r="Z1433" s="73"/>
      <c r="AA1433" s="73"/>
      <c r="AB1433" s="73"/>
      <c r="AC1433" s="73"/>
      <c r="AD1433" s="73"/>
      <c r="AE1433" s="73"/>
      <c r="AF1433" s="73"/>
      <c r="AG1433" s="73"/>
      <c r="AH1433" s="73"/>
      <c r="AI1433" s="73"/>
      <c r="AJ1433" s="73"/>
      <c r="AK1433" s="73"/>
      <c r="AL1433" s="73"/>
      <c r="AM1433" s="73"/>
      <c r="AN1433" s="73"/>
      <c r="AO1433" s="73"/>
      <c r="AP1433" s="73"/>
      <c r="AQ1433" s="73"/>
      <c r="AR1433" s="73"/>
      <c r="AS1433" s="73"/>
      <c r="AT1433" s="73"/>
      <c r="AU1433" s="73"/>
      <c r="AV1433" s="73"/>
      <c r="AW1433" s="73"/>
      <c r="AX1433" s="73"/>
      <c r="AY1433" s="73"/>
      <c r="AZ1433" s="73"/>
      <c r="BA1433" s="73"/>
      <c r="BB1433" s="73"/>
      <c r="BC1433" s="73"/>
      <c r="BD1433" s="73"/>
      <c r="BE1433" s="73"/>
      <c r="BF1433" s="73"/>
      <c r="BG1433" s="73"/>
      <c r="BH1433" s="73"/>
      <c r="BI1433" s="73"/>
      <c r="BJ1433" s="73"/>
      <c r="BK1433" s="73"/>
      <c r="BL1433" s="73"/>
      <c r="BM1433" s="73"/>
      <c r="BN1433" s="73"/>
      <c r="BO1433" s="73"/>
      <c r="BP1433" s="73"/>
      <c r="BQ1433" s="73"/>
      <c r="BR1433" s="73"/>
      <c r="BS1433" s="73"/>
      <c r="BT1433" s="73"/>
      <c r="BU1433" s="73"/>
      <c r="BV1433" s="73"/>
      <c r="BW1433" s="73"/>
      <c r="BX1433" s="73"/>
      <c r="BY1433" s="73"/>
      <c r="BZ1433" s="73"/>
      <c r="CA1433" s="73"/>
      <c r="CB1433" s="73"/>
      <c r="CC1433" s="73"/>
      <c r="CD1433" s="73"/>
      <c r="CE1433" s="73"/>
      <c r="CF1433" s="73"/>
      <c r="CG1433" s="73"/>
      <c r="CH1433" s="73"/>
      <c r="CI1433" s="73"/>
      <c r="CJ1433" s="73"/>
      <c r="CK1433" s="73"/>
      <c r="CL1433" s="73"/>
      <c r="CM1433" s="73"/>
      <c r="CN1433" s="73"/>
      <c r="CO1433" s="73"/>
      <c r="CP1433" s="73"/>
      <c r="CQ1433" s="73"/>
      <c r="CR1433" s="73"/>
      <c r="CS1433" s="73"/>
      <c r="CT1433" s="73"/>
      <c r="CU1433" s="73"/>
      <c r="CV1433" s="73"/>
      <c r="CW1433" s="73"/>
      <c r="CX1433" s="73"/>
      <c r="CY1433" s="73"/>
      <c r="CZ1433" s="73"/>
      <c r="DA1433" s="73"/>
      <c r="DB1433" s="73"/>
      <c r="DC1433" s="73"/>
      <c r="DD1433" s="73"/>
      <c r="DE1433" s="73"/>
      <c r="DF1433" s="73"/>
      <c r="DG1433" s="73"/>
      <c r="DH1433" s="73"/>
      <c r="DI1433" s="73"/>
      <c r="DJ1433" s="73"/>
      <c r="DK1433" s="73"/>
      <c r="DL1433" s="73"/>
      <c r="DM1433" s="73"/>
    </row>
    <row r="1434" spans="1:117" s="48" customFormat="1">
      <c r="A1434" s="73"/>
      <c r="T1434" s="73"/>
      <c r="U1434" s="73"/>
      <c r="V1434" s="73"/>
      <c r="W1434" s="73"/>
      <c r="X1434" s="73"/>
      <c r="Y1434" s="73"/>
      <c r="Z1434" s="73"/>
      <c r="AA1434" s="73"/>
      <c r="AB1434" s="73"/>
      <c r="AC1434" s="73"/>
      <c r="AD1434" s="73"/>
      <c r="AE1434" s="73"/>
      <c r="AF1434" s="73"/>
      <c r="AG1434" s="73"/>
      <c r="AH1434" s="73"/>
      <c r="AI1434" s="73"/>
      <c r="AJ1434" s="73"/>
      <c r="AK1434" s="73"/>
      <c r="AL1434" s="73"/>
      <c r="AM1434" s="73"/>
      <c r="AN1434" s="73"/>
      <c r="AO1434" s="73"/>
      <c r="AP1434" s="73"/>
      <c r="AQ1434" s="73"/>
      <c r="AR1434" s="73"/>
      <c r="AS1434" s="73"/>
      <c r="AT1434" s="73"/>
      <c r="AU1434" s="73"/>
      <c r="AV1434" s="73"/>
      <c r="AW1434" s="73"/>
      <c r="AX1434" s="73"/>
      <c r="AY1434" s="73"/>
      <c r="AZ1434" s="73"/>
      <c r="BA1434" s="73"/>
      <c r="BB1434" s="73"/>
      <c r="BC1434" s="73"/>
      <c r="BD1434" s="73"/>
      <c r="BE1434" s="73"/>
      <c r="BF1434" s="73"/>
      <c r="BG1434" s="73"/>
      <c r="BH1434" s="73"/>
      <c r="BI1434" s="73"/>
      <c r="BJ1434" s="73"/>
      <c r="BK1434" s="73"/>
      <c r="BL1434" s="73"/>
      <c r="BM1434" s="73"/>
      <c r="BN1434" s="73"/>
      <c r="BO1434" s="73"/>
      <c r="BP1434" s="73"/>
      <c r="BQ1434" s="73"/>
      <c r="BR1434" s="73"/>
      <c r="BS1434" s="73"/>
      <c r="BT1434" s="73"/>
      <c r="BU1434" s="73"/>
      <c r="BV1434" s="73"/>
      <c r="BW1434" s="73"/>
      <c r="BX1434" s="73"/>
      <c r="BY1434" s="73"/>
      <c r="BZ1434" s="73"/>
      <c r="CA1434" s="73"/>
      <c r="CB1434" s="73"/>
      <c r="CC1434" s="73"/>
      <c r="CD1434" s="73"/>
      <c r="CE1434" s="73"/>
      <c r="CF1434" s="73"/>
      <c r="CG1434" s="73"/>
      <c r="CH1434" s="73"/>
      <c r="CI1434" s="73"/>
      <c r="CJ1434" s="73"/>
      <c r="CK1434" s="73"/>
      <c r="CL1434" s="73"/>
      <c r="CM1434" s="73"/>
      <c r="CN1434" s="73"/>
      <c r="CO1434" s="73"/>
      <c r="CP1434" s="73"/>
      <c r="CQ1434" s="73"/>
      <c r="CR1434" s="73"/>
      <c r="CS1434" s="73"/>
      <c r="CT1434" s="73"/>
      <c r="CU1434" s="73"/>
      <c r="CV1434" s="73"/>
      <c r="CW1434" s="73"/>
      <c r="CX1434" s="73"/>
      <c r="CY1434" s="73"/>
      <c r="CZ1434" s="73"/>
      <c r="DA1434" s="73"/>
      <c r="DB1434" s="73"/>
      <c r="DC1434" s="73"/>
      <c r="DD1434" s="73"/>
      <c r="DE1434" s="73"/>
      <c r="DF1434" s="73"/>
      <c r="DG1434" s="73"/>
      <c r="DH1434" s="73"/>
      <c r="DI1434" s="73"/>
      <c r="DJ1434" s="73"/>
      <c r="DK1434" s="73"/>
      <c r="DL1434" s="73"/>
      <c r="DM1434" s="73"/>
    </row>
    <row r="1435" spans="1:117" s="48" customFormat="1">
      <c r="A1435" s="73"/>
      <c r="T1435" s="73"/>
      <c r="U1435" s="73"/>
      <c r="V1435" s="73"/>
      <c r="W1435" s="73"/>
      <c r="X1435" s="73"/>
      <c r="Y1435" s="73"/>
      <c r="Z1435" s="73"/>
      <c r="AA1435" s="73"/>
      <c r="AB1435" s="73"/>
      <c r="AC1435" s="73"/>
      <c r="AD1435" s="73"/>
      <c r="AE1435" s="73"/>
      <c r="AF1435" s="73"/>
      <c r="AG1435" s="73"/>
      <c r="AH1435" s="73"/>
      <c r="AI1435" s="73"/>
      <c r="AJ1435" s="73"/>
      <c r="AK1435" s="73"/>
      <c r="AL1435" s="73"/>
      <c r="AM1435" s="73"/>
      <c r="AN1435" s="73"/>
      <c r="AO1435" s="73"/>
      <c r="AP1435" s="73"/>
      <c r="AQ1435" s="73"/>
      <c r="AR1435" s="73"/>
      <c r="AS1435" s="73"/>
      <c r="AT1435" s="73"/>
      <c r="AU1435" s="73"/>
      <c r="AV1435" s="73"/>
      <c r="AW1435" s="73"/>
      <c r="AX1435" s="73"/>
      <c r="AY1435" s="73"/>
      <c r="AZ1435" s="73"/>
      <c r="BA1435" s="73"/>
      <c r="BB1435" s="73"/>
      <c r="BC1435" s="73"/>
      <c r="BD1435" s="73"/>
      <c r="BE1435" s="73"/>
      <c r="BF1435" s="73"/>
      <c r="BG1435" s="73"/>
      <c r="BH1435" s="73"/>
      <c r="BI1435" s="73"/>
      <c r="BJ1435" s="73"/>
      <c r="BK1435" s="73"/>
      <c r="BL1435" s="73"/>
      <c r="BM1435" s="73"/>
      <c r="BN1435" s="73"/>
      <c r="BO1435" s="73"/>
      <c r="BP1435" s="73"/>
      <c r="BQ1435" s="73"/>
      <c r="BR1435" s="73"/>
      <c r="BS1435" s="73"/>
      <c r="BT1435" s="73"/>
      <c r="BU1435" s="73"/>
      <c r="BV1435" s="73"/>
      <c r="BW1435" s="73"/>
      <c r="BX1435" s="73"/>
      <c r="BY1435" s="73"/>
      <c r="BZ1435" s="73"/>
      <c r="CA1435" s="73"/>
      <c r="CB1435" s="73"/>
      <c r="CC1435" s="73"/>
      <c r="CD1435" s="73"/>
      <c r="CE1435" s="73"/>
      <c r="CF1435" s="73"/>
      <c r="CG1435" s="73"/>
      <c r="CH1435" s="73"/>
      <c r="CI1435" s="73"/>
      <c r="CJ1435" s="73"/>
      <c r="CK1435" s="73"/>
      <c r="CL1435" s="73"/>
      <c r="CM1435" s="73"/>
      <c r="CN1435" s="73"/>
      <c r="CO1435" s="73"/>
      <c r="CP1435" s="73"/>
      <c r="CQ1435" s="73"/>
      <c r="CR1435" s="73"/>
      <c r="CS1435" s="73"/>
      <c r="CT1435" s="73"/>
      <c r="CU1435" s="73"/>
      <c r="CV1435" s="73"/>
      <c r="CW1435" s="73"/>
      <c r="CX1435" s="73"/>
      <c r="CY1435" s="73"/>
      <c r="CZ1435" s="73"/>
      <c r="DA1435" s="73"/>
      <c r="DB1435" s="73"/>
      <c r="DC1435" s="73"/>
      <c r="DD1435" s="73"/>
      <c r="DE1435" s="73"/>
      <c r="DF1435" s="73"/>
      <c r="DG1435" s="73"/>
      <c r="DH1435" s="73"/>
      <c r="DI1435" s="73"/>
      <c r="DJ1435" s="73"/>
      <c r="DK1435" s="73"/>
      <c r="DL1435" s="73"/>
      <c r="DM1435" s="73"/>
    </row>
    <row r="1436" spans="1:117" s="48" customFormat="1">
      <c r="A1436" s="73"/>
      <c r="T1436" s="73"/>
      <c r="U1436" s="73"/>
      <c r="V1436" s="73"/>
      <c r="W1436" s="73"/>
      <c r="X1436" s="73"/>
      <c r="Y1436" s="73"/>
      <c r="Z1436" s="73"/>
      <c r="AA1436" s="73"/>
      <c r="AB1436" s="73"/>
      <c r="AC1436" s="73"/>
      <c r="AD1436" s="73"/>
      <c r="AE1436" s="73"/>
      <c r="AF1436" s="73"/>
      <c r="AG1436" s="73"/>
      <c r="AH1436" s="73"/>
      <c r="AI1436" s="73"/>
      <c r="AJ1436" s="73"/>
      <c r="AK1436" s="73"/>
      <c r="AL1436" s="73"/>
      <c r="AM1436" s="73"/>
      <c r="AN1436" s="73"/>
      <c r="AO1436" s="73"/>
      <c r="AP1436" s="73"/>
      <c r="AQ1436" s="73"/>
      <c r="AR1436" s="73"/>
      <c r="AS1436" s="73"/>
      <c r="AT1436" s="73"/>
      <c r="AU1436" s="73"/>
      <c r="AV1436" s="73"/>
      <c r="AW1436" s="73"/>
      <c r="AX1436" s="73"/>
      <c r="AY1436" s="73"/>
      <c r="AZ1436" s="73"/>
      <c r="BA1436" s="73"/>
      <c r="BB1436" s="73"/>
      <c r="BC1436" s="73"/>
      <c r="BD1436" s="73"/>
      <c r="BE1436" s="73"/>
      <c r="BF1436" s="73"/>
      <c r="BG1436" s="73"/>
      <c r="BH1436" s="73"/>
      <c r="BI1436" s="73"/>
      <c r="BJ1436" s="73"/>
      <c r="BK1436" s="73"/>
      <c r="BL1436" s="73"/>
      <c r="BM1436" s="73"/>
      <c r="BN1436" s="73"/>
      <c r="BO1436" s="73"/>
      <c r="BP1436" s="73"/>
      <c r="BQ1436" s="73"/>
      <c r="BR1436" s="73"/>
      <c r="BS1436" s="73"/>
      <c r="BT1436" s="73"/>
      <c r="BU1436" s="73"/>
      <c r="BV1436" s="73"/>
      <c r="BW1436" s="73"/>
      <c r="BX1436" s="73"/>
      <c r="BY1436" s="73"/>
      <c r="BZ1436" s="73"/>
      <c r="CA1436" s="73"/>
      <c r="CB1436" s="73"/>
      <c r="CC1436" s="73"/>
      <c r="CD1436" s="73"/>
      <c r="CE1436" s="73"/>
      <c r="CF1436" s="73"/>
      <c r="CG1436" s="73"/>
      <c r="CH1436" s="73"/>
      <c r="CI1436" s="73"/>
      <c r="CJ1436" s="73"/>
      <c r="CK1436" s="73"/>
      <c r="CL1436" s="73"/>
      <c r="CM1436" s="73"/>
      <c r="CN1436" s="73"/>
      <c r="CO1436" s="73"/>
      <c r="CP1436" s="73"/>
      <c r="CQ1436" s="73"/>
      <c r="CR1436" s="73"/>
      <c r="CS1436" s="73"/>
      <c r="CT1436" s="73"/>
      <c r="CU1436" s="73"/>
      <c r="CV1436" s="73"/>
      <c r="CW1436" s="73"/>
      <c r="CX1436" s="73"/>
      <c r="CY1436" s="73"/>
      <c r="CZ1436" s="73"/>
      <c r="DA1436" s="73"/>
      <c r="DB1436" s="73"/>
      <c r="DC1436" s="73"/>
      <c r="DD1436" s="73"/>
      <c r="DE1436" s="73"/>
      <c r="DF1436" s="73"/>
      <c r="DG1436" s="73"/>
      <c r="DH1436" s="73"/>
      <c r="DI1436" s="73"/>
      <c r="DJ1436" s="73"/>
      <c r="DK1436" s="73"/>
      <c r="DL1436" s="73"/>
      <c r="DM1436" s="73"/>
    </row>
    <row r="1437" spans="1:117" s="48" customFormat="1">
      <c r="A1437" s="73"/>
      <c r="T1437" s="73"/>
      <c r="U1437" s="73"/>
      <c r="V1437" s="73"/>
      <c r="W1437" s="73"/>
      <c r="X1437" s="73"/>
      <c r="Y1437" s="73"/>
      <c r="Z1437" s="73"/>
      <c r="AA1437" s="73"/>
      <c r="AB1437" s="73"/>
      <c r="AC1437" s="73"/>
      <c r="AD1437" s="73"/>
      <c r="AE1437" s="73"/>
      <c r="AF1437" s="73"/>
      <c r="AG1437" s="73"/>
      <c r="AH1437" s="73"/>
      <c r="AI1437" s="73"/>
      <c r="AJ1437" s="73"/>
      <c r="AK1437" s="73"/>
      <c r="AL1437" s="73"/>
      <c r="AM1437" s="73"/>
      <c r="AN1437" s="73"/>
      <c r="AO1437" s="73"/>
      <c r="AP1437" s="73"/>
      <c r="AQ1437" s="73"/>
      <c r="AR1437" s="73"/>
      <c r="AS1437" s="73"/>
      <c r="AT1437" s="73"/>
      <c r="AU1437" s="73"/>
      <c r="AV1437" s="73"/>
      <c r="AW1437" s="73"/>
      <c r="AX1437" s="73"/>
      <c r="AY1437" s="73"/>
      <c r="AZ1437" s="73"/>
      <c r="BA1437" s="73"/>
      <c r="BB1437" s="73"/>
      <c r="BC1437" s="73"/>
      <c r="BD1437" s="73"/>
      <c r="BE1437" s="73"/>
      <c r="BF1437" s="73"/>
      <c r="BG1437" s="73"/>
      <c r="BH1437" s="73"/>
      <c r="BI1437" s="73"/>
      <c r="BJ1437" s="73"/>
      <c r="BK1437" s="73"/>
      <c r="BL1437" s="73"/>
      <c r="BM1437" s="73"/>
      <c r="BN1437" s="73"/>
      <c r="BO1437" s="73"/>
      <c r="BP1437" s="73"/>
      <c r="BQ1437" s="73"/>
      <c r="BR1437" s="73"/>
      <c r="BS1437" s="73"/>
      <c r="BT1437" s="73"/>
      <c r="BU1437" s="73"/>
      <c r="BV1437" s="73"/>
      <c r="BW1437" s="73"/>
      <c r="BX1437" s="73"/>
      <c r="BY1437" s="73"/>
      <c r="BZ1437" s="73"/>
      <c r="CA1437" s="73"/>
      <c r="CB1437" s="73"/>
      <c r="CC1437" s="73"/>
      <c r="CD1437" s="73"/>
      <c r="CE1437" s="73"/>
      <c r="CF1437" s="73"/>
      <c r="CG1437" s="73"/>
      <c r="CH1437" s="73"/>
      <c r="CI1437" s="73"/>
      <c r="CJ1437" s="73"/>
      <c r="CK1437" s="73"/>
      <c r="CL1437" s="73"/>
      <c r="CM1437" s="73"/>
      <c r="CN1437" s="73"/>
      <c r="CO1437" s="73"/>
      <c r="CP1437" s="73"/>
      <c r="CQ1437" s="73"/>
      <c r="CR1437" s="73"/>
      <c r="CS1437" s="73"/>
      <c r="CT1437" s="73"/>
      <c r="CU1437" s="73"/>
      <c r="CV1437" s="73"/>
      <c r="CW1437" s="73"/>
      <c r="CX1437" s="73"/>
      <c r="CY1437" s="73"/>
      <c r="CZ1437" s="73"/>
      <c r="DA1437" s="73"/>
      <c r="DB1437" s="73"/>
      <c r="DC1437" s="73"/>
      <c r="DD1437" s="73"/>
      <c r="DE1437" s="73"/>
      <c r="DF1437" s="73"/>
      <c r="DG1437" s="73"/>
      <c r="DH1437" s="73"/>
      <c r="DI1437" s="73"/>
      <c r="DJ1437" s="73"/>
      <c r="DK1437" s="73"/>
      <c r="DL1437" s="73"/>
      <c r="DM1437" s="73"/>
    </row>
    <row r="1438" spans="1:117" s="48" customFormat="1">
      <c r="A1438" s="73"/>
      <c r="T1438" s="73"/>
      <c r="U1438" s="73"/>
      <c r="V1438" s="73"/>
      <c r="W1438" s="73"/>
      <c r="X1438" s="73"/>
      <c r="Y1438" s="73"/>
      <c r="Z1438" s="73"/>
      <c r="AA1438" s="73"/>
      <c r="AB1438" s="73"/>
      <c r="AC1438" s="73"/>
      <c r="AD1438" s="73"/>
      <c r="AE1438" s="73"/>
      <c r="AF1438" s="73"/>
      <c r="AG1438" s="73"/>
      <c r="AH1438" s="73"/>
      <c r="AI1438" s="73"/>
      <c r="AJ1438" s="73"/>
      <c r="AK1438" s="73"/>
      <c r="AL1438" s="73"/>
      <c r="AM1438" s="73"/>
      <c r="AN1438" s="73"/>
      <c r="AO1438" s="73"/>
      <c r="AP1438" s="73"/>
      <c r="AQ1438" s="73"/>
      <c r="AR1438" s="73"/>
      <c r="AS1438" s="73"/>
      <c r="AT1438" s="73"/>
      <c r="AU1438" s="73"/>
      <c r="AV1438" s="73"/>
      <c r="AW1438" s="73"/>
      <c r="AX1438" s="73"/>
      <c r="AY1438" s="73"/>
      <c r="AZ1438" s="73"/>
      <c r="BA1438" s="73"/>
      <c r="BB1438" s="73"/>
      <c r="BC1438" s="73"/>
      <c r="BD1438" s="73"/>
      <c r="BE1438" s="73"/>
      <c r="BF1438" s="73"/>
      <c r="BG1438" s="73"/>
      <c r="BH1438" s="73"/>
      <c r="BI1438" s="73"/>
      <c r="BJ1438" s="73"/>
      <c r="BK1438" s="73"/>
      <c r="BL1438" s="73"/>
      <c r="BM1438" s="73"/>
      <c r="BN1438" s="73"/>
      <c r="BO1438" s="73"/>
      <c r="BP1438" s="73"/>
      <c r="BQ1438" s="73"/>
      <c r="BR1438" s="73"/>
      <c r="BS1438" s="73"/>
      <c r="BT1438" s="73"/>
      <c r="BU1438" s="73"/>
      <c r="BV1438" s="73"/>
      <c r="BW1438" s="73"/>
      <c r="BX1438" s="73"/>
      <c r="BY1438" s="73"/>
      <c r="BZ1438" s="73"/>
      <c r="CA1438" s="73"/>
      <c r="CB1438" s="73"/>
      <c r="CC1438" s="73"/>
      <c r="CD1438" s="73"/>
      <c r="CE1438" s="73"/>
      <c r="CF1438" s="73"/>
      <c r="CG1438" s="73"/>
      <c r="CH1438" s="73"/>
      <c r="CI1438" s="73"/>
      <c r="CJ1438" s="73"/>
      <c r="CK1438" s="73"/>
      <c r="CL1438" s="73"/>
      <c r="CM1438" s="73"/>
      <c r="CN1438" s="73"/>
      <c r="CO1438" s="73"/>
      <c r="CP1438" s="73"/>
      <c r="CQ1438" s="73"/>
      <c r="CR1438" s="73"/>
      <c r="CS1438" s="73"/>
      <c r="CT1438" s="73"/>
      <c r="CU1438" s="73"/>
      <c r="CV1438" s="73"/>
      <c r="CW1438" s="73"/>
      <c r="CX1438" s="73"/>
      <c r="CY1438" s="73"/>
      <c r="CZ1438" s="73"/>
      <c r="DA1438" s="73"/>
      <c r="DB1438" s="73"/>
      <c r="DC1438" s="73"/>
      <c r="DD1438" s="73"/>
      <c r="DE1438" s="73"/>
      <c r="DF1438" s="73"/>
      <c r="DG1438" s="73"/>
      <c r="DH1438" s="73"/>
      <c r="DI1438" s="73"/>
      <c r="DJ1438" s="73"/>
      <c r="DK1438" s="73"/>
      <c r="DL1438" s="73"/>
      <c r="DM1438" s="73"/>
    </row>
    <row r="1439" spans="1:117" s="48" customFormat="1">
      <c r="A1439" s="73"/>
      <c r="T1439" s="73"/>
      <c r="U1439" s="73"/>
      <c r="V1439" s="73"/>
      <c r="W1439" s="73"/>
      <c r="X1439" s="73"/>
      <c r="Y1439" s="73"/>
      <c r="Z1439" s="73"/>
      <c r="AA1439" s="73"/>
      <c r="AB1439" s="73"/>
      <c r="AC1439" s="73"/>
      <c r="AD1439" s="73"/>
      <c r="AE1439" s="73"/>
      <c r="AF1439" s="73"/>
      <c r="AG1439" s="73"/>
      <c r="AH1439" s="73"/>
      <c r="AI1439" s="73"/>
      <c r="AJ1439" s="73"/>
      <c r="AK1439" s="73"/>
      <c r="AL1439" s="73"/>
      <c r="AM1439" s="73"/>
      <c r="AN1439" s="73"/>
      <c r="AO1439" s="73"/>
      <c r="AP1439" s="73"/>
      <c r="AQ1439" s="73"/>
      <c r="AR1439" s="73"/>
      <c r="AS1439" s="73"/>
      <c r="AT1439" s="73"/>
      <c r="AU1439" s="73"/>
      <c r="AV1439" s="73"/>
      <c r="AW1439" s="73"/>
      <c r="AX1439" s="73"/>
      <c r="AY1439" s="73"/>
      <c r="AZ1439" s="73"/>
      <c r="BA1439" s="73"/>
      <c r="BB1439" s="73"/>
      <c r="BC1439" s="73"/>
      <c r="BD1439" s="73"/>
      <c r="BE1439" s="73"/>
      <c r="BF1439" s="73"/>
      <c r="BG1439" s="73"/>
      <c r="BH1439" s="73"/>
      <c r="BI1439" s="73"/>
      <c r="BJ1439" s="73"/>
      <c r="BK1439" s="73"/>
      <c r="BL1439" s="73"/>
      <c r="BM1439" s="73"/>
      <c r="BN1439" s="73"/>
      <c r="BO1439" s="73"/>
      <c r="BP1439" s="73"/>
      <c r="BQ1439" s="73"/>
      <c r="BR1439" s="73"/>
      <c r="BS1439" s="73"/>
      <c r="BT1439" s="73"/>
      <c r="BU1439" s="73"/>
      <c r="BV1439" s="73"/>
      <c r="BW1439" s="73"/>
      <c r="BX1439" s="73"/>
      <c r="BY1439" s="73"/>
      <c r="BZ1439" s="73"/>
      <c r="CA1439" s="73"/>
      <c r="CB1439" s="73"/>
      <c r="CC1439" s="73"/>
      <c r="CD1439" s="73"/>
      <c r="CE1439" s="73"/>
      <c r="CF1439" s="73"/>
      <c r="CG1439" s="73"/>
      <c r="CH1439" s="73"/>
      <c r="CI1439" s="73"/>
      <c r="CJ1439" s="73"/>
      <c r="CK1439" s="73"/>
      <c r="CL1439" s="73"/>
      <c r="CM1439" s="73"/>
      <c r="CN1439" s="73"/>
      <c r="CO1439" s="73"/>
      <c r="CP1439" s="73"/>
      <c r="CQ1439" s="73"/>
      <c r="CR1439" s="73"/>
      <c r="CS1439" s="73"/>
      <c r="CT1439" s="73"/>
      <c r="CU1439" s="73"/>
      <c r="CV1439" s="73"/>
      <c r="CW1439" s="73"/>
      <c r="CX1439" s="73"/>
      <c r="CY1439" s="73"/>
      <c r="CZ1439" s="73"/>
      <c r="DA1439" s="73"/>
      <c r="DB1439" s="73"/>
      <c r="DC1439" s="73"/>
      <c r="DD1439" s="73"/>
      <c r="DE1439" s="73"/>
      <c r="DF1439" s="73"/>
      <c r="DG1439" s="73"/>
      <c r="DH1439" s="73"/>
      <c r="DI1439" s="73"/>
      <c r="DJ1439" s="73"/>
      <c r="DK1439" s="73"/>
      <c r="DL1439" s="73"/>
      <c r="DM1439" s="73"/>
    </row>
    <row r="1440" spans="1:117" s="48" customFormat="1">
      <c r="A1440" s="73"/>
      <c r="T1440" s="73"/>
      <c r="U1440" s="73"/>
      <c r="V1440" s="73"/>
      <c r="W1440" s="73"/>
      <c r="X1440" s="73"/>
      <c r="Y1440" s="73"/>
      <c r="Z1440" s="73"/>
      <c r="AA1440" s="73"/>
      <c r="AB1440" s="73"/>
      <c r="AC1440" s="73"/>
      <c r="AD1440" s="73"/>
      <c r="AE1440" s="73"/>
      <c r="AF1440" s="73"/>
      <c r="AG1440" s="73"/>
      <c r="AH1440" s="73"/>
      <c r="AI1440" s="73"/>
      <c r="AJ1440" s="73"/>
      <c r="AK1440" s="73"/>
      <c r="AL1440" s="73"/>
      <c r="AM1440" s="73"/>
      <c r="AN1440" s="73"/>
      <c r="AO1440" s="73"/>
      <c r="AP1440" s="73"/>
      <c r="AQ1440" s="73"/>
      <c r="AR1440" s="73"/>
      <c r="AS1440" s="73"/>
      <c r="AT1440" s="73"/>
      <c r="AU1440" s="73"/>
      <c r="AV1440" s="73"/>
      <c r="AW1440" s="73"/>
      <c r="AX1440" s="73"/>
      <c r="AY1440" s="73"/>
      <c r="AZ1440" s="73"/>
      <c r="BA1440" s="73"/>
      <c r="BB1440" s="73"/>
      <c r="BC1440" s="73"/>
      <c r="BD1440" s="73"/>
      <c r="BE1440" s="73"/>
      <c r="BF1440" s="73"/>
      <c r="BG1440" s="73"/>
      <c r="BH1440" s="73"/>
      <c r="BI1440" s="73"/>
      <c r="BJ1440" s="73"/>
      <c r="BK1440" s="73"/>
      <c r="BL1440" s="73"/>
      <c r="BM1440" s="73"/>
      <c r="BN1440" s="73"/>
      <c r="BO1440" s="73"/>
      <c r="BP1440" s="73"/>
      <c r="BQ1440" s="73"/>
      <c r="BR1440" s="73"/>
      <c r="BS1440" s="73"/>
      <c r="BT1440" s="73"/>
      <c r="BU1440" s="73"/>
      <c r="BV1440" s="73"/>
      <c r="BW1440" s="73"/>
      <c r="BX1440" s="73"/>
      <c r="BY1440" s="73"/>
      <c r="BZ1440" s="73"/>
      <c r="CA1440" s="73"/>
      <c r="CB1440" s="73"/>
      <c r="CC1440" s="73"/>
      <c r="CD1440" s="73"/>
      <c r="CE1440" s="73"/>
      <c r="CF1440" s="73"/>
      <c r="CG1440" s="73"/>
      <c r="CH1440" s="73"/>
      <c r="CI1440" s="73"/>
      <c r="CJ1440" s="73"/>
      <c r="CK1440" s="73"/>
      <c r="CL1440" s="73"/>
      <c r="CM1440" s="73"/>
      <c r="CN1440" s="73"/>
      <c r="CO1440" s="73"/>
      <c r="CP1440" s="73"/>
      <c r="CQ1440" s="73"/>
      <c r="CR1440" s="73"/>
      <c r="CS1440" s="73"/>
      <c r="CT1440" s="73"/>
      <c r="CU1440" s="73"/>
      <c r="CV1440" s="73"/>
      <c r="CW1440" s="73"/>
      <c r="CX1440" s="73"/>
      <c r="CY1440" s="73"/>
      <c r="CZ1440" s="73"/>
      <c r="DA1440" s="73"/>
      <c r="DB1440" s="73"/>
      <c r="DC1440" s="73"/>
      <c r="DD1440" s="73"/>
      <c r="DE1440" s="73"/>
      <c r="DF1440" s="73"/>
      <c r="DG1440" s="73"/>
      <c r="DH1440" s="73"/>
      <c r="DI1440" s="73"/>
      <c r="DJ1440" s="73"/>
      <c r="DK1440" s="73"/>
      <c r="DL1440" s="73"/>
      <c r="DM1440" s="73"/>
    </row>
    <row r="1441" spans="1:117" s="48" customFormat="1">
      <c r="A1441" s="73"/>
      <c r="T1441" s="73"/>
      <c r="U1441" s="73"/>
      <c r="V1441" s="73"/>
      <c r="W1441" s="73"/>
      <c r="X1441" s="73"/>
      <c r="Y1441" s="73"/>
      <c r="Z1441" s="73"/>
      <c r="AA1441" s="73"/>
      <c r="AB1441" s="73"/>
      <c r="AC1441" s="73"/>
      <c r="AD1441" s="73"/>
      <c r="AE1441" s="73"/>
      <c r="AF1441" s="73"/>
      <c r="AG1441" s="73"/>
      <c r="AH1441" s="73"/>
      <c r="AI1441" s="73"/>
      <c r="AJ1441" s="73"/>
      <c r="AK1441" s="73"/>
      <c r="AL1441" s="73"/>
      <c r="AM1441" s="73"/>
      <c r="AN1441" s="73"/>
      <c r="AO1441" s="73"/>
      <c r="AP1441" s="73"/>
      <c r="AQ1441" s="73"/>
      <c r="AR1441" s="73"/>
      <c r="AS1441" s="73"/>
      <c r="AT1441" s="73"/>
      <c r="AU1441" s="73"/>
      <c r="AV1441" s="73"/>
      <c r="AW1441" s="73"/>
      <c r="AX1441" s="73"/>
      <c r="AY1441" s="73"/>
      <c r="AZ1441" s="73"/>
      <c r="BA1441" s="73"/>
      <c r="BB1441" s="73"/>
      <c r="BC1441" s="73"/>
      <c r="BD1441" s="73"/>
      <c r="BE1441" s="73"/>
      <c r="BF1441" s="73"/>
      <c r="BG1441" s="73"/>
      <c r="BH1441" s="73"/>
      <c r="BI1441" s="73"/>
      <c r="BJ1441" s="73"/>
      <c r="BK1441" s="73"/>
      <c r="BL1441" s="73"/>
      <c r="BM1441" s="73"/>
      <c r="BN1441" s="73"/>
      <c r="BO1441" s="73"/>
      <c r="BP1441" s="73"/>
      <c r="BQ1441" s="73"/>
      <c r="BR1441" s="73"/>
      <c r="BS1441" s="73"/>
      <c r="BT1441" s="73"/>
      <c r="BU1441" s="73"/>
      <c r="BV1441" s="73"/>
      <c r="BW1441" s="73"/>
      <c r="BX1441" s="73"/>
      <c r="BY1441" s="73"/>
      <c r="BZ1441" s="73"/>
      <c r="CA1441" s="73"/>
      <c r="CB1441" s="73"/>
      <c r="CC1441" s="73"/>
      <c r="CD1441" s="73"/>
      <c r="CE1441" s="73"/>
      <c r="CF1441" s="73"/>
      <c r="CG1441" s="73"/>
      <c r="CH1441" s="73"/>
      <c r="CI1441" s="73"/>
      <c r="CJ1441" s="73"/>
      <c r="CK1441" s="73"/>
      <c r="CL1441" s="73"/>
      <c r="CM1441" s="73"/>
      <c r="CN1441" s="73"/>
      <c r="CO1441" s="73"/>
      <c r="CP1441" s="73"/>
      <c r="CQ1441" s="73"/>
      <c r="CR1441" s="73"/>
      <c r="CS1441" s="73"/>
      <c r="CT1441" s="73"/>
      <c r="CU1441" s="73"/>
      <c r="CV1441" s="73"/>
      <c r="CW1441" s="73"/>
      <c r="CX1441" s="73"/>
      <c r="CY1441" s="73"/>
      <c r="CZ1441" s="73"/>
      <c r="DA1441" s="73"/>
      <c r="DB1441" s="73"/>
      <c r="DC1441" s="73"/>
      <c r="DD1441" s="73"/>
      <c r="DE1441" s="73"/>
      <c r="DF1441" s="73"/>
      <c r="DG1441" s="73"/>
      <c r="DH1441" s="73"/>
      <c r="DI1441" s="73"/>
      <c r="DJ1441" s="73"/>
      <c r="DK1441" s="73"/>
      <c r="DL1441" s="73"/>
      <c r="DM1441" s="73"/>
    </row>
    <row r="1442" spans="1:117" s="48" customFormat="1">
      <c r="A1442" s="73"/>
      <c r="T1442" s="73"/>
      <c r="U1442" s="73"/>
      <c r="V1442" s="73"/>
      <c r="W1442" s="73"/>
      <c r="X1442" s="73"/>
      <c r="Y1442" s="73"/>
      <c r="Z1442" s="73"/>
      <c r="AA1442" s="73"/>
      <c r="AB1442" s="73"/>
      <c r="AC1442" s="73"/>
      <c r="AD1442" s="73"/>
      <c r="AE1442" s="73"/>
      <c r="AF1442" s="73"/>
      <c r="AG1442" s="73"/>
      <c r="AH1442" s="73"/>
      <c r="AI1442" s="73"/>
      <c r="AJ1442" s="73"/>
      <c r="AK1442" s="73"/>
      <c r="AL1442" s="73"/>
      <c r="AM1442" s="73"/>
      <c r="AN1442" s="73"/>
      <c r="AO1442" s="73"/>
      <c r="AP1442" s="73"/>
      <c r="AQ1442" s="73"/>
      <c r="AR1442" s="73"/>
      <c r="AS1442" s="73"/>
      <c r="AT1442" s="73"/>
      <c r="AU1442" s="73"/>
      <c r="AV1442" s="73"/>
      <c r="AW1442" s="73"/>
      <c r="AX1442" s="73"/>
      <c r="AY1442" s="73"/>
      <c r="AZ1442" s="73"/>
      <c r="BA1442" s="73"/>
      <c r="BB1442" s="73"/>
      <c r="BC1442" s="73"/>
      <c r="BD1442" s="73"/>
      <c r="BE1442" s="73"/>
      <c r="BF1442" s="73"/>
      <c r="BG1442" s="73"/>
      <c r="BH1442" s="73"/>
      <c r="BI1442" s="73"/>
      <c r="BJ1442" s="73"/>
      <c r="BK1442" s="73"/>
      <c r="BL1442" s="73"/>
      <c r="BM1442" s="73"/>
      <c r="BN1442" s="73"/>
      <c r="BO1442" s="73"/>
      <c r="BP1442" s="73"/>
      <c r="BQ1442" s="73"/>
      <c r="BR1442" s="73"/>
      <c r="BS1442" s="73"/>
      <c r="BT1442" s="73"/>
      <c r="BU1442" s="73"/>
      <c r="BV1442" s="73"/>
      <c r="BW1442" s="73"/>
      <c r="BX1442" s="73"/>
      <c r="BY1442" s="73"/>
      <c r="BZ1442" s="73"/>
      <c r="CA1442" s="73"/>
      <c r="CB1442" s="73"/>
      <c r="CC1442" s="73"/>
      <c r="CD1442" s="73"/>
      <c r="CE1442" s="73"/>
      <c r="CF1442" s="73"/>
      <c r="CG1442" s="73"/>
      <c r="CH1442" s="73"/>
      <c r="CI1442" s="73"/>
      <c r="CJ1442" s="73"/>
      <c r="CK1442" s="73"/>
      <c r="CL1442" s="73"/>
      <c r="CM1442" s="73"/>
      <c r="CN1442" s="73"/>
      <c r="CO1442" s="73"/>
      <c r="CP1442" s="73"/>
      <c r="CQ1442" s="73"/>
      <c r="CR1442" s="73"/>
      <c r="CS1442" s="73"/>
      <c r="CT1442" s="73"/>
      <c r="CU1442" s="73"/>
      <c r="CV1442" s="73"/>
      <c r="CW1442" s="73"/>
      <c r="CX1442" s="73"/>
      <c r="CY1442" s="73"/>
      <c r="CZ1442" s="73"/>
      <c r="DA1442" s="73"/>
      <c r="DB1442" s="73"/>
      <c r="DC1442" s="73"/>
      <c r="DD1442" s="73"/>
      <c r="DE1442" s="73"/>
      <c r="DF1442" s="73"/>
      <c r="DG1442" s="73"/>
      <c r="DH1442" s="73"/>
      <c r="DI1442" s="73"/>
      <c r="DJ1442" s="73"/>
      <c r="DK1442" s="73"/>
      <c r="DL1442" s="73"/>
      <c r="DM1442" s="73"/>
    </row>
    <row r="1443" spans="1:117" s="48" customFormat="1">
      <c r="A1443" s="73"/>
      <c r="T1443" s="73"/>
      <c r="U1443" s="73"/>
      <c r="V1443" s="73"/>
      <c r="W1443" s="73"/>
      <c r="X1443" s="73"/>
      <c r="Y1443" s="73"/>
      <c r="Z1443" s="73"/>
      <c r="AA1443" s="73"/>
      <c r="AB1443" s="73"/>
      <c r="AC1443" s="73"/>
      <c r="AD1443" s="73"/>
      <c r="AE1443" s="73"/>
      <c r="AF1443" s="73"/>
      <c r="AG1443" s="73"/>
      <c r="AH1443" s="73"/>
      <c r="AI1443" s="73"/>
      <c r="AJ1443" s="73"/>
      <c r="AK1443" s="73"/>
      <c r="AL1443" s="73"/>
      <c r="AM1443" s="73"/>
      <c r="AN1443" s="73"/>
      <c r="AO1443" s="73"/>
      <c r="AP1443" s="73"/>
      <c r="AQ1443" s="73"/>
      <c r="AR1443" s="73"/>
      <c r="AS1443" s="73"/>
      <c r="AT1443" s="73"/>
      <c r="AU1443" s="73"/>
      <c r="AV1443" s="73"/>
      <c r="AW1443" s="73"/>
      <c r="AX1443" s="73"/>
      <c r="AY1443" s="73"/>
      <c r="AZ1443" s="73"/>
      <c r="BA1443" s="73"/>
      <c r="BB1443" s="73"/>
      <c r="BC1443" s="73"/>
      <c r="BD1443" s="73"/>
      <c r="BE1443" s="73"/>
      <c r="BF1443" s="73"/>
      <c r="BG1443" s="73"/>
      <c r="BH1443" s="73"/>
      <c r="BI1443" s="73"/>
      <c r="BJ1443" s="73"/>
      <c r="BK1443" s="73"/>
      <c r="BL1443" s="73"/>
      <c r="BM1443" s="73"/>
      <c r="BN1443" s="73"/>
      <c r="BO1443" s="73"/>
      <c r="BP1443" s="73"/>
      <c r="BQ1443" s="73"/>
      <c r="BR1443" s="73"/>
      <c r="BS1443" s="73"/>
      <c r="BT1443" s="73"/>
      <c r="BU1443" s="73"/>
      <c r="BV1443" s="73"/>
      <c r="BW1443" s="73"/>
      <c r="BX1443" s="73"/>
      <c r="BY1443" s="73"/>
      <c r="BZ1443" s="73"/>
      <c r="CA1443" s="73"/>
      <c r="CB1443" s="73"/>
      <c r="CC1443" s="73"/>
      <c r="CD1443" s="73"/>
      <c r="CE1443" s="73"/>
      <c r="CF1443" s="73"/>
      <c r="CG1443" s="73"/>
      <c r="CH1443" s="73"/>
      <c r="CI1443" s="73"/>
      <c r="CJ1443" s="73"/>
      <c r="CK1443" s="73"/>
      <c r="CL1443" s="73"/>
      <c r="CM1443" s="73"/>
      <c r="CN1443" s="73"/>
      <c r="CO1443" s="73"/>
      <c r="CP1443" s="73"/>
      <c r="CQ1443" s="73"/>
      <c r="CR1443" s="73"/>
      <c r="CS1443" s="73"/>
      <c r="CT1443" s="73"/>
      <c r="CU1443" s="73"/>
      <c r="CV1443" s="73"/>
      <c r="CW1443" s="73"/>
      <c r="CX1443" s="73"/>
      <c r="CY1443" s="73"/>
      <c r="CZ1443" s="73"/>
      <c r="DA1443" s="73"/>
      <c r="DB1443" s="73"/>
      <c r="DC1443" s="73"/>
      <c r="DD1443" s="73"/>
      <c r="DE1443" s="73"/>
      <c r="DF1443" s="73"/>
      <c r="DG1443" s="73"/>
      <c r="DH1443" s="73"/>
      <c r="DI1443" s="73"/>
      <c r="DJ1443" s="73"/>
      <c r="DK1443" s="73"/>
      <c r="DL1443" s="73"/>
      <c r="DM1443" s="73"/>
    </row>
    <row r="1444" spans="1:117" s="48" customFormat="1">
      <c r="A1444" s="73"/>
      <c r="T1444" s="73"/>
      <c r="U1444" s="73"/>
      <c r="V1444" s="73"/>
      <c r="W1444" s="73"/>
      <c r="X1444" s="73"/>
      <c r="Y1444" s="73"/>
      <c r="Z1444" s="73"/>
      <c r="AA1444" s="73"/>
      <c r="AB1444" s="73"/>
      <c r="AC1444" s="73"/>
      <c r="AD1444" s="73"/>
      <c r="AE1444" s="73"/>
      <c r="AF1444" s="73"/>
      <c r="AG1444" s="73"/>
      <c r="AH1444" s="73"/>
      <c r="AI1444" s="73"/>
      <c r="AJ1444" s="73"/>
      <c r="AK1444" s="73"/>
      <c r="AL1444" s="73"/>
      <c r="AM1444" s="73"/>
      <c r="AN1444" s="73"/>
      <c r="AO1444" s="73"/>
      <c r="AP1444" s="73"/>
      <c r="AQ1444" s="73"/>
      <c r="AR1444" s="73"/>
      <c r="AS1444" s="73"/>
      <c r="AT1444" s="73"/>
      <c r="AU1444" s="73"/>
      <c r="AV1444" s="73"/>
      <c r="AW1444" s="73"/>
      <c r="AX1444" s="73"/>
      <c r="AY1444" s="73"/>
      <c r="AZ1444" s="73"/>
      <c r="BA1444" s="73"/>
      <c r="BB1444" s="73"/>
      <c r="BC1444" s="73"/>
      <c r="BD1444" s="73"/>
      <c r="BE1444" s="73"/>
      <c r="BF1444" s="73"/>
      <c r="BG1444" s="73"/>
      <c r="BH1444" s="73"/>
      <c r="BI1444" s="73"/>
      <c r="BJ1444" s="73"/>
      <c r="BK1444" s="73"/>
      <c r="BL1444" s="73"/>
      <c r="BM1444" s="73"/>
      <c r="BN1444" s="73"/>
      <c r="BO1444" s="73"/>
      <c r="BP1444" s="73"/>
      <c r="BQ1444" s="73"/>
      <c r="BR1444" s="73"/>
      <c r="BS1444" s="73"/>
      <c r="BT1444" s="73"/>
      <c r="BU1444" s="73"/>
      <c r="BV1444" s="73"/>
      <c r="BW1444" s="73"/>
      <c r="BX1444" s="73"/>
      <c r="BY1444" s="73"/>
      <c r="BZ1444" s="73"/>
      <c r="CA1444" s="73"/>
      <c r="CB1444" s="73"/>
      <c r="CC1444" s="73"/>
      <c r="CD1444" s="73"/>
      <c r="CE1444" s="73"/>
      <c r="CF1444" s="73"/>
      <c r="CG1444" s="73"/>
      <c r="CH1444" s="73"/>
      <c r="CI1444" s="73"/>
      <c r="CJ1444" s="73"/>
      <c r="CK1444" s="73"/>
      <c r="CL1444" s="73"/>
      <c r="CM1444" s="73"/>
      <c r="CN1444" s="73"/>
      <c r="CO1444" s="73"/>
      <c r="CP1444" s="73"/>
      <c r="CQ1444" s="73"/>
      <c r="CR1444" s="73"/>
      <c r="CS1444" s="73"/>
      <c r="CT1444" s="73"/>
      <c r="CU1444" s="73"/>
      <c r="CV1444" s="73"/>
      <c r="CW1444" s="73"/>
      <c r="CX1444" s="73"/>
      <c r="CY1444" s="73"/>
      <c r="CZ1444" s="73"/>
      <c r="DA1444" s="73"/>
      <c r="DB1444" s="73"/>
      <c r="DC1444" s="73"/>
      <c r="DD1444" s="73"/>
      <c r="DE1444" s="73"/>
      <c r="DF1444" s="73"/>
      <c r="DG1444" s="73"/>
      <c r="DH1444" s="73"/>
      <c r="DI1444" s="73"/>
      <c r="DJ1444" s="73"/>
      <c r="DK1444" s="73"/>
      <c r="DL1444" s="73"/>
      <c r="DM1444" s="73"/>
    </row>
    <row r="1445" spans="1:117" s="48" customFormat="1">
      <c r="A1445" s="73"/>
      <c r="T1445" s="73"/>
      <c r="U1445" s="73"/>
      <c r="V1445" s="73"/>
      <c r="W1445" s="73"/>
      <c r="X1445" s="73"/>
      <c r="Y1445" s="73"/>
      <c r="Z1445" s="73"/>
      <c r="AA1445" s="73"/>
      <c r="AB1445" s="73"/>
      <c r="AC1445" s="73"/>
      <c r="AD1445" s="73"/>
      <c r="AE1445" s="73"/>
      <c r="AF1445" s="73"/>
      <c r="AG1445" s="73"/>
      <c r="AH1445" s="73"/>
      <c r="AI1445" s="73"/>
      <c r="AJ1445" s="73"/>
      <c r="AK1445" s="73"/>
      <c r="AL1445" s="73"/>
      <c r="AM1445" s="73"/>
      <c r="AN1445" s="73"/>
      <c r="AO1445" s="73"/>
      <c r="AP1445" s="73"/>
      <c r="AQ1445" s="73"/>
      <c r="AR1445" s="73"/>
      <c r="AS1445" s="73"/>
      <c r="AT1445" s="73"/>
      <c r="AU1445" s="73"/>
      <c r="AV1445" s="73"/>
      <c r="AW1445" s="73"/>
      <c r="AX1445" s="73"/>
      <c r="AY1445" s="73"/>
      <c r="AZ1445" s="73"/>
      <c r="BA1445" s="73"/>
      <c r="BB1445" s="73"/>
      <c r="BC1445" s="73"/>
      <c r="BD1445" s="73"/>
      <c r="BE1445" s="73"/>
      <c r="BF1445" s="73"/>
      <c r="BG1445" s="73"/>
      <c r="BH1445" s="73"/>
      <c r="BI1445" s="73"/>
      <c r="BJ1445" s="73"/>
      <c r="BK1445" s="73"/>
      <c r="BL1445" s="73"/>
      <c r="BM1445" s="73"/>
      <c r="BN1445" s="73"/>
      <c r="BO1445" s="73"/>
      <c r="BP1445" s="73"/>
      <c r="BQ1445" s="73"/>
      <c r="BR1445" s="73"/>
      <c r="BS1445" s="73"/>
      <c r="BT1445" s="73"/>
      <c r="BU1445" s="73"/>
      <c r="BV1445" s="73"/>
      <c r="BW1445" s="73"/>
      <c r="BX1445" s="73"/>
      <c r="BY1445" s="73"/>
      <c r="BZ1445" s="73"/>
      <c r="CA1445" s="73"/>
      <c r="CB1445" s="73"/>
      <c r="CC1445" s="73"/>
      <c r="CD1445" s="73"/>
      <c r="CE1445" s="73"/>
      <c r="CF1445" s="73"/>
      <c r="CG1445" s="73"/>
      <c r="CH1445" s="73"/>
      <c r="CI1445" s="73"/>
      <c r="CJ1445" s="73"/>
      <c r="CK1445" s="73"/>
      <c r="CL1445" s="73"/>
      <c r="CM1445" s="73"/>
      <c r="CN1445" s="73"/>
      <c r="CO1445" s="73"/>
      <c r="CP1445" s="73"/>
      <c r="CQ1445" s="73"/>
      <c r="CR1445" s="73"/>
      <c r="CS1445" s="73"/>
      <c r="CT1445" s="73"/>
      <c r="CU1445" s="73"/>
      <c r="CV1445" s="73"/>
      <c r="CW1445" s="73"/>
      <c r="CX1445" s="73"/>
      <c r="CY1445" s="73"/>
      <c r="CZ1445" s="73"/>
      <c r="DA1445" s="73"/>
      <c r="DB1445" s="73"/>
      <c r="DC1445" s="73"/>
      <c r="DD1445" s="73"/>
      <c r="DE1445" s="73"/>
      <c r="DF1445" s="73"/>
      <c r="DG1445" s="73"/>
      <c r="DH1445" s="73"/>
      <c r="DI1445" s="73"/>
      <c r="DJ1445" s="73"/>
      <c r="DK1445" s="73"/>
      <c r="DL1445" s="73"/>
      <c r="DM1445" s="73"/>
    </row>
    <row r="1446" spans="1:117" s="48" customFormat="1">
      <c r="A1446" s="73"/>
      <c r="T1446" s="73"/>
      <c r="U1446" s="73"/>
      <c r="V1446" s="73"/>
      <c r="W1446" s="73"/>
      <c r="X1446" s="73"/>
      <c r="Y1446" s="73"/>
      <c r="Z1446" s="73"/>
      <c r="AA1446" s="73"/>
      <c r="AB1446" s="73"/>
      <c r="AC1446" s="73"/>
      <c r="AD1446" s="73"/>
      <c r="AE1446" s="73"/>
      <c r="AF1446" s="73"/>
      <c r="AG1446" s="73"/>
      <c r="AH1446" s="73"/>
      <c r="AI1446" s="73"/>
      <c r="AJ1446" s="73"/>
      <c r="AK1446" s="73"/>
      <c r="AL1446" s="73"/>
      <c r="AM1446" s="73"/>
      <c r="AN1446" s="73"/>
      <c r="AO1446" s="73"/>
      <c r="AP1446" s="73"/>
      <c r="AQ1446" s="73"/>
      <c r="AR1446" s="73"/>
      <c r="AS1446" s="73"/>
      <c r="AT1446" s="73"/>
      <c r="AU1446" s="73"/>
      <c r="AV1446" s="73"/>
      <c r="AW1446" s="73"/>
      <c r="AX1446" s="73"/>
      <c r="AY1446" s="73"/>
      <c r="AZ1446" s="73"/>
      <c r="BA1446" s="73"/>
      <c r="BB1446" s="73"/>
      <c r="BC1446" s="73"/>
      <c r="BD1446" s="73"/>
      <c r="BE1446" s="73"/>
      <c r="BF1446" s="73"/>
      <c r="BG1446" s="73"/>
      <c r="BH1446" s="73"/>
      <c r="BI1446" s="73"/>
      <c r="BJ1446" s="73"/>
      <c r="BK1446" s="73"/>
      <c r="BL1446" s="73"/>
      <c r="BM1446" s="73"/>
      <c r="BN1446" s="73"/>
      <c r="BO1446" s="73"/>
      <c r="BP1446" s="73"/>
      <c r="BQ1446" s="73"/>
      <c r="BR1446" s="73"/>
      <c r="BS1446" s="73"/>
      <c r="BT1446" s="73"/>
      <c r="BU1446" s="73"/>
      <c r="BV1446" s="73"/>
      <c r="BW1446" s="73"/>
      <c r="BX1446" s="73"/>
      <c r="BY1446" s="73"/>
      <c r="BZ1446" s="73"/>
      <c r="CA1446" s="73"/>
      <c r="CB1446" s="73"/>
      <c r="CC1446" s="73"/>
      <c r="CD1446" s="73"/>
      <c r="CE1446" s="73"/>
      <c r="CF1446" s="73"/>
      <c r="CG1446" s="73"/>
      <c r="CH1446" s="73"/>
      <c r="CI1446" s="73"/>
      <c r="CJ1446" s="73"/>
      <c r="CK1446" s="73"/>
      <c r="CL1446" s="73"/>
      <c r="CM1446" s="73"/>
      <c r="CN1446" s="73"/>
      <c r="CO1446" s="73"/>
      <c r="CP1446" s="73"/>
      <c r="CQ1446" s="73"/>
      <c r="CR1446" s="73"/>
      <c r="CS1446" s="73"/>
      <c r="CT1446" s="73"/>
      <c r="CU1446" s="73"/>
      <c r="CV1446" s="73"/>
      <c r="CW1446" s="73"/>
      <c r="CX1446" s="73"/>
      <c r="CY1446" s="73"/>
      <c r="CZ1446" s="73"/>
      <c r="DA1446" s="73"/>
      <c r="DB1446" s="73"/>
      <c r="DC1446" s="73"/>
      <c r="DD1446" s="73"/>
      <c r="DE1446" s="73"/>
      <c r="DF1446" s="73"/>
      <c r="DG1446" s="73"/>
      <c r="DH1446" s="73"/>
      <c r="DI1446" s="73"/>
      <c r="DJ1446" s="73"/>
      <c r="DK1446" s="73"/>
      <c r="DL1446" s="73"/>
      <c r="DM1446" s="73"/>
    </row>
    <row r="1447" spans="1:117" s="48" customFormat="1">
      <c r="A1447" s="73"/>
      <c r="T1447" s="73"/>
      <c r="U1447" s="73"/>
      <c r="V1447" s="73"/>
      <c r="W1447" s="73"/>
      <c r="X1447" s="73"/>
      <c r="Y1447" s="73"/>
      <c r="Z1447" s="73"/>
      <c r="AA1447" s="73"/>
      <c r="AB1447" s="73"/>
      <c r="AC1447" s="73"/>
      <c r="AD1447" s="73"/>
      <c r="AE1447" s="73"/>
      <c r="AF1447" s="73"/>
      <c r="AG1447" s="73"/>
      <c r="AH1447" s="73"/>
      <c r="AI1447" s="73"/>
      <c r="AJ1447" s="73"/>
      <c r="AK1447" s="73"/>
      <c r="AL1447" s="73"/>
      <c r="AM1447" s="73"/>
      <c r="AN1447" s="73"/>
      <c r="AO1447" s="73"/>
      <c r="AP1447" s="73"/>
      <c r="AQ1447" s="73"/>
      <c r="AR1447" s="73"/>
      <c r="AS1447" s="73"/>
      <c r="AT1447" s="73"/>
      <c r="AU1447" s="73"/>
      <c r="AV1447" s="73"/>
      <c r="AW1447" s="73"/>
      <c r="AX1447" s="73"/>
      <c r="AY1447" s="73"/>
      <c r="AZ1447" s="73"/>
      <c r="BA1447" s="73"/>
      <c r="BB1447" s="73"/>
      <c r="BC1447" s="73"/>
      <c r="BD1447" s="73"/>
      <c r="BE1447" s="73"/>
      <c r="BF1447" s="73"/>
      <c r="BG1447" s="73"/>
      <c r="BH1447" s="73"/>
      <c r="BI1447" s="73"/>
      <c r="BJ1447" s="73"/>
      <c r="BK1447" s="73"/>
      <c r="BL1447" s="73"/>
      <c r="BM1447" s="73"/>
      <c r="BN1447" s="73"/>
      <c r="BO1447" s="73"/>
      <c r="BP1447" s="73"/>
      <c r="BQ1447" s="73"/>
      <c r="BR1447" s="73"/>
      <c r="BS1447" s="73"/>
      <c r="BT1447" s="73"/>
      <c r="BU1447" s="73"/>
      <c r="BV1447" s="73"/>
      <c r="BW1447" s="73"/>
      <c r="BX1447" s="73"/>
      <c r="BY1447" s="73"/>
      <c r="BZ1447" s="73"/>
      <c r="CA1447" s="73"/>
      <c r="CB1447" s="73"/>
      <c r="CC1447" s="73"/>
      <c r="CD1447" s="73"/>
      <c r="CE1447" s="73"/>
      <c r="CF1447" s="73"/>
      <c r="CG1447" s="73"/>
      <c r="CH1447" s="73"/>
      <c r="CI1447" s="73"/>
      <c r="CJ1447" s="73"/>
      <c r="CK1447" s="73"/>
      <c r="CL1447" s="73"/>
      <c r="CM1447" s="73"/>
      <c r="CN1447" s="73"/>
      <c r="CO1447" s="73"/>
      <c r="CP1447" s="73"/>
      <c r="CQ1447" s="73"/>
      <c r="CR1447" s="73"/>
      <c r="CS1447" s="73"/>
      <c r="CT1447" s="73"/>
      <c r="CU1447" s="73"/>
      <c r="CV1447" s="73"/>
      <c r="CW1447" s="73"/>
      <c r="CX1447" s="73"/>
      <c r="CY1447" s="73"/>
      <c r="CZ1447" s="73"/>
      <c r="DA1447" s="73"/>
      <c r="DB1447" s="73"/>
      <c r="DC1447" s="73"/>
      <c r="DD1447" s="73"/>
      <c r="DE1447" s="73"/>
      <c r="DF1447" s="73"/>
      <c r="DG1447" s="73"/>
      <c r="DH1447" s="73"/>
      <c r="DI1447" s="73"/>
      <c r="DJ1447" s="73"/>
      <c r="DK1447" s="73"/>
      <c r="DL1447" s="73"/>
      <c r="DM1447" s="73"/>
    </row>
    <row r="1448" spans="1:117" s="48" customFormat="1">
      <c r="A1448" s="73"/>
      <c r="T1448" s="73"/>
      <c r="U1448" s="73"/>
      <c r="V1448" s="73"/>
      <c r="W1448" s="73"/>
      <c r="X1448" s="73"/>
      <c r="Y1448" s="73"/>
      <c r="Z1448" s="73"/>
      <c r="AA1448" s="73"/>
      <c r="AB1448" s="73"/>
      <c r="AC1448" s="73"/>
      <c r="AD1448" s="73"/>
      <c r="AE1448" s="73"/>
      <c r="AF1448" s="73"/>
      <c r="AG1448" s="73"/>
      <c r="AH1448" s="73"/>
      <c r="AI1448" s="73"/>
      <c r="AJ1448" s="73"/>
      <c r="AK1448" s="73"/>
      <c r="AL1448" s="73"/>
      <c r="AM1448" s="73"/>
      <c r="AN1448" s="73"/>
      <c r="AO1448" s="73"/>
      <c r="AP1448" s="73"/>
      <c r="AQ1448" s="73"/>
      <c r="AR1448" s="73"/>
      <c r="AS1448" s="73"/>
      <c r="AT1448" s="73"/>
      <c r="AU1448" s="73"/>
      <c r="AV1448" s="73"/>
      <c r="AW1448" s="73"/>
      <c r="AX1448" s="73"/>
      <c r="AY1448" s="73"/>
      <c r="AZ1448" s="73"/>
      <c r="BA1448" s="73"/>
      <c r="BB1448" s="73"/>
      <c r="BC1448" s="73"/>
      <c r="BD1448" s="73"/>
      <c r="BE1448" s="73"/>
      <c r="BF1448" s="73"/>
      <c r="BG1448" s="73"/>
      <c r="BH1448" s="73"/>
      <c r="BI1448" s="73"/>
      <c r="BJ1448" s="73"/>
      <c r="BK1448" s="73"/>
      <c r="BL1448" s="73"/>
      <c r="BM1448" s="73"/>
      <c r="BN1448" s="73"/>
      <c r="BO1448" s="73"/>
      <c r="BP1448" s="73"/>
      <c r="BQ1448" s="73"/>
      <c r="BR1448" s="73"/>
      <c r="BS1448" s="73"/>
      <c r="BT1448" s="73"/>
      <c r="BU1448" s="73"/>
      <c r="BV1448" s="73"/>
      <c r="BW1448" s="73"/>
      <c r="BX1448" s="73"/>
      <c r="BY1448" s="73"/>
      <c r="BZ1448" s="73"/>
      <c r="CA1448" s="73"/>
      <c r="CB1448" s="73"/>
      <c r="CC1448" s="73"/>
      <c r="CD1448" s="73"/>
      <c r="CE1448" s="73"/>
      <c r="CF1448" s="73"/>
      <c r="CG1448" s="73"/>
      <c r="CH1448" s="73"/>
      <c r="CI1448" s="73"/>
      <c r="CJ1448" s="73"/>
      <c r="CK1448" s="73"/>
      <c r="CL1448" s="73"/>
      <c r="CM1448" s="73"/>
      <c r="CN1448" s="73"/>
      <c r="CO1448" s="73"/>
      <c r="CP1448" s="73"/>
      <c r="CQ1448" s="73"/>
      <c r="CR1448" s="73"/>
      <c r="CS1448" s="73"/>
      <c r="CT1448" s="73"/>
      <c r="CU1448" s="73"/>
      <c r="CV1448" s="73"/>
      <c r="CW1448" s="73"/>
      <c r="CX1448" s="73"/>
      <c r="CY1448" s="73"/>
      <c r="CZ1448" s="73"/>
      <c r="DA1448" s="73"/>
      <c r="DB1448" s="73"/>
      <c r="DC1448" s="73"/>
      <c r="DD1448" s="73"/>
      <c r="DE1448" s="73"/>
      <c r="DF1448" s="73"/>
      <c r="DG1448" s="73"/>
      <c r="DH1448" s="73"/>
      <c r="DI1448" s="73"/>
      <c r="DJ1448" s="73"/>
      <c r="DK1448" s="73"/>
      <c r="DL1448" s="73"/>
      <c r="DM1448" s="73"/>
    </row>
    <row r="1449" spans="1:117" s="48" customFormat="1">
      <c r="A1449" s="73"/>
      <c r="T1449" s="73"/>
      <c r="U1449" s="73"/>
      <c r="V1449" s="73"/>
      <c r="W1449" s="73"/>
      <c r="X1449" s="73"/>
      <c r="Y1449" s="73"/>
      <c r="Z1449" s="73"/>
      <c r="AA1449" s="73"/>
      <c r="AB1449" s="73"/>
      <c r="AC1449" s="73"/>
      <c r="AD1449" s="73"/>
      <c r="AE1449" s="73"/>
      <c r="AF1449" s="73"/>
      <c r="AG1449" s="73"/>
      <c r="AH1449" s="73"/>
      <c r="AI1449" s="73"/>
      <c r="AJ1449" s="73"/>
      <c r="AK1449" s="73"/>
      <c r="AL1449" s="73"/>
      <c r="AM1449" s="73"/>
      <c r="AN1449" s="73"/>
      <c r="AO1449" s="73"/>
      <c r="AP1449" s="73"/>
      <c r="AQ1449" s="73"/>
      <c r="AR1449" s="73"/>
      <c r="AS1449" s="73"/>
      <c r="AT1449" s="73"/>
      <c r="AU1449" s="73"/>
      <c r="AV1449" s="73"/>
      <c r="AW1449" s="73"/>
      <c r="AX1449" s="73"/>
      <c r="AY1449" s="73"/>
      <c r="AZ1449" s="73"/>
      <c r="BA1449" s="73"/>
      <c r="BB1449" s="73"/>
      <c r="BC1449" s="73"/>
      <c r="BD1449" s="73"/>
      <c r="BE1449" s="73"/>
      <c r="BF1449" s="73"/>
      <c r="BG1449" s="73"/>
      <c r="BH1449" s="73"/>
      <c r="BI1449" s="73"/>
      <c r="BJ1449" s="73"/>
      <c r="BK1449" s="73"/>
      <c r="BL1449" s="73"/>
      <c r="BM1449" s="73"/>
      <c r="BN1449" s="73"/>
      <c r="BO1449" s="73"/>
      <c r="BP1449" s="73"/>
      <c r="BQ1449" s="73"/>
      <c r="BR1449" s="73"/>
      <c r="BS1449" s="73"/>
      <c r="BT1449" s="73"/>
      <c r="BU1449" s="73"/>
      <c r="BV1449" s="73"/>
      <c r="BW1449" s="73"/>
      <c r="BX1449" s="73"/>
      <c r="BY1449" s="73"/>
      <c r="BZ1449" s="73"/>
      <c r="CA1449" s="73"/>
      <c r="CB1449" s="73"/>
      <c r="CC1449" s="73"/>
      <c r="CD1449" s="73"/>
      <c r="CE1449" s="73"/>
      <c r="CF1449" s="73"/>
      <c r="CG1449" s="73"/>
      <c r="CH1449" s="73"/>
      <c r="CI1449" s="73"/>
      <c r="CJ1449" s="73"/>
      <c r="CK1449" s="73"/>
      <c r="CL1449" s="73"/>
      <c r="CM1449" s="73"/>
      <c r="CN1449" s="73"/>
      <c r="CO1449" s="73"/>
      <c r="CP1449" s="73"/>
      <c r="CQ1449" s="73"/>
      <c r="CR1449" s="73"/>
      <c r="CS1449" s="73"/>
      <c r="CT1449" s="73"/>
      <c r="CU1449" s="73"/>
      <c r="CV1449" s="73"/>
      <c r="CW1449" s="73"/>
      <c r="CX1449" s="73"/>
      <c r="CY1449" s="73"/>
      <c r="CZ1449" s="73"/>
      <c r="DA1449" s="73"/>
      <c r="DB1449" s="73"/>
      <c r="DC1449" s="73"/>
      <c r="DD1449" s="73"/>
      <c r="DE1449" s="73"/>
      <c r="DF1449" s="73"/>
      <c r="DG1449" s="73"/>
      <c r="DH1449" s="73"/>
      <c r="DI1449" s="73"/>
      <c r="DJ1449" s="73"/>
      <c r="DK1449" s="73"/>
      <c r="DL1449" s="73"/>
      <c r="DM1449" s="73"/>
    </row>
    <row r="1450" spans="1:117" s="48" customFormat="1">
      <c r="A1450" s="73"/>
      <c r="T1450" s="73"/>
      <c r="U1450" s="73"/>
      <c r="V1450" s="73"/>
      <c r="W1450" s="73"/>
      <c r="X1450" s="73"/>
      <c r="Y1450" s="73"/>
      <c r="Z1450" s="73"/>
      <c r="AA1450" s="73"/>
      <c r="AB1450" s="73"/>
      <c r="AC1450" s="73"/>
      <c r="AD1450" s="73"/>
      <c r="AE1450" s="73"/>
      <c r="AF1450" s="73"/>
      <c r="AG1450" s="73"/>
      <c r="AH1450" s="73"/>
      <c r="AI1450" s="73"/>
      <c r="AJ1450" s="73"/>
      <c r="AK1450" s="73"/>
      <c r="AL1450" s="73"/>
      <c r="AM1450" s="73"/>
      <c r="AN1450" s="73"/>
      <c r="AO1450" s="73"/>
      <c r="AP1450" s="73"/>
      <c r="AQ1450" s="73"/>
      <c r="AR1450" s="73"/>
      <c r="AS1450" s="73"/>
      <c r="AT1450" s="73"/>
      <c r="AU1450" s="73"/>
      <c r="AV1450" s="73"/>
      <c r="AW1450" s="73"/>
      <c r="AX1450" s="73"/>
      <c r="AY1450" s="73"/>
      <c r="AZ1450" s="73"/>
      <c r="BA1450" s="73"/>
      <c r="BB1450" s="73"/>
      <c r="BC1450" s="73"/>
      <c r="BD1450" s="73"/>
      <c r="BE1450" s="73"/>
      <c r="BF1450" s="73"/>
      <c r="BG1450" s="73"/>
      <c r="BH1450" s="73"/>
      <c r="BI1450" s="73"/>
      <c r="BJ1450" s="73"/>
      <c r="BK1450" s="73"/>
      <c r="BL1450" s="73"/>
      <c r="BM1450" s="73"/>
      <c r="BN1450" s="73"/>
      <c r="BO1450" s="73"/>
      <c r="BP1450" s="73"/>
      <c r="BQ1450" s="73"/>
      <c r="BR1450" s="73"/>
      <c r="BS1450" s="73"/>
      <c r="BT1450" s="73"/>
      <c r="BU1450" s="73"/>
      <c r="BV1450" s="73"/>
      <c r="BW1450" s="73"/>
      <c r="BX1450" s="73"/>
      <c r="BY1450" s="73"/>
      <c r="BZ1450" s="73"/>
      <c r="CA1450" s="73"/>
      <c r="CB1450" s="73"/>
      <c r="CC1450" s="73"/>
      <c r="CD1450" s="73"/>
      <c r="CE1450" s="73"/>
      <c r="CF1450" s="73"/>
      <c r="CG1450" s="73"/>
      <c r="CH1450" s="73"/>
      <c r="CI1450" s="73"/>
      <c r="CJ1450" s="73"/>
      <c r="CK1450" s="73"/>
      <c r="CL1450" s="73"/>
      <c r="CM1450" s="73"/>
      <c r="CN1450" s="73"/>
      <c r="CO1450" s="73"/>
      <c r="CP1450" s="73"/>
      <c r="CQ1450" s="73"/>
      <c r="CR1450" s="73"/>
      <c r="CS1450" s="73"/>
      <c r="CT1450" s="73"/>
      <c r="CU1450" s="73"/>
      <c r="CV1450" s="73"/>
      <c r="CW1450" s="73"/>
      <c r="CX1450" s="73"/>
      <c r="CY1450" s="73"/>
      <c r="CZ1450" s="73"/>
      <c r="DA1450" s="73"/>
      <c r="DB1450" s="73"/>
      <c r="DC1450" s="73"/>
      <c r="DD1450" s="73"/>
      <c r="DE1450" s="73"/>
      <c r="DF1450" s="73"/>
      <c r="DG1450" s="73"/>
      <c r="DH1450" s="73"/>
      <c r="DI1450" s="73"/>
      <c r="DJ1450" s="73"/>
      <c r="DK1450" s="73"/>
      <c r="DL1450" s="73"/>
      <c r="DM1450" s="73"/>
    </row>
    <row r="1451" spans="1:117" s="48" customFormat="1">
      <c r="A1451" s="73"/>
      <c r="T1451" s="73"/>
      <c r="U1451" s="73"/>
      <c r="V1451" s="73"/>
      <c r="W1451" s="73"/>
      <c r="X1451" s="73"/>
      <c r="Y1451" s="73"/>
      <c r="Z1451" s="73"/>
      <c r="AA1451" s="73"/>
      <c r="AB1451" s="73"/>
      <c r="AC1451" s="73"/>
      <c r="AD1451" s="73"/>
      <c r="AE1451" s="73"/>
      <c r="AF1451" s="73"/>
      <c r="AG1451" s="73"/>
      <c r="AH1451" s="73"/>
      <c r="AI1451" s="73"/>
      <c r="AJ1451" s="73"/>
      <c r="AK1451" s="73"/>
      <c r="AL1451" s="73"/>
      <c r="AM1451" s="73"/>
      <c r="AN1451" s="73"/>
      <c r="AO1451" s="73"/>
      <c r="AP1451" s="73"/>
      <c r="AQ1451" s="73"/>
      <c r="AR1451" s="73"/>
      <c r="AS1451" s="73"/>
      <c r="AT1451" s="73"/>
      <c r="AU1451" s="73"/>
      <c r="AV1451" s="73"/>
      <c r="AW1451" s="73"/>
      <c r="AX1451" s="73"/>
      <c r="AY1451" s="73"/>
      <c r="AZ1451" s="73"/>
      <c r="BA1451" s="73"/>
      <c r="BB1451" s="73"/>
      <c r="BC1451" s="73"/>
      <c r="BD1451" s="73"/>
      <c r="BE1451" s="73"/>
      <c r="BF1451" s="73"/>
      <c r="BG1451" s="73"/>
      <c r="BH1451" s="73"/>
      <c r="BI1451" s="73"/>
      <c r="BJ1451" s="73"/>
      <c r="BK1451" s="73"/>
      <c r="BL1451" s="73"/>
      <c r="BM1451" s="73"/>
      <c r="BN1451" s="73"/>
      <c r="BO1451" s="73"/>
      <c r="BP1451" s="73"/>
      <c r="BQ1451" s="73"/>
      <c r="BR1451" s="73"/>
      <c r="BS1451" s="73"/>
      <c r="BT1451" s="73"/>
      <c r="BU1451" s="73"/>
      <c r="BV1451" s="73"/>
      <c r="BW1451" s="73"/>
      <c r="BX1451" s="73"/>
      <c r="BY1451" s="73"/>
      <c r="BZ1451" s="73"/>
      <c r="CA1451" s="73"/>
      <c r="CB1451" s="73"/>
      <c r="CC1451" s="73"/>
      <c r="CD1451" s="73"/>
      <c r="CE1451" s="73"/>
      <c r="CF1451" s="73"/>
      <c r="CG1451" s="73"/>
      <c r="CH1451" s="73"/>
      <c r="CI1451" s="73"/>
      <c r="CJ1451" s="73"/>
      <c r="CK1451" s="73"/>
      <c r="CL1451" s="73"/>
      <c r="CM1451" s="73"/>
      <c r="CN1451" s="73"/>
      <c r="CO1451" s="73"/>
      <c r="CP1451" s="73"/>
      <c r="CQ1451" s="73"/>
      <c r="CR1451" s="73"/>
      <c r="CS1451" s="73"/>
      <c r="CT1451" s="73"/>
      <c r="CU1451" s="73"/>
      <c r="CV1451" s="73"/>
      <c r="CW1451" s="73"/>
      <c r="CX1451" s="73"/>
      <c r="CY1451" s="73"/>
      <c r="CZ1451" s="73"/>
      <c r="DA1451" s="73"/>
      <c r="DB1451" s="73"/>
      <c r="DC1451" s="73"/>
      <c r="DD1451" s="73"/>
      <c r="DE1451" s="73"/>
      <c r="DF1451" s="73"/>
      <c r="DG1451" s="73"/>
      <c r="DH1451" s="73"/>
      <c r="DI1451" s="73"/>
      <c r="DJ1451" s="73"/>
      <c r="DK1451" s="73"/>
      <c r="DL1451" s="73"/>
      <c r="DM1451" s="73"/>
    </row>
    <row r="1452" spans="1:117" s="48" customFormat="1">
      <c r="A1452" s="73"/>
      <c r="T1452" s="73"/>
      <c r="U1452" s="73"/>
      <c r="V1452" s="73"/>
      <c r="W1452" s="73"/>
      <c r="X1452" s="73"/>
      <c r="Y1452" s="73"/>
      <c r="Z1452" s="73"/>
      <c r="AA1452" s="73"/>
      <c r="AB1452" s="73"/>
      <c r="AC1452" s="73"/>
      <c r="AD1452" s="73"/>
      <c r="AE1452" s="73"/>
      <c r="AF1452" s="73"/>
      <c r="AG1452" s="73"/>
      <c r="AH1452" s="73"/>
      <c r="AI1452" s="73"/>
      <c r="AJ1452" s="73"/>
      <c r="AK1452" s="73"/>
      <c r="AL1452" s="73"/>
      <c r="AM1452" s="73"/>
      <c r="AN1452" s="73"/>
      <c r="AO1452" s="73"/>
      <c r="AP1452" s="73"/>
      <c r="AQ1452" s="73"/>
      <c r="AR1452" s="73"/>
      <c r="AS1452" s="73"/>
      <c r="AT1452" s="73"/>
      <c r="AU1452" s="73"/>
      <c r="AV1452" s="73"/>
      <c r="AW1452" s="73"/>
      <c r="AX1452" s="73"/>
      <c r="AY1452" s="73"/>
      <c r="AZ1452" s="73"/>
      <c r="BA1452" s="73"/>
      <c r="BB1452" s="73"/>
      <c r="BC1452" s="73"/>
      <c r="BD1452" s="73"/>
      <c r="BE1452" s="73"/>
      <c r="BF1452" s="73"/>
      <c r="BG1452" s="73"/>
      <c r="BH1452" s="73"/>
      <c r="BI1452" s="73"/>
      <c r="BJ1452" s="73"/>
      <c r="BK1452" s="73"/>
      <c r="BL1452" s="73"/>
      <c r="BM1452" s="73"/>
      <c r="BN1452" s="73"/>
      <c r="BO1452" s="73"/>
      <c r="BP1452" s="73"/>
      <c r="BQ1452" s="73"/>
      <c r="BR1452" s="73"/>
      <c r="BS1452" s="73"/>
      <c r="BT1452" s="73"/>
      <c r="BU1452" s="73"/>
      <c r="BV1452" s="73"/>
      <c r="BW1452" s="73"/>
      <c r="BX1452" s="73"/>
      <c r="BY1452" s="73"/>
      <c r="BZ1452" s="73"/>
      <c r="CA1452" s="73"/>
      <c r="CB1452" s="73"/>
      <c r="CC1452" s="73"/>
      <c r="CD1452" s="73"/>
      <c r="CE1452" s="73"/>
      <c r="CF1452" s="73"/>
      <c r="CG1452" s="73"/>
      <c r="CH1452" s="73"/>
      <c r="CI1452" s="73"/>
      <c r="CJ1452" s="73"/>
      <c r="CK1452" s="73"/>
      <c r="CL1452" s="73"/>
      <c r="CM1452" s="73"/>
      <c r="CN1452" s="73"/>
      <c r="CO1452" s="73"/>
      <c r="CP1452" s="73"/>
      <c r="CQ1452" s="73"/>
      <c r="CR1452" s="73"/>
      <c r="CS1452" s="73"/>
      <c r="CT1452" s="73"/>
      <c r="CU1452" s="73"/>
      <c r="CV1452" s="73"/>
      <c r="CW1452" s="73"/>
      <c r="CX1452" s="73"/>
      <c r="CY1452" s="73"/>
      <c r="CZ1452" s="73"/>
      <c r="DA1452" s="73"/>
      <c r="DB1452" s="73"/>
      <c r="DC1452" s="73"/>
      <c r="DD1452" s="73"/>
      <c r="DE1452" s="73"/>
      <c r="DF1452" s="73"/>
      <c r="DG1452" s="73"/>
      <c r="DH1452" s="73"/>
      <c r="DI1452" s="73"/>
      <c r="DJ1452" s="73"/>
      <c r="DK1452" s="73"/>
      <c r="DL1452" s="73"/>
      <c r="DM1452" s="73"/>
    </row>
    <row r="1453" spans="1:117" s="48" customFormat="1">
      <c r="A1453" s="73"/>
      <c r="T1453" s="73"/>
      <c r="U1453" s="73"/>
      <c r="V1453" s="73"/>
      <c r="W1453" s="73"/>
      <c r="X1453" s="73"/>
      <c r="Y1453" s="73"/>
      <c r="Z1453" s="73"/>
      <c r="AA1453" s="73"/>
      <c r="AB1453" s="73"/>
      <c r="AC1453" s="73"/>
      <c r="AD1453" s="73"/>
      <c r="AE1453" s="73"/>
      <c r="AF1453" s="73"/>
      <c r="AG1453" s="73"/>
      <c r="AH1453" s="73"/>
      <c r="AI1453" s="73"/>
      <c r="AJ1453" s="73"/>
      <c r="AK1453" s="73"/>
      <c r="AL1453" s="73"/>
      <c r="AM1453" s="73"/>
      <c r="AN1453" s="73"/>
      <c r="AO1453" s="73"/>
      <c r="AP1453" s="73"/>
      <c r="AQ1453" s="73"/>
      <c r="AR1453" s="73"/>
      <c r="AS1453" s="73"/>
      <c r="AT1453" s="73"/>
      <c r="AU1453" s="73"/>
      <c r="AV1453" s="73"/>
      <c r="AW1453" s="73"/>
      <c r="AX1453" s="73"/>
      <c r="AY1453" s="73"/>
      <c r="AZ1453" s="73"/>
      <c r="BA1453" s="73"/>
      <c r="BB1453" s="73"/>
      <c r="BC1453" s="73"/>
      <c r="BD1453" s="73"/>
      <c r="BE1453" s="73"/>
      <c r="BF1453" s="73"/>
      <c r="BG1453" s="73"/>
      <c r="BH1453" s="73"/>
      <c r="BI1453" s="73"/>
      <c r="BJ1453" s="73"/>
      <c r="BK1453" s="73"/>
      <c r="BL1453" s="73"/>
      <c r="BM1453" s="73"/>
      <c r="BN1453" s="73"/>
      <c r="BO1453" s="73"/>
      <c r="BP1453" s="73"/>
      <c r="BQ1453" s="73"/>
      <c r="BR1453" s="73"/>
      <c r="BS1453" s="73"/>
      <c r="BT1453" s="73"/>
      <c r="BU1453" s="73"/>
      <c r="BV1453" s="73"/>
      <c r="BW1453" s="73"/>
      <c r="BX1453" s="73"/>
      <c r="BY1453" s="73"/>
      <c r="BZ1453" s="73"/>
      <c r="CA1453" s="73"/>
      <c r="CB1453" s="73"/>
      <c r="CC1453" s="73"/>
      <c r="CD1453" s="73"/>
      <c r="CE1453" s="73"/>
      <c r="CF1453" s="73"/>
      <c r="CG1453" s="73"/>
      <c r="CH1453" s="73"/>
      <c r="CI1453" s="73"/>
      <c r="CJ1453" s="73"/>
      <c r="CK1453" s="73"/>
      <c r="CL1453" s="73"/>
      <c r="CM1453" s="73"/>
      <c r="CN1453" s="73"/>
      <c r="CO1453" s="73"/>
      <c r="CP1453" s="73"/>
      <c r="CQ1453" s="73"/>
      <c r="CR1453" s="73"/>
      <c r="CS1453" s="73"/>
      <c r="CT1453" s="73"/>
      <c r="CU1453" s="73"/>
      <c r="CV1453" s="73"/>
      <c r="CW1453" s="73"/>
      <c r="CX1453" s="73"/>
      <c r="CY1453" s="73"/>
      <c r="CZ1453" s="73"/>
      <c r="DA1453" s="73"/>
      <c r="DB1453" s="73"/>
      <c r="DC1453" s="73"/>
      <c r="DD1453" s="73"/>
      <c r="DE1453" s="73"/>
      <c r="DF1453" s="73"/>
      <c r="DG1453" s="73"/>
      <c r="DH1453" s="73"/>
      <c r="DI1453" s="73"/>
      <c r="DJ1453" s="73"/>
      <c r="DK1453" s="73"/>
      <c r="DL1453" s="73"/>
      <c r="DM1453" s="73"/>
    </row>
    <row r="1454" spans="1:117" s="48" customFormat="1">
      <c r="A1454" s="73"/>
      <c r="T1454" s="73"/>
      <c r="U1454" s="73"/>
      <c r="V1454" s="73"/>
      <c r="W1454" s="73"/>
      <c r="X1454" s="73"/>
      <c r="Y1454" s="73"/>
      <c r="Z1454" s="73"/>
      <c r="AA1454" s="73"/>
      <c r="AB1454" s="73"/>
      <c r="AC1454" s="73"/>
      <c r="AD1454" s="73"/>
      <c r="AE1454" s="73"/>
      <c r="AF1454" s="73"/>
      <c r="AG1454" s="73"/>
      <c r="AH1454" s="73"/>
      <c r="AI1454" s="73"/>
      <c r="AJ1454" s="73"/>
      <c r="AK1454" s="73"/>
      <c r="AL1454" s="73"/>
      <c r="AM1454" s="73"/>
      <c r="AN1454" s="73"/>
      <c r="AO1454" s="73"/>
      <c r="AP1454" s="73"/>
      <c r="AQ1454" s="73"/>
      <c r="AR1454" s="73"/>
      <c r="AS1454" s="73"/>
      <c r="AT1454" s="73"/>
      <c r="AU1454" s="73"/>
      <c r="AV1454" s="73"/>
      <c r="AW1454" s="73"/>
      <c r="AX1454" s="73"/>
      <c r="AY1454" s="73"/>
      <c r="AZ1454" s="73"/>
      <c r="BA1454" s="73"/>
      <c r="BB1454" s="73"/>
      <c r="BC1454" s="73"/>
      <c r="BD1454" s="73"/>
      <c r="BE1454" s="73"/>
      <c r="BF1454" s="73"/>
      <c r="BG1454" s="73"/>
      <c r="BH1454" s="73"/>
      <c r="BI1454" s="73"/>
      <c r="BJ1454" s="73"/>
      <c r="BK1454" s="73"/>
      <c r="BL1454" s="73"/>
      <c r="BM1454" s="73"/>
      <c r="BN1454" s="73"/>
      <c r="BO1454" s="73"/>
      <c r="BP1454" s="73"/>
      <c r="BQ1454" s="73"/>
      <c r="BR1454" s="73"/>
      <c r="BS1454" s="73"/>
      <c r="BT1454" s="73"/>
      <c r="BU1454" s="73"/>
      <c r="BV1454" s="73"/>
      <c r="BW1454" s="73"/>
      <c r="BX1454" s="73"/>
      <c r="BY1454" s="73"/>
      <c r="BZ1454" s="73"/>
      <c r="CA1454" s="73"/>
      <c r="CB1454" s="73"/>
      <c r="CC1454" s="73"/>
      <c r="CD1454" s="73"/>
      <c r="CE1454" s="73"/>
      <c r="CF1454" s="73"/>
      <c r="CG1454" s="73"/>
      <c r="CH1454" s="73"/>
      <c r="CI1454" s="73"/>
      <c r="CJ1454" s="73"/>
      <c r="CK1454" s="73"/>
      <c r="CL1454" s="73"/>
      <c r="CM1454" s="73"/>
      <c r="CN1454" s="73"/>
      <c r="CO1454" s="73"/>
      <c r="CP1454" s="73"/>
      <c r="CQ1454" s="73"/>
      <c r="CR1454" s="73"/>
      <c r="CS1454" s="73"/>
      <c r="CT1454" s="73"/>
      <c r="CU1454" s="73"/>
      <c r="CV1454" s="73"/>
      <c r="CW1454" s="73"/>
      <c r="CX1454" s="73"/>
      <c r="CY1454" s="73"/>
      <c r="CZ1454" s="73"/>
      <c r="DA1454" s="73"/>
      <c r="DB1454" s="73"/>
      <c r="DC1454" s="73"/>
      <c r="DD1454" s="73"/>
      <c r="DE1454" s="73"/>
      <c r="DF1454" s="73"/>
      <c r="DG1454" s="73"/>
      <c r="DH1454" s="73"/>
      <c r="DI1454" s="73"/>
      <c r="DJ1454" s="73"/>
      <c r="DK1454" s="73"/>
      <c r="DL1454" s="73"/>
      <c r="DM1454" s="73"/>
    </row>
    <row r="1455" spans="1:117" s="48" customFormat="1">
      <c r="A1455" s="73"/>
      <c r="T1455" s="73"/>
      <c r="U1455" s="73"/>
      <c r="V1455" s="73"/>
      <c r="W1455" s="73"/>
      <c r="X1455" s="73"/>
      <c r="Y1455" s="73"/>
      <c r="Z1455" s="73"/>
      <c r="AA1455" s="73"/>
      <c r="AB1455" s="73"/>
      <c r="AC1455" s="73"/>
      <c r="AD1455" s="73"/>
      <c r="AE1455" s="73"/>
      <c r="AF1455" s="73"/>
      <c r="AG1455" s="73"/>
      <c r="AH1455" s="73"/>
      <c r="AI1455" s="73"/>
      <c r="AJ1455" s="73"/>
      <c r="AK1455" s="73"/>
      <c r="AL1455" s="73"/>
      <c r="AM1455" s="73"/>
      <c r="AN1455" s="73"/>
      <c r="AO1455" s="73"/>
      <c r="AP1455" s="73"/>
      <c r="AQ1455" s="73"/>
      <c r="AR1455" s="73"/>
      <c r="AS1455" s="73"/>
      <c r="AT1455" s="73"/>
      <c r="AU1455" s="73"/>
      <c r="AV1455" s="73"/>
      <c r="AW1455" s="73"/>
      <c r="AX1455" s="73"/>
      <c r="AY1455" s="73"/>
      <c r="AZ1455" s="73"/>
      <c r="BA1455" s="73"/>
      <c r="BB1455" s="73"/>
      <c r="BC1455" s="73"/>
      <c r="BD1455" s="73"/>
      <c r="BE1455" s="73"/>
      <c r="BF1455" s="73"/>
      <c r="BG1455" s="73"/>
      <c r="BH1455" s="73"/>
      <c r="BI1455" s="73"/>
      <c r="BJ1455" s="73"/>
      <c r="BK1455" s="73"/>
      <c r="BL1455" s="73"/>
      <c r="BM1455" s="73"/>
      <c r="BN1455" s="73"/>
      <c r="BO1455" s="73"/>
      <c r="BP1455" s="73"/>
      <c r="BQ1455" s="73"/>
      <c r="BR1455" s="73"/>
      <c r="BS1455" s="73"/>
      <c r="BT1455" s="73"/>
      <c r="BU1455" s="73"/>
      <c r="BV1455" s="73"/>
      <c r="BW1455" s="73"/>
      <c r="BX1455" s="73"/>
      <c r="BY1455" s="73"/>
      <c r="BZ1455" s="73"/>
      <c r="CA1455" s="73"/>
      <c r="CB1455" s="73"/>
      <c r="CC1455" s="73"/>
      <c r="CD1455" s="73"/>
      <c r="CE1455" s="73"/>
      <c r="CF1455" s="73"/>
      <c r="CG1455" s="73"/>
      <c r="CH1455" s="73"/>
      <c r="CI1455" s="73"/>
      <c r="CJ1455" s="73"/>
      <c r="CK1455" s="73"/>
      <c r="CL1455" s="73"/>
      <c r="CM1455" s="73"/>
      <c r="CN1455" s="73"/>
      <c r="CO1455" s="73"/>
      <c r="CP1455" s="73"/>
      <c r="CQ1455" s="73"/>
      <c r="CR1455" s="73"/>
      <c r="CS1455" s="73"/>
      <c r="CT1455" s="73"/>
      <c r="CU1455" s="73"/>
      <c r="CV1455" s="73"/>
      <c r="CW1455" s="73"/>
      <c r="CX1455" s="73"/>
      <c r="CY1455" s="73"/>
      <c r="CZ1455" s="73"/>
      <c r="DA1455" s="73"/>
      <c r="DB1455" s="73"/>
      <c r="DC1455" s="73"/>
      <c r="DD1455" s="73"/>
      <c r="DE1455" s="73"/>
      <c r="DF1455" s="73"/>
      <c r="DG1455" s="73"/>
      <c r="DH1455" s="73"/>
      <c r="DI1455" s="73"/>
      <c r="DJ1455" s="73"/>
      <c r="DK1455" s="73"/>
      <c r="DL1455" s="73"/>
      <c r="DM1455" s="73"/>
    </row>
    <row r="1456" spans="1:117" s="48" customFormat="1">
      <c r="A1456" s="73"/>
      <c r="T1456" s="73"/>
      <c r="U1456" s="73"/>
      <c r="V1456" s="73"/>
      <c r="W1456" s="73"/>
      <c r="X1456" s="73"/>
      <c r="Y1456" s="73"/>
      <c r="Z1456" s="73"/>
      <c r="AA1456" s="73"/>
      <c r="AB1456" s="73"/>
      <c r="AC1456" s="73"/>
      <c r="AD1456" s="73"/>
      <c r="AE1456" s="73"/>
      <c r="AF1456" s="73"/>
      <c r="AG1456" s="73"/>
      <c r="AH1456" s="73"/>
      <c r="AI1456" s="73"/>
      <c r="AJ1456" s="73"/>
      <c r="AK1456" s="73"/>
      <c r="AL1456" s="73"/>
      <c r="AM1456" s="73"/>
      <c r="AN1456" s="73"/>
      <c r="AO1456" s="73"/>
      <c r="AP1456" s="73"/>
      <c r="AQ1456" s="73"/>
      <c r="AR1456" s="73"/>
      <c r="AS1456" s="73"/>
      <c r="AT1456" s="73"/>
      <c r="AU1456" s="73"/>
      <c r="AV1456" s="73"/>
      <c r="AW1456" s="73"/>
      <c r="AX1456" s="73"/>
      <c r="AY1456" s="73"/>
      <c r="AZ1456" s="73"/>
      <c r="BA1456" s="73"/>
      <c r="BB1456" s="73"/>
      <c r="BC1456" s="73"/>
      <c r="BD1456" s="73"/>
      <c r="BE1456" s="73"/>
      <c r="BF1456" s="73"/>
      <c r="BG1456" s="73"/>
      <c r="BH1456" s="73"/>
      <c r="BI1456" s="73"/>
      <c r="BJ1456" s="73"/>
      <c r="BK1456" s="73"/>
      <c r="BL1456" s="73"/>
      <c r="BM1456" s="73"/>
      <c r="BN1456" s="73"/>
      <c r="BO1456" s="73"/>
      <c r="BP1456" s="73"/>
      <c r="BQ1456" s="73"/>
      <c r="BR1456" s="73"/>
      <c r="BS1456" s="73"/>
      <c r="BT1456" s="73"/>
      <c r="BU1456" s="73"/>
      <c r="BV1456" s="73"/>
      <c r="BW1456" s="73"/>
      <c r="BX1456" s="73"/>
      <c r="BY1456" s="73"/>
      <c r="BZ1456" s="73"/>
      <c r="CA1456" s="73"/>
      <c r="CB1456" s="73"/>
      <c r="CC1456" s="73"/>
      <c r="CD1456" s="73"/>
      <c r="CE1456" s="73"/>
      <c r="CF1456" s="73"/>
      <c r="CG1456" s="73"/>
      <c r="CH1456" s="73"/>
      <c r="CI1456" s="73"/>
      <c r="CJ1456" s="73"/>
      <c r="CK1456" s="73"/>
      <c r="CL1456" s="73"/>
      <c r="CM1456" s="73"/>
      <c r="CN1456" s="73"/>
      <c r="CO1456" s="73"/>
      <c r="CP1456" s="73"/>
      <c r="CQ1456" s="73"/>
      <c r="CR1456" s="73"/>
      <c r="CS1456" s="73"/>
      <c r="CT1456" s="73"/>
      <c r="CU1456" s="73"/>
      <c r="CV1456" s="73"/>
      <c r="CW1456" s="73"/>
      <c r="CX1456" s="73"/>
      <c r="CY1456" s="73"/>
      <c r="CZ1456" s="73"/>
      <c r="DA1456" s="73"/>
      <c r="DB1456" s="73"/>
      <c r="DC1456" s="73"/>
      <c r="DD1456" s="73"/>
      <c r="DE1456" s="73"/>
      <c r="DF1456" s="73"/>
      <c r="DG1456" s="73"/>
      <c r="DH1456" s="73"/>
      <c r="DI1456" s="73"/>
      <c r="DJ1456" s="73"/>
      <c r="DK1456" s="73"/>
      <c r="DL1456" s="73"/>
      <c r="DM1456" s="73"/>
    </row>
    <row r="1457" spans="1:117" s="48" customFormat="1">
      <c r="A1457" s="73"/>
      <c r="T1457" s="73"/>
      <c r="U1457" s="73"/>
      <c r="V1457" s="73"/>
      <c r="W1457" s="73"/>
      <c r="X1457" s="73"/>
      <c r="Y1457" s="73"/>
      <c r="Z1457" s="73"/>
      <c r="AA1457" s="73"/>
      <c r="AB1457" s="73"/>
      <c r="AC1457" s="73"/>
      <c r="AD1457" s="73"/>
      <c r="AE1457" s="73"/>
      <c r="AF1457" s="73"/>
      <c r="AG1457" s="73"/>
      <c r="AH1457" s="73"/>
      <c r="AI1457" s="73"/>
      <c r="AJ1457" s="73"/>
      <c r="AK1457" s="73"/>
      <c r="AL1457" s="73"/>
      <c r="AM1457" s="73"/>
      <c r="AN1457" s="73"/>
      <c r="AO1457" s="73"/>
      <c r="AP1457" s="73"/>
      <c r="AQ1457" s="73"/>
      <c r="AR1457" s="73"/>
      <c r="AS1457" s="73"/>
      <c r="AT1457" s="73"/>
      <c r="AU1457" s="73"/>
      <c r="AV1457" s="73"/>
      <c r="AW1457" s="73"/>
      <c r="AX1457" s="73"/>
      <c r="AY1457" s="73"/>
      <c r="AZ1457" s="73"/>
      <c r="BA1457" s="73"/>
      <c r="BB1457" s="73"/>
      <c r="BC1457" s="73"/>
      <c r="BD1457" s="73"/>
      <c r="BE1457" s="73"/>
      <c r="BF1457" s="73"/>
      <c r="BG1457" s="73"/>
      <c r="BH1457" s="73"/>
      <c r="BI1457" s="73"/>
      <c r="BJ1457" s="73"/>
      <c r="BK1457" s="73"/>
      <c r="BL1457" s="73"/>
      <c r="BM1457" s="73"/>
      <c r="BN1457" s="73"/>
      <c r="BO1457" s="73"/>
      <c r="BP1457" s="73"/>
      <c r="BQ1457" s="73"/>
      <c r="BR1457" s="73"/>
      <c r="BS1457" s="73"/>
      <c r="BT1457" s="73"/>
      <c r="BU1457" s="73"/>
      <c r="BV1457" s="73"/>
      <c r="BW1457" s="73"/>
      <c r="BX1457" s="73"/>
      <c r="BY1457" s="73"/>
      <c r="BZ1457" s="73"/>
      <c r="CA1457" s="73"/>
      <c r="CB1457" s="73"/>
      <c r="CC1457" s="73"/>
      <c r="CD1457" s="73"/>
      <c r="CE1457" s="73"/>
      <c r="CF1457" s="73"/>
      <c r="CG1457" s="73"/>
      <c r="CH1457" s="73"/>
      <c r="CI1457" s="73"/>
      <c r="CJ1457" s="73"/>
      <c r="CK1457" s="73"/>
      <c r="CL1457" s="73"/>
      <c r="CM1457" s="73"/>
      <c r="CN1457" s="73"/>
      <c r="CO1457" s="73"/>
      <c r="CP1457" s="73"/>
      <c r="CQ1457" s="73"/>
      <c r="CR1457" s="73"/>
      <c r="CS1457" s="73"/>
      <c r="CT1457" s="73"/>
      <c r="CU1457" s="73"/>
      <c r="CV1457" s="73"/>
      <c r="CW1457" s="73"/>
      <c r="CX1457" s="73"/>
      <c r="CY1457" s="73"/>
      <c r="CZ1457" s="73"/>
      <c r="DA1457" s="73"/>
      <c r="DB1457" s="73"/>
      <c r="DC1457" s="73"/>
      <c r="DD1457" s="73"/>
      <c r="DE1457" s="73"/>
      <c r="DF1457" s="73"/>
      <c r="DG1457" s="73"/>
      <c r="DH1457" s="73"/>
      <c r="DI1457" s="73"/>
      <c r="DJ1457" s="73"/>
      <c r="DK1457" s="73"/>
      <c r="DL1457" s="73"/>
      <c r="DM1457" s="73"/>
    </row>
    <row r="1458" spans="1:117" s="48" customFormat="1">
      <c r="A1458" s="73"/>
      <c r="T1458" s="73"/>
      <c r="U1458" s="73"/>
      <c r="V1458" s="73"/>
      <c r="W1458" s="73"/>
      <c r="X1458" s="73"/>
      <c r="Y1458" s="73"/>
      <c r="Z1458" s="73"/>
      <c r="AA1458" s="73"/>
      <c r="AB1458" s="73"/>
      <c r="AC1458" s="73"/>
      <c r="AD1458" s="73"/>
      <c r="AE1458" s="73"/>
      <c r="AF1458" s="73"/>
      <c r="AG1458" s="73"/>
      <c r="AH1458" s="73"/>
      <c r="AI1458" s="73"/>
      <c r="AJ1458" s="73"/>
      <c r="AK1458" s="73"/>
      <c r="AL1458" s="73"/>
      <c r="AM1458" s="73"/>
      <c r="AN1458" s="73"/>
      <c r="AO1458" s="73"/>
      <c r="AP1458" s="73"/>
      <c r="AQ1458" s="73"/>
      <c r="AR1458" s="73"/>
      <c r="AS1458" s="73"/>
      <c r="AT1458" s="73"/>
      <c r="AU1458" s="73"/>
      <c r="AV1458" s="73"/>
      <c r="AW1458" s="73"/>
      <c r="AX1458" s="73"/>
      <c r="AY1458" s="73"/>
      <c r="AZ1458" s="73"/>
      <c r="BA1458" s="73"/>
      <c r="BB1458" s="73"/>
      <c r="BC1458" s="73"/>
      <c r="BD1458" s="73"/>
      <c r="BE1458" s="73"/>
      <c r="BF1458" s="73"/>
      <c r="BG1458" s="73"/>
      <c r="BH1458" s="73"/>
      <c r="BI1458" s="73"/>
      <c r="BJ1458" s="73"/>
      <c r="BK1458" s="73"/>
      <c r="BL1458" s="73"/>
      <c r="BM1458" s="73"/>
      <c r="BN1458" s="73"/>
      <c r="BO1458" s="73"/>
      <c r="BP1458" s="73"/>
      <c r="BQ1458" s="73"/>
      <c r="BR1458" s="73"/>
      <c r="BS1458" s="73"/>
      <c r="BT1458" s="73"/>
      <c r="BU1458" s="73"/>
      <c r="BV1458" s="73"/>
      <c r="BW1458" s="73"/>
      <c r="BX1458" s="73"/>
      <c r="BY1458" s="73"/>
      <c r="BZ1458" s="73"/>
      <c r="CA1458" s="73"/>
      <c r="CB1458" s="73"/>
      <c r="CC1458" s="73"/>
      <c r="CD1458" s="73"/>
      <c r="CE1458" s="73"/>
      <c r="CF1458" s="73"/>
      <c r="CG1458" s="73"/>
      <c r="CH1458" s="73"/>
      <c r="CI1458" s="73"/>
      <c r="CJ1458" s="73"/>
      <c r="CK1458" s="73"/>
      <c r="CL1458" s="73"/>
      <c r="CM1458" s="73"/>
      <c r="CN1458" s="73"/>
      <c r="CO1458" s="73"/>
      <c r="CP1458" s="73"/>
      <c r="CQ1458" s="73"/>
      <c r="CR1458" s="73"/>
      <c r="CS1458" s="73"/>
      <c r="CT1458" s="73"/>
      <c r="CU1458" s="73"/>
      <c r="CV1458" s="73"/>
      <c r="CW1458" s="73"/>
      <c r="CX1458" s="73"/>
      <c r="CY1458" s="73"/>
      <c r="CZ1458" s="73"/>
      <c r="DA1458" s="73"/>
      <c r="DB1458" s="73"/>
      <c r="DC1458" s="73"/>
      <c r="DD1458" s="73"/>
      <c r="DE1458" s="73"/>
      <c r="DF1458" s="73"/>
      <c r="DG1458" s="73"/>
      <c r="DH1458" s="73"/>
      <c r="DI1458" s="73"/>
      <c r="DJ1458" s="73"/>
      <c r="DK1458" s="73"/>
      <c r="DL1458" s="73"/>
      <c r="DM1458" s="73"/>
    </row>
    <row r="1459" spans="1:117" s="48" customFormat="1">
      <c r="A1459" s="73"/>
      <c r="T1459" s="73"/>
      <c r="U1459" s="73"/>
      <c r="V1459" s="73"/>
      <c r="W1459" s="73"/>
      <c r="X1459" s="73"/>
      <c r="Y1459" s="73"/>
      <c r="Z1459" s="73"/>
      <c r="AA1459" s="73"/>
      <c r="AB1459" s="73"/>
      <c r="AC1459" s="73"/>
      <c r="AD1459" s="73"/>
      <c r="AE1459" s="73"/>
      <c r="AF1459" s="73"/>
      <c r="AG1459" s="73"/>
      <c r="AH1459" s="73"/>
      <c r="AI1459" s="73"/>
      <c r="AJ1459" s="73"/>
      <c r="AK1459" s="73"/>
      <c r="AL1459" s="73"/>
      <c r="AM1459" s="73"/>
      <c r="AN1459" s="73"/>
      <c r="AO1459" s="73"/>
      <c r="AP1459" s="73"/>
      <c r="AQ1459" s="73"/>
      <c r="AR1459" s="73"/>
      <c r="AS1459" s="73"/>
      <c r="AT1459" s="73"/>
      <c r="AU1459" s="73"/>
      <c r="AV1459" s="73"/>
      <c r="AW1459" s="73"/>
      <c r="AX1459" s="73"/>
      <c r="AY1459" s="73"/>
      <c r="AZ1459" s="73"/>
      <c r="BA1459" s="73"/>
      <c r="BB1459" s="73"/>
      <c r="BC1459" s="73"/>
      <c r="BD1459" s="73"/>
      <c r="BE1459" s="73"/>
      <c r="BF1459" s="73"/>
      <c r="BG1459" s="73"/>
      <c r="BH1459" s="73"/>
      <c r="BI1459" s="73"/>
      <c r="BJ1459" s="73"/>
      <c r="BK1459" s="73"/>
      <c r="BL1459" s="73"/>
      <c r="BM1459" s="73"/>
      <c r="BN1459" s="73"/>
      <c r="BO1459" s="73"/>
      <c r="BP1459" s="73"/>
      <c r="BQ1459" s="73"/>
      <c r="BR1459" s="73"/>
      <c r="BS1459" s="73"/>
      <c r="BT1459" s="73"/>
      <c r="BU1459" s="73"/>
      <c r="BV1459" s="73"/>
      <c r="BW1459" s="73"/>
      <c r="BX1459" s="73"/>
      <c r="BY1459" s="73"/>
      <c r="BZ1459" s="73"/>
      <c r="CA1459" s="73"/>
      <c r="CB1459" s="73"/>
      <c r="CC1459" s="73"/>
      <c r="CD1459" s="73"/>
      <c r="CE1459" s="73"/>
      <c r="CF1459" s="73"/>
      <c r="CG1459" s="73"/>
      <c r="CH1459" s="73"/>
      <c r="CI1459" s="73"/>
      <c r="CJ1459" s="73"/>
      <c r="CK1459" s="73"/>
      <c r="CL1459" s="73"/>
      <c r="CM1459" s="73"/>
      <c r="CN1459" s="73"/>
      <c r="CO1459" s="73"/>
      <c r="CP1459" s="73"/>
      <c r="CQ1459" s="73"/>
      <c r="CR1459" s="73"/>
      <c r="CS1459" s="73"/>
      <c r="CT1459" s="73"/>
      <c r="CU1459" s="73"/>
      <c r="CV1459" s="73"/>
      <c r="CW1459" s="73"/>
      <c r="CX1459" s="73"/>
      <c r="CY1459" s="73"/>
      <c r="CZ1459" s="73"/>
      <c r="DA1459" s="73"/>
      <c r="DB1459" s="73"/>
      <c r="DC1459" s="73"/>
      <c r="DD1459" s="73"/>
      <c r="DE1459" s="73"/>
      <c r="DF1459" s="73"/>
      <c r="DG1459" s="73"/>
      <c r="DH1459" s="73"/>
      <c r="DI1459" s="73"/>
      <c r="DJ1459" s="73"/>
      <c r="DK1459" s="73"/>
      <c r="DL1459" s="73"/>
      <c r="DM1459" s="73"/>
    </row>
    <row r="1460" spans="1:117" s="48" customFormat="1">
      <c r="A1460" s="73"/>
      <c r="T1460" s="73"/>
      <c r="U1460" s="73"/>
      <c r="V1460" s="73"/>
      <c r="W1460" s="73"/>
      <c r="X1460" s="73"/>
      <c r="Y1460" s="73"/>
      <c r="Z1460" s="73"/>
      <c r="AA1460" s="73"/>
      <c r="AB1460" s="73"/>
      <c r="AC1460" s="73"/>
      <c r="AD1460" s="73"/>
      <c r="AE1460" s="73"/>
      <c r="AF1460" s="73"/>
      <c r="AG1460" s="73"/>
      <c r="AH1460" s="73"/>
      <c r="AI1460" s="73"/>
      <c r="AJ1460" s="73"/>
      <c r="AK1460" s="73"/>
      <c r="AL1460" s="73"/>
      <c r="AM1460" s="73"/>
      <c r="AN1460" s="73"/>
      <c r="AO1460" s="73"/>
      <c r="AP1460" s="73"/>
      <c r="AQ1460" s="73"/>
      <c r="AR1460" s="73"/>
      <c r="AS1460" s="73"/>
      <c r="AT1460" s="73"/>
      <c r="AU1460" s="73"/>
      <c r="AV1460" s="73"/>
      <c r="AW1460" s="73"/>
      <c r="AX1460" s="73"/>
      <c r="AY1460" s="73"/>
      <c r="AZ1460" s="73"/>
      <c r="BA1460" s="73"/>
      <c r="BB1460" s="73"/>
      <c r="BC1460" s="73"/>
      <c r="BD1460" s="73"/>
      <c r="BE1460" s="73"/>
      <c r="BF1460" s="73"/>
      <c r="BG1460" s="73"/>
      <c r="BH1460" s="73"/>
      <c r="BI1460" s="73"/>
      <c r="BJ1460" s="73"/>
      <c r="BK1460" s="73"/>
      <c r="BL1460" s="73"/>
      <c r="BM1460" s="73"/>
      <c r="BN1460" s="73"/>
      <c r="BO1460" s="73"/>
      <c r="BP1460" s="73"/>
      <c r="BQ1460" s="73"/>
      <c r="BR1460" s="73"/>
      <c r="BS1460" s="73"/>
      <c r="BT1460" s="73"/>
      <c r="BU1460" s="73"/>
      <c r="BV1460" s="73"/>
      <c r="BW1460" s="73"/>
      <c r="BX1460" s="73"/>
      <c r="BY1460" s="73"/>
      <c r="BZ1460" s="73"/>
      <c r="CA1460" s="73"/>
      <c r="CB1460" s="73"/>
      <c r="CC1460" s="73"/>
      <c r="CD1460" s="73"/>
      <c r="CE1460" s="73"/>
      <c r="CF1460" s="73"/>
      <c r="CG1460" s="73"/>
      <c r="CH1460" s="73"/>
      <c r="CI1460" s="73"/>
      <c r="CJ1460" s="73"/>
      <c r="CK1460" s="73"/>
      <c r="CL1460" s="73"/>
      <c r="CM1460" s="73"/>
      <c r="CN1460" s="73"/>
      <c r="CO1460" s="73"/>
      <c r="CP1460" s="73"/>
      <c r="CQ1460" s="73"/>
      <c r="CR1460" s="73"/>
      <c r="CS1460" s="73"/>
      <c r="CT1460" s="73"/>
      <c r="CU1460" s="73"/>
      <c r="CV1460" s="73"/>
      <c r="CW1460" s="73"/>
      <c r="CX1460" s="73"/>
      <c r="CY1460" s="73"/>
      <c r="CZ1460" s="73"/>
      <c r="DA1460" s="73"/>
      <c r="DB1460" s="73"/>
      <c r="DC1460" s="73"/>
      <c r="DD1460" s="73"/>
      <c r="DE1460" s="73"/>
      <c r="DF1460" s="73"/>
      <c r="DG1460" s="73"/>
      <c r="DH1460" s="73"/>
      <c r="DI1460" s="73"/>
      <c r="DJ1460" s="73"/>
      <c r="DK1460" s="73"/>
      <c r="DL1460" s="73"/>
      <c r="DM1460" s="73"/>
    </row>
    <row r="1461" spans="1:117" s="48" customFormat="1">
      <c r="A1461" s="73"/>
      <c r="T1461" s="73"/>
      <c r="U1461" s="73"/>
      <c r="V1461" s="73"/>
      <c r="W1461" s="73"/>
      <c r="X1461" s="73"/>
      <c r="Y1461" s="73"/>
      <c r="Z1461" s="73"/>
      <c r="AA1461" s="73"/>
      <c r="AB1461" s="73"/>
      <c r="AC1461" s="73"/>
      <c r="AD1461" s="73"/>
      <c r="AE1461" s="73"/>
      <c r="AF1461" s="73"/>
      <c r="AG1461" s="73"/>
      <c r="AH1461" s="73"/>
      <c r="AI1461" s="73"/>
      <c r="AJ1461" s="73"/>
      <c r="AK1461" s="73"/>
      <c r="AL1461" s="73"/>
      <c r="AM1461" s="73"/>
      <c r="AN1461" s="73"/>
      <c r="AO1461" s="73"/>
      <c r="AP1461" s="73"/>
      <c r="AQ1461" s="73"/>
      <c r="AR1461" s="73"/>
      <c r="AS1461" s="73"/>
      <c r="AT1461" s="73"/>
      <c r="AU1461" s="73"/>
      <c r="AV1461" s="73"/>
      <c r="AW1461" s="73"/>
      <c r="AX1461" s="73"/>
      <c r="AY1461" s="73"/>
      <c r="AZ1461" s="73"/>
      <c r="BA1461" s="73"/>
      <c r="BB1461" s="73"/>
      <c r="BC1461" s="73"/>
      <c r="BD1461" s="73"/>
      <c r="BE1461" s="73"/>
      <c r="BF1461" s="73"/>
      <c r="BG1461" s="73"/>
      <c r="BH1461" s="73"/>
      <c r="BI1461" s="73"/>
      <c r="BJ1461" s="73"/>
      <c r="BK1461" s="73"/>
      <c r="BL1461" s="73"/>
      <c r="BM1461" s="73"/>
      <c r="BN1461" s="73"/>
      <c r="BO1461" s="73"/>
      <c r="BP1461" s="73"/>
      <c r="BQ1461" s="73"/>
      <c r="BR1461" s="73"/>
      <c r="BS1461" s="73"/>
      <c r="BT1461" s="73"/>
      <c r="BU1461" s="73"/>
      <c r="BV1461" s="73"/>
      <c r="BW1461" s="73"/>
      <c r="BX1461" s="73"/>
      <c r="BY1461" s="73"/>
      <c r="BZ1461" s="73"/>
      <c r="CA1461" s="73"/>
      <c r="CB1461" s="73"/>
      <c r="CC1461" s="73"/>
      <c r="CD1461" s="73"/>
      <c r="CE1461" s="73"/>
      <c r="CF1461" s="73"/>
      <c r="CG1461" s="73"/>
      <c r="CH1461" s="73"/>
      <c r="CI1461" s="73"/>
      <c r="CJ1461" s="73"/>
      <c r="CK1461" s="73"/>
      <c r="CL1461" s="73"/>
      <c r="CM1461" s="73"/>
      <c r="CN1461" s="73"/>
      <c r="CO1461" s="73"/>
      <c r="CP1461" s="73"/>
      <c r="CQ1461" s="73"/>
      <c r="CR1461" s="73"/>
      <c r="CS1461" s="73"/>
      <c r="CT1461" s="73"/>
      <c r="CU1461" s="73"/>
      <c r="CV1461" s="73"/>
      <c r="CW1461" s="73"/>
      <c r="CX1461" s="73"/>
      <c r="CY1461" s="73"/>
      <c r="CZ1461" s="73"/>
      <c r="DA1461" s="73"/>
      <c r="DB1461" s="73"/>
      <c r="DC1461" s="73"/>
      <c r="DD1461" s="73"/>
      <c r="DE1461" s="73"/>
      <c r="DF1461" s="73"/>
      <c r="DG1461" s="73"/>
      <c r="DH1461" s="73"/>
      <c r="DI1461" s="73"/>
      <c r="DJ1461" s="73"/>
      <c r="DK1461" s="73"/>
      <c r="DL1461" s="73"/>
      <c r="DM1461" s="73"/>
    </row>
    <row r="1462" spans="1:117" s="48" customFormat="1">
      <c r="A1462" s="73"/>
      <c r="T1462" s="73"/>
      <c r="U1462" s="73"/>
      <c r="V1462" s="73"/>
      <c r="W1462" s="73"/>
      <c r="X1462" s="73"/>
      <c r="Y1462" s="73"/>
      <c r="Z1462" s="73"/>
      <c r="AA1462" s="73"/>
      <c r="AB1462" s="73"/>
      <c r="AC1462" s="73"/>
      <c r="AD1462" s="73"/>
      <c r="AE1462" s="73"/>
      <c r="AF1462" s="73"/>
      <c r="AG1462" s="73"/>
      <c r="AH1462" s="73"/>
      <c r="AI1462" s="73"/>
      <c r="AJ1462" s="73"/>
      <c r="AK1462" s="73"/>
      <c r="AL1462" s="73"/>
      <c r="AM1462" s="73"/>
      <c r="AN1462" s="73"/>
      <c r="AO1462" s="73"/>
      <c r="AP1462" s="73"/>
      <c r="AQ1462" s="73"/>
      <c r="AR1462" s="73"/>
      <c r="AS1462" s="73"/>
      <c r="AT1462" s="73"/>
      <c r="AU1462" s="73"/>
      <c r="AV1462" s="73"/>
      <c r="AW1462" s="73"/>
      <c r="AX1462" s="73"/>
      <c r="AY1462" s="73"/>
      <c r="AZ1462" s="73"/>
      <c r="BA1462" s="73"/>
      <c r="BB1462" s="73"/>
      <c r="BC1462" s="73"/>
      <c r="BD1462" s="73"/>
      <c r="BE1462" s="73"/>
      <c r="BF1462" s="73"/>
      <c r="BG1462" s="73"/>
      <c r="BH1462" s="73"/>
      <c r="BI1462" s="73"/>
      <c r="BJ1462" s="73"/>
      <c r="BK1462" s="73"/>
      <c r="BL1462" s="73"/>
      <c r="BM1462" s="73"/>
      <c r="BN1462" s="73"/>
      <c r="BO1462" s="73"/>
      <c r="BP1462" s="73"/>
      <c r="BQ1462" s="73"/>
      <c r="BR1462" s="73"/>
      <c r="BS1462" s="73"/>
      <c r="BT1462" s="73"/>
      <c r="BU1462" s="73"/>
      <c r="BV1462" s="73"/>
      <c r="BW1462" s="73"/>
      <c r="BX1462" s="73"/>
      <c r="BY1462" s="73"/>
      <c r="BZ1462" s="73"/>
      <c r="CA1462" s="73"/>
      <c r="CB1462" s="73"/>
      <c r="CC1462" s="73"/>
      <c r="CD1462" s="73"/>
      <c r="CE1462" s="73"/>
      <c r="CF1462" s="73"/>
      <c r="CG1462" s="73"/>
      <c r="CH1462" s="73"/>
      <c r="CI1462" s="73"/>
      <c r="CJ1462" s="73"/>
      <c r="CK1462" s="73"/>
      <c r="CL1462" s="73"/>
      <c r="CM1462" s="73"/>
      <c r="CN1462" s="73"/>
      <c r="CO1462" s="73"/>
      <c r="CP1462" s="73"/>
      <c r="CQ1462" s="73"/>
      <c r="CR1462" s="73"/>
      <c r="CS1462" s="73"/>
      <c r="CT1462" s="73"/>
      <c r="CU1462" s="73"/>
      <c r="CV1462" s="73"/>
      <c r="CW1462" s="73"/>
      <c r="CX1462" s="73"/>
      <c r="CY1462" s="73"/>
      <c r="CZ1462" s="73"/>
      <c r="DA1462" s="73"/>
      <c r="DB1462" s="73"/>
      <c r="DC1462" s="73"/>
      <c r="DD1462" s="73"/>
      <c r="DE1462" s="73"/>
      <c r="DF1462" s="73"/>
      <c r="DG1462" s="73"/>
      <c r="DH1462" s="73"/>
      <c r="DI1462" s="73"/>
      <c r="DJ1462" s="73"/>
      <c r="DK1462" s="73"/>
      <c r="DL1462" s="73"/>
      <c r="DM1462" s="73"/>
    </row>
    <row r="1463" spans="1:117" s="48" customFormat="1">
      <c r="A1463" s="73"/>
      <c r="T1463" s="73"/>
      <c r="U1463" s="73"/>
      <c r="V1463" s="73"/>
      <c r="W1463" s="73"/>
      <c r="X1463" s="73"/>
      <c r="Y1463" s="73"/>
      <c r="Z1463" s="73"/>
      <c r="AA1463" s="73"/>
      <c r="AB1463" s="73"/>
      <c r="AC1463" s="73"/>
      <c r="AD1463" s="73"/>
      <c r="AE1463" s="73"/>
      <c r="AF1463" s="73"/>
      <c r="AG1463" s="73"/>
      <c r="AH1463" s="73"/>
      <c r="AI1463" s="73"/>
      <c r="AJ1463" s="73"/>
      <c r="AK1463" s="73"/>
      <c r="AL1463" s="73"/>
      <c r="AM1463" s="73"/>
      <c r="AN1463" s="73"/>
      <c r="AO1463" s="73"/>
      <c r="AP1463" s="73"/>
      <c r="AQ1463" s="73"/>
      <c r="AR1463" s="73"/>
      <c r="AS1463" s="73"/>
      <c r="AT1463" s="73"/>
      <c r="AU1463" s="73"/>
      <c r="AV1463" s="73"/>
      <c r="AW1463" s="73"/>
      <c r="AX1463" s="73"/>
      <c r="AY1463" s="73"/>
      <c r="AZ1463" s="73"/>
      <c r="BA1463" s="73"/>
      <c r="BB1463" s="73"/>
      <c r="BC1463" s="73"/>
      <c r="BD1463" s="73"/>
      <c r="BE1463" s="73"/>
      <c r="BF1463" s="73"/>
      <c r="BG1463" s="73"/>
      <c r="BH1463" s="73"/>
      <c r="BI1463" s="73"/>
      <c r="BJ1463" s="73"/>
      <c r="BK1463" s="73"/>
      <c r="BL1463" s="73"/>
      <c r="BM1463" s="73"/>
      <c r="BN1463" s="73"/>
      <c r="BO1463" s="73"/>
      <c r="BP1463" s="73"/>
      <c r="BQ1463" s="73"/>
      <c r="BR1463" s="73"/>
      <c r="BS1463" s="73"/>
      <c r="BT1463" s="73"/>
      <c r="BU1463" s="73"/>
      <c r="BV1463" s="73"/>
      <c r="BW1463" s="73"/>
      <c r="BX1463" s="73"/>
      <c r="BY1463" s="73"/>
      <c r="BZ1463" s="73"/>
      <c r="CA1463" s="73"/>
      <c r="CB1463" s="73"/>
      <c r="CC1463" s="73"/>
      <c r="CD1463" s="73"/>
      <c r="CE1463" s="73"/>
      <c r="CF1463" s="73"/>
      <c r="CG1463" s="73"/>
      <c r="CH1463" s="73"/>
      <c r="CI1463" s="73"/>
      <c r="CJ1463" s="73"/>
      <c r="CK1463" s="73"/>
      <c r="CL1463" s="73"/>
      <c r="CM1463" s="73"/>
      <c r="CN1463" s="73"/>
      <c r="CO1463" s="73"/>
      <c r="CP1463" s="73"/>
      <c r="CQ1463" s="73"/>
      <c r="CR1463" s="73"/>
      <c r="CS1463" s="73"/>
      <c r="CT1463" s="73"/>
      <c r="CU1463" s="73"/>
      <c r="CV1463" s="73"/>
      <c r="CW1463" s="73"/>
      <c r="CX1463" s="73"/>
      <c r="CY1463" s="73"/>
      <c r="CZ1463" s="73"/>
      <c r="DA1463" s="73"/>
      <c r="DB1463" s="73"/>
      <c r="DC1463" s="73"/>
      <c r="DD1463" s="73"/>
      <c r="DE1463" s="73"/>
      <c r="DF1463" s="73"/>
      <c r="DG1463" s="73"/>
      <c r="DH1463" s="73"/>
      <c r="DI1463" s="73"/>
      <c r="DJ1463" s="73"/>
      <c r="DK1463" s="73"/>
      <c r="DL1463" s="73"/>
      <c r="DM1463" s="73"/>
    </row>
    <row r="1464" spans="1:117" s="48" customFormat="1">
      <c r="A1464" s="73"/>
      <c r="T1464" s="73"/>
      <c r="U1464" s="73"/>
      <c r="V1464" s="73"/>
      <c r="W1464" s="73"/>
      <c r="X1464" s="73"/>
      <c r="Y1464" s="73"/>
      <c r="Z1464" s="73"/>
      <c r="AA1464" s="73"/>
      <c r="AB1464" s="73"/>
      <c r="AC1464" s="73"/>
      <c r="AD1464" s="73"/>
      <c r="AE1464" s="73"/>
      <c r="AF1464" s="73"/>
      <c r="AG1464" s="73"/>
      <c r="AH1464" s="73"/>
      <c r="AI1464" s="73"/>
      <c r="AJ1464" s="73"/>
      <c r="AK1464" s="73"/>
      <c r="AL1464" s="73"/>
      <c r="AM1464" s="73"/>
      <c r="AN1464" s="73"/>
      <c r="AO1464" s="73"/>
      <c r="AP1464" s="73"/>
      <c r="AQ1464" s="73"/>
      <c r="AR1464" s="73"/>
      <c r="AS1464" s="73"/>
      <c r="AT1464" s="73"/>
      <c r="AU1464" s="73"/>
      <c r="AV1464" s="73"/>
      <c r="AW1464" s="73"/>
      <c r="AX1464" s="73"/>
      <c r="AY1464" s="73"/>
      <c r="AZ1464" s="73"/>
      <c r="BA1464" s="73"/>
      <c r="BB1464" s="73"/>
      <c r="BC1464" s="73"/>
      <c r="BD1464" s="73"/>
      <c r="BE1464" s="73"/>
      <c r="BF1464" s="73"/>
      <c r="BG1464" s="73"/>
      <c r="BH1464" s="73"/>
      <c r="BI1464" s="73"/>
      <c r="BJ1464" s="73"/>
      <c r="BK1464" s="73"/>
      <c r="BL1464" s="73"/>
      <c r="BM1464" s="73"/>
      <c r="BN1464" s="73"/>
      <c r="BO1464" s="73"/>
      <c r="BP1464" s="73"/>
      <c r="BQ1464" s="73"/>
      <c r="BR1464" s="73"/>
      <c r="BS1464" s="73"/>
      <c r="BT1464" s="73"/>
      <c r="BU1464" s="73"/>
      <c r="BV1464" s="73"/>
      <c r="BW1464" s="73"/>
      <c r="BX1464" s="73"/>
      <c r="BY1464" s="73"/>
      <c r="BZ1464" s="73"/>
      <c r="CA1464" s="73"/>
      <c r="CB1464" s="73"/>
      <c r="CC1464" s="73"/>
      <c r="CD1464" s="73"/>
      <c r="CE1464" s="73"/>
      <c r="CF1464" s="73"/>
      <c r="CG1464" s="73"/>
      <c r="CH1464" s="73"/>
      <c r="CI1464" s="73"/>
      <c r="CJ1464" s="73"/>
      <c r="CK1464" s="73"/>
      <c r="CL1464" s="73"/>
      <c r="CM1464" s="73"/>
      <c r="CN1464" s="73"/>
      <c r="CO1464" s="73"/>
      <c r="CP1464" s="73"/>
      <c r="CQ1464" s="73"/>
      <c r="CR1464" s="73"/>
      <c r="CS1464" s="73"/>
      <c r="CT1464" s="73"/>
      <c r="CU1464" s="73"/>
      <c r="CV1464" s="73"/>
      <c r="CW1464" s="73"/>
      <c r="CX1464" s="73"/>
      <c r="CY1464" s="73"/>
      <c r="CZ1464" s="73"/>
      <c r="DA1464" s="73"/>
      <c r="DB1464" s="73"/>
      <c r="DC1464" s="73"/>
      <c r="DD1464" s="73"/>
      <c r="DE1464" s="73"/>
      <c r="DF1464" s="73"/>
      <c r="DG1464" s="73"/>
      <c r="DH1464" s="73"/>
      <c r="DI1464" s="73"/>
      <c r="DJ1464" s="73"/>
      <c r="DK1464" s="73"/>
      <c r="DL1464" s="73"/>
      <c r="DM1464" s="73"/>
    </row>
    <row r="1465" spans="1:117" s="48" customFormat="1">
      <c r="A1465" s="73"/>
      <c r="T1465" s="73"/>
      <c r="U1465" s="73"/>
      <c r="V1465" s="73"/>
      <c r="W1465" s="73"/>
      <c r="X1465" s="73"/>
      <c r="Y1465" s="73"/>
      <c r="Z1465" s="73"/>
      <c r="AA1465" s="73"/>
      <c r="AB1465" s="73"/>
      <c r="AC1465" s="73"/>
      <c r="AD1465" s="73"/>
      <c r="AE1465" s="73"/>
      <c r="AF1465" s="73"/>
      <c r="AG1465" s="73"/>
      <c r="AH1465" s="73"/>
      <c r="AI1465" s="73"/>
      <c r="AJ1465" s="73"/>
      <c r="AK1465" s="73"/>
      <c r="AL1465" s="73"/>
      <c r="AM1465" s="73"/>
      <c r="AN1465" s="73"/>
      <c r="AO1465" s="73"/>
      <c r="AP1465" s="73"/>
      <c r="AQ1465" s="73"/>
      <c r="AR1465" s="73"/>
      <c r="AS1465" s="73"/>
      <c r="AT1465" s="73"/>
      <c r="AU1465" s="73"/>
      <c r="AV1465" s="73"/>
      <c r="AW1465" s="73"/>
      <c r="AX1465" s="73"/>
      <c r="AY1465" s="73"/>
      <c r="AZ1465" s="73"/>
      <c r="BA1465" s="73"/>
      <c r="BB1465" s="73"/>
      <c r="BC1465" s="73"/>
      <c r="BD1465" s="73"/>
      <c r="BE1465" s="73"/>
      <c r="BF1465" s="73"/>
      <c r="BG1465" s="73"/>
      <c r="BH1465" s="73"/>
      <c r="BI1465" s="73"/>
      <c r="BJ1465" s="73"/>
      <c r="BK1465" s="73"/>
      <c r="BL1465" s="73"/>
      <c r="BM1465" s="73"/>
      <c r="BN1465" s="73"/>
      <c r="BO1465" s="73"/>
      <c r="BP1465" s="73"/>
      <c r="BQ1465" s="73"/>
      <c r="BR1465" s="73"/>
      <c r="BS1465" s="73"/>
      <c r="BT1465" s="73"/>
      <c r="BU1465" s="73"/>
      <c r="BV1465" s="73"/>
      <c r="BW1465" s="73"/>
      <c r="BX1465" s="73"/>
      <c r="BY1465" s="73"/>
      <c r="BZ1465" s="73"/>
      <c r="CA1465" s="73"/>
      <c r="CB1465" s="73"/>
      <c r="CC1465" s="73"/>
      <c r="CD1465" s="73"/>
      <c r="CE1465" s="73"/>
      <c r="CF1465" s="73"/>
      <c r="CG1465" s="73"/>
      <c r="CH1465" s="73"/>
      <c r="CI1465" s="73"/>
      <c r="CJ1465" s="73"/>
      <c r="CK1465" s="73"/>
      <c r="CL1465" s="73"/>
      <c r="CM1465" s="73"/>
      <c r="CN1465" s="73"/>
      <c r="CO1465" s="73"/>
      <c r="CP1465" s="73"/>
      <c r="CQ1465" s="73"/>
      <c r="CR1465" s="73"/>
      <c r="CS1465" s="73"/>
      <c r="CT1465" s="73"/>
      <c r="CU1465" s="73"/>
      <c r="CV1465" s="73"/>
      <c r="CW1465" s="73"/>
      <c r="CX1465" s="73"/>
      <c r="CY1465" s="73"/>
      <c r="CZ1465" s="73"/>
      <c r="DA1465" s="73"/>
      <c r="DB1465" s="73"/>
      <c r="DC1465" s="73"/>
      <c r="DD1465" s="73"/>
      <c r="DE1465" s="73"/>
      <c r="DF1465" s="73"/>
      <c r="DG1465" s="73"/>
      <c r="DH1465" s="73"/>
      <c r="DI1465" s="73"/>
      <c r="DJ1465" s="73"/>
      <c r="DK1465" s="73"/>
      <c r="DL1465" s="73"/>
      <c r="DM1465" s="73"/>
    </row>
    <row r="1466" spans="1:117" s="48" customFormat="1">
      <c r="A1466" s="73"/>
      <c r="T1466" s="73"/>
      <c r="U1466" s="73"/>
      <c r="V1466" s="73"/>
      <c r="W1466" s="73"/>
      <c r="X1466" s="73"/>
      <c r="Y1466" s="73"/>
      <c r="Z1466" s="73"/>
      <c r="AA1466" s="73"/>
      <c r="AB1466" s="73"/>
      <c r="AC1466" s="73"/>
      <c r="AD1466" s="73"/>
      <c r="AE1466" s="73"/>
      <c r="AF1466" s="73"/>
      <c r="AG1466" s="73"/>
      <c r="AH1466" s="73"/>
      <c r="AI1466" s="73"/>
      <c r="AJ1466" s="73"/>
      <c r="AK1466" s="73"/>
      <c r="AL1466" s="73"/>
      <c r="AM1466" s="73"/>
      <c r="AN1466" s="73"/>
      <c r="AO1466" s="73"/>
      <c r="AP1466" s="73"/>
      <c r="AQ1466" s="73"/>
      <c r="AR1466" s="73"/>
      <c r="AS1466" s="73"/>
      <c r="AT1466" s="73"/>
      <c r="AU1466" s="73"/>
      <c r="AV1466" s="73"/>
      <c r="AW1466" s="73"/>
      <c r="AX1466" s="73"/>
      <c r="AY1466" s="73"/>
      <c r="AZ1466" s="73"/>
      <c r="BA1466" s="73"/>
      <c r="BB1466" s="73"/>
      <c r="BC1466" s="73"/>
      <c r="BD1466" s="73"/>
      <c r="BE1466" s="73"/>
      <c r="BF1466" s="73"/>
      <c r="BG1466" s="73"/>
      <c r="BH1466" s="73"/>
      <c r="BI1466" s="73"/>
      <c r="BJ1466" s="73"/>
      <c r="BK1466" s="73"/>
      <c r="BL1466" s="73"/>
      <c r="BM1466" s="73"/>
      <c r="BN1466" s="73"/>
      <c r="BO1466" s="73"/>
      <c r="BP1466" s="73"/>
      <c r="BQ1466" s="73"/>
      <c r="BR1466" s="73"/>
      <c r="BS1466" s="73"/>
      <c r="BT1466" s="73"/>
      <c r="BU1466" s="73"/>
      <c r="BV1466" s="73"/>
      <c r="BW1466" s="73"/>
      <c r="BX1466" s="73"/>
      <c r="BY1466" s="73"/>
      <c r="BZ1466" s="73"/>
      <c r="CA1466" s="73"/>
      <c r="CB1466" s="73"/>
      <c r="CC1466" s="73"/>
      <c r="CD1466" s="73"/>
      <c r="CE1466" s="73"/>
      <c r="CF1466" s="73"/>
      <c r="CG1466" s="73"/>
      <c r="CH1466" s="73"/>
      <c r="CI1466" s="73"/>
      <c r="CJ1466" s="73"/>
      <c r="CK1466" s="73"/>
      <c r="CL1466" s="73"/>
      <c r="CM1466" s="73"/>
      <c r="CN1466" s="73"/>
      <c r="CO1466" s="73"/>
      <c r="CP1466" s="73"/>
      <c r="CQ1466" s="73"/>
      <c r="CR1466" s="73"/>
      <c r="CS1466" s="73"/>
      <c r="CT1466" s="73"/>
      <c r="CU1466" s="73"/>
      <c r="CV1466" s="73"/>
      <c r="CW1466" s="73"/>
      <c r="CX1466" s="73"/>
      <c r="CY1466" s="73"/>
      <c r="CZ1466" s="73"/>
      <c r="DA1466" s="73"/>
      <c r="DB1466" s="73"/>
      <c r="DC1466" s="73"/>
      <c r="DD1466" s="73"/>
      <c r="DE1466" s="73"/>
      <c r="DF1466" s="73"/>
      <c r="DG1466" s="73"/>
      <c r="DH1466" s="73"/>
      <c r="DI1466" s="73"/>
      <c r="DJ1466" s="73"/>
      <c r="DK1466" s="73"/>
      <c r="DL1466" s="73"/>
      <c r="DM1466" s="73"/>
    </row>
    <row r="1467" spans="1:117" s="48" customFormat="1">
      <c r="A1467" s="73"/>
      <c r="T1467" s="73"/>
      <c r="U1467" s="73"/>
      <c r="V1467" s="73"/>
      <c r="W1467" s="73"/>
      <c r="X1467" s="73"/>
      <c r="Y1467" s="73"/>
      <c r="Z1467" s="73"/>
      <c r="AA1467" s="73"/>
      <c r="AB1467" s="73"/>
      <c r="AC1467" s="73"/>
      <c r="AD1467" s="73"/>
      <c r="AE1467" s="73"/>
      <c r="AF1467" s="73"/>
      <c r="AG1467" s="73"/>
      <c r="AH1467" s="73"/>
      <c r="AI1467" s="73"/>
      <c r="AJ1467" s="73"/>
      <c r="AK1467" s="73"/>
      <c r="AL1467" s="73"/>
      <c r="AM1467" s="73"/>
      <c r="AN1467" s="73"/>
      <c r="AO1467" s="73"/>
      <c r="AP1467" s="73"/>
      <c r="AQ1467" s="73"/>
      <c r="AR1467" s="73"/>
      <c r="AS1467" s="73"/>
      <c r="AT1467" s="73"/>
      <c r="AU1467" s="73"/>
      <c r="AV1467" s="73"/>
      <c r="AW1467" s="73"/>
      <c r="AX1467" s="73"/>
      <c r="AY1467" s="73"/>
      <c r="AZ1467" s="73"/>
      <c r="BA1467" s="73"/>
      <c r="BB1467" s="73"/>
      <c r="BC1467" s="73"/>
      <c r="BD1467" s="73"/>
      <c r="BE1467" s="73"/>
      <c r="BF1467" s="73"/>
      <c r="BG1467" s="73"/>
      <c r="BH1467" s="73"/>
      <c r="BI1467" s="73"/>
      <c r="BJ1467" s="73"/>
      <c r="BK1467" s="73"/>
      <c r="BL1467" s="73"/>
      <c r="BM1467" s="73"/>
      <c r="BN1467" s="73"/>
      <c r="BO1467" s="73"/>
      <c r="BP1467" s="73"/>
      <c r="BQ1467" s="73"/>
      <c r="BR1467" s="73"/>
      <c r="BS1467" s="73"/>
      <c r="BT1467" s="73"/>
      <c r="BU1467" s="73"/>
      <c r="BV1467" s="73"/>
      <c r="BW1467" s="73"/>
      <c r="BX1467" s="73"/>
      <c r="BY1467" s="73"/>
      <c r="BZ1467" s="73"/>
      <c r="CA1467" s="73"/>
      <c r="CB1467" s="73"/>
      <c r="CC1467" s="73"/>
      <c r="CD1467" s="73"/>
      <c r="CE1467" s="73"/>
      <c r="CF1467" s="73"/>
      <c r="CG1467" s="73"/>
      <c r="CH1467" s="73"/>
      <c r="CI1467" s="73"/>
      <c r="CJ1467" s="73"/>
      <c r="CK1467" s="73"/>
      <c r="CL1467" s="73"/>
      <c r="CM1467" s="73"/>
      <c r="CN1467" s="73"/>
      <c r="CO1467" s="73"/>
      <c r="CP1467" s="73"/>
      <c r="CQ1467" s="73"/>
      <c r="CR1467" s="73"/>
      <c r="CS1467" s="73"/>
      <c r="CT1467" s="73"/>
      <c r="CU1467" s="73"/>
      <c r="CV1467" s="73"/>
      <c r="CW1467" s="73"/>
      <c r="CX1467" s="73"/>
      <c r="CY1467" s="73"/>
      <c r="CZ1467" s="73"/>
      <c r="DA1467" s="73"/>
      <c r="DB1467" s="73"/>
      <c r="DC1467" s="73"/>
      <c r="DD1467" s="73"/>
      <c r="DE1467" s="73"/>
      <c r="DF1467" s="73"/>
      <c r="DG1467" s="73"/>
      <c r="DH1467" s="73"/>
      <c r="DI1467" s="73"/>
      <c r="DJ1467" s="73"/>
      <c r="DK1467" s="73"/>
      <c r="DL1467" s="73"/>
      <c r="DM1467" s="73"/>
    </row>
    <row r="1468" spans="1:117" s="48" customFormat="1">
      <c r="A1468" s="73"/>
      <c r="T1468" s="73"/>
      <c r="U1468" s="73"/>
      <c r="V1468" s="73"/>
      <c r="W1468" s="73"/>
      <c r="X1468" s="73"/>
      <c r="Y1468" s="73"/>
      <c r="Z1468" s="73"/>
      <c r="AA1468" s="73"/>
      <c r="AB1468" s="73"/>
      <c r="AC1468" s="73"/>
      <c r="AD1468" s="73"/>
      <c r="AE1468" s="73"/>
      <c r="AF1468" s="73"/>
      <c r="AG1468" s="73"/>
      <c r="AH1468" s="73"/>
      <c r="AI1468" s="73"/>
      <c r="AJ1468" s="73"/>
      <c r="AK1468" s="73"/>
      <c r="AL1468" s="73"/>
      <c r="AM1468" s="73"/>
      <c r="AN1468" s="73"/>
      <c r="AO1468" s="73"/>
      <c r="AP1468" s="73"/>
      <c r="AQ1468" s="73"/>
      <c r="AR1468" s="73"/>
      <c r="AS1468" s="73"/>
      <c r="AT1468" s="73"/>
      <c r="AU1468" s="73"/>
      <c r="AV1468" s="73"/>
      <c r="AW1468" s="73"/>
      <c r="AX1468" s="73"/>
      <c r="AY1468" s="73"/>
      <c r="AZ1468" s="73"/>
      <c r="BA1468" s="73"/>
      <c r="BB1468" s="73"/>
      <c r="BC1468" s="73"/>
      <c r="BD1468" s="73"/>
      <c r="BE1468" s="73"/>
      <c r="BF1468" s="73"/>
      <c r="BG1468" s="73"/>
      <c r="BH1468" s="73"/>
      <c r="BI1468" s="73"/>
      <c r="BJ1468" s="73"/>
      <c r="BK1468" s="73"/>
      <c r="BL1468" s="73"/>
      <c r="BM1468" s="73"/>
      <c r="BN1468" s="73"/>
      <c r="BO1468" s="73"/>
      <c r="BP1468" s="73"/>
      <c r="BQ1468" s="73"/>
      <c r="BR1468" s="73"/>
      <c r="BS1468" s="73"/>
      <c r="BT1468" s="73"/>
      <c r="BU1468" s="73"/>
      <c r="BV1468" s="73"/>
      <c r="BW1468" s="73"/>
      <c r="BX1468" s="73"/>
      <c r="BY1468" s="73"/>
      <c r="BZ1468" s="73"/>
      <c r="CA1468" s="73"/>
      <c r="CB1468" s="73"/>
      <c r="CC1468" s="73"/>
      <c r="CD1468" s="73"/>
      <c r="CE1468" s="73"/>
      <c r="CF1468" s="73"/>
      <c r="CG1468" s="73"/>
      <c r="CH1468" s="73"/>
      <c r="CI1468" s="73"/>
      <c r="CJ1468" s="73"/>
      <c r="CK1468" s="73"/>
      <c r="CL1468" s="73"/>
      <c r="CM1468" s="73"/>
      <c r="CN1468" s="73"/>
      <c r="CO1468" s="73"/>
      <c r="CP1468" s="73"/>
      <c r="CQ1468" s="73"/>
      <c r="CR1468" s="73"/>
      <c r="CS1468" s="73"/>
      <c r="CT1468" s="73"/>
      <c r="CU1468" s="73"/>
      <c r="CV1468" s="73"/>
      <c r="CW1468" s="73"/>
      <c r="CX1468" s="73"/>
      <c r="CY1468" s="73"/>
      <c r="CZ1468" s="73"/>
      <c r="DA1468" s="73"/>
      <c r="DB1468" s="73"/>
      <c r="DC1468" s="73"/>
      <c r="DD1468" s="73"/>
      <c r="DE1468" s="73"/>
      <c r="DF1468" s="73"/>
      <c r="DG1468" s="73"/>
      <c r="DH1468" s="73"/>
      <c r="DI1468" s="73"/>
      <c r="DJ1468" s="73"/>
      <c r="DK1468" s="73"/>
      <c r="DL1468" s="73"/>
      <c r="DM1468" s="73"/>
    </row>
    <row r="1469" spans="1:117" s="48" customFormat="1">
      <c r="A1469" s="73"/>
      <c r="T1469" s="73"/>
      <c r="U1469" s="73"/>
      <c r="V1469" s="73"/>
      <c r="W1469" s="73"/>
      <c r="X1469" s="73"/>
      <c r="Y1469" s="73"/>
      <c r="Z1469" s="73"/>
      <c r="AA1469" s="73"/>
      <c r="AB1469" s="73"/>
      <c r="AC1469" s="73"/>
      <c r="AD1469" s="73"/>
      <c r="AE1469" s="73"/>
      <c r="AF1469" s="73"/>
      <c r="AG1469" s="73"/>
      <c r="AH1469" s="73"/>
      <c r="AI1469" s="73"/>
      <c r="AJ1469" s="73"/>
      <c r="AK1469" s="73"/>
      <c r="AL1469" s="73"/>
      <c r="AM1469" s="73"/>
      <c r="AN1469" s="73"/>
      <c r="AO1469" s="73"/>
      <c r="AP1469" s="73"/>
      <c r="AQ1469" s="73"/>
      <c r="AR1469" s="73"/>
      <c r="AS1469" s="73"/>
      <c r="AT1469" s="73"/>
      <c r="AU1469" s="73"/>
      <c r="AV1469" s="73"/>
      <c r="AW1469" s="73"/>
      <c r="AX1469" s="73"/>
      <c r="AY1469" s="73"/>
      <c r="AZ1469" s="73"/>
      <c r="BA1469" s="73"/>
      <c r="BB1469" s="73"/>
      <c r="BC1469" s="73"/>
      <c r="BD1469" s="73"/>
      <c r="BE1469" s="73"/>
      <c r="BF1469" s="73"/>
      <c r="BG1469" s="73"/>
      <c r="BH1469" s="73"/>
      <c r="BI1469" s="73"/>
      <c r="BJ1469" s="73"/>
      <c r="BK1469" s="73"/>
      <c r="BL1469" s="73"/>
      <c r="BM1469" s="73"/>
      <c r="BN1469" s="73"/>
      <c r="BO1469" s="73"/>
      <c r="BP1469" s="73"/>
      <c r="BQ1469" s="73"/>
      <c r="BR1469" s="73"/>
      <c r="BS1469" s="73"/>
      <c r="BT1469" s="73"/>
      <c r="BU1469" s="73"/>
      <c r="BV1469" s="73"/>
      <c r="BW1469" s="73"/>
      <c r="BX1469" s="73"/>
      <c r="BY1469" s="73"/>
      <c r="BZ1469" s="73"/>
      <c r="CA1469" s="73"/>
      <c r="CB1469" s="73"/>
      <c r="CC1469" s="73"/>
      <c r="CD1469" s="73"/>
      <c r="CE1469" s="73"/>
      <c r="CF1469" s="73"/>
      <c r="CG1469" s="73"/>
      <c r="CH1469" s="73"/>
      <c r="CI1469" s="73"/>
      <c r="CJ1469" s="73"/>
      <c r="CK1469" s="73"/>
      <c r="CL1469" s="73"/>
      <c r="CM1469" s="73"/>
      <c r="CN1469" s="73"/>
      <c r="CO1469" s="73"/>
      <c r="CP1469" s="73"/>
      <c r="CQ1469" s="73"/>
      <c r="CR1469" s="73"/>
      <c r="CS1469" s="73"/>
      <c r="CT1469" s="73"/>
      <c r="CU1469" s="73"/>
      <c r="CV1469" s="73"/>
      <c r="CW1469" s="73"/>
      <c r="CX1469" s="73"/>
      <c r="CY1469" s="73"/>
      <c r="CZ1469" s="73"/>
      <c r="DA1469" s="73"/>
      <c r="DB1469" s="73"/>
      <c r="DC1469" s="73"/>
      <c r="DD1469" s="73"/>
      <c r="DE1469" s="73"/>
      <c r="DF1469" s="73"/>
      <c r="DG1469" s="73"/>
      <c r="DH1469" s="73"/>
      <c r="DI1469" s="73"/>
      <c r="DJ1469" s="73"/>
      <c r="DK1469" s="73"/>
      <c r="DL1469" s="73"/>
      <c r="DM1469" s="73"/>
    </row>
    <row r="1470" spans="1:117" s="48" customFormat="1">
      <c r="A1470" s="73"/>
      <c r="T1470" s="73"/>
      <c r="U1470" s="73"/>
      <c r="V1470" s="73"/>
      <c r="W1470" s="73"/>
      <c r="X1470" s="73"/>
      <c r="Y1470" s="73"/>
      <c r="Z1470" s="73"/>
      <c r="AA1470" s="73"/>
      <c r="AB1470" s="73"/>
      <c r="AC1470" s="73"/>
      <c r="AD1470" s="73"/>
      <c r="AE1470" s="73"/>
      <c r="AF1470" s="73"/>
      <c r="AG1470" s="73"/>
      <c r="AH1470" s="73"/>
      <c r="AI1470" s="73"/>
      <c r="AJ1470" s="73"/>
      <c r="AK1470" s="73"/>
      <c r="AL1470" s="73"/>
      <c r="AM1470" s="73"/>
      <c r="AN1470" s="73"/>
      <c r="AO1470" s="73"/>
      <c r="AP1470" s="73"/>
      <c r="AQ1470" s="73"/>
      <c r="AR1470" s="73"/>
      <c r="AS1470" s="73"/>
      <c r="AT1470" s="73"/>
      <c r="AU1470" s="73"/>
      <c r="AV1470" s="73"/>
      <c r="AW1470" s="73"/>
      <c r="AX1470" s="73"/>
      <c r="AY1470" s="73"/>
      <c r="AZ1470" s="73"/>
      <c r="BA1470" s="73"/>
      <c r="BB1470" s="73"/>
      <c r="BC1470" s="73"/>
      <c r="BD1470" s="73"/>
      <c r="BE1470" s="73"/>
      <c r="BF1470" s="73"/>
      <c r="BG1470" s="73"/>
      <c r="BH1470" s="73"/>
      <c r="BI1470" s="73"/>
      <c r="BJ1470" s="73"/>
      <c r="BK1470" s="73"/>
      <c r="BL1470" s="73"/>
      <c r="BM1470" s="73"/>
      <c r="BN1470" s="73"/>
      <c r="BO1470" s="73"/>
      <c r="BP1470" s="73"/>
      <c r="BQ1470" s="73"/>
      <c r="BR1470" s="73"/>
      <c r="BS1470" s="73"/>
      <c r="BT1470" s="73"/>
      <c r="BU1470" s="73"/>
      <c r="BV1470" s="73"/>
      <c r="BW1470" s="73"/>
      <c r="BX1470" s="73"/>
      <c r="BY1470" s="73"/>
      <c r="BZ1470" s="73"/>
      <c r="CA1470" s="73"/>
      <c r="CB1470" s="73"/>
      <c r="CC1470" s="73"/>
      <c r="CD1470" s="73"/>
      <c r="CE1470" s="73"/>
      <c r="CF1470" s="73"/>
      <c r="CG1470" s="73"/>
      <c r="CH1470" s="73"/>
      <c r="CI1470" s="73"/>
      <c r="CJ1470" s="73"/>
      <c r="CK1470" s="73"/>
      <c r="CL1470" s="73"/>
      <c r="CM1470" s="73"/>
      <c r="CN1470" s="73"/>
      <c r="CO1470" s="73"/>
      <c r="CP1470" s="73"/>
      <c r="CQ1470" s="73"/>
      <c r="CR1470" s="73"/>
      <c r="CS1470" s="73"/>
      <c r="CT1470" s="73"/>
      <c r="CU1470" s="73"/>
      <c r="CV1470" s="73"/>
      <c r="CW1470" s="73"/>
      <c r="CX1470" s="73"/>
      <c r="CY1470" s="73"/>
      <c r="CZ1470" s="73"/>
      <c r="DA1470" s="73"/>
      <c r="DB1470" s="73"/>
      <c r="DC1470" s="73"/>
      <c r="DD1470" s="73"/>
      <c r="DE1470" s="73"/>
      <c r="DF1470" s="73"/>
      <c r="DG1470" s="73"/>
      <c r="DH1470" s="73"/>
      <c r="DI1470" s="73"/>
      <c r="DJ1470" s="73"/>
      <c r="DK1470" s="73"/>
      <c r="DL1470" s="73"/>
      <c r="DM1470" s="73"/>
    </row>
    <row r="1471" spans="1:117" s="48" customFormat="1">
      <c r="A1471" s="73"/>
      <c r="T1471" s="73"/>
      <c r="U1471" s="73"/>
      <c r="V1471" s="73"/>
      <c r="W1471" s="73"/>
      <c r="X1471" s="73"/>
      <c r="Y1471" s="73"/>
      <c r="Z1471" s="73"/>
      <c r="AA1471" s="73"/>
      <c r="AB1471" s="73"/>
      <c r="AC1471" s="73"/>
      <c r="AD1471" s="73"/>
      <c r="AE1471" s="73"/>
      <c r="AF1471" s="73"/>
      <c r="AG1471" s="73"/>
      <c r="AH1471" s="73"/>
      <c r="AI1471" s="73"/>
      <c r="AJ1471" s="73"/>
      <c r="AK1471" s="73"/>
      <c r="AL1471" s="73"/>
      <c r="AM1471" s="73"/>
      <c r="AN1471" s="73"/>
      <c r="AO1471" s="73"/>
      <c r="AP1471" s="73"/>
      <c r="AQ1471" s="73"/>
      <c r="AR1471" s="73"/>
      <c r="AS1471" s="73"/>
      <c r="AT1471" s="73"/>
      <c r="AU1471" s="73"/>
      <c r="AV1471" s="73"/>
      <c r="AW1471" s="73"/>
      <c r="AX1471" s="73"/>
      <c r="AY1471" s="73"/>
      <c r="AZ1471" s="73"/>
      <c r="BA1471" s="73"/>
      <c r="BB1471" s="73"/>
      <c r="BC1471" s="73"/>
      <c r="BD1471" s="73"/>
      <c r="BE1471" s="73"/>
      <c r="BF1471" s="73"/>
      <c r="BG1471" s="73"/>
      <c r="BH1471" s="73"/>
      <c r="BI1471" s="73"/>
      <c r="BJ1471" s="73"/>
      <c r="BK1471" s="73"/>
      <c r="BL1471" s="73"/>
      <c r="BM1471" s="73"/>
      <c r="BN1471" s="73"/>
      <c r="BO1471" s="73"/>
      <c r="BP1471" s="73"/>
      <c r="BQ1471" s="73"/>
      <c r="BR1471" s="73"/>
      <c r="BS1471" s="73"/>
      <c r="BT1471" s="73"/>
      <c r="BU1471" s="73"/>
      <c r="BV1471" s="73"/>
      <c r="BW1471" s="73"/>
      <c r="BX1471" s="73"/>
      <c r="BY1471" s="73"/>
      <c r="BZ1471" s="73"/>
      <c r="CA1471" s="73"/>
      <c r="CB1471" s="73"/>
      <c r="CC1471" s="73"/>
      <c r="CD1471" s="73"/>
      <c r="CE1471" s="73"/>
      <c r="CF1471" s="73"/>
      <c r="CG1471" s="73"/>
      <c r="CH1471" s="73"/>
      <c r="CI1471" s="73"/>
      <c r="CJ1471" s="73"/>
      <c r="CK1471" s="73"/>
      <c r="CL1471" s="73"/>
      <c r="CM1471" s="73"/>
      <c r="CN1471" s="73"/>
      <c r="CO1471" s="73"/>
      <c r="CP1471" s="73"/>
      <c r="CQ1471" s="73"/>
      <c r="CR1471" s="73"/>
      <c r="CS1471" s="73"/>
      <c r="CT1471" s="73"/>
      <c r="CU1471" s="73"/>
      <c r="CV1471" s="73"/>
      <c r="CW1471" s="73"/>
      <c r="CX1471" s="73"/>
      <c r="CY1471" s="73"/>
      <c r="CZ1471" s="73"/>
      <c r="DA1471" s="73"/>
      <c r="DB1471" s="73"/>
      <c r="DC1471" s="73"/>
      <c r="DD1471" s="73"/>
      <c r="DE1471" s="73"/>
      <c r="DF1471" s="73"/>
      <c r="DG1471" s="73"/>
      <c r="DH1471" s="73"/>
      <c r="DI1471" s="73"/>
      <c r="DJ1471" s="73"/>
      <c r="DK1471" s="73"/>
      <c r="DL1471" s="73"/>
      <c r="DM1471" s="73"/>
    </row>
    <row r="1472" spans="1:117" s="48" customFormat="1">
      <c r="A1472" s="73"/>
      <c r="T1472" s="73"/>
      <c r="U1472" s="73"/>
      <c r="V1472" s="73"/>
      <c r="W1472" s="73"/>
      <c r="X1472" s="73"/>
      <c r="Y1472" s="73"/>
      <c r="Z1472" s="73"/>
      <c r="AA1472" s="73"/>
      <c r="AB1472" s="73"/>
      <c r="AC1472" s="73"/>
      <c r="AD1472" s="73"/>
      <c r="AE1472" s="73"/>
      <c r="AF1472" s="73"/>
      <c r="AG1472" s="73"/>
      <c r="AH1472" s="73"/>
      <c r="AI1472" s="73"/>
      <c r="AJ1472" s="73"/>
      <c r="AK1472" s="73"/>
      <c r="AL1472" s="73"/>
      <c r="AM1472" s="73"/>
      <c r="AN1472" s="73"/>
      <c r="AO1472" s="73"/>
      <c r="AP1472" s="73"/>
      <c r="AQ1472" s="73"/>
      <c r="AR1472" s="73"/>
      <c r="AS1472" s="73"/>
      <c r="AT1472" s="73"/>
      <c r="AU1472" s="73"/>
      <c r="AV1472" s="73"/>
      <c r="AW1472" s="73"/>
      <c r="AX1472" s="73"/>
      <c r="AY1472" s="73"/>
      <c r="AZ1472" s="73"/>
      <c r="BA1472" s="73"/>
      <c r="BB1472" s="73"/>
      <c r="BC1472" s="73"/>
      <c r="BD1472" s="73"/>
      <c r="BE1472" s="73"/>
      <c r="BF1472" s="73"/>
      <c r="BG1472" s="73"/>
      <c r="BH1472" s="73"/>
      <c r="BI1472" s="73"/>
      <c r="BJ1472" s="73"/>
      <c r="BK1472" s="73"/>
      <c r="BL1472" s="73"/>
      <c r="BM1472" s="73"/>
      <c r="BN1472" s="73"/>
      <c r="BO1472" s="73"/>
      <c r="BP1472" s="73"/>
      <c r="BQ1472" s="73"/>
      <c r="BR1472" s="73"/>
      <c r="BS1472" s="73"/>
      <c r="BT1472" s="73"/>
      <c r="BU1472" s="73"/>
      <c r="BV1472" s="73"/>
      <c r="BW1472" s="73"/>
      <c r="BX1472" s="73"/>
      <c r="BY1472" s="73"/>
      <c r="BZ1472" s="73"/>
      <c r="CA1472" s="73"/>
      <c r="CB1472" s="73"/>
      <c r="CC1472" s="73"/>
      <c r="CD1472" s="73"/>
      <c r="CE1472" s="73"/>
      <c r="CF1472" s="73"/>
      <c r="CG1472" s="73"/>
      <c r="CH1472" s="73"/>
      <c r="CI1472" s="73"/>
      <c r="CJ1472" s="73"/>
      <c r="CK1472" s="73"/>
      <c r="CL1472" s="73"/>
      <c r="CM1472" s="73"/>
      <c r="CN1472" s="73"/>
      <c r="CO1472" s="73"/>
      <c r="CP1472" s="73"/>
      <c r="CQ1472" s="73"/>
      <c r="CR1472" s="73"/>
      <c r="CS1472" s="73"/>
      <c r="CT1472" s="73"/>
      <c r="CU1472" s="73"/>
      <c r="CV1472" s="73"/>
      <c r="CW1472" s="73"/>
      <c r="CX1472" s="73"/>
      <c r="CY1472" s="73"/>
      <c r="CZ1472" s="73"/>
      <c r="DA1472" s="73"/>
      <c r="DB1472" s="73"/>
      <c r="DC1472" s="73"/>
      <c r="DD1472" s="73"/>
      <c r="DE1472" s="73"/>
      <c r="DF1472" s="73"/>
      <c r="DG1472" s="73"/>
      <c r="DH1472" s="73"/>
      <c r="DI1472" s="73"/>
      <c r="DJ1472" s="73"/>
      <c r="DK1472" s="73"/>
      <c r="DL1472" s="73"/>
      <c r="DM1472" s="73"/>
    </row>
    <row r="1473" spans="1:117" s="48" customFormat="1">
      <c r="A1473" s="73"/>
      <c r="T1473" s="73"/>
      <c r="U1473" s="73"/>
      <c r="V1473" s="73"/>
      <c r="W1473" s="73"/>
      <c r="X1473" s="73"/>
      <c r="Y1473" s="73"/>
      <c r="Z1473" s="73"/>
      <c r="AA1473" s="73"/>
      <c r="AB1473" s="73"/>
      <c r="AC1473" s="73"/>
      <c r="AD1473" s="73"/>
      <c r="AE1473" s="73"/>
      <c r="AF1473" s="73"/>
      <c r="AG1473" s="73"/>
      <c r="AH1473" s="73"/>
      <c r="AI1473" s="73"/>
      <c r="AJ1473" s="73"/>
      <c r="AK1473" s="73"/>
      <c r="AL1473" s="73"/>
      <c r="AM1473" s="73"/>
      <c r="AN1473" s="73"/>
      <c r="AO1473" s="73"/>
      <c r="AP1473" s="73"/>
      <c r="AQ1473" s="73"/>
      <c r="AR1473" s="73"/>
      <c r="AS1473" s="73"/>
      <c r="AT1473" s="73"/>
      <c r="AU1473" s="73"/>
      <c r="AV1473" s="73"/>
      <c r="AW1473" s="73"/>
      <c r="AX1473" s="73"/>
      <c r="AY1473" s="73"/>
      <c r="AZ1473" s="73"/>
      <c r="BA1473" s="73"/>
      <c r="BB1473" s="73"/>
      <c r="BC1473" s="73"/>
      <c r="BD1473" s="73"/>
      <c r="BE1473" s="73"/>
      <c r="BF1473" s="73"/>
      <c r="BG1473" s="73"/>
      <c r="BH1473" s="73"/>
      <c r="BI1473" s="73"/>
      <c r="BJ1473" s="73"/>
      <c r="BK1473" s="73"/>
      <c r="BL1473" s="73"/>
      <c r="BM1473" s="73"/>
      <c r="BN1473" s="73"/>
      <c r="BO1473" s="73"/>
      <c r="BP1473" s="73"/>
      <c r="BQ1473" s="73"/>
      <c r="BR1473" s="73"/>
      <c r="BS1473" s="73"/>
      <c r="BT1473" s="73"/>
      <c r="BU1473" s="73"/>
      <c r="BV1473" s="73"/>
      <c r="BW1473" s="73"/>
      <c r="BX1473" s="73"/>
      <c r="BY1473" s="73"/>
      <c r="BZ1473" s="73"/>
      <c r="CA1473" s="73"/>
      <c r="CB1473" s="73"/>
      <c r="CC1473" s="73"/>
      <c r="CD1473" s="73"/>
      <c r="CE1473" s="73"/>
      <c r="CF1473" s="73"/>
      <c r="CG1473" s="73"/>
      <c r="CH1473" s="73"/>
      <c r="CI1473" s="73"/>
      <c r="CJ1473" s="73"/>
      <c r="CK1473" s="73"/>
      <c r="CL1473" s="73"/>
      <c r="CM1473" s="73"/>
      <c r="CN1473" s="73"/>
      <c r="CO1473" s="73"/>
      <c r="CP1473" s="73"/>
      <c r="CQ1473" s="73"/>
      <c r="CR1473" s="73"/>
      <c r="CS1473" s="73"/>
      <c r="CT1473" s="73"/>
      <c r="CU1473" s="73"/>
      <c r="CV1473" s="73"/>
      <c r="CW1473" s="73"/>
      <c r="CX1473" s="73"/>
      <c r="CY1473" s="73"/>
      <c r="CZ1473" s="73"/>
      <c r="DA1473" s="73"/>
      <c r="DB1473" s="73"/>
      <c r="DC1473" s="73"/>
      <c r="DD1473" s="73"/>
      <c r="DE1473" s="73"/>
      <c r="DF1473" s="73"/>
      <c r="DG1473" s="73"/>
      <c r="DH1473" s="73"/>
      <c r="DI1473" s="73"/>
      <c r="DJ1473" s="73"/>
      <c r="DK1473" s="73"/>
      <c r="DL1473" s="73"/>
      <c r="DM1473" s="73"/>
    </row>
    <row r="1474" spans="1:117" s="48" customFormat="1">
      <c r="A1474" s="73"/>
      <c r="T1474" s="73"/>
      <c r="U1474" s="73"/>
      <c r="V1474" s="73"/>
      <c r="W1474" s="73"/>
      <c r="X1474" s="73"/>
      <c r="Y1474" s="73"/>
      <c r="Z1474" s="73"/>
      <c r="AA1474" s="73"/>
      <c r="AB1474" s="73"/>
      <c r="AC1474" s="73"/>
      <c r="AD1474" s="73"/>
      <c r="AE1474" s="73"/>
      <c r="AF1474" s="73"/>
      <c r="AG1474" s="73"/>
      <c r="AH1474" s="73"/>
      <c r="AI1474" s="73"/>
      <c r="AJ1474" s="73"/>
      <c r="AK1474" s="73"/>
      <c r="AL1474" s="73"/>
      <c r="AM1474" s="73"/>
      <c r="AN1474" s="73"/>
      <c r="AO1474" s="73"/>
      <c r="AP1474" s="73"/>
      <c r="AQ1474" s="73"/>
      <c r="AR1474" s="73"/>
      <c r="AS1474" s="73"/>
      <c r="AT1474" s="73"/>
      <c r="AU1474" s="73"/>
      <c r="AV1474" s="73"/>
      <c r="AW1474" s="73"/>
      <c r="AX1474" s="73"/>
      <c r="AY1474" s="73"/>
      <c r="AZ1474" s="73"/>
      <c r="BA1474" s="73"/>
      <c r="BB1474" s="73"/>
      <c r="BC1474" s="73"/>
      <c r="BD1474" s="73"/>
      <c r="BE1474" s="73"/>
      <c r="BF1474" s="73"/>
      <c r="BG1474" s="73"/>
      <c r="BH1474" s="73"/>
      <c r="BI1474" s="73"/>
      <c r="BJ1474" s="73"/>
      <c r="BK1474" s="73"/>
      <c r="BL1474" s="73"/>
      <c r="BM1474" s="73"/>
      <c r="BN1474" s="73"/>
      <c r="BO1474" s="73"/>
      <c r="BP1474" s="73"/>
      <c r="BQ1474" s="73"/>
      <c r="BR1474" s="73"/>
      <c r="BS1474" s="73"/>
      <c r="BT1474" s="73"/>
      <c r="BU1474" s="73"/>
      <c r="BV1474" s="73"/>
      <c r="BW1474" s="73"/>
      <c r="BX1474" s="73"/>
      <c r="BY1474" s="73"/>
      <c r="BZ1474" s="73"/>
      <c r="CA1474" s="73"/>
      <c r="CB1474" s="73"/>
      <c r="CC1474" s="73"/>
      <c r="CD1474" s="73"/>
      <c r="CE1474" s="73"/>
      <c r="CF1474" s="73"/>
      <c r="CG1474" s="73"/>
      <c r="CH1474" s="73"/>
      <c r="CI1474" s="73"/>
      <c r="CJ1474" s="73"/>
      <c r="CK1474" s="73"/>
      <c r="CL1474" s="73"/>
      <c r="CM1474" s="73"/>
      <c r="CN1474" s="73"/>
      <c r="CO1474" s="73"/>
      <c r="CP1474" s="73"/>
      <c r="CQ1474" s="73"/>
      <c r="CR1474" s="73"/>
      <c r="CS1474" s="73"/>
      <c r="CT1474" s="73"/>
      <c r="CU1474" s="73"/>
      <c r="CV1474" s="73"/>
      <c r="CW1474" s="73"/>
      <c r="CX1474" s="73"/>
      <c r="CY1474" s="73"/>
      <c r="CZ1474" s="73"/>
      <c r="DA1474" s="73"/>
      <c r="DB1474" s="73"/>
      <c r="DC1474" s="73"/>
      <c r="DD1474" s="73"/>
      <c r="DE1474" s="73"/>
      <c r="DF1474" s="73"/>
      <c r="DG1474" s="73"/>
      <c r="DH1474" s="73"/>
      <c r="DI1474" s="73"/>
      <c r="DJ1474" s="73"/>
      <c r="DK1474" s="73"/>
      <c r="DL1474" s="73"/>
      <c r="DM1474" s="73"/>
    </row>
    <row r="1475" spans="1:117" s="48" customFormat="1">
      <c r="A1475" s="73"/>
      <c r="T1475" s="73"/>
      <c r="U1475" s="73"/>
      <c r="V1475" s="73"/>
      <c r="W1475" s="73"/>
      <c r="X1475" s="73"/>
      <c r="Y1475" s="73"/>
      <c r="Z1475" s="73"/>
      <c r="AA1475" s="73"/>
      <c r="AB1475" s="73"/>
      <c r="AC1475" s="73"/>
      <c r="AD1475" s="73"/>
      <c r="AE1475" s="73"/>
      <c r="AF1475" s="73"/>
      <c r="AG1475" s="73"/>
      <c r="AH1475" s="73"/>
      <c r="AI1475" s="73"/>
      <c r="AJ1475" s="73"/>
      <c r="AK1475" s="73"/>
      <c r="AL1475" s="73"/>
      <c r="AM1475" s="73"/>
      <c r="AN1475" s="73"/>
      <c r="AO1475" s="73"/>
      <c r="AP1475" s="73"/>
      <c r="AQ1475" s="73"/>
      <c r="AR1475" s="73"/>
      <c r="AS1475" s="73"/>
      <c r="AT1475" s="73"/>
      <c r="AU1475" s="73"/>
      <c r="AV1475" s="73"/>
      <c r="AW1475" s="73"/>
      <c r="AX1475" s="73"/>
      <c r="AY1475" s="73"/>
      <c r="AZ1475" s="73"/>
      <c r="BA1475" s="73"/>
      <c r="BB1475" s="73"/>
      <c r="BC1475" s="73"/>
      <c r="BD1475" s="73"/>
      <c r="BE1475" s="73"/>
      <c r="BF1475" s="73"/>
      <c r="BG1475" s="73"/>
      <c r="BH1475" s="73"/>
      <c r="BI1475" s="73"/>
      <c r="BJ1475" s="73"/>
      <c r="BK1475" s="73"/>
      <c r="BL1475" s="73"/>
      <c r="BM1475" s="73"/>
      <c r="BN1475" s="73"/>
      <c r="BO1475" s="73"/>
      <c r="BP1475" s="73"/>
      <c r="BQ1475" s="73"/>
      <c r="BR1475" s="73"/>
      <c r="BS1475" s="73"/>
      <c r="BT1475" s="73"/>
      <c r="BU1475" s="73"/>
      <c r="BV1475" s="73"/>
      <c r="BW1475" s="73"/>
      <c r="BX1475" s="73"/>
      <c r="BY1475" s="73"/>
      <c r="BZ1475" s="73"/>
      <c r="CA1475" s="73"/>
      <c r="CB1475" s="73"/>
      <c r="CC1475" s="73"/>
      <c r="CD1475" s="73"/>
      <c r="CE1475" s="73"/>
      <c r="CF1475" s="73"/>
      <c r="CG1475" s="73"/>
      <c r="CH1475" s="73"/>
      <c r="CI1475" s="73"/>
      <c r="CJ1475" s="73"/>
      <c r="CK1475" s="73"/>
      <c r="CL1475" s="73"/>
      <c r="CM1475" s="73"/>
      <c r="CN1475" s="73"/>
      <c r="CO1475" s="73"/>
      <c r="CP1475" s="73"/>
      <c r="CQ1475" s="73"/>
      <c r="CR1475" s="73"/>
      <c r="CS1475" s="73"/>
      <c r="CT1475" s="73"/>
      <c r="CU1475" s="73"/>
      <c r="CV1475" s="73"/>
      <c r="CW1475" s="73"/>
      <c r="CX1475" s="73"/>
      <c r="CY1475" s="73"/>
      <c r="CZ1475" s="73"/>
      <c r="DA1475" s="73"/>
      <c r="DB1475" s="73"/>
      <c r="DC1475" s="73"/>
      <c r="DD1475" s="73"/>
      <c r="DE1475" s="73"/>
      <c r="DF1475" s="73"/>
      <c r="DG1475" s="73"/>
      <c r="DH1475" s="73"/>
      <c r="DI1475" s="73"/>
      <c r="DJ1475" s="73"/>
      <c r="DK1475" s="73"/>
      <c r="DL1475" s="73"/>
      <c r="DM1475" s="73"/>
    </row>
    <row r="1476" spans="1:117" s="48" customFormat="1">
      <c r="A1476" s="73"/>
      <c r="T1476" s="73"/>
      <c r="U1476" s="73"/>
      <c r="V1476" s="73"/>
      <c r="W1476" s="73"/>
      <c r="X1476" s="73"/>
      <c r="Y1476" s="73"/>
      <c r="Z1476" s="73"/>
      <c r="AA1476" s="73"/>
      <c r="AB1476" s="73"/>
      <c r="AC1476" s="73"/>
      <c r="AD1476" s="73"/>
      <c r="AE1476" s="73"/>
      <c r="AF1476" s="73"/>
      <c r="AG1476" s="73"/>
      <c r="AH1476" s="73"/>
      <c r="AI1476" s="73"/>
      <c r="AJ1476" s="73"/>
      <c r="AK1476" s="73"/>
      <c r="AL1476" s="73"/>
      <c r="AM1476" s="73"/>
      <c r="AN1476" s="73"/>
      <c r="AO1476" s="73"/>
      <c r="AP1476" s="73"/>
      <c r="AQ1476" s="73"/>
      <c r="AR1476" s="73"/>
      <c r="AS1476" s="73"/>
      <c r="AT1476" s="73"/>
      <c r="AU1476" s="73"/>
      <c r="AV1476" s="73"/>
      <c r="AW1476" s="73"/>
      <c r="AX1476" s="73"/>
      <c r="AY1476" s="73"/>
      <c r="AZ1476" s="73"/>
      <c r="BA1476" s="73"/>
      <c r="BB1476" s="73"/>
      <c r="BC1476" s="73"/>
      <c r="BD1476" s="73"/>
      <c r="BE1476" s="73"/>
      <c r="BF1476" s="73"/>
      <c r="BG1476" s="73"/>
      <c r="BH1476" s="73"/>
      <c r="BI1476" s="73"/>
      <c r="BJ1476" s="73"/>
      <c r="BK1476" s="73"/>
      <c r="BL1476" s="73"/>
      <c r="BM1476" s="73"/>
      <c r="BN1476" s="73"/>
      <c r="BO1476" s="73"/>
      <c r="BP1476" s="73"/>
      <c r="BQ1476" s="73"/>
      <c r="BR1476" s="73"/>
      <c r="BS1476" s="73"/>
      <c r="BT1476" s="73"/>
      <c r="BU1476" s="73"/>
      <c r="BV1476" s="73"/>
      <c r="BW1476" s="73"/>
      <c r="BX1476" s="73"/>
      <c r="BY1476" s="73"/>
      <c r="BZ1476" s="73"/>
      <c r="CA1476" s="73"/>
      <c r="CB1476" s="73"/>
      <c r="CC1476" s="73"/>
      <c r="CD1476" s="73"/>
      <c r="CE1476" s="73"/>
      <c r="CF1476" s="73"/>
      <c r="CG1476" s="73"/>
      <c r="CH1476" s="73"/>
      <c r="CI1476" s="73"/>
      <c r="CJ1476" s="73"/>
      <c r="CK1476" s="73"/>
      <c r="CL1476" s="73"/>
      <c r="CM1476" s="73"/>
      <c r="CN1476" s="73"/>
      <c r="CO1476" s="73"/>
      <c r="CP1476" s="73"/>
      <c r="CQ1476" s="73"/>
      <c r="CR1476" s="73"/>
      <c r="CS1476" s="73"/>
      <c r="CT1476" s="73"/>
      <c r="CU1476" s="73"/>
      <c r="CV1476" s="73"/>
      <c r="CW1476" s="73"/>
      <c r="CX1476" s="73"/>
      <c r="CY1476" s="73"/>
      <c r="CZ1476" s="73"/>
      <c r="DA1476" s="73"/>
      <c r="DB1476" s="73"/>
      <c r="DC1476" s="73"/>
      <c r="DD1476" s="73"/>
      <c r="DE1476" s="73"/>
      <c r="DF1476" s="73"/>
      <c r="DG1476" s="73"/>
      <c r="DH1476" s="73"/>
      <c r="DI1476" s="73"/>
      <c r="DJ1476" s="73"/>
      <c r="DK1476" s="73"/>
      <c r="DL1476" s="73"/>
      <c r="DM1476" s="73"/>
    </row>
    <row r="1477" spans="1:117" s="48" customFormat="1">
      <c r="A1477" s="73"/>
      <c r="T1477" s="73"/>
      <c r="U1477" s="73"/>
      <c r="V1477" s="73"/>
      <c r="W1477" s="73"/>
      <c r="X1477" s="73"/>
      <c r="Y1477" s="73"/>
      <c r="Z1477" s="73"/>
      <c r="AA1477" s="73"/>
      <c r="AB1477" s="73"/>
      <c r="AC1477" s="73"/>
      <c r="AD1477" s="73"/>
      <c r="AE1477" s="73"/>
      <c r="AF1477" s="73"/>
      <c r="AG1477" s="73"/>
      <c r="AH1477" s="73"/>
      <c r="AI1477" s="73"/>
      <c r="AJ1477" s="73"/>
      <c r="AK1477" s="73"/>
      <c r="AL1477" s="73"/>
      <c r="AM1477" s="73"/>
      <c r="AN1477" s="73"/>
      <c r="AO1477" s="73"/>
      <c r="AP1477" s="73"/>
      <c r="AQ1477" s="73"/>
      <c r="AR1477" s="73"/>
      <c r="AS1477" s="73"/>
      <c r="AT1477" s="73"/>
      <c r="AU1477" s="73"/>
      <c r="AV1477" s="73"/>
      <c r="AW1477" s="73"/>
      <c r="AX1477" s="73"/>
      <c r="AY1477" s="73"/>
      <c r="AZ1477" s="73"/>
      <c r="BA1477" s="73"/>
      <c r="BB1477" s="73"/>
      <c r="BC1477" s="73"/>
      <c r="BD1477" s="73"/>
      <c r="BE1477" s="73"/>
      <c r="BF1477" s="73"/>
      <c r="BG1477" s="73"/>
      <c r="BH1477" s="73"/>
      <c r="BI1477" s="73"/>
      <c r="BJ1477" s="73"/>
      <c r="BK1477" s="73"/>
      <c r="BL1477" s="73"/>
      <c r="BM1477" s="73"/>
      <c r="BN1477" s="73"/>
      <c r="BO1477" s="73"/>
      <c r="BP1477" s="73"/>
      <c r="BQ1477" s="73"/>
      <c r="BR1477" s="73"/>
      <c r="BS1477" s="73"/>
      <c r="BT1477" s="73"/>
      <c r="BU1477" s="73"/>
      <c r="BV1477" s="73"/>
      <c r="BW1477" s="73"/>
      <c r="BX1477" s="73"/>
      <c r="BY1477" s="73"/>
      <c r="BZ1477" s="73"/>
      <c r="CA1477" s="73"/>
      <c r="CB1477" s="73"/>
      <c r="CC1477" s="73"/>
      <c r="CD1477" s="73"/>
      <c r="CE1477" s="73"/>
      <c r="CF1477" s="73"/>
      <c r="CG1477" s="73"/>
      <c r="CH1477" s="73"/>
      <c r="CI1477" s="73"/>
      <c r="CJ1477" s="73"/>
      <c r="CK1477" s="73"/>
      <c r="CL1477" s="73"/>
      <c r="CM1477" s="73"/>
      <c r="CN1477" s="73"/>
      <c r="CO1477" s="73"/>
      <c r="CP1477" s="73"/>
      <c r="CQ1477" s="73"/>
      <c r="CR1477" s="73"/>
      <c r="CS1477" s="73"/>
      <c r="CT1477" s="73"/>
      <c r="CU1477" s="73"/>
      <c r="CV1477" s="73"/>
      <c r="CW1477" s="73"/>
      <c r="CX1477" s="73"/>
      <c r="CY1477" s="73"/>
      <c r="CZ1477" s="73"/>
      <c r="DA1477" s="73"/>
      <c r="DB1477" s="73"/>
      <c r="DC1477" s="73"/>
      <c r="DD1477" s="73"/>
      <c r="DE1477" s="73"/>
      <c r="DF1477" s="73"/>
      <c r="DG1477" s="73"/>
      <c r="DH1477" s="73"/>
      <c r="DI1477" s="73"/>
      <c r="DJ1477" s="73"/>
      <c r="DK1477" s="73"/>
      <c r="DL1477" s="73"/>
      <c r="DM1477" s="73"/>
    </row>
    <row r="1478" spans="1:117" s="48" customFormat="1">
      <c r="A1478" s="73"/>
      <c r="T1478" s="73"/>
      <c r="U1478" s="73"/>
      <c r="V1478" s="73"/>
      <c r="W1478" s="73"/>
      <c r="X1478" s="73"/>
      <c r="Y1478" s="73"/>
      <c r="Z1478" s="73"/>
      <c r="AA1478" s="73"/>
      <c r="AB1478" s="73"/>
      <c r="AC1478" s="73"/>
      <c r="AD1478" s="73"/>
      <c r="AE1478" s="73"/>
      <c r="AF1478" s="73"/>
      <c r="AG1478" s="73"/>
      <c r="AH1478" s="73"/>
      <c r="AI1478" s="73"/>
      <c r="AJ1478" s="73"/>
      <c r="AK1478" s="73"/>
      <c r="AL1478" s="73"/>
      <c r="AM1478" s="73"/>
      <c r="AN1478" s="73"/>
      <c r="AO1478" s="73"/>
      <c r="AP1478" s="73"/>
      <c r="AQ1478" s="73"/>
      <c r="AR1478" s="73"/>
      <c r="AS1478" s="73"/>
      <c r="AT1478" s="73"/>
      <c r="AU1478" s="73"/>
      <c r="AV1478" s="73"/>
      <c r="AW1478" s="73"/>
      <c r="AX1478" s="73"/>
      <c r="AY1478" s="73"/>
      <c r="AZ1478" s="73"/>
      <c r="BA1478" s="73"/>
      <c r="BB1478" s="73"/>
      <c r="BC1478" s="73"/>
      <c r="BD1478" s="73"/>
      <c r="BE1478" s="73"/>
      <c r="BF1478" s="73"/>
      <c r="BG1478" s="73"/>
      <c r="BH1478" s="73"/>
      <c r="BI1478" s="73"/>
      <c r="BJ1478" s="73"/>
      <c r="BK1478" s="73"/>
      <c r="BL1478" s="73"/>
      <c r="BM1478" s="73"/>
      <c r="BN1478" s="73"/>
      <c r="BO1478" s="73"/>
      <c r="BP1478" s="73"/>
      <c r="BQ1478" s="73"/>
      <c r="BR1478" s="73"/>
      <c r="BS1478" s="73"/>
      <c r="BT1478" s="73"/>
      <c r="BU1478" s="73"/>
      <c r="BV1478" s="73"/>
      <c r="BW1478" s="73"/>
      <c r="BX1478" s="73"/>
      <c r="BY1478" s="73"/>
      <c r="BZ1478" s="73"/>
      <c r="CA1478" s="73"/>
      <c r="CB1478" s="73"/>
      <c r="CC1478" s="73"/>
      <c r="CD1478" s="73"/>
      <c r="CE1478" s="73"/>
      <c r="CF1478" s="73"/>
      <c r="CG1478" s="73"/>
      <c r="CH1478" s="73"/>
      <c r="CI1478" s="73"/>
      <c r="CJ1478" s="73"/>
      <c r="CK1478" s="73"/>
      <c r="CL1478" s="73"/>
      <c r="CM1478" s="73"/>
      <c r="CN1478" s="73"/>
      <c r="CO1478" s="73"/>
      <c r="CP1478" s="73"/>
      <c r="CQ1478" s="73"/>
      <c r="CR1478" s="73"/>
      <c r="CS1478" s="73"/>
      <c r="CT1478" s="73"/>
      <c r="CU1478" s="73"/>
      <c r="CV1478" s="73"/>
      <c r="CW1478" s="73"/>
      <c r="CX1478" s="73"/>
      <c r="CY1478" s="73"/>
      <c r="CZ1478" s="73"/>
      <c r="DA1478" s="73"/>
      <c r="DB1478" s="73"/>
      <c r="DC1478" s="73"/>
      <c r="DD1478" s="73"/>
      <c r="DE1478" s="73"/>
      <c r="DF1478" s="73"/>
      <c r="DG1478" s="73"/>
      <c r="DH1478" s="73"/>
      <c r="DI1478" s="73"/>
      <c r="DJ1478" s="73"/>
      <c r="DK1478" s="73"/>
      <c r="DL1478" s="73"/>
      <c r="DM1478" s="73"/>
    </row>
    <row r="1479" spans="1:117" s="48" customFormat="1">
      <c r="A1479" s="73"/>
      <c r="T1479" s="73"/>
      <c r="U1479" s="73"/>
      <c r="V1479" s="73"/>
      <c r="W1479" s="73"/>
      <c r="X1479" s="73"/>
      <c r="Y1479" s="73"/>
      <c r="Z1479" s="73"/>
      <c r="AA1479" s="73"/>
      <c r="AB1479" s="73"/>
      <c r="AC1479" s="73"/>
      <c r="AD1479" s="73"/>
      <c r="AE1479" s="73"/>
      <c r="AF1479" s="73"/>
      <c r="AG1479" s="73"/>
      <c r="AH1479" s="73"/>
      <c r="AI1479" s="73"/>
      <c r="AJ1479" s="73"/>
      <c r="AK1479" s="73"/>
      <c r="AL1479" s="73"/>
      <c r="AM1479" s="73"/>
      <c r="AN1479" s="73"/>
      <c r="AO1479" s="73"/>
      <c r="AP1479" s="73"/>
      <c r="AQ1479" s="73"/>
      <c r="AR1479" s="73"/>
      <c r="AS1479" s="73"/>
      <c r="AT1479" s="73"/>
      <c r="AU1479" s="73"/>
      <c r="AV1479" s="73"/>
      <c r="AW1479" s="73"/>
      <c r="AX1479" s="73"/>
      <c r="AY1479" s="73"/>
      <c r="AZ1479" s="73"/>
      <c r="BA1479" s="73"/>
      <c r="BB1479" s="73"/>
      <c r="BC1479" s="73"/>
      <c r="BD1479" s="73"/>
      <c r="BE1479" s="73"/>
      <c r="BF1479" s="73"/>
      <c r="BG1479" s="73"/>
      <c r="BH1479" s="73"/>
      <c r="BI1479" s="73"/>
      <c r="BJ1479" s="73"/>
      <c r="BK1479" s="73"/>
      <c r="BL1479" s="73"/>
      <c r="BM1479" s="73"/>
      <c r="BN1479" s="73"/>
      <c r="BO1479" s="73"/>
      <c r="BP1479" s="73"/>
      <c r="BQ1479" s="73"/>
      <c r="BR1479" s="73"/>
      <c r="BS1479" s="73"/>
      <c r="BT1479" s="73"/>
      <c r="BU1479" s="73"/>
      <c r="BV1479" s="73"/>
      <c r="BW1479" s="73"/>
      <c r="BX1479" s="73"/>
      <c r="BY1479" s="73"/>
      <c r="BZ1479" s="73"/>
      <c r="CA1479" s="73"/>
      <c r="CB1479" s="73"/>
      <c r="CC1479" s="73"/>
      <c r="CD1479" s="73"/>
      <c r="CE1479" s="73"/>
      <c r="CF1479" s="73"/>
      <c r="CG1479" s="73"/>
      <c r="CH1479" s="73"/>
      <c r="CI1479" s="73"/>
      <c r="CJ1479" s="73"/>
      <c r="CK1479" s="73"/>
      <c r="CL1479" s="73"/>
      <c r="CM1479" s="73"/>
      <c r="CN1479" s="73"/>
      <c r="CO1479" s="73"/>
      <c r="CP1479" s="73"/>
      <c r="CQ1479" s="73"/>
      <c r="CR1479" s="73"/>
      <c r="CS1479" s="73"/>
      <c r="CT1479" s="73"/>
      <c r="CU1479" s="73"/>
      <c r="CV1479" s="73"/>
      <c r="CW1479" s="73"/>
      <c r="CX1479" s="73"/>
      <c r="CY1479" s="73"/>
      <c r="CZ1479" s="73"/>
      <c r="DA1479" s="73"/>
      <c r="DB1479" s="73"/>
      <c r="DC1479" s="73"/>
      <c r="DD1479" s="73"/>
      <c r="DE1479" s="73"/>
      <c r="DF1479" s="73"/>
      <c r="DG1479" s="73"/>
      <c r="DH1479" s="73"/>
      <c r="DI1479" s="73"/>
      <c r="DJ1479" s="73"/>
      <c r="DK1479" s="73"/>
      <c r="DL1479" s="73"/>
      <c r="DM1479" s="73"/>
    </row>
    <row r="1480" spans="1:117" s="48" customFormat="1">
      <c r="A1480" s="73"/>
      <c r="T1480" s="73"/>
      <c r="U1480" s="73"/>
      <c r="V1480" s="73"/>
      <c r="W1480" s="73"/>
      <c r="X1480" s="73"/>
      <c r="Y1480" s="73"/>
      <c r="Z1480" s="73"/>
      <c r="AA1480" s="73"/>
      <c r="AB1480" s="73"/>
      <c r="AC1480" s="73"/>
      <c r="AD1480" s="73"/>
      <c r="AE1480" s="73"/>
      <c r="AF1480" s="73"/>
      <c r="AG1480" s="73"/>
      <c r="AH1480" s="73"/>
      <c r="AI1480" s="73"/>
      <c r="AJ1480" s="73"/>
      <c r="AK1480" s="73"/>
      <c r="AL1480" s="73"/>
      <c r="AM1480" s="73"/>
      <c r="AN1480" s="73"/>
      <c r="AO1480" s="73"/>
      <c r="AP1480" s="73"/>
      <c r="AQ1480" s="73"/>
      <c r="AR1480" s="73"/>
      <c r="AS1480" s="73"/>
      <c r="AT1480" s="73"/>
      <c r="AU1480" s="73"/>
      <c r="AV1480" s="73"/>
      <c r="AW1480" s="73"/>
      <c r="AX1480" s="73"/>
      <c r="AY1480" s="73"/>
      <c r="AZ1480" s="73"/>
      <c r="BA1480" s="73"/>
      <c r="BB1480" s="73"/>
      <c r="BC1480" s="73"/>
      <c r="BD1480" s="73"/>
      <c r="BE1480" s="73"/>
      <c r="BF1480" s="73"/>
      <c r="BG1480" s="73"/>
      <c r="BH1480" s="73"/>
      <c r="BI1480" s="73"/>
      <c r="BJ1480" s="73"/>
      <c r="BK1480" s="73"/>
      <c r="BL1480" s="73"/>
      <c r="BM1480" s="73"/>
      <c r="BN1480" s="73"/>
      <c r="BO1480" s="73"/>
      <c r="BP1480" s="73"/>
      <c r="BQ1480" s="73"/>
      <c r="BR1480" s="73"/>
      <c r="BS1480" s="73"/>
      <c r="BT1480" s="73"/>
      <c r="BU1480" s="73"/>
      <c r="BV1480" s="73"/>
      <c r="BW1480" s="73"/>
      <c r="BX1480" s="73"/>
      <c r="BY1480" s="73"/>
      <c r="BZ1480" s="73"/>
      <c r="CA1480" s="73"/>
      <c r="CB1480" s="73"/>
      <c r="CC1480" s="73"/>
      <c r="CD1480" s="73"/>
      <c r="CE1480" s="73"/>
      <c r="CF1480" s="73"/>
      <c r="CG1480" s="73"/>
      <c r="CH1480" s="73"/>
      <c r="CI1480" s="73"/>
      <c r="CJ1480" s="73"/>
      <c r="CK1480" s="73"/>
      <c r="CL1480" s="73"/>
      <c r="CM1480" s="73"/>
      <c r="CN1480" s="73"/>
      <c r="CO1480" s="73"/>
      <c r="CP1480" s="73"/>
      <c r="CQ1480" s="73"/>
      <c r="CR1480" s="73"/>
      <c r="CS1480" s="73"/>
      <c r="CT1480" s="73"/>
      <c r="CU1480" s="73"/>
      <c r="CV1480" s="73"/>
      <c r="CW1480" s="73"/>
      <c r="CX1480" s="73"/>
      <c r="CY1480" s="73"/>
      <c r="CZ1480" s="73"/>
      <c r="DA1480" s="73"/>
      <c r="DB1480" s="73"/>
      <c r="DC1480" s="73"/>
      <c r="DD1480" s="73"/>
      <c r="DE1480" s="73"/>
      <c r="DF1480" s="73"/>
      <c r="DG1480" s="73"/>
      <c r="DH1480" s="73"/>
      <c r="DI1480" s="73"/>
      <c r="DJ1480" s="73"/>
      <c r="DK1480" s="73"/>
      <c r="DL1480" s="73"/>
      <c r="DM1480" s="73"/>
    </row>
    <row r="1481" spans="1:117" s="48" customFormat="1">
      <c r="A1481" s="73"/>
      <c r="T1481" s="73"/>
      <c r="U1481" s="73"/>
      <c r="V1481" s="73"/>
      <c r="W1481" s="73"/>
      <c r="X1481" s="73"/>
      <c r="Y1481" s="73"/>
      <c r="Z1481" s="73"/>
      <c r="AA1481" s="73"/>
      <c r="AB1481" s="73"/>
      <c r="AC1481" s="73"/>
      <c r="AD1481" s="73"/>
      <c r="AE1481" s="73"/>
      <c r="AF1481" s="73"/>
      <c r="AG1481" s="73"/>
      <c r="AH1481" s="73"/>
      <c r="AI1481" s="73"/>
      <c r="AJ1481" s="73"/>
      <c r="AK1481" s="73"/>
      <c r="AL1481" s="73"/>
      <c r="AM1481" s="73"/>
      <c r="AN1481" s="73"/>
      <c r="AO1481" s="73"/>
      <c r="AP1481" s="73"/>
      <c r="AQ1481" s="73"/>
      <c r="AR1481" s="73"/>
      <c r="AS1481" s="73"/>
      <c r="AT1481" s="73"/>
      <c r="AU1481" s="73"/>
      <c r="AV1481" s="73"/>
      <c r="AW1481" s="73"/>
      <c r="AX1481" s="73"/>
      <c r="AY1481" s="73"/>
      <c r="AZ1481" s="73"/>
      <c r="BA1481" s="73"/>
      <c r="BB1481" s="73"/>
      <c r="BC1481" s="73"/>
      <c r="BD1481" s="73"/>
      <c r="BE1481" s="73"/>
      <c r="BF1481" s="73"/>
      <c r="BG1481" s="73"/>
      <c r="BH1481" s="73"/>
      <c r="BI1481" s="73"/>
      <c r="BJ1481" s="73"/>
      <c r="BK1481" s="73"/>
      <c r="BL1481" s="73"/>
      <c r="BM1481" s="73"/>
      <c r="BN1481" s="73"/>
      <c r="BO1481" s="73"/>
      <c r="BP1481" s="73"/>
      <c r="BQ1481" s="73"/>
      <c r="BR1481" s="73"/>
      <c r="BS1481" s="73"/>
      <c r="BT1481" s="73"/>
      <c r="BU1481" s="73"/>
      <c r="BV1481" s="73"/>
      <c r="BW1481" s="73"/>
      <c r="BX1481" s="73"/>
      <c r="BY1481" s="73"/>
      <c r="BZ1481" s="73"/>
      <c r="CA1481" s="73"/>
      <c r="CB1481" s="73"/>
      <c r="CC1481" s="73"/>
      <c r="CD1481" s="73"/>
      <c r="CE1481" s="73"/>
      <c r="CF1481" s="73"/>
      <c r="CG1481" s="73"/>
      <c r="CH1481" s="73"/>
      <c r="CI1481" s="73"/>
      <c r="CJ1481" s="73"/>
      <c r="CK1481" s="73"/>
      <c r="CL1481" s="73"/>
      <c r="CM1481" s="73"/>
      <c r="CN1481" s="73"/>
      <c r="CO1481" s="73"/>
      <c r="CP1481" s="73"/>
      <c r="CQ1481" s="73"/>
      <c r="CR1481" s="73"/>
      <c r="CS1481" s="73"/>
      <c r="CT1481" s="73"/>
      <c r="CU1481" s="73"/>
      <c r="CV1481" s="73"/>
      <c r="CW1481" s="73"/>
      <c r="CX1481" s="73"/>
      <c r="CY1481" s="73"/>
      <c r="CZ1481" s="73"/>
      <c r="DA1481" s="73"/>
      <c r="DB1481" s="73"/>
      <c r="DC1481" s="73"/>
      <c r="DD1481" s="73"/>
      <c r="DE1481" s="73"/>
      <c r="DF1481" s="73"/>
      <c r="DG1481" s="73"/>
      <c r="DH1481" s="73"/>
      <c r="DI1481" s="73"/>
      <c r="DJ1481" s="73"/>
      <c r="DK1481" s="73"/>
      <c r="DL1481" s="73"/>
      <c r="DM1481" s="73"/>
    </row>
    <row r="1482" spans="1:117" s="48" customFormat="1">
      <c r="A1482" s="73"/>
      <c r="T1482" s="73"/>
      <c r="U1482" s="73"/>
      <c r="V1482" s="73"/>
      <c r="W1482" s="73"/>
      <c r="X1482" s="73"/>
      <c r="Y1482" s="73"/>
      <c r="Z1482" s="73"/>
      <c r="AA1482" s="73"/>
      <c r="AB1482" s="73"/>
      <c r="AC1482" s="73"/>
      <c r="AD1482" s="73"/>
      <c r="AE1482" s="73"/>
      <c r="AF1482" s="73"/>
      <c r="AG1482" s="73"/>
      <c r="AH1482" s="73"/>
      <c r="AI1482" s="73"/>
      <c r="AJ1482" s="73"/>
      <c r="AK1482" s="73"/>
      <c r="AL1482" s="73"/>
      <c r="AM1482" s="73"/>
      <c r="AN1482" s="73"/>
      <c r="AO1482" s="73"/>
      <c r="AP1482" s="73"/>
      <c r="AQ1482" s="73"/>
      <c r="AR1482" s="73"/>
      <c r="AS1482" s="73"/>
      <c r="AT1482" s="73"/>
      <c r="AU1482" s="73"/>
      <c r="AV1482" s="73"/>
      <c r="AW1482" s="73"/>
      <c r="AX1482" s="73"/>
      <c r="AY1482" s="73"/>
      <c r="AZ1482" s="73"/>
      <c r="BA1482" s="73"/>
      <c r="BB1482" s="73"/>
      <c r="BC1482" s="73"/>
      <c r="BD1482" s="73"/>
      <c r="BE1482" s="73"/>
      <c r="BF1482" s="73"/>
      <c r="BG1482" s="73"/>
      <c r="BH1482" s="73"/>
      <c r="BI1482" s="73"/>
      <c r="BJ1482" s="73"/>
      <c r="BK1482" s="73"/>
      <c r="BL1482" s="73"/>
      <c r="BM1482" s="73"/>
      <c r="BN1482" s="73"/>
      <c r="BO1482" s="73"/>
      <c r="BP1482" s="73"/>
      <c r="BQ1482" s="73"/>
      <c r="BR1482" s="73"/>
      <c r="BS1482" s="73"/>
      <c r="BT1482" s="73"/>
      <c r="BU1482" s="73"/>
      <c r="BV1482" s="73"/>
      <c r="BW1482" s="73"/>
      <c r="BX1482" s="73"/>
      <c r="BY1482" s="73"/>
      <c r="BZ1482" s="73"/>
      <c r="CA1482" s="73"/>
      <c r="CB1482" s="73"/>
      <c r="CC1482" s="73"/>
      <c r="CD1482" s="73"/>
      <c r="CE1482" s="73"/>
      <c r="CF1482" s="73"/>
      <c r="CG1482" s="73"/>
      <c r="CH1482" s="73"/>
      <c r="CI1482" s="73"/>
      <c r="CJ1482" s="73"/>
      <c r="CK1482" s="73"/>
      <c r="CL1482" s="73"/>
      <c r="CM1482" s="73"/>
      <c r="CN1482" s="73"/>
      <c r="CO1482" s="73"/>
      <c r="CP1482" s="73"/>
      <c r="CQ1482" s="73"/>
      <c r="CR1482" s="73"/>
      <c r="CS1482" s="73"/>
      <c r="CT1482" s="73"/>
      <c r="CU1482" s="73"/>
      <c r="CV1482" s="73"/>
      <c r="CW1482" s="73"/>
      <c r="CX1482" s="73"/>
      <c r="CY1482" s="73"/>
      <c r="CZ1482" s="73"/>
      <c r="DA1482" s="73"/>
      <c r="DB1482" s="73"/>
      <c r="DC1482" s="73"/>
      <c r="DD1482" s="73"/>
      <c r="DE1482" s="73"/>
      <c r="DF1482" s="73"/>
      <c r="DG1482" s="73"/>
      <c r="DH1482" s="73"/>
      <c r="DI1482" s="73"/>
      <c r="DJ1482" s="73"/>
      <c r="DK1482" s="73"/>
      <c r="DL1482" s="73"/>
      <c r="DM1482" s="73"/>
    </row>
    <row r="1483" spans="1:117" s="48" customFormat="1">
      <c r="A1483" s="73"/>
      <c r="T1483" s="73"/>
      <c r="U1483" s="73"/>
      <c r="V1483" s="73"/>
      <c r="W1483" s="73"/>
      <c r="X1483" s="73"/>
      <c r="Y1483" s="73"/>
      <c r="Z1483" s="73"/>
      <c r="AA1483" s="73"/>
      <c r="AB1483" s="73"/>
      <c r="AC1483" s="73"/>
      <c r="AD1483" s="73"/>
      <c r="AE1483" s="73"/>
      <c r="AF1483" s="73"/>
      <c r="AG1483" s="73"/>
      <c r="AH1483" s="73"/>
      <c r="AI1483" s="73"/>
      <c r="AJ1483" s="73"/>
      <c r="AK1483" s="73"/>
      <c r="AL1483" s="73"/>
      <c r="AM1483" s="73"/>
      <c r="AN1483" s="73"/>
      <c r="AO1483" s="73"/>
      <c r="AP1483" s="73"/>
      <c r="AQ1483" s="73"/>
      <c r="AR1483" s="73"/>
      <c r="AS1483" s="73"/>
      <c r="AT1483" s="73"/>
      <c r="AU1483" s="73"/>
      <c r="AV1483" s="73"/>
      <c r="AW1483" s="73"/>
      <c r="AX1483" s="73"/>
      <c r="AY1483" s="73"/>
      <c r="AZ1483" s="73"/>
      <c r="BA1483" s="73"/>
      <c r="BB1483" s="73"/>
      <c r="BC1483" s="73"/>
      <c r="BD1483" s="73"/>
      <c r="BE1483" s="73"/>
      <c r="BF1483" s="73"/>
      <c r="BG1483" s="73"/>
      <c r="BH1483" s="73"/>
      <c r="BI1483" s="73"/>
      <c r="BJ1483" s="73"/>
      <c r="BK1483" s="73"/>
      <c r="BL1483" s="73"/>
      <c r="BM1483" s="73"/>
      <c r="BN1483" s="73"/>
      <c r="BO1483" s="73"/>
      <c r="BP1483" s="73"/>
      <c r="BQ1483" s="73"/>
      <c r="BR1483" s="73"/>
      <c r="BS1483" s="73"/>
      <c r="BT1483" s="73"/>
      <c r="BU1483" s="73"/>
      <c r="BV1483" s="73"/>
      <c r="BW1483" s="73"/>
      <c r="BX1483" s="73"/>
      <c r="BY1483" s="73"/>
      <c r="BZ1483" s="73"/>
      <c r="CA1483" s="73"/>
      <c r="CB1483" s="73"/>
      <c r="CC1483" s="73"/>
      <c r="CD1483" s="73"/>
      <c r="CE1483" s="73"/>
      <c r="CF1483" s="73"/>
      <c r="CG1483" s="73"/>
      <c r="CH1483" s="73"/>
      <c r="CI1483" s="73"/>
      <c r="CJ1483" s="73"/>
      <c r="CK1483" s="73"/>
      <c r="CL1483" s="73"/>
      <c r="CM1483" s="73"/>
      <c r="CN1483" s="73"/>
      <c r="CO1483" s="73"/>
      <c r="CP1483" s="73"/>
      <c r="CQ1483" s="73"/>
      <c r="CR1483" s="73"/>
      <c r="CS1483" s="73"/>
      <c r="CT1483" s="73"/>
      <c r="CU1483" s="73"/>
      <c r="CV1483" s="73"/>
      <c r="CW1483" s="73"/>
      <c r="CX1483" s="73"/>
      <c r="CY1483" s="73"/>
      <c r="CZ1483" s="73"/>
      <c r="DA1483" s="73"/>
      <c r="DB1483" s="73"/>
      <c r="DC1483" s="73"/>
      <c r="DD1483" s="73"/>
      <c r="DE1483" s="73"/>
      <c r="DF1483" s="73"/>
      <c r="DG1483" s="73"/>
      <c r="DH1483" s="73"/>
      <c r="DI1483" s="73"/>
      <c r="DJ1483" s="73"/>
      <c r="DK1483" s="73"/>
      <c r="DL1483" s="73"/>
      <c r="DM1483" s="73"/>
    </row>
    <row r="1484" spans="1:117" s="48" customFormat="1">
      <c r="A1484" s="73"/>
      <c r="T1484" s="73"/>
      <c r="U1484" s="73"/>
      <c r="V1484" s="73"/>
      <c r="W1484" s="73"/>
      <c r="X1484" s="73"/>
      <c r="Y1484" s="73"/>
      <c r="Z1484" s="73"/>
      <c r="AA1484" s="73"/>
      <c r="AB1484" s="73"/>
      <c r="AC1484" s="73"/>
      <c r="AD1484" s="73"/>
      <c r="AE1484" s="73"/>
      <c r="AF1484" s="73"/>
      <c r="AG1484" s="73"/>
      <c r="AH1484" s="73"/>
      <c r="AI1484" s="73"/>
      <c r="AJ1484" s="73"/>
      <c r="AK1484" s="73"/>
      <c r="AL1484" s="73"/>
      <c r="AM1484" s="73"/>
      <c r="AN1484" s="73"/>
      <c r="AO1484" s="73"/>
      <c r="AP1484" s="73"/>
      <c r="AQ1484" s="73"/>
      <c r="AR1484" s="73"/>
      <c r="AS1484" s="73"/>
      <c r="AT1484" s="73"/>
      <c r="AU1484" s="73"/>
      <c r="AV1484" s="73"/>
      <c r="AW1484" s="73"/>
      <c r="AX1484" s="73"/>
      <c r="AY1484" s="73"/>
      <c r="AZ1484" s="73"/>
      <c r="BA1484" s="73"/>
      <c r="BB1484" s="73"/>
      <c r="BC1484" s="73"/>
      <c r="BD1484" s="73"/>
      <c r="BE1484" s="73"/>
      <c r="BF1484" s="73"/>
      <c r="BG1484" s="73"/>
      <c r="BH1484" s="73"/>
      <c r="BI1484" s="73"/>
      <c r="BJ1484" s="73"/>
      <c r="BK1484" s="73"/>
      <c r="BL1484" s="73"/>
      <c r="BM1484" s="73"/>
      <c r="BN1484" s="73"/>
      <c r="BO1484" s="73"/>
      <c r="BP1484" s="73"/>
      <c r="BQ1484" s="73"/>
      <c r="BR1484" s="73"/>
      <c r="BS1484" s="73"/>
      <c r="BT1484" s="73"/>
      <c r="BU1484" s="73"/>
      <c r="BV1484" s="73"/>
      <c r="BW1484" s="73"/>
      <c r="BX1484" s="73"/>
      <c r="BY1484" s="73"/>
      <c r="BZ1484" s="73"/>
      <c r="CA1484" s="73"/>
      <c r="CB1484" s="73"/>
      <c r="CC1484" s="73"/>
      <c r="CD1484" s="73"/>
      <c r="CE1484" s="73"/>
      <c r="CF1484" s="73"/>
      <c r="CG1484" s="73"/>
      <c r="CH1484" s="73"/>
      <c r="CI1484" s="73"/>
      <c r="CJ1484" s="73"/>
      <c r="CK1484" s="73"/>
      <c r="CL1484" s="73"/>
      <c r="CM1484" s="73"/>
      <c r="CN1484" s="73"/>
      <c r="CO1484" s="73"/>
      <c r="CP1484" s="73"/>
      <c r="CQ1484" s="73"/>
      <c r="CR1484" s="73"/>
      <c r="CS1484" s="73"/>
      <c r="CT1484" s="73"/>
      <c r="CU1484" s="73"/>
      <c r="CV1484" s="73"/>
      <c r="CW1484" s="73"/>
      <c r="CX1484" s="73"/>
      <c r="CY1484" s="73"/>
      <c r="CZ1484" s="73"/>
      <c r="DA1484" s="73"/>
      <c r="DB1484" s="73"/>
      <c r="DC1484" s="73"/>
      <c r="DD1484" s="73"/>
      <c r="DE1484" s="73"/>
      <c r="DF1484" s="73"/>
      <c r="DG1484" s="73"/>
      <c r="DH1484" s="73"/>
      <c r="DI1484" s="73"/>
      <c r="DJ1484" s="73"/>
      <c r="DK1484" s="73"/>
      <c r="DL1484" s="73"/>
      <c r="DM1484" s="73"/>
    </row>
    <row r="1485" spans="1:117" s="48" customFormat="1">
      <c r="A1485" s="73"/>
      <c r="T1485" s="73"/>
      <c r="U1485" s="73"/>
      <c r="V1485" s="73"/>
      <c r="W1485" s="73"/>
      <c r="X1485" s="73"/>
      <c r="Y1485" s="73"/>
      <c r="Z1485" s="73"/>
      <c r="AA1485" s="73"/>
      <c r="AB1485" s="73"/>
      <c r="AC1485" s="73"/>
      <c r="AD1485" s="73"/>
      <c r="AE1485" s="73"/>
      <c r="AF1485" s="73"/>
      <c r="AG1485" s="73"/>
      <c r="AH1485" s="73"/>
      <c r="AI1485" s="73"/>
      <c r="AJ1485" s="73"/>
      <c r="AK1485" s="73"/>
      <c r="AL1485" s="73"/>
      <c r="AM1485" s="73"/>
      <c r="AN1485" s="73"/>
      <c r="AO1485" s="73"/>
      <c r="AP1485" s="73"/>
      <c r="AQ1485" s="73"/>
      <c r="AR1485" s="73"/>
      <c r="AS1485" s="73"/>
      <c r="AT1485" s="73"/>
      <c r="AU1485" s="73"/>
      <c r="AV1485" s="73"/>
      <c r="AW1485" s="73"/>
      <c r="AX1485" s="73"/>
      <c r="AY1485" s="73"/>
      <c r="AZ1485" s="73"/>
      <c r="BA1485" s="73"/>
      <c r="BB1485" s="73"/>
      <c r="BC1485" s="73"/>
      <c r="BD1485" s="73"/>
      <c r="BE1485" s="73"/>
      <c r="BF1485" s="73"/>
      <c r="BG1485" s="73"/>
      <c r="BH1485" s="73"/>
      <c r="BI1485" s="73"/>
      <c r="BJ1485" s="73"/>
      <c r="BK1485" s="73"/>
      <c r="BL1485" s="73"/>
      <c r="BM1485" s="73"/>
      <c r="BN1485" s="73"/>
      <c r="BO1485" s="73"/>
      <c r="BP1485" s="73"/>
      <c r="BQ1485" s="73"/>
      <c r="BR1485" s="73"/>
      <c r="BS1485" s="73"/>
      <c r="BT1485" s="73"/>
      <c r="BU1485" s="73"/>
      <c r="BV1485" s="73"/>
      <c r="BW1485" s="73"/>
      <c r="BX1485" s="73"/>
      <c r="BY1485" s="73"/>
      <c r="BZ1485" s="73"/>
      <c r="CA1485" s="73"/>
      <c r="CB1485" s="73"/>
      <c r="CC1485" s="73"/>
      <c r="CD1485" s="73"/>
      <c r="CE1485" s="73"/>
      <c r="CF1485" s="73"/>
      <c r="CG1485" s="73"/>
      <c r="CH1485" s="73"/>
      <c r="CI1485" s="73"/>
      <c r="CJ1485" s="73"/>
      <c r="CK1485" s="73"/>
      <c r="CL1485" s="73"/>
      <c r="CM1485" s="73"/>
      <c r="CN1485" s="73"/>
      <c r="CO1485" s="73"/>
      <c r="CP1485" s="73"/>
      <c r="CQ1485" s="73"/>
      <c r="CR1485" s="73"/>
      <c r="CS1485" s="73"/>
      <c r="CT1485" s="73"/>
      <c r="CU1485" s="73"/>
      <c r="CV1485" s="73"/>
      <c r="CW1485" s="73"/>
      <c r="CX1485" s="73"/>
      <c r="CY1485" s="73"/>
      <c r="CZ1485" s="73"/>
      <c r="DA1485" s="73"/>
      <c r="DB1485" s="73"/>
      <c r="DC1485" s="73"/>
      <c r="DD1485" s="73"/>
      <c r="DE1485" s="73"/>
      <c r="DF1485" s="73"/>
      <c r="DG1485" s="73"/>
      <c r="DH1485" s="73"/>
      <c r="DI1485" s="73"/>
      <c r="DJ1485" s="73"/>
      <c r="DK1485" s="73"/>
      <c r="DL1485" s="73"/>
      <c r="DM1485" s="73"/>
    </row>
    <row r="1486" spans="1:117" s="48" customFormat="1">
      <c r="A1486" s="73"/>
      <c r="T1486" s="73"/>
      <c r="U1486" s="73"/>
      <c r="V1486" s="73"/>
      <c r="W1486" s="73"/>
      <c r="X1486" s="73"/>
      <c r="Y1486" s="73"/>
      <c r="Z1486" s="73"/>
      <c r="AA1486" s="73"/>
      <c r="AB1486" s="73"/>
      <c r="AC1486" s="73"/>
      <c r="AD1486" s="73"/>
      <c r="AE1486" s="73"/>
      <c r="AF1486" s="73"/>
      <c r="AG1486" s="73"/>
      <c r="AH1486" s="73"/>
      <c r="AI1486" s="73"/>
      <c r="AJ1486" s="73"/>
      <c r="AK1486" s="73"/>
      <c r="AL1486" s="73"/>
      <c r="AM1486" s="73"/>
      <c r="AN1486" s="73"/>
      <c r="AO1486" s="73"/>
      <c r="AP1486" s="73"/>
      <c r="AQ1486" s="73"/>
      <c r="AR1486" s="73"/>
      <c r="AS1486" s="73"/>
      <c r="AT1486" s="73"/>
      <c r="AU1486" s="73"/>
      <c r="AV1486" s="73"/>
      <c r="AW1486" s="73"/>
      <c r="AX1486" s="73"/>
      <c r="AY1486" s="73"/>
      <c r="AZ1486" s="73"/>
      <c r="BA1486" s="73"/>
      <c r="BB1486" s="73"/>
      <c r="BC1486" s="73"/>
      <c r="BD1486" s="73"/>
      <c r="BE1486" s="73"/>
      <c r="BF1486" s="73"/>
      <c r="BG1486" s="73"/>
      <c r="BH1486" s="73"/>
      <c r="BI1486" s="73"/>
      <c r="BJ1486" s="73"/>
      <c r="BK1486" s="73"/>
      <c r="BL1486" s="73"/>
      <c r="BM1486" s="73"/>
      <c r="BN1486" s="73"/>
      <c r="BO1486" s="73"/>
      <c r="BP1486" s="73"/>
      <c r="BQ1486" s="73"/>
      <c r="BR1486" s="73"/>
      <c r="BS1486" s="73"/>
      <c r="BT1486" s="73"/>
      <c r="BU1486" s="73"/>
      <c r="BV1486" s="73"/>
      <c r="BW1486" s="73"/>
      <c r="BX1486" s="73"/>
      <c r="BY1486" s="73"/>
      <c r="BZ1486" s="73"/>
      <c r="CA1486" s="73"/>
      <c r="CB1486" s="73"/>
      <c r="CC1486" s="73"/>
      <c r="CD1486" s="73"/>
      <c r="CE1486" s="73"/>
      <c r="CF1486" s="73"/>
      <c r="CG1486" s="73"/>
      <c r="CH1486" s="73"/>
      <c r="CI1486" s="73"/>
      <c r="CJ1486" s="73"/>
      <c r="CK1486" s="73"/>
      <c r="CL1486" s="73"/>
      <c r="CM1486" s="73"/>
      <c r="CN1486" s="73"/>
      <c r="CO1486" s="73"/>
      <c r="CP1486" s="73"/>
      <c r="CQ1486" s="73"/>
      <c r="CR1486" s="73"/>
      <c r="CS1486" s="73"/>
      <c r="CT1486" s="73"/>
      <c r="CU1486" s="73"/>
      <c r="CV1486" s="73"/>
      <c r="CW1486" s="73"/>
      <c r="CX1486" s="73"/>
      <c r="CY1486" s="73"/>
      <c r="CZ1486" s="73"/>
      <c r="DA1486" s="73"/>
      <c r="DB1486" s="73"/>
      <c r="DC1486" s="73"/>
      <c r="DD1486" s="73"/>
      <c r="DE1486" s="73"/>
      <c r="DF1486" s="73"/>
      <c r="DG1486" s="73"/>
      <c r="DH1486" s="73"/>
      <c r="DI1486" s="73"/>
      <c r="DJ1486" s="73"/>
      <c r="DK1486" s="73"/>
      <c r="DL1486" s="73"/>
      <c r="DM1486" s="73"/>
    </row>
    <row r="1487" spans="1:117" s="48" customFormat="1">
      <c r="A1487" s="73"/>
      <c r="T1487" s="73"/>
      <c r="U1487" s="73"/>
      <c r="V1487" s="73"/>
      <c r="W1487" s="73"/>
      <c r="X1487" s="73"/>
      <c r="Y1487" s="73"/>
      <c r="Z1487" s="73"/>
      <c r="AA1487" s="73"/>
      <c r="AB1487" s="73"/>
      <c r="AC1487" s="73"/>
      <c r="AD1487" s="73"/>
      <c r="AE1487" s="73"/>
      <c r="AF1487" s="73"/>
      <c r="AG1487" s="73"/>
      <c r="AH1487" s="73"/>
      <c r="AI1487" s="73"/>
      <c r="AJ1487" s="73"/>
      <c r="AK1487" s="73"/>
      <c r="AL1487" s="73"/>
      <c r="AM1487" s="73"/>
      <c r="AN1487" s="73"/>
      <c r="AO1487" s="73"/>
      <c r="AP1487" s="73"/>
      <c r="AQ1487" s="73"/>
      <c r="AR1487" s="73"/>
      <c r="AS1487" s="73"/>
      <c r="AT1487" s="73"/>
      <c r="AU1487" s="73"/>
      <c r="AV1487" s="73"/>
      <c r="AW1487" s="73"/>
      <c r="AX1487" s="73"/>
      <c r="AY1487" s="73"/>
      <c r="AZ1487" s="73"/>
      <c r="BA1487" s="73"/>
      <c r="BB1487" s="73"/>
      <c r="BC1487" s="73"/>
      <c r="BD1487" s="73"/>
      <c r="BE1487" s="73"/>
      <c r="BF1487" s="73"/>
      <c r="BG1487" s="73"/>
      <c r="BH1487" s="73"/>
      <c r="BI1487" s="73"/>
      <c r="BJ1487" s="73"/>
      <c r="BK1487" s="73"/>
      <c r="BL1487" s="73"/>
      <c r="BM1487" s="73"/>
      <c r="BN1487" s="73"/>
      <c r="BO1487" s="73"/>
      <c r="BP1487" s="73"/>
      <c r="BQ1487" s="73"/>
      <c r="BR1487" s="73"/>
      <c r="BS1487" s="73"/>
      <c r="BT1487" s="73"/>
      <c r="BU1487" s="73"/>
      <c r="BV1487" s="73"/>
      <c r="BW1487" s="73"/>
      <c r="BX1487" s="73"/>
      <c r="BY1487" s="73"/>
      <c r="BZ1487" s="73"/>
      <c r="CA1487" s="73"/>
      <c r="CB1487" s="73"/>
      <c r="CC1487" s="73"/>
      <c r="CD1487" s="73"/>
      <c r="CE1487" s="73"/>
      <c r="CF1487" s="73"/>
      <c r="CG1487" s="73"/>
      <c r="CH1487" s="73"/>
      <c r="CI1487" s="73"/>
      <c r="CJ1487" s="73"/>
      <c r="CK1487" s="73"/>
      <c r="CL1487" s="73"/>
      <c r="CM1487" s="73"/>
      <c r="CN1487" s="73"/>
      <c r="CO1487" s="73"/>
      <c r="CP1487" s="73"/>
      <c r="CQ1487" s="73"/>
      <c r="CR1487" s="73"/>
      <c r="CS1487" s="73"/>
      <c r="CT1487" s="73"/>
      <c r="CU1487" s="73"/>
      <c r="CV1487" s="73"/>
      <c r="CW1487" s="73"/>
      <c r="CX1487" s="73"/>
      <c r="CY1487" s="73"/>
      <c r="CZ1487" s="73"/>
      <c r="DA1487" s="73"/>
      <c r="DB1487" s="73"/>
      <c r="DC1487" s="73"/>
      <c r="DD1487" s="73"/>
      <c r="DE1487" s="73"/>
      <c r="DF1487" s="73"/>
      <c r="DG1487" s="73"/>
      <c r="DH1487" s="73"/>
      <c r="DI1487" s="73"/>
      <c r="DJ1487" s="73"/>
      <c r="DK1487" s="73"/>
      <c r="DL1487" s="73"/>
      <c r="DM1487" s="73"/>
    </row>
    <row r="1488" spans="1:117" s="48" customFormat="1">
      <c r="A1488" s="73"/>
      <c r="T1488" s="73"/>
      <c r="U1488" s="73"/>
      <c r="V1488" s="73"/>
      <c r="W1488" s="73"/>
      <c r="X1488" s="73"/>
      <c r="Y1488" s="73"/>
      <c r="Z1488" s="73"/>
      <c r="AA1488" s="73"/>
      <c r="AB1488" s="73"/>
      <c r="AC1488" s="73"/>
      <c r="AD1488" s="73"/>
      <c r="AE1488" s="73"/>
      <c r="AF1488" s="73"/>
      <c r="AG1488" s="73"/>
      <c r="AH1488" s="73"/>
      <c r="AI1488" s="73"/>
      <c r="AJ1488" s="73"/>
      <c r="AK1488" s="73"/>
      <c r="AL1488" s="73"/>
      <c r="AM1488" s="73"/>
      <c r="AN1488" s="73"/>
      <c r="AO1488" s="73"/>
      <c r="AP1488" s="73"/>
      <c r="AQ1488" s="73"/>
      <c r="AR1488" s="73"/>
      <c r="AS1488" s="73"/>
      <c r="AT1488" s="73"/>
      <c r="AU1488" s="73"/>
      <c r="AV1488" s="73"/>
      <c r="AW1488" s="73"/>
      <c r="AX1488" s="73"/>
      <c r="AY1488" s="73"/>
      <c r="AZ1488" s="73"/>
      <c r="BA1488" s="73"/>
      <c r="BB1488" s="73"/>
      <c r="BC1488" s="73"/>
      <c r="BD1488" s="73"/>
      <c r="BE1488" s="73"/>
      <c r="BF1488" s="73"/>
      <c r="BG1488" s="73"/>
      <c r="BH1488" s="73"/>
      <c r="BI1488" s="73"/>
      <c r="BJ1488" s="73"/>
      <c r="BK1488" s="73"/>
      <c r="BL1488" s="73"/>
      <c r="BM1488" s="73"/>
      <c r="BN1488" s="73"/>
      <c r="BO1488" s="73"/>
      <c r="BP1488" s="73"/>
      <c r="BQ1488" s="73"/>
      <c r="BR1488" s="73"/>
      <c r="BS1488" s="73"/>
      <c r="BT1488" s="73"/>
      <c r="BU1488" s="73"/>
      <c r="BV1488" s="73"/>
      <c r="BW1488" s="73"/>
      <c r="BX1488" s="73"/>
      <c r="BY1488" s="73"/>
      <c r="BZ1488" s="73"/>
      <c r="CA1488" s="73"/>
      <c r="CB1488" s="73"/>
      <c r="CC1488" s="73"/>
      <c r="CD1488" s="73"/>
      <c r="CE1488" s="73"/>
      <c r="CF1488" s="73"/>
      <c r="CG1488" s="73"/>
      <c r="CH1488" s="73"/>
      <c r="CI1488" s="73"/>
      <c r="CJ1488" s="73"/>
      <c r="CK1488" s="73"/>
      <c r="CL1488" s="73"/>
      <c r="CM1488" s="73"/>
      <c r="CN1488" s="73"/>
      <c r="CO1488" s="73"/>
      <c r="CP1488" s="73"/>
      <c r="CQ1488" s="73"/>
      <c r="CR1488" s="73"/>
      <c r="CS1488" s="73"/>
      <c r="CT1488" s="73"/>
      <c r="CU1488" s="73"/>
      <c r="CV1488" s="73"/>
      <c r="CW1488" s="73"/>
      <c r="CX1488" s="73"/>
      <c r="CY1488" s="73"/>
      <c r="CZ1488" s="73"/>
      <c r="DA1488" s="73"/>
      <c r="DB1488" s="73"/>
      <c r="DC1488" s="73"/>
      <c r="DD1488" s="73"/>
      <c r="DE1488" s="73"/>
      <c r="DF1488" s="73"/>
      <c r="DG1488" s="73"/>
      <c r="DH1488" s="73"/>
      <c r="DI1488" s="73"/>
      <c r="DJ1488" s="73"/>
      <c r="DK1488" s="73"/>
      <c r="DL1488" s="73"/>
      <c r="DM1488" s="73"/>
    </row>
    <row r="1489" spans="1:117" s="48" customFormat="1">
      <c r="A1489" s="73"/>
      <c r="T1489" s="73"/>
      <c r="U1489" s="73"/>
      <c r="V1489" s="73"/>
      <c r="W1489" s="73"/>
      <c r="X1489" s="73"/>
      <c r="Y1489" s="73"/>
      <c r="Z1489" s="73"/>
      <c r="AA1489" s="73"/>
      <c r="AB1489" s="73"/>
      <c r="AC1489" s="73"/>
      <c r="AD1489" s="73"/>
      <c r="AE1489" s="73"/>
      <c r="AF1489" s="73"/>
      <c r="AG1489" s="73"/>
      <c r="AH1489" s="73"/>
      <c r="AI1489" s="73"/>
      <c r="AJ1489" s="73"/>
      <c r="AK1489" s="73"/>
      <c r="AL1489" s="73"/>
      <c r="AM1489" s="73"/>
      <c r="AN1489" s="73"/>
      <c r="AO1489" s="73"/>
      <c r="AP1489" s="73"/>
      <c r="AQ1489" s="73"/>
      <c r="AR1489" s="73"/>
      <c r="AS1489" s="73"/>
      <c r="AT1489" s="73"/>
      <c r="AU1489" s="73"/>
      <c r="AV1489" s="73"/>
      <c r="AW1489" s="73"/>
      <c r="AX1489" s="73"/>
      <c r="AY1489" s="73"/>
      <c r="AZ1489" s="73"/>
      <c r="BA1489" s="73"/>
      <c r="BB1489" s="73"/>
      <c r="BC1489" s="73"/>
      <c r="BD1489" s="73"/>
      <c r="BE1489" s="73"/>
      <c r="BF1489" s="73"/>
      <c r="BG1489" s="73"/>
      <c r="BH1489" s="73"/>
      <c r="BI1489" s="73"/>
      <c r="BJ1489" s="73"/>
      <c r="BK1489" s="73"/>
      <c r="BL1489" s="73"/>
      <c r="BM1489" s="73"/>
      <c r="BN1489" s="73"/>
      <c r="BO1489" s="73"/>
      <c r="BP1489" s="73"/>
      <c r="BQ1489" s="73"/>
      <c r="BR1489" s="73"/>
      <c r="BS1489" s="73"/>
      <c r="BT1489" s="73"/>
      <c r="BU1489" s="73"/>
      <c r="BV1489" s="73"/>
      <c r="BW1489" s="73"/>
      <c r="BX1489" s="73"/>
      <c r="BY1489" s="73"/>
      <c r="BZ1489" s="73"/>
      <c r="CA1489" s="73"/>
      <c r="CB1489" s="73"/>
      <c r="CC1489" s="73"/>
      <c r="CD1489" s="73"/>
      <c r="CE1489" s="73"/>
      <c r="CF1489" s="73"/>
      <c r="CG1489" s="73"/>
      <c r="CH1489" s="73"/>
      <c r="CI1489" s="73"/>
      <c r="CJ1489" s="73"/>
      <c r="CK1489" s="73"/>
      <c r="CL1489" s="73"/>
      <c r="CM1489" s="73"/>
      <c r="CN1489" s="73"/>
      <c r="CO1489" s="73"/>
      <c r="CP1489" s="73"/>
      <c r="CQ1489" s="73"/>
      <c r="CR1489" s="73"/>
      <c r="CS1489" s="73"/>
      <c r="CT1489" s="73"/>
      <c r="CU1489" s="73"/>
      <c r="CV1489" s="73"/>
      <c r="CW1489" s="73"/>
      <c r="CX1489" s="73"/>
      <c r="CY1489" s="73"/>
      <c r="CZ1489" s="73"/>
      <c r="DA1489" s="73"/>
      <c r="DB1489" s="73"/>
      <c r="DC1489" s="73"/>
      <c r="DD1489" s="73"/>
      <c r="DE1489" s="73"/>
      <c r="DF1489" s="73"/>
      <c r="DG1489" s="73"/>
      <c r="DH1489" s="73"/>
      <c r="DI1489" s="73"/>
      <c r="DJ1489" s="73"/>
      <c r="DK1489" s="73"/>
      <c r="DL1489" s="73"/>
      <c r="DM1489" s="73"/>
    </row>
    <row r="1490" spans="1:117" s="48" customFormat="1">
      <c r="A1490" s="73"/>
      <c r="T1490" s="73"/>
      <c r="U1490" s="73"/>
      <c r="V1490" s="73"/>
      <c r="W1490" s="73"/>
      <c r="X1490" s="73"/>
      <c r="Y1490" s="73"/>
      <c r="Z1490" s="73"/>
      <c r="AA1490" s="73"/>
      <c r="AB1490" s="73"/>
      <c r="AC1490" s="73"/>
      <c r="AD1490" s="73"/>
      <c r="AE1490" s="73"/>
      <c r="AF1490" s="73"/>
      <c r="AG1490" s="73"/>
      <c r="AH1490" s="73"/>
      <c r="AI1490" s="73"/>
      <c r="AJ1490" s="73"/>
      <c r="AK1490" s="73"/>
      <c r="AL1490" s="73"/>
      <c r="AM1490" s="73"/>
      <c r="AN1490" s="73"/>
      <c r="AO1490" s="73"/>
      <c r="AP1490" s="73"/>
      <c r="AQ1490" s="73"/>
      <c r="AR1490" s="73"/>
      <c r="AS1490" s="73"/>
      <c r="AT1490" s="73"/>
      <c r="AU1490" s="73"/>
      <c r="AV1490" s="73"/>
      <c r="AW1490" s="73"/>
      <c r="AX1490" s="73"/>
      <c r="AY1490" s="73"/>
      <c r="AZ1490" s="73"/>
      <c r="BA1490" s="73"/>
      <c r="BB1490" s="73"/>
      <c r="BC1490" s="73"/>
      <c r="BD1490" s="73"/>
      <c r="BE1490" s="73"/>
      <c r="BF1490" s="73"/>
      <c r="BG1490" s="73"/>
      <c r="BH1490" s="73"/>
      <c r="BI1490" s="73"/>
      <c r="BJ1490" s="73"/>
      <c r="BK1490" s="73"/>
      <c r="BL1490" s="73"/>
      <c r="BM1490" s="73"/>
      <c r="BN1490" s="73"/>
      <c r="BO1490" s="73"/>
      <c r="BP1490" s="73"/>
      <c r="BQ1490" s="73"/>
      <c r="BR1490" s="73"/>
      <c r="BS1490" s="73"/>
      <c r="BT1490" s="73"/>
      <c r="BU1490" s="73"/>
      <c r="BV1490" s="73"/>
      <c r="BW1490" s="73"/>
      <c r="BX1490" s="73"/>
      <c r="BY1490" s="73"/>
      <c r="BZ1490" s="73"/>
      <c r="CA1490" s="73"/>
      <c r="CB1490" s="73"/>
      <c r="CC1490" s="73"/>
      <c r="CD1490" s="73"/>
      <c r="CE1490" s="73"/>
      <c r="CF1490" s="73"/>
      <c r="CG1490" s="73"/>
      <c r="CH1490" s="73"/>
      <c r="CI1490" s="73"/>
      <c r="CJ1490" s="73"/>
      <c r="CK1490" s="73"/>
      <c r="CL1490" s="73"/>
      <c r="CM1490" s="73"/>
      <c r="CN1490" s="73"/>
      <c r="CO1490" s="73"/>
      <c r="CP1490" s="73"/>
      <c r="CQ1490" s="73"/>
      <c r="CR1490" s="73"/>
      <c r="CS1490" s="73"/>
      <c r="CT1490" s="73"/>
      <c r="CU1490" s="73"/>
      <c r="CV1490" s="73"/>
      <c r="CW1490" s="73"/>
      <c r="CX1490" s="73"/>
      <c r="CY1490" s="73"/>
      <c r="CZ1490" s="73"/>
      <c r="DA1490" s="73"/>
      <c r="DB1490" s="73"/>
      <c r="DC1490" s="73"/>
      <c r="DD1490" s="73"/>
      <c r="DE1490" s="73"/>
      <c r="DF1490" s="73"/>
      <c r="DG1490" s="73"/>
      <c r="DH1490" s="73"/>
      <c r="DI1490" s="73"/>
      <c r="DJ1490" s="73"/>
      <c r="DK1490" s="73"/>
      <c r="DL1490" s="73"/>
      <c r="DM1490" s="73"/>
    </row>
    <row r="1491" spans="1:117" s="48" customFormat="1">
      <c r="A1491" s="73"/>
      <c r="T1491" s="73"/>
      <c r="U1491" s="73"/>
      <c r="V1491" s="73"/>
      <c r="W1491" s="73"/>
      <c r="X1491" s="73"/>
      <c r="Y1491" s="73"/>
      <c r="Z1491" s="73"/>
      <c r="AA1491" s="73"/>
      <c r="AB1491" s="73"/>
      <c r="AC1491" s="73"/>
      <c r="AD1491" s="73"/>
      <c r="AE1491" s="73"/>
      <c r="AF1491" s="73"/>
      <c r="AG1491" s="73"/>
      <c r="AH1491" s="73"/>
      <c r="AI1491" s="73"/>
      <c r="AJ1491" s="73"/>
      <c r="AK1491" s="73"/>
      <c r="AL1491" s="73"/>
      <c r="AM1491" s="73"/>
      <c r="AN1491" s="73"/>
      <c r="AO1491" s="73"/>
      <c r="AP1491" s="73"/>
      <c r="AQ1491" s="73"/>
      <c r="AR1491" s="73"/>
      <c r="AS1491" s="73"/>
      <c r="AT1491" s="73"/>
      <c r="AU1491" s="73"/>
      <c r="AV1491" s="73"/>
      <c r="AW1491" s="73"/>
      <c r="AX1491" s="73"/>
      <c r="AY1491" s="73"/>
      <c r="AZ1491" s="73"/>
      <c r="BA1491" s="73"/>
      <c r="BB1491" s="73"/>
      <c r="BC1491" s="73"/>
      <c r="BD1491" s="73"/>
      <c r="BE1491" s="73"/>
      <c r="BF1491" s="73"/>
      <c r="BG1491" s="73"/>
      <c r="BH1491" s="73"/>
      <c r="BI1491" s="73"/>
      <c r="BJ1491" s="73"/>
      <c r="BK1491" s="73"/>
      <c r="BL1491" s="73"/>
      <c r="BM1491" s="73"/>
      <c r="BN1491" s="73"/>
      <c r="BO1491" s="73"/>
      <c r="BP1491" s="73"/>
      <c r="BQ1491" s="73"/>
      <c r="BR1491" s="73"/>
      <c r="BS1491" s="73"/>
      <c r="BT1491" s="73"/>
      <c r="BU1491" s="73"/>
      <c r="BV1491" s="73"/>
      <c r="BW1491" s="73"/>
      <c r="BX1491" s="73"/>
      <c r="BY1491" s="73"/>
      <c r="BZ1491" s="73"/>
      <c r="CA1491" s="73"/>
      <c r="CB1491" s="73"/>
      <c r="CC1491" s="73"/>
      <c r="CD1491" s="73"/>
      <c r="CE1491" s="73"/>
      <c r="CF1491" s="73"/>
      <c r="CG1491" s="73"/>
      <c r="CH1491" s="73"/>
      <c r="CI1491" s="73"/>
      <c r="CJ1491" s="73"/>
      <c r="CK1491" s="73"/>
      <c r="CL1491" s="73"/>
      <c r="CM1491" s="73"/>
      <c r="CN1491" s="73"/>
      <c r="CO1491" s="73"/>
      <c r="CP1491" s="73"/>
      <c r="CQ1491" s="73"/>
      <c r="CR1491" s="73"/>
      <c r="CS1491" s="73"/>
      <c r="CT1491" s="73"/>
      <c r="CU1491" s="73"/>
      <c r="CV1491" s="73"/>
      <c r="CW1491" s="73"/>
      <c r="CX1491" s="73"/>
      <c r="CY1491" s="73"/>
      <c r="CZ1491" s="73"/>
      <c r="DA1491" s="73"/>
      <c r="DB1491" s="73"/>
      <c r="DC1491" s="73"/>
      <c r="DD1491" s="73"/>
      <c r="DE1491" s="73"/>
      <c r="DF1491" s="73"/>
      <c r="DG1491" s="73"/>
      <c r="DH1491" s="73"/>
      <c r="DI1491" s="73"/>
      <c r="DJ1491" s="73"/>
      <c r="DK1491" s="73"/>
      <c r="DL1491" s="73"/>
      <c r="DM1491" s="73"/>
    </row>
    <row r="1492" spans="1:117" s="48" customFormat="1">
      <c r="A1492" s="73"/>
      <c r="T1492" s="73"/>
      <c r="U1492" s="73"/>
      <c r="V1492" s="73"/>
      <c r="W1492" s="73"/>
      <c r="X1492" s="73"/>
      <c r="Y1492" s="73"/>
      <c r="Z1492" s="73"/>
      <c r="AA1492" s="73"/>
      <c r="AB1492" s="73"/>
      <c r="AC1492" s="73"/>
      <c r="AD1492" s="73"/>
      <c r="AE1492" s="73"/>
      <c r="AF1492" s="73"/>
      <c r="AG1492" s="73"/>
      <c r="AH1492" s="73"/>
      <c r="AI1492" s="73"/>
      <c r="AJ1492" s="73"/>
      <c r="AK1492" s="73"/>
      <c r="AL1492" s="73"/>
      <c r="AM1492" s="73"/>
      <c r="AN1492" s="73"/>
      <c r="AO1492" s="73"/>
      <c r="AP1492" s="73"/>
      <c r="AQ1492" s="73"/>
      <c r="AR1492" s="73"/>
      <c r="AS1492" s="73"/>
      <c r="AT1492" s="73"/>
      <c r="AU1492" s="73"/>
      <c r="AV1492" s="73"/>
      <c r="AW1492" s="73"/>
      <c r="AX1492" s="73"/>
      <c r="AY1492" s="73"/>
      <c r="AZ1492" s="73"/>
      <c r="BA1492" s="73"/>
      <c r="BB1492" s="73"/>
      <c r="BC1492" s="73"/>
      <c r="BD1492" s="73"/>
      <c r="BE1492" s="73"/>
      <c r="BF1492" s="73"/>
      <c r="BG1492" s="73"/>
      <c r="BH1492" s="73"/>
      <c r="BI1492" s="73"/>
      <c r="BJ1492" s="73"/>
      <c r="BK1492" s="73"/>
      <c r="BL1492" s="73"/>
      <c r="BM1492" s="73"/>
      <c r="BN1492" s="73"/>
      <c r="BO1492" s="73"/>
      <c r="BP1492" s="73"/>
      <c r="BQ1492" s="73"/>
      <c r="BR1492" s="73"/>
      <c r="BS1492" s="73"/>
      <c r="BT1492" s="73"/>
      <c r="BU1492" s="73"/>
      <c r="BV1492" s="73"/>
      <c r="BW1492" s="73"/>
      <c r="BX1492" s="73"/>
      <c r="BY1492" s="73"/>
      <c r="BZ1492" s="73"/>
      <c r="CA1492" s="73"/>
      <c r="CB1492" s="73"/>
      <c r="CC1492" s="73"/>
      <c r="CD1492" s="73"/>
      <c r="CE1492" s="73"/>
      <c r="CF1492" s="73"/>
      <c r="CG1492" s="73"/>
      <c r="CH1492" s="73"/>
      <c r="CI1492" s="73"/>
      <c r="CJ1492" s="73"/>
      <c r="CK1492" s="73"/>
      <c r="CL1492" s="73"/>
      <c r="CM1492" s="73"/>
      <c r="CN1492" s="73"/>
      <c r="CO1492" s="73"/>
      <c r="CP1492" s="73"/>
      <c r="CQ1492" s="73"/>
      <c r="CR1492" s="73"/>
      <c r="CS1492" s="73"/>
      <c r="CT1492" s="73"/>
      <c r="CU1492" s="73"/>
      <c r="CV1492" s="73"/>
      <c r="CW1492" s="73"/>
      <c r="CX1492" s="73"/>
      <c r="CY1492" s="73"/>
      <c r="CZ1492" s="73"/>
      <c r="DA1492" s="73"/>
      <c r="DB1492" s="73"/>
      <c r="DC1492" s="73"/>
      <c r="DD1492" s="73"/>
      <c r="DE1492" s="73"/>
      <c r="DF1492" s="73"/>
      <c r="DG1492" s="73"/>
      <c r="DH1492" s="73"/>
      <c r="DI1492" s="73"/>
      <c r="DJ1492" s="73"/>
      <c r="DK1492" s="73"/>
      <c r="DL1492" s="73"/>
      <c r="DM1492" s="73"/>
    </row>
    <row r="1493" spans="1:117" s="48" customFormat="1">
      <c r="A1493" s="73"/>
      <c r="T1493" s="73"/>
      <c r="U1493" s="73"/>
      <c r="V1493" s="73"/>
      <c r="W1493" s="73"/>
      <c r="X1493" s="73"/>
      <c r="Y1493" s="73"/>
      <c r="Z1493" s="73"/>
      <c r="AA1493" s="73"/>
      <c r="AB1493" s="73"/>
      <c r="AC1493" s="73"/>
      <c r="AD1493" s="73"/>
      <c r="AE1493" s="73"/>
      <c r="AF1493" s="73"/>
      <c r="AG1493" s="73"/>
      <c r="AH1493" s="73"/>
      <c r="AI1493" s="73"/>
      <c r="AJ1493" s="73"/>
      <c r="AK1493" s="73"/>
      <c r="AL1493" s="73"/>
      <c r="AM1493" s="73"/>
      <c r="AN1493" s="73"/>
      <c r="AO1493" s="73"/>
      <c r="AP1493" s="73"/>
      <c r="AQ1493" s="73"/>
      <c r="AR1493" s="73"/>
      <c r="AS1493" s="73"/>
      <c r="AT1493" s="73"/>
      <c r="AU1493" s="73"/>
      <c r="AV1493" s="73"/>
      <c r="AW1493" s="73"/>
      <c r="AX1493" s="73"/>
      <c r="AY1493" s="73"/>
      <c r="AZ1493" s="73"/>
      <c r="BA1493" s="73"/>
      <c r="BB1493" s="73"/>
      <c r="BC1493" s="73"/>
      <c r="BD1493" s="73"/>
      <c r="BE1493" s="73"/>
      <c r="BF1493" s="73"/>
      <c r="BG1493" s="73"/>
      <c r="BH1493" s="73"/>
      <c r="BI1493" s="73"/>
      <c r="BJ1493" s="73"/>
      <c r="BK1493" s="73"/>
      <c r="BL1493" s="73"/>
      <c r="BM1493" s="73"/>
      <c r="BN1493" s="73"/>
      <c r="BO1493" s="73"/>
      <c r="BP1493" s="73"/>
      <c r="BQ1493" s="73"/>
      <c r="BR1493" s="73"/>
      <c r="BS1493" s="73"/>
      <c r="BT1493" s="73"/>
      <c r="BU1493" s="73"/>
      <c r="BV1493" s="73"/>
      <c r="BW1493" s="73"/>
      <c r="BX1493" s="73"/>
      <c r="BY1493" s="73"/>
      <c r="BZ1493" s="73"/>
      <c r="CA1493" s="73"/>
      <c r="CB1493" s="73"/>
      <c r="CC1493" s="73"/>
      <c r="CD1493" s="73"/>
      <c r="CE1493" s="73"/>
      <c r="CF1493" s="73"/>
      <c r="CG1493" s="73"/>
      <c r="CH1493" s="73"/>
      <c r="CI1493" s="73"/>
      <c r="CJ1493" s="73"/>
      <c r="CK1493" s="73"/>
      <c r="CL1493" s="73"/>
      <c r="CM1493" s="73"/>
      <c r="CN1493" s="73"/>
      <c r="CO1493" s="73"/>
      <c r="CP1493" s="73"/>
      <c r="CQ1493" s="73"/>
      <c r="CR1493" s="73"/>
      <c r="CS1493" s="73"/>
      <c r="CT1493" s="73"/>
      <c r="CU1493" s="73"/>
      <c r="CV1493" s="73"/>
      <c r="CW1493" s="73"/>
      <c r="CX1493" s="73"/>
      <c r="CY1493" s="73"/>
      <c r="CZ1493" s="73"/>
      <c r="DA1493" s="73"/>
      <c r="DB1493" s="73"/>
      <c r="DC1493" s="73"/>
      <c r="DD1493" s="73"/>
      <c r="DE1493" s="73"/>
      <c r="DF1493" s="73"/>
      <c r="DG1493" s="73"/>
      <c r="DH1493" s="73"/>
      <c r="DI1493" s="73"/>
      <c r="DJ1493" s="73"/>
      <c r="DK1493" s="73"/>
      <c r="DL1493" s="73"/>
      <c r="DM1493" s="73"/>
    </row>
    <row r="1494" spans="1:117" s="48" customFormat="1">
      <c r="A1494" s="73"/>
      <c r="T1494" s="73"/>
      <c r="U1494" s="73"/>
      <c r="V1494" s="73"/>
      <c r="W1494" s="73"/>
      <c r="X1494" s="73"/>
      <c r="Y1494" s="73"/>
      <c r="Z1494" s="73"/>
      <c r="AA1494" s="73"/>
      <c r="AB1494" s="73"/>
      <c r="AC1494" s="73"/>
      <c r="AD1494" s="73"/>
      <c r="AE1494" s="73"/>
      <c r="AF1494" s="73"/>
      <c r="AG1494" s="73"/>
      <c r="AH1494" s="73"/>
      <c r="AI1494" s="73"/>
      <c r="AJ1494" s="73"/>
      <c r="AK1494" s="73"/>
      <c r="AL1494" s="73"/>
      <c r="AM1494" s="73"/>
      <c r="AN1494" s="73"/>
      <c r="AO1494" s="73"/>
      <c r="AP1494" s="73"/>
      <c r="AQ1494" s="73"/>
      <c r="AR1494" s="73"/>
      <c r="AS1494" s="73"/>
      <c r="AT1494" s="73"/>
      <c r="AU1494" s="73"/>
      <c r="AV1494" s="73"/>
      <c r="AW1494" s="73"/>
      <c r="AX1494" s="73"/>
      <c r="AY1494" s="73"/>
      <c r="AZ1494" s="73"/>
      <c r="BA1494" s="73"/>
      <c r="BB1494" s="73"/>
      <c r="BC1494" s="73"/>
      <c r="BD1494" s="73"/>
      <c r="BE1494" s="73"/>
      <c r="BF1494" s="73"/>
      <c r="BG1494" s="73"/>
      <c r="BH1494" s="73"/>
      <c r="BI1494" s="73"/>
      <c r="BJ1494" s="73"/>
      <c r="BK1494" s="73"/>
      <c r="BL1494" s="73"/>
      <c r="BM1494" s="73"/>
      <c r="BN1494" s="73"/>
      <c r="BO1494" s="73"/>
      <c r="BP1494" s="73"/>
      <c r="BQ1494" s="73"/>
      <c r="BR1494" s="73"/>
      <c r="BS1494" s="73"/>
      <c r="BT1494" s="73"/>
      <c r="BU1494" s="73"/>
      <c r="BV1494" s="73"/>
      <c r="BW1494" s="73"/>
      <c r="BX1494" s="73"/>
      <c r="BY1494" s="73"/>
      <c r="BZ1494" s="73"/>
      <c r="CA1494" s="73"/>
      <c r="CB1494" s="73"/>
      <c r="CC1494" s="73"/>
      <c r="CD1494" s="73"/>
      <c r="CE1494" s="73"/>
      <c r="CF1494" s="73"/>
      <c r="CG1494" s="73"/>
      <c r="CH1494" s="73"/>
      <c r="CI1494" s="73"/>
      <c r="CJ1494" s="73"/>
      <c r="CK1494" s="73"/>
      <c r="CL1494" s="73"/>
      <c r="CM1494" s="73"/>
      <c r="CN1494" s="73"/>
      <c r="CO1494" s="73"/>
      <c r="CP1494" s="73"/>
      <c r="CQ1494" s="73"/>
      <c r="CR1494" s="73"/>
      <c r="CS1494" s="73"/>
      <c r="CT1494" s="73"/>
      <c r="CU1494" s="73"/>
      <c r="CV1494" s="73"/>
      <c r="CW1494" s="73"/>
      <c r="CX1494" s="73"/>
      <c r="CY1494" s="73"/>
      <c r="CZ1494" s="73"/>
      <c r="DA1494" s="73"/>
      <c r="DB1494" s="73"/>
      <c r="DC1494" s="73"/>
      <c r="DD1494" s="73"/>
      <c r="DE1494" s="73"/>
      <c r="DF1494" s="73"/>
      <c r="DG1494" s="73"/>
      <c r="DH1494" s="73"/>
      <c r="DI1494" s="73"/>
      <c r="DJ1494" s="73"/>
      <c r="DK1494" s="73"/>
      <c r="DL1494" s="73"/>
      <c r="DM1494" s="73"/>
    </row>
    <row r="1495" spans="1:117" s="48" customFormat="1">
      <c r="A1495" s="73"/>
      <c r="T1495" s="73"/>
      <c r="U1495" s="73"/>
      <c r="V1495" s="73"/>
      <c r="W1495" s="73"/>
      <c r="X1495" s="73"/>
      <c r="Y1495" s="73"/>
      <c r="Z1495" s="73"/>
      <c r="AA1495" s="73"/>
      <c r="AB1495" s="73"/>
      <c r="AC1495" s="73"/>
      <c r="AD1495" s="73"/>
      <c r="AE1495" s="73"/>
      <c r="AF1495" s="73"/>
      <c r="AG1495" s="73"/>
      <c r="AH1495" s="73"/>
      <c r="AI1495" s="73"/>
      <c r="AJ1495" s="73"/>
      <c r="AK1495" s="73"/>
      <c r="AL1495" s="73"/>
      <c r="AM1495" s="73"/>
      <c r="AN1495" s="73"/>
      <c r="AO1495" s="73"/>
      <c r="AP1495" s="73"/>
      <c r="AQ1495" s="73"/>
      <c r="AR1495" s="73"/>
      <c r="AS1495" s="73"/>
      <c r="AT1495" s="73"/>
      <c r="AU1495" s="73"/>
      <c r="AV1495" s="73"/>
      <c r="AW1495" s="73"/>
      <c r="AX1495" s="73"/>
      <c r="AY1495" s="73"/>
      <c r="AZ1495" s="73"/>
      <c r="BA1495" s="73"/>
      <c r="BB1495" s="73"/>
      <c r="BC1495" s="73"/>
      <c r="BD1495" s="73"/>
      <c r="BE1495" s="73"/>
      <c r="BF1495" s="73"/>
      <c r="BG1495" s="73"/>
      <c r="BH1495" s="73"/>
      <c r="BI1495" s="73"/>
      <c r="BJ1495" s="73"/>
      <c r="BK1495" s="73"/>
      <c r="BL1495" s="73"/>
      <c r="BM1495" s="73"/>
      <c r="BN1495" s="73"/>
      <c r="BO1495" s="73"/>
      <c r="BP1495" s="73"/>
      <c r="BQ1495" s="73"/>
      <c r="BR1495" s="73"/>
      <c r="BS1495" s="73"/>
      <c r="BT1495" s="73"/>
      <c r="BU1495" s="73"/>
      <c r="BV1495" s="73"/>
      <c r="BW1495" s="73"/>
      <c r="BX1495" s="73"/>
      <c r="BY1495" s="73"/>
      <c r="BZ1495" s="73"/>
      <c r="CA1495" s="73"/>
      <c r="CB1495" s="73"/>
      <c r="CC1495" s="73"/>
      <c r="CD1495" s="73"/>
      <c r="CE1495" s="73"/>
      <c r="CF1495" s="73"/>
      <c r="CG1495" s="73"/>
      <c r="CH1495" s="73"/>
      <c r="CI1495" s="73"/>
      <c r="CJ1495" s="73"/>
      <c r="CK1495" s="73"/>
      <c r="CL1495" s="73"/>
      <c r="CM1495" s="73"/>
      <c r="CN1495" s="73"/>
      <c r="CO1495" s="73"/>
      <c r="CP1495" s="73"/>
      <c r="CQ1495" s="73"/>
      <c r="CR1495" s="73"/>
      <c r="CS1495" s="73"/>
      <c r="CT1495" s="73"/>
      <c r="CU1495" s="73"/>
      <c r="CV1495" s="73"/>
      <c r="CW1495" s="73"/>
      <c r="CX1495" s="73"/>
      <c r="CY1495" s="73"/>
      <c r="CZ1495" s="73"/>
      <c r="DA1495" s="73"/>
      <c r="DB1495" s="73"/>
      <c r="DC1495" s="73"/>
      <c r="DD1495" s="73"/>
      <c r="DE1495" s="73"/>
      <c r="DF1495" s="73"/>
      <c r="DG1495" s="73"/>
      <c r="DH1495" s="73"/>
      <c r="DI1495" s="73"/>
      <c r="DJ1495" s="73"/>
      <c r="DK1495" s="73"/>
      <c r="DL1495" s="73"/>
      <c r="DM1495" s="73"/>
    </row>
    <row r="1496" spans="1:117" s="48" customFormat="1">
      <c r="A1496" s="73"/>
      <c r="T1496" s="73"/>
      <c r="U1496" s="73"/>
      <c r="V1496" s="73"/>
      <c r="W1496" s="73"/>
      <c r="X1496" s="73"/>
      <c r="Y1496" s="73"/>
      <c r="Z1496" s="73"/>
      <c r="AA1496" s="73"/>
      <c r="AB1496" s="73"/>
      <c r="AC1496" s="73"/>
      <c r="AD1496" s="73"/>
      <c r="AE1496" s="73"/>
      <c r="AF1496" s="73"/>
      <c r="AG1496" s="73"/>
      <c r="AH1496" s="73"/>
      <c r="AI1496" s="73"/>
      <c r="AJ1496" s="73"/>
      <c r="AK1496" s="73"/>
      <c r="AL1496" s="73"/>
      <c r="AM1496" s="73"/>
      <c r="AN1496" s="73"/>
      <c r="AO1496" s="73"/>
      <c r="AP1496" s="73"/>
      <c r="AQ1496" s="73"/>
      <c r="AR1496" s="73"/>
      <c r="AS1496" s="73"/>
      <c r="AT1496" s="73"/>
      <c r="AU1496" s="73"/>
      <c r="AV1496" s="73"/>
      <c r="AW1496" s="73"/>
      <c r="AX1496" s="73"/>
      <c r="AY1496" s="73"/>
      <c r="AZ1496" s="73"/>
      <c r="BA1496" s="73"/>
      <c r="BB1496" s="73"/>
      <c r="BC1496" s="73"/>
      <c r="BD1496" s="73"/>
      <c r="BE1496" s="73"/>
      <c r="BF1496" s="73"/>
      <c r="BG1496" s="73"/>
      <c r="BH1496" s="73"/>
      <c r="BI1496" s="73"/>
      <c r="BJ1496" s="73"/>
      <c r="BK1496" s="73"/>
      <c r="BL1496" s="73"/>
      <c r="BM1496" s="73"/>
      <c r="BN1496" s="73"/>
      <c r="BO1496" s="73"/>
      <c r="BP1496" s="73"/>
      <c r="BQ1496" s="73"/>
      <c r="BR1496" s="73"/>
      <c r="BS1496" s="73"/>
      <c r="BT1496" s="73"/>
      <c r="BU1496" s="73"/>
      <c r="BV1496" s="73"/>
      <c r="BW1496" s="73"/>
      <c r="BX1496" s="73"/>
      <c r="BY1496" s="73"/>
      <c r="BZ1496" s="73"/>
      <c r="CA1496" s="73"/>
      <c r="CB1496" s="73"/>
      <c r="CC1496" s="73"/>
      <c r="CD1496" s="73"/>
      <c r="CE1496" s="73"/>
      <c r="CF1496" s="73"/>
      <c r="CG1496" s="73"/>
      <c r="CH1496" s="73"/>
      <c r="CI1496" s="73"/>
      <c r="CJ1496" s="73"/>
      <c r="CK1496" s="73"/>
      <c r="CL1496" s="73"/>
      <c r="CM1496" s="73"/>
      <c r="CN1496" s="73"/>
      <c r="CO1496" s="73"/>
      <c r="CP1496" s="73"/>
      <c r="CQ1496" s="73"/>
      <c r="CR1496" s="73"/>
      <c r="CS1496" s="73"/>
      <c r="CT1496" s="73"/>
      <c r="CU1496" s="73"/>
      <c r="CV1496" s="73"/>
      <c r="CW1496" s="73"/>
      <c r="CX1496" s="73"/>
      <c r="CY1496" s="73"/>
      <c r="CZ1496" s="73"/>
      <c r="DA1496" s="73"/>
      <c r="DB1496" s="73"/>
      <c r="DC1496" s="73"/>
      <c r="DD1496" s="73"/>
      <c r="DE1496" s="73"/>
      <c r="DF1496" s="73"/>
      <c r="DG1496" s="73"/>
      <c r="DH1496" s="73"/>
      <c r="DI1496" s="73"/>
      <c r="DJ1496" s="73"/>
      <c r="DK1496" s="73"/>
      <c r="DL1496" s="73"/>
      <c r="DM1496" s="73"/>
    </row>
    <row r="1497" spans="1:117" s="48" customFormat="1">
      <c r="A1497" s="73"/>
      <c r="T1497" s="73"/>
      <c r="U1497" s="73"/>
      <c r="V1497" s="73"/>
      <c r="W1497" s="73"/>
      <c r="X1497" s="73"/>
      <c r="Y1497" s="73"/>
      <c r="Z1497" s="73"/>
      <c r="AA1497" s="73"/>
      <c r="AB1497" s="73"/>
      <c r="AC1497" s="73"/>
      <c r="AD1497" s="73"/>
      <c r="AE1497" s="73"/>
      <c r="AF1497" s="73"/>
      <c r="AG1497" s="73"/>
      <c r="AH1497" s="73"/>
      <c r="AI1497" s="73"/>
      <c r="AJ1497" s="73"/>
      <c r="AK1497" s="73"/>
      <c r="AL1497" s="73"/>
      <c r="AM1497" s="73"/>
      <c r="AN1497" s="73"/>
      <c r="AO1497" s="73"/>
      <c r="AP1497" s="73"/>
      <c r="AQ1497" s="73"/>
      <c r="AR1497" s="73"/>
      <c r="AS1497" s="73"/>
      <c r="AT1497" s="73"/>
      <c r="AU1497" s="73"/>
      <c r="AV1497" s="73"/>
      <c r="AW1497" s="73"/>
      <c r="AX1497" s="73"/>
      <c r="AY1497" s="73"/>
      <c r="AZ1497" s="73"/>
      <c r="BA1497" s="73"/>
      <c r="BB1497" s="73"/>
      <c r="BC1497" s="73"/>
      <c r="BD1497" s="73"/>
      <c r="BE1497" s="73"/>
      <c r="BF1497" s="73"/>
      <c r="BG1497" s="73"/>
      <c r="BH1497" s="73"/>
      <c r="BI1497" s="73"/>
      <c r="BJ1497" s="73"/>
      <c r="BK1497" s="73"/>
      <c r="BL1497" s="73"/>
      <c r="BM1497" s="73"/>
      <c r="BN1497" s="73"/>
      <c r="BO1497" s="73"/>
      <c r="BP1497" s="73"/>
      <c r="BQ1497" s="73"/>
      <c r="BR1497" s="73"/>
      <c r="BS1497" s="73"/>
      <c r="BT1497" s="73"/>
      <c r="BU1497" s="73"/>
      <c r="BV1497" s="73"/>
      <c r="BW1497" s="73"/>
      <c r="BX1497" s="73"/>
      <c r="BY1497" s="73"/>
      <c r="BZ1497" s="73"/>
      <c r="CA1497" s="73"/>
      <c r="CB1497" s="73"/>
      <c r="CC1497" s="73"/>
      <c r="CD1497" s="73"/>
      <c r="CE1497" s="73"/>
      <c r="CF1497" s="73"/>
      <c r="CG1497" s="73"/>
      <c r="CH1497" s="73"/>
      <c r="CI1497" s="73"/>
      <c r="CJ1497" s="73"/>
      <c r="CK1497" s="73"/>
      <c r="CL1497" s="73"/>
      <c r="CM1497" s="73"/>
      <c r="CN1497" s="73"/>
      <c r="CO1497" s="73"/>
      <c r="CP1497" s="73"/>
      <c r="CQ1497" s="73"/>
      <c r="CR1497" s="73"/>
      <c r="CS1497" s="73"/>
      <c r="CT1497" s="73"/>
      <c r="CU1497" s="73"/>
      <c r="CV1497" s="73"/>
      <c r="CW1497" s="73"/>
      <c r="CX1497" s="73"/>
      <c r="CY1497" s="73"/>
      <c r="CZ1497" s="73"/>
      <c r="DA1497" s="73"/>
      <c r="DB1497" s="73"/>
      <c r="DC1497" s="73"/>
      <c r="DD1497" s="73"/>
      <c r="DE1497" s="73"/>
      <c r="DF1497" s="73"/>
      <c r="DG1497" s="73"/>
      <c r="DH1497" s="73"/>
      <c r="DI1497" s="73"/>
      <c r="DJ1497" s="73"/>
      <c r="DK1497" s="73"/>
      <c r="DL1497" s="73"/>
      <c r="DM1497" s="73"/>
    </row>
    <row r="1498" spans="1:117" s="48" customFormat="1">
      <c r="A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M1498" s="73"/>
      <c r="CN1498" s="73"/>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c r="DM1498" s="73"/>
    </row>
    <row r="1499" spans="1:117" s="48" customFormat="1">
      <c r="A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M1499" s="73"/>
      <c r="CN1499" s="73"/>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c r="DM1499" s="73"/>
    </row>
    <row r="1500" spans="1:117" s="48" customFormat="1">
      <c r="A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M1500" s="73"/>
      <c r="CN1500" s="73"/>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c r="DM1500" s="73"/>
    </row>
    <row r="1501" spans="1:117" s="48" customFormat="1">
      <c r="A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M1501" s="73"/>
      <c r="CN1501" s="73"/>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c r="DM1501" s="73"/>
    </row>
    <row r="1502" spans="1:117" s="48" customFormat="1">
      <c r="A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M1502" s="73"/>
      <c r="CN1502" s="73"/>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c r="DM1502" s="73"/>
    </row>
    <row r="1503" spans="1:117" s="48" customFormat="1">
      <c r="A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M1503" s="73"/>
      <c r="CN1503" s="73"/>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c r="DM1503" s="73"/>
    </row>
    <row r="1504" spans="1:117" s="48" customFormat="1">
      <c r="A1504" s="73"/>
      <c r="T1504" s="73"/>
      <c r="U1504" s="73"/>
      <c r="V1504" s="73"/>
      <c r="W1504" s="73"/>
      <c r="X1504" s="73"/>
      <c r="Y1504" s="73"/>
      <c r="Z1504" s="73"/>
      <c r="AA1504" s="73"/>
      <c r="AB1504" s="73"/>
      <c r="AC1504" s="73"/>
      <c r="AD1504" s="73"/>
      <c r="AE1504" s="73"/>
      <c r="AF1504" s="73"/>
      <c r="AG1504" s="73"/>
      <c r="AH1504" s="73"/>
      <c r="AI1504" s="73"/>
      <c r="AJ1504" s="73"/>
      <c r="AK1504" s="73"/>
      <c r="AL1504" s="73"/>
      <c r="AM1504" s="73"/>
      <c r="AN1504" s="73"/>
      <c r="AO1504" s="73"/>
      <c r="AP1504" s="73"/>
      <c r="AQ1504" s="73"/>
      <c r="AR1504" s="73"/>
      <c r="AS1504" s="73"/>
      <c r="AT1504" s="73"/>
      <c r="AU1504" s="73"/>
      <c r="AV1504" s="73"/>
      <c r="AW1504" s="73"/>
      <c r="AX1504" s="73"/>
      <c r="AY1504" s="73"/>
      <c r="AZ1504" s="73"/>
      <c r="BA1504" s="73"/>
      <c r="BB1504" s="73"/>
      <c r="BC1504" s="73"/>
      <c r="BD1504" s="73"/>
      <c r="BE1504" s="73"/>
      <c r="BF1504" s="73"/>
      <c r="BG1504" s="73"/>
      <c r="BH1504" s="73"/>
      <c r="BI1504" s="73"/>
      <c r="BJ1504" s="73"/>
      <c r="BK1504" s="73"/>
      <c r="BL1504" s="73"/>
      <c r="BM1504" s="73"/>
      <c r="BN1504" s="73"/>
      <c r="BO1504" s="73"/>
      <c r="BP1504" s="73"/>
      <c r="BQ1504" s="73"/>
      <c r="BR1504" s="73"/>
      <c r="BS1504" s="73"/>
      <c r="BT1504" s="73"/>
      <c r="BU1504" s="73"/>
      <c r="BV1504" s="73"/>
      <c r="BW1504" s="73"/>
      <c r="BX1504" s="73"/>
      <c r="BY1504" s="73"/>
      <c r="BZ1504" s="73"/>
      <c r="CA1504" s="73"/>
      <c r="CB1504" s="73"/>
      <c r="CC1504" s="73"/>
      <c r="CD1504" s="73"/>
      <c r="CE1504" s="73"/>
      <c r="CF1504" s="73"/>
      <c r="CG1504" s="73"/>
      <c r="CH1504" s="73"/>
      <c r="CI1504" s="73"/>
      <c r="CJ1504" s="73"/>
      <c r="CK1504" s="73"/>
      <c r="CL1504" s="73"/>
      <c r="CM1504" s="73"/>
      <c r="CN1504" s="73"/>
      <c r="CO1504" s="73"/>
      <c r="CP1504" s="73"/>
      <c r="CQ1504" s="73"/>
      <c r="CR1504" s="73"/>
      <c r="CS1504" s="73"/>
      <c r="CT1504" s="73"/>
      <c r="CU1504" s="73"/>
      <c r="CV1504" s="73"/>
      <c r="CW1504" s="73"/>
      <c r="CX1504" s="73"/>
      <c r="CY1504" s="73"/>
      <c r="CZ1504" s="73"/>
      <c r="DA1504" s="73"/>
      <c r="DB1504" s="73"/>
      <c r="DC1504" s="73"/>
      <c r="DD1504" s="73"/>
      <c r="DE1504" s="73"/>
      <c r="DF1504" s="73"/>
      <c r="DG1504" s="73"/>
      <c r="DH1504" s="73"/>
      <c r="DI1504" s="73"/>
      <c r="DJ1504" s="73"/>
      <c r="DK1504" s="73"/>
      <c r="DL1504" s="73"/>
      <c r="DM1504" s="73"/>
    </row>
    <row r="1505" spans="1:117" s="48" customFormat="1">
      <c r="A1505" s="73"/>
      <c r="T1505" s="73"/>
      <c r="U1505" s="73"/>
      <c r="V1505" s="73"/>
      <c r="W1505" s="73"/>
      <c r="X1505" s="73"/>
      <c r="Y1505" s="73"/>
      <c r="Z1505" s="73"/>
      <c r="AA1505" s="73"/>
      <c r="AB1505" s="73"/>
      <c r="AC1505" s="73"/>
      <c r="AD1505" s="73"/>
      <c r="AE1505" s="73"/>
      <c r="AF1505" s="73"/>
      <c r="AG1505" s="73"/>
      <c r="AH1505" s="73"/>
      <c r="AI1505" s="73"/>
      <c r="AJ1505" s="73"/>
      <c r="AK1505" s="73"/>
      <c r="AL1505" s="73"/>
      <c r="AM1505" s="73"/>
      <c r="AN1505" s="73"/>
      <c r="AO1505" s="73"/>
      <c r="AP1505" s="73"/>
      <c r="AQ1505" s="73"/>
      <c r="AR1505" s="73"/>
      <c r="AS1505" s="73"/>
      <c r="AT1505" s="73"/>
      <c r="AU1505" s="73"/>
      <c r="AV1505" s="73"/>
      <c r="AW1505" s="73"/>
      <c r="AX1505" s="73"/>
      <c r="AY1505" s="73"/>
      <c r="AZ1505" s="73"/>
      <c r="BA1505" s="73"/>
      <c r="BB1505" s="73"/>
      <c r="BC1505" s="73"/>
      <c r="BD1505" s="73"/>
      <c r="BE1505" s="73"/>
      <c r="BF1505" s="73"/>
      <c r="BG1505" s="73"/>
      <c r="BH1505" s="73"/>
      <c r="BI1505" s="73"/>
      <c r="BJ1505" s="73"/>
      <c r="BK1505" s="73"/>
      <c r="BL1505" s="73"/>
      <c r="BM1505" s="73"/>
      <c r="BN1505" s="73"/>
      <c r="BO1505" s="73"/>
      <c r="BP1505" s="73"/>
      <c r="BQ1505" s="73"/>
      <c r="BR1505" s="73"/>
      <c r="BS1505" s="73"/>
      <c r="BT1505" s="73"/>
      <c r="BU1505" s="73"/>
      <c r="BV1505" s="73"/>
      <c r="BW1505" s="73"/>
      <c r="BX1505" s="73"/>
      <c r="BY1505" s="73"/>
      <c r="BZ1505" s="73"/>
      <c r="CA1505" s="73"/>
      <c r="CB1505" s="73"/>
      <c r="CC1505" s="73"/>
      <c r="CD1505" s="73"/>
      <c r="CE1505" s="73"/>
      <c r="CF1505" s="73"/>
      <c r="CG1505" s="73"/>
      <c r="CH1505" s="73"/>
      <c r="CI1505" s="73"/>
      <c r="CJ1505" s="73"/>
      <c r="CK1505" s="73"/>
      <c r="CL1505" s="73"/>
      <c r="CM1505" s="73"/>
      <c r="CN1505" s="73"/>
      <c r="CO1505" s="73"/>
      <c r="CP1505" s="73"/>
      <c r="CQ1505" s="73"/>
      <c r="CR1505" s="73"/>
      <c r="CS1505" s="73"/>
      <c r="CT1505" s="73"/>
      <c r="CU1505" s="73"/>
      <c r="CV1505" s="73"/>
      <c r="CW1505" s="73"/>
      <c r="CX1505" s="73"/>
      <c r="CY1505" s="73"/>
      <c r="CZ1505" s="73"/>
      <c r="DA1505" s="73"/>
      <c r="DB1505" s="73"/>
      <c r="DC1505" s="73"/>
      <c r="DD1505" s="73"/>
      <c r="DE1505" s="73"/>
      <c r="DF1505" s="73"/>
      <c r="DG1505" s="73"/>
      <c r="DH1505" s="73"/>
      <c r="DI1505" s="73"/>
      <c r="DJ1505" s="73"/>
      <c r="DK1505" s="73"/>
      <c r="DL1505" s="73"/>
      <c r="DM1505" s="73"/>
    </row>
    <row r="1506" spans="1:117" s="48" customFormat="1">
      <c r="A1506" s="73"/>
      <c r="T1506" s="73"/>
      <c r="U1506" s="73"/>
      <c r="V1506" s="73"/>
      <c r="W1506" s="73"/>
      <c r="X1506" s="73"/>
      <c r="Y1506" s="73"/>
      <c r="Z1506" s="73"/>
      <c r="AA1506" s="73"/>
      <c r="AB1506" s="73"/>
      <c r="AC1506" s="73"/>
      <c r="AD1506" s="73"/>
      <c r="AE1506" s="73"/>
      <c r="AF1506" s="73"/>
      <c r="AG1506" s="73"/>
      <c r="AH1506" s="73"/>
      <c r="AI1506" s="73"/>
      <c r="AJ1506" s="73"/>
      <c r="AK1506" s="73"/>
      <c r="AL1506" s="73"/>
      <c r="AM1506" s="73"/>
      <c r="AN1506" s="73"/>
      <c r="AO1506" s="73"/>
      <c r="AP1506" s="73"/>
      <c r="AQ1506" s="73"/>
      <c r="AR1506" s="73"/>
      <c r="AS1506" s="73"/>
      <c r="AT1506" s="73"/>
      <c r="AU1506" s="73"/>
      <c r="AV1506" s="73"/>
      <c r="AW1506" s="73"/>
      <c r="AX1506" s="73"/>
      <c r="AY1506" s="73"/>
      <c r="AZ1506" s="73"/>
      <c r="BA1506" s="73"/>
      <c r="BB1506" s="73"/>
      <c r="BC1506" s="73"/>
      <c r="BD1506" s="73"/>
      <c r="BE1506" s="73"/>
      <c r="BF1506" s="73"/>
      <c r="BG1506" s="73"/>
      <c r="BH1506" s="73"/>
      <c r="BI1506" s="73"/>
      <c r="BJ1506" s="73"/>
      <c r="BK1506" s="73"/>
      <c r="BL1506" s="73"/>
      <c r="BM1506" s="73"/>
      <c r="BN1506" s="73"/>
      <c r="BO1506" s="73"/>
      <c r="BP1506" s="73"/>
      <c r="BQ1506" s="73"/>
      <c r="BR1506" s="73"/>
      <c r="BS1506" s="73"/>
      <c r="BT1506" s="73"/>
      <c r="BU1506" s="73"/>
      <c r="BV1506" s="73"/>
      <c r="BW1506" s="73"/>
      <c r="BX1506" s="73"/>
      <c r="BY1506" s="73"/>
      <c r="BZ1506" s="73"/>
      <c r="CA1506" s="73"/>
      <c r="CB1506" s="73"/>
      <c r="CC1506" s="73"/>
      <c r="CD1506" s="73"/>
      <c r="CE1506" s="73"/>
      <c r="CF1506" s="73"/>
      <c r="CG1506" s="73"/>
      <c r="CH1506" s="73"/>
      <c r="CI1506" s="73"/>
      <c r="CJ1506" s="73"/>
      <c r="CK1506" s="73"/>
      <c r="CL1506" s="73"/>
      <c r="CM1506" s="73"/>
      <c r="CN1506" s="73"/>
      <c r="CO1506" s="73"/>
      <c r="CP1506" s="73"/>
      <c r="CQ1506" s="73"/>
      <c r="CR1506" s="73"/>
      <c r="CS1506" s="73"/>
      <c r="CT1506" s="73"/>
      <c r="CU1506" s="73"/>
      <c r="CV1506" s="73"/>
      <c r="CW1506" s="73"/>
      <c r="CX1506" s="73"/>
      <c r="CY1506" s="73"/>
      <c r="CZ1506" s="73"/>
      <c r="DA1506" s="73"/>
      <c r="DB1506" s="73"/>
      <c r="DC1506" s="73"/>
      <c r="DD1506" s="73"/>
      <c r="DE1506" s="73"/>
      <c r="DF1506" s="73"/>
      <c r="DG1506" s="73"/>
      <c r="DH1506" s="73"/>
      <c r="DI1506" s="73"/>
      <c r="DJ1506" s="73"/>
      <c r="DK1506" s="73"/>
      <c r="DL1506" s="73"/>
      <c r="DM1506" s="73"/>
    </row>
    <row r="1507" spans="1:117" s="48" customFormat="1">
      <c r="A1507" s="73"/>
      <c r="T1507" s="73"/>
      <c r="U1507" s="73"/>
      <c r="V1507" s="73"/>
      <c r="W1507" s="73"/>
      <c r="X1507" s="73"/>
      <c r="Y1507" s="73"/>
      <c r="Z1507" s="73"/>
      <c r="AA1507" s="73"/>
      <c r="AB1507" s="73"/>
      <c r="AC1507" s="73"/>
      <c r="AD1507" s="73"/>
      <c r="AE1507" s="73"/>
      <c r="AF1507" s="73"/>
      <c r="AG1507" s="73"/>
      <c r="AH1507" s="73"/>
      <c r="AI1507" s="73"/>
      <c r="AJ1507" s="73"/>
      <c r="AK1507" s="73"/>
      <c r="AL1507" s="73"/>
      <c r="AM1507" s="73"/>
      <c r="AN1507" s="73"/>
      <c r="AO1507" s="73"/>
      <c r="AP1507" s="73"/>
      <c r="AQ1507" s="73"/>
      <c r="AR1507" s="73"/>
      <c r="AS1507" s="73"/>
      <c r="AT1507" s="73"/>
      <c r="AU1507" s="73"/>
      <c r="AV1507" s="73"/>
      <c r="AW1507" s="73"/>
      <c r="AX1507" s="73"/>
      <c r="AY1507" s="73"/>
      <c r="AZ1507" s="73"/>
      <c r="BA1507" s="73"/>
      <c r="BB1507" s="73"/>
      <c r="BC1507" s="73"/>
      <c r="BD1507" s="73"/>
      <c r="BE1507" s="73"/>
      <c r="BF1507" s="73"/>
      <c r="BG1507" s="73"/>
      <c r="BH1507" s="73"/>
      <c r="BI1507" s="73"/>
      <c r="BJ1507" s="73"/>
      <c r="BK1507" s="73"/>
      <c r="BL1507" s="73"/>
      <c r="BM1507" s="73"/>
      <c r="BN1507" s="73"/>
      <c r="BO1507" s="73"/>
      <c r="BP1507" s="73"/>
      <c r="BQ1507" s="73"/>
      <c r="BR1507" s="73"/>
      <c r="BS1507" s="73"/>
      <c r="BT1507" s="73"/>
      <c r="BU1507" s="73"/>
      <c r="BV1507" s="73"/>
      <c r="BW1507" s="73"/>
      <c r="BX1507" s="73"/>
      <c r="BY1507" s="73"/>
      <c r="BZ1507" s="73"/>
      <c r="CA1507" s="73"/>
      <c r="CB1507" s="73"/>
      <c r="CC1507" s="73"/>
      <c r="CD1507" s="73"/>
      <c r="CE1507" s="73"/>
      <c r="CF1507" s="73"/>
      <c r="CG1507" s="73"/>
      <c r="CH1507" s="73"/>
      <c r="CI1507" s="73"/>
      <c r="CJ1507" s="73"/>
      <c r="CK1507" s="73"/>
      <c r="CL1507" s="73"/>
      <c r="CM1507" s="73"/>
      <c r="CN1507" s="73"/>
      <c r="CO1507" s="73"/>
      <c r="CP1507" s="73"/>
      <c r="CQ1507" s="73"/>
      <c r="CR1507" s="73"/>
      <c r="CS1507" s="73"/>
      <c r="CT1507" s="73"/>
      <c r="CU1507" s="73"/>
      <c r="CV1507" s="73"/>
      <c r="CW1507" s="73"/>
      <c r="CX1507" s="73"/>
      <c r="CY1507" s="73"/>
      <c r="CZ1507" s="73"/>
      <c r="DA1507" s="73"/>
      <c r="DB1507" s="73"/>
      <c r="DC1507" s="73"/>
      <c r="DD1507" s="73"/>
      <c r="DE1507" s="73"/>
      <c r="DF1507" s="73"/>
      <c r="DG1507" s="73"/>
      <c r="DH1507" s="73"/>
      <c r="DI1507" s="73"/>
      <c r="DJ1507" s="73"/>
      <c r="DK1507" s="73"/>
      <c r="DL1507" s="73"/>
      <c r="DM1507" s="73"/>
    </row>
    <row r="1508" spans="1:117" s="48" customFormat="1">
      <c r="A1508" s="73"/>
      <c r="T1508" s="73"/>
      <c r="U1508" s="73"/>
      <c r="V1508" s="73"/>
      <c r="W1508" s="73"/>
      <c r="X1508" s="73"/>
      <c r="Y1508" s="73"/>
      <c r="Z1508" s="73"/>
      <c r="AA1508" s="73"/>
      <c r="AB1508" s="73"/>
      <c r="AC1508" s="73"/>
      <c r="AD1508" s="73"/>
      <c r="AE1508" s="73"/>
      <c r="AF1508" s="73"/>
      <c r="AG1508" s="73"/>
      <c r="AH1508" s="73"/>
      <c r="AI1508" s="73"/>
      <c r="AJ1508" s="73"/>
      <c r="AK1508" s="73"/>
      <c r="AL1508" s="73"/>
      <c r="AM1508" s="73"/>
      <c r="AN1508" s="73"/>
      <c r="AO1508" s="73"/>
      <c r="AP1508" s="73"/>
      <c r="AQ1508" s="73"/>
      <c r="AR1508" s="73"/>
      <c r="AS1508" s="73"/>
      <c r="AT1508" s="73"/>
      <c r="AU1508" s="73"/>
      <c r="AV1508" s="73"/>
      <c r="AW1508" s="73"/>
      <c r="AX1508" s="73"/>
      <c r="AY1508" s="73"/>
      <c r="AZ1508" s="73"/>
      <c r="BA1508" s="73"/>
      <c r="BB1508" s="73"/>
      <c r="BC1508" s="73"/>
      <c r="BD1508" s="73"/>
      <c r="BE1508" s="73"/>
      <c r="BF1508" s="73"/>
      <c r="BG1508" s="73"/>
      <c r="BH1508" s="73"/>
      <c r="BI1508" s="73"/>
      <c r="BJ1508" s="73"/>
      <c r="BK1508" s="73"/>
      <c r="BL1508" s="73"/>
      <c r="BM1508" s="73"/>
      <c r="BN1508" s="73"/>
      <c r="BO1508" s="73"/>
      <c r="BP1508" s="73"/>
      <c r="BQ1508" s="73"/>
      <c r="BR1508" s="73"/>
      <c r="BS1508" s="73"/>
      <c r="BT1508" s="73"/>
      <c r="BU1508" s="73"/>
      <c r="BV1508" s="73"/>
      <c r="BW1508" s="73"/>
      <c r="BX1508" s="73"/>
      <c r="BY1508" s="73"/>
      <c r="BZ1508" s="73"/>
      <c r="CA1508" s="73"/>
      <c r="CB1508" s="73"/>
      <c r="CC1508" s="73"/>
      <c r="CD1508" s="73"/>
      <c r="CE1508" s="73"/>
      <c r="CF1508" s="73"/>
      <c r="CG1508" s="73"/>
      <c r="CH1508" s="73"/>
      <c r="CI1508" s="73"/>
      <c r="CJ1508" s="73"/>
      <c r="CK1508" s="73"/>
      <c r="CL1508" s="73"/>
      <c r="CM1508" s="73"/>
      <c r="CN1508" s="73"/>
      <c r="CO1508" s="73"/>
      <c r="CP1508" s="73"/>
      <c r="CQ1508" s="73"/>
      <c r="CR1508" s="73"/>
      <c r="CS1508" s="73"/>
      <c r="CT1508" s="73"/>
      <c r="CU1508" s="73"/>
      <c r="CV1508" s="73"/>
      <c r="CW1508" s="73"/>
      <c r="CX1508" s="73"/>
      <c r="CY1508" s="73"/>
      <c r="CZ1508" s="73"/>
      <c r="DA1508" s="73"/>
      <c r="DB1508" s="73"/>
      <c r="DC1508" s="73"/>
      <c r="DD1508" s="73"/>
      <c r="DE1508" s="73"/>
      <c r="DF1508" s="73"/>
      <c r="DG1508" s="73"/>
      <c r="DH1508" s="73"/>
      <c r="DI1508" s="73"/>
      <c r="DJ1508" s="73"/>
      <c r="DK1508" s="73"/>
      <c r="DL1508" s="73"/>
      <c r="DM1508" s="73"/>
    </row>
    <row r="1509" spans="1:117" s="48" customFormat="1">
      <c r="A1509" s="73"/>
      <c r="T1509" s="73"/>
      <c r="U1509" s="73"/>
      <c r="V1509" s="73"/>
      <c r="W1509" s="73"/>
      <c r="X1509" s="73"/>
      <c r="Y1509" s="73"/>
      <c r="Z1509" s="73"/>
      <c r="AA1509" s="73"/>
      <c r="AB1509" s="73"/>
      <c r="AC1509" s="73"/>
      <c r="AD1509" s="73"/>
      <c r="AE1509" s="73"/>
      <c r="AF1509" s="73"/>
      <c r="AG1509" s="73"/>
      <c r="AH1509" s="73"/>
      <c r="AI1509" s="73"/>
      <c r="AJ1509" s="73"/>
      <c r="AK1509" s="73"/>
      <c r="AL1509" s="73"/>
      <c r="AM1509" s="73"/>
      <c r="AN1509" s="73"/>
      <c r="AO1509" s="73"/>
      <c r="AP1509" s="73"/>
      <c r="AQ1509" s="73"/>
      <c r="AR1509" s="73"/>
      <c r="AS1509" s="73"/>
      <c r="AT1509" s="73"/>
      <c r="AU1509" s="73"/>
      <c r="AV1509" s="73"/>
      <c r="AW1509" s="73"/>
      <c r="AX1509" s="73"/>
      <c r="AY1509" s="73"/>
      <c r="AZ1509" s="73"/>
      <c r="BA1509" s="73"/>
      <c r="BB1509" s="73"/>
      <c r="BC1509" s="73"/>
      <c r="BD1509" s="73"/>
      <c r="BE1509" s="73"/>
      <c r="BF1509" s="73"/>
      <c r="BG1509" s="73"/>
      <c r="BH1509" s="73"/>
      <c r="BI1509" s="73"/>
      <c r="BJ1509" s="73"/>
      <c r="BK1509" s="73"/>
      <c r="BL1509" s="73"/>
      <c r="BM1509" s="73"/>
      <c r="BN1509" s="73"/>
      <c r="BO1509" s="73"/>
      <c r="BP1509" s="73"/>
      <c r="BQ1509" s="73"/>
      <c r="BR1509" s="73"/>
      <c r="BS1509" s="73"/>
      <c r="BT1509" s="73"/>
      <c r="BU1509" s="73"/>
      <c r="BV1509" s="73"/>
      <c r="BW1509" s="73"/>
      <c r="BX1509" s="73"/>
      <c r="BY1509" s="73"/>
      <c r="BZ1509" s="73"/>
      <c r="CA1509" s="73"/>
      <c r="CB1509" s="73"/>
      <c r="CC1509" s="73"/>
      <c r="CD1509" s="73"/>
      <c r="CE1509" s="73"/>
      <c r="CF1509" s="73"/>
      <c r="CG1509" s="73"/>
      <c r="CH1509" s="73"/>
      <c r="CI1509" s="73"/>
      <c r="CJ1509" s="73"/>
      <c r="CK1509" s="73"/>
      <c r="CL1509" s="73"/>
      <c r="CM1509" s="73"/>
      <c r="CN1509" s="73"/>
      <c r="CO1509" s="73"/>
      <c r="CP1509" s="73"/>
      <c r="CQ1509" s="73"/>
      <c r="CR1509" s="73"/>
      <c r="CS1509" s="73"/>
      <c r="CT1509" s="73"/>
      <c r="CU1509" s="73"/>
      <c r="CV1509" s="73"/>
      <c r="CW1509" s="73"/>
      <c r="CX1509" s="73"/>
      <c r="CY1509" s="73"/>
      <c r="CZ1509" s="73"/>
      <c r="DA1509" s="73"/>
      <c r="DB1509" s="73"/>
      <c r="DC1509" s="73"/>
      <c r="DD1509" s="73"/>
      <c r="DE1509" s="73"/>
      <c r="DF1509" s="73"/>
      <c r="DG1509" s="73"/>
      <c r="DH1509" s="73"/>
      <c r="DI1509" s="73"/>
      <c r="DJ1509" s="73"/>
      <c r="DK1509" s="73"/>
      <c r="DL1509" s="73"/>
      <c r="DM1509" s="73"/>
    </row>
    <row r="1510" spans="1:117" s="48" customFormat="1">
      <c r="A1510" s="73"/>
      <c r="T1510" s="73"/>
      <c r="U1510" s="73"/>
      <c r="V1510" s="73"/>
      <c r="W1510" s="73"/>
      <c r="X1510" s="73"/>
      <c r="Y1510" s="73"/>
      <c r="Z1510" s="73"/>
      <c r="AA1510" s="73"/>
      <c r="AB1510" s="73"/>
      <c r="AC1510" s="73"/>
      <c r="AD1510" s="73"/>
      <c r="AE1510" s="73"/>
      <c r="AF1510" s="73"/>
      <c r="AG1510" s="73"/>
      <c r="AH1510" s="73"/>
      <c r="AI1510" s="73"/>
      <c r="AJ1510" s="73"/>
      <c r="AK1510" s="73"/>
      <c r="AL1510" s="73"/>
      <c r="AM1510" s="73"/>
      <c r="AN1510" s="73"/>
      <c r="AO1510" s="73"/>
      <c r="AP1510" s="73"/>
      <c r="AQ1510" s="73"/>
      <c r="AR1510" s="73"/>
      <c r="AS1510" s="73"/>
      <c r="AT1510" s="73"/>
      <c r="AU1510" s="73"/>
      <c r="AV1510" s="73"/>
      <c r="AW1510" s="73"/>
      <c r="AX1510" s="73"/>
      <c r="AY1510" s="73"/>
      <c r="AZ1510" s="73"/>
      <c r="BA1510" s="73"/>
      <c r="BB1510" s="73"/>
      <c r="BC1510" s="73"/>
      <c r="BD1510" s="73"/>
      <c r="BE1510" s="73"/>
      <c r="BF1510" s="73"/>
      <c r="BG1510" s="73"/>
      <c r="BH1510" s="73"/>
      <c r="BI1510" s="73"/>
      <c r="BJ1510" s="73"/>
      <c r="BK1510" s="73"/>
      <c r="BL1510" s="73"/>
      <c r="BM1510" s="73"/>
      <c r="BN1510" s="73"/>
      <c r="BO1510" s="73"/>
      <c r="BP1510" s="73"/>
      <c r="BQ1510" s="73"/>
      <c r="BR1510" s="73"/>
      <c r="BS1510" s="73"/>
      <c r="BT1510" s="73"/>
      <c r="BU1510" s="73"/>
      <c r="BV1510" s="73"/>
      <c r="BW1510" s="73"/>
      <c r="BX1510" s="73"/>
      <c r="BY1510" s="73"/>
      <c r="BZ1510" s="73"/>
      <c r="CA1510" s="73"/>
      <c r="CB1510" s="73"/>
      <c r="CC1510" s="73"/>
      <c r="CD1510" s="73"/>
      <c r="CE1510" s="73"/>
      <c r="CF1510" s="73"/>
      <c r="CG1510" s="73"/>
      <c r="CH1510" s="73"/>
      <c r="CI1510" s="73"/>
      <c r="CJ1510" s="73"/>
      <c r="CK1510" s="73"/>
      <c r="CL1510" s="73"/>
      <c r="CM1510" s="73"/>
      <c r="CN1510" s="73"/>
      <c r="CO1510" s="73"/>
      <c r="CP1510" s="73"/>
      <c r="CQ1510" s="73"/>
      <c r="CR1510" s="73"/>
      <c r="CS1510" s="73"/>
      <c r="CT1510" s="73"/>
      <c r="CU1510" s="73"/>
      <c r="CV1510" s="73"/>
      <c r="CW1510" s="73"/>
      <c r="CX1510" s="73"/>
      <c r="CY1510" s="73"/>
      <c r="CZ1510" s="73"/>
      <c r="DA1510" s="73"/>
      <c r="DB1510" s="73"/>
      <c r="DC1510" s="73"/>
      <c r="DD1510" s="73"/>
      <c r="DE1510" s="73"/>
      <c r="DF1510" s="73"/>
      <c r="DG1510" s="73"/>
      <c r="DH1510" s="73"/>
      <c r="DI1510" s="73"/>
      <c r="DJ1510" s="73"/>
      <c r="DK1510" s="73"/>
      <c r="DL1510" s="73"/>
      <c r="DM1510" s="73"/>
    </row>
    <row r="1511" spans="1:117" s="48" customFormat="1">
      <c r="A1511" s="73"/>
      <c r="T1511" s="73"/>
      <c r="U1511" s="73"/>
      <c r="V1511" s="73"/>
      <c r="W1511" s="73"/>
      <c r="X1511" s="73"/>
      <c r="Y1511" s="73"/>
      <c r="Z1511" s="73"/>
      <c r="AA1511" s="73"/>
      <c r="AB1511" s="73"/>
      <c r="AC1511" s="73"/>
      <c r="AD1511" s="73"/>
      <c r="AE1511" s="73"/>
      <c r="AF1511" s="73"/>
      <c r="AG1511" s="73"/>
      <c r="AH1511" s="73"/>
      <c r="AI1511" s="73"/>
      <c r="AJ1511" s="73"/>
      <c r="AK1511" s="73"/>
      <c r="AL1511" s="73"/>
      <c r="AM1511" s="73"/>
      <c r="AN1511" s="73"/>
      <c r="AO1511" s="73"/>
      <c r="AP1511" s="73"/>
      <c r="AQ1511" s="73"/>
      <c r="AR1511" s="73"/>
      <c r="AS1511" s="73"/>
      <c r="AT1511" s="73"/>
      <c r="AU1511" s="73"/>
      <c r="AV1511" s="73"/>
      <c r="AW1511" s="73"/>
      <c r="AX1511" s="73"/>
      <c r="AY1511" s="73"/>
      <c r="AZ1511" s="73"/>
      <c r="BA1511" s="73"/>
      <c r="BB1511" s="73"/>
      <c r="BC1511" s="73"/>
      <c r="BD1511" s="73"/>
      <c r="BE1511" s="73"/>
      <c r="BF1511" s="73"/>
      <c r="BG1511" s="73"/>
      <c r="BH1511" s="73"/>
      <c r="BI1511" s="73"/>
      <c r="BJ1511" s="73"/>
      <c r="BK1511" s="73"/>
      <c r="BL1511" s="73"/>
      <c r="BM1511" s="73"/>
      <c r="BN1511" s="73"/>
      <c r="BO1511" s="73"/>
      <c r="BP1511" s="73"/>
      <c r="BQ1511" s="73"/>
      <c r="BR1511" s="73"/>
      <c r="BS1511" s="73"/>
      <c r="BT1511" s="73"/>
      <c r="BU1511" s="73"/>
      <c r="BV1511" s="73"/>
      <c r="BW1511" s="73"/>
      <c r="BX1511" s="73"/>
      <c r="BY1511" s="73"/>
      <c r="BZ1511" s="73"/>
      <c r="CA1511" s="73"/>
      <c r="CB1511" s="73"/>
      <c r="CC1511" s="73"/>
      <c r="CD1511" s="73"/>
      <c r="CE1511" s="73"/>
      <c r="CF1511" s="73"/>
      <c r="CG1511" s="73"/>
      <c r="CH1511" s="73"/>
      <c r="CI1511" s="73"/>
      <c r="CJ1511" s="73"/>
      <c r="CK1511" s="73"/>
      <c r="CL1511" s="73"/>
      <c r="CM1511" s="73"/>
      <c r="CN1511" s="73"/>
      <c r="CO1511" s="73"/>
      <c r="CP1511" s="73"/>
      <c r="CQ1511" s="73"/>
      <c r="CR1511" s="73"/>
      <c r="CS1511" s="73"/>
      <c r="CT1511" s="73"/>
      <c r="CU1511" s="73"/>
      <c r="CV1511" s="73"/>
      <c r="CW1511" s="73"/>
      <c r="CX1511" s="73"/>
      <c r="CY1511" s="73"/>
      <c r="CZ1511" s="73"/>
      <c r="DA1511" s="73"/>
      <c r="DB1511" s="73"/>
      <c r="DC1511" s="73"/>
      <c r="DD1511" s="73"/>
      <c r="DE1511" s="73"/>
      <c r="DF1511" s="73"/>
      <c r="DG1511" s="73"/>
      <c r="DH1511" s="73"/>
      <c r="DI1511" s="73"/>
      <c r="DJ1511" s="73"/>
      <c r="DK1511" s="73"/>
      <c r="DL1511" s="73"/>
      <c r="DM1511" s="73"/>
    </row>
    <row r="1512" spans="1:117" s="48" customFormat="1">
      <c r="A1512" s="73"/>
      <c r="T1512" s="73"/>
      <c r="U1512" s="73"/>
      <c r="V1512" s="73"/>
      <c r="W1512" s="73"/>
      <c r="X1512" s="73"/>
      <c r="Y1512" s="73"/>
      <c r="Z1512" s="73"/>
      <c r="AA1512" s="73"/>
      <c r="AB1512" s="73"/>
      <c r="AC1512" s="73"/>
      <c r="AD1512" s="73"/>
      <c r="AE1512" s="73"/>
      <c r="AF1512" s="73"/>
      <c r="AG1512" s="73"/>
      <c r="AH1512" s="73"/>
      <c r="AI1512" s="73"/>
      <c r="AJ1512" s="73"/>
      <c r="AK1512" s="73"/>
      <c r="AL1512" s="73"/>
      <c r="AM1512" s="73"/>
      <c r="AN1512" s="73"/>
      <c r="AO1512" s="73"/>
      <c r="AP1512" s="73"/>
      <c r="AQ1512" s="73"/>
      <c r="AR1512" s="73"/>
      <c r="AS1512" s="73"/>
      <c r="AT1512" s="73"/>
      <c r="AU1512" s="73"/>
      <c r="AV1512" s="73"/>
      <c r="AW1512" s="73"/>
      <c r="AX1512" s="73"/>
      <c r="AY1512" s="73"/>
      <c r="AZ1512" s="73"/>
      <c r="BA1512" s="73"/>
      <c r="BB1512" s="73"/>
      <c r="BC1512" s="73"/>
      <c r="BD1512" s="73"/>
      <c r="BE1512" s="73"/>
      <c r="BF1512" s="73"/>
      <c r="BG1512" s="73"/>
      <c r="BH1512" s="73"/>
      <c r="BI1512" s="73"/>
      <c r="BJ1512" s="73"/>
      <c r="BK1512" s="73"/>
      <c r="BL1512" s="73"/>
      <c r="BM1512" s="73"/>
      <c r="BN1512" s="73"/>
      <c r="BO1512" s="73"/>
      <c r="BP1512" s="73"/>
      <c r="BQ1512" s="73"/>
      <c r="BR1512" s="73"/>
      <c r="BS1512" s="73"/>
      <c r="BT1512" s="73"/>
      <c r="BU1512" s="73"/>
      <c r="BV1512" s="73"/>
      <c r="BW1512" s="73"/>
      <c r="BX1512" s="73"/>
      <c r="BY1512" s="73"/>
      <c r="BZ1512" s="73"/>
      <c r="CA1512" s="73"/>
      <c r="CB1512" s="73"/>
      <c r="CC1512" s="73"/>
      <c r="CD1512" s="73"/>
      <c r="CE1512" s="73"/>
      <c r="CF1512" s="73"/>
      <c r="CG1512" s="73"/>
      <c r="CH1512" s="73"/>
      <c r="CI1512" s="73"/>
      <c r="CJ1512" s="73"/>
      <c r="CK1512" s="73"/>
      <c r="CL1512" s="73"/>
      <c r="CM1512" s="73"/>
      <c r="CN1512" s="73"/>
      <c r="CO1512" s="73"/>
      <c r="CP1512" s="73"/>
      <c r="CQ1512" s="73"/>
      <c r="CR1512" s="73"/>
      <c r="CS1512" s="73"/>
      <c r="CT1512" s="73"/>
      <c r="CU1512" s="73"/>
      <c r="CV1512" s="73"/>
      <c r="CW1512" s="73"/>
      <c r="CX1512" s="73"/>
      <c r="CY1512" s="73"/>
      <c r="CZ1512" s="73"/>
      <c r="DA1512" s="73"/>
      <c r="DB1512" s="73"/>
      <c r="DC1512" s="73"/>
      <c r="DD1512" s="73"/>
      <c r="DE1512" s="73"/>
      <c r="DF1512" s="73"/>
      <c r="DG1512" s="73"/>
      <c r="DH1512" s="73"/>
      <c r="DI1512" s="73"/>
      <c r="DJ1512" s="73"/>
      <c r="DK1512" s="73"/>
      <c r="DL1512" s="73"/>
      <c r="DM1512" s="73"/>
    </row>
    <row r="1513" spans="1:117" s="48" customFormat="1">
      <c r="A1513" s="73"/>
      <c r="T1513" s="73"/>
      <c r="U1513" s="73"/>
      <c r="V1513" s="73"/>
      <c r="W1513" s="73"/>
      <c r="X1513" s="73"/>
      <c r="Y1513" s="73"/>
      <c r="Z1513" s="73"/>
      <c r="AA1513" s="73"/>
      <c r="AB1513" s="73"/>
      <c r="AC1513" s="73"/>
      <c r="AD1513" s="73"/>
      <c r="AE1513" s="73"/>
      <c r="AF1513" s="73"/>
      <c r="AG1513" s="73"/>
      <c r="AH1513" s="73"/>
      <c r="AI1513" s="73"/>
      <c r="AJ1513" s="73"/>
      <c r="AK1513" s="73"/>
      <c r="AL1513" s="73"/>
      <c r="AM1513" s="73"/>
      <c r="AN1513" s="73"/>
      <c r="AO1513" s="73"/>
      <c r="AP1513" s="73"/>
      <c r="AQ1513" s="73"/>
      <c r="AR1513" s="73"/>
      <c r="AS1513" s="73"/>
      <c r="AT1513" s="73"/>
      <c r="AU1513" s="73"/>
      <c r="AV1513" s="73"/>
      <c r="AW1513" s="73"/>
      <c r="AX1513" s="73"/>
      <c r="AY1513" s="73"/>
      <c r="AZ1513" s="73"/>
      <c r="BA1513" s="73"/>
      <c r="BB1513" s="73"/>
      <c r="BC1513" s="73"/>
      <c r="BD1513" s="73"/>
      <c r="BE1513" s="73"/>
      <c r="BF1513" s="73"/>
      <c r="BG1513" s="73"/>
      <c r="BH1513" s="73"/>
      <c r="BI1513" s="73"/>
      <c r="BJ1513" s="73"/>
      <c r="BK1513" s="73"/>
      <c r="BL1513" s="73"/>
      <c r="BM1513" s="73"/>
      <c r="BN1513" s="73"/>
      <c r="BO1513" s="73"/>
      <c r="BP1513" s="73"/>
      <c r="BQ1513" s="73"/>
      <c r="BR1513" s="73"/>
      <c r="BS1513" s="73"/>
      <c r="BT1513" s="73"/>
      <c r="BU1513" s="73"/>
      <c r="BV1513" s="73"/>
      <c r="BW1513" s="73"/>
      <c r="BX1513" s="73"/>
      <c r="BY1513" s="73"/>
      <c r="BZ1513" s="73"/>
      <c r="CA1513" s="73"/>
      <c r="CB1513" s="73"/>
      <c r="CC1513" s="73"/>
      <c r="CD1513" s="73"/>
      <c r="CE1513" s="73"/>
      <c r="CF1513" s="73"/>
      <c r="CG1513" s="73"/>
      <c r="CH1513" s="73"/>
      <c r="CI1513" s="73"/>
      <c r="CJ1513" s="73"/>
      <c r="CK1513" s="73"/>
      <c r="CL1513" s="73"/>
      <c r="CM1513" s="73"/>
      <c r="CN1513" s="73"/>
      <c r="CO1513" s="73"/>
      <c r="CP1513" s="73"/>
      <c r="CQ1513" s="73"/>
      <c r="CR1513" s="73"/>
      <c r="CS1513" s="73"/>
      <c r="CT1513" s="73"/>
      <c r="CU1513" s="73"/>
      <c r="CV1513" s="73"/>
      <c r="CW1513" s="73"/>
      <c r="CX1513" s="73"/>
      <c r="CY1513" s="73"/>
      <c r="CZ1513" s="73"/>
      <c r="DA1513" s="73"/>
      <c r="DB1513" s="73"/>
      <c r="DC1513" s="73"/>
      <c r="DD1513" s="73"/>
      <c r="DE1513" s="73"/>
      <c r="DF1513" s="73"/>
      <c r="DG1513" s="73"/>
      <c r="DH1513" s="73"/>
      <c r="DI1513" s="73"/>
      <c r="DJ1513" s="73"/>
      <c r="DK1513" s="73"/>
      <c r="DL1513" s="73"/>
      <c r="DM1513" s="73"/>
    </row>
    <row r="1514" spans="1:117" s="48" customFormat="1">
      <c r="A1514" s="73"/>
      <c r="T1514" s="73"/>
      <c r="U1514" s="73"/>
      <c r="V1514" s="73"/>
      <c r="W1514" s="73"/>
      <c r="X1514" s="73"/>
      <c r="Y1514" s="73"/>
      <c r="Z1514" s="73"/>
      <c r="AA1514" s="73"/>
      <c r="AB1514" s="73"/>
      <c r="AC1514" s="73"/>
      <c r="AD1514" s="73"/>
      <c r="AE1514" s="73"/>
      <c r="AF1514" s="73"/>
      <c r="AG1514" s="73"/>
      <c r="AH1514" s="73"/>
      <c r="AI1514" s="73"/>
      <c r="AJ1514" s="73"/>
      <c r="AK1514" s="73"/>
      <c r="AL1514" s="73"/>
      <c r="AM1514" s="73"/>
      <c r="AN1514" s="73"/>
      <c r="AO1514" s="73"/>
      <c r="AP1514" s="73"/>
      <c r="AQ1514" s="73"/>
      <c r="AR1514" s="73"/>
      <c r="AS1514" s="73"/>
      <c r="AT1514" s="73"/>
      <c r="AU1514" s="73"/>
      <c r="AV1514" s="73"/>
      <c r="AW1514" s="73"/>
      <c r="AX1514" s="73"/>
      <c r="AY1514" s="73"/>
      <c r="AZ1514" s="73"/>
      <c r="BA1514" s="73"/>
      <c r="BB1514" s="73"/>
      <c r="BC1514" s="73"/>
      <c r="BD1514" s="73"/>
      <c r="BE1514" s="73"/>
      <c r="BF1514" s="73"/>
      <c r="BG1514" s="73"/>
      <c r="BH1514" s="73"/>
      <c r="BI1514" s="73"/>
      <c r="BJ1514" s="73"/>
      <c r="BK1514" s="73"/>
      <c r="BL1514" s="73"/>
      <c r="BM1514" s="73"/>
      <c r="BN1514" s="73"/>
      <c r="BO1514" s="73"/>
      <c r="BP1514" s="73"/>
      <c r="BQ1514" s="73"/>
      <c r="BR1514" s="73"/>
      <c r="BS1514" s="73"/>
      <c r="BT1514" s="73"/>
      <c r="BU1514" s="73"/>
      <c r="BV1514" s="73"/>
      <c r="BW1514" s="73"/>
      <c r="BX1514" s="73"/>
      <c r="BY1514" s="73"/>
      <c r="BZ1514" s="73"/>
      <c r="CA1514" s="73"/>
      <c r="CB1514" s="73"/>
      <c r="CC1514" s="73"/>
      <c r="CD1514" s="73"/>
      <c r="CE1514" s="73"/>
      <c r="CF1514" s="73"/>
      <c r="CG1514" s="73"/>
      <c r="CH1514" s="73"/>
      <c r="CI1514" s="73"/>
      <c r="CJ1514" s="73"/>
      <c r="CK1514" s="73"/>
      <c r="CL1514" s="73"/>
      <c r="CM1514" s="73"/>
      <c r="CN1514" s="73"/>
      <c r="CO1514" s="73"/>
      <c r="CP1514" s="73"/>
      <c r="CQ1514" s="73"/>
      <c r="CR1514" s="73"/>
      <c r="CS1514" s="73"/>
      <c r="CT1514" s="73"/>
      <c r="CU1514" s="73"/>
      <c r="CV1514" s="73"/>
      <c r="CW1514" s="73"/>
      <c r="CX1514" s="73"/>
      <c r="CY1514" s="73"/>
      <c r="CZ1514" s="73"/>
      <c r="DA1514" s="73"/>
      <c r="DB1514" s="73"/>
      <c r="DC1514" s="73"/>
      <c r="DD1514" s="73"/>
      <c r="DE1514" s="73"/>
      <c r="DF1514" s="73"/>
      <c r="DG1514" s="73"/>
      <c r="DH1514" s="73"/>
      <c r="DI1514" s="73"/>
      <c r="DJ1514" s="73"/>
      <c r="DK1514" s="73"/>
      <c r="DL1514" s="73"/>
      <c r="DM1514" s="73"/>
    </row>
    <row r="1515" spans="1:117" s="48" customFormat="1">
      <c r="A1515" s="73"/>
      <c r="T1515" s="73"/>
      <c r="U1515" s="73"/>
      <c r="V1515" s="73"/>
      <c r="W1515" s="73"/>
      <c r="X1515" s="73"/>
      <c r="Y1515" s="73"/>
      <c r="Z1515" s="73"/>
      <c r="AA1515" s="73"/>
      <c r="AB1515" s="73"/>
      <c r="AC1515" s="73"/>
      <c r="AD1515" s="73"/>
      <c r="AE1515" s="73"/>
      <c r="AF1515" s="73"/>
      <c r="AG1515" s="73"/>
      <c r="AH1515" s="73"/>
      <c r="AI1515" s="73"/>
      <c r="AJ1515" s="73"/>
      <c r="AK1515" s="73"/>
      <c r="AL1515" s="73"/>
      <c r="AM1515" s="73"/>
      <c r="AN1515" s="73"/>
      <c r="AO1515" s="73"/>
      <c r="AP1515" s="73"/>
      <c r="AQ1515" s="73"/>
      <c r="AR1515" s="73"/>
      <c r="AS1515" s="73"/>
      <c r="AT1515" s="73"/>
      <c r="AU1515" s="73"/>
      <c r="AV1515" s="73"/>
      <c r="AW1515" s="73"/>
      <c r="AX1515" s="73"/>
      <c r="AY1515" s="73"/>
      <c r="AZ1515" s="73"/>
      <c r="BA1515" s="73"/>
      <c r="BB1515" s="73"/>
      <c r="BC1515" s="73"/>
      <c r="BD1515" s="73"/>
      <c r="BE1515" s="73"/>
      <c r="BF1515" s="73"/>
      <c r="BG1515" s="73"/>
      <c r="BH1515" s="73"/>
      <c r="BI1515" s="73"/>
      <c r="BJ1515" s="73"/>
      <c r="BK1515" s="73"/>
      <c r="BL1515" s="73"/>
      <c r="BM1515" s="73"/>
      <c r="BN1515" s="73"/>
      <c r="BO1515" s="73"/>
      <c r="BP1515" s="73"/>
      <c r="BQ1515" s="73"/>
      <c r="BR1515" s="73"/>
      <c r="BS1515" s="73"/>
      <c r="BT1515" s="73"/>
      <c r="BU1515" s="73"/>
      <c r="BV1515" s="73"/>
      <c r="BW1515" s="73"/>
      <c r="BX1515" s="73"/>
      <c r="BY1515" s="73"/>
      <c r="BZ1515" s="73"/>
      <c r="CA1515" s="73"/>
      <c r="CB1515" s="73"/>
      <c r="CC1515" s="73"/>
      <c r="CD1515" s="73"/>
      <c r="CE1515" s="73"/>
      <c r="CF1515" s="73"/>
      <c r="CG1515" s="73"/>
      <c r="CH1515" s="73"/>
      <c r="CI1515" s="73"/>
      <c r="CJ1515" s="73"/>
      <c r="CK1515" s="73"/>
      <c r="CL1515" s="73"/>
      <c r="CM1515" s="73"/>
      <c r="CN1515" s="73"/>
      <c r="CO1515" s="73"/>
      <c r="CP1515" s="73"/>
      <c r="CQ1515" s="73"/>
      <c r="CR1515" s="73"/>
      <c r="CS1515" s="73"/>
      <c r="CT1515" s="73"/>
      <c r="CU1515" s="73"/>
      <c r="CV1515" s="73"/>
      <c r="CW1515" s="73"/>
      <c r="CX1515" s="73"/>
      <c r="CY1515" s="73"/>
      <c r="CZ1515" s="73"/>
      <c r="DA1515" s="73"/>
      <c r="DB1515" s="73"/>
      <c r="DC1515" s="73"/>
      <c r="DD1515" s="73"/>
      <c r="DE1515" s="73"/>
      <c r="DF1515" s="73"/>
      <c r="DG1515" s="73"/>
      <c r="DH1515" s="73"/>
      <c r="DI1515" s="73"/>
      <c r="DJ1515" s="73"/>
      <c r="DK1515" s="73"/>
      <c r="DL1515" s="73"/>
      <c r="DM1515" s="73"/>
    </row>
    <row r="1516" spans="1:117" s="48" customFormat="1">
      <c r="A1516" s="73"/>
      <c r="T1516" s="73"/>
      <c r="U1516" s="73"/>
      <c r="V1516" s="73"/>
      <c r="W1516" s="73"/>
      <c r="X1516" s="73"/>
      <c r="Y1516" s="73"/>
      <c r="Z1516" s="73"/>
      <c r="AA1516" s="73"/>
      <c r="AB1516" s="73"/>
      <c r="AC1516" s="73"/>
      <c r="AD1516" s="73"/>
      <c r="AE1516" s="73"/>
      <c r="AF1516" s="73"/>
      <c r="AG1516" s="73"/>
      <c r="AH1516" s="73"/>
      <c r="AI1516" s="73"/>
      <c r="AJ1516" s="73"/>
      <c r="AK1516" s="73"/>
      <c r="AL1516" s="73"/>
      <c r="AM1516" s="73"/>
      <c r="AN1516" s="73"/>
      <c r="AO1516" s="73"/>
      <c r="AP1516" s="73"/>
      <c r="AQ1516" s="73"/>
      <c r="AR1516" s="73"/>
      <c r="AS1516" s="73"/>
      <c r="AT1516" s="73"/>
      <c r="AU1516" s="73"/>
      <c r="AV1516" s="73"/>
      <c r="AW1516" s="73"/>
      <c r="AX1516" s="73"/>
      <c r="AY1516" s="73"/>
      <c r="AZ1516" s="73"/>
      <c r="BA1516" s="73"/>
      <c r="BB1516" s="73"/>
      <c r="BC1516" s="73"/>
      <c r="BD1516" s="73"/>
      <c r="BE1516" s="73"/>
      <c r="BF1516" s="73"/>
      <c r="BG1516" s="73"/>
      <c r="BH1516" s="73"/>
      <c r="BI1516" s="73"/>
      <c r="BJ1516" s="73"/>
      <c r="BK1516" s="73"/>
      <c r="BL1516" s="73"/>
      <c r="BM1516" s="73"/>
      <c r="BN1516" s="73"/>
      <c r="BO1516" s="73"/>
      <c r="BP1516" s="73"/>
      <c r="BQ1516" s="73"/>
      <c r="BR1516" s="73"/>
      <c r="BS1516" s="73"/>
      <c r="BT1516" s="73"/>
      <c r="BU1516" s="73"/>
      <c r="BV1516" s="73"/>
      <c r="BW1516" s="73"/>
      <c r="BX1516" s="73"/>
      <c r="BY1516" s="73"/>
      <c r="BZ1516" s="73"/>
      <c r="CA1516" s="73"/>
      <c r="CB1516" s="73"/>
      <c r="CC1516" s="73"/>
      <c r="CD1516" s="73"/>
      <c r="CE1516" s="73"/>
      <c r="CF1516" s="73"/>
      <c r="CG1516" s="73"/>
      <c r="CH1516" s="73"/>
      <c r="CI1516" s="73"/>
      <c r="CJ1516" s="73"/>
      <c r="CK1516" s="73"/>
      <c r="CL1516" s="73"/>
      <c r="CM1516" s="73"/>
      <c r="CN1516" s="73"/>
      <c r="CO1516" s="73"/>
      <c r="CP1516" s="73"/>
      <c r="CQ1516" s="73"/>
      <c r="CR1516" s="73"/>
      <c r="CS1516" s="73"/>
      <c r="CT1516" s="73"/>
      <c r="CU1516" s="73"/>
      <c r="CV1516" s="73"/>
      <c r="CW1516" s="73"/>
      <c r="CX1516" s="73"/>
      <c r="CY1516" s="73"/>
      <c r="CZ1516" s="73"/>
      <c r="DA1516" s="73"/>
      <c r="DB1516" s="73"/>
      <c r="DC1516" s="73"/>
      <c r="DD1516" s="73"/>
      <c r="DE1516" s="73"/>
      <c r="DF1516" s="73"/>
      <c r="DG1516" s="73"/>
      <c r="DH1516" s="73"/>
      <c r="DI1516" s="73"/>
      <c r="DJ1516" s="73"/>
      <c r="DK1516" s="73"/>
      <c r="DL1516" s="73"/>
      <c r="DM1516" s="73"/>
    </row>
    <row r="1517" spans="1:117" s="48" customFormat="1">
      <c r="A1517" s="73"/>
      <c r="T1517" s="73"/>
      <c r="U1517" s="73"/>
      <c r="V1517" s="73"/>
      <c r="W1517" s="73"/>
      <c r="X1517" s="73"/>
      <c r="Y1517" s="73"/>
      <c r="Z1517" s="73"/>
      <c r="AA1517" s="73"/>
      <c r="AB1517" s="73"/>
      <c r="AC1517" s="73"/>
      <c r="AD1517" s="73"/>
      <c r="AE1517" s="73"/>
      <c r="AF1517" s="73"/>
      <c r="AG1517" s="73"/>
      <c r="AH1517" s="73"/>
      <c r="AI1517" s="73"/>
      <c r="AJ1517" s="73"/>
      <c r="AK1517" s="73"/>
      <c r="AL1517" s="73"/>
      <c r="AM1517" s="73"/>
      <c r="AN1517" s="73"/>
      <c r="AO1517" s="73"/>
      <c r="AP1517" s="73"/>
      <c r="AQ1517" s="73"/>
      <c r="AR1517" s="73"/>
      <c r="AS1517" s="73"/>
      <c r="AT1517" s="73"/>
      <c r="AU1517" s="73"/>
      <c r="AV1517" s="73"/>
      <c r="AW1517" s="73"/>
      <c r="AX1517" s="73"/>
      <c r="AY1517" s="73"/>
      <c r="AZ1517" s="73"/>
      <c r="BA1517" s="73"/>
      <c r="BB1517" s="73"/>
      <c r="BC1517" s="73"/>
      <c r="BD1517" s="73"/>
      <c r="BE1517" s="73"/>
      <c r="BF1517" s="73"/>
      <c r="BG1517" s="73"/>
      <c r="BH1517" s="73"/>
      <c r="BI1517" s="73"/>
      <c r="BJ1517" s="73"/>
      <c r="BK1517" s="73"/>
      <c r="BL1517" s="73"/>
      <c r="BM1517" s="73"/>
      <c r="BN1517" s="73"/>
      <c r="BO1517" s="73"/>
      <c r="BP1517" s="73"/>
      <c r="BQ1517" s="73"/>
      <c r="BR1517" s="73"/>
      <c r="BS1517" s="73"/>
      <c r="BT1517" s="73"/>
      <c r="BU1517" s="73"/>
      <c r="BV1517" s="73"/>
      <c r="BW1517" s="73"/>
      <c r="BX1517" s="73"/>
      <c r="BY1517" s="73"/>
      <c r="BZ1517" s="73"/>
      <c r="CA1517" s="73"/>
      <c r="CB1517" s="73"/>
      <c r="CC1517" s="73"/>
      <c r="CD1517" s="73"/>
      <c r="CE1517" s="73"/>
      <c r="CF1517" s="73"/>
      <c r="CG1517" s="73"/>
      <c r="CH1517" s="73"/>
      <c r="CI1517" s="73"/>
      <c r="CJ1517" s="73"/>
      <c r="CK1517" s="73"/>
      <c r="CL1517" s="73"/>
      <c r="CM1517" s="73"/>
      <c r="CN1517" s="73"/>
      <c r="CO1517" s="73"/>
      <c r="CP1517" s="73"/>
      <c r="CQ1517" s="73"/>
      <c r="CR1517" s="73"/>
      <c r="CS1517" s="73"/>
      <c r="CT1517" s="73"/>
      <c r="CU1517" s="73"/>
      <c r="CV1517" s="73"/>
      <c r="CW1517" s="73"/>
      <c r="CX1517" s="73"/>
      <c r="CY1517" s="73"/>
      <c r="CZ1517" s="73"/>
      <c r="DA1517" s="73"/>
      <c r="DB1517" s="73"/>
      <c r="DC1517" s="73"/>
      <c r="DD1517" s="73"/>
      <c r="DE1517" s="73"/>
      <c r="DF1517" s="73"/>
      <c r="DG1517" s="73"/>
      <c r="DH1517" s="73"/>
      <c r="DI1517" s="73"/>
      <c r="DJ1517" s="73"/>
      <c r="DK1517" s="73"/>
      <c r="DL1517" s="73"/>
      <c r="DM1517" s="73"/>
    </row>
    <row r="1518" spans="1:117" s="48" customFormat="1">
      <c r="A1518" s="73"/>
      <c r="T1518" s="73"/>
      <c r="U1518" s="73"/>
      <c r="V1518" s="73"/>
      <c r="W1518" s="73"/>
      <c r="X1518" s="73"/>
      <c r="Y1518" s="73"/>
      <c r="Z1518" s="73"/>
      <c r="AA1518" s="73"/>
      <c r="AB1518" s="73"/>
      <c r="AC1518" s="73"/>
      <c r="AD1518" s="73"/>
      <c r="AE1518" s="73"/>
      <c r="AF1518" s="73"/>
      <c r="AG1518" s="73"/>
      <c r="AH1518" s="73"/>
      <c r="AI1518" s="73"/>
      <c r="AJ1518" s="73"/>
      <c r="AK1518" s="73"/>
      <c r="AL1518" s="73"/>
      <c r="AM1518" s="73"/>
      <c r="AN1518" s="73"/>
      <c r="AO1518" s="73"/>
      <c r="AP1518" s="73"/>
      <c r="AQ1518" s="73"/>
      <c r="AR1518" s="73"/>
      <c r="AS1518" s="73"/>
      <c r="AT1518" s="73"/>
      <c r="AU1518" s="73"/>
      <c r="AV1518" s="73"/>
      <c r="AW1518" s="73"/>
      <c r="AX1518" s="73"/>
      <c r="AY1518" s="73"/>
      <c r="AZ1518" s="73"/>
      <c r="BA1518" s="73"/>
      <c r="BB1518" s="73"/>
      <c r="BC1518" s="73"/>
      <c r="BD1518" s="73"/>
      <c r="BE1518" s="73"/>
      <c r="BF1518" s="73"/>
      <c r="BG1518" s="73"/>
      <c r="BH1518" s="73"/>
      <c r="BI1518" s="73"/>
      <c r="BJ1518" s="73"/>
      <c r="BK1518" s="73"/>
      <c r="BL1518" s="73"/>
      <c r="BM1518" s="73"/>
      <c r="BN1518" s="73"/>
      <c r="BO1518" s="73"/>
      <c r="BP1518" s="73"/>
      <c r="BQ1518" s="73"/>
      <c r="BR1518" s="73"/>
      <c r="BS1518" s="73"/>
      <c r="BT1518" s="73"/>
      <c r="BU1518" s="73"/>
      <c r="BV1518" s="73"/>
      <c r="BW1518" s="73"/>
      <c r="BX1518" s="73"/>
      <c r="BY1518" s="73"/>
      <c r="BZ1518" s="73"/>
      <c r="CA1518" s="73"/>
      <c r="CB1518" s="73"/>
      <c r="CC1518" s="73"/>
      <c r="CD1518" s="73"/>
      <c r="CE1518" s="73"/>
      <c r="CF1518" s="73"/>
      <c r="CG1518" s="73"/>
      <c r="CH1518" s="73"/>
      <c r="CI1518" s="73"/>
      <c r="CJ1518" s="73"/>
      <c r="CK1518" s="73"/>
      <c r="CL1518" s="73"/>
      <c r="CM1518" s="73"/>
      <c r="CN1518" s="73"/>
      <c r="CO1518" s="73"/>
      <c r="CP1518" s="73"/>
      <c r="CQ1518" s="73"/>
      <c r="CR1518" s="73"/>
      <c r="CS1518" s="73"/>
      <c r="CT1518" s="73"/>
      <c r="CU1518" s="73"/>
      <c r="CV1518" s="73"/>
      <c r="CW1518" s="73"/>
      <c r="CX1518" s="73"/>
      <c r="CY1518" s="73"/>
      <c r="CZ1518" s="73"/>
      <c r="DA1518" s="73"/>
      <c r="DB1518" s="73"/>
      <c r="DC1518" s="73"/>
      <c r="DD1518" s="73"/>
      <c r="DE1518" s="73"/>
      <c r="DF1518" s="73"/>
      <c r="DG1518" s="73"/>
      <c r="DH1518" s="73"/>
      <c r="DI1518" s="73"/>
      <c r="DJ1518" s="73"/>
      <c r="DK1518" s="73"/>
      <c r="DL1518" s="73"/>
      <c r="DM1518" s="73"/>
    </row>
    <row r="1519" spans="1:117" s="48" customFormat="1">
      <c r="A1519" s="73"/>
      <c r="T1519" s="73"/>
      <c r="U1519" s="73"/>
      <c r="V1519" s="73"/>
      <c r="W1519" s="73"/>
      <c r="X1519" s="73"/>
      <c r="Y1519" s="73"/>
      <c r="Z1519" s="73"/>
      <c r="AA1519" s="73"/>
      <c r="AB1519" s="73"/>
      <c r="AC1519" s="73"/>
      <c r="AD1519" s="73"/>
      <c r="AE1519" s="73"/>
      <c r="AF1519" s="73"/>
      <c r="AG1519" s="73"/>
      <c r="AH1519" s="73"/>
      <c r="AI1519" s="73"/>
      <c r="AJ1519" s="73"/>
      <c r="AK1519" s="73"/>
      <c r="AL1519" s="73"/>
      <c r="AM1519" s="73"/>
      <c r="AN1519" s="73"/>
      <c r="AO1519" s="73"/>
      <c r="AP1519" s="73"/>
      <c r="AQ1519" s="73"/>
      <c r="AR1519" s="73"/>
      <c r="AS1519" s="73"/>
      <c r="AT1519" s="73"/>
      <c r="AU1519" s="73"/>
      <c r="AV1519" s="73"/>
      <c r="AW1519" s="73"/>
      <c r="AX1519" s="73"/>
      <c r="AY1519" s="73"/>
      <c r="AZ1519" s="73"/>
      <c r="BA1519" s="73"/>
      <c r="BB1519" s="73"/>
      <c r="BC1519" s="73"/>
      <c r="BD1519" s="73"/>
      <c r="BE1519" s="73"/>
      <c r="BF1519" s="73"/>
      <c r="BG1519" s="73"/>
      <c r="BH1519" s="73"/>
      <c r="BI1519" s="73"/>
      <c r="BJ1519" s="73"/>
      <c r="BK1519" s="73"/>
      <c r="BL1519" s="73"/>
      <c r="BM1519" s="73"/>
      <c r="BN1519" s="73"/>
      <c r="BO1519" s="73"/>
      <c r="BP1519" s="73"/>
      <c r="BQ1519" s="73"/>
      <c r="BR1519" s="73"/>
      <c r="BS1519" s="73"/>
      <c r="BT1519" s="73"/>
      <c r="BU1519" s="73"/>
      <c r="BV1519" s="73"/>
      <c r="BW1519" s="73"/>
      <c r="BX1519" s="73"/>
      <c r="BY1519" s="73"/>
      <c r="BZ1519" s="73"/>
      <c r="CA1519" s="73"/>
      <c r="CB1519" s="73"/>
      <c r="CC1519" s="73"/>
      <c r="CD1519" s="73"/>
      <c r="CE1519" s="73"/>
      <c r="CF1519" s="73"/>
      <c r="CG1519" s="73"/>
      <c r="CH1519" s="73"/>
      <c r="CI1519" s="73"/>
      <c r="CJ1519" s="73"/>
      <c r="CK1519" s="73"/>
      <c r="CL1519" s="73"/>
      <c r="CM1519" s="73"/>
      <c r="CN1519" s="73"/>
      <c r="CO1519" s="73"/>
      <c r="CP1519" s="73"/>
      <c r="CQ1519" s="73"/>
      <c r="CR1519" s="73"/>
      <c r="CS1519" s="73"/>
      <c r="CT1519" s="73"/>
      <c r="CU1519" s="73"/>
      <c r="CV1519" s="73"/>
      <c r="CW1519" s="73"/>
      <c r="CX1519" s="73"/>
      <c r="CY1519" s="73"/>
      <c r="CZ1519" s="73"/>
      <c r="DA1519" s="73"/>
      <c r="DB1519" s="73"/>
      <c r="DC1519" s="73"/>
      <c r="DD1519" s="73"/>
      <c r="DE1519" s="73"/>
      <c r="DF1519" s="73"/>
      <c r="DG1519" s="73"/>
      <c r="DH1519" s="73"/>
      <c r="DI1519" s="73"/>
      <c r="DJ1519" s="73"/>
      <c r="DK1519" s="73"/>
      <c r="DL1519" s="73"/>
      <c r="DM1519" s="73"/>
    </row>
    <row r="1520" spans="1:117" s="48" customFormat="1">
      <c r="A1520" s="73"/>
      <c r="T1520" s="73"/>
      <c r="U1520" s="73"/>
      <c r="V1520" s="73"/>
      <c r="W1520" s="73"/>
      <c r="X1520" s="73"/>
      <c r="Y1520" s="73"/>
      <c r="Z1520" s="73"/>
      <c r="AA1520" s="73"/>
      <c r="AB1520" s="73"/>
      <c r="AC1520" s="73"/>
      <c r="AD1520" s="73"/>
      <c r="AE1520" s="73"/>
      <c r="AF1520" s="73"/>
      <c r="AG1520" s="73"/>
      <c r="AH1520" s="73"/>
      <c r="AI1520" s="73"/>
      <c r="AJ1520" s="73"/>
      <c r="AK1520" s="73"/>
      <c r="AL1520" s="73"/>
      <c r="AM1520" s="73"/>
      <c r="AN1520" s="73"/>
      <c r="AO1520" s="73"/>
      <c r="AP1520" s="73"/>
      <c r="AQ1520" s="73"/>
      <c r="AR1520" s="73"/>
      <c r="AS1520" s="73"/>
      <c r="AT1520" s="73"/>
      <c r="AU1520" s="73"/>
      <c r="AV1520" s="73"/>
      <c r="AW1520" s="73"/>
      <c r="AX1520" s="73"/>
      <c r="AY1520" s="73"/>
      <c r="AZ1520" s="73"/>
      <c r="BA1520" s="73"/>
      <c r="BB1520" s="73"/>
      <c r="BC1520" s="73"/>
      <c r="BD1520" s="73"/>
      <c r="BE1520" s="73"/>
      <c r="BF1520" s="73"/>
      <c r="BG1520" s="73"/>
      <c r="BH1520" s="73"/>
      <c r="BI1520" s="73"/>
      <c r="BJ1520" s="73"/>
      <c r="BK1520" s="73"/>
      <c r="BL1520" s="73"/>
      <c r="BM1520" s="73"/>
      <c r="BN1520" s="73"/>
      <c r="BO1520" s="73"/>
      <c r="BP1520" s="73"/>
      <c r="BQ1520" s="73"/>
      <c r="BR1520" s="73"/>
      <c r="BS1520" s="73"/>
      <c r="BT1520" s="73"/>
      <c r="BU1520" s="73"/>
      <c r="BV1520" s="73"/>
      <c r="BW1520" s="73"/>
      <c r="BX1520" s="73"/>
      <c r="BY1520" s="73"/>
      <c r="BZ1520" s="73"/>
      <c r="CA1520" s="73"/>
      <c r="CB1520" s="73"/>
      <c r="CC1520" s="73"/>
      <c r="CD1520" s="73"/>
      <c r="CE1520" s="73"/>
      <c r="CF1520" s="73"/>
      <c r="CG1520" s="73"/>
      <c r="CH1520" s="73"/>
      <c r="CI1520" s="73"/>
      <c r="CJ1520" s="73"/>
      <c r="CK1520" s="73"/>
      <c r="CL1520" s="73"/>
      <c r="CM1520" s="73"/>
      <c r="CN1520" s="73"/>
      <c r="CO1520" s="73"/>
      <c r="CP1520" s="73"/>
      <c r="CQ1520" s="73"/>
      <c r="CR1520" s="73"/>
      <c r="CS1520" s="73"/>
      <c r="CT1520" s="73"/>
      <c r="CU1520" s="73"/>
      <c r="CV1520" s="73"/>
      <c r="CW1520" s="73"/>
      <c r="CX1520" s="73"/>
      <c r="CY1520" s="73"/>
      <c r="CZ1520" s="73"/>
      <c r="DA1520" s="73"/>
      <c r="DB1520" s="73"/>
      <c r="DC1520" s="73"/>
      <c r="DD1520" s="73"/>
      <c r="DE1520" s="73"/>
      <c r="DF1520" s="73"/>
      <c r="DG1520" s="73"/>
      <c r="DH1520" s="73"/>
      <c r="DI1520" s="73"/>
      <c r="DJ1520" s="73"/>
      <c r="DK1520" s="73"/>
      <c r="DL1520" s="73"/>
      <c r="DM1520" s="73"/>
    </row>
    <row r="1521" spans="1:117" s="48" customFormat="1">
      <c r="A1521" s="73"/>
      <c r="T1521" s="73"/>
      <c r="U1521" s="73"/>
      <c r="V1521" s="73"/>
      <c r="W1521" s="73"/>
      <c r="X1521" s="73"/>
      <c r="Y1521" s="73"/>
      <c r="Z1521" s="73"/>
      <c r="AA1521" s="73"/>
      <c r="AB1521" s="73"/>
      <c r="AC1521" s="73"/>
      <c r="AD1521" s="73"/>
      <c r="AE1521" s="73"/>
      <c r="AF1521" s="73"/>
      <c r="AG1521" s="73"/>
      <c r="AH1521" s="73"/>
      <c r="AI1521" s="73"/>
      <c r="AJ1521" s="73"/>
      <c r="AK1521" s="73"/>
      <c r="AL1521" s="73"/>
      <c r="AM1521" s="73"/>
      <c r="AN1521" s="73"/>
      <c r="AO1521" s="73"/>
      <c r="AP1521" s="73"/>
      <c r="AQ1521" s="73"/>
      <c r="AR1521" s="73"/>
      <c r="AS1521" s="73"/>
      <c r="AT1521" s="73"/>
      <c r="AU1521" s="73"/>
      <c r="AV1521" s="73"/>
      <c r="AW1521" s="73"/>
      <c r="AX1521" s="73"/>
      <c r="AY1521" s="73"/>
      <c r="AZ1521" s="73"/>
      <c r="BA1521" s="73"/>
      <c r="BB1521" s="73"/>
      <c r="BC1521" s="73"/>
      <c r="BD1521" s="73"/>
      <c r="BE1521" s="73"/>
      <c r="BF1521" s="73"/>
      <c r="BG1521" s="73"/>
      <c r="BH1521" s="73"/>
      <c r="BI1521" s="73"/>
      <c r="BJ1521" s="73"/>
      <c r="BK1521" s="73"/>
      <c r="BL1521" s="73"/>
      <c r="BM1521" s="73"/>
      <c r="BN1521" s="73"/>
      <c r="BO1521" s="73"/>
      <c r="BP1521" s="73"/>
      <c r="BQ1521" s="73"/>
      <c r="BR1521" s="73"/>
      <c r="BS1521" s="73"/>
      <c r="BT1521" s="73"/>
      <c r="BU1521" s="73"/>
      <c r="BV1521" s="73"/>
      <c r="BW1521" s="73"/>
      <c r="BX1521" s="73"/>
      <c r="BY1521" s="73"/>
      <c r="BZ1521" s="73"/>
      <c r="CA1521" s="73"/>
      <c r="CB1521" s="73"/>
      <c r="CC1521" s="73"/>
      <c r="CD1521" s="73"/>
      <c r="CE1521" s="73"/>
      <c r="CF1521" s="73"/>
      <c r="CG1521" s="73"/>
      <c r="CH1521" s="73"/>
      <c r="CI1521" s="73"/>
      <c r="CJ1521" s="73"/>
      <c r="CK1521" s="73"/>
      <c r="CL1521" s="73"/>
      <c r="CM1521" s="73"/>
      <c r="CN1521" s="73"/>
      <c r="CO1521" s="73"/>
      <c r="CP1521" s="73"/>
      <c r="CQ1521" s="73"/>
      <c r="CR1521" s="73"/>
      <c r="CS1521" s="73"/>
      <c r="CT1521" s="73"/>
      <c r="CU1521" s="73"/>
      <c r="CV1521" s="73"/>
      <c r="CW1521" s="73"/>
      <c r="CX1521" s="73"/>
      <c r="CY1521" s="73"/>
      <c r="CZ1521" s="73"/>
      <c r="DA1521" s="73"/>
      <c r="DB1521" s="73"/>
      <c r="DC1521" s="73"/>
      <c r="DD1521" s="73"/>
      <c r="DE1521" s="73"/>
      <c r="DF1521" s="73"/>
      <c r="DG1521" s="73"/>
      <c r="DH1521" s="73"/>
      <c r="DI1521" s="73"/>
      <c r="DJ1521" s="73"/>
      <c r="DK1521" s="73"/>
      <c r="DL1521" s="73"/>
      <c r="DM1521" s="73"/>
    </row>
    <row r="1522" spans="1:117" s="48" customFormat="1">
      <c r="A1522" s="73"/>
      <c r="T1522" s="73"/>
      <c r="U1522" s="73"/>
      <c r="V1522" s="73"/>
      <c r="W1522" s="73"/>
      <c r="X1522" s="73"/>
      <c r="Y1522" s="73"/>
      <c r="Z1522" s="73"/>
      <c r="AA1522" s="73"/>
      <c r="AB1522" s="73"/>
      <c r="AC1522" s="73"/>
      <c r="AD1522" s="73"/>
      <c r="AE1522" s="73"/>
      <c r="AF1522" s="73"/>
      <c r="AG1522" s="73"/>
      <c r="AH1522" s="73"/>
      <c r="AI1522" s="73"/>
      <c r="AJ1522" s="73"/>
      <c r="AK1522" s="73"/>
      <c r="AL1522" s="73"/>
      <c r="AM1522" s="73"/>
      <c r="AN1522" s="73"/>
      <c r="AO1522" s="73"/>
      <c r="AP1522" s="73"/>
      <c r="AQ1522" s="73"/>
      <c r="AR1522" s="73"/>
      <c r="AS1522" s="73"/>
      <c r="AT1522" s="73"/>
      <c r="AU1522" s="73"/>
      <c r="AV1522" s="73"/>
      <c r="AW1522" s="73"/>
      <c r="AX1522" s="73"/>
      <c r="AY1522" s="73"/>
      <c r="AZ1522" s="73"/>
      <c r="BA1522" s="73"/>
      <c r="BB1522" s="73"/>
      <c r="BC1522" s="73"/>
      <c r="BD1522" s="73"/>
      <c r="BE1522" s="73"/>
      <c r="BF1522" s="73"/>
      <c r="BG1522" s="73"/>
      <c r="BH1522" s="73"/>
      <c r="BI1522" s="73"/>
      <c r="BJ1522" s="73"/>
      <c r="BK1522" s="73"/>
      <c r="BL1522" s="73"/>
      <c r="BM1522" s="73"/>
      <c r="BN1522" s="73"/>
      <c r="BO1522" s="73"/>
      <c r="BP1522" s="73"/>
      <c r="BQ1522" s="73"/>
      <c r="BR1522" s="73"/>
      <c r="BS1522" s="73"/>
      <c r="BT1522" s="73"/>
      <c r="BU1522" s="73"/>
      <c r="BV1522" s="73"/>
      <c r="BW1522" s="73"/>
      <c r="BX1522" s="73"/>
      <c r="BY1522" s="73"/>
      <c r="BZ1522" s="73"/>
      <c r="CA1522" s="73"/>
      <c r="CB1522" s="73"/>
      <c r="CC1522" s="73"/>
      <c r="CD1522" s="73"/>
      <c r="CE1522" s="73"/>
      <c r="CF1522" s="73"/>
      <c r="CG1522" s="73"/>
      <c r="CH1522" s="73"/>
      <c r="CI1522" s="73"/>
      <c r="CJ1522" s="73"/>
      <c r="CK1522" s="73"/>
      <c r="CL1522" s="73"/>
      <c r="CM1522" s="73"/>
      <c r="CN1522" s="73"/>
      <c r="CO1522" s="73"/>
      <c r="CP1522" s="73"/>
      <c r="CQ1522" s="73"/>
      <c r="CR1522" s="73"/>
      <c r="CS1522" s="73"/>
      <c r="CT1522" s="73"/>
      <c r="CU1522" s="73"/>
      <c r="CV1522" s="73"/>
      <c r="CW1522" s="73"/>
      <c r="CX1522" s="73"/>
      <c r="CY1522" s="73"/>
      <c r="CZ1522" s="73"/>
      <c r="DA1522" s="73"/>
      <c r="DB1522" s="73"/>
      <c r="DC1522" s="73"/>
      <c r="DD1522" s="73"/>
      <c r="DE1522" s="73"/>
      <c r="DF1522" s="73"/>
      <c r="DG1522" s="73"/>
      <c r="DH1522" s="73"/>
      <c r="DI1522" s="73"/>
      <c r="DJ1522" s="73"/>
      <c r="DK1522" s="73"/>
      <c r="DL1522" s="73"/>
      <c r="DM1522" s="73"/>
    </row>
    <row r="1523" spans="1:117" s="48" customFormat="1">
      <c r="A1523" s="73"/>
      <c r="T1523" s="73"/>
      <c r="U1523" s="73"/>
      <c r="V1523" s="73"/>
      <c r="W1523" s="73"/>
      <c r="X1523" s="73"/>
      <c r="Y1523" s="73"/>
      <c r="Z1523" s="73"/>
      <c r="AA1523" s="73"/>
      <c r="AB1523" s="73"/>
      <c r="AC1523" s="73"/>
      <c r="AD1523" s="73"/>
      <c r="AE1523" s="73"/>
      <c r="AF1523" s="73"/>
      <c r="AG1523" s="73"/>
      <c r="AH1523" s="73"/>
      <c r="AI1523" s="73"/>
      <c r="AJ1523" s="73"/>
      <c r="AK1523" s="73"/>
      <c r="AL1523" s="73"/>
      <c r="AM1523" s="73"/>
      <c r="AN1523" s="73"/>
      <c r="AO1523" s="73"/>
      <c r="AP1523" s="73"/>
      <c r="AQ1523" s="73"/>
      <c r="AR1523" s="73"/>
      <c r="AS1523" s="73"/>
      <c r="AT1523" s="73"/>
      <c r="AU1523" s="73"/>
      <c r="AV1523" s="73"/>
      <c r="AW1523" s="73"/>
      <c r="AX1523" s="73"/>
      <c r="AY1523" s="73"/>
      <c r="AZ1523" s="73"/>
      <c r="BA1523" s="73"/>
      <c r="BB1523" s="73"/>
      <c r="BC1523" s="73"/>
      <c r="BD1523" s="73"/>
      <c r="BE1523" s="73"/>
      <c r="BF1523" s="73"/>
      <c r="BG1523" s="73"/>
      <c r="BH1523" s="73"/>
      <c r="BI1523" s="73"/>
      <c r="BJ1523" s="73"/>
      <c r="BK1523" s="73"/>
      <c r="BL1523" s="73"/>
      <c r="BM1523" s="73"/>
      <c r="BN1523" s="73"/>
      <c r="BO1523" s="73"/>
      <c r="BP1523" s="73"/>
      <c r="BQ1523" s="73"/>
      <c r="BR1523" s="73"/>
      <c r="BS1523" s="73"/>
      <c r="BT1523" s="73"/>
      <c r="BU1523" s="73"/>
      <c r="BV1523" s="73"/>
      <c r="BW1523" s="73"/>
      <c r="BX1523" s="73"/>
      <c r="BY1523" s="73"/>
      <c r="BZ1523" s="73"/>
      <c r="CA1523" s="73"/>
      <c r="CB1523" s="73"/>
      <c r="CC1523" s="73"/>
      <c r="CD1523" s="73"/>
      <c r="CE1523" s="73"/>
      <c r="CF1523" s="73"/>
      <c r="CG1523" s="73"/>
      <c r="CH1523" s="73"/>
      <c r="CI1523" s="73"/>
      <c r="CJ1523" s="73"/>
      <c r="CK1523" s="73"/>
      <c r="CL1523" s="73"/>
      <c r="CM1523" s="73"/>
      <c r="CN1523" s="73"/>
      <c r="CO1523" s="73"/>
      <c r="CP1523" s="73"/>
      <c r="CQ1523" s="73"/>
      <c r="CR1523" s="73"/>
      <c r="CS1523" s="73"/>
      <c r="CT1523" s="73"/>
      <c r="CU1523" s="73"/>
      <c r="CV1523" s="73"/>
      <c r="CW1523" s="73"/>
      <c r="CX1523" s="73"/>
      <c r="CY1523" s="73"/>
      <c r="CZ1523" s="73"/>
      <c r="DA1523" s="73"/>
      <c r="DB1523" s="73"/>
      <c r="DC1523" s="73"/>
      <c r="DD1523" s="73"/>
      <c r="DE1523" s="73"/>
      <c r="DF1523" s="73"/>
      <c r="DG1523" s="73"/>
      <c r="DH1523" s="73"/>
      <c r="DI1523" s="73"/>
      <c r="DJ1523" s="73"/>
      <c r="DK1523" s="73"/>
      <c r="DL1523" s="73"/>
      <c r="DM1523" s="73"/>
    </row>
    <row r="1524" spans="1:117" s="48" customFormat="1">
      <c r="A1524" s="73"/>
      <c r="T1524" s="73"/>
      <c r="U1524" s="73"/>
      <c r="V1524" s="73"/>
      <c r="W1524" s="73"/>
      <c r="X1524" s="73"/>
      <c r="Y1524" s="73"/>
      <c r="Z1524" s="73"/>
      <c r="AA1524" s="73"/>
      <c r="AB1524" s="73"/>
      <c r="AC1524" s="73"/>
      <c r="AD1524" s="73"/>
      <c r="AE1524" s="73"/>
      <c r="AF1524" s="73"/>
      <c r="AG1524" s="73"/>
      <c r="AH1524" s="73"/>
      <c r="AI1524" s="73"/>
      <c r="AJ1524" s="73"/>
      <c r="AK1524" s="73"/>
      <c r="AL1524" s="73"/>
      <c r="AM1524" s="73"/>
      <c r="AN1524" s="73"/>
      <c r="AO1524" s="73"/>
      <c r="AP1524" s="73"/>
      <c r="AQ1524" s="73"/>
      <c r="AR1524" s="73"/>
      <c r="AS1524" s="73"/>
      <c r="AT1524" s="73"/>
      <c r="AU1524" s="73"/>
      <c r="AV1524" s="73"/>
      <c r="AW1524" s="73"/>
      <c r="AX1524" s="73"/>
      <c r="AY1524" s="73"/>
      <c r="AZ1524" s="73"/>
      <c r="BA1524" s="73"/>
      <c r="BB1524" s="73"/>
      <c r="BC1524" s="73"/>
      <c r="BD1524" s="73"/>
      <c r="BE1524" s="73"/>
      <c r="BF1524" s="73"/>
      <c r="BG1524" s="73"/>
      <c r="BH1524" s="73"/>
      <c r="BI1524" s="73"/>
      <c r="BJ1524" s="73"/>
      <c r="BK1524" s="73"/>
      <c r="BL1524" s="73"/>
      <c r="BM1524" s="73"/>
      <c r="BN1524" s="73"/>
      <c r="BO1524" s="73"/>
      <c r="BP1524" s="73"/>
      <c r="BQ1524" s="73"/>
      <c r="BR1524" s="73"/>
      <c r="BS1524" s="73"/>
      <c r="BT1524" s="73"/>
      <c r="BU1524" s="73"/>
      <c r="BV1524" s="73"/>
      <c r="BW1524" s="73"/>
      <c r="BX1524" s="73"/>
      <c r="BY1524" s="73"/>
      <c r="BZ1524" s="73"/>
      <c r="CA1524" s="73"/>
      <c r="CB1524" s="73"/>
      <c r="CC1524" s="73"/>
      <c r="CD1524" s="73"/>
      <c r="CE1524" s="73"/>
      <c r="CF1524" s="73"/>
      <c r="CG1524" s="73"/>
      <c r="CH1524" s="73"/>
      <c r="CI1524" s="73"/>
      <c r="CJ1524" s="73"/>
      <c r="CK1524" s="73"/>
      <c r="CL1524" s="73"/>
      <c r="CM1524" s="73"/>
      <c r="CN1524" s="73"/>
      <c r="CO1524" s="73"/>
      <c r="CP1524" s="73"/>
      <c r="CQ1524" s="73"/>
      <c r="CR1524" s="73"/>
      <c r="CS1524" s="73"/>
      <c r="CT1524" s="73"/>
      <c r="CU1524" s="73"/>
      <c r="CV1524" s="73"/>
      <c r="CW1524" s="73"/>
      <c r="CX1524" s="73"/>
      <c r="CY1524" s="73"/>
      <c r="CZ1524" s="73"/>
      <c r="DA1524" s="73"/>
      <c r="DB1524" s="73"/>
      <c r="DC1524" s="73"/>
      <c r="DD1524" s="73"/>
      <c r="DE1524" s="73"/>
      <c r="DF1524" s="73"/>
      <c r="DG1524" s="73"/>
      <c r="DH1524" s="73"/>
      <c r="DI1524" s="73"/>
      <c r="DJ1524" s="73"/>
      <c r="DK1524" s="73"/>
      <c r="DL1524" s="73"/>
      <c r="DM1524" s="73"/>
    </row>
    <row r="1525" spans="1:117" s="48" customFormat="1">
      <c r="A1525" s="73"/>
      <c r="T1525" s="73"/>
      <c r="U1525" s="73"/>
      <c r="V1525" s="73"/>
      <c r="W1525" s="73"/>
      <c r="X1525" s="73"/>
      <c r="Y1525" s="73"/>
      <c r="Z1525" s="73"/>
      <c r="AA1525" s="73"/>
      <c r="AB1525" s="73"/>
      <c r="AC1525" s="73"/>
      <c r="AD1525" s="73"/>
      <c r="AE1525" s="73"/>
      <c r="AF1525" s="73"/>
      <c r="AG1525" s="73"/>
      <c r="AH1525" s="73"/>
      <c r="AI1525" s="73"/>
      <c r="AJ1525" s="73"/>
      <c r="AK1525" s="73"/>
      <c r="AL1525" s="73"/>
      <c r="AM1525" s="73"/>
      <c r="AN1525" s="73"/>
      <c r="AO1525" s="73"/>
      <c r="AP1525" s="73"/>
      <c r="AQ1525" s="73"/>
      <c r="AR1525" s="73"/>
      <c r="AS1525" s="73"/>
      <c r="AT1525" s="73"/>
      <c r="AU1525" s="73"/>
      <c r="AV1525" s="73"/>
      <c r="AW1525" s="73"/>
      <c r="AX1525" s="73"/>
      <c r="AY1525" s="73"/>
      <c r="AZ1525" s="73"/>
      <c r="BA1525" s="73"/>
      <c r="BB1525" s="73"/>
      <c r="BC1525" s="73"/>
      <c r="BD1525" s="73"/>
      <c r="BE1525" s="73"/>
      <c r="BF1525" s="73"/>
      <c r="BG1525" s="73"/>
      <c r="BH1525" s="73"/>
      <c r="BI1525" s="73"/>
      <c r="BJ1525" s="73"/>
      <c r="BK1525" s="73"/>
      <c r="BL1525" s="73"/>
      <c r="BM1525" s="73"/>
      <c r="BN1525" s="73"/>
      <c r="BO1525" s="73"/>
      <c r="BP1525" s="73"/>
      <c r="BQ1525" s="73"/>
      <c r="BR1525" s="73"/>
      <c r="BS1525" s="73"/>
      <c r="BT1525" s="73"/>
      <c r="BU1525" s="73"/>
      <c r="BV1525" s="73"/>
      <c r="BW1525" s="73"/>
      <c r="BX1525" s="73"/>
      <c r="BY1525" s="73"/>
      <c r="BZ1525" s="73"/>
      <c r="CA1525" s="73"/>
      <c r="CB1525" s="73"/>
      <c r="CC1525" s="73"/>
      <c r="CD1525" s="73"/>
      <c r="CE1525" s="73"/>
      <c r="CF1525" s="73"/>
      <c r="CG1525" s="73"/>
      <c r="CH1525" s="73"/>
      <c r="CI1525" s="73"/>
      <c r="CJ1525" s="73"/>
      <c r="CK1525" s="73"/>
      <c r="CL1525" s="73"/>
      <c r="CM1525" s="73"/>
      <c r="CN1525" s="73"/>
      <c r="CO1525" s="73"/>
      <c r="CP1525" s="73"/>
      <c r="CQ1525" s="73"/>
      <c r="CR1525" s="73"/>
      <c r="CS1525" s="73"/>
      <c r="CT1525" s="73"/>
      <c r="CU1525" s="73"/>
      <c r="CV1525" s="73"/>
      <c r="CW1525" s="73"/>
      <c r="CX1525" s="73"/>
      <c r="CY1525" s="73"/>
      <c r="CZ1525" s="73"/>
      <c r="DA1525" s="73"/>
      <c r="DB1525" s="73"/>
      <c r="DC1525" s="73"/>
      <c r="DD1525" s="73"/>
      <c r="DE1525" s="73"/>
      <c r="DF1525" s="73"/>
      <c r="DG1525" s="73"/>
      <c r="DH1525" s="73"/>
      <c r="DI1525" s="73"/>
      <c r="DJ1525" s="73"/>
      <c r="DK1525" s="73"/>
      <c r="DL1525" s="73"/>
      <c r="DM1525" s="73"/>
    </row>
    <row r="1526" spans="1:117" s="48" customFormat="1">
      <c r="A1526" s="73"/>
      <c r="T1526" s="73"/>
      <c r="U1526" s="73"/>
      <c r="V1526" s="73"/>
      <c r="W1526" s="73"/>
      <c r="X1526" s="73"/>
      <c r="Y1526" s="73"/>
      <c r="Z1526" s="73"/>
      <c r="AA1526" s="73"/>
      <c r="AB1526" s="73"/>
      <c r="AC1526" s="73"/>
      <c r="AD1526" s="73"/>
      <c r="AE1526" s="73"/>
      <c r="AF1526" s="73"/>
      <c r="AG1526" s="73"/>
      <c r="AH1526" s="73"/>
      <c r="AI1526" s="73"/>
      <c r="AJ1526" s="73"/>
      <c r="AK1526" s="73"/>
      <c r="AL1526" s="73"/>
      <c r="AM1526" s="73"/>
      <c r="AN1526" s="73"/>
      <c r="AO1526" s="73"/>
      <c r="AP1526" s="73"/>
      <c r="AQ1526" s="73"/>
      <c r="AR1526" s="73"/>
      <c r="AS1526" s="73"/>
      <c r="AT1526" s="73"/>
      <c r="AU1526" s="73"/>
      <c r="AV1526" s="73"/>
      <c r="AW1526" s="73"/>
      <c r="AX1526" s="73"/>
      <c r="AY1526" s="73"/>
      <c r="AZ1526" s="73"/>
      <c r="BA1526" s="73"/>
      <c r="BB1526" s="73"/>
      <c r="BC1526" s="73"/>
      <c r="BD1526" s="73"/>
      <c r="BE1526" s="73"/>
      <c r="BF1526" s="73"/>
      <c r="BG1526" s="73"/>
      <c r="BH1526" s="73"/>
      <c r="BI1526" s="73"/>
      <c r="BJ1526" s="73"/>
      <c r="BK1526" s="73"/>
      <c r="BL1526" s="73"/>
      <c r="BM1526" s="73"/>
      <c r="BN1526" s="73"/>
      <c r="BO1526" s="73"/>
      <c r="BP1526" s="73"/>
      <c r="BQ1526" s="73"/>
      <c r="BR1526" s="73"/>
      <c r="BS1526" s="73"/>
      <c r="BT1526" s="73"/>
      <c r="BU1526" s="73"/>
      <c r="BV1526" s="73"/>
      <c r="BW1526" s="73"/>
      <c r="BX1526" s="73"/>
      <c r="BY1526" s="73"/>
      <c r="BZ1526" s="73"/>
      <c r="CA1526" s="73"/>
      <c r="CB1526" s="73"/>
      <c r="CC1526" s="73"/>
      <c r="CD1526" s="73"/>
      <c r="CE1526" s="73"/>
      <c r="CF1526" s="73"/>
      <c r="CG1526" s="73"/>
      <c r="CH1526" s="73"/>
      <c r="CI1526" s="73"/>
      <c r="CJ1526" s="73"/>
      <c r="CK1526" s="73"/>
      <c r="CL1526" s="73"/>
      <c r="CM1526" s="73"/>
      <c r="CN1526" s="73"/>
      <c r="CO1526" s="73"/>
      <c r="CP1526" s="73"/>
      <c r="CQ1526" s="73"/>
      <c r="CR1526" s="73"/>
      <c r="CS1526" s="73"/>
      <c r="CT1526" s="73"/>
      <c r="CU1526" s="73"/>
      <c r="CV1526" s="73"/>
      <c r="CW1526" s="73"/>
      <c r="CX1526" s="73"/>
      <c r="CY1526" s="73"/>
      <c r="CZ1526" s="73"/>
      <c r="DA1526" s="73"/>
      <c r="DB1526" s="73"/>
      <c r="DC1526" s="73"/>
      <c r="DD1526" s="73"/>
      <c r="DE1526" s="73"/>
      <c r="DF1526" s="73"/>
      <c r="DG1526" s="73"/>
      <c r="DH1526" s="73"/>
      <c r="DI1526" s="73"/>
      <c r="DJ1526" s="73"/>
      <c r="DK1526" s="73"/>
      <c r="DL1526" s="73"/>
      <c r="DM1526" s="73"/>
    </row>
    <row r="1527" spans="1:117" s="48" customFormat="1">
      <c r="A1527" s="73"/>
      <c r="T1527" s="73"/>
      <c r="U1527" s="73"/>
      <c r="V1527" s="73"/>
      <c r="W1527" s="73"/>
      <c r="X1527" s="73"/>
      <c r="Y1527" s="73"/>
      <c r="Z1527" s="73"/>
      <c r="AA1527" s="73"/>
      <c r="AB1527" s="73"/>
      <c r="AC1527" s="73"/>
      <c r="AD1527" s="73"/>
      <c r="AE1527" s="73"/>
      <c r="AF1527" s="73"/>
      <c r="AG1527" s="73"/>
      <c r="AH1527" s="73"/>
      <c r="AI1527" s="73"/>
      <c r="AJ1527" s="73"/>
      <c r="AK1527" s="73"/>
      <c r="AL1527" s="73"/>
      <c r="AM1527" s="73"/>
      <c r="AN1527" s="73"/>
      <c r="AO1527" s="73"/>
      <c r="AP1527" s="73"/>
      <c r="AQ1527" s="73"/>
      <c r="AR1527" s="73"/>
      <c r="AS1527" s="73"/>
      <c r="AT1527" s="73"/>
      <c r="AU1527" s="73"/>
      <c r="AV1527" s="73"/>
      <c r="AW1527" s="73"/>
      <c r="AX1527" s="73"/>
      <c r="AY1527" s="73"/>
      <c r="AZ1527" s="73"/>
      <c r="BA1527" s="73"/>
      <c r="BB1527" s="73"/>
      <c r="BC1527" s="73"/>
      <c r="BD1527" s="73"/>
      <c r="BE1527" s="73"/>
      <c r="BF1527" s="73"/>
      <c r="BG1527" s="73"/>
      <c r="BH1527" s="73"/>
      <c r="BI1527" s="73"/>
      <c r="BJ1527" s="73"/>
      <c r="BK1527" s="73"/>
      <c r="BL1527" s="73"/>
      <c r="BM1527" s="73"/>
      <c r="BN1527" s="73"/>
      <c r="BO1527" s="73"/>
      <c r="BP1527" s="73"/>
      <c r="BQ1527" s="73"/>
      <c r="BR1527" s="73"/>
      <c r="BS1527" s="73"/>
      <c r="BT1527" s="73"/>
      <c r="BU1527" s="73"/>
      <c r="BV1527" s="73"/>
      <c r="BW1527" s="73"/>
      <c r="BX1527" s="73"/>
      <c r="BY1527" s="73"/>
      <c r="BZ1527" s="73"/>
      <c r="CA1527" s="73"/>
      <c r="CB1527" s="73"/>
      <c r="CC1527" s="73"/>
      <c r="CD1527" s="73"/>
      <c r="CE1527" s="73"/>
      <c r="CF1527" s="73"/>
      <c r="CG1527" s="73"/>
      <c r="CH1527" s="73"/>
      <c r="CI1527" s="73"/>
      <c r="CJ1527" s="73"/>
      <c r="CK1527" s="73"/>
      <c r="CL1527" s="73"/>
      <c r="CM1527" s="73"/>
      <c r="CN1527" s="73"/>
      <c r="CO1527" s="73"/>
      <c r="CP1527" s="73"/>
      <c r="CQ1527" s="73"/>
      <c r="CR1527" s="73"/>
      <c r="CS1527" s="73"/>
      <c r="CT1527" s="73"/>
      <c r="CU1527" s="73"/>
      <c r="CV1527" s="73"/>
      <c r="CW1527" s="73"/>
      <c r="CX1527" s="73"/>
      <c r="CY1527" s="73"/>
      <c r="CZ1527" s="73"/>
      <c r="DA1527" s="73"/>
      <c r="DB1527" s="73"/>
      <c r="DC1527" s="73"/>
      <c r="DD1527" s="73"/>
      <c r="DE1527" s="73"/>
      <c r="DF1527" s="73"/>
      <c r="DG1527" s="73"/>
      <c r="DH1527" s="73"/>
      <c r="DI1527" s="73"/>
      <c r="DJ1527" s="73"/>
      <c r="DK1527" s="73"/>
      <c r="DL1527" s="73"/>
      <c r="DM1527" s="73"/>
    </row>
    <row r="1528" spans="1:117" s="48" customFormat="1">
      <c r="A1528" s="73"/>
      <c r="T1528" s="73"/>
      <c r="U1528" s="73"/>
      <c r="V1528" s="73"/>
      <c r="W1528" s="73"/>
      <c r="X1528" s="73"/>
      <c r="Y1528" s="73"/>
      <c r="Z1528" s="73"/>
      <c r="AA1528" s="73"/>
      <c r="AB1528" s="73"/>
      <c r="AC1528" s="73"/>
      <c r="AD1528" s="73"/>
      <c r="AE1528" s="73"/>
      <c r="AF1528" s="73"/>
      <c r="AG1528" s="73"/>
      <c r="AH1528" s="73"/>
      <c r="AI1528" s="73"/>
      <c r="AJ1528" s="73"/>
      <c r="AK1528" s="73"/>
      <c r="AL1528" s="73"/>
      <c r="AM1528" s="73"/>
      <c r="AN1528" s="73"/>
      <c r="AO1528" s="73"/>
      <c r="AP1528" s="73"/>
      <c r="AQ1528" s="73"/>
      <c r="AR1528" s="73"/>
      <c r="AS1528" s="73"/>
      <c r="AT1528" s="73"/>
      <c r="AU1528" s="73"/>
      <c r="AV1528" s="73"/>
      <c r="AW1528" s="73"/>
      <c r="AX1528" s="73"/>
      <c r="AY1528" s="73"/>
      <c r="AZ1528" s="73"/>
      <c r="BA1528" s="73"/>
      <c r="BB1528" s="73"/>
      <c r="BC1528" s="73"/>
      <c r="BD1528" s="73"/>
      <c r="BE1528" s="73"/>
      <c r="BF1528" s="73"/>
      <c r="BG1528" s="73"/>
      <c r="BH1528" s="73"/>
      <c r="BI1528" s="73"/>
      <c r="BJ1528" s="73"/>
      <c r="BK1528" s="73"/>
      <c r="BL1528" s="73"/>
      <c r="BM1528" s="73"/>
      <c r="BN1528" s="73"/>
      <c r="BO1528" s="73"/>
      <c r="BP1528" s="73"/>
      <c r="BQ1528" s="73"/>
      <c r="BR1528" s="73"/>
      <c r="BS1528" s="73"/>
      <c r="BT1528" s="73"/>
      <c r="BU1528" s="73"/>
      <c r="BV1528" s="73"/>
      <c r="BW1528" s="73"/>
      <c r="BX1528" s="73"/>
      <c r="BY1528" s="73"/>
      <c r="BZ1528" s="73"/>
      <c r="CA1528" s="73"/>
      <c r="CB1528" s="73"/>
      <c r="CC1528" s="73"/>
      <c r="CD1528" s="73"/>
      <c r="CE1528" s="73"/>
      <c r="CF1528" s="73"/>
      <c r="CG1528" s="73"/>
      <c r="CH1528" s="73"/>
      <c r="CI1528" s="73"/>
      <c r="CJ1528" s="73"/>
      <c r="CK1528" s="73"/>
      <c r="CL1528" s="73"/>
      <c r="CM1528" s="73"/>
      <c r="CN1528" s="73"/>
      <c r="CO1528" s="73"/>
      <c r="CP1528" s="73"/>
      <c r="CQ1528" s="73"/>
      <c r="CR1528" s="73"/>
      <c r="CS1528" s="73"/>
      <c r="CT1528" s="73"/>
      <c r="CU1528" s="73"/>
      <c r="CV1528" s="73"/>
      <c r="CW1528" s="73"/>
      <c r="CX1528" s="73"/>
      <c r="CY1528" s="73"/>
      <c r="CZ1528" s="73"/>
      <c r="DA1528" s="73"/>
      <c r="DB1528" s="73"/>
      <c r="DC1528" s="73"/>
      <c r="DD1528" s="73"/>
      <c r="DE1528" s="73"/>
      <c r="DF1528" s="73"/>
      <c r="DG1528" s="73"/>
      <c r="DH1528" s="73"/>
      <c r="DI1528" s="73"/>
      <c r="DJ1528" s="73"/>
      <c r="DK1528" s="73"/>
      <c r="DL1528" s="73"/>
      <c r="DM1528" s="73"/>
    </row>
    <row r="1529" spans="1:117" s="48" customFormat="1">
      <c r="A1529" s="73"/>
      <c r="T1529" s="73"/>
      <c r="U1529" s="73"/>
      <c r="V1529" s="73"/>
      <c r="W1529" s="73"/>
      <c r="X1529" s="73"/>
      <c r="Y1529" s="73"/>
      <c r="Z1529" s="73"/>
      <c r="AA1529" s="73"/>
      <c r="AB1529" s="73"/>
      <c r="AC1529" s="73"/>
      <c r="AD1529" s="73"/>
      <c r="AE1529" s="73"/>
      <c r="AF1529" s="73"/>
      <c r="AG1529" s="73"/>
      <c r="AH1529" s="73"/>
      <c r="AI1529" s="73"/>
      <c r="AJ1529" s="73"/>
      <c r="AK1529" s="73"/>
      <c r="AL1529" s="73"/>
      <c r="AM1529" s="73"/>
      <c r="AN1529" s="73"/>
      <c r="AO1529" s="73"/>
      <c r="AP1529" s="73"/>
      <c r="AQ1529" s="73"/>
      <c r="AR1529" s="73"/>
      <c r="AS1529" s="73"/>
      <c r="AT1529" s="73"/>
      <c r="AU1529" s="73"/>
      <c r="AV1529" s="73"/>
      <c r="AW1529" s="73"/>
      <c r="AX1529" s="73"/>
      <c r="AY1529" s="73"/>
      <c r="AZ1529" s="73"/>
      <c r="BA1529" s="73"/>
      <c r="BB1529" s="73"/>
      <c r="BC1529" s="73"/>
      <c r="BD1529" s="73"/>
      <c r="BE1529" s="73"/>
      <c r="BF1529" s="73"/>
      <c r="BG1529" s="73"/>
      <c r="BH1529" s="73"/>
      <c r="BI1529" s="73"/>
      <c r="BJ1529" s="73"/>
      <c r="BK1529" s="73"/>
      <c r="BL1529" s="73"/>
      <c r="BM1529" s="73"/>
      <c r="BN1529" s="73"/>
      <c r="BO1529" s="73"/>
      <c r="BP1529" s="73"/>
      <c r="BQ1529" s="73"/>
      <c r="BR1529" s="73"/>
      <c r="BS1529" s="73"/>
      <c r="BT1529" s="73"/>
      <c r="BU1529" s="73"/>
      <c r="BV1529" s="73"/>
      <c r="BW1529" s="73"/>
      <c r="BX1529" s="73"/>
      <c r="BY1529" s="73"/>
      <c r="BZ1529" s="73"/>
      <c r="CA1529" s="73"/>
      <c r="CB1529" s="73"/>
      <c r="CC1529" s="73"/>
      <c r="CD1529" s="73"/>
      <c r="CE1529" s="73"/>
      <c r="CF1529" s="73"/>
      <c r="CG1529" s="73"/>
      <c r="CH1529" s="73"/>
      <c r="CI1529" s="73"/>
      <c r="CJ1529" s="73"/>
      <c r="CK1529" s="73"/>
      <c r="CL1529" s="73"/>
      <c r="CM1529" s="73"/>
      <c r="CN1529" s="73"/>
      <c r="CO1529" s="73"/>
      <c r="CP1529" s="73"/>
      <c r="CQ1529" s="73"/>
      <c r="CR1529" s="73"/>
      <c r="CS1529" s="73"/>
      <c r="CT1529" s="73"/>
      <c r="CU1529" s="73"/>
      <c r="CV1529" s="73"/>
      <c r="CW1529" s="73"/>
      <c r="CX1529" s="73"/>
      <c r="CY1529" s="73"/>
      <c r="CZ1529" s="73"/>
      <c r="DA1529" s="73"/>
      <c r="DB1529" s="73"/>
      <c r="DC1529" s="73"/>
      <c r="DD1529" s="73"/>
      <c r="DE1529" s="73"/>
      <c r="DF1529" s="73"/>
      <c r="DG1529" s="73"/>
      <c r="DH1529" s="73"/>
      <c r="DI1529" s="73"/>
      <c r="DJ1529" s="73"/>
      <c r="DK1529" s="73"/>
      <c r="DL1529" s="73"/>
      <c r="DM1529" s="73"/>
    </row>
    <row r="1530" spans="1:117" s="48" customFormat="1">
      <c r="A1530" s="73"/>
      <c r="T1530" s="73"/>
      <c r="U1530" s="73"/>
      <c r="V1530" s="73"/>
      <c r="W1530" s="73"/>
      <c r="X1530" s="73"/>
      <c r="Y1530" s="73"/>
      <c r="Z1530" s="73"/>
      <c r="AA1530" s="73"/>
      <c r="AB1530" s="73"/>
      <c r="AC1530" s="73"/>
      <c r="AD1530" s="73"/>
      <c r="AE1530" s="73"/>
      <c r="AF1530" s="73"/>
      <c r="AG1530" s="73"/>
      <c r="AH1530" s="73"/>
      <c r="AI1530" s="73"/>
      <c r="AJ1530" s="73"/>
      <c r="AK1530" s="73"/>
      <c r="AL1530" s="73"/>
      <c r="AM1530" s="73"/>
      <c r="AN1530" s="73"/>
      <c r="AO1530" s="73"/>
      <c r="AP1530" s="73"/>
      <c r="AQ1530" s="73"/>
      <c r="AR1530" s="73"/>
      <c r="AS1530" s="73"/>
      <c r="AT1530" s="73"/>
      <c r="AU1530" s="73"/>
      <c r="AV1530" s="73"/>
      <c r="AW1530" s="73"/>
      <c r="AX1530" s="73"/>
      <c r="AY1530" s="73"/>
      <c r="AZ1530" s="73"/>
      <c r="BA1530" s="73"/>
      <c r="BB1530" s="73"/>
      <c r="BC1530" s="73"/>
      <c r="BD1530" s="73"/>
      <c r="BE1530" s="73"/>
      <c r="BF1530" s="73"/>
      <c r="BG1530" s="73"/>
      <c r="BH1530" s="73"/>
      <c r="BI1530" s="73"/>
      <c r="BJ1530" s="73"/>
      <c r="BK1530" s="73"/>
      <c r="BL1530" s="73"/>
      <c r="BM1530" s="73"/>
      <c r="BN1530" s="73"/>
      <c r="BO1530" s="73"/>
      <c r="BP1530" s="73"/>
      <c r="BQ1530" s="73"/>
      <c r="BR1530" s="73"/>
      <c r="BS1530" s="73"/>
      <c r="BT1530" s="73"/>
      <c r="BU1530" s="73"/>
      <c r="BV1530" s="73"/>
      <c r="BW1530" s="73"/>
      <c r="BX1530" s="73"/>
      <c r="BY1530" s="73"/>
      <c r="BZ1530" s="73"/>
      <c r="CA1530" s="73"/>
      <c r="CB1530" s="73"/>
      <c r="CC1530" s="73"/>
      <c r="CD1530" s="73"/>
      <c r="CE1530" s="73"/>
      <c r="CF1530" s="73"/>
      <c r="CG1530" s="73"/>
      <c r="CH1530" s="73"/>
      <c r="CI1530" s="73"/>
      <c r="CJ1530" s="73"/>
      <c r="CK1530" s="73"/>
      <c r="CL1530" s="73"/>
      <c r="CM1530" s="73"/>
      <c r="CN1530" s="73"/>
      <c r="CO1530" s="73"/>
      <c r="CP1530" s="73"/>
      <c r="CQ1530" s="73"/>
      <c r="CR1530" s="73"/>
      <c r="CS1530" s="73"/>
      <c r="CT1530" s="73"/>
      <c r="CU1530" s="73"/>
      <c r="CV1530" s="73"/>
      <c r="CW1530" s="73"/>
      <c r="CX1530" s="73"/>
      <c r="CY1530" s="73"/>
      <c r="CZ1530" s="73"/>
      <c r="DA1530" s="73"/>
      <c r="DB1530" s="73"/>
      <c r="DC1530" s="73"/>
      <c r="DD1530" s="73"/>
      <c r="DE1530" s="73"/>
      <c r="DF1530" s="73"/>
      <c r="DG1530" s="73"/>
      <c r="DH1530" s="73"/>
      <c r="DI1530" s="73"/>
      <c r="DJ1530" s="73"/>
      <c r="DK1530" s="73"/>
      <c r="DL1530" s="73"/>
      <c r="DM1530" s="73"/>
    </row>
    <row r="1531" spans="1:117" s="48" customFormat="1">
      <c r="A1531" s="73"/>
      <c r="T1531" s="73"/>
      <c r="U1531" s="73"/>
      <c r="V1531" s="73"/>
      <c r="W1531" s="73"/>
      <c r="X1531" s="73"/>
      <c r="Y1531" s="73"/>
      <c r="Z1531" s="73"/>
      <c r="AA1531" s="73"/>
      <c r="AB1531" s="73"/>
      <c r="AC1531" s="73"/>
      <c r="AD1531" s="73"/>
      <c r="AE1531" s="73"/>
      <c r="AF1531" s="73"/>
      <c r="AG1531" s="73"/>
      <c r="AH1531" s="73"/>
      <c r="AI1531" s="73"/>
      <c r="AJ1531" s="73"/>
      <c r="AK1531" s="73"/>
      <c r="AL1531" s="73"/>
      <c r="AM1531" s="73"/>
      <c r="AN1531" s="73"/>
      <c r="AO1531" s="73"/>
      <c r="AP1531" s="73"/>
      <c r="AQ1531" s="73"/>
      <c r="AR1531" s="73"/>
      <c r="AS1531" s="73"/>
      <c r="AT1531" s="73"/>
      <c r="AU1531" s="73"/>
      <c r="AV1531" s="73"/>
      <c r="AW1531" s="73"/>
      <c r="AX1531" s="73"/>
      <c r="AY1531" s="73"/>
      <c r="AZ1531" s="73"/>
      <c r="BA1531" s="73"/>
      <c r="BB1531" s="73"/>
      <c r="BC1531" s="73"/>
      <c r="BD1531" s="73"/>
      <c r="BE1531" s="73"/>
      <c r="BF1531" s="73"/>
      <c r="BG1531" s="73"/>
      <c r="BH1531" s="73"/>
      <c r="BI1531" s="73"/>
      <c r="BJ1531" s="73"/>
      <c r="BK1531" s="73"/>
      <c r="BL1531" s="73"/>
      <c r="BM1531" s="73"/>
      <c r="BN1531" s="73"/>
      <c r="BO1531" s="73"/>
      <c r="BP1531" s="73"/>
      <c r="BQ1531" s="73"/>
      <c r="BR1531" s="73"/>
      <c r="BS1531" s="73"/>
      <c r="BT1531" s="73"/>
      <c r="BU1531" s="73"/>
      <c r="BV1531" s="73"/>
      <c r="BW1531" s="73"/>
      <c r="BX1531" s="73"/>
      <c r="BY1531" s="73"/>
      <c r="BZ1531" s="73"/>
      <c r="CA1531" s="73"/>
      <c r="CB1531" s="73"/>
      <c r="CC1531" s="73"/>
      <c r="CD1531" s="73"/>
      <c r="CE1531" s="73"/>
      <c r="CF1531" s="73"/>
      <c r="CG1531" s="73"/>
      <c r="CH1531" s="73"/>
      <c r="CI1531" s="73"/>
      <c r="CJ1531" s="73"/>
      <c r="CK1531" s="73"/>
      <c r="CL1531" s="73"/>
      <c r="CM1531" s="73"/>
      <c r="CN1531" s="73"/>
      <c r="CO1531" s="73"/>
      <c r="CP1531" s="73"/>
      <c r="CQ1531" s="73"/>
      <c r="CR1531" s="73"/>
      <c r="CS1531" s="73"/>
      <c r="CT1531" s="73"/>
      <c r="CU1531" s="73"/>
      <c r="CV1531" s="73"/>
      <c r="CW1531" s="73"/>
      <c r="CX1531" s="73"/>
      <c r="CY1531" s="73"/>
      <c r="CZ1531" s="73"/>
      <c r="DA1531" s="73"/>
      <c r="DB1531" s="73"/>
      <c r="DC1531" s="73"/>
      <c r="DD1531" s="73"/>
      <c r="DE1531" s="73"/>
      <c r="DF1531" s="73"/>
      <c r="DG1531" s="73"/>
      <c r="DH1531" s="73"/>
      <c r="DI1531" s="73"/>
      <c r="DJ1531" s="73"/>
      <c r="DK1531" s="73"/>
      <c r="DL1531" s="73"/>
      <c r="DM1531" s="73"/>
    </row>
    <row r="1532" spans="1:117" s="48" customFormat="1">
      <c r="A1532" s="73"/>
      <c r="T1532" s="73"/>
      <c r="U1532" s="73"/>
      <c r="V1532" s="73"/>
      <c r="W1532" s="73"/>
      <c r="X1532" s="73"/>
      <c r="Y1532" s="73"/>
      <c r="Z1532" s="73"/>
      <c r="AA1532" s="73"/>
      <c r="AB1532" s="73"/>
      <c r="AC1532" s="73"/>
      <c r="AD1532" s="73"/>
      <c r="AE1532" s="73"/>
      <c r="AF1532" s="73"/>
      <c r="AG1532" s="73"/>
      <c r="AH1532" s="73"/>
      <c r="AI1532" s="73"/>
      <c r="AJ1532" s="73"/>
      <c r="AK1532" s="73"/>
      <c r="AL1532" s="73"/>
      <c r="AM1532" s="73"/>
      <c r="AN1532" s="73"/>
      <c r="AO1532" s="73"/>
      <c r="AP1532" s="73"/>
      <c r="AQ1532" s="73"/>
      <c r="AR1532" s="73"/>
      <c r="AS1532" s="73"/>
      <c r="AT1532" s="73"/>
      <c r="AU1532" s="73"/>
      <c r="AV1532" s="73"/>
      <c r="AW1532" s="73"/>
      <c r="AX1532" s="73"/>
      <c r="AY1532" s="73"/>
      <c r="AZ1532" s="73"/>
      <c r="BA1532" s="73"/>
      <c r="BB1532" s="73"/>
      <c r="BC1532" s="73"/>
      <c r="BD1532" s="73"/>
      <c r="BE1532" s="73"/>
      <c r="BF1532" s="73"/>
      <c r="BG1532" s="73"/>
      <c r="BH1532" s="73"/>
      <c r="BI1532" s="73"/>
      <c r="BJ1532" s="73"/>
      <c r="BK1532" s="73"/>
      <c r="BL1532" s="73"/>
      <c r="BM1532" s="73"/>
      <c r="BN1532" s="73"/>
      <c r="BO1532" s="73"/>
      <c r="BP1532" s="73"/>
      <c r="BQ1532" s="73"/>
      <c r="BR1532" s="73"/>
      <c r="BS1532" s="73"/>
      <c r="BT1532" s="73"/>
      <c r="BU1532" s="73"/>
      <c r="BV1532" s="73"/>
      <c r="BW1532" s="73"/>
      <c r="BX1532" s="73"/>
      <c r="BY1532" s="73"/>
      <c r="BZ1532" s="73"/>
      <c r="CA1532" s="73"/>
      <c r="CB1532" s="73"/>
      <c r="CC1532" s="73"/>
      <c r="CD1532" s="73"/>
      <c r="CE1532" s="73"/>
      <c r="CF1532" s="73"/>
      <c r="CG1532" s="73"/>
      <c r="CH1532" s="73"/>
      <c r="CI1532" s="73"/>
      <c r="CJ1532" s="73"/>
      <c r="CK1532" s="73"/>
      <c r="CL1532" s="73"/>
      <c r="CM1532" s="73"/>
      <c r="CN1532" s="73"/>
      <c r="CO1532" s="73"/>
      <c r="CP1532" s="73"/>
      <c r="CQ1532" s="73"/>
      <c r="CR1532" s="73"/>
      <c r="CS1532" s="73"/>
      <c r="CT1532" s="73"/>
      <c r="CU1532" s="73"/>
      <c r="CV1532" s="73"/>
      <c r="CW1532" s="73"/>
      <c r="CX1532" s="73"/>
      <c r="CY1532" s="73"/>
      <c r="CZ1532" s="73"/>
      <c r="DA1532" s="73"/>
      <c r="DB1532" s="73"/>
      <c r="DC1532" s="73"/>
      <c r="DD1532" s="73"/>
      <c r="DE1532" s="73"/>
      <c r="DF1532" s="73"/>
      <c r="DG1532" s="73"/>
      <c r="DH1532" s="73"/>
      <c r="DI1532" s="73"/>
      <c r="DJ1532" s="73"/>
      <c r="DK1532" s="73"/>
      <c r="DL1532" s="73"/>
      <c r="DM1532" s="73"/>
    </row>
    <row r="1533" spans="1:117" s="48" customFormat="1">
      <c r="A1533" s="73"/>
      <c r="T1533" s="73"/>
      <c r="U1533" s="73"/>
      <c r="V1533" s="73"/>
      <c r="W1533" s="73"/>
      <c r="X1533" s="73"/>
      <c r="Y1533" s="73"/>
      <c r="Z1533" s="73"/>
      <c r="AA1533" s="73"/>
      <c r="AB1533" s="73"/>
      <c r="AC1533" s="73"/>
      <c r="AD1533" s="73"/>
      <c r="AE1533" s="73"/>
      <c r="AF1533" s="73"/>
      <c r="AG1533" s="73"/>
      <c r="AH1533" s="73"/>
      <c r="AI1533" s="73"/>
      <c r="AJ1533" s="73"/>
      <c r="AK1533" s="73"/>
      <c r="AL1533" s="73"/>
      <c r="AM1533" s="73"/>
      <c r="AN1533" s="73"/>
      <c r="AO1533" s="73"/>
      <c r="AP1533" s="73"/>
      <c r="AQ1533" s="73"/>
      <c r="AR1533" s="73"/>
      <c r="AS1533" s="73"/>
      <c r="AT1533" s="73"/>
      <c r="AU1533" s="73"/>
      <c r="AV1533" s="73"/>
      <c r="AW1533" s="73"/>
      <c r="AX1533" s="73"/>
      <c r="AY1533" s="73"/>
      <c r="AZ1533" s="73"/>
      <c r="BA1533" s="73"/>
      <c r="BB1533" s="73"/>
      <c r="BC1533" s="73"/>
      <c r="BD1533" s="73"/>
      <c r="BE1533" s="73"/>
      <c r="BF1533" s="73"/>
      <c r="BG1533" s="73"/>
      <c r="BH1533" s="73"/>
      <c r="BI1533" s="73"/>
      <c r="BJ1533" s="73"/>
      <c r="BK1533" s="73"/>
      <c r="BL1533" s="73"/>
      <c r="BM1533" s="73"/>
      <c r="BN1533" s="73"/>
      <c r="BO1533" s="73"/>
      <c r="BP1533" s="73"/>
      <c r="BQ1533" s="73"/>
      <c r="BR1533" s="73"/>
      <c r="BS1533" s="73"/>
      <c r="BT1533" s="73"/>
      <c r="BU1533" s="73"/>
      <c r="BV1533" s="73"/>
      <c r="BW1533" s="73"/>
      <c r="BX1533" s="73"/>
      <c r="BY1533" s="73"/>
      <c r="BZ1533" s="73"/>
      <c r="CA1533" s="73"/>
      <c r="CB1533" s="73"/>
      <c r="CC1533" s="73"/>
      <c r="CD1533" s="73"/>
      <c r="CE1533" s="73"/>
      <c r="CF1533" s="73"/>
      <c r="CG1533" s="73"/>
      <c r="CH1533" s="73"/>
      <c r="CI1533" s="73"/>
      <c r="CJ1533" s="73"/>
      <c r="CK1533" s="73"/>
      <c r="CL1533" s="73"/>
      <c r="CM1533" s="73"/>
      <c r="CN1533" s="73"/>
      <c r="CO1533" s="73"/>
      <c r="CP1533" s="73"/>
      <c r="CQ1533" s="73"/>
      <c r="CR1533" s="73"/>
      <c r="CS1533" s="73"/>
      <c r="CT1533" s="73"/>
      <c r="CU1533" s="73"/>
      <c r="CV1533" s="73"/>
      <c r="CW1533" s="73"/>
      <c r="CX1533" s="73"/>
      <c r="CY1533" s="73"/>
      <c r="CZ1533" s="73"/>
      <c r="DA1533" s="73"/>
      <c r="DB1533" s="73"/>
      <c r="DC1533" s="73"/>
      <c r="DD1533" s="73"/>
      <c r="DE1533" s="73"/>
      <c r="DF1533" s="73"/>
      <c r="DG1533" s="73"/>
      <c r="DH1533" s="73"/>
      <c r="DI1533" s="73"/>
      <c r="DJ1533" s="73"/>
      <c r="DK1533" s="73"/>
      <c r="DL1533" s="73"/>
      <c r="DM1533" s="73"/>
    </row>
    <row r="1534" spans="1:117" s="48" customFormat="1">
      <c r="A1534" s="73"/>
      <c r="T1534" s="73"/>
      <c r="U1534" s="73"/>
      <c r="V1534" s="73"/>
      <c r="W1534" s="73"/>
      <c r="X1534" s="73"/>
      <c r="Y1534" s="73"/>
      <c r="Z1534" s="73"/>
      <c r="AA1534" s="73"/>
      <c r="AB1534" s="73"/>
      <c r="AC1534" s="73"/>
      <c r="AD1534" s="73"/>
      <c r="AE1534" s="73"/>
      <c r="AF1534" s="73"/>
      <c r="AG1534" s="73"/>
      <c r="AH1534" s="73"/>
      <c r="AI1534" s="73"/>
      <c r="AJ1534" s="73"/>
      <c r="AK1534" s="73"/>
      <c r="AL1534" s="73"/>
      <c r="AM1534" s="73"/>
      <c r="AN1534" s="73"/>
      <c r="AO1534" s="73"/>
      <c r="AP1534" s="73"/>
      <c r="AQ1534" s="73"/>
      <c r="AR1534" s="73"/>
      <c r="AS1534" s="73"/>
      <c r="AT1534" s="73"/>
      <c r="AU1534" s="73"/>
      <c r="AV1534" s="73"/>
      <c r="AW1534" s="73"/>
      <c r="AX1534" s="73"/>
      <c r="AY1534" s="73"/>
      <c r="AZ1534" s="73"/>
      <c r="BA1534" s="73"/>
      <c r="BB1534" s="73"/>
      <c r="BC1534" s="73"/>
      <c r="BD1534" s="73"/>
      <c r="BE1534" s="73"/>
      <c r="BF1534" s="73"/>
      <c r="BG1534" s="73"/>
      <c r="BH1534" s="73"/>
      <c r="BI1534" s="73"/>
      <c r="BJ1534" s="73"/>
      <c r="BK1534" s="73"/>
      <c r="BL1534" s="73"/>
      <c r="BM1534" s="73"/>
      <c r="BN1534" s="73"/>
      <c r="BO1534" s="73"/>
      <c r="BP1534" s="73"/>
      <c r="BQ1534" s="73"/>
      <c r="BR1534" s="73"/>
      <c r="BS1534" s="73"/>
      <c r="BT1534" s="73"/>
      <c r="BU1534" s="73"/>
      <c r="BV1534" s="73"/>
      <c r="BW1534" s="73"/>
      <c r="BX1534" s="73"/>
      <c r="BY1534" s="73"/>
      <c r="BZ1534" s="73"/>
      <c r="CA1534" s="73"/>
      <c r="CB1534" s="73"/>
      <c r="CC1534" s="73"/>
      <c r="CD1534" s="73"/>
      <c r="CE1534" s="73"/>
      <c r="CF1534" s="73"/>
      <c r="CG1534" s="73"/>
      <c r="CH1534" s="73"/>
      <c r="CI1534" s="73"/>
      <c r="CJ1534" s="73"/>
      <c r="CK1534" s="73"/>
      <c r="CL1534" s="73"/>
      <c r="CM1534" s="73"/>
      <c r="CN1534" s="73"/>
      <c r="CO1534" s="73"/>
      <c r="CP1534" s="73"/>
      <c r="CQ1534" s="73"/>
      <c r="CR1534" s="73"/>
      <c r="CS1534" s="73"/>
      <c r="CT1534" s="73"/>
      <c r="CU1534" s="73"/>
      <c r="CV1534" s="73"/>
      <c r="CW1534" s="73"/>
      <c r="CX1534" s="73"/>
      <c r="CY1534" s="73"/>
      <c r="CZ1534" s="73"/>
      <c r="DA1534" s="73"/>
      <c r="DB1534" s="73"/>
      <c r="DC1534" s="73"/>
      <c r="DD1534" s="73"/>
      <c r="DE1534" s="73"/>
      <c r="DF1534" s="73"/>
      <c r="DG1534" s="73"/>
      <c r="DH1534" s="73"/>
      <c r="DI1534" s="73"/>
      <c r="DJ1534" s="73"/>
      <c r="DK1534" s="73"/>
      <c r="DL1534" s="73"/>
      <c r="DM1534" s="73"/>
    </row>
    <row r="1535" spans="1:117" s="48" customFormat="1">
      <c r="A1535" s="73"/>
      <c r="T1535" s="73"/>
      <c r="U1535" s="73"/>
      <c r="V1535" s="73"/>
      <c r="W1535" s="73"/>
      <c r="X1535" s="73"/>
      <c r="Y1535" s="73"/>
      <c r="Z1535" s="73"/>
      <c r="AA1535" s="73"/>
      <c r="AB1535" s="73"/>
      <c r="AC1535" s="73"/>
      <c r="AD1535" s="73"/>
      <c r="AE1535" s="73"/>
      <c r="AF1535" s="73"/>
      <c r="AG1535" s="73"/>
      <c r="AH1535" s="73"/>
      <c r="AI1535" s="73"/>
      <c r="AJ1535" s="73"/>
      <c r="AK1535" s="73"/>
      <c r="AL1535" s="73"/>
      <c r="AM1535" s="73"/>
      <c r="AN1535" s="73"/>
      <c r="AO1535" s="73"/>
      <c r="AP1535" s="73"/>
      <c r="AQ1535" s="73"/>
      <c r="AR1535" s="73"/>
      <c r="AS1535" s="73"/>
      <c r="AT1535" s="73"/>
      <c r="AU1535" s="73"/>
      <c r="AV1535" s="73"/>
      <c r="AW1535" s="73"/>
      <c r="AX1535" s="73"/>
      <c r="AY1535" s="73"/>
      <c r="AZ1535" s="73"/>
      <c r="BA1535" s="73"/>
      <c r="BB1535" s="73"/>
      <c r="BC1535" s="73"/>
      <c r="BD1535" s="73"/>
      <c r="BE1535" s="73"/>
      <c r="BF1535" s="73"/>
      <c r="BG1535" s="73"/>
      <c r="BH1535" s="73"/>
      <c r="BI1535" s="73"/>
      <c r="BJ1535" s="73"/>
      <c r="BK1535" s="73"/>
      <c r="BL1535" s="73"/>
      <c r="BM1535" s="73"/>
      <c r="BN1535" s="73"/>
      <c r="BO1535" s="73"/>
      <c r="BP1535" s="73"/>
      <c r="BQ1535" s="73"/>
      <c r="BR1535" s="73"/>
      <c r="BS1535" s="73"/>
      <c r="BT1535" s="73"/>
      <c r="BU1535" s="73"/>
      <c r="BV1535" s="73"/>
      <c r="BW1535" s="73"/>
      <c r="BX1535" s="73"/>
      <c r="BY1535" s="73"/>
      <c r="BZ1535" s="73"/>
      <c r="CA1535" s="73"/>
      <c r="CB1535" s="73"/>
      <c r="CC1535" s="73"/>
      <c r="CD1535" s="73"/>
      <c r="CE1535" s="73"/>
      <c r="CF1535" s="73"/>
      <c r="CG1535" s="73"/>
      <c r="CH1535" s="73"/>
      <c r="CI1535" s="73"/>
      <c r="CJ1535" s="73"/>
      <c r="CK1535" s="73"/>
      <c r="CL1535" s="73"/>
      <c r="CM1535" s="73"/>
      <c r="CN1535" s="73"/>
      <c r="CO1535" s="73"/>
      <c r="CP1535" s="73"/>
      <c r="CQ1535" s="73"/>
      <c r="CR1535" s="73"/>
      <c r="CS1535" s="73"/>
      <c r="CT1535" s="73"/>
      <c r="CU1535" s="73"/>
      <c r="CV1535" s="73"/>
      <c r="CW1535" s="73"/>
      <c r="CX1535" s="73"/>
      <c r="CY1535" s="73"/>
      <c r="CZ1535" s="73"/>
      <c r="DA1535" s="73"/>
      <c r="DB1535" s="73"/>
      <c r="DC1535" s="73"/>
      <c r="DD1535" s="73"/>
      <c r="DE1535" s="73"/>
      <c r="DF1535" s="73"/>
      <c r="DG1535" s="73"/>
      <c r="DH1535" s="73"/>
      <c r="DI1535" s="73"/>
      <c r="DJ1535" s="73"/>
      <c r="DK1535" s="73"/>
      <c r="DL1535" s="73"/>
      <c r="DM1535" s="73"/>
    </row>
    <row r="1536" spans="1:117" s="48" customFormat="1">
      <c r="A1536" s="73"/>
      <c r="T1536" s="73"/>
      <c r="U1536" s="73"/>
      <c r="V1536" s="73"/>
      <c r="W1536" s="73"/>
      <c r="X1536" s="73"/>
      <c r="Y1536" s="73"/>
      <c r="Z1536" s="73"/>
      <c r="AA1536" s="73"/>
      <c r="AB1536" s="73"/>
      <c r="AC1536" s="73"/>
      <c r="AD1536" s="73"/>
      <c r="AE1536" s="73"/>
      <c r="AF1536" s="73"/>
      <c r="AG1536" s="73"/>
      <c r="AH1536" s="73"/>
      <c r="AI1536" s="73"/>
      <c r="AJ1536" s="73"/>
      <c r="AK1536" s="73"/>
      <c r="AL1536" s="73"/>
      <c r="AM1536" s="73"/>
      <c r="AN1536" s="73"/>
      <c r="AO1536" s="73"/>
      <c r="AP1536" s="73"/>
      <c r="AQ1536" s="73"/>
      <c r="AR1536" s="73"/>
      <c r="AS1536" s="73"/>
      <c r="AT1536" s="73"/>
      <c r="AU1536" s="73"/>
      <c r="AV1536" s="73"/>
      <c r="AW1536" s="73"/>
      <c r="AX1536" s="73"/>
      <c r="AY1536" s="73"/>
      <c r="AZ1536" s="73"/>
      <c r="BA1536" s="73"/>
      <c r="BB1536" s="73"/>
      <c r="BC1536" s="73"/>
      <c r="BD1536" s="73"/>
      <c r="BE1536" s="73"/>
      <c r="BF1536" s="73"/>
      <c r="BG1536" s="73"/>
      <c r="BH1536" s="73"/>
      <c r="BI1536" s="73"/>
      <c r="BJ1536" s="73"/>
      <c r="BK1536" s="73"/>
      <c r="BL1536" s="73"/>
      <c r="BM1536" s="73"/>
      <c r="BN1536" s="73"/>
      <c r="BO1536" s="73"/>
      <c r="BP1536" s="73"/>
      <c r="BQ1536" s="73"/>
      <c r="BR1536" s="73"/>
      <c r="BS1536" s="73"/>
      <c r="BT1536" s="73"/>
      <c r="BU1536" s="73"/>
      <c r="BV1536" s="73"/>
      <c r="BW1536" s="73"/>
      <c r="BX1536" s="73"/>
      <c r="BY1536" s="73"/>
      <c r="BZ1536" s="73"/>
      <c r="CA1536" s="73"/>
      <c r="CB1536" s="73"/>
      <c r="CC1536" s="73"/>
      <c r="CD1536" s="73"/>
      <c r="CE1536" s="73"/>
      <c r="CF1536" s="73"/>
      <c r="CG1536" s="73"/>
      <c r="CH1536" s="73"/>
      <c r="CI1536" s="73"/>
      <c r="CJ1536" s="73"/>
      <c r="CK1536" s="73"/>
      <c r="CL1536" s="73"/>
      <c r="CM1536" s="73"/>
      <c r="CN1536" s="73"/>
      <c r="CO1536" s="73"/>
      <c r="CP1536" s="73"/>
      <c r="CQ1536" s="73"/>
      <c r="CR1536" s="73"/>
      <c r="CS1536" s="73"/>
      <c r="CT1536" s="73"/>
      <c r="CU1536" s="73"/>
      <c r="CV1536" s="73"/>
      <c r="CW1536" s="73"/>
      <c r="CX1536" s="73"/>
      <c r="CY1536" s="73"/>
      <c r="CZ1536" s="73"/>
      <c r="DA1536" s="73"/>
      <c r="DB1536" s="73"/>
      <c r="DC1536" s="73"/>
      <c r="DD1536" s="73"/>
      <c r="DE1536" s="73"/>
      <c r="DF1536" s="73"/>
      <c r="DG1536" s="73"/>
      <c r="DH1536" s="73"/>
      <c r="DI1536" s="73"/>
      <c r="DJ1536" s="73"/>
      <c r="DK1536" s="73"/>
      <c r="DL1536" s="73"/>
      <c r="DM1536" s="73"/>
    </row>
    <row r="1537" spans="1:117" s="48" customFormat="1">
      <c r="A1537" s="73"/>
      <c r="T1537" s="73"/>
      <c r="U1537" s="73"/>
      <c r="V1537" s="73"/>
      <c r="W1537" s="73"/>
      <c r="X1537" s="73"/>
      <c r="Y1537" s="73"/>
      <c r="Z1537" s="73"/>
      <c r="AA1537" s="73"/>
      <c r="AB1537" s="73"/>
      <c r="AC1537" s="73"/>
      <c r="AD1537" s="73"/>
      <c r="AE1537" s="73"/>
      <c r="AF1537" s="73"/>
      <c r="AG1537" s="73"/>
      <c r="AH1537" s="73"/>
      <c r="AI1537" s="73"/>
      <c r="AJ1537" s="73"/>
      <c r="AK1537" s="73"/>
      <c r="AL1537" s="73"/>
      <c r="AM1537" s="73"/>
      <c r="AN1537" s="73"/>
      <c r="AO1537" s="73"/>
      <c r="AP1537" s="73"/>
      <c r="AQ1537" s="73"/>
      <c r="AR1537" s="73"/>
      <c r="AS1537" s="73"/>
      <c r="AT1537" s="73"/>
      <c r="AU1537" s="73"/>
      <c r="AV1537" s="73"/>
      <c r="AW1537" s="73"/>
      <c r="AX1537" s="73"/>
      <c r="AY1537" s="73"/>
      <c r="AZ1537" s="73"/>
      <c r="BA1537" s="73"/>
      <c r="BB1537" s="73"/>
      <c r="BC1537" s="73"/>
      <c r="BD1537" s="73"/>
      <c r="BE1537" s="73"/>
      <c r="BF1537" s="73"/>
      <c r="BG1537" s="73"/>
      <c r="BH1537" s="73"/>
      <c r="BI1537" s="73"/>
      <c r="BJ1537" s="73"/>
      <c r="BK1537" s="73"/>
      <c r="BL1537" s="73"/>
      <c r="BM1537" s="73"/>
      <c r="BN1537" s="73"/>
      <c r="BO1537" s="73"/>
      <c r="BP1537" s="73"/>
      <c r="BQ1537" s="73"/>
      <c r="BR1537" s="73"/>
      <c r="BS1537" s="73"/>
      <c r="BT1537" s="73"/>
      <c r="BU1537" s="73"/>
      <c r="BV1537" s="73"/>
      <c r="BW1537" s="73"/>
      <c r="BX1537" s="73"/>
      <c r="BY1537" s="73"/>
      <c r="BZ1537" s="73"/>
      <c r="CA1537" s="73"/>
      <c r="CB1537" s="73"/>
      <c r="CC1537" s="73"/>
      <c r="CD1537" s="73"/>
      <c r="CE1537" s="73"/>
      <c r="CF1537" s="73"/>
      <c r="CG1537" s="73"/>
      <c r="CH1537" s="73"/>
      <c r="CI1537" s="73"/>
      <c r="CJ1537" s="73"/>
      <c r="CK1537" s="73"/>
      <c r="CL1537" s="73"/>
      <c r="CM1537" s="73"/>
      <c r="CN1537" s="73"/>
      <c r="CO1537" s="73"/>
      <c r="CP1537" s="73"/>
      <c r="CQ1537" s="73"/>
      <c r="CR1537" s="73"/>
      <c r="CS1537" s="73"/>
      <c r="CT1537" s="73"/>
      <c r="CU1537" s="73"/>
      <c r="CV1537" s="73"/>
      <c r="CW1537" s="73"/>
      <c r="CX1537" s="73"/>
      <c r="CY1537" s="73"/>
      <c r="CZ1537" s="73"/>
      <c r="DA1537" s="73"/>
      <c r="DB1537" s="73"/>
      <c r="DC1537" s="73"/>
      <c r="DD1537" s="73"/>
      <c r="DE1537" s="73"/>
      <c r="DF1537" s="73"/>
      <c r="DG1537" s="73"/>
      <c r="DH1537" s="73"/>
      <c r="DI1537" s="73"/>
      <c r="DJ1537" s="73"/>
      <c r="DK1537" s="73"/>
      <c r="DL1537" s="73"/>
      <c r="DM1537" s="73"/>
    </row>
    <row r="1538" spans="1:117" s="48" customFormat="1">
      <c r="A1538" s="73"/>
      <c r="T1538" s="73"/>
      <c r="U1538" s="73"/>
      <c r="V1538" s="73"/>
      <c r="W1538" s="73"/>
      <c r="X1538" s="73"/>
      <c r="Y1538" s="73"/>
      <c r="Z1538" s="73"/>
      <c r="AA1538" s="73"/>
      <c r="AB1538" s="73"/>
      <c r="AC1538" s="73"/>
      <c r="AD1538" s="73"/>
      <c r="AE1538" s="73"/>
      <c r="AF1538" s="73"/>
      <c r="AG1538" s="73"/>
      <c r="AH1538" s="73"/>
      <c r="AI1538" s="73"/>
      <c r="AJ1538" s="73"/>
      <c r="AK1538" s="73"/>
      <c r="AL1538" s="73"/>
      <c r="AM1538" s="73"/>
      <c r="AN1538" s="73"/>
      <c r="AO1538" s="73"/>
      <c r="AP1538" s="73"/>
      <c r="AQ1538" s="73"/>
      <c r="AR1538" s="73"/>
      <c r="AS1538" s="73"/>
      <c r="AT1538" s="73"/>
      <c r="AU1538" s="73"/>
      <c r="AV1538" s="73"/>
      <c r="AW1538" s="73"/>
      <c r="AX1538" s="73"/>
      <c r="AY1538" s="73"/>
      <c r="AZ1538" s="73"/>
      <c r="BA1538" s="73"/>
      <c r="BB1538" s="73"/>
      <c r="BC1538" s="73"/>
      <c r="BD1538" s="73"/>
      <c r="BE1538" s="73"/>
      <c r="BF1538" s="73"/>
      <c r="BG1538" s="73"/>
      <c r="BH1538" s="73"/>
      <c r="BI1538" s="73"/>
      <c r="BJ1538" s="73"/>
      <c r="BK1538" s="73"/>
      <c r="BL1538" s="73"/>
      <c r="BM1538" s="73"/>
      <c r="BN1538" s="73"/>
      <c r="BO1538" s="73"/>
      <c r="BP1538" s="73"/>
      <c r="BQ1538" s="73"/>
      <c r="BR1538" s="73"/>
      <c r="BS1538" s="73"/>
      <c r="BT1538" s="73"/>
      <c r="BU1538" s="73"/>
      <c r="BV1538" s="73"/>
      <c r="BW1538" s="73"/>
      <c r="BX1538" s="73"/>
      <c r="BY1538" s="73"/>
      <c r="BZ1538" s="73"/>
      <c r="CA1538" s="73"/>
      <c r="CB1538" s="73"/>
      <c r="CC1538" s="73"/>
      <c r="CD1538" s="73"/>
      <c r="CE1538" s="73"/>
      <c r="CF1538" s="73"/>
      <c r="CG1538" s="73"/>
      <c r="CH1538" s="73"/>
      <c r="CI1538" s="73"/>
      <c r="CJ1538" s="73"/>
      <c r="CK1538" s="73"/>
      <c r="CL1538" s="73"/>
      <c r="CM1538" s="73"/>
      <c r="CN1538" s="73"/>
      <c r="CO1538" s="73"/>
      <c r="CP1538" s="73"/>
      <c r="CQ1538" s="73"/>
      <c r="CR1538" s="73"/>
      <c r="CS1538" s="73"/>
      <c r="CT1538" s="73"/>
      <c r="CU1538" s="73"/>
      <c r="CV1538" s="73"/>
      <c r="CW1538" s="73"/>
      <c r="CX1538" s="73"/>
      <c r="CY1538" s="73"/>
      <c r="CZ1538" s="73"/>
      <c r="DA1538" s="73"/>
      <c r="DB1538" s="73"/>
      <c r="DC1538" s="73"/>
      <c r="DD1538" s="73"/>
      <c r="DE1538" s="73"/>
      <c r="DF1538" s="73"/>
      <c r="DG1538" s="73"/>
      <c r="DH1538" s="73"/>
      <c r="DI1538" s="73"/>
      <c r="DJ1538" s="73"/>
      <c r="DK1538" s="73"/>
      <c r="DL1538" s="73"/>
      <c r="DM1538" s="73"/>
    </row>
    <row r="1539" spans="1:117" s="48" customFormat="1">
      <c r="A1539" s="73"/>
      <c r="T1539" s="73"/>
      <c r="U1539" s="73"/>
      <c r="V1539" s="73"/>
      <c r="W1539" s="73"/>
      <c r="X1539" s="73"/>
      <c r="Y1539" s="73"/>
      <c r="Z1539" s="73"/>
      <c r="AA1539" s="73"/>
      <c r="AB1539" s="73"/>
      <c r="AC1539" s="73"/>
      <c r="AD1539" s="73"/>
      <c r="AE1539" s="73"/>
      <c r="AF1539" s="73"/>
      <c r="AG1539" s="73"/>
      <c r="AH1539" s="73"/>
      <c r="AI1539" s="73"/>
      <c r="AJ1539" s="73"/>
      <c r="AK1539" s="73"/>
      <c r="AL1539" s="73"/>
      <c r="AM1539" s="73"/>
      <c r="AN1539" s="73"/>
      <c r="AO1539" s="73"/>
      <c r="AP1539" s="73"/>
      <c r="AQ1539" s="73"/>
      <c r="AR1539" s="73"/>
      <c r="AS1539" s="73"/>
      <c r="AT1539" s="73"/>
      <c r="AU1539" s="73"/>
      <c r="AV1539" s="73"/>
      <c r="AW1539" s="73"/>
      <c r="AX1539" s="73"/>
      <c r="AY1539" s="73"/>
      <c r="AZ1539" s="73"/>
      <c r="BA1539" s="73"/>
      <c r="BB1539" s="73"/>
      <c r="BC1539" s="73"/>
      <c r="BD1539" s="73"/>
      <c r="BE1539" s="73"/>
      <c r="BF1539" s="73"/>
      <c r="BG1539" s="73"/>
      <c r="BH1539" s="73"/>
      <c r="BI1539" s="73"/>
      <c r="BJ1539" s="73"/>
      <c r="BK1539" s="73"/>
      <c r="BL1539" s="73"/>
      <c r="BM1539" s="73"/>
      <c r="BN1539" s="73"/>
      <c r="BO1539" s="73"/>
      <c r="BP1539" s="73"/>
      <c r="BQ1539" s="73"/>
      <c r="BR1539" s="73"/>
      <c r="BS1539" s="73"/>
      <c r="BT1539" s="73"/>
      <c r="BU1539" s="73"/>
      <c r="BV1539" s="73"/>
      <c r="BW1539" s="73"/>
      <c r="BX1539" s="73"/>
      <c r="BY1539" s="73"/>
      <c r="BZ1539" s="73"/>
      <c r="CA1539" s="73"/>
      <c r="CB1539" s="73"/>
      <c r="CC1539" s="73"/>
      <c r="CD1539" s="73"/>
      <c r="CE1539" s="73"/>
      <c r="CF1539" s="73"/>
      <c r="CG1539" s="73"/>
      <c r="CH1539" s="73"/>
      <c r="CI1539" s="73"/>
      <c r="CJ1539" s="73"/>
      <c r="CK1539" s="73"/>
      <c r="CL1539" s="73"/>
      <c r="CM1539" s="73"/>
      <c r="CN1539" s="73"/>
      <c r="CO1539" s="73"/>
      <c r="CP1539" s="73"/>
      <c r="CQ1539" s="73"/>
      <c r="CR1539" s="73"/>
      <c r="CS1539" s="73"/>
      <c r="CT1539" s="73"/>
      <c r="CU1539" s="73"/>
      <c r="CV1539" s="73"/>
      <c r="CW1539" s="73"/>
      <c r="CX1539" s="73"/>
      <c r="CY1539" s="73"/>
      <c r="CZ1539" s="73"/>
      <c r="DA1539" s="73"/>
      <c r="DB1539" s="73"/>
      <c r="DC1539" s="73"/>
      <c r="DD1539" s="73"/>
      <c r="DE1539" s="73"/>
      <c r="DF1539" s="73"/>
      <c r="DG1539" s="73"/>
      <c r="DH1539" s="73"/>
      <c r="DI1539" s="73"/>
      <c r="DJ1539" s="73"/>
      <c r="DK1539" s="73"/>
      <c r="DL1539" s="73"/>
      <c r="DM1539" s="73"/>
    </row>
    <row r="1540" spans="1:117" s="48" customFormat="1">
      <c r="A1540" s="73"/>
      <c r="T1540" s="73"/>
      <c r="U1540" s="73"/>
      <c r="V1540" s="73"/>
      <c r="W1540" s="73"/>
      <c r="X1540" s="73"/>
      <c r="Y1540" s="73"/>
      <c r="Z1540" s="73"/>
      <c r="AA1540" s="73"/>
      <c r="AB1540" s="73"/>
      <c r="AC1540" s="73"/>
      <c r="AD1540" s="73"/>
      <c r="AE1540" s="73"/>
      <c r="AF1540" s="73"/>
      <c r="AG1540" s="73"/>
      <c r="AH1540" s="73"/>
      <c r="AI1540" s="73"/>
      <c r="AJ1540" s="73"/>
      <c r="AK1540" s="73"/>
      <c r="AL1540" s="73"/>
      <c r="AM1540" s="73"/>
      <c r="AN1540" s="73"/>
      <c r="AO1540" s="73"/>
      <c r="AP1540" s="73"/>
      <c r="AQ1540" s="73"/>
      <c r="AR1540" s="73"/>
      <c r="AS1540" s="73"/>
      <c r="AT1540" s="73"/>
      <c r="AU1540" s="73"/>
      <c r="AV1540" s="73"/>
      <c r="AW1540" s="73"/>
      <c r="AX1540" s="73"/>
      <c r="AY1540" s="73"/>
      <c r="AZ1540" s="73"/>
      <c r="BA1540" s="73"/>
      <c r="BB1540" s="73"/>
      <c r="BC1540" s="73"/>
      <c r="BD1540" s="73"/>
      <c r="BE1540" s="73"/>
      <c r="BF1540" s="73"/>
      <c r="BG1540" s="73"/>
      <c r="BH1540" s="73"/>
      <c r="BI1540" s="73"/>
      <c r="BJ1540" s="73"/>
      <c r="BK1540" s="73"/>
      <c r="BL1540" s="73"/>
      <c r="BM1540" s="73"/>
      <c r="BN1540" s="73"/>
      <c r="BO1540" s="73"/>
      <c r="BP1540" s="73"/>
      <c r="BQ1540" s="73"/>
      <c r="BR1540" s="73"/>
      <c r="BS1540" s="73"/>
      <c r="BT1540" s="73"/>
      <c r="BU1540" s="73"/>
      <c r="BV1540" s="73"/>
      <c r="BW1540" s="73"/>
      <c r="BX1540" s="73"/>
      <c r="BY1540" s="73"/>
      <c r="BZ1540" s="73"/>
      <c r="CA1540" s="73"/>
      <c r="CB1540" s="73"/>
      <c r="CC1540" s="73"/>
      <c r="CD1540" s="73"/>
      <c r="CE1540" s="73"/>
      <c r="CF1540" s="73"/>
      <c r="CG1540" s="73"/>
      <c r="CH1540" s="73"/>
      <c r="CI1540" s="73"/>
      <c r="CJ1540" s="73"/>
      <c r="CK1540" s="73"/>
      <c r="CL1540" s="73"/>
      <c r="CM1540" s="73"/>
      <c r="CN1540" s="73"/>
      <c r="CO1540" s="73"/>
      <c r="CP1540" s="73"/>
      <c r="CQ1540" s="73"/>
      <c r="CR1540" s="73"/>
      <c r="CS1540" s="73"/>
      <c r="CT1540" s="73"/>
      <c r="CU1540" s="73"/>
      <c r="CV1540" s="73"/>
      <c r="CW1540" s="73"/>
      <c r="CX1540" s="73"/>
      <c r="CY1540" s="73"/>
      <c r="CZ1540" s="73"/>
      <c r="DA1540" s="73"/>
      <c r="DB1540" s="73"/>
      <c r="DC1540" s="73"/>
      <c r="DD1540" s="73"/>
      <c r="DE1540" s="73"/>
      <c r="DF1540" s="73"/>
      <c r="DG1540" s="73"/>
      <c r="DH1540" s="73"/>
      <c r="DI1540" s="73"/>
      <c r="DJ1540" s="73"/>
      <c r="DK1540" s="73"/>
      <c r="DL1540" s="73"/>
      <c r="DM1540" s="73"/>
    </row>
    <row r="1541" spans="1:117" s="48" customFormat="1">
      <c r="A1541" s="73"/>
      <c r="T1541" s="73"/>
      <c r="U1541" s="73"/>
      <c r="V1541" s="73"/>
      <c r="W1541" s="73"/>
      <c r="X1541" s="73"/>
      <c r="Y1541" s="73"/>
      <c r="Z1541" s="73"/>
      <c r="AA1541" s="73"/>
      <c r="AB1541" s="73"/>
      <c r="AC1541" s="73"/>
      <c r="AD1541" s="73"/>
      <c r="AE1541" s="73"/>
      <c r="AF1541" s="73"/>
      <c r="AG1541" s="73"/>
      <c r="AH1541" s="73"/>
      <c r="AI1541" s="73"/>
      <c r="AJ1541" s="73"/>
      <c r="AK1541" s="73"/>
      <c r="AL1541" s="73"/>
      <c r="AM1541" s="73"/>
      <c r="AN1541" s="73"/>
      <c r="AO1541" s="73"/>
      <c r="AP1541" s="73"/>
      <c r="AQ1541" s="73"/>
      <c r="AR1541" s="73"/>
      <c r="AS1541" s="73"/>
      <c r="AT1541" s="73"/>
      <c r="AU1541" s="73"/>
      <c r="AV1541" s="73"/>
      <c r="AW1541" s="73"/>
      <c r="AX1541" s="73"/>
      <c r="AY1541" s="73"/>
      <c r="AZ1541" s="73"/>
      <c r="BA1541" s="73"/>
      <c r="BB1541" s="73"/>
      <c r="BC1541" s="73"/>
      <c r="BD1541" s="73"/>
      <c r="BE1541" s="73"/>
      <c r="BF1541" s="73"/>
      <c r="BG1541" s="73"/>
      <c r="BH1541" s="73"/>
      <c r="BI1541" s="73"/>
      <c r="BJ1541" s="73"/>
      <c r="BK1541" s="73"/>
      <c r="BL1541" s="73"/>
      <c r="BM1541" s="73"/>
      <c r="BN1541" s="73"/>
      <c r="BO1541" s="73"/>
      <c r="BP1541" s="73"/>
      <c r="BQ1541" s="73"/>
      <c r="BR1541" s="73"/>
      <c r="BS1541" s="73"/>
      <c r="BT1541" s="73"/>
      <c r="BU1541" s="73"/>
      <c r="BV1541" s="73"/>
      <c r="BW1541" s="73"/>
      <c r="BX1541" s="73"/>
      <c r="BY1541" s="73"/>
      <c r="BZ1541" s="73"/>
      <c r="CA1541" s="73"/>
      <c r="CB1541" s="73"/>
      <c r="CC1541" s="73"/>
      <c r="CD1541" s="73"/>
      <c r="CE1541" s="73"/>
      <c r="CF1541" s="73"/>
      <c r="CG1541" s="73"/>
      <c r="CH1541" s="73"/>
      <c r="CI1541" s="73"/>
      <c r="CJ1541" s="73"/>
      <c r="CK1541" s="73"/>
      <c r="CL1541" s="73"/>
      <c r="CM1541" s="73"/>
      <c r="CN1541" s="73"/>
      <c r="CO1541" s="73"/>
      <c r="CP1541" s="73"/>
      <c r="CQ1541" s="73"/>
      <c r="CR1541" s="73"/>
      <c r="CS1541" s="73"/>
      <c r="CT1541" s="73"/>
      <c r="CU1541" s="73"/>
      <c r="CV1541" s="73"/>
      <c r="CW1541" s="73"/>
      <c r="CX1541" s="73"/>
      <c r="CY1541" s="73"/>
      <c r="CZ1541" s="73"/>
      <c r="DA1541" s="73"/>
      <c r="DB1541" s="73"/>
      <c r="DC1541" s="73"/>
      <c r="DD1541" s="73"/>
      <c r="DE1541" s="73"/>
      <c r="DF1541" s="73"/>
      <c r="DG1541" s="73"/>
      <c r="DH1541" s="73"/>
      <c r="DI1541" s="73"/>
      <c r="DJ1541" s="73"/>
      <c r="DK1541" s="73"/>
      <c r="DL1541" s="73"/>
      <c r="DM1541" s="73"/>
    </row>
    <row r="1542" spans="1:117" s="48" customFormat="1">
      <c r="A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M1542" s="73"/>
      <c r="CN1542" s="73"/>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c r="DM1542" s="73"/>
    </row>
    <row r="1543" spans="1:117" s="48" customFormat="1">
      <c r="A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M1543" s="73"/>
      <c r="CN1543" s="73"/>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c r="DM1543" s="73"/>
    </row>
    <row r="1544" spans="1:117" s="48" customFormat="1">
      <c r="A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M1544" s="73"/>
      <c r="CN1544" s="73"/>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c r="DM1544" s="73"/>
    </row>
    <row r="1545" spans="1:117" s="48" customFormat="1">
      <c r="A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M1545" s="73"/>
      <c r="CN1545" s="73"/>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c r="DM1545" s="73"/>
    </row>
    <row r="1546" spans="1:117" s="48" customFormat="1">
      <c r="A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M1546" s="73"/>
      <c r="CN1546" s="73"/>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c r="DM1546" s="73"/>
    </row>
    <row r="1547" spans="1:117" s="48" customFormat="1">
      <c r="A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M1547" s="73"/>
      <c r="CN1547" s="73"/>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c r="DM1547" s="73"/>
    </row>
    <row r="1548" spans="1:117" s="48" customFormat="1">
      <c r="A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M1548" s="73"/>
      <c r="CN1548" s="73"/>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c r="DM1548" s="73"/>
    </row>
    <row r="1549" spans="1:117" s="48" customFormat="1">
      <c r="A1549" s="73"/>
      <c r="T1549" s="73"/>
      <c r="U1549" s="73"/>
      <c r="V1549" s="73"/>
      <c r="W1549" s="73"/>
      <c r="X1549" s="73"/>
      <c r="Y1549" s="73"/>
      <c r="Z1549" s="73"/>
      <c r="AA1549" s="73"/>
      <c r="AB1549" s="73"/>
      <c r="AC1549" s="73"/>
      <c r="AD1549" s="73"/>
      <c r="AE1549" s="73"/>
      <c r="AF1549" s="73"/>
      <c r="AG1549" s="73"/>
      <c r="AH1549" s="73"/>
      <c r="AI1549" s="73"/>
      <c r="AJ1549" s="73"/>
      <c r="AK1549" s="73"/>
      <c r="AL1549" s="73"/>
      <c r="AM1549" s="73"/>
      <c r="AN1549" s="73"/>
      <c r="AO1549" s="73"/>
      <c r="AP1549" s="73"/>
      <c r="AQ1549" s="73"/>
      <c r="AR1549" s="73"/>
      <c r="AS1549" s="73"/>
      <c r="AT1549" s="73"/>
      <c r="AU1549" s="73"/>
      <c r="AV1549" s="73"/>
      <c r="AW1549" s="73"/>
      <c r="AX1549" s="73"/>
      <c r="AY1549" s="73"/>
      <c r="AZ1549" s="73"/>
      <c r="BA1549" s="73"/>
      <c r="BB1549" s="73"/>
      <c r="BC1549" s="73"/>
      <c r="BD1549" s="73"/>
      <c r="BE1549" s="73"/>
      <c r="BF1549" s="73"/>
      <c r="BG1549" s="73"/>
      <c r="BH1549" s="73"/>
      <c r="BI1549" s="73"/>
      <c r="BJ1549" s="73"/>
      <c r="BK1549" s="73"/>
      <c r="BL1549" s="73"/>
      <c r="BM1549" s="73"/>
      <c r="BN1549" s="73"/>
      <c r="BO1549" s="73"/>
      <c r="BP1549" s="73"/>
      <c r="BQ1549" s="73"/>
      <c r="BR1549" s="73"/>
      <c r="BS1549" s="73"/>
      <c r="BT1549" s="73"/>
      <c r="BU1549" s="73"/>
      <c r="BV1549" s="73"/>
      <c r="BW1549" s="73"/>
      <c r="BX1549" s="73"/>
      <c r="BY1549" s="73"/>
      <c r="BZ1549" s="73"/>
      <c r="CA1549" s="73"/>
      <c r="CB1549" s="73"/>
      <c r="CC1549" s="73"/>
      <c r="CD1549" s="73"/>
      <c r="CE1549" s="73"/>
      <c r="CF1549" s="73"/>
      <c r="CG1549" s="73"/>
      <c r="CH1549" s="73"/>
      <c r="CI1549" s="73"/>
      <c r="CJ1549" s="73"/>
      <c r="CK1549" s="73"/>
      <c r="CL1549" s="73"/>
      <c r="CM1549" s="73"/>
      <c r="CN1549" s="73"/>
      <c r="CO1549" s="73"/>
      <c r="CP1549" s="73"/>
      <c r="CQ1549" s="73"/>
      <c r="CR1549" s="73"/>
      <c r="CS1549" s="73"/>
      <c r="CT1549" s="73"/>
      <c r="CU1549" s="73"/>
      <c r="CV1549" s="73"/>
      <c r="CW1549" s="73"/>
      <c r="CX1549" s="73"/>
      <c r="CY1549" s="73"/>
      <c r="CZ1549" s="73"/>
      <c r="DA1549" s="73"/>
      <c r="DB1549" s="73"/>
      <c r="DC1549" s="73"/>
      <c r="DD1549" s="73"/>
      <c r="DE1549" s="73"/>
      <c r="DF1549" s="73"/>
      <c r="DG1549" s="73"/>
      <c r="DH1549" s="73"/>
      <c r="DI1549" s="73"/>
      <c r="DJ1549" s="73"/>
      <c r="DK1549" s="73"/>
      <c r="DL1549" s="73"/>
      <c r="DM1549" s="73"/>
    </row>
    <row r="1550" spans="1:117" s="48" customFormat="1">
      <c r="A1550" s="73"/>
      <c r="T1550" s="73"/>
      <c r="U1550" s="73"/>
      <c r="V1550" s="73"/>
      <c r="W1550" s="73"/>
      <c r="X1550" s="73"/>
      <c r="Y1550" s="73"/>
      <c r="Z1550" s="73"/>
      <c r="AA1550" s="73"/>
      <c r="AB1550" s="73"/>
      <c r="AC1550" s="73"/>
      <c r="AD1550" s="73"/>
      <c r="AE1550" s="73"/>
      <c r="AF1550" s="73"/>
      <c r="AG1550" s="73"/>
      <c r="AH1550" s="73"/>
      <c r="AI1550" s="73"/>
      <c r="AJ1550" s="73"/>
      <c r="AK1550" s="73"/>
      <c r="AL1550" s="73"/>
      <c r="AM1550" s="73"/>
      <c r="AN1550" s="73"/>
      <c r="AO1550" s="73"/>
      <c r="AP1550" s="73"/>
      <c r="AQ1550" s="73"/>
      <c r="AR1550" s="73"/>
      <c r="AS1550" s="73"/>
      <c r="AT1550" s="73"/>
      <c r="AU1550" s="73"/>
      <c r="AV1550" s="73"/>
      <c r="AW1550" s="73"/>
      <c r="AX1550" s="73"/>
      <c r="AY1550" s="73"/>
      <c r="AZ1550" s="73"/>
      <c r="BA1550" s="73"/>
      <c r="BB1550" s="73"/>
      <c r="BC1550" s="73"/>
      <c r="BD1550" s="73"/>
      <c r="BE1550" s="73"/>
      <c r="BF1550" s="73"/>
      <c r="BG1550" s="73"/>
      <c r="BH1550" s="73"/>
      <c r="BI1550" s="73"/>
      <c r="BJ1550" s="73"/>
      <c r="BK1550" s="73"/>
      <c r="BL1550" s="73"/>
      <c r="BM1550" s="73"/>
      <c r="BN1550" s="73"/>
      <c r="BO1550" s="73"/>
      <c r="BP1550" s="73"/>
      <c r="BQ1550" s="73"/>
      <c r="BR1550" s="73"/>
      <c r="BS1550" s="73"/>
      <c r="BT1550" s="73"/>
      <c r="BU1550" s="73"/>
      <c r="BV1550" s="73"/>
      <c r="BW1550" s="73"/>
      <c r="BX1550" s="73"/>
      <c r="BY1550" s="73"/>
      <c r="BZ1550" s="73"/>
      <c r="CA1550" s="73"/>
      <c r="CB1550" s="73"/>
      <c r="CC1550" s="73"/>
      <c r="CD1550" s="73"/>
      <c r="CE1550" s="73"/>
      <c r="CF1550" s="73"/>
      <c r="CG1550" s="73"/>
      <c r="CH1550" s="73"/>
      <c r="CI1550" s="73"/>
      <c r="CJ1550" s="73"/>
      <c r="CK1550" s="73"/>
      <c r="CL1550" s="73"/>
      <c r="CM1550" s="73"/>
      <c r="CN1550" s="73"/>
      <c r="CO1550" s="73"/>
      <c r="CP1550" s="73"/>
      <c r="CQ1550" s="73"/>
      <c r="CR1550" s="73"/>
      <c r="CS1550" s="73"/>
      <c r="CT1550" s="73"/>
      <c r="CU1550" s="73"/>
      <c r="CV1550" s="73"/>
      <c r="CW1550" s="73"/>
      <c r="CX1550" s="73"/>
      <c r="CY1550" s="73"/>
      <c r="CZ1550" s="73"/>
      <c r="DA1550" s="73"/>
      <c r="DB1550" s="73"/>
      <c r="DC1550" s="73"/>
      <c r="DD1550" s="73"/>
      <c r="DE1550" s="73"/>
      <c r="DF1550" s="73"/>
      <c r="DG1550" s="73"/>
      <c r="DH1550" s="73"/>
      <c r="DI1550" s="73"/>
      <c r="DJ1550" s="73"/>
      <c r="DK1550" s="73"/>
      <c r="DL1550" s="73"/>
      <c r="DM1550" s="73"/>
    </row>
    <row r="1551" spans="1:117" s="48" customFormat="1">
      <c r="A1551" s="73"/>
      <c r="T1551" s="73"/>
      <c r="U1551" s="73"/>
      <c r="V1551" s="73"/>
      <c r="W1551" s="73"/>
      <c r="X1551" s="73"/>
      <c r="Y1551" s="73"/>
      <c r="Z1551" s="73"/>
      <c r="AA1551" s="73"/>
      <c r="AB1551" s="73"/>
      <c r="AC1551" s="73"/>
      <c r="AD1551" s="73"/>
      <c r="AE1551" s="73"/>
      <c r="AF1551" s="73"/>
      <c r="AG1551" s="73"/>
      <c r="AH1551" s="73"/>
      <c r="AI1551" s="73"/>
      <c r="AJ1551" s="73"/>
      <c r="AK1551" s="73"/>
      <c r="AL1551" s="73"/>
      <c r="AM1551" s="73"/>
      <c r="AN1551" s="73"/>
      <c r="AO1551" s="73"/>
      <c r="AP1551" s="73"/>
      <c r="AQ1551" s="73"/>
      <c r="AR1551" s="73"/>
      <c r="AS1551" s="73"/>
      <c r="AT1551" s="73"/>
      <c r="AU1551" s="73"/>
      <c r="AV1551" s="73"/>
      <c r="AW1551" s="73"/>
      <c r="AX1551" s="73"/>
      <c r="AY1551" s="73"/>
      <c r="AZ1551" s="73"/>
      <c r="BA1551" s="73"/>
      <c r="BB1551" s="73"/>
      <c r="BC1551" s="73"/>
      <c r="BD1551" s="73"/>
      <c r="BE1551" s="73"/>
      <c r="BF1551" s="73"/>
      <c r="BG1551" s="73"/>
      <c r="BH1551" s="73"/>
      <c r="BI1551" s="73"/>
      <c r="BJ1551" s="73"/>
      <c r="BK1551" s="73"/>
      <c r="BL1551" s="73"/>
      <c r="BM1551" s="73"/>
      <c r="BN1551" s="73"/>
      <c r="BO1551" s="73"/>
      <c r="BP1551" s="73"/>
      <c r="BQ1551" s="73"/>
      <c r="BR1551" s="73"/>
      <c r="BS1551" s="73"/>
      <c r="BT1551" s="73"/>
      <c r="BU1551" s="73"/>
      <c r="BV1551" s="73"/>
      <c r="BW1551" s="73"/>
      <c r="BX1551" s="73"/>
      <c r="BY1551" s="73"/>
      <c r="BZ1551" s="73"/>
      <c r="CA1551" s="73"/>
      <c r="CB1551" s="73"/>
      <c r="CC1551" s="73"/>
      <c r="CD1551" s="73"/>
      <c r="CE1551" s="73"/>
      <c r="CF1551" s="73"/>
      <c r="CG1551" s="73"/>
      <c r="CH1551" s="73"/>
      <c r="CI1551" s="73"/>
      <c r="CJ1551" s="73"/>
      <c r="CK1551" s="73"/>
      <c r="CL1551" s="73"/>
      <c r="CM1551" s="73"/>
      <c r="CN1551" s="73"/>
      <c r="CO1551" s="73"/>
      <c r="CP1551" s="73"/>
      <c r="CQ1551" s="73"/>
      <c r="CR1551" s="73"/>
      <c r="CS1551" s="73"/>
      <c r="CT1551" s="73"/>
      <c r="CU1551" s="73"/>
      <c r="CV1551" s="73"/>
      <c r="CW1551" s="73"/>
      <c r="CX1551" s="73"/>
      <c r="CY1551" s="73"/>
      <c r="CZ1551" s="73"/>
      <c r="DA1551" s="73"/>
      <c r="DB1551" s="73"/>
      <c r="DC1551" s="73"/>
      <c r="DD1551" s="73"/>
      <c r="DE1551" s="73"/>
      <c r="DF1551" s="73"/>
      <c r="DG1551" s="73"/>
      <c r="DH1551" s="73"/>
      <c r="DI1551" s="73"/>
      <c r="DJ1551" s="73"/>
      <c r="DK1551" s="73"/>
      <c r="DL1551" s="73"/>
      <c r="DM1551" s="73"/>
    </row>
    <row r="1552" spans="1:117" s="48" customFormat="1">
      <c r="A1552" s="73"/>
      <c r="T1552" s="73"/>
      <c r="U1552" s="73"/>
      <c r="V1552" s="73"/>
      <c r="W1552" s="73"/>
      <c r="X1552" s="73"/>
      <c r="Y1552" s="73"/>
      <c r="Z1552" s="73"/>
      <c r="AA1552" s="73"/>
      <c r="AB1552" s="73"/>
      <c r="AC1552" s="73"/>
      <c r="AD1552" s="73"/>
      <c r="AE1552" s="73"/>
      <c r="AF1552" s="73"/>
      <c r="AG1552" s="73"/>
      <c r="AH1552" s="73"/>
      <c r="AI1552" s="73"/>
      <c r="AJ1552" s="73"/>
      <c r="AK1552" s="73"/>
      <c r="AL1552" s="73"/>
      <c r="AM1552" s="73"/>
      <c r="AN1552" s="73"/>
      <c r="AO1552" s="73"/>
      <c r="AP1552" s="73"/>
      <c r="AQ1552" s="73"/>
      <c r="AR1552" s="73"/>
      <c r="AS1552" s="73"/>
      <c r="AT1552" s="73"/>
      <c r="AU1552" s="73"/>
      <c r="AV1552" s="73"/>
      <c r="AW1552" s="73"/>
      <c r="AX1552" s="73"/>
      <c r="AY1552" s="73"/>
      <c r="AZ1552" s="73"/>
      <c r="BA1552" s="73"/>
      <c r="BB1552" s="73"/>
      <c r="BC1552" s="73"/>
      <c r="BD1552" s="73"/>
      <c r="BE1552" s="73"/>
      <c r="BF1552" s="73"/>
      <c r="BG1552" s="73"/>
      <c r="BH1552" s="73"/>
      <c r="BI1552" s="73"/>
      <c r="BJ1552" s="73"/>
      <c r="BK1552" s="73"/>
      <c r="BL1552" s="73"/>
      <c r="BM1552" s="73"/>
      <c r="BN1552" s="73"/>
      <c r="BO1552" s="73"/>
      <c r="BP1552" s="73"/>
      <c r="BQ1552" s="73"/>
      <c r="BR1552" s="73"/>
      <c r="BS1552" s="73"/>
      <c r="BT1552" s="73"/>
      <c r="BU1552" s="73"/>
      <c r="BV1552" s="73"/>
      <c r="BW1552" s="73"/>
      <c r="BX1552" s="73"/>
      <c r="BY1552" s="73"/>
      <c r="BZ1552" s="73"/>
      <c r="CA1552" s="73"/>
      <c r="CB1552" s="73"/>
      <c r="CC1552" s="73"/>
      <c r="CD1552" s="73"/>
      <c r="CE1552" s="73"/>
      <c r="CF1552" s="73"/>
      <c r="CG1552" s="73"/>
      <c r="CH1552" s="73"/>
      <c r="CI1552" s="73"/>
      <c r="CJ1552" s="73"/>
      <c r="CK1552" s="73"/>
      <c r="CL1552" s="73"/>
      <c r="CM1552" s="73"/>
      <c r="CN1552" s="73"/>
      <c r="CO1552" s="73"/>
      <c r="CP1552" s="73"/>
      <c r="CQ1552" s="73"/>
      <c r="CR1552" s="73"/>
      <c r="CS1552" s="73"/>
      <c r="CT1552" s="73"/>
      <c r="CU1552" s="73"/>
      <c r="CV1552" s="73"/>
      <c r="CW1552" s="73"/>
      <c r="CX1552" s="73"/>
      <c r="CY1552" s="73"/>
      <c r="CZ1552" s="73"/>
      <c r="DA1552" s="73"/>
      <c r="DB1552" s="73"/>
      <c r="DC1552" s="73"/>
      <c r="DD1552" s="73"/>
      <c r="DE1552" s="73"/>
      <c r="DF1552" s="73"/>
      <c r="DG1552" s="73"/>
      <c r="DH1552" s="73"/>
      <c r="DI1552" s="73"/>
      <c r="DJ1552" s="73"/>
      <c r="DK1552" s="73"/>
      <c r="DL1552" s="73"/>
      <c r="DM1552" s="73"/>
    </row>
    <row r="1553" spans="1:117" s="48" customFormat="1">
      <c r="A1553" s="73"/>
      <c r="T1553" s="73"/>
      <c r="U1553" s="73"/>
      <c r="V1553" s="73"/>
      <c r="W1553" s="73"/>
      <c r="X1553" s="73"/>
      <c r="Y1553" s="73"/>
      <c r="Z1553" s="73"/>
      <c r="AA1553" s="73"/>
      <c r="AB1553" s="73"/>
      <c r="AC1553" s="73"/>
      <c r="AD1553" s="73"/>
      <c r="AE1553" s="73"/>
      <c r="AF1553" s="73"/>
      <c r="AG1553" s="73"/>
      <c r="AH1553" s="73"/>
      <c r="AI1553" s="73"/>
      <c r="AJ1553" s="73"/>
      <c r="AK1553" s="73"/>
      <c r="AL1553" s="73"/>
      <c r="AM1553" s="73"/>
      <c r="AN1553" s="73"/>
      <c r="AO1553" s="73"/>
      <c r="AP1553" s="73"/>
      <c r="AQ1553" s="73"/>
      <c r="AR1553" s="73"/>
      <c r="AS1553" s="73"/>
      <c r="AT1553" s="73"/>
      <c r="AU1553" s="73"/>
      <c r="AV1553" s="73"/>
      <c r="AW1553" s="73"/>
      <c r="AX1553" s="73"/>
      <c r="AY1553" s="73"/>
      <c r="AZ1553" s="73"/>
      <c r="BA1553" s="73"/>
      <c r="BB1553" s="73"/>
      <c r="BC1553" s="73"/>
      <c r="BD1553" s="73"/>
      <c r="BE1553" s="73"/>
      <c r="BF1553" s="73"/>
      <c r="BG1553" s="73"/>
      <c r="BH1553" s="73"/>
      <c r="BI1553" s="73"/>
      <c r="BJ1553" s="73"/>
      <c r="BK1553" s="73"/>
      <c r="BL1553" s="73"/>
      <c r="BM1553" s="73"/>
      <c r="BN1553" s="73"/>
      <c r="BO1553" s="73"/>
      <c r="BP1553" s="73"/>
      <c r="BQ1553" s="73"/>
      <c r="BR1553" s="73"/>
      <c r="BS1553" s="73"/>
      <c r="BT1553" s="73"/>
      <c r="BU1553" s="73"/>
      <c r="BV1553" s="73"/>
      <c r="BW1553" s="73"/>
      <c r="BX1553" s="73"/>
      <c r="BY1553" s="73"/>
      <c r="BZ1553" s="73"/>
      <c r="CA1553" s="73"/>
      <c r="CB1553" s="73"/>
      <c r="CC1553" s="73"/>
      <c r="CD1553" s="73"/>
      <c r="CE1553" s="73"/>
      <c r="CF1553" s="73"/>
      <c r="CG1553" s="73"/>
      <c r="CH1553" s="73"/>
      <c r="CI1553" s="73"/>
      <c r="CJ1553" s="73"/>
      <c r="CK1553" s="73"/>
      <c r="CL1553" s="73"/>
      <c r="CM1553" s="73"/>
      <c r="CN1553" s="73"/>
      <c r="CO1553" s="73"/>
      <c r="CP1553" s="73"/>
      <c r="CQ1553" s="73"/>
      <c r="CR1553" s="73"/>
      <c r="CS1553" s="73"/>
      <c r="CT1553" s="73"/>
      <c r="CU1553" s="73"/>
      <c r="CV1553" s="73"/>
      <c r="CW1553" s="73"/>
      <c r="CX1553" s="73"/>
      <c r="CY1553" s="73"/>
      <c r="CZ1553" s="73"/>
      <c r="DA1553" s="73"/>
      <c r="DB1553" s="73"/>
      <c r="DC1553" s="73"/>
      <c r="DD1553" s="73"/>
      <c r="DE1553" s="73"/>
      <c r="DF1553" s="73"/>
      <c r="DG1553" s="73"/>
      <c r="DH1553" s="73"/>
      <c r="DI1553" s="73"/>
      <c r="DJ1553" s="73"/>
      <c r="DK1553" s="73"/>
      <c r="DL1553" s="73"/>
      <c r="DM1553" s="73"/>
    </row>
    <row r="1554" spans="1:117" s="48" customFormat="1">
      <c r="A1554" s="73"/>
      <c r="T1554" s="73"/>
      <c r="U1554" s="73"/>
      <c r="V1554" s="73"/>
      <c r="W1554" s="73"/>
      <c r="X1554" s="73"/>
      <c r="Y1554" s="73"/>
      <c r="Z1554" s="73"/>
      <c r="AA1554" s="73"/>
      <c r="AB1554" s="73"/>
      <c r="AC1554" s="73"/>
      <c r="AD1554" s="73"/>
      <c r="AE1554" s="73"/>
      <c r="AF1554" s="73"/>
      <c r="AG1554" s="73"/>
      <c r="AH1554" s="73"/>
      <c r="AI1554" s="73"/>
      <c r="AJ1554" s="73"/>
      <c r="AK1554" s="73"/>
      <c r="AL1554" s="73"/>
      <c r="AM1554" s="73"/>
      <c r="AN1554" s="73"/>
      <c r="AO1554" s="73"/>
      <c r="AP1554" s="73"/>
      <c r="AQ1554" s="73"/>
      <c r="AR1554" s="73"/>
      <c r="AS1554" s="73"/>
      <c r="AT1554" s="73"/>
      <c r="AU1554" s="73"/>
      <c r="AV1554" s="73"/>
      <c r="AW1554" s="73"/>
      <c r="AX1554" s="73"/>
      <c r="AY1554" s="73"/>
      <c r="AZ1554" s="73"/>
      <c r="BA1554" s="73"/>
      <c r="BB1554" s="73"/>
      <c r="BC1554" s="73"/>
      <c r="BD1554" s="73"/>
      <c r="BE1554" s="73"/>
      <c r="BF1554" s="73"/>
      <c r="BG1554" s="73"/>
      <c r="BH1554" s="73"/>
      <c r="BI1554" s="73"/>
      <c r="BJ1554" s="73"/>
      <c r="BK1554" s="73"/>
      <c r="BL1554" s="73"/>
      <c r="BM1554" s="73"/>
      <c r="BN1554" s="73"/>
      <c r="BO1554" s="73"/>
      <c r="BP1554" s="73"/>
      <c r="BQ1554" s="73"/>
      <c r="BR1554" s="73"/>
      <c r="BS1554" s="73"/>
      <c r="BT1554" s="73"/>
      <c r="BU1554" s="73"/>
      <c r="BV1554" s="73"/>
      <c r="BW1554" s="73"/>
      <c r="BX1554" s="73"/>
      <c r="BY1554" s="73"/>
      <c r="BZ1554" s="73"/>
      <c r="CA1554" s="73"/>
      <c r="CB1554" s="73"/>
      <c r="CC1554" s="73"/>
      <c r="CD1554" s="73"/>
      <c r="CE1554" s="73"/>
      <c r="CF1554" s="73"/>
      <c r="CG1554" s="73"/>
      <c r="CH1554" s="73"/>
      <c r="CI1554" s="73"/>
      <c r="CJ1554" s="73"/>
      <c r="CK1554" s="73"/>
      <c r="CL1554" s="73"/>
      <c r="CM1554" s="73"/>
      <c r="CN1554" s="73"/>
      <c r="CO1554" s="73"/>
      <c r="CP1554" s="73"/>
      <c r="CQ1554" s="73"/>
      <c r="CR1554" s="73"/>
      <c r="CS1554" s="73"/>
      <c r="CT1554" s="73"/>
      <c r="CU1554" s="73"/>
      <c r="CV1554" s="73"/>
      <c r="CW1554" s="73"/>
      <c r="CX1554" s="73"/>
      <c r="CY1554" s="73"/>
      <c r="CZ1554" s="73"/>
      <c r="DA1554" s="73"/>
      <c r="DB1554" s="73"/>
      <c r="DC1554" s="73"/>
      <c r="DD1554" s="73"/>
      <c r="DE1554" s="73"/>
      <c r="DF1554" s="73"/>
      <c r="DG1554" s="73"/>
      <c r="DH1554" s="73"/>
      <c r="DI1554" s="73"/>
      <c r="DJ1554" s="73"/>
      <c r="DK1554" s="73"/>
      <c r="DL1554" s="73"/>
      <c r="DM1554" s="73"/>
    </row>
    <row r="1555" spans="1:117" s="48" customFormat="1">
      <c r="A1555" s="73"/>
      <c r="T1555" s="73"/>
      <c r="U1555" s="73"/>
      <c r="V1555" s="73"/>
      <c r="W1555" s="73"/>
      <c r="X1555" s="73"/>
      <c r="Y1555" s="73"/>
      <c r="Z1555" s="73"/>
      <c r="AA1555" s="73"/>
      <c r="AB1555" s="73"/>
      <c r="AC1555" s="73"/>
      <c r="AD1555" s="73"/>
      <c r="AE1555" s="73"/>
      <c r="AF1555" s="73"/>
      <c r="AG1555" s="73"/>
      <c r="AH1555" s="73"/>
      <c r="AI1555" s="73"/>
      <c r="AJ1555" s="73"/>
      <c r="AK1555" s="73"/>
      <c r="AL1555" s="73"/>
      <c r="AM1555" s="73"/>
      <c r="AN1555" s="73"/>
      <c r="AO1555" s="73"/>
      <c r="AP1555" s="73"/>
      <c r="AQ1555" s="73"/>
      <c r="AR1555" s="73"/>
      <c r="AS1555" s="73"/>
      <c r="AT1555" s="73"/>
      <c r="AU1555" s="73"/>
      <c r="AV1555" s="73"/>
      <c r="AW1555" s="73"/>
      <c r="AX1555" s="73"/>
      <c r="AY1555" s="73"/>
      <c r="AZ1555" s="73"/>
      <c r="BA1555" s="73"/>
      <c r="BB1555" s="73"/>
      <c r="BC1555" s="73"/>
      <c r="BD1555" s="73"/>
      <c r="BE1555" s="73"/>
      <c r="BF1555" s="73"/>
      <c r="BG1555" s="73"/>
      <c r="BH1555" s="73"/>
      <c r="BI1555" s="73"/>
      <c r="BJ1555" s="73"/>
      <c r="BK1555" s="73"/>
      <c r="BL1555" s="73"/>
      <c r="BM1555" s="73"/>
      <c r="BN1555" s="73"/>
      <c r="BO1555" s="73"/>
      <c r="BP1555" s="73"/>
      <c r="BQ1555" s="73"/>
      <c r="BR1555" s="73"/>
      <c r="BS1555" s="73"/>
      <c r="BT1555" s="73"/>
      <c r="BU1555" s="73"/>
      <c r="BV1555" s="73"/>
      <c r="BW1555" s="73"/>
      <c r="BX1555" s="73"/>
      <c r="BY1555" s="73"/>
      <c r="BZ1555" s="73"/>
      <c r="CA1555" s="73"/>
      <c r="CB1555" s="73"/>
      <c r="CC1555" s="73"/>
      <c r="CD1555" s="73"/>
      <c r="CE1555" s="73"/>
      <c r="CF1555" s="73"/>
      <c r="CG1555" s="73"/>
      <c r="CH1555" s="73"/>
      <c r="CI1555" s="73"/>
      <c r="CJ1555" s="73"/>
      <c r="CK1555" s="73"/>
      <c r="CL1555" s="73"/>
      <c r="CM1555" s="73"/>
      <c r="CN1555" s="73"/>
      <c r="CO1555" s="73"/>
      <c r="CP1555" s="73"/>
      <c r="CQ1555" s="73"/>
      <c r="CR1555" s="73"/>
      <c r="CS1555" s="73"/>
      <c r="CT1555" s="73"/>
      <c r="CU1555" s="73"/>
      <c r="CV1555" s="73"/>
      <c r="CW1555" s="73"/>
      <c r="CX1555" s="73"/>
      <c r="CY1555" s="73"/>
      <c r="CZ1555" s="73"/>
      <c r="DA1555" s="73"/>
      <c r="DB1555" s="73"/>
      <c r="DC1555" s="73"/>
      <c r="DD1555" s="73"/>
      <c r="DE1555" s="73"/>
      <c r="DF1555" s="73"/>
      <c r="DG1555" s="73"/>
      <c r="DH1555" s="73"/>
      <c r="DI1555" s="73"/>
      <c r="DJ1555" s="73"/>
      <c r="DK1555" s="73"/>
      <c r="DL1555" s="73"/>
      <c r="DM1555" s="73"/>
    </row>
    <row r="1556" spans="1:117" s="48" customFormat="1">
      <c r="A1556" s="73"/>
      <c r="T1556" s="73"/>
      <c r="U1556" s="73"/>
      <c r="V1556" s="73"/>
      <c r="W1556" s="73"/>
      <c r="X1556" s="73"/>
      <c r="Y1556" s="73"/>
      <c r="Z1556" s="73"/>
      <c r="AA1556" s="73"/>
      <c r="AB1556" s="73"/>
      <c r="AC1556" s="73"/>
      <c r="AD1556" s="73"/>
      <c r="AE1556" s="73"/>
      <c r="AF1556" s="73"/>
      <c r="AG1556" s="73"/>
      <c r="AH1556" s="73"/>
      <c r="AI1556" s="73"/>
      <c r="AJ1556" s="73"/>
      <c r="AK1556" s="73"/>
      <c r="AL1556" s="73"/>
      <c r="AM1556" s="73"/>
      <c r="AN1556" s="73"/>
      <c r="AO1556" s="73"/>
      <c r="AP1556" s="73"/>
      <c r="AQ1556" s="73"/>
      <c r="AR1556" s="73"/>
      <c r="AS1556" s="73"/>
      <c r="AT1556" s="73"/>
      <c r="AU1556" s="73"/>
      <c r="AV1556" s="73"/>
      <c r="AW1556" s="73"/>
      <c r="AX1556" s="73"/>
      <c r="AY1556" s="73"/>
      <c r="AZ1556" s="73"/>
      <c r="BA1556" s="73"/>
      <c r="BB1556" s="73"/>
      <c r="BC1556" s="73"/>
      <c r="BD1556" s="73"/>
      <c r="BE1556" s="73"/>
      <c r="BF1556" s="73"/>
      <c r="BG1556" s="73"/>
      <c r="BH1556" s="73"/>
      <c r="BI1556" s="73"/>
      <c r="BJ1556" s="73"/>
      <c r="BK1556" s="73"/>
      <c r="BL1556" s="73"/>
      <c r="BM1556" s="73"/>
      <c r="BN1556" s="73"/>
      <c r="BO1556" s="73"/>
      <c r="BP1556" s="73"/>
      <c r="BQ1556" s="73"/>
      <c r="BR1556" s="73"/>
      <c r="BS1556" s="73"/>
      <c r="BT1556" s="73"/>
      <c r="BU1556" s="73"/>
      <c r="BV1556" s="73"/>
      <c r="BW1556" s="73"/>
      <c r="BX1556" s="73"/>
      <c r="BY1556" s="73"/>
      <c r="BZ1556" s="73"/>
      <c r="CA1556" s="73"/>
      <c r="CB1556" s="73"/>
      <c r="CC1556" s="73"/>
      <c r="CD1556" s="73"/>
      <c r="CE1556" s="73"/>
      <c r="CF1556" s="73"/>
      <c r="CG1556" s="73"/>
      <c r="CH1556" s="73"/>
      <c r="CI1556" s="73"/>
      <c r="CJ1556" s="73"/>
      <c r="CK1556" s="73"/>
      <c r="CL1556" s="73"/>
      <c r="CM1556" s="73"/>
      <c r="CN1556" s="73"/>
      <c r="CO1556" s="73"/>
      <c r="CP1556" s="73"/>
      <c r="CQ1556" s="73"/>
      <c r="CR1556" s="73"/>
      <c r="CS1556" s="73"/>
      <c r="CT1556" s="73"/>
      <c r="CU1556" s="73"/>
      <c r="CV1556" s="73"/>
      <c r="CW1556" s="73"/>
      <c r="CX1556" s="73"/>
      <c r="CY1556" s="73"/>
      <c r="CZ1556" s="73"/>
      <c r="DA1556" s="73"/>
      <c r="DB1556" s="73"/>
      <c r="DC1556" s="73"/>
      <c r="DD1556" s="73"/>
      <c r="DE1556" s="73"/>
      <c r="DF1556" s="73"/>
      <c r="DG1556" s="73"/>
      <c r="DH1556" s="73"/>
      <c r="DI1556" s="73"/>
      <c r="DJ1556" s="73"/>
      <c r="DK1556" s="73"/>
      <c r="DL1556" s="73"/>
      <c r="DM1556" s="73"/>
    </row>
    <row r="1557" spans="1:117" s="48" customFormat="1">
      <c r="A1557" s="73"/>
      <c r="T1557" s="73"/>
      <c r="U1557" s="73"/>
      <c r="V1557" s="73"/>
      <c r="W1557" s="73"/>
      <c r="X1557" s="73"/>
      <c r="Y1557" s="73"/>
      <c r="Z1557" s="73"/>
      <c r="AA1557" s="73"/>
      <c r="AB1557" s="73"/>
      <c r="AC1557" s="73"/>
      <c r="AD1557" s="73"/>
      <c r="AE1557" s="73"/>
      <c r="AF1557" s="73"/>
      <c r="AG1557" s="73"/>
      <c r="AH1557" s="73"/>
      <c r="AI1557" s="73"/>
      <c r="AJ1557" s="73"/>
      <c r="AK1557" s="73"/>
      <c r="AL1557" s="73"/>
      <c r="AM1557" s="73"/>
      <c r="AN1557" s="73"/>
      <c r="AO1557" s="73"/>
      <c r="AP1557" s="73"/>
      <c r="AQ1557" s="73"/>
      <c r="AR1557" s="73"/>
      <c r="AS1557" s="73"/>
      <c r="AT1557" s="73"/>
      <c r="AU1557" s="73"/>
      <c r="AV1557" s="73"/>
      <c r="AW1557" s="73"/>
      <c r="AX1557" s="73"/>
      <c r="AY1557" s="73"/>
      <c r="AZ1557" s="73"/>
      <c r="BA1557" s="73"/>
      <c r="BB1557" s="73"/>
      <c r="BC1557" s="73"/>
      <c r="BD1557" s="73"/>
      <c r="BE1557" s="73"/>
      <c r="BF1557" s="73"/>
      <c r="BG1557" s="73"/>
      <c r="BH1557" s="73"/>
      <c r="BI1557" s="73"/>
      <c r="BJ1557" s="73"/>
      <c r="BK1557" s="73"/>
      <c r="BL1557" s="73"/>
      <c r="BM1557" s="73"/>
      <c r="BN1557" s="73"/>
      <c r="BO1557" s="73"/>
      <c r="BP1557" s="73"/>
      <c r="BQ1557" s="73"/>
      <c r="BR1557" s="73"/>
      <c r="BS1557" s="73"/>
      <c r="BT1557" s="73"/>
      <c r="BU1557" s="73"/>
      <c r="BV1557" s="73"/>
      <c r="BW1557" s="73"/>
      <c r="BX1557" s="73"/>
      <c r="BY1557" s="73"/>
      <c r="BZ1557" s="73"/>
      <c r="CA1557" s="73"/>
      <c r="CB1557" s="73"/>
      <c r="CC1557" s="73"/>
      <c r="CD1557" s="73"/>
      <c r="CE1557" s="73"/>
      <c r="CF1557" s="73"/>
      <c r="CG1557" s="73"/>
      <c r="CH1557" s="73"/>
      <c r="CI1557" s="73"/>
      <c r="CJ1557" s="73"/>
      <c r="CK1557" s="73"/>
      <c r="CL1557" s="73"/>
      <c r="CM1557" s="73"/>
      <c r="CN1557" s="73"/>
      <c r="CO1557" s="73"/>
      <c r="CP1557" s="73"/>
      <c r="CQ1557" s="73"/>
      <c r="CR1557" s="73"/>
      <c r="CS1557" s="73"/>
      <c r="CT1557" s="73"/>
      <c r="CU1557" s="73"/>
      <c r="CV1557" s="73"/>
      <c r="CW1557" s="73"/>
      <c r="CX1557" s="73"/>
      <c r="CY1557" s="73"/>
      <c r="CZ1557" s="73"/>
      <c r="DA1557" s="73"/>
      <c r="DB1557" s="73"/>
      <c r="DC1557" s="73"/>
      <c r="DD1557" s="73"/>
      <c r="DE1557" s="73"/>
      <c r="DF1557" s="73"/>
      <c r="DG1557" s="73"/>
      <c r="DH1557" s="73"/>
      <c r="DI1557" s="73"/>
      <c r="DJ1557" s="73"/>
      <c r="DK1557" s="73"/>
      <c r="DL1557" s="73"/>
      <c r="DM1557" s="73"/>
    </row>
    <row r="1558" spans="1:117" s="48" customFormat="1">
      <c r="A1558" s="73"/>
      <c r="T1558" s="73"/>
      <c r="U1558" s="73"/>
      <c r="V1558" s="73"/>
      <c r="W1558" s="73"/>
      <c r="X1558" s="73"/>
      <c r="Y1558" s="73"/>
      <c r="Z1558" s="73"/>
      <c r="AA1558" s="73"/>
      <c r="AB1558" s="73"/>
      <c r="AC1558" s="73"/>
      <c r="AD1558" s="73"/>
      <c r="AE1558" s="73"/>
      <c r="AF1558" s="73"/>
      <c r="AG1558" s="73"/>
      <c r="AH1558" s="73"/>
      <c r="AI1558" s="73"/>
      <c r="AJ1558" s="73"/>
      <c r="AK1558" s="73"/>
      <c r="AL1558" s="73"/>
      <c r="AM1558" s="73"/>
      <c r="AN1558" s="73"/>
      <c r="AO1558" s="73"/>
      <c r="AP1558" s="73"/>
      <c r="AQ1558" s="73"/>
      <c r="AR1558" s="73"/>
      <c r="AS1558" s="73"/>
      <c r="AT1558" s="73"/>
      <c r="AU1558" s="73"/>
      <c r="AV1558" s="73"/>
      <c r="AW1558" s="73"/>
      <c r="AX1558" s="73"/>
      <c r="AY1558" s="73"/>
      <c r="AZ1558" s="73"/>
      <c r="BA1558" s="73"/>
      <c r="BB1558" s="73"/>
      <c r="BC1558" s="73"/>
      <c r="BD1558" s="73"/>
      <c r="BE1558" s="73"/>
      <c r="BF1558" s="73"/>
      <c r="BG1558" s="73"/>
      <c r="BH1558" s="73"/>
      <c r="BI1558" s="73"/>
      <c r="BJ1558" s="73"/>
      <c r="BK1558" s="73"/>
      <c r="BL1558" s="73"/>
      <c r="BM1558" s="73"/>
      <c r="BN1558" s="73"/>
      <c r="BO1558" s="73"/>
      <c r="BP1558" s="73"/>
      <c r="BQ1558" s="73"/>
      <c r="BR1558" s="73"/>
      <c r="BS1558" s="73"/>
      <c r="BT1558" s="73"/>
      <c r="BU1558" s="73"/>
      <c r="BV1558" s="73"/>
      <c r="BW1558" s="73"/>
      <c r="BX1558" s="73"/>
      <c r="BY1558" s="73"/>
      <c r="BZ1558" s="73"/>
      <c r="CA1558" s="73"/>
      <c r="CB1558" s="73"/>
      <c r="CC1558" s="73"/>
      <c r="CD1558" s="73"/>
      <c r="CE1558" s="73"/>
      <c r="CF1558" s="73"/>
      <c r="CG1558" s="73"/>
      <c r="CH1558" s="73"/>
      <c r="CI1558" s="73"/>
      <c r="CJ1558" s="73"/>
      <c r="CK1558" s="73"/>
      <c r="CL1558" s="73"/>
      <c r="CM1558" s="73"/>
      <c r="CN1558" s="73"/>
      <c r="CO1558" s="73"/>
      <c r="CP1558" s="73"/>
      <c r="CQ1558" s="73"/>
      <c r="CR1558" s="73"/>
      <c r="CS1558" s="73"/>
      <c r="CT1558" s="73"/>
      <c r="CU1558" s="73"/>
      <c r="CV1558" s="73"/>
      <c r="CW1558" s="73"/>
      <c r="CX1558" s="73"/>
      <c r="CY1558" s="73"/>
      <c r="CZ1558" s="73"/>
      <c r="DA1558" s="73"/>
      <c r="DB1558" s="73"/>
      <c r="DC1558" s="73"/>
      <c r="DD1558" s="73"/>
      <c r="DE1558" s="73"/>
      <c r="DF1558" s="73"/>
      <c r="DG1558" s="73"/>
      <c r="DH1558" s="73"/>
      <c r="DI1558" s="73"/>
      <c r="DJ1558" s="73"/>
      <c r="DK1558" s="73"/>
      <c r="DL1558" s="73"/>
      <c r="DM1558" s="73"/>
    </row>
    <row r="1559" spans="1:117" s="48" customFormat="1">
      <c r="A1559" s="73"/>
      <c r="T1559" s="73"/>
      <c r="U1559" s="73"/>
      <c r="V1559" s="73"/>
      <c r="W1559" s="73"/>
      <c r="X1559" s="73"/>
      <c r="Y1559" s="73"/>
      <c r="Z1559" s="73"/>
      <c r="AA1559" s="73"/>
      <c r="AB1559" s="73"/>
      <c r="AC1559" s="73"/>
      <c r="AD1559" s="73"/>
      <c r="AE1559" s="73"/>
      <c r="AF1559" s="73"/>
      <c r="AG1559" s="73"/>
      <c r="AH1559" s="73"/>
      <c r="AI1559" s="73"/>
      <c r="AJ1559" s="73"/>
      <c r="AK1559" s="73"/>
      <c r="AL1559" s="73"/>
      <c r="AM1559" s="73"/>
      <c r="AN1559" s="73"/>
      <c r="AO1559" s="73"/>
      <c r="AP1559" s="73"/>
      <c r="AQ1559" s="73"/>
      <c r="AR1559" s="73"/>
      <c r="AS1559" s="73"/>
      <c r="AT1559" s="73"/>
      <c r="AU1559" s="73"/>
      <c r="AV1559" s="73"/>
      <c r="AW1559" s="73"/>
      <c r="AX1559" s="73"/>
      <c r="AY1559" s="73"/>
      <c r="AZ1559" s="73"/>
      <c r="BA1559" s="73"/>
      <c r="BB1559" s="73"/>
      <c r="BC1559" s="73"/>
      <c r="BD1559" s="73"/>
      <c r="BE1559" s="73"/>
      <c r="BF1559" s="73"/>
      <c r="BG1559" s="73"/>
      <c r="BH1559" s="73"/>
      <c r="BI1559" s="73"/>
      <c r="BJ1559" s="73"/>
      <c r="BK1559" s="73"/>
      <c r="BL1559" s="73"/>
      <c r="BM1559" s="73"/>
      <c r="BN1559" s="73"/>
      <c r="BO1559" s="73"/>
      <c r="BP1559" s="73"/>
      <c r="BQ1559" s="73"/>
      <c r="BR1559" s="73"/>
      <c r="BS1559" s="73"/>
      <c r="BT1559" s="73"/>
      <c r="BU1559" s="73"/>
      <c r="BV1559" s="73"/>
      <c r="BW1559" s="73"/>
      <c r="BX1559" s="73"/>
      <c r="BY1559" s="73"/>
      <c r="BZ1559" s="73"/>
      <c r="CA1559" s="73"/>
      <c r="CB1559" s="73"/>
      <c r="CC1559" s="73"/>
      <c r="CD1559" s="73"/>
      <c r="CE1559" s="73"/>
      <c r="CF1559" s="73"/>
      <c r="CG1559" s="73"/>
      <c r="CH1559" s="73"/>
      <c r="CI1559" s="73"/>
      <c r="CJ1559" s="73"/>
      <c r="CK1559" s="73"/>
      <c r="CL1559" s="73"/>
      <c r="CM1559" s="73"/>
      <c r="CN1559" s="73"/>
      <c r="CO1559" s="73"/>
      <c r="CP1559" s="73"/>
      <c r="CQ1559" s="73"/>
      <c r="CR1559" s="73"/>
      <c r="CS1559" s="73"/>
      <c r="CT1559" s="73"/>
      <c r="CU1559" s="73"/>
      <c r="CV1559" s="73"/>
      <c r="CW1559" s="73"/>
      <c r="CX1559" s="73"/>
      <c r="CY1559" s="73"/>
      <c r="CZ1559" s="73"/>
      <c r="DA1559" s="73"/>
      <c r="DB1559" s="73"/>
      <c r="DC1559" s="73"/>
      <c r="DD1559" s="73"/>
      <c r="DE1559" s="73"/>
      <c r="DF1559" s="73"/>
      <c r="DG1559" s="73"/>
      <c r="DH1559" s="73"/>
      <c r="DI1559" s="73"/>
      <c r="DJ1559" s="73"/>
      <c r="DK1559" s="73"/>
      <c r="DL1559" s="73"/>
      <c r="DM1559" s="73"/>
    </row>
    <row r="1560" spans="1:117" s="48" customFormat="1">
      <c r="A1560" s="73"/>
      <c r="T1560" s="73"/>
      <c r="U1560" s="73"/>
      <c r="V1560" s="73"/>
      <c r="W1560" s="73"/>
      <c r="X1560" s="73"/>
      <c r="Y1560" s="73"/>
      <c r="Z1560" s="73"/>
      <c r="AA1560" s="73"/>
      <c r="AB1560" s="73"/>
      <c r="AC1560" s="73"/>
      <c r="AD1560" s="73"/>
      <c r="AE1560" s="73"/>
      <c r="AF1560" s="73"/>
      <c r="AG1560" s="73"/>
      <c r="AH1560" s="73"/>
      <c r="AI1560" s="73"/>
      <c r="AJ1560" s="73"/>
      <c r="AK1560" s="73"/>
      <c r="AL1560" s="73"/>
      <c r="AM1560" s="73"/>
      <c r="AN1560" s="73"/>
      <c r="AO1560" s="73"/>
      <c r="AP1560" s="73"/>
      <c r="AQ1560" s="73"/>
      <c r="AR1560" s="73"/>
      <c r="AS1560" s="73"/>
      <c r="AT1560" s="73"/>
      <c r="AU1560" s="73"/>
      <c r="AV1560" s="73"/>
      <c r="AW1560" s="73"/>
      <c r="AX1560" s="73"/>
      <c r="AY1560" s="73"/>
      <c r="AZ1560" s="73"/>
      <c r="BA1560" s="73"/>
      <c r="BB1560" s="73"/>
      <c r="BC1560" s="73"/>
      <c r="BD1560" s="73"/>
      <c r="BE1560" s="73"/>
      <c r="BF1560" s="73"/>
      <c r="BG1560" s="73"/>
      <c r="BH1560" s="73"/>
      <c r="BI1560" s="73"/>
      <c r="BJ1560" s="73"/>
      <c r="BK1560" s="73"/>
      <c r="BL1560" s="73"/>
      <c r="BM1560" s="73"/>
      <c r="BN1560" s="73"/>
      <c r="BO1560" s="73"/>
      <c r="BP1560" s="73"/>
      <c r="BQ1560" s="73"/>
      <c r="BR1560" s="73"/>
      <c r="BS1560" s="73"/>
      <c r="BT1560" s="73"/>
      <c r="BU1560" s="73"/>
      <c r="BV1560" s="73"/>
      <c r="BW1560" s="73"/>
      <c r="BX1560" s="73"/>
      <c r="BY1560" s="73"/>
      <c r="BZ1560" s="73"/>
      <c r="CA1560" s="73"/>
      <c r="CB1560" s="73"/>
      <c r="CC1560" s="73"/>
      <c r="CD1560" s="73"/>
      <c r="CE1560" s="73"/>
      <c r="CF1560" s="73"/>
      <c r="CG1560" s="73"/>
      <c r="CH1560" s="73"/>
      <c r="CI1560" s="73"/>
      <c r="CJ1560" s="73"/>
      <c r="CK1560" s="73"/>
      <c r="CL1560" s="73"/>
      <c r="CM1560" s="73"/>
      <c r="CN1560" s="73"/>
      <c r="CO1560" s="73"/>
      <c r="CP1560" s="73"/>
      <c r="CQ1560" s="73"/>
      <c r="CR1560" s="73"/>
      <c r="CS1560" s="73"/>
      <c r="CT1560" s="73"/>
      <c r="CU1560" s="73"/>
      <c r="CV1560" s="73"/>
      <c r="CW1560" s="73"/>
      <c r="CX1560" s="73"/>
      <c r="CY1560" s="73"/>
      <c r="CZ1560" s="73"/>
      <c r="DA1560" s="73"/>
      <c r="DB1560" s="73"/>
      <c r="DC1560" s="73"/>
      <c r="DD1560" s="73"/>
      <c r="DE1560" s="73"/>
      <c r="DF1560" s="73"/>
      <c r="DG1560" s="73"/>
      <c r="DH1560" s="73"/>
      <c r="DI1560" s="73"/>
      <c r="DJ1560" s="73"/>
      <c r="DK1560" s="73"/>
      <c r="DL1560" s="73"/>
      <c r="DM1560" s="73"/>
    </row>
    <row r="1561" spans="1:117" s="48" customFormat="1">
      <c r="A1561" s="73"/>
      <c r="T1561" s="73"/>
      <c r="U1561" s="73"/>
      <c r="V1561" s="73"/>
      <c r="W1561" s="73"/>
      <c r="X1561" s="73"/>
      <c r="Y1561" s="73"/>
      <c r="Z1561" s="73"/>
      <c r="AA1561" s="73"/>
      <c r="AB1561" s="73"/>
      <c r="AC1561" s="73"/>
      <c r="AD1561" s="73"/>
      <c r="AE1561" s="73"/>
      <c r="AF1561" s="73"/>
      <c r="AG1561" s="73"/>
      <c r="AH1561" s="73"/>
      <c r="AI1561" s="73"/>
      <c r="AJ1561" s="73"/>
      <c r="AK1561" s="73"/>
      <c r="AL1561" s="73"/>
      <c r="AM1561" s="73"/>
      <c r="AN1561" s="73"/>
      <c r="AO1561" s="73"/>
      <c r="AP1561" s="73"/>
      <c r="AQ1561" s="73"/>
      <c r="AR1561" s="73"/>
      <c r="AS1561" s="73"/>
      <c r="AT1561" s="73"/>
      <c r="AU1561" s="73"/>
      <c r="AV1561" s="73"/>
      <c r="AW1561" s="73"/>
      <c r="AX1561" s="73"/>
      <c r="AY1561" s="73"/>
      <c r="AZ1561" s="73"/>
      <c r="BA1561" s="73"/>
      <c r="BB1561" s="73"/>
      <c r="BC1561" s="73"/>
      <c r="BD1561" s="73"/>
      <c r="BE1561" s="73"/>
      <c r="BF1561" s="73"/>
      <c r="BG1561" s="73"/>
      <c r="BH1561" s="73"/>
      <c r="BI1561" s="73"/>
      <c r="BJ1561" s="73"/>
      <c r="BK1561" s="73"/>
      <c r="BL1561" s="73"/>
      <c r="BM1561" s="73"/>
      <c r="BN1561" s="73"/>
      <c r="BO1561" s="73"/>
      <c r="BP1561" s="73"/>
      <c r="BQ1561" s="73"/>
      <c r="BR1561" s="73"/>
      <c r="BS1561" s="73"/>
      <c r="BT1561" s="73"/>
      <c r="BU1561" s="73"/>
      <c r="BV1561" s="73"/>
      <c r="BW1561" s="73"/>
      <c r="BX1561" s="73"/>
      <c r="BY1561" s="73"/>
      <c r="BZ1561" s="73"/>
      <c r="CA1561" s="73"/>
      <c r="CB1561" s="73"/>
      <c r="CC1561" s="73"/>
      <c r="CD1561" s="73"/>
      <c r="CE1561" s="73"/>
      <c r="CF1561" s="73"/>
      <c r="CG1561" s="73"/>
      <c r="CH1561" s="73"/>
      <c r="CI1561" s="73"/>
      <c r="CJ1561" s="73"/>
      <c r="CK1561" s="73"/>
      <c r="CL1561" s="73"/>
      <c r="CM1561" s="73"/>
      <c r="CN1561" s="73"/>
      <c r="CO1561" s="73"/>
      <c r="CP1561" s="73"/>
      <c r="CQ1561" s="73"/>
      <c r="CR1561" s="73"/>
      <c r="CS1561" s="73"/>
      <c r="CT1561" s="73"/>
      <c r="CU1561" s="73"/>
      <c r="CV1561" s="73"/>
      <c r="CW1561" s="73"/>
      <c r="CX1561" s="73"/>
      <c r="CY1561" s="73"/>
      <c r="CZ1561" s="73"/>
      <c r="DA1561" s="73"/>
      <c r="DB1561" s="73"/>
      <c r="DC1561" s="73"/>
      <c r="DD1561" s="73"/>
      <c r="DE1561" s="73"/>
      <c r="DF1561" s="73"/>
      <c r="DG1561" s="73"/>
      <c r="DH1561" s="73"/>
      <c r="DI1561" s="73"/>
      <c r="DJ1561" s="73"/>
      <c r="DK1561" s="73"/>
      <c r="DL1561" s="73"/>
      <c r="DM1561" s="73"/>
    </row>
    <row r="1562" spans="1:117" s="48" customFormat="1">
      <c r="A1562" s="73"/>
      <c r="T1562" s="73"/>
      <c r="U1562" s="73"/>
      <c r="V1562" s="73"/>
      <c r="W1562" s="73"/>
      <c r="X1562" s="73"/>
      <c r="Y1562" s="73"/>
      <c r="Z1562" s="73"/>
      <c r="AA1562" s="73"/>
      <c r="AB1562" s="73"/>
      <c r="AC1562" s="73"/>
      <c r="AD1562" s="73"/>
      <c r="AE1562" s="73"/>
      <c r="AF1562" s="73"/>
      <c r="AG1562" s="73"/>
      <c r="AH1562" s="73"/>
      <c r="AI1562" s="73"/>
      <c r="AJ1562" s="73"/>
      <c r="AK1562" s="73"/>
      <c r="AL1562" s="73"/>
      <c r="AM1562" s="73"/>
      <c r="AN1562" s="73"/>
      <c r="AO1562" s="73"/>
      <c r="AP1562" s="73"/>
      <c r="AQ1562" s="73"/>
      <c r="AR1562" s="73"/>
      <c r="AS1562" s="73"/>
      <c r="AT1562" s="73"/>
      <c r="AU1562" s="73"/>
      <c r="AV1562" s="73"/>
      <c r="AW1562" s="73"/>
      <c r="AX1562" s="73"/>
      <c r="AY1562" s="73"/>
      <c r="AZ1562" s="73"/>
      <c r="BA1562" s="73"/>
      <c r="BB1562" s="73"/>
      <c r="BC1562" s="73"/>
      <c r="BD1562" s="73"/>
      <c r="BE1562" s="73"/>
      <c r="BF1562" s="73"/>
      <c r="BG1562" s="73"/>
      <c r="BH1562" s="73"/>
      <c r="BI1562" s="73"/>
      <c r="BJ1562" s="73"/>
      <c r="BK1562" s="73"/>
      <c r="BL1562" s="73"/>
      <c r="BM1562" s="73"/>
      <c r="BN1562" s="73"/>
      <c r="BO1562" s="73"/>
      <c r="BP1562" s="73"/>
      <c r="BQ1562" s="73"/>
      <c r="BR1562" s="73"/>
      <c r="BS1562" s="73"/>
      <c r="BT1562" s="73"/>
      <c r="BU1562" s="73"/>
      <c r="BV1562" s="73"/>
      <c r="BW1562" s="73"/>
      <c r="BX1562" s="73"/>
      <c r="BY1562" s="73"/>
      <c r="BZ1562" s="73"/>
      <c r="CA1562" s="73"/>
      <c r="CB1562" s="73"/>
      <c r="CC1562" s="73"/>
      <c r="CD1562" s="73"/>
      <c r="CE1562" s="73"/>
      <c r="CF1562" s="73"/>
      <c r="CG1562" s="73"/>
      <c r="CH1562" s="73"/>
      <c r="CI1562" s="73"/>
      <c r="CJ1562" s="73"/>
      <c r="CK1562" s="73"/>
      <c r="CL1562" s="73"/>
      <c r="CM1562" s="73"/>
      <c r="CN1562" s="73"/>
      <c r="CO1562" s="73"/>
      <c r="CP1562" s="73"/>
      <c r="CQ1562" s="73"/>
      <c r="CR1562" s="73"/>
      <c r="CS1562" s="73"/>
      <c r="CT1562" s="73"/>
      <c r="CU1562" s="73"/>
      <c r="CV1562" s="73"/>
      <c r="CW1562" s="73"/>
      <c r="CX1562" s="73"/>
      <c r="CY1562" s="73"/>
      <c r="CZ1562" s="73"/>
      <c r="DA1562" s="73"/>
      <c r="DB1562" s="73"/>
      <c r="DC1562" s="73"/>
      <c r="DD1562" s="73"/>
      <c r="DE1562" s="73"/>
      <c r="DF1562" s="73"/>
      <c r="DG1562" s="73"/>
      <c r="DH1562" s="73"/>
      <c r="DI1562" s="73"/>
      <c r="DJ1562" s="73"/>
      <c r="DK1562" s="73"/>
      <c r="DL1562" s="73"/>
      <c r="DM1562" s="73"/>
    </row>
    <row r="1563" spans="1:117" s="48" customFormat="1">
      <c r="A1563" s="73"/>
      <c r="T1563" s="73"/>
      <c r="U1563" s="73"/>
      <c r="V1563" s="73"/>
      <c r="W1563" s="73"/>
      <c r="X1563" s="73"/>
      <c r="Y1563" s="73"/>
      <c r="Z1563" s="73"/>
      <c r="AA1563" s="73"/>
      <c r="AB1563" s="73"/>
      <c r="AC1563" s="73"/>
      <c r="AD1563" s="73"/>
      <c r="AE1563" s="73"/>
      <c r="AF1563" s="73"/>
      <c r="AG1563" s="73"/>
      <c r="AH1563" s="73"/>
      <c r="AI1563" s="73"/>
      <c r="AJ1563" s="73"/>
      <c r="AK1563" s="73"/>
      <c r="AL1563" s="73"/>
      <c r="AM1563" s="73"/>
      <c r="AN1563" s="73"/>
      <c r="AO1563" s="73"/>
      <c r="AP1563" s="73"/>
      <c r="AQ1563" s="73"/>
      <c r="AR1563" s="73"/>
      <c r="AS1563" s="73"/>
      <c r="AT1563" s="73"/>
      <c r="AU1563" s="73"/>
      <c r="AV1563" s="73"/>
      <c r="AW1563" s="73"/>
      <c r="AX1563" s="73"/>
      <c r="AY1563" s="73"/>
      <c r="AZ1563" s="73"/>
      <c r="BA1563" s="73"/>
      <c r="BB1563" s="73"/>
      <c r="BC1563" s="73"/>
      <c r="BD1563" s="73"/>
      <c r="BE1563" s="73"/>
      <c r="BF1563" s="73"/>
      <c r="BG1563" s="73"/>
      <c r="BH1563" s="73"/>
      <c r="BI1563" s="73"/>
      <c r="BJ1563" s="73"/>
      <c r="BK1563" s="73"/>
      <c r="BL1563" s="73"/>
      <c r="BM1563" s="73"/>
      <c r="BN1563" s="73"/>
      <c r="BO1563" s="73"/>
      <c r="BP1563" s="73"/>
      <c r="BQ1563" s="73"/>
      <c r="BR1563" s="73"/>
      <c r="BS1563" s="73"/>
      <c r="BT1563" s="73"/>
      <c r="BU1563" s="73"/>
      <c r="BV1563" s="73"/>
      <c r="BW1563" s="73"/>
      <c r="BX1563" s="73"/>
      <c r="BY1563" s="73"/>
      <c r="BZ1563" s="73"/>
      <c r="CA1563" s="73"/>
      <c r="CB1563" s="73"/>
      <c r="CC1563" s="73"/>
      <c r="CD1563" s="73"/>
      <c r="CE1563" s="73"/>
      <c r="CF1563" s="73"/>
      <c r="CG1563" s="73"/>
      <c r="CH1563" s="73"/>
      <c r="CI1563" s="73"/>
      <c r="CJ1563" s="73"/>
      <c r="CK1563" s="73"/>
      <c r="CL1563" s="73"/>
      <c r="CM1563" s="73"/>
      <c r="CN1563" s="73"/>
      <c r="CO1563" s="73"/>
      <c r="CP1563" s="73"/>
      <c r="CQ1563" s="73"/>
      <c r="CR1563" s="73"/>
      <c r="CS1563" s="73"/>
      <c r="CT1563" s="73"/>
      <c r="CU1563" s="73"/>
      <c r="CV1563" s="73"/>
      <c r="CW1563" s="73"/>
      <c r="CX1563" s="73"/>
      <c r="CY1563" s="73"/>
      <c r="CZ1563" s="73"/>
      <c r="DA1563" s="73"/>
      <c r="DB1563" s="73"/>
      <c r="DC1563" s="73"/>
      <c r="DD1563" s="73"/>
      <c r="DE1563" s="73"/>
      <c r="DF1563" s="73"/>
      <c r="DG1563" s="73"/>
      <c r="DH1563" s="73"/>
      <c r="DI1563" s="73"/>
      <c r="DJ1563" s="73"/>
      <c r="DK1563" s="73"/>
      <c r="DL1563" s="73"/>
      <c r="DM1563" s="73"/>
    </row>
    <row r="1564" spans="1:117" s="48" customFormat="1">
      <c r="A1564" s="73"/>
      <c r="T1564" s="73"/>
      <c r="U1564" s="73"/>
      <c r="V1564" s="73"/>
      <c r="W1564" s="73"/>
      <c r="X1564" s="73"/>
      <c r="Y1564" s="73"/>
      <c r="Z1564" s="73"/>
      <c r="AA1564" s="73"/>
      <c r="AB1564" s="73"/>
      <c r="AC1564" s="73"/>
      <c r="AD1564" s="73"/>
      <c r="AE1564" s="73"/>
      <c r="AF1564" s="73"/>
      <c r="AG1564" s="73"/>
      <c r="AH1564" s="73"/>
      <c r="AI1564" s="73"/>
      <c r="AJ1564" s="73"/>
      <c r="AK1564" s="73"/>
      <c r="AL1564" s="73"/>
      <c r="AM1564" s="73"/>
      <c r="AN1564" s="73"/>
      <c r="AO1564" s="73"/>
      <c r="AP1564" s="73"/>
      <c r="AQ1564" s="73"/>
      <c r="AR1564" s="73"/>
      <c r="AS1564" s="73"/>
      <c r="AT1564" s="73"/>
      <c r="AU1564" s="73"/>
      <c r="AV1564" s="73"/>
      <c r="AW1564" s="73"/>
      <c r="AX1564" s="73"/>
      <c r="AY1564" s="73"/>
      <c r="AZ1564" s="73"/>
      <c r="BA1564" s="73"/>
      <c r="BB1564" s="73"/>
      <c r="BC1564" s="73"/>
      <c r="BD1564" s="73"/>
      <c r="BE1564" s="73"/>
      <c r="BF1564" s="73"/>
      <c r="BG1564" s="73"/>
      <c r="BH1564" s="73"/>
      <c r="BI1564" s="73"/>
      <c r="BJ1564" s="73"/>
      <c r="BK1564" s="73"/>
      <c r="BL1564" s="73"/>
      <c r="BM1564" s="73"/>
      <c r="BN1564" s="73"/>
      <c r="BO1564" s="73"/>
      <c r="BP1564" s="73"/>
      <c r="BQ1564" s="73"/>
      <c r="BR1564" s="73"/>
      <c r="BS1564" s="73"/>
      <c r="BT1564" s="73"/>
      <c r="BU1564" s="73"/>
      <c r="BV1564" s="73"/>
      <c r="BW1564" s="73"/>
      <c r="BX1564" s="73"/>
      <c r="BY1564" s="73"/>
      <c r="BZ1564" s="73"/>
      <c r="CA1564" s="73"/>
      <c r="CB1564" s="73"/>
      <c r="CC1564" s="73"/>
      <c r="CD1564" s="73"/>
      <c r="CE1564" s="73"/>
      <c r="CF1564" s="73"/>
      <c r="CG1564" s="73"/>
      <c r="CH1564" s="73"/>
      <c r="CI1564" s="73"/>
      <c r="CJ1564" s="73"/>
      <c r="CK1564" s="73"/>
      <c r="CL1564" s="73"/>
      <c r="CM1564" s="73"/>
      <c r="CN1564" s="73"/>
      <c r="CO1564" s="73"/>
      <c r="CP1564" s="73"/>
      <c r="CQ1564" s="73"/>
      <c r="CR1564" s="73"/>
      <c r="CS1564" s="73"/>
      <c r="CT1564" s="73"/>
      <c r="CU1564" s="73"/>
      <c r="CV1564" s="73"/>
      <c r="CW1564" s="73"/>
      <c r="CX1564" s="73"/>
      <c r="CY1564" s="73"/>
      <c r="CZ1564" s="73"/>
      <c r="DA1564" s="73"/>
      <c r="DB1564" s="73"/>
      <c r="DC1564" s="73"/>
      <c r="DD1564" s="73"/>
      <c r="DE1564" s="73"/>
      <c r="DF1564" s="73"/>
      <c r="DG1564" s="73"/>
      <c r="DH1564" s="73"/>
      <c r="DI1564" s="73"/>
      <c r="DJ1564" s="73"/>
      <c r="DK1564" s="73"/>
      <c r="DL1564" s="73"/>
      <c r="DM1564" s="73"/>
    </row>
    <row r="1565" spans="1:117" s="48" customFormat="1">
      <c r="A1565" s="73"/>
      <c r="T1565" s="73"/>
      <c r="U1565" s="73"/>
      <c r="V1565" s="73"/>
      <c r="W1565" s="73"/>
      <c r="X1565" s="73"/>
      <c r="Y1565" s="73"/>
      <c r="Z1565" s="73"/>
      <c r="AA1565" s="73"/>
      <c r="AB1565" s="73"/>
      <c r="AC1565" s="73"/>
      <c r="AD1565" s="73"/>
      <c r="AE1565" s="73"/>
      <c r="AF1565" s="73"/>
      <c r="AG1565" s="73"/>
      <c r="AH1565" s="73"/>
      <c r="AI1565" s="73"/>
      <c r="AJ1565" s="73"/>
      <c r="AK1565" s="73"/>
      <c r="AL1565" s="73"/>
      <c r="AM1565" s="73"/>
      <c r="AN1565" s="73"/>
      <c r="AO1565" s="73"/>
      <c r="AP1565" s="73"/>
      <c r="AQ1565" s="73"/>
      <c r="AR1565" s="73"/>
      <c r="AS1565" s="73"/>
      <c r="AT1565" s="73"/>
      <c r="AU1565" s="73"/>
      <c r="AV1565" s="73"/>
      <c r="AW1565" s="73"/>
      <c r="AX1565" s="73"/>
      <c r="AY1565" s="73"/>
      <c r="AZ1565" s="73"/>
      <c r="BA1565" s="73"/>
      <c r="BB1565" s="73"/>
      <c r="BC1565" s="73"/>
      <c r="BD1565" s="73"/>
      <c r="BE1565" s="73"/>
      <c r="BF1565" s="73"/>
      <c r="BG1565" s="73"/>
      <c r="BH1565" s="73"/>
      <c r="BI1565" s="73"/>
      <c r="BJ1565" s="73"/>
      <c r="BK1565" s="73"/>
      <c r="BL1565" s="73"/>
      <c r="BM1565" s="73"/>
      <c r="BN1565" s="73"/>
      <c r="BO1565" s="73"/>
      <c r="BP1565" s="73"/>
      <c r="BQ1565" s="73"/>
      <c r="BR1565" s="73"/>
      <c r="BS1565" s="73"/>
      <c r="BT1565" s="73"/>
      <c r="BU1565" s="73"/>
      <c r="BV1565" s="73"/>
      <c r="BW1565" s="73"/>
      <c r="BX1565" s="73"/>
      <c r="BY1565" s="73"/>
      <c r="BZ1565" s="73"/>
      <c r="CA1565" s="73"/>
      <c r="CB1565" s="73"/>
      <c r="CC1565" s="73"/>
      <c r="CD1565" s="73"/>
      <c r="CE1565" s="73"/>
      <c r="CF1565" s="73"/>
      <c r="CG1565" s="73"/>
      <c r="CH1565" s="73"/>
      <c r="CI1565" s="73"/>
      <c r="CJ1565" s="73"/>
      <c r="CK1565" s="73"/>
      <c r="CL1565" s="73"/>
      <c r="CM1565" s="73"/>
      <c r="CN1565" s="73"/>
      <c r="CO1565" s="73"/>
      <c r="CP1565" s="73"/>
      <c r="CQ1565" s="73"/>
      <c r="CR1565" s="73"/>
      <c r="CS1565" s="73"/>
      <c r="CT1565" s="73"/>
      <c r="CU1565" s="73"/>
      <c r="CV1565" s="73"/>
      <c r="CW1565" s="73"/>
      <c r="CX1565" s="73"/>
      <c r="CY1565" s="73"/>
      <c r="CZ1565" s="73"/>
      <c r="DA1565" s="73"/>
      <c r="DB1565" s="73"/>
      <c r="DC1565" s="73"/>
      <c r="DD1565" s="73"/>
      <c r="DE1565" s="73"/>
      <c r="DF1565" s="73"/>
      <c r="DG1565" s="73"/>
      <c r="DH1565" s="73"/>
      <c r="DI1565" s="73"/>
      <c r="DJ1565" s="73"/>
      <c r="DK1565" s="73"/>
      <c r="DL1565" s="73"/>
      <c r="DM1565" s="73"/>
    </row>
    <row r="1566" spans="1:117" s="48" customFormat="1">
      <c r="A1566" s="73"/>
      <c r="T1566" s="73"/>
      <c r="U1566" s="73"/>
      <c r="V1566" s="73"/>
      <c r="W1566" s="73"/>
      <c r="X1566" s="73"/>
      <c r="Y1566" s="73"/>
      <c r="Z1566" s="73"/>
      <c r="AA1566" s="73"/>
      <c r="AB1566" s="73"/>
      <c r="AC1566" s="73"/>
      <c r="AD1566" s="73"/>
      <c r="AE1566" s="73"/>
      <c r="AF1566" s="73"/>
      <c r="AG1566" s="73"/>
      <c r="AH1566" s="73"/>
      <c r="AI1566" s="73"/>
      <c r="AJ1566" s="73"/>
      <c r="AK1566" s="73"/>
      <c r="AL1566" s="73"/>
      <c r="AM1566" s="73"/>
      <c r="AN1566" s="73"/>
      <c r="AO1566" s="73"/>
      <c r="AP1566" s="73"/>
      <c r="AQ1566" s="73"/>
      <c r="AR1566" s="73"/>
      <c r="AS1566" s="73"/>
      <c r="AT1566" s="73"/>
      <c r="AU1566" s="73"/>
      <c r="AV1566" s="73"/>
      <c r="AW1566" s="73"/>
      <c r="AX1566" s="73"/>
      <c r="AY1566" s="73"/>
      <c r="AZ1566" s="73"/>
      <c r="BA1566" s="73"/>
      <c r="BB1566" s="73"/>
      <c r="BC1566" s="73"/>
      <c r="BD1566" s="73"/>
      <c r="BE1566" s="73"/>
      <c r="BF1566" s="73"/>
      <c r="BG1566" s="73"/>
      <c r="BH1566" s="73"/>
      <c r="BI1566" s="73"/>
      <c r="BJ1566" s="73"/>
      <c r="BK1566" s="73"/>
      <c r="BL1566" s="73"/>
      <c r="BM1566" s="73"/>
      <c r="BN1566" s="73"/>
      <c r="BO1566" s="73"/>
      <c r="BP1566" s="73"/>
      <c r="BQ1566" s="73"/>
      <c r="BR1566" s="73"/>
      <c r="BS1566" s="73"/>
      <c r="BT1566" s="73"/>
      <c r="BU1566" s="73"/>
      <c r="BV1566" s="73"/>
      <c r="BW1566" s="73"/>
      <c r="BX1566" s="73"/>
      <c r="BY1566" s="73"/>
      <c r="BZ1566" s="73"/>
      <c r="CA1566" s="73"/>
      <c r="CB1566" s="73"/>
      <c r="CC1566" s="73"/>
      <c r="CD1566" s="73"/>
      <c r="CE1566" s="73"/>
      <c r="CF1566" s="73"/>
      <c r="CG1566" s="73"/>
      <c r="CH1566" s="73"/>
      <c r="CI1566" s="73"/>
      <c r="CJ1566" s="73"/>
      <c r="CK1566" s="73"/>
      <c r="CL1566" s="73"/>
      <c r="CM1566" s="73"/>
      <c r="CN1566" s="73"/>
      <c r="CO1566" s="73"/>
      <c r="CP1566" s="73"/>
      <c r="CQ1566" s="73"/>
      <c r="CR1566" s="73"/>
      <c r="CS1566" s="73"/>
      <c r="CT1566" s="73"/>
      <c r="CU1566" s="73"/>
      <c r="CV1566" s="73"/>
      <c r="CW1566" s="73"/>
      <c r="CX1566" s="73"/>
      <c r="CY1566" s="73"/>
      <c r="CZ1566" s="73"/>
      <c r="DA1566" s="73"/>
      <c r="DB1566" s="73"/>
      <c r="DC1566" s="73"/>
      <c r="DD1566" s="73"/>
      <c r="DE1566" s="73"/>
      <c r="DF1566" s="73"/>
      <c r="DG1566" s="73"/>
      <c r="DH1566" s="73"/>
      <c r="DI1566" s="73"/>
      <c r="DJ1566" s="73"/>
      <c r="DK1566" s="73"/>
      <c r="DL1566" s="73"/>
      <c r="DM1566" s="73"/>
    </row>
    <row r="1567" spans="1:117" s="48" customFormat="1">
      <c r="A1567" s="73"/>
      <c r="T1567" s="73"/>
      <c r="U1567" s="73"/>
      <c r="V1567" s="73"/>
      <c r="W1567" s="73"/>
      <c r="X1567" s="73"/>
      <c r="Y1567" s="73"/>
      <c r="Z1567" s="73"/>
      <c r="AA1567" s="73"/>
      <c r="AB1567" s="73"/>
      <c r="AC1567" s="73"/>
      <c r="AD1567" s="73"/>
      <c r="AE1567" s="73"/>
      <c r="AF1567" s="73"/>
      <c r="AG1567" s="73"/>
      <c r="AH1567" s="73"/>
      <c r="AI1567" s="73"/>
      <c r="AJ1567" s="73"/>
      <c r="AK1567" s="73"/>
      <c r="AL1567" s="73"/>
      <c r="AM1567" s="73"/>
      <c r="AN1567" s="73"/>
      <c r="AO1567" s="73"/>
      <c r="AP1567" s="73"/>
      <c r="AQ1567" s="73"/>
      <c r="AR1567" s="73"/>
      <c r="AS1567" s="73"/>
      <c r="AT1567" s="73"/>
      <c r="AU1567" s="73"/>
      <c r="AV1567" s="73"/>
      <c r="AW1567" s="73"/>
      <c r="AX1567" s="73"/>
      <c r="AY1567" s="73"/>
      <c r="AZ1567" s="73"/>
      <c r="BA1567" s="73"/>
      <c r="BB1567" s="73"/>
      <c r="BC1567" s="73"/>
      <c r="BD1567" s="73"/>
      <c r="BE1567" s="73"/>
      <c r="BF1567" s="73"/>
      <c r="BG1567" s="73"/>
      <c r="BH1567" s="73"/>
      <c r="BI1567" s="73"/>
      <c r="BJ1567" s="73"/>
      <c r="BK1567" s="73"/>
      <c r="BL1567" s="73"/>
      <c r="BM1567" s="73"/>
      <c r="BN1567" s="73"/>
      <c r="BO1567" s="73"/>
      <c r="BP1567" s="73"/>
      <c r="BQ1567" s="73"/>
      <c r="BR1567" s="73"/>
      <c r="BS1567" s="73"/>
      <c r="BT1567" s="73"/>
      <c r="BU1567" s="73"/>
      <c r="BV1567" s="73"/>
      <c r="BW1567" s="73"/>
      <c r="BX1567" s="73"/>
      <c r="BY1567" s="73"/>
      <c r="BZ1567" s="73"/>
      <c r="CA1567" s="73"/>
      <c r="CB1567" s="73"/>
      <c r="CC1567" s="73"/>
      <c r="CD1567" s="73"/>
      <c r="CE1567" s="73"/>
      <c r="CF1567" s="73"/>
      <c r="CG1567" s="73"/>
      <c r="CH1567" s="73"/>
      <c r="CI1567" s="73"/>
      <c r="CJ1567" s="73"/>
      <c r="CK1567" s="73"/>
      <c r="CL1567" s="73"/>
      <c r="CM1567" s="73"/>
      <c r="CN1567" s="73"/>
      <c r="CO1567" s="73"/>
      <c r="CP1567" s="73"/>
      <c r="CQ1567" s="73"/>
      <c r="CR1567" s="73"/>
      <c r="CS1567" s="73"/>
      <c r="CT1567" s="73"/>
      <c r="CU1567" s="73"/>
      <c r="CV1567" s="73"/>
      <c r="CW1567" s="73"/>
      <c r="CX1567" s="73"/>
      <c r="CY1567" s="73"/>
      <c r="CZ1567" s="73"/>
      <c r="DA1567" s="73"/>
      <c r="DB1567" s="73"/>
      <c r="DC1567" s="73"/>
      <c r="DD1567" s="73"/>
      <c r="DE1567" s="73"/>
      <c r="DF1567" s="73"/>
      <c r="DG1567" s="73"/>
      <c r="DH1567" s="73"/>
      <c r="DI1567" s="73"/>
      <c r="DJ1567" s="73"/>
      <c r="DK1567" s="73"/>
      <c r="DL1567" s="73"/>
      <c r="DM1567" s="73"/>
    </row>
    <row r="1568" spans="1:117" s="48" customFormat="1">
      <c r="A1568" s="73"/>
      <c r="T1568" s="73"/>
      <c r="U1568" s="73"/>
      <c r="V1568" s="73"/>
      <c r="W1568" s="73"/>
      <c r="X1568" s="73"/>
      <c r="Y1568" s="73"/>
      <c r="Z1568" s="73"/>
      <c r="AA1568" s="73"/>
      <c r="AB1568" s="73"/>
      <c r="AC1568" s="73"/>
      <c r="AD1568" s="73"/>
      <c r="AE1568" s="73"/>
      <c r="AF1568" s="73"/>
      <c r="AG1568" s="73"/>
      <c r="AH1568" s="73"/>
      <c r="AI1568" s="73"/>
      <c r="AJ1568" s="73"/>
      <c r="AK1568" s="73"/>
      <c r="AL1568" s="73"/>
      <c r="AM1568" s="73"/>
      <c r="AN1568" s="73"/>
      <c r="AO1568" s="73"/>
      <c r="AP1568" s="73"/>
      <c r="AQ1568" s="73"/>
      <c r="AR1568" s="73"/>
      <c r="AS1568" s="73"/>
      <c r="AT1568" s="73"/>
      <c r="AU1568" s="73"/>
      <c r="AV1568" s="73"/>
      <c r="AW1568" s="73"/>
      <c r="AX1568" s="73"/>
      <c r="AY1568" s="73"/>
      <c r="AZ1568" s="73"/>
      <c r="BA1568" s="73"/>
      <c r="BB1568" s="73"/>
      <c r="BC1568" s="73"/>
      <c r="BD1568" s="73"/>
      <c r="BE1568" s="73"/>
      <c r="BF1568" s="73"/>
      <c r="BG1568" s="73"/>
      <c r="BH1568" s="73"/>
      <c r="BI1568" s="73"/>
      <c r="BJ1568" s="73"/>
      <c r="BK1568" s="73"/>
      <c r="BL1568" s="73"/>
      <c r="BM1568" s="73"/>
      <c r="BN1568" s="73"/>
      <c r="BO1568" s="73"/>
      <c r="BP1568" s="73"/>
      <c r="BQ1568" s="73"/>
      <c r="BR1568" s="73"/>
      <c r="BS1568" s="73"/>
      <c r="BT1568" s="73"/>
      <c r="BU1568" s="73"/>
      <c r="BV1568" s="73"/>
      <c r="BW1568" s="73"/>
      <c r="BX1568" s="73"/>
      <c r="BY1568" s="73"/>
      <c r="BZ1568" s="73"/>
      <c r="CA1568" s="73"/>
      <c r="CB1568" s="73"/>
      <c r="CC1568" s="73"/>
      <c r="CD1568" s="73"/>
      <c r="CE1568" s="73"/>
      <c r="CF1568" s="73"/>
      <c r="CG1568" s="73"/>
      <c r="CH1568" s="73"/>
      <c r="CI1568" s="73"/>
      <c r="CJ1568" s="73"/>
      <c r="CK1568" s="73"/>
      <c r="CL1568" s="73"/>
      <c r="CM1568" s="73"/>
      <c r="CN1568" s="73"/>
      <c r="CO1568" s="73"/>
      <c r="CP1568" s="73"/>
      <c r="CQ1568" s="73"/>
      <c r="CR1568" s="73"/>
      <c r="CS1568" s="73"/>
      <c r="CT1568" s="73"/>
      <c r="CU1568" s="73"/>
      <c r="CV1568" s="73"/>
      <c r="CW1568" s="73"/>
      <c r="CX1568" s="73"/>
      <c r="CY1568" s="73"/>
      <c r="CZ1568" s="73"/>
      <c r="DA1568" s="73"/>
      <c r="DB1568" s="73"/>
      <c r="DC1568" s="73"/>
      <c r="DD1568" s="73"/>
      <c r="DE1568" s="73"/>
      <c r="DF1568" s="73"/>
      <c r="DG1568" s="73"/>
      <c r="DH1568" s="73"/>
      <c r="DI1568" s="73"/>
      <c r="DJ1568" s="73"/>
      <c r="DK1568" s="73"/>
      <c r="DL1568" s="73"/>
      <c r="DM1568" s="73"/>
    </row>
    <row r="1569" spans="1:117" s="48" customFormat="1">
      <c r="A1569" s="73"/>
      <c r="T1569" s="73"/>
      <c r="U1569" s="73"/>
      <c r="V1569" s="73"/>
      <c r="W1569" s="73"/>
      <c r="X1569" s="73"/>
      <c r="Y1569" s="73"/>
      <c r="Z1569" s="73"/>
      <c r="AA1569" s="73"/>
      <c r="AB1569" s="73"/>
      <c r="AC1569" s="73"/>
      <c r="AD1569" s="73"/>
      <c r="AE1569" s="73"/>
      <c r="AF1569" s="73"/>
      <c r="AG1569" s="73"/>
      <c r="AH1569" s="73"/>
      <c r="AI1569" s="73"/>
      <c r="AJ1569" s="73"/>
      <c r="AK1569" s="73"/>
      <c r="AL1569" s="73"/>
      <c r="AM1569" s="73"/>
      <c r="AN1569" s="73"/>
      <c r="AO1569" s="73"/>
      <c r="AP1569" s="73"/>
      <c r="AQ1569" s="73"/>
      <c r="AR1569" s="73"/>
      <c r="AS1569" s="73"/>
      <c r="AT1569" s="73"/>
      <c r="AU1569" s="73"/>
      <c r="AV1569" s="73"/>
      <c r="AW1569" s="73"/>
      <c r="AX1569" s="73"/>
      <c r="AY1569" s="73"/>
      <c r="AZ1569" s="73"/>
      <c r="BA1569" s="73"/>
      <c r="BB1569" s="73"/>
      <c r="BC1569" s="73"/>
      <c r="BD1569" s="73"/>
      <c r="BE1569" s="73"/>
      <c r="BF1569" s="73"/>
      <c r="BG1569" s="73"/>
      <c r="BH1569" s="73"/>
      <c r="BI1569" s="73"/>
      <c r="BJ1569" s="73"/>
      <c r="BK1569" s="73"/>
      <c r="BL1569" s="73"/>
      <c r="BM1569" s="73"/>
      <c r="BN1569" s="73"/>
      <c r="BO1569" s="73"/>
      <c r="BP1569" s="73"/>
      <c r="BQ1569" s="73"/>
      <c r="BR1569" s="73"/>
      <c r="BS1569" s="73"/>
      <c r="BT1569" s="73"/>
      <c r="BU1569" s="73"/>
      <c r="BV1569" s="73"/>
      <c r="BW1569" s="73"/>
      <c r="BX1569" s="73"/>
      <c r="BY1569" s="73"/>
      <c r="BZ1569" s="73"/>
      <c r="CA1569" s="73"/>
      <c r="CB1569" s="73"/>
      <c r="CC1569" s="73"/>
      <c r="CD1569" s="73"/>
      <c r="CE1569" s="73"/>
      <c r="CF1569" s="73"/>
      <c r="CG1569" s="73"/>
      <c r="CH1569" s="73"/>
      <c r="CI1569" s="73"/>
      <c r="CJ1569" s="73"/>
      <c r="CK1569" s="73"/>
      <c r="CL1569" s="73"/>
      <c r="CM1569" s="73"/>
      <c r="CN1569" s="73"/>
      <c r="CO1569" s="73"/>
      <c r="CP1569" s="73"/>
      <c r="CQ1569" s="73"/>
      <c r="CR1569" s="73"/>
      <c r="CS1569" s="73"/>
      <c r="CT1569" s="73"/>
      <c r="CU1569" s="73"/>
      <c r="CV1569" s="73"/>
      <c r="CW1569" s="73"/>
      <c r="CX1569" s="73"/>
      <c r="CY1569" s="73"/>
      <c r="CZ1569" s="73"/>
      <c r="DA1569" s="73"/>
      <c r="DB1569" s="73"/>
      <c r="DC1569" s="73"/>
      <c r="DD1569" s="73"/>
      <c r="DE1569" s="73"/>
      <c r="DF1569" s="73"/>
      <c r="DG1569" s="73"/>
      <c r="DH1569" s="73"/>
      <c r="DI1569" s="73"/>
      <c r="DJ1569" s="73"/>
      <c r="DK1569" s="73"/>
      <c r="DL1569" s="73"/>
      <c r="DM1569" s="73"/>
    </row>
    <row r="1570" spans="1:117" s="48" customFormat="1">
      <c r="A1570" s="73"/>
      <c r="T1570" s="73"/>
      <c r="U1570" s="73"/>
      <c r="V1570" s="73"/>
      <c r="W1570" s="73"/>
      <c r="X1570" s="73"/>
      <c r="Y1570" s="73"/>
      <c r="Z1570" s="73"/>
      <c r="AA1570" s="73"/>
      <c r="AB1570" s="73"/>
      <c r="AC1570" s="73"/>
      <c r="AD1570" s="73"/>
      <c r="AE1570" s="73"/>
      <c r="AF1570" s="73"/>
      <c r="AG1570" s="73"/>
      <c r="AH1570" s="73"/>
      <c r="AI1570" s="73"/>
      <c r="AJ1570" s="73"/>
      <c r="AK1570" s="73"/>
      <c r="AL1570" s="73"/>
      <c r="AM1570" s="73"/>
      <c r="AN1570" s="73"/>
      <c r="AO1570" s="73"/>
      <c r="AP1570" s="73"/>
      <c r="AQ1570" s="73"/>
      <c r="AR1570" s="73"/>
      <c r="AS1570" s="73"/>
      <c r="AT1570" s="73"/>
      <c r="AU1570" s="73"/>
      <c r="AV1570" s="73"/>
      <c r="AW1570" s="73"/>
      <c r="AX1570" s="73"/>
      <c r="AY1570" s="73"/>
      <c r="AZ1570" s="73"/>
      <c r="BA1570" s="73"/>
      <c r="BB1570" s="73"/>
      <c r="BC1570" s="73"/>
      <c r="BD1570" s="73"/>
      <c r="BE1570" s="73"/>
      <c r="BF1570" s="73"/>
      <c r="BG1570" s="73"/>
      <c r="BH1570" s="73"/>
      <c r="BI1570" s="73"/>
      <c r="BJ1570" s="73"/>
      <c r="BK1570" s="73"/>
      <c r="BL1570" s="73"/>
      <c r="BM1570" s="73"/>
      <c r="BN1570" s="73"/>
      <c r="BO1570" s="73"/>
      <c r="BP1570" s="73"/>
      <c r="BQ1570" s="73"/>
      <c r="BR1570" s="73"/>
      <c r="BS1570" s="73"/>
      <c r="BT1570" s="73"/>
      <c r="BU1570" s="73"/>
      <c r="BV1570" s="73"/>
      <c r="BW1570" s="73"/>
      <c r="BX1570" s="73"/>
      <c r="BY1570" s="73"/>
      <c r="BZ1570" s="73"/>
      <c r="CA1570" s="73"/>
      <c r="CB1570" s="73"/>
      <c r="CC1570" s="73"/>
      <c r="CD1570" s="73"/>
      <c r="CE1570" s="73"/>
      <c r="CF1570" s="73"/>
      <c r="CG1570" s="73"/>
      <c r="CH1570" s="73"/>
      <c r="CI1570" s="73"/>
      <c r="CJ1570" s="73"/>
      <c r="CK1570" s="73"/>
      <c r="CL1570" s="73"/>
      <c r="CM1570" s="73"/>
      <c r="CN1570" s="73"/>
      <c r="CO1570" s="73"/>
      <c r="CP1570" s="73"/>
      <c r="CQ1570" s="73"/>
      <c r="CR1570" s="73"/>
      <c r="CS1570" s="73"/>
      <c r="CT1570" s="73"/>
      <c r="CU1570" s="73"/>
      <c r="CV1570" s="73"/>
      <c r="CW1570" s="73"/>
      <c r="CX1570" s="73"/>
      <c r="CY1570" s="73"/>
      <c r="CZ1570" s="73"/>
      <c r="DA1570" s="73"/>
      <c r="DB1570" s="73"/>
      <c r="DC1570" s="73"/>
      <c r="DD1570" s="73"/>
      <c r="DE1570" s="73"/>
      <c r="DF1570" s="73"/>
      <c r="DG1570" s="73"/>
      <c r="DH1570" s="73"/>
      <c r="DI1570" s="73"/>
      <c r="DJ1570" s="73"/>
      <c r="DK1570" s="73"/>
      <c r="DL1570" s="73"/>
      <c r="DM1570" s="73"/>
    </row>
    <row r="1571" spans="1:117" s="48" customFormat="1">
      <c r="A1571" s="73"/>
      <c r="T1571" s="73"/>
      <c r="U1571" s="73"/>
      <c r="V1571" s="73"/>
      <c r="W1571" s="73"/>
      <c r="X1571" s="73"/>
      <c r="Y1571" s="73"/>
      <c r="Z1571" s="73"/>
      <c r="AA1571" s="73"/>
      <c r="AB1571" s="73"/>
      <c r="AC1571" s="73"/>
      <c r="AD1571" s="73"/>
      <c r="AE1571" s="73"/>
      <c r="AF1571" s="73"/>
      <c r="AG1571" s="73"/>
      <c r="AH1571" s="73"/>
      <c r="AI1571" s="73"/>
      <c r="AJ1571" s="73"/>
      <c r="AK1571" s="73"/>
      <c r="AL1571" s="73"/>
      <c r="AM1571" s="73"/>
      <c r="AN1571" s="73"/>
      <c r="AO1571" s="73"/>
      <c r="AP1571" s="73"/>
      <c r="AQ1571" s="73"/>
      <c r="AR1571" s="73"/>
      <c r="AS1571" s="73"/>
      <c r="AT1571" s="73"/>
      <c r="AU1571" s="73"/>
      <c r="AV1571" s="73"/>
      <c r="AW1571" s="73"/>
      <c r="AX1571" s="73"/>
      <c r="AY1571" s="73"/>
      <c r="AZ1571" s="73"/>
      <c r="BA1571" s="73"/>
      <c r="BB1571" s="73"/>
      <c r="BC1571" s="73"/>
      <c r="BD1571" s="73"/>
      <c r="BE1571" s="73"/>
      <c r="BF1571" s="73"/>
      <c r="BG1571" s="73"/>
      <c r="BH1571" s="73"/>
      <c r="BI1571" s="73"/>
      <c r="BJ1571" s="73"/>
      <c r="BK1571" s="73"/>
      <c r="BL1571" s="73"/>
      <c r="BM1571" s="73"/>
      <c r="BN1571" s="73"/>
      <c r="BO1571" s="73"/>
      <c r="BP1571" s="73"/>
      <c r="BQ1571" s="73"/>
      <c r="BR1571" s="73"/>
      <c r="BS1571" s="73"/>
      <c r="BT1571" s="73"/>
      <c r="BU1571" s="73"/>
      <c r="BV1571" s="73"/>
      <c r="BW1571" s="73"/>
      <c r="BX1571" s="73"/>
      <c r="BY1571" s="73"/>
      <c r="BZ1571" s="73"/>
      <c r="CA1571" s="73"/>
      <c r="CB1571" s="73"/>
      <c r="CC1571" s="73"/>
      <c r="CD1571" s="73"/>
      <c r="CE1571" s="73"/>
      <c r="CF1571" s="73"/>
      <c r="CG1571" s="73"/>
      <c r="CH1571" s="73"/>
      <c r="CI1571" s="73"/>
      <c r="CJ1571" s="73"/>
      <c r="CK1571" s="73"/>
      <c r="CL1571" s="73"/>
      <c r="CM1571" s="73"/>
      <c r="CN1571" s="73"/>
      <c r="CO1571" s="73"/>
      <c r="CP1571" s="73"/>
      <c r="CQ1571" s="73"/>
      <c r="CR1571" s="73"/>
      <c r="CS1571" s="73"/>
      <c r="CT1571" s="73"/>
      <c r="CU1571" s="73"/>
      <c r="CV1571" s="73"/>
      <c r="CW1571" s="73"/>
      <c r="CX1571" s="73"/>
      <c r="CY1571" s="73"/>
      <c r="CZ1571" s="73"/>
      <c r="DA1571" s="73"/>
      <c r="DB1571" s="73"/>
      <c r="DC1571" s="73"/>
      <c r="DD1571" s="73"/>
      <c r="DE1571" s="73"/>
      <c r="DF1571" s="73"/>
      <c r="DG1571" s="73"/>
      <c r="DH1571" s="73"/>
      <c r="DI1571" s="73"/>
      <c r="DJ1571" s="73"/>
      <c r="DK1571" s="73"/>
      <c r="DL1571" s="73"/>
      <c r="DM1571" s="73"/>
    </row>
    <row r="1572" spans="1:117" s="48" customFormat="1">
      <c r="A1572" s="73"/>
      <c r="T1572" s="73"/>
      <c r="U1572" s="73"/>
      <c r="V1572" s="73"/>
      <c r="W1572" s="73"/>
      <c r="X1572" s="73"/>
      <c r="Y1572" s="73"/>
      <c r="Z1572" s="73"/>
      <c r="AA1572" s="73"/>
      <c r="AB1572" s="73"/>
      <c r="AC1572" s="73"/>
      <c r="AD1572" s="73"/>
      <c r="AE1572" s="73"/>
      <c r="AF1572" s="73"/>
      <c r="AG1572" s="73"/>
      <c r="AH1572" s="73"/>
      <c r="AI1572" s="73"/>
      <c r="AJ1572" s="73"/>
      <c r="AK1572" s="73"/>
      <c r="AL1572" s="73"/>
      <c r="AM1572" s="73"/>
      <c r="AN1572" s="73"/>
      <c r="AO1572" s="73"/>
      <c r="AP1572" s="73"/>
      <c r="AQ1572" s="73"/>
      <c r="AR1572" s="73"/>
      <c r="AS1572" s="73"/>
      <c r="AT1572" s="73"/>
      <c r="AU1572" s="73"/>
      <c r="AV1572" s="73"/>
      <c r="AW1572" s="73"/>
      <c r="AX1572" s="73"/>
      <c r="AY1572" s="73"/>
      <c r="AZ1572" s="73"/>
      <c r="BA1572" s="73"/>
      <c r="BB1572" s="73"/>
      <c r="BC1572" s="73"/>
      <c r="BD1572" s="73"/>
      <c r="BE1572" s="73"/>
      <c r="BF1572" s="73"/>
      <c r="BG1572" s="73"/>
      <c r="BH1572" s="73"/>
      <c r="BI1572" s="73"/>
      <c r="BJ1572" s="73"/>
      <c r="BK1572" s="73"/>
      <c r="BL1572" s="73"/>
      <c r="BM1572" s="73"/>
      <c r="BN1572" s="73"/>
      <c r="BO1572" s="73"/>
      <c r="BP1572" s="73"/>
      <c r="BQ1572" s="73"/>
      <c r="BR1572" s="73"/>
      <c r="BS1572" s="73"/>
      <c r="BT1572" s="73"/>
      <c r="BU1572" s="73"/>
      <c r="BV1572" s="73"/>
      <c r="BW1572" s="73"/>
      <c r="BX1572" s="73"/>
      <c r="BY1572" s="73"/>
      <c r="BZ1572" s="73"/>
      <c r="CA1572" s="73"/>
      <c r="CB1572" s="73"/>
      <c r="CC1572" s="73"/>
      <c r="CD1572" s="73"/>
      <c r="CE1572" s="73"/>
      <c r="CF1572" s="73"/>
      <c r="CG1572" s="73"/>
      <c r="CH1572" s="73"/>
      <c r="CI1572" s="73"/>
      <c r="CJ1572" s="73"/>
      <c r="CK1572" s="73"/>
      <c r="CL1572" s="73"/>
      <c r="CM1572" s="73"/>
      <c r="CN1572" s="73"/>
      <c r="CO1572" s="73"/>
      <c r="CP1572" s="73"/>
      <c r="CQ1572" s="73"/>
      <c r="CR1572" s="73"/>
      <c r="CS1572" s="73"/>
      <c r="CT1572" s="73"/>
      <c r="CU1572" s="73"/>
      <c r="CV1572" s="73"/>
      <c r="CW1572" s="73"/>
      <c r="CX1572" s="73"/>
      <c r="CY1572" s="73"/>
      <c r="CZ1572" s="73"/>
      <c r="DA1572" s="73"/>
      <c r="DB1572" s="73"/>
      <c r="DC1572" s="73"/>
      <c r="DD1572" s="73"/>
      <c r="DE1572" s="73"/>
      <c r="DF1572" s="73"/>
      <c r="DG1572" s="73"/>
      <c r="DH1572" s="73"/>
      <c r="DI1572" s="73"/>
      <c r="DJ1572" s="73"/>
      <c r="DK1572" s="73"/>
      <c r="DL1572" s="73"/>
      <c r="DM1572" s="73"/>
    </row>
    <row r="1573" spans="1:117" s="48" customFormat="1">
      <c r="A1573" s="73"/>
      <c r="T1573" s="73"/>
      <c r="U1573" s="73"/>
      <c r="V1573" s="73"/>
      <c r="W1573" s="73"/>
      <c r="X1573" s="73"/>
      <c r="Y1573" s="73"/>
      <c r="Z1573" s="73"/>
      <c r="AA1573" s="73"/>
      <c r="AB1573" s="73"/>
      <c r="AC1573" s="73"/>
      <c r="AD1573" s="73"/>
      <c r="AE1573" s="73"/>
      <c r="AF1573" s="73"/>
      <c r="AG1573" s="73"/>
      <c r="AH1573" s="73"/>
      <c r="AI1573" s="73"/>
      <c r="AJ1573" s="73"/>
      <c r="AK1573" s="73"/>
      <c r="AL1573" s="73"/>
      <c r="AM1573" s="73"/>
      <c r="AN1573" s="73"/>
      <c r="AO1573" s="73"/>
      <c r="AP1573" s="73"/>
      <c r="AQ1573" s="73"/>
      <c r="AR1573" s="73"/>
      <c r="AS1573" s="73"/>
      <c r="AT1573" s="73"/>
      <c r="AU1573" s="73"/>
      <c r="AV1573" s="73"/>
      <c r="AW1573" s="73"/>
      <c r="AX1573" s="73"/>
      <c r="AY1573" s="73"/>
      <c r="AZ1573" s="73"/>
      <c r="BA1573" s="73"/>
      <c r="BB1573" s="73"/>
      <c r="BC1573" s="73"/>
      <c r="BD1573" s="73"/>
      <c r="BE1573" s="73"/>
      <c r="BF1573" s="73"/>
      <c r="BG1573" s="73"/>
      <c r="BH1573" s="73"/>
      <c r="BI1573" s="73"/>
      <c r="BJ1573" s="73"/>
      <c r="BK1573" s="73"/>
      <c r="BL1573" s="73"/>
      <c r="BM1573" s="73"/>
      <c r="BN1573" s="73"/>
      <c r="BO1573" s="73"/>
      <c r="BP1573" s="73"/>
      <c r="BQ1573" s="73"/>
      <c r="BR1573" s="73"/>
      <c r="BS1573" s="73"/>
      <c r="BT1573" s="73"/>
      <c r="BU1573" s="73"/>
      <c r="BV1573" s="73"/>
      <c r="BW1573" s="73"/>
      <c r="BX1573" s="73"/>
      <c r="BY1573" s="73"/>
      <c r="BZ1573" s="73"/>
      <c r="CA1573" s="73"/>
      <c r="CB1573" s="73"/>
      <c r="CC1573" s="73"/>
      <c r="CD1573" s="73"/>
      <c r="CE1573" s="73"/>
      <c r="CF1573" s="73"/>
      <c r="CG1573" s="73"/>
      <c r="CH1573" s="73"/>
      <c r="CI1573" s="73"/>
      <c r="CJ1573" s="73"/>
      <c r="CK1573" s="73"/>
      <c r="CL1573" s="73"/>
      <c r="CM1573" s="73"/>
      <c r="CN1573" s="73"/>
      <c r="CO1573" s="73"/>
      <c r="CP1573" s="73"/>
      <c r="CQ1573" s="73"/>
      <c r="CR1573" s="73"/>
      <c r="CS1573" s="73"/>
      <c r="CT1573" s="73"/>
      <c r="CU1573" s="73"/>
      <c r="CV1573" s="73"/>
      <c r="CW1573" s="73"/>
      <c r="CX1573" s="73"/>
      <c r="CY1573" s="73"/>
      <c r="CZ1573" s="73"/>
      <c r="DA1573" s="73"/>
      <c r="DB1573" s="73"/>
      <c r="DC1573" s="73"/>
      <c r="DD1573" s="73"/>
      <c r="DE1573" s="73"/>
      <c r="DF1573" s="73"/>
      <c r="DG1573" s="73"/>
      <c r="DH1573" s="73"/>
      <c r="DI1573" s="73"/>
      <c r="DJ1573" s="73"/>
      <c r="DK1573" s="73"/>
      <c r="DL1573" s="73"/>
      <c r="DM1573" s="73"/>
    </row>
    <row r="1574" spans="1:117" s="48" customFormat="1">
      <c r="A1574" s="73"/>
      <c r="T1574" s="73"/>
      <c r="U1574" s="73"/>
      <c r="V1574" s="73"/>
      <c r="W1574" s="73"/>
      <c r="X1574" s="73"/>
      <c r="Y1574" s="73"/>
      <c r="Z1574" s="73"/>
      <c r="AA1574" s="73"/>
      <c r="AB1574" s="73"/>
      <c r="AC1574" s="73"/>
      <c r="AD1574" s="73"/>
      <c r="AE1574" s="73"/>
      <c r="AF1574" s="73"/>
      <c r="AG1574" s="73"/>
      <c r="AH1574" s="73"/>
      <c r="AI1574" s="73"/>
      <c r="AJ1574" s="73"/>
      <c r="AK1574" s="73"/>
      <c r="AL1574" s="73"/>
      <c r="AM1574" s="73"/>
      <c r="AN1574" s="73"/>
      <c r="AO1574" s="73"/>
      <c r="AP1574" s="73"/>
      <c r="AQ1574" s="73"/>
      <c r="AR1574" s="73"/>
      <c r="AS1574" s="73"/>
      <c r="AT1574" s="73"/>
      <c r="AU1574" s="73"/>
      <c r="AV1574" s="73"/>
      <c r="AW1574" s="73"/>
      <c r="AX1574" s="73"/>
      <c r="AY1574" s="73"/>
      <c r="AZ1574" s="73"/>
      <c r="BA1574" s="73"/>
      <c r="BB1574" s="73"/>
      <c r="BC1574" s="73"/>
      <c r="BD1574" s="73"/>
      <c r="BE1574" s="73"/>
      <c r="BF1574" s="73"/>
      <c r="BG1574" s="73"/>
      <c r="BH1574" s="73"/>
      <c r="BI1574" s="73"/>
      <c r="BJ1574" s="73"/>
      <c r="BK1574" s="73"/>
      <c r="BL1574" s="73"/>
      <c r="BM1574" s="73"/>
      <c r="BN1574" s="73"/>
      <c r="BO1574" s="73"/>
      <c r="BP1574" s="73"/>
      <c r="BQ1574" s="73"/>
      <c r="BR1574" s="73"/>
      <c r="BS1574" s="73"/>
      <c r="BT1574" s="73"/>
      <c r="BU1574" s="73"/>
      <c r="BV1574" s="73"/>
      <c r="BW1574" s="73"/>
      <c r="BX1574" s="73"/>
      <c r="BY1574" s="73"/>
      <c r="BZ1574" s="73"/>
      <c r="CA1574" s="73"/>
      <c r="CB1574" s="73"/>
      <c r="CC1574" s="73"/>
      <c r="CD1574" s="73"/>
      <c r="CE1574" s="73"/>
      <c r="CF1574" s="73"/>
      <c r="CG1574" s="73"/>
      <c r="CH1574" s="73"/>
      <c r="CI1574" s="73"/>
      <c r="CJ1574" s="73"/>
      <c r="CK1574" s="73"/>
      <c r="CL1574" s="73"/>
      <c r="CM1574" s="73"/>
      <c r="CN1574" s="73"/>
      <c r="CO1574" s="73"/>
      <c r="CP1574" s="73"/>
      <c r="CQ1574" s="73"/>
      <c r="CR1574" s="73"/>
      <c r="CS1574" s="73"/>
      <c r="CT1574" s="73"/>
      <c r="CU1574" s="73"/>
      <c r="CV1574" s="73"/>
      <c r="CW1574" s="73"/>
      <c r="CX1574" s="73"/>
      <c r="CY1574" s="73"/>
      <c r="CZ1574" s="73"/>
      <c r="DA1574" s="73"/>
      <c r="DB1574" s="73"/>
      <c r="DC1574" s="73"/>
      <c r="DD1574" s="73"/>
      <c r="DE1574" s="73"/>
      <c r="DF1574" s="73"/>
      <c r="DG1574" s="73"/>
      <c r="DH1574" s="73"/>
      <c r="DI1574" s="73"/>
      <c r="DJ1574" s="73"/>
      <c r="DK1574" s="73"/>
      <c r="DL1574" s="73"/>
      <c r="DM1574" s="73"/>
    </row>
    <row r="1575" spans="1:117" s="48" customFormat="1">
      <c r="A1575" s="73"/>
      <c r="T1575" s="73"/>
      <c r="U1575" s="73"/>
      <c r="V1575" s="73"/>
      <c r="W1575" s="73"/>
      <c r="X1575" s="73"/>
      <c r="Y1575" s="73"/>
      <c r="Z1575" s="73"/>
      <c r="AA1575" s="73"/>
      <c r="AB1575" s="73"/>
      <c r="AC1575" s="73"/>
      <c r="AD1575" s="73"/>
      <c r="AE1575" s="73"/>
      <c r="AF1575" s="73"/>
      <c r="AG1575" s="73"/>
      <c r="AH1575" s="73"/>
      <c r="AI1575" s="73"/>
      <c r="AJ1575" s="73"/>
      <c r="AK1575" s="73"/>
      <c r="AL1575" s="73"/>
      <c r="AM1575" s="73"/>
      <c r="AN1575" s="73"/>
      <c r="AO1575" s="73"/>
      <c r="AP1575" s="73"/>
      <c r="AQ1575" s="73"/>
      <c r="AR1575" s="73"/>
      <c r="AS1575" s="73"/>
      <c r="AT1575" s="73"/>
      <c r="AU1575" s="73"/>
      <c r="AV1575" s="73"/>
      <c r="AW1575" s="73"/>
      <c r="AX1575" s="73"/>
      <c r="AY1575" s="73"/>
      <c r="AZ1575" s="73"/>
      <c r="BA1575" s="73"/>
      <c r="BB1575" s="73"/>
      <c r="BC1575" s="73"/>
      <c r="BD1575" s="73"/>
      <c r="BE1575" s="73"/>
      <c r="BF1575" s="73"/>
      <c r="BG1575" s="73"/>
      <c r="BH1575" s="73"/>
      <c r="BI1575" s="73"/>
      <c r="BJ1575" s="73"/>
      <c r="BK1575" s="73"/>
      <c r="BL1575" s="73"/>
      <c r="BM1575" s="73"/>
      <c r="BN1575" s="73"/>
      <c r="BO1575" s="73"/>
      <c r="BP1575" s="73"/>
      <c r="BQ1575" s="73"/>
      <c r="BR1575" s="73"/>
      <c r="BS1575" s="73"/>
      <c r="BT1575" s="73"/>
      <c r="BU1575" s="73"/>
      <c r="BV1575" s="73"/>
      <c r="BW1575" s="73"/>
      <c r="BX1575" s="73"/>
      <c r="BY1575" s="73"/>
      <c r="BZ1575" s="73"/>
      <c r="CA1575" s="73"/>
      <c r="CB1575" s="73"/>
      <c r="CC1575" s="73"/>
      <c r="CD1575" s="73"/>
      <c r="CE1575" s="73"/>
      <c r="CF1575" s="73"/>
      <c r="CG1575" s="73"/>
      <c r="CH1575" s="73"/>
      <c r="CI1575" s="73"/>
      <c r="CJ1575" s="73"/>
      <c r="CK1575" s="73"/>
      <c r="CL1575" s="73"/>
      <c r="CM1575" s="73"/>
      <c r="CN1575" s="73"/>
      <c r="CO1575" s="73"/>
      <c r="CP1575" s="73"/>
      <c r="CQ1575" s="73"/>
      <c r="CR1575" s="73"/>
      <c r="CS1575" s="73"/>
      <c r="CT1575" s="73"/>
      <c r="CU1575" s="73"/>
      <c r="CV1575" s="73"/>
      <c r="CW1575" s="73"/>
      <c r="CX1575" s="73"/>
      <c r="CY1575" s="73"/>
      <c r="CZ1575" s="73"/>
      <c r="DA1575" s="73"/>
      <c r="DB1575" s="73"/>
      <c r="DC1575" s="73"/>
      <c r="DD1575" s="73"/>
      <c r="DE1575" s="73"/>
      <c r="DF1575" s="73"/>
      <c r="DG1575" s="73"/>
      <c r="DH1575" s="73"/>
      <c r="DI1575" s="73"/>
      <c r="DJ1575" s="73"/>
      <c r="DK1575" s="73"/>
      <c r="DL1575" s="73"/>
      <c r="DM1575" s="73"/>
    </row>
    <row r="1576" spans="1:117" s="48" customFormat="1">
      <c r="A1576" s="73"/>
      <c r="T1576" s="73"/>
      <c r="U1576" s="73"/>
      <c r="V1576" s="73"/>
      <c r="W1576" s="73"/>
      <c r="X1576" s="73"/>
      <c r="Y1576" s="73"/>
      <c r="Z1576" s="73"/>
      <c r="AA1576" s="73"/>
      <c r="AB1576" s="73"/>
      <c r="AC1576" s="73"/>
      <c r="AD1576" s="73"/>
      <c r="AE1576" s="73"/>
      <c r="AF1576" s="73"/>
      <c r="AG1576" s="73"/>
      <c r="AH1576" s="73"/>
      <c r="AI1576" s="73"/>
      <c r="AJ1576" s="73"/>
      <c r="AK1576" s="73"/>
      <c r="AL1576" s="73"/>
      <c r="AM1576" s="73"/>
      <c r="AN1576" s="73"/>
      <c r="AO1576" s="73"/>
      <c r="AP1576" s="73"/>
      <c r="AQ1576" s="73"/>
      <c r="AR1576" s="73"/>
      <c r="AS1576" s="73"/>
      <c r="AT1576" s="73"/>
      <c r="AU1576" s="73"/>
      <c r="AV1576" s="73"/>
      <c r="AW1576" s="73"/>
      <c r="AX1576" s="73"/>
      <c r="AY1576" s="73"/>
      <c r="AZ1576" s="73"/>
      <c r="BA1576" s="73"/>
      <c r="BB1576" s="73"/>
      <c r="BC1576" s="73"/>
      <c r="BD1576" s="73"/>
      <c r="BE1576" s="73"/>
      <c r="BF1576" s="73"/>
      <c r="BG1576" s="73"/>
      <c r="BH1576" s="73"/>
      <c r="BI1576" s="73"/>
      <c r="BJ1576" s="73"/>
      <c r="BK1576" s="73"/>
      <c r="BL1576" s="73"/>
      <c r="BM1576" s="73"/>
      <c r="BN1576" s="73"/>
      <c r="BO1576" s="73"/>
      <c r="BP1576" s="73"/>
      <c r="BQ1576" s="73"/>
      <c r="BR1576" s="73"/>
      <c r="BS1576" s="73"/>
      <c r="BT1576" s="73"/>
      <c r="BU1576" s="73"/>
      <c r="BV1576" s="73"/>
      <c r="BW1576" s="73"/>
      <c r="BX1576" s="73"/>
      <c r="BY1576" s="73"/>
      <c r="BZ1576" s="73"/>
      <c r="CA1576" s="73"/>
      <c r="CB1576" s="73"/>
      <c r="CC1576" s="73"/>
      <c r="CD1576" s="73"/>
      <c r="CE1576" s="73"/>
      <c r="CF1576" s="73"/>
      <c r="CG1576" s="73"/>
      <c r="CH1576" s="73"/>
      <c r="CI1576" s="73"/>
      <c r="CJ1576" s="73"/>
      <c r="CK1576" s="73"/>
      <c r="CL1576" s="73"/>
      <c r="CM1576" s="73"/>
      <c r="CN1576" s="73"/>
      <c r="CO1576" s="73"/>
      <c r="CP1576" s="73"/>
      <c r="CQ1576" s="73"/>
      <c r="CR1576" s="73"/>
      <c r="CS1576" s="73"/>
      <c r="CT1576" s="73"/>
      <c r="CU1576" s="73"/>
      <c r="CV1576" s="73"/>
      <c r="CW1576" s="73"/>
      <c r="CX1576" s="73"/>
      <c r="CY1576" s="73"/>
      <c r="CZ1576" s="73"/>
      <c r="DA1576" s="73"/>
      <c r="DB1576" s="73"/>
      <c r="DC1576" s="73"/>
      <c r="DD1576" s="73"/>
      <c r="DE1576" s="73"/>
      <c r="DF1576" s="73"/>
      <c r="DG1576" s="73"/>
      <c r="DH1576" s="73"/>
      <c r="DI1576" s="73"/>
      <c r="DJ1576" s="73"/>
      <c r="DK1576" s="73"/>
      <c r="DL1576" s="73"/>
      <c r="DM1576" s="73"/>
    </row>
    <row r="1577" spans="1:117" s="48" customFormat="1">
      <c r="A1577" s="73"/>
      <c r="T1577" s="73"/>
      <c r="U1577" s="73"/>
      <c r="V1577" s="73"/>
      <c r="W1577" s="73"/>
      <c r="X1577" s="73"/>
      <c r="Y1577" s="73"/>
      <c r="Z1577" s="73"/>
      <c r="AA1577" s="73"/>
      <c r="AB1577" s="73"/>
      <c r="AC1577" s="73"/>
      <c r="AD1577" s="73"/>
      <c r="AE1577" s="73"/>
      <c r="AF1577" s="73"/>
      <c r="AG1577" s="73"/>
      <c r="AH1577" s="73"/>
      <c r="AI1577" s="73"/>
      <c r="AJ1577" s="73"/>
      <c r="AK1577" s="73"/>
      <c r="AL1577" s="73"/>
      <c r="AM1577" s="73"/>
      <c r="AN1577" s="73"/>
      <c r="AO1577" s="73"/>
      <c r="AP1577" s="73"/>
      <c r="AQ1577" s="73"/>
      <c r="AR1577" s="73"/>
      <c r="AS1577" s="73"/>
      <c r="AT1577" s="73"/>
      <c r="AU1577" s="73"/>
      <c r="AV1577" s="73"/>
      <c r="AW1577" s="73"/>
      <c r="AX1577" s="73"/>
      <c r="AY1577" s="73"/>
      <c r="AZ1577" s="73"/>
      <c r="BA1577" s="73"/>
      <c r="BB1577" s="73"/>
      <c r="BC1577" s="73"/>
      <c r="BD1577" s="73"/>
      <c r="BE1577" s="73"/>
      <c r="BF1577" s="73"/>
      <c r="BG1577" s="73"/>
      <c r="BH1577" s="73"/>
      <c r="BI1577" s="73"/>
      <c r="BJ1577" s="73"/>
      <c r="BK1577" s="73"/>
      <c r="BL1577" s="73"/>
      <c r="BM1577" s="73"/>
      <c r="BN1577" s="73"/>
      <c r="BO1577" s="73"/>
      <c r="BP1577" s="73"/>
      <c r="BQ1577" s="73"/>
      <c r="BR1577" s="73"/>
      <c r="BS1577" s="73"/>
      <c r="BT1577" s="73"/>
      <c r="BU1577" s="73"/>
      <c r="BV1577" s="73"/>
      <c r="BW1577" s="73"/>
      <c r="BX1577" s="73"/>
      <c r="BY1577" s="73"/>
      <c r="BZ1577" s="73"/>
      <c r="CA1577" s="73"/>
      <c r="CB1577" s="73"/>
      <c r="CC1577" s="73"/>
      <c r="CD1577" s="73"/>
      <c r="CE1577" s="73"/>
      <c r="CF1577" s="73"/>
      <c r="CG1577" s="73"/>
      <c r="CH1577" s="73"/>
      <c r="CI1577" s="73"/>
      <c r="CJ1577" s="73"/>
      <c r="CK1577" s="73"/>
      <c r="CL1577" s="73"/>
      <c r="CM1577" s="73"/>
      <c r="CN1577" s="73"/>
      <c r="CO1577" s="73"/>
      <c r="CP1577" s="73"/>
      <c r="CQ1577" s="73"/>
      <c r="CR1577" s="73"/>
      <c r="CS1577" s="73"/>
      <c r="CT1577" s="73"/>
      <c r="CU1577" s="73"/>
      <c r="CV1577" s="73"/>
      <c r="CW1577" s="73"/>
      <c r="CX1577" s="73"/>
      <c r="CY1577" s="73"/>
      <c r="CZ1577" s="73"/>
      <c r="DA1577" s="73"/>
      <c r="DB1577" s="73"/>
      <c r="DC1577" s="73"/>
      <c r="DD1577" s="73"/>
      <c r="DE1577" s="73"/>
      <c r="DF1577" s="73"/>
      <c r="DG1577" s="73"/>
      <c r="DH1577" s="73"/>
      <c r="DI1577" s="73"/>
      <c r="DJ1577" s="73"/>
      <c r="DK1577" s="73"/>
      <c r="DL1577" s="73"/>
      <c r="DM1577" s="73"/>
    </row>
    <row r="1578" spans="1:117" s="48" customFormat="1">
      <c r="A1578" s="73"/>
      <c r="T1578" s="73"/>
      <c r="U1578" s="73"/>
      <c r="V1578" s="73"/>
      <c r="W1578" s="73"/>
      <c r="X1578" s="73"/>
      <c r="Y1578" s="73"/>
      <c r="Z1578" s="73"/>
      <c r="AA1578" s="73"/>
      <c r="AB1578" s="73"/>
      <c r="AC1578" s="73"/>
      <c r="AD1578" s="73"/>
      <c r="AE1578" s="73"/>
      <c r="AF1578" s="73"/>
      <c r="AG1578" s="73"/>
      <c r="AH1578" s="73"/>
      <c r="AI1578" s="73"/>
      <c r="AJ1578" s="73"/>
      <c r="AK1578" s="73"/>
      <c r="AL1578" s="73"/>
      <c r="AM1578" s="73"/>
      <c r="AN1578" s="73"/>
      <c r="AO1578" s="73"/>
      <c r="AP1578" s="73"/>
      <c r="AQ1578" s="73"/>
      <c r="AR1578" s="73"/>
      <c r="AS1578" s="73"/>
      <c r="AT1578" s="73"/>
      <c r="AU1578" s="73"/>
      <c r="AV1578" s="73"/>
      <c r="AW1578" s="73"/>
      <c r="AX1578" s="73"/>
      <c r="AY1578" s="73"/>
      <c r="AZ1578" s="73"/>
      <c r="BA1578" s="73"/>
      <c r="BB1578" s="73"/>
      <c r="BC1578" s="73"/>
      <c r="BD1578" s="73"/>
      <c r="BE1578" s="73"/>
      <c r="BF1578" s="73"/>
      <c r="BG1578" s="73"/>
      <c r="BH1578" s="73"/>
      <c r="BI1578" s="73"/>
      <c r="BJ1578" s="73"/>
      <c r="BK1578" s="73"/>
      <c r="BL1578" s="73"/>
      <c r="BM1578" s="73"/>
      <c r="BN1578" s="73"/>
      <c r="BO1578" s="73"/>
      <c r="BP1578" s="73"/>
      <c r="BQ1578" s="73"/>
      <c r="BR1578" s="73"/>
      <c r="BS1578" s="73"/>
      <c r="BT1578" s="73"/>
      <c r="BU1578" s="73"/>
      <c r="BV1578" s="73"/>
      <c r="BW1578" s="73"/>
      <c r="BX1578" s="73"/>
      <c r="BY1578" s="73"/>
      <c r="BZ1578" s="73"/>
      <c r="CA1578" s="73"/>
      <c r="CB1578" s="73"/>
      <c r="CC1578" s="73"/>
      <c r="CD1578" s="73"/>
      <c r="CE1578" s="73"/>
      <c r="CF1578" s="73"/>
      <c r="CG1578" s="73"/>
      <c r="CH1578" s="73"/>
      <c r="CI1578" s="73"/>
      <c r="CJ1578" s="73"/>
      <c r="CK1578" s="73"/>
      <c r="CL1578" s="73"/>
      <c r="CM1578" s="73"/>
      <c r="CN1578" s="73"/>
      <c r="CO1578" s="73"/>
      <c r="CP1578" s="73"/>
      <c r="CQ1578" s="73"/>
      <c r="CR1578" s="73"/>
      <c r="CS1578" s="73"/>
      <c r="CT1578" s="73"/>
      <c r="CU1578" s="73"/>
      <c r="CV1578" s="73"/>
      <c r="CW1578" s="73"/>
      <c r="CX1578" s="73"/>
      <c r="CY1578" s="73"/>
      <c r="CZ1578" s="73"/>
      <c r="DA1578" s="73"/>
      <c r="DB1578" s="73"/>
      <c r="DC1578" s="73"/>
      <c r="DD1578" s="73"/>
      <c r="DE1578" s="73"/>
      <c r="DF1578" s="73"/>
      <c r="DG1578" s="73"/>
      <c r="DH1578" s="73"/>
      <c r="DI1578" s="73"/>
      <c r="DJ1578" s="73"/>
      <c r="DK1578" s="73"/>
      <c r="DL1578" s="73"/>
      <c r="DM1578" s="73"/>
    </row>
    <row r="1579" spans="1:117" s="48" customFormat="1">
      <c r="A1579" s="73"/>
      <c r="T1579" s="73"/>
      <c r="U1579" s="73"/>
      <c r="V1579" s="73"/>
      <c r="W1579" s="73"/>
      <c r="X1579" s="73"/>
      <c r="Y1579" s="73"/>
      <c r="Z1579" s="73"/>
      <c r="AA1579" s="73"/>
      <c r="AB1579" s="73"/>
      <c r="AC1579" s="73"/>
      <c r="AD1579" s="73"/>
      <c r="AE1579" s="73"/>
      <c r="AF1579" s="73"/>
      <c r="AG1579" s="73"/>
      <c r="AH1579" s="73"/>
      <c r="AI1579" s="73"/>
      <c r="AJ1579" s="73"/>
      <c r="AK1579" s="73"/>
      <c r="AL1579" s="73"/>
      <c r="AM1579" s="73"/>
      <c r="AN1579" s="73"/>
      <c r="AO1579" s="73"/>
      <c r="AP1579" s="73"/>
      <c r="AQ1579" s="73"/>
      <c r="AR1579" s="73"/>
      <c r="AS1579" s="73"/>
      <c r="AT1579" s="73"/>
      <c r="AU1579" s="73"/>
      <c r="AV1579" s="73"/>
      <c r="AW1579" s="73"/>
      <c r="AX1579" s="73"/>
      <c r="AY1579" s="73"/>
      <c r="AZ1579" s="73"/>
      <c r="BA1579" s="73"/>
      <c r="BB1579" s="73"/>
      <c r="BC1579" s="73"/>
      <c r="BD1579" s="73"/>
      <c r="BE1579" s="73"/>
      <c r="BF1579" s="73"/>
      <c r="BG1579" s="73"/>
      <c r="BH1579" s="73"/>
      <c r="BI1579" s="73"/>
      <c r="BJ1579" s="73"/>
      <c r="BK1579" s="73"/>
      <c r="BL1579" s="73"/>
      <c r="BM1579" s="73"/>
      <c r="BN1579" s="73"/>
      <c r="BO1579" s="73"/>
      <c r="BP1579" s="73"/>
      <c r="BQ1579" s="73"/>
      <c r="BR1579" s="73"/>
      <c r="BS1579" s="73"/>
      <c r="BT1579" s="73"/>
      <c r="BU1579" s="73"/>
      <c r="BV1579" s="73"/>
      <c r="BW1579" s="73"/>
      <c r="BX1579" s="73"/>
      <c r="BY1579" s="73"/>
      <c r="BZ1579" s="73"/>
      <c r="CA1579" s="73"/>
      <c r="CB1579" s="73"/>
      <c r="CC1579" s="73"/>
      <c r="CD1579" s="73"/>
      <c r="CE1579" s="73"/>
      <c r="CF1579" s="73"/>
      <c r="CG1579" s="73"/>
      <c r="CH1579" s="73"/>
      <c r="CI1579" s="73"/>
      <c r="CJ1579" s="73"/>
      <c r="CK1579" s="73"/>
      <c r="CL1579" s="73"/>
      <c r="CM1579" s="73"/>
      <c r="CN1579" s="73"/>
      <c r="CO1579" s="73"/>
      <c r="CP1579" s="73"/>
      <c r="CQ1579" s="73"/>
      <c r="CR1579" s="73"/>
      <c r="CS1579" s="73"/>
      <c r="CT1579" s="73"/>
      <c r="CU1579" s="73"/>
      <c r="CV1579" s="73"/>
      <c r="CW1579" s="73"/>
      <c r="CX1579" s="73"/>
      <c r="CY1579" s="73"/>
      <c r="CZ1579" s="73"/>
      <c r="DA1579" s="73"/>
      <c r="DB1579" s="73"/>
      <c r="DC1579" s="73"/>
      <c r="DD1579" s="73"/>
      <c r="DE1579" s="73"/>
      <c r="DF1579" s="73"/>
      <c r="DG1579" s="73"/>
      <c r="DH1579" s="73"/>
      <c r="DI1579" s="73"/>
      <c r="DJ1579" s="73"/>
      <c r="DK1579" s="73"/>
      <c r="DL1579" s="73"/>
      <c r="DM1579" s="73"/>
    </row>
    <row r="1580" spans="1:117" s="48" customFormat="1">
      <c r="A1580" s="73"/>
      <c r="T1580" s="73"/>
      <c r="U1580" s="73"/>
      <c r="V1580" s="73"/>
      <c r="W1580" s="73"/>
      <c r="X1580" s="73"/>
      <c r="Y1580" s="73"/>
      <c r="Z1580" s="73"/>
      <c r="AA1580" s="73"/>
      <c r="AB1580" s="73"/>
      <c r="AC1580" s="73"/>
      <c r="AD1580" s="73"/>
      <c r="AE1580" s="73"/>
      <c r="AF1580" s="73"/>
      <c r="AG1580" s="73"/>
      <c r="AH1580" s="73"/>
      <c r="AI1580" s="73"/>
      <c r="AJ1580" s="73"/>
      <c r="AK1580" s="73"/>
      <c r="AL1580" s="73"/>
      <c r="AM1580" s="73"/>
      <c r="AN1580" s="73"/>
      <c r="AO1580" s="73"/>
      <c r="AP1580" s="73"/>
      <c r="AQ1580" s="73"/>
      <c r="AR1580" s="73"/>
      <c r="AS1580" s="73"/>
      <c r="AT1580" s="73"/>
      <c r="AU1580" s="73"/>
      <c r="AV1580" s="73"/>
      <c r="AW1580" s="73"/>
      <c r="AX1580" s="73"/>
      <c r="AY1580" s="73"/>
      <c r="AZ1580" s="73"/>
      <c r="BA1580" s="73"/>
      <c r="BB1580" s="73"/>
      <c r="BC1580" s="73"/>
      <c r="BD1580" s="73"/>
      <c r="BE1580" s="73"/>
      <c r="BF1580" s="73"/>
      <c r="BG1580" s="73"/>
      <c r="BH1580" s="73"/>
      <c r="BI1580" s="73"/>
      <c r="BJ1580" s="73"/>
      <c r="BK1580" s="73"/>
      <c r="BL1580" s="73"/>
      <c r="BM1580" s="73"/>
      <c r="BN1580" s="73"/>
      <c r="BO1580" s="73"/>
      <c r="BP1580" s="73"/>
      <c r="BQ1580" s="73"/>
      <c r="BR1580" s="73"/>
      <c r="BS1580" s="73"/>
      <c r="BT1580" s="73"/>
      <c r="BU1580" s="73"/>
      <c r="BV1580" s="73"/>
      <c r="BW1580" s="73"/>
      <c r="BX1580" s="73"/>
      <c r="BY1580" s="73"/>
      <c r="BZ1580" s="73"/>
      <c r="CA1580" s="73"/>
      <c r="CB1580" s="73"/>
      <c r="CC1580" s="73"/>
      <c r="CD1580" s="73"/>
      <c r="CE1580" s="73"/>
      <c r="CF1580" s="73"/>
      <c r="CG1580" s="73"/>
      <c r="CH1580" s="73"/>
      <c r="CI1580" s="73"/>
      <c r="CJ1580" s="73"/>
      <c r="CK1580" s="73"/>
      <c r="CL1580" s="73"/>
      <c r="CM1580" s="73"/>
      <c r="CN1580" s="73"/>
      <c r="CO1580" s="73"/>
      <c r="CP1580" s="73"/>
      <c r="CQ1580" s="73"/>
      <c r="CR1580" s="73"/>
      <c r="CS1580" s="73"/>
      <c r="CT1580" s="73"/>
      <c r="CU1580" s="73"/>
      <c r="CV1580" s="73"/>
      <c r="CW1580" s="73"/>
      <c r="CX1580" s="73"/>
      <c r="CY1580" s="73"/>
      <c r="CZ1580" s="73"/>
      <c r="DA1580" s="73"/>
      <c r="DB1580" s="73"/>
      <c r="DC1580" s="73"/>
      <c r="DD1580" s="73"/>
      <c r="DE1580" s="73"/>
      <c r="DF1580" s="73"/>
      <c r="DG1580" s="73"/>
      <c r="DH1580" s="73"/>
      <c r="DI1580" s="73"/>
      <c r="DJ1580" s="73"/>
      <c r="DK1580" s="73"/>
      <c r="DL1580" s="73"/>
      <c r="DM1580" s="73"/>
    </row>
    <row r="1581" spans="1:117" s="48" customFormat="1">
      <c r="A1581" s="73"/>
      <c r="T1581" s="73"/>
      <c r="U1581" s="73"/>
      <c r="V1581" s="73"/>
      <c r="W1581" s="73"/>
      <c r="X1581" s="73"/>
      <c r="Y1581" s="73"/>
      <c r="Z1581" s="73"/>
      <c r="AA1581" s="73"/>
      <c r="AB1581" s="73"/>
      <c r="AC1581" s="73"/>
      <c r="AD1581" s="73"/>
      <c r="AE1581" s="73"/>
      <c r="AF1581" s="73"/>
      <c r="AG1581" s="73"/>
      <c r="AH1581" s="73"/>
      <c r="AI1581" s="73"/>
      <c r="AJ1581" s="73"/>
      <c r="AK1581" s="73"/>
      <c r="AL1581" s="73"/>
      <c r="AM1581" s="73"/>
      <c r="AN1581" s="73"/>
      <c r="AO1581" s="73"/>
      <c r="AP1581" s="73"/>
      <c r="AQ1581" s="73"/>
      <c r="AR1581" s="73"/>
      <c r="AS1581" s="73"/>
      <c r="AT1581" s="73"/>
      <c r="AU1581" s="73"/>
      <c r="AV1581" s="73"/>
      <c r="AW1581" s="73"/>
      <c r="AX1581" s="73"/>
      <c r="AY1581" s="73"/>
      <c r="AZ1581" s="73"/>
      <c r="BA1581" s="73"/>
      <c r="BB1581" s="73"/>
      <c r="BC1581" s="73"/>
      <c r="BD1581" s="73"/>
      <c r="BE1581" s="73"/>
      <c r="BF1581" s="73"/>
      <c r="BG1581" s="73"/>
      <c r="BH1581" s="73"/>
      <c r="BI1581" s="73"/>
      <c r="BJ1581" s="73"/>
      <c r="BK1581" s="73"/>
      <c r="BL1581" s="73"/>
      <c r="BM1581" s="73"/>
      <c r="BN1581" s="73"/>
      <c r="BO1581" s="73"/>
      <c r="BP1581" s="73"/>
      <c r="BQ1581" s="73"/>
      <c r="BR1581" s="73"/>
      <c r="BS1581" s="73"/>
      <c r="BT1581" s="73"/>
      <c r="BU1581" s="73"/>
      <c r="BV1581" s="73"/>
      <c r="BW1581" s="73"/>
      <c r="BX1581" s="73"/>
      <c r="BY1581" s="73"/>
      <c r="BZ1581" s="73"/>
      <c r="CA1581" s="73"/>
      <c r="CB1581" s="73"/>
      <c r="CC1581" s="73"/>
      <c r="CD1581" s="73"/>
      <c r="CE1581" s="73"/>
      <c r="CF1581" s="73"/>
      <c r="CG1581" s="73"/>
      <c r="CH1581" s="73"/>
      <c r="CI1581" s="73"/>
      <c r="CJ1581" s="73"/>
      <c r="CK1581" s="73"/>
      <c r="CL1581" s="73"/>
      <c r="CM1581" s="73"/>
      <c r="CN1581" s="73"/>
      <c r="CO1581" s="73"/>
      <c r="CP1581" s="73"/>
      <c r="CQ1581" s="73"/>
      <c r="CR1581" s="73"/>
      <c r="CS1581" s="73"/>
      <c r="CT1581" s="73"/>
      <c r="CU1581" s="73"/>
      <c r="CV1581" s="73"/>
      <c r="CW1581" s="73"/>
      <c r="CX1581" s="73"/>
      <c r="CY1581" s="73"/>
      <c r="CZ1581" s="73"/>
      <c r="DA1581" s="73"/>
      <c r="DB1581" s="73"/>
      <c r="DC1581" s="73"/>
      <c r="DD1581" s="73"/>
      <c r="DE1581" s="73"/>
      <c r="DF1581" s="73"/>
      <c r="DG1581" s="73"/>
      <c r="DH1581" s="73"/>
      <c r="DI1581" s="73"/>
      <c r="DJ1581" s="73"/>
      <c r="DK1581" s="73"/>
      <c r="DL1581" s="73"/>
      <c r="DM1581" s="73"/>
    </row>
    <row r="1582" spans="1:117" s="48" customFormat="1">
      <c r="A1582" s="73"/>
      <c r="T1582" s="73"/>
      <c r="U1582" s="73"/>
      <c r="V1582" s="73"/>
      <c r="W1582" s="73"/>
      <c r="X1582" s="73"/>
      <c r="Y1582" s="73"/>
      <c r="Z1582" s="73"/>
      <c r="AA1582" s="73"/>
      <c r="AB1582" s="73"/>
      <c r="AC1582" s="73"/>
      <c r="AD1582" s="73"/>
      <c r="AE1582" s="73"/>
      <c r="AF1582" s="73"/>
      <c r="AG1582" s="73"/>
      <c r="AH1582" s="73"/>
      <c r="AI1582" s="73"/>
      <c r="AJ1582" s="73"/>
      <c r="AK1582" s="73"/>
      <c r="AL1582" s="73"/>
      <c r="AM1582" s="73"/>
      <c r="AN1582" s="73"/>
      <c r="AO1582" s="73"/>
      <c r="AP1582" s="73"/>
      <c r="AQ1582" s="73"/>
      <c r="AR1582" s="73"/>
      <c r="AS1582" s="73"/>
      <c r="AT1582" s="73"/>
      <c r="AU1582" s="73"/>
      <c r="AV1582" s="73"/>
      <c r="AW1582" s="73"/>
      <c r="AX1582" s="73"/>
      <c r="AY1582" s="73"/>
      <c r="AZ1582" s="73"/>
      <c r="BA1582" s="73"/>
      <c r="BB1582" s="73"/>
      <c r="BC1582" s="73"/>
      <c r="BD1582" s="73"/>
      <c r="BE1582" s="73"/>
      <c r="BF1582" s="73"/>
      <c r="BG1582" s="73"/>
      <c r="BH1582" s="73"/>
      <c r="BI1582" s="73"/>
      <c r="BJ1582" s="73"/>
      <c r="BK1582" s="73"/>
      <c r="BL1582" s="73"/>
      <c r="BM1582" s="73"/>
      <c r="BN1582" s="73"/>
      <c r="BO1582" s="73"/>
      <c r="BP1582" s="73"/>
      <c r="BQ1582" s="73"/>
      <c r="BR1582" s="73"/>
      <c r="BS1582" s="73"/>
      <c r="BT1582" s="73"/>
      <c r="BU1582" s="73"/>
      <c r="BV1582" s="73"/>
      <c r="BW1582" s="73"/>
      <c r="BX1582" s="73"/>
      <c r="BY1582" s="73"/>
      <c r="BZ1582" s="73"/>
      <c r="CA1582" s="73"/>
      <c r="CB1582" s="73"/>
      <c r="CC1582" s="73"/>
      <c r="CD1582" s="73"/>
      <c r="CE1582" s="73"/>
      <c r="CF1582" s="73"/>
      <c r="CG1582" s="73"/>
      <c r="CH1582" s="73"/>
      <c r="CI1582" s="73"/>
      <c r="CJ1582" s="73"/>
      <c r="CK1582" s="73"/>
      <c r="CL1582" s="73"/>
      <c r="CM1582" s="73"/>
      <c r="CN1582" s="73"/>
      <c r="CO1582" s="73"/>
      <c r="CP1582" s="73"/>
      <c r="CQ1582" s="73"/>
      <c r="CR1582" s="73"/>
      <c r="CS1582" s="73"/>
      <c r="CT1582" s="73"/>
      <c r="CU1582" s="73"/>
      <c r="CV1582" s="73"/>
      <c r="CW1582" s="73"/>
      <c r="CX1582" s="73"/>
      <c r="CY1582" s="73"/>
      <c r="CZ1582" s="73"/>
      <c r="DA1582" s="73"/>
      <c r="DB1582" s="73"/>
      <c r="DC1582" s="73"/>
      <c r="DD1582" s="73"/>
      <c r="DE1582" s="73"/>
      <c r="DF1582" s="73"/>
      <c r="DG1582" s="73"/>
      <c r="DH1582" s="73"/>
      <c r="DI1582" s="73"/>
      <c r="DJ1582" s="73"/>
      <c r="DK1582" s="73"/>
      <c r="DL1582" s="73"/>
      <c r="DM1582" s="73"/>
    </row>
    <row r="1583" spans="1:117" s="48" customFormat="1">
      <c r="A1583" s="73"/>
      <c r="T1583" s="73"/>
      <c r="U1583" s="73"/>
      <c r="V1583" s="73"/>
      <c r="W1583" s="73"/>
      <c r="X1583" s="73"/>
      <c r="Y1583" s="73"/>
      <c r="Z1583" s="73"/>
      <c r="AA1583" s="73"/>
      <c r="AB1583" s="73"/>
      <c r="AC1583" s="73"/>
      <c r="AD1583" s="73"/>
      <c r="AE1583" s="73"/>
      <c r="AF1583" s="73"/>
      <c r="AG1583" s="73"/>
      <c r="AH1583" s="73"/>
      <c r="AI1583" s="73"/>
      <c r="AJ1583" s="73"/>
      <c r="AK1583" s="73"/>
      <c r="AL1583" s="73"/>
      <c r="AM1583" s="73"/>
      <c r="AN1583" s="73"/>
      <c r="AO1583" s="73"/>
      <c r="AP1583" s="73"/>
      <c r="AQ1583" s="73"/>
      <c r="AR1583" s="73"/>
      <c r="AS1583" s="73"/>
      <c r="AT1583" s="73"/>
      <c r="AU1583" s="73"/>
      <c r="AV1583" s="73"/>
      <c r="AW1583" s="73"/>
      <c r="AX1583" s="73"/>
      <c r="AY1583" s="73"/>
      <c r="AZ1583" s="73"/>
      <c r="BA1583" s="73"/>
      <c r="BB1583" s="73"/>
      <c r="BC1583" s="73"/>
      <c r="BD1583" s="73"/>
      <c r="BE1583" s="73"/>
      <c r="BF1583" s="73"/>
      <c r="BG1583" s="73"/>
      <c r="BH1583" s="73"/>
      <c r="BI1583" s="73"/>
      <c r="BJ1583" s="73"/>
      <c r="BK1583" s="73"/>
      <c r="BL1583" s="73"/>
      <c r="BM1583" s="73"/>
      <c r="BN1583" s="73"/>
      <c r="BO1583" s="73"/>
      <c r="BP1583" s="73"/>
      <c r="BQ1583" s="73"/>
      <c r="BR1583" s="73"/>
      <c r="BS1583" s="73"/>
      <c r="BT1583" s="73"/>
      <c r="BU1583" s="73"/>
      <c r="BV1583" s="73"/>
      <c r="BW1583" s="73"/>
      <c r="BX1583" s="73"/>
      <c r="BY1583" s="73"/>
      <c r="BZ1583" s="73"/>
      <c r="CA1583" s="73"/>
      <c r="CB1583" s="73"/>
      <c r="CC1583" s="73"/>
      <c r="CD1583" s="73"/>
      <c r="CE1583" s="73"/>
      <c r="CF1583" s="73"/>
      <c r="CG1583" s="73"/>
      <c r="CH1583" s="73"/>
      <c r="CI1583" s="73"/>
      <c r="CJ1583" s="73"/>
      <c r="CK1583" s="73"/>
      <c r="CL1583" s="73"/>
      <c r="CM1583" s="73"/>
      <c r="CN1583" s="73"/>
      <c r="CO1583" s="73"/>
      <c r="CP1583" s="73"/>
      <c r="CQ1583" s="73"/>
      <c r="CR1583" s="73"/>
      <c r="CS1583" s="73"/>
      <c r="CT1583" s="73"/>
      <c r="CU1583" s="73"/>
      <c r="CV1583" s="73"/>
      <c r="CW1583" s="73"/>
      <c r="CX1583" s="73"/>
      <c r="CY1583" s="73"/>
      <c r="CZ1583" s="73"/>
      <c r="DA1583" s="73"/>
      <c r="DB1583" s="73"/>
      <c r="DC1583" s="73"/>
      <c r="DD1583" s="73"/>
      <c r="DE1583" s="73"/>
      <c r="DF1583" s="73"/>
      <c r="DG1583" s="73"/>
      <c r="DH1583" s="73"/>
      <c r="DI1583" s="73"/>
      <c r="DJ1583" s="73"/>
      <c r="DK1583" s="73"/>
      <c r="DL1583" s="73"/>
      <c r="DM1583" s="73"/>
    </row>
    <row r="1584" spans="1:117" s="48" customFormat="1">
      <c r="A1584" s="73"/>
      <c r="T1584" s="73"/>
      <c r="U1584" s="73"/>
      <c r="V1584" s="73"/>
      <c r="W1584" s="73"/>
      <c r="X1584" s="73"/>
      <c r="Y1584" s="73"/>
      <c r="Z1584" s="73"/>
      <c r="AA1584" s="73"/>
      <c r="AB1584" s="73"/>
      <c r="AC1584" s="73"/>
      <c r="AD1584" s="73"/>
      <c r="AE1584" s="73"/>
      <c r="AF1584" s="73"/>
      <c r="AG1584" s="73"/>
      <c r="AH1584" s="73"/>
      <c r="AI1584" s="73"/>
      <c r="AJ1584" s="73"/>
      <c r="AK1584" s="73"/>
      <c r="AL1584" s="73"/>
      <c r="AM1584" s="73"/>
      <c r="AN1584" s="73"/>
      <c r="AO1584" s="73"/>
      <c r="AP1584" s="73"/>
      <c r="AQ1584" s="73"/>
      <c r="AR1584" s="73"/>
      <c r="AS1584" s="73"/>
      <c r="AT1584" s="73"/>
      <c r="AU1584" s="73"/>
      <c r="AV1584" s="73"/>
      <c r="AW1584" s="73"/>
      <c r="AX1584" s="73"/>
      <c r="AY1584" s="73"/>
      <c r="AZ1584" s="73"/>
      <c r="BA1584" s="73"/>
      <c r="BB1584" s="73"/>
      <c r="BC1584" s="73"/>
      <c r="BD1584" s="73"/>
      <c r="BE1584" s="73"/>
      <c r="BF1584" s="73"/>
      <c r="BG1584" s="73"/>
      <c r="BH1584" s="73"/>
      <c r="BI1584" s="73"/>
      <c r="BJ1584" s="73"/>
      <c r="BK1584" s="73"/>
      <c r="BL1584" s="73"/>
      <c r="BM1584" s="73"/>
      <c r="BN1584" s="73"/>
      <c r="BO1584" s="73"/>
      <c r="BP1584" s="73"/>
      <c r="BQ1584" s="73"/>
      <c r="BR1584" s="73"/>
      <c r="BS1584" s="73"/>
      <c r="BT1584" s="73"/>
      <c r="BU1584" s="73"/>
      <c r="BV1584" s="73"/>
      <c r="BW1584" s="73"/>
      <c r="BX1584" s="73"/>
      <c r="BY1584" s="73"/>
      <c r="BZ1584" s="73"/>
      <c r="CA1584" s="73"/>
      <c r="CB1584" s="73"/>
      <c r="CC1584" s="73"/>
      <c r="CD1584" s="73"/>
      <c r="CE1584" s="73"/>
      <c r="CF1584" s="73"/>
      <c r="CG1584" s="73"/>
      <c r="CH1584" s="73"/>
      <c r="CI1584" s="73"/>
      <c r="CJ1584" s="73"/>
      <c r="CK1584" s="73"/>
      <c r="CL1584" s="73"/>
      <c r="CM1584" s="73"/>
      <c r="CN1584" s="73"/>
      <c r="CO1584" s="73"/>
      <c r="CP1584" s="73"/>
      <c r="CQ1584" s="73"/>
      <c r="CR1584" s="73"/>
      <c r="CS1584" s="73"/>
      <c r="CT1584" s="73"/>
      <c r="CU1584" s="73"/>
      <c r="CV1584" s="73"/>
      <c r="CW1584" s="73"/>
      <c r="CX1584" s="73"/>
      <c r="CY1584" s="73"/>
      <c r="CZ1584" s="73"/>
      <c r="DA1584" s="73"/>
      <c r="DB1584" s="73"/>
      <c r="DC1584" s="73"/>
      <c r="DD1584" s="73"/>
      <c r="DE1584" s="73"/>
      <c r="DF1584" s="73"/>
      <c r="DG1584" s="73"/>
      <c r="DH1584" s="73"/>
      <c r="DI1584" s="73"/>
      <c r="DJ1584" s="73"/>
      <c r="DK1584" s="73"/>
      <c r="DL1584" s="73"/>
      <c r="DM1584" s="73"/>
    </row>
    <row r="1585" spans="1:117" s="48" customFormat="1">
      <c r="A1585" s="73"/>
      <c r="T1585" s="73"/>
      <c r="U1585" s="73"/>
      <c r="V1585" s="73"/>
      <c r="W1585" s="73"/>
      <c r="X1585" s="73"/>
      <c r="Y1585" s="73"/>
      <c r="Z1585" s="73"/>
      <c r="AA1585" s="73"/>
      <c r="AB1585" s="73"/>
      <c r="AC1585" s="73"/>
      <c r="AD1585" s="73"/>
      <c r="AE1585" s="73"/>
      <c r="AF1585" s="73"/>
      <c r="AG1585" s="73"/>
      <c r="AH1585" s="73"/>
      <c r="AI1585" s="73"/>
      <c r="AJ1585" s="73"/>
      <c r="AK1585" s="73"/>
      <c r="AL1585" s="73"/>
      <c r="AM1585" s="73"/>
      <c r="AN1585" s="73"/>
      <c r="AO1585" s="73"/>
      <c r="AP1585" s="73"/>
      <c r="AQ1585" s="73"/>
      <c r="AR1585" s="73"/>
      <c r="AS1585" s="73"/>
      <c r="AT1585" s="73"/>
      <c r="AU1585" s="73"/>
      <c r="AV1585" s="73"/>
      <c r="AW1585" s="73"/>
      <c r="AX1585" s="73"/>
      <c r="AY1585" s="73"/>
      <c r="AZ1585" s="73"/>
      <c r="BA1585" s="73"/>
      <c r="BB1585" s="73"/>
      <c r="BC1585" s="73"/>
      <c r="BD1585" s="73"/>
      <c r="BE1585" s="73"/>
      <c r="BF1585" s="73"/>
      <c r="BG1585" s="73"/>
      <c r="BH1585" s="73"/>
      <c r="BI1585" s="73"/>
      <c r="BJ1585" s="73"/>
      <c r="BK1585" s="73"/>
      <c r="BL1585" s="73"/>
      <c r="BM1585" s="73"/>
      <c r="BN1585" s="73"/>
      <c r="BO1585" s="73"/>
      <c r="BP1585" s="73"/>
      <c r="BQ1585" s="73"/>
      <c r="BR1585" s="73"/>
      <c r="BS1585" s="73"/>
      <c r="BT1585" s="73"/>
      <c r="BU1585" s="73"/>
      <c r="BV1585" s="73"/>
      <c r="BW1585" s="73"/>
      <c r="BX1585" s="73"/>
      <c r="BY1585" s="73"/>
      <c r="BZ1585" s="73"/>
      <c r="CA1585" s="73"/>
      <c r="CB1585" s="73"/>
      <c r="CC1585" s="73"/>
      <c r="CD1585" s="73"/>
      <c r="CE1585" s="73"/>
      <c r="CF1585" s="73"/>
      <c r="CG1585" s="73"/>
      <c r="CH1585" s="73"/>
      <c r="CI1585" s="73"/>
      <c r="CJ1585" s="73"/>
      <c r="CK1585" s="73"/>
      <c r="CL1585" s="73"/>
      <c r="CM1585" s="73"/>
      <c r="CN1585" s="73"/>
      <c r="CO1585" s="73"/>
      <c r="CP1585" s="73"/>
      <c r="CQ1585" s="73"/>
      <c r="CR1585" s="73"/>
      <c r="CS1585" s="73"/>
      <c r="CT1585" s="73"/>
      <c r="CU1585" s="73"/>
      <c r="CV1585" s="73"/>
      <c r="CW1585" s="73"/>
      <c r="CX1585" s="73"/>
      <c r="CY1585" s="73"/>
      <c r="CZ1585" s="73"/>
      <c r="DA1585" s="73"/>
      <c r="DB1585" s="73"/>
      <c r="DC1585" s="73"/>
      <c r="DD1585" s="73"/>
      <c r="DE1585" s="73"/>
      <c r="DF1585" s="73"/>
      <c r="DG1585" s="73"/>
      <c r="DH1585" s="73"/>
      <c r="DI1585" s="73"/>
      <c r="DJ1585" s="73"/>
      <c r="DK1585" s="73"/>
      <c r="DL1585" s="73"/>
      <c r="DM1585" s="73"/>
    </row>
    <row r="1586" spans="1:117" s="48" customFormat="1">
      <c r="A1586" s="73"/>
      <c r="T1586" s="73"/>
      <c r="U1586" s="73"/>
      <c r="V1586" s="73"/>
      <c r="W1586" s="73"/>
      <c r="X1586" s="73"/>
      <c r="Y1586" s="73"/>
      <c r="Z1586" s="73"/>
      <c r="AA1586" s="73"/>
      <c r="AB1586" s="73"/>
      <c r="AC1586" s="73"/>
      <c r="AD1586" s="73"/>
      <c r="AE1586" s="73"/>
      <c r="AF1586" s="73"/>
      <c r="AG1586" s="73"/>
      <c r="AH1586" s="73"/>
      <c r="AI1586" s="73"/>
      <c r="AJ1586" s="73"/>
      <c r="AK1586" s="73"/>
      <c r="AL1586" s="73"/>
      <c r="AM1586" s="73"/>
      <c r="AN1586" s="73"/>
      <c r="AO1586" s="73"/>
      <c r="AP1586" s="73"/>
      <c r="AQ1586" s="73"/>
      <c r="AR1586" s="73"/>
      <c r="AS1586" s="73"/>
      <c r="AT1586" s="73"/>
      <c r="AU1586" s="73"/>
      <c r="AV1586" s="73"/>
      <c r="AW1586" s="73"/>
      <c r="AX1586" s="73"/>
      <c r="AY1586" s="73"/>
      <c r="AZ1586" s="73"/>
      <c r="BA1586" s="73"/>
      <c r="BB1586" s="73"/>
      <c r="BC1586" s="73"/>
      <c r="BD1586" s="73"/>
      <c r="BE1586" s="73"/>
      <c r="BF1586" s="73"/>
      <c r="BG1586" s="73"/>
      <c r="BH1586" s="73"/>
      <c r="BI1586" s="73"/>
      <c r="BJ1586" s="73"/>
      <c r="BK1586" s="73"/>
      <c r="BL1586" s="73"/>
      <c r="BM1586" s="73"/>
      <c r="BN1586" s="73"/>
      <c r="BO1586" s="73"/>
      <c r="BP1586" s="73"/>
      <c r="BQ1586" s="73"/>
      <c r="BR1586" s="73"/>
      <c r="BS1586" s="73"/>
      <c r="BT1586" s="73"/>
      <c r="BU1586" s="73"/>
      <c r="BV1586" s="73"/>
      <c r="BW1586" s="73"/>
      <c r="BX1586" s="73"/>
      <c r="BY1586" s="73"/>
      <c r="BZ1586" s="73"/>
      <c r="CA1586" s="73"/>
      <c r="CB1586" s="73"/>
      <c r="CC1586" s="73"/>
      <c r="CD1586" s="73"/>
      <c r="CE1586" s="73"/>
      <c r="CF1586" s="73"/>
      <c r="CG1586" s="73"/>
      <c r="CH1586" s="73"/>
      <c r="CI1586" s="73"/>
      <c r="CJ1586" s="73"/>
      <c r="CK1586" s="73"/>
      <c r="CL1586" s="73"/>
      <c r="CM1586" s="73"/>
      <c r="CN1586" s="73"/>
      <c r="CO1586" s="73"/>
      <c r="CP1586" s="73"/>
      <c r="CQ1586" s="73"/>
      <c r="CR1586" s="73"/>
      <c r="CS1586" s="73"/>
      <c r="CT1586" s="73"/>
      <c r="CU1586" s="73"/>
      <c r="CV1586" s="73"/>
      <c r="CW1586" s="73"/>
      <c r="CX1586" s="73"/>
      <c r="CY1586" s="73"/>
      <c r="CZ1586" s="73"/>
      <c r="DA1586" s="73"/>
      <c r="DB1586" s="73"/>
      <c r="DC1586" s="73"/>
      <c r="DD1586" s="73"/>
      <c r="DE1586" s="73"/>
      <c r="DF1586" s="73"/>
      <c r="DG1586" s="73"/>
      <c r="DH1586" s="73"/>
      <c r="DI1586" s="73"/>
      <c r="DJ1586" s="73"/>
      <c r="DK1586" s="73"/>
      <c r="DL1586" s="73"/>
      <c r="DM1586" s="73"/>
    </row>
    <row r="1587" spans="1:117" s="48" customFormat="1">
      <c r="A1587" s="73"/>
      <c r="T1587" s="73"/>
      <c r="U1587" s="73"/>
      <c r="V1587" s="73"/>
      <c r="W1587" s="73"/>
      <c r="X1587" s="73"/>
      <c r="Y1587" s="73"/>
      <c r="Z1587" s="73"/>
      <c r="AA1587" s="73"/>
      <c r="AB1587" s="73"/>
      <c r="AC1587" s="73"/>
      <c r="AD1587" s="73"/>
      <c r="AE1587" s="73"/>
      <c r="AF1587" s="73"/>
      <c r="AG1587" s="73"/>
      <c r="AH1587" s="73"/>
      <c r="AI1587" s="73"/>
      <c r="AJ1587" s="73"/>
      <c r="AK1587" s="73"/>
      <c r="AL1587" s="73"/>
      <c r="AM1587" s="73"/>
      <c r="AN1587" s="73"/>
      <c r="AO1587" s="73"/>
      <c r="AP1587" s="73"/>
      <c r="AQ1587" s="73"/>
      <c r="AR1587" s="73"/>
      <c r="AS1587" s="73"/>
      <c r="AT1587" s="73"/>
      <c r="AU1587" s="73"/>
      <c r="AV1587" s="73"/>
      <c r="AW1587" s="73"/>
      <c r="AX1587" s="73"/>
      <c r="AY1587" s="73"/>
      <c r="AZ1587" s="73"/>
      <c r="BA1587" s="73"/>
      <c r="BB1587" s="73"/>
      <c r="BC1587" s="73"/>
      <c r="BD1587" s="73"/>
      <c r="BE1587" s="73"/>
      <c r="BF1587" s="73"/>
      <c r="BG1587" s="73"/>
      <c r="BH1587" s="73"/>
      <c r="BI1587" s="73"/>
      <c r="BJ1587" s="73"/>
      <c r="BK1587" s="73"/>
      <c r="BL1587" s="73"/>
      <c r="BM1587" s="73"/>
      <c r="BN1587" s="73"/>
      <c r="BO1587" s="73"/>
      <c r="BP1587" s="73"/>
      <c r="BQ1587" s="73"/>
      <c r="BR1587" s="73"/>
      <c r="BS1587" s="73"/>
      <c r="BT1587" s="73"/>
      <c r="BU1587" s="73"/>
      <c r="BV1587" s="73"/>
      <c r="BW1587" s="73"/>
      <c r="BX1587" s="73"/>
      <c r="BY1587" s="73"/>
      <c r="BZ1587" s="73"/>
      <c r="CA1587" s="73"/>
      <c r="CB1587" s="73"/>
      <c r="CC1587" s="73"/>
      <c r="CD1587" s="73"/>
      <c r="CE1587" s="73"/>
      <c r="CF1587" s="73"/>
      <c r="CG1587" s="73"/>
      <c r="CH1587" s="73"/>
      <c r="CI1587" s="73"/>
      <c r="CJ1587" s="73"/>
      <c r="CK1587" s="73"/>
      <c r="CL1587" s="73"/>
      <c r="CM1587" s="73"/>
      <c r="CN1587" s="73"/>
      <c r="CO1587" s="73"/>
      <c r="CP1587" s="73"/>
      <c r="CQ1587" s="73"/>
      <c r="CR1587" s="73"/>
      <c r="CS1587" s="73"/>
      <c r="CT1587" s="73"/>
      <c r="CU1587" s="73"/>
      <c r="CV1587" s="73"/>
      <c r="CW1587" s="73"/>
      <c r="CX1587" s="73"/>
      <c r="CY1587" s="73"/>
      <c r="CZ1587" s="73"/>
      <c r="DA1587" s="73"/>
      <c r="DB1587" s="73"/>
      <c r="DC1587" s="73"/>
      <c r="DD1587" s="73"/>
      <c r="DE1587" s="73"/>
      <c r="DF1587" s="73"/>
      <c r="DG1587" s="73"/>
      <c r="DH1587" s="73"/>
      <c r="DI1587" s="73"/>
      <c r="DJ1587" s="73"/>
      <c r="DK1587" s="73"/>
      <c r="DL1587" s="73"/>
      <c r="DM1587" s="73"/>
    </row>
    <row r="1588" spans="1:117" s="48" customFormat="1">
      <c r="A1588" s="73"/>
      <c r="T1588" s="73"/>
      <c r="U1588" s="73"/>
      <c r="V1588" s="73"/>
      <c r="W1588" s="73"/>
      <c r="X1588" s="73"/>
      <c r="Y1588" s="73"/>
      <c r="Z1588" s="73"/>
      <c r="AA1588" s="73"/>
      <c r="AB1588" s="73"/>
      <c r="AC1588" s="73"/>
      <c r="AD1588" s="73"/>
      <c r="AE1588" s="73"/>
      <c r="AF1588" s="73"/>
      <c r="AG1588" s="73"/>
      <c r="AH1588" s="73"/>
      <c r="AI1588" s="73"/>
      <c r="AJ1588" s="73"/>
      <c r="AK1588" s="73"/>
      <c r="AL1588" s="73"/>
      <c r="AM1588" s="73"/>
      <c r="AN1588" s="73"/>
      <c r="AO1588" s="73"/>
      <c r="AP1588" s="73"/>
      <c r="AQ1588" s="73"/>
      <c r="AR1588" s="73"/>
      <c r="AS1588" s="73"/>
      <c r="AT1588" s="73"/>
      <c r="AU1588" s="73"/>
      <c r="AV1588" s="73"/>
      <c r="AW1588" s="73"/>
      <c r="AX1588" s="73"/>
      <c r="AY1588" s="73"/>
      <c r="AZ1588" s="73"/>
      <c r="BA1588" s="73"/>
      <c r="BB1588" s="73"/>
      <c r="BC1588" s="73"/>
      <c r="BD1588" s="73"/>
      <c r="BE1588" s="73"/>
      <c r="BF1588" s="73"/>
      <c r="BG1588" s="73"/>
      <c r="BH1588" s="73"/>
      <c r="BI1588" s="73"/>
      <c r="BJ1588" s="73"/>
      <c r="BK1588" s="73"/>
      <c r="BL1588" s="73"/>
      <c r="BM1588" s="73"/>
      <c r="BN1588" s="73"/>
      <c r="BO1588" s="73"/>
      <c r="BP1588" s="73"/>
      <c r="BQ1588" s="73"/>
      <c r="BR1588" s="73"/>
      <c r="BS1588" s="73"/>
      <c r="BT1588" s="73"/>
      <c r="BU1588" s="73"/>
      <c r="BV1588" s="73"/>
      <c r="BW1588" s="73"/>
      <c r="BX1588" s="73"/>
      <c r="BY1588" s="73"/>
      <c r="BZ1588" s="73"/>
      <c r="CA1588" s="73"/>
      <c r="CB1588" s="73"/>
      <c r="CC1588" s="73"/>
      <c r="CD1588" s="73"/>
      <c r="CE1588" s="73"/>
      <c r="CF1588" s="73"/>
      <c r="CG1588" s="73"/>
      <c r="CH1588" s="73"/>
      <c r="CI1588" s="73"/>
      <c r="CJ1588" s="73"/>
      <c r="CK1588" s="73"/>
      <c r="CL1588" s="73"/>
      <c r="CM1588" s="73"/>
      <c r="CN1588" s="73"/>
      <c r="CO1588" s="73"/>
      <c r="CP1588" s="73"/>
      <c r="CQ1588" s="73"/>
      <c r="CR1588" s="73"/>
      <c r="CS1588" s="73"/>
      <c r="CT1588" s="73"/>
      <c r="CU1588" s="73"/>
      <c r="CV1588" s="73"/>
      <c r="CW1588" s="73"/>
      <c r="CX1588" s="73"/>
      <c r="CY1588" s="73"/>
      <c r="CZ1588" s="73"/>
      <c r="DA1588" s="73"/>
      <c r="DB1588" s="73"/>
      <c r="DC1588" s="73"/>
      <c r="DD1588" s="73"/>
      <c r="DE1588" s="73"/>
      <c r="DF1588" s="73"/>
      <c r="DG1588" s="73"/>
      <c r="DH1588" s="73"/>
      <c r="DI1588" s="73"/>
      <c r="DJ1588" s="73"/>
      <c r="DK1588" s="73"/>
      <c r="DL1588" s="73"/>
      <c r="DM1588" s="73"/>
    </row>
    <row r="1589" spans="1:117" s="48" customFormat="1">
      <c r="A1589" s="73"/>
      <c r="T1589" s="73"/>
      <c r="U1589" s="73"/>
      <c r="V1589" s="73"/>
      <c r="W1589" s="73"/>
      <c r="X1589" s="73"/>
      <c r="Y1589" s="73"/>
      <c r="Z1589" s="73"/>
      <c r="AA1589" s="73"/>
      <c r="AB1589" s="73"/>
      <c r="AC1589" s="73"/>
      <c r="AD1589" s="73"/>
      <c r="AE1589" s="73"/>
      <c r="AF1589" s="73"/>
      <c r="AG1589" s="73"/>
      <c r="AH1589" s="73"/>
      <c r="AI1589" s="73"/>
      <c r="AJ1589" s="73"/>
      <c r="AK1589" s="73"/>
      <c r="AL1589" s="73"/>
      <c r="AM1589" s="73"/>
      <c r="AN1589" s="73"/>
      <c r="AO1589" s="73"/>
      <c r="AP1589" s="73"/>
      <c r="AQ1589" s="73"/>
      <c r="AR1589" s="73"/>
      <c r="AS1589" s="73"/>
      <c r="AT1589" s="73"/>
      <c r="AU1589" s="73"/>
      <c r="AV1589" s="73"/>
      <c r="AW1589" s="73"/>
      <c r="AX1589" s="73"/>
      <c r="AY1589" s="73"/>
      <c r="AZ1589" s="73"/>
      <c r="BA1589" s="73"/>
      <c r="BB1589" s="73"/>
      <c r="BC1589" s="73"/>
      <c r="BD1589" s="73"/>
      <c r="BE1589" s="73"/>
      <c r="BF1589" s="73"/>
      <c r="BG1589" s="73"/>
      <c r="BH1589" s="73"/>
      <c r="BI1589" s="73"/>
      <c r="BJ1589" s="73"/>
      <c r="BK1589" s="73"/>
      <c r="BL1589" s="73"/>
      <c r="BM1589" s="73"/>
      <c r="BN1589" s="73"/>
      <c r="BO1589" s="73"/>
      <c r="BP1589" s="73"/>
      <c r="BQ1589" s="73"/>
      <c r="BR1589" s="73"/>
      <c r="BS1589" s="73"/>
      <c r="BT1589" s="73"/>
      <c r="BU1589" s="73"/>
      <c r="BV1589" s="73"/>
      <c r="BW1589" s="73"/>
      <c r="BX1589" s="73"/>
      <c r="BY1589" s="73"/>
      <c r="BZ1589" s="73"/>
      <c r="CA1589" s="73"/>
      <c r="CB1589" s="73"/>
      <c r="CC1589" s="73"/>
      <c r="CD1589" s="73"/>
      <c r="CE1589" s="73"/>
      <c r="CF1589" s="73"/>
      <c r="CG1589" s="73"/>
      <c r="CH1589" s="73"/>
      <c r="CI1589" s="73"/>
      <c r="CJ1589" s="73"/>
      <c r="CK1589" s="73"/>
      <c r="CL1589" s="73"/>
      <c r="CM1589" s="73"/>
      <c r="CN1589" s="73"/>
      <c r="CO1589" s="73"/>
      <c r="CP1589" s="73"/>
      <c r="CQ1589" s="73"/>
      <c r="CR1589" s="73"/>
      <c r="CS1589" s="73"/>
      <c r="CT1589" s="73"/>
      <c r="CU1589" s="73"/>
      <c r="CV1589" s="73"/>
      <c r="CW1589" s="73"/>
      <c r="CX1589" s="73"/>
      <c r="CY1589" s="73"/>
      <c r="CZ1589" s="73"/>
      <c r="DA1589" s="73"/>
      <c r="DB1589" s="73"/>
      <c r="DC1589" s="73"/>
      <c r="DD1589" s="73"/>
      <c r="DE1589" s="73"/>
      <c r="DF1589" s="73"/>
      <c r="DG1589" s="73"/>
      <c r="DH1589" s="73"/>
      <c r="DI1589" s="73"/>
      <c r="DJ1589" s="73"/>
      <c r="DK1589" s="73"/>
      <c r="DL1589" s="73"/>
      <c r="DM1589" s="73"/>
    </row>
    <row r="1590" spans="1:117" s="48" customFormat="1">
      <c r="A1590" s="73"/>
      <c r="T1590" s="73"/>
      <c r="U1590" s="73"/>
      <c r="V1590" s="73"/>
      <c r="W1590" s="73"/>
      <c r="X1590" s="73"/>
      <c r="Y1590" s="73"/>
      <c r="Z1590" s="73"/>
      <c r="AA1590" s="73"/>
      <c r="AB1590" s="73"/>
      <c r="AC1590" s="73"/>
      <c r="AD1590" s="73"/>
      <c r="AE1590" s="73"/>
      <c r="AF1590" s="73"/>
      <c r="AG1590" s="73"/>
      <c r="AH1590" s="73"/>
      <c r="AI1590" s="73"/>
      <c r="AJ1590" s="73"/>
      <c r="AK1590" s="73"/>
      <c r="AL1590" s="73"/>
      <c r="AM1590" s="73"/>
      <c r="AN1590" s="73"/>
      <c r="AO1590" s="73"/>
      <c r="AP1590" s="73"/>
      <c r="AQ1590" s="73"/>
      <c r="AR1590" s="73"/>
      <c r="AS1590" s="73"/>
      <c r="AT1590" s="73"/>
      <c r="AU1590" s="73"/>
      <c r="AV1590" s="73"/>
      <c r="AW1590" s="73"/>
      <c r="AX1590" s="73"/>
      <c r="AY1590" s="73"/>
      <c r="AZ1590" s="73"/>
      <c r="BA1590" s="73"/>
      <c r="BB1590" s="73"/>
      <c r="BC1590" s="73"/>
      <c r="BD1590" s="73"/>
      <c r="BE1590" s="73"/>
      <c r="BF1590" s="73"/>
      <c r="BG1590" s="73"/>
      <c r="BH1590" s="73"/>
      <c r="BI1590" s="73"/>
      <c r="BJ1590" s="73"/>
      <c r="BK1590" s="73"/>
      <c r="BL1590" s="73"/>
      <c r="BM1590" s="73"/>
      <c r="BN1590" s="73"/>
      <c r="BO1590" s="73"/>
      <c r="BP1590" s="73"/>
      <c r="BQ1590" s="73"/>
      <c r="BR1590" s="73"/>
      <c r="BS1590" s="73"/>
      <c r="BT1590" s="73"/>
      <c r="BU1590" s="73"/>
      <c r="BV1590" s="73"/>
      <c r="BW1590" s="73"/>
      <c r="BX1590" s="73"/>
      <c r="BY1590" s="73"/>
      <c r="BZ1590" s="73"/>
      <c r="CA1590" s="73"/>
      <c r="CB1590" s="73"/>
      <c r="CC1590" s="73"/>
      <c r="CD1590" s="73"/>
      <c r="CE1590" s="73"/>
      <c r="CF1590" s="73"/>
      <c r="CG1590" s="73"/>
      <c r="CH1590" s="73"/>
      <c r="CI1590" s="73"/>
      <c r="CJ1590" s="73"/>
      <c r="CK1590" s="73"/>
      <c r="CL1590" s="73"/>
      <c r="CM1590" s="73"/>
      <c r="CN1590" s="73"/>
      <c r="CO1590" s="73"/>
      <c r="CP1590" s="73"/>
      <c r="CQ1590" s="73"/>
      <c r="CR1590" s="73"/>
      <c r="CS1590" s="73"/>
      <c r="CT1590" s="73"/>
      <c r="CU1590" s="73"/>
      <c r="CV1590" s="73"/>
      <c r="CW1590" s="73"/>
      <c r="CX1590" s="73"/>
      <c r="CY1590" s="73"/>
      <c r="CZ1590" s="73"/>
      <c r="DA1590" s="73"/>
      <c r="DB1590" s="73"/>
      <c r="DC1590" s="73"/>
      <c r="DD1590" s="73"/>
      <c r="DE1590" s="73"/>
      <c r="DF1590" s="73"/>
      <c r="DG1590" s="73"/>
      <c r="DH1590" s="73"/>
      <c r="DI1590" s="73"/>
      <c r="DJ1590" s="73"/>
      <c r="DK1590" s="73"/>
      <c r="DL1590" s="73"/>
      <c r="DM1590" s="73"/>
    </row>
    <row r="1591" spans="1:117" s="48" customFormat="1">
      <c r="A1591" s="73"/>
      <c r="T1591" s="73"/>
      <c r="U1591" s="73"/>
      <c r="V1591" s="73"/>
      <c r="W1591" s="73"/>
      <c r="X1591" s="73"/>
      <c r="Y1591" s="73"/>
      <c r="Z1591" s="73"/>
      <c r="AA1591" s="73"/>
      <c r="AB1591" s="73"/>
      <c r="AC1591" s="73"/>
      <c r="AD1591" s="73"/>
      <c r="AE1591" s="73"/>
      <c r="AF1591" s="73"/>
      <c r="AG1591" s="73"/>
      <c r="AH1591" s="73"/>
      <c r="AI1591" s="73"/>
      <c r="AJ1591" s="73"/>
      <c r="AK1591" s="73"/>
      <c r="AL1591" s="73"/>
      <c r="AM1591" s="73"/>
      <c r="AN1591" s="73"/>
      <c r="AO1591" s="73"/>
      <c r="AP1591" s="73"/>
      <c r="AQ1591" s="73"/>
      <c r="AR1591" s="73"/>
      <c r="AS1591" s="73"/>
      <c r="AT1591" s="73"/>
      <c r="AU1591" s="73"/>
      <c r="AV1591" s="73"/>
      <c r="AW1591" s="73"/>
      <c r="AX1591" s="73"/>
      <c r="AY1591" s="73"/>
      <c r="AZ1591" s="73"/>
      <c r="BA1591" s="73"/>
      <c r="BB1591" s="73"/>
      <c r="BC1591" s="73"/>
      <c r="BD1591" s="73"/>
      <c r="BE1591" s="73"/>
      <c r="BF1591" s="73"/>
      <c r="BG1591" s="73"/>
      <c r="BH1591" s="73"/>
      <c r="BI1591" s="73"/>
      <c r="BJ1591" s="73"/>
      <c r="BK1591" s="73"/>
      <c r="BL1591" s="73"/>
      <c r="BM1591" s="73"/>
      <c r="BN1591" s="73"/>
      <c r="BO1591" s="73"/>
      <c r="BP1591" s="73"/>
      <c r="BQ1591" s="73"/>
      <c r="BR1591" s="73"/>
      <c r="BS1591" s="73"/>
      <c r="BT1591" s="73"/>
      <c r="BU1591" s="73"/>
      <c r="BV1591" s="73"/>
      <c r="BW1591" s="73"/>
      <c r="BX1591" s="73"/>
      <c r="BY1591" s="73"/>
      <c r="BZ1591" s="73"/>
      <c r="CA1591" s="73"/>
      <c r="CB1591" s="73"/>
      <c r="CC1591" s="73"/>
      <c r="CD1591" s="73"/>
      <c r="CE1591" s="73"/>
      <c r="CF1591" s="73"/>
      <c r="CG1591" s="73"/>
      <c r="CH1591" s="73"/>
      <c r="CI1591" s="73"/>
      <c r="CJ1591" s="73"/>
      <c r="CK1591" s="73"/>
      <c r="CL1591" s="73"/>
      <c r="CM1591" s="73"/>
      <c r="CN1591" s="73"/>
      <c r="CO1591" s="73"/>
      <c r="CP1591" s="73"/>
      <c r="CQ1591" s="73"/>
      <c r="CR1591" s="73"/>
      <c r="CS1591" s="73"/>
      <c r="CT1591" s="73"/>
      <c r="CU1591" s="73"/>
      <c r="CV1591" s="73"/>
      <c r="CW1591" s="73"/>
      <c r="CX1591" s="73"/>
      <c r="CY1591" s="73"/>
      <c r="CZ1591" s="73"/>
      <c r="DA1591" s="73"/>
      <c r="DB1591" s="73"/>
      <c r="DC1591" s="73"/>
      <c r="DD1591" s="73"/>
      <c r="DE1591" s="73"/>
      <c r="DF1591" s="73"/>
      <c r="DG1591" s="73"/>
      <c r="DH1591" s="73"/>
      <c r="DI1591" s="73"/>
      <c r="DJ1591" s="73"/>
      <c r="DK1591" s="73"/>
      <c r="DL1591" s="73"/>
      <c r="DM1591" s="73"/>
    </row>
    <row r="1592" spans="1:117" s="48" customFormat="1">
      <c r="A1592" s="73"/>
      <c r="T1592" s="73"/>
      <c r="U1592" s="73"/>
      <c r="V1592" s="73"/>
      <c r="W1592" s="73"/>
      <c r="X1592" s="73"/>
      <c r="Y1592" s="73"/>
      <c r="Z1592" s="73"/>
      <c r="AA1592" s="73"/>
      <c r="AB1592" s="73"/>
      <c r="AC1592" s="73"/>
      <c r="AD1592" s="73"/>
      <c r="AE1592" s="73"/>
      <c r="AF1592" s="73"/>
      <c r="AG1592" s="73"/>
      <c r="AH1592" s="73"/>
      <c r="AI1592" s="73"/>
      <c r="AJ1592" s="73"/>
      <c r="AK1592" s="73"/>
      <c r="AL1592" s="73"/>
      <c r="AM1592" s="73"/>
      <c r="AN1592" s="73"/>
      <c r="AO1592" s="73"/>
      <c r="AP1592" s="73"/>
      <c r="AQ1592" s="73"/>
      <c r="AR1592" s="73"/>
      <c r="AS1592" s="73"/>
      <c r="AT1592" s="73"/>
      <c r="AU1592" s="73"/>
      <c r="AV1592" s="73"/>
      <c r="AW1592" s="73"/>
      <c r="AX1592" s="73"/>
      <c r="AY1592" s="73"/>
      <c r="AZ1592" s="73"/>
      <c r="BA1592" s="73"/>
      <c r="BB1592" s="73"/>
      <c r="BC1592" s="73"/>
      <c r="BD1592" s="73"/>
      <c r="BE1592" s="73"/>
      <c r="BF1592" s="73"/>
      <c r="BG1592" s="73"/>
      <c r="BH1592" s="73"/>
      <c r="BI1592" s="73"/>
      <c r="BJ1592" s="73"/>
      <c r="BK1592" s="73"/>
      <c r="BL1592" s="73"/>
      <c r="BM1592" s="73"/>
      <c r="BN1592" s="73"/>
      <c r="BO1592" s="73"/>
      <c r="BP1592" s="73"/>
      <c r="BQ1592" s="73"/>
      <c r="BR1592" s="73"/>
      <c r="BS1592" s="73"/>
      <c r="BT1592" s="73"/>
      <c r="BU1592" s="73"/>
      <c r="BV1592" s="73"/>
      <c r="BW1592" s="73"/>
      <c r="BX1592" s="73"/>
      <c r="BY1592" s="73"/>
      <c r="BZ1592" s="73"/>
      <c r="CA1592" s="73"/>
      <c r="CB1592" s="73"/>
      <c r="CC1592" s="73"/>
      <c r="CD1592" s="73"/>
      <c r="CE1592" s="73"/>
      <c r="CF1592" s="73"/>
      <c r="CG1592" s="73"/>
      <c r="CH1592" s="73"/>
      <c r="CI1592" s="73"/>
      <c r="CJ1592" s="73"/>
      <c r="CK1592" s="73"/>
      <c r="CL1592" s="73"/>
      <c r="CM1592" s="73"/>
      <c r="CN1592" s="73"/>
      <c r="CO1592" s="73"/>
      <c r="CP1592" s="73"/>
      <c r="CQ1592" s="73"/>
      <c r="CR1592" s="73"/>
      <c r="CS1592" s="73"/>
      <c r="CT1592" s="73"/>
      <c r="CU1592" s="73"/>
      <c r="CV1592" s="73"/>
      <c r="CW1592" s="73"/>
      <c r="CX1592" s="73"/>
      <c r="CY1592" s="73"/>
      <c r="CZ1592" s="73"/>
      <c r="DA1592" s="73"/>
      <c r="DB1592" s="73"/>
      <c r="DC1592" s="73"/>
      <c r="DD1592" s="73"/>
      <c r="DE1592" s="73"/>
      <c r="DF1592" s="73"/>
      <c r="DG1592" s="73"/>
      <c r="DH1592" s="73"/>
      <c r="DI1592" s="73"/>
      <c r="DJ1592" s="73"/>
      <c r="DK1592" s="73"/>
      <c r="DL1592" s="73"/>
      <c r="DM1592" s="73"/>
    </row>
    <row r="1593" spans="1:117" s="48" customFormat="1">
      <c r="A1593" s="73"/>
      <c r="T1593" s="73"/>
      <c r="U1593" s="73"/>
      <c r="V1593" s="73"/>
      <c r="W1593" s="73"/>
      <c r="X1593" s="73"/>
      <c r="Y1593" s="73"/>
      <c r="Z1593" s="73"/>
      <c r="AA1593" s="73"/>
      <c r="AB1593" s="73"/>
      <c r="AC1593" s="73"/>
      <c r="AD1593" s="73"/>
      <c r="AE1593" s="73"/>
      <c r="AF1593" s="73"/>
      <c r="AG1593" s="73"/>
      <c r="AH1593" s="73"/>
      <c r="AI1593" s="73"/>
      <c r="AJ1593" s="73"/>
      <c r="AK1593" s="73"/>
      <c r="AL1593" s="73"/>
      <c r="AM1593" s="73"/>
      <c r="AN1593" s="73"/>
      <c r="AO1593" s="73"/>
      <c r="AP1593" s="73"/>
      <c r="AQ1593" s="73"/>
      <c r="AR1593" s="73"/>
      <c r="AS1593" s="73"/>
      <c r="AT1593" s="73"/>
      <c r="AU1593" s="73"/>
      <c r="AV1593" s="73"/>
      <c r="AW1593" s="73"/>
      <c r="AX1593" s="73"/>
      <c r="AY1593" s="73"/>
      <c r="AZ1593" s="73"/>
      <c r="BA1593" s="73"/>
      <c r="BB1593" s="73"/>
      <c r="BC1593" s="73"/>
      <c r="BD1593" s="73"/>
      <c r="BE1593" s="73"/>
      <c r="BF1593" s="73"/>
      <c r="BG1593" s="73"/>
      <c r="BH1593" s="73"/>
      <c r="BI1593" s="73"/>
      <c r="BJ1593" s="73"/>
      <c r="BK1593" s="73"/>
      <c r="BL1593" s="73"/>
      <c r="BM1593" s="73"/>
      <c r="BN1593" s="73"/>
      <c r="BO1593" s="73"/>
      <c r="BP1593" s="73"/>
      <c r="BQ1593" s="73"/>
      <c r="BR1593" s="73"/>
      <c r="BS1593" s="73"/>
      <c r="BT1593" s="73"/>
      <c r="BU1593" s="73"/>
      <c r="BV1593" s="73"/>
      <c r="BW1593" s="73"/>
      <c r="BX1593" s="73"/>
      <c r="BY1593" s="73"/>
      <c r="BZ1593" s="73"/>
      <c r="CA1593" s="73"/>
      <c r="CB1593" s="73"/>
      <c r="CC1593" s="73"/>
      <c r="CD1593" s="73"/>
      <c r="CE1593" s="73"/>
      <c r="CF1593" s="73"/>
      <c r="CG1593" s="73"/>
      <c r="CH1593" s="73"/>
      <c r="CI1593" s="73"/>
      <c r="CJ1593" s="73"/>
      <c r="CK1593" s="73"/>
      <c r="CL1593" s="73"/>
      <c r="CM1593" s="73"/>
      <c r="CN1593" s="73"/>
      <c r="CO1593" s="73"/>
      <c r="CP1593" s="73"/>
      <c r="CQ1593" s="73"/>
      <c r="CR1593" s="73"/>
      <c r="CS1593" s="73"/>
      <c r="CT1593" s="73"/>
      <c r="CU1593" s="73"/>
      <c r="CV1593" s="73"/>
      <c r="CW1593" s="73"/>
      <c r="CX1593" s="73"/>
      <c r="CY1593" s="73"/>
      <c r="CZ1593" s="73"/>
      <c r="DA1593" s="73"/>
      <c r="DB1593" s="73"/>
      <c r="DC1593" s="73"/>
      <c r="DD1593" s="73"/>
      <c r="DE1593" s="73"/>
      <c r="DF1593" s="73"/>
      <c r="DG1593" s="73"/>
      <c r="DH1593" s="73"/>
      <c r="DI1593" s="73"/>
      <c r="DJ1593" s="73"/>
      <c r="DK1593" s="73"/>
      <c r="DL1593" s="73"/>
      <c r="DM1593" s="73"/>
    </row>
    <row r="1594" spans="1:117" s="48" customFormat="1">
      <c r="A1594" s="73"/>
      <c r="T1594" s="73"/>
      <c r="U1594" s="73"/>
      <c r="V1594" s="73"/>
      <c r="W1594" s="73"/>
      <c r="X1594" s="73"/>
      <c r="Y1594" s="73"/>
      <c r="Z1594" s="73"/>
      <c r="AA1594" s="73"/>
      <c r="AB1594" s="73"/>
      <c r="AC1594" s="73"/>
      <c r="AD1594" s="73"/>
      <c r="AE1594" s="73"/>
      <c r="AF1594" s="73"/>
      <c r="AG1594" s="73"/>
      <c r="AH1594" s="73"/>
      <c r="AI1594" s="73"/>
      <c r="AJ1594" s="73"/>
      <c r="AK1594" s="73"/>
      <c r="AL1594" s="73"/>
      <c r="AM1594" s="73"/>
      <c r="AN1594" s="73"/>
      <c r="AO1594" s="73"/>
      <c r="AP1594" s="73"/>
      <c r="AQ1594" s="73"/>
      <c r="AR1594" s="73"/>
      <c r="AS1594" s="73"/>
      <c r="AT1594" s="73"/>
      <c r="AU1594" s="73"/>
      <c r="AV1594" s="73"/>
      <c r="AW1594" s="73"/>
      <c r="AX1594" s="73"/>
      <c r="AY1594" s="73"/>
      <c r="AZ1594" s="73"/>
      <c r="BA1594" s="73"/>
      <c r="BB1594" s="73"/>
      <c r="BC1594" s="73"/>
      <c r="BD1594" s="73"/>
      <c r="BE1594" s="73"/>
      <c r="BF1594" s="73"/>
      <c r="BG1594" s="73"/>
      <c r="BH1594" s="73"/>
      <c r="BI1594" s="73"/>
      <c r="BJ1594" s="73"/>
      <c r="BK1594" s="73"/>
      <c r="BL1594" s="73"/>
      <c r="BM1594" s="73"/>
      <c r="BN1594" s="73"/>
      <c r="BO1594" s="73"/>
      <c r="BP1594" s="73"/>
      <c r="BQ1594" s="73"/>
      <c r="BR1594" s="73"/>
      <c r="BS1594" s="73"/>
      <c r="BT1594" s="73"/>
      <c r="BU1594" s="73"/>
      <c r="BV1594" s="73"/>
      <c r="BW1594" s="73"/>
      <c r="BX1594" s="73"/>
      <c r="BY1594" s="73"/>
      <c r="BZ1594" s="73"/>
      <c r="CA1594" s="73"/>
      <c r="CB1594" s="73"/>
      <c r="CC1594" s="73"/>
      <c r="CD1594" s="73"/>
      <c r="CE1594" s="73"/>
      <c r="CF1594" s="73"/>
      <c r="CG1594" s="73"/>
      <c r="CH1594" s="73"/>
      <c r="CI1594" s="73"/>
      <c r="CJ1594" s="73"/>
      <c r="CK1594" s="73"/>
      <c r="CL1594" s="73"/>
      <c r="CM1594" s="73"/>
      <c r="CN1594" s="73"/>
      <c r="CO1594" s="73"/>
      <c r="CP1594" s="73"/>
      <c r="CQ1594" s="73"/>
      <c r="CR1594" s="73"/>
      <c r="CS1594" s="73"/>
      <c r="CT1594" s="73"/>
      <c r="CU1594" s="73"/>
      <c r="CV1594" s="73"/>
      <c r="CW1594" s="73"/>
      <c r="CX1594" s="73"/>
      <c r="CY1594" s="73"/>
      <c r="CZ1594" s="73"/>
      <c r="DA1594" s="73"/>
      <c r="DB1594" s="73"/>
      <c r="DC1594" s="73"/>
      <c r="DD1594" s="73"/>
      <c r="DE1594" s="73"/>
      <c r="DF1594" s="73"/>
      <c r="DG1594" s="73"/>
      <c r="DH1594" s="73"/>
      <c r="DI1594" s="73"/>
      <c r="DJ1594" s="73"/>
      <c r="DK1594" s="73"/>
      <c r="DL1594" s="73"/>
      <c r="DM1594" s="73"/>
    </row>
    <row r="1595" spans="1:117" s="48" customFormat="1">
      <c r="A1595" s="73"/>
      <c r="T1595" s="73"/>
      <c r="U1595" s="73"/>
      <c r="V1595" s="73"/>
      <c r="W1595" s="73"/>
      <c r="X1595" s="73"/>
      <c r="Y1595" s="73"/>
      <c r="Z1595" s="73"/>
      <c r="AA1595" s="73"/>
      <c r="AB1595" s="73"/>
      <c r="AC1595" s="73"/>
      <c r="AD1595" s="73"/>
      <c r="AE1595" s="73"/>
      <c r="AF1595" s="73"/>
      <c r="AG1595" s="73"/>
      <c r="AH1595" s="73"/>
      <c r="AI1595" s="73"/>
      <c r="AJ1595" s="73"/>
      <c r="AK1595" s="73"/>
      <c r="AL1595" s="73"/>
      <c r="AM1595" s="73"/>
      <c r="AN1595" s="73"/>
      <c r="AO1595" s="73"/>
      <c r="AP1595" s="73"/>
      <c r="AQ1595" s="73"/>
      <c r="AR1595" s="73"/>
      <c r="AS1595" s="73"/>
      <c r="AT1595" s="73"/>
      <c r="AU1595" s="73"/>
      <c r="AV1595" s="73"/>
      <c r="AW1595" s="73"/>
      <c r="AX1595" s="73"/>
      <c r="AY1595" s="73"/>
      <c r="AZ1595" s="73"/>
      <c r="BA1595" s="73"/>
      <c r="BB1595" s="73"/>
      <c r="BC1595" s="73"/>
      <c r="BD1595" s="73"/>
      <c r="BE1595" s="73"/>
      <c r="BF1595" s="73"/>
      <c r="BG1595" s="73"/>
      <c r="BH1595" s="73"/>
      <c r="BI1595" s="73"/>
      <c r="BJ1595" s="73"/>
      <c r="BK1595" s="73"/>
      <c r="BL1595" s="73"/>
      <c r="BM1595" s="73"/>
      <c r="BN1595" s="73"/>
      <c r="BO1595" s="73"/>
      <c r="BP1595" s="73"/>
      <c r="BQ1595" s="73"/>
      <c r="BR1595" s="73"/>
      <c r="BS1595" s="73"/>
      <c r="BT1595" s="73"/>
      <c r="BU1595" s="73"/>
      <c r="BV1595" s="73"/>
      <c r="BW1595" s="73"/>
      <c r="BX1595" s="73"/>
      <c r="BY1595" s="73"/>
      <c r="BZ1595" s="73"/>
      <c r="CA1595" s="73"/>
      <c r="CB1595" s="73"/>
      <c r="CC1595" s="73"/>
      <c r="CD1595" s="73"/>
      <c r="CE1595" s="73"/>
      <c r="CF1595" s="73"/>
      <c r="CG1595" s="73"/>
      <c r="CH1595" s="73"/>
      <c r="CI1595" s="73"/>
      <c r="CJ1595" s="73"/>
      <c r="CK1595" s="73"/>
      <c r="CL1595" s="73"/>
      <c r="CM1595" s="73"/>
      <c r="CN1595" s="73"/>
      <c r="CO1595" s="73"/>
      <c r="CP1595" s="73"/>
      <c r="CQ1595" s="73"/>
      <c r="CR1595" s="73"/>
      <c r="CS1595" s="73"/>
      <c r="CT1595" s="73"/>
      <c r="CU1595" s="73"/>
      <c r="CV1595" s="73"/>
      <c r="CW1595" s="73"/>
      <c r="CX1595" s="73"/>
      <c r="CY1595" s="73"/>
      <c r="CZ1595" s="73"/>
      <c r="DA1595" s="73"/>
      <c r="DB1595" s="73"/>
      <c r="DC1595" s="73"/>
      <c r="DD1595" s="73"/>
      <c r="DE1595" s="73"/>
      <c r="DF1595" s="73"/>
      <c r="DG1595" s="73"/>
      <c r="DH1595" s="73"/>
      <c r="DI1595" s="73"/>
      <c r="DJ1595" s="73"/>
      <c r="DK1595" s="73"/>
      <c r="DL1595" s="73"/>
      <c r="DM1595" s="73"/>
    </row>
    <row r="1596" spans="1:117" s="48" customFormat="1">
      <c r="A1596" s="73"/>
      <c r="T1596" s="73"/>
      <c r="U1596" s="73"/>
      <c r="V1596" s="73"/>
      <c r="W1596" s="73"/>
      <c r="X1596" s="73"/>
      <c r="Y1596" s="73"/>
      <c r="Z1596" s="73"/>
      <c r="AA1596" s="73"/>
      <c r="AB1596" s="73"/>
      <c r="AC1596" s="73"/>
      <c r="AD1596" s="73"/>
      <c r="AE1596" s="73"/>
      <c r="AF1596" s="73"/>
      <c r="AG1596" s="73"/>
      <c r="AH1596" s="73"/>
      <c r="AI1596" s="73"/>
      <c r="AJ1596" s="73"/>
      <c r="AK1596" s="73"/>
      <c r="AL1596" s="73"/>
      <c r="AM1596" s="73"/>
      <c r="AN1596" s="73"/>
      <c r="AO1596" s="73"/>
      <c r="AP1596" s="73"/>
      <c r="AQ1596" s="73"/>
      <c r="AR1596" s="73"/>
      <c r="AS1596" s="73"/>
      <c r="AT1596" s="73"/>
      <c r="AU1596" s="73"/>
      <c r="AV1596" s="73"/>
      <c r="AW1596" s="73"/>
      <c r="AX1596" s="73"/>
      <c r="AY1596" s="73"/>
      <c r="AZ1596" s="73"/>
      <c r="BA1596" s="73"/>
      <c r="BB1596" s="73"/>
      <c r="BC1596" s="73"/>
      <c r="BD1596" s="73"/>
      <c r="BE1596" s="73"/>
      <c r="BF1596" s="73"/>
      <c r="BG1596" s="73"/>
      <c r="BH1596" s="73"/>
      <c r="BI1596" s="73"/>
      <c r="BJ1596" s="73"/>
      <c r="BK1596" s="73"/>
      <c r="BL1596" s="73"/>
      <c r="BM1596" s="73"/>
      <c r="BN1596" s="73"/>
      <c r="BO1596" s="73"/>
      <c r="BP1596" s="73"/>
      <c r="BQ1596" s="73"/>
      <c r="BR1596" s="73"/>
      <c r="BS1596" s="73"/>
      <c r="BT1596" s="73"/>
      <c r="BU1596" s="73"/>
      <c r="BV1596" s="73"/>
      <c r="BW1596" s="73"/>
      <c r="BX1596" s="73"/>
      <c r="BY1596" s="73"/>
      <c r="BZ1596" s="73"/>
      <c r="CA1596" s="73"/>
      <c r="CB1596" s="73"/>
      <c r="CC1596" s="73"/>
      <c r="CD1596" s="73"/>
      <c r="CE1596" s="73"/>
      <c r="CF1596" s="73"/>
      <c r="CG1596" s="73"/>
      <c r="CH1596" s="73"/>
      <c r="CI1596" s="73"/>
      <c r="CJ1596" s="73"/>
      <c r="CK1596" s="73"/>
      <c r="CL1596" s="73"/>
      <c r="CM1596" s="73"/>
      <c r="CN1596" s="73"/>
      <c r="CO1596" s="73"/>
      <c r="CP1596" s="73"/>
      <c r="CQ1596" s="73"/>
      <c r="CR1596" s="73"/>
      <c r="CS1596" s="73"/>
      <c r="CT1596" s="73"/>
      <c r="CU1596" s="73"/>
      <c r="CV1596" s="73"/>
      <c r="CW1596" s="73"/>
      <c r="CX1596" s="73"/>
      <c r="CY1596" s="73"/>
      <c r="CZ1596" s="73"/>
      <c r="DA1596" s="73"/>
      <c r="DB1596" s="73"/>
      <c r="DC1596" s="73"/>
      <c r="DD1596" s="73"/>
      <c r="DE1596" s="73"/>
      <c r="DF1596" s="73"/>
      <c r="DG1596" s="73"/>
      <c r="DH1596" s="73"/>
      <c r="DI1596" s="73"/>
      <c r="DJ1596" s="73"/>
      <c r="DK1596" s="73"/>
      <c r="DL1596" s="73"/>
      <c r="DM1596" s="73"/>
    </row>
    <row r="1597" spans="1:117" s="48" customFormat="1">
      <c r="A1597" s="73"/>
      <c r="T1597" s="73"/>
      <c r="U1597" s="73"/>
      <c r="V1597" s="73"/>
      <c r="W1597" s="73"/>
      <c r="X1597" s="73"/>
      <c r="Y1597" s="73"/>
      <c r="Z1597" s="73"/>
      <c r="AA1597" s="73"/>
      <c r="AB1597" s="73"/>
      <c r="AC1597" s="73"/>
      <c r="AD1597" s="73"/>
      <c r="AE1597" s="73"/>
      <c r="AF1597" s="73"/>
      <c r="AG1597" s="73"/>
      <c r="AH1597" s="73"/>
      <c r="AI1597" s="73"/>
      <c r="AJ1597" s="73"/>
      <c r="AK1597" s="73"/>
      <c r="AL1597" s="73"/>
      <c r="AM1597" s="73"/>
      <c r="AN1597" s="73"/>
      <c r="AO1597" s="73"/>
      <c r="AP1597" s="73"/>
      <c r="AQ1597" s="73"/>
      <c r="AR1597" s="73"/>
      <c r="AS1597" s="73"/>
      <c r="AT1597" s="73"/>
      <c r="AU1597" s="73"/>
      <c r="AV1597" s="73"/>
      <c r="AW1597" s="73"/>
      <c r="AX1597" s="73"/>
      <c r="AY1597" s="73"/>
      <c r="AZ1597" s="73"/>
      <c r="BA1597" s="73"/>
      <c r="BB1597" s="73"/>
      <c r="BC1597" s="73"/>
      <c r="BD1597" s="73"/>
      <c r="BE1597" s="73"/>
      <c r="BF1597" s="73"/>
      <c r="BG1597" s="73"/>
      <c r="BH1597" s="73"/>
      <c r="BI1597" s="73"/>
      <c r="BJ1597" s="73"/>
      <c r="BK1597" s="73"/>
      <c r="BL1597" s="73"/>
      <c r="BM1597" s="73"/>
      <c r="BN1597" s="73"/>
      <c r="BO1597" s="73"/>
      <c r="BP1597" s="73"/>
      <c r="BQ1597" s="73"/>
      <c r="BR1597" s="73"/>
      <c r="BS1597" s="73"/>
      <c r="BT1597" s="73"/>
      <c r="BU1597" s="73"/>
      <c r="BV1597" s="73"/>
      <c r="BW1597" s="73"/>
      <c r="BX1597" s="73"/>
      <c r="BY1597" s="73"/>
      <c r="BZ1597" s="73"/>
      <c r="CA1597" s="73"/>
      <c r="CB1597" s="73"/>
      <c r="CC1597" s="73"/>
      <c r="CD1597" s="73"/>
      <c r="CE1597" s="73"/>
      <c r="CF1597" s="73"/>
      <c r="CG1597" s="73"/>
      <c r="CH1597" s="73"/>
      <c r="CI1597" s="73"/>
      <c r="CJ1597" s="73"/>
      <c r="CK1597" s="73"/>
      <c r="CL1597" s="73"/>
      <c r="CM1597" s="73"/>
      <c r="CN1597" s="73"/>
      <c r="CO1597" s="73"/>
      <c r="CP1597" s="73"/>
      <c r="CQ1597" s="73"/>
      <c r="CR1597" s="73"/>
      <c r="CS1597" s="73"/>
      <c r="CT1597" s="73"/>
      <c r="CU1597" s="73"/>
      <c r="CV1597" s="73"/>
      <c r="CW1597" s="73"/>
      <c r="CX1597" s="73"/>
      <c r="CY1597" s="73"/>
      <c r="CZ1597" s="73"/>
      <c r="DA1597" s="73"/>
      <c r="DB1597" s="73"/>
      <c r="DC1597" s="73"/>
      <c r="DD1597" s="73"/>
      <c r="DE1597" s="73"/>
      <c r="DF1597" s="73"/>
      <c r="DG1597" s="73"/>
      <c r="DH1597" s="73"/>
      <c r="DI1597" s="73"/>
      <c r="DJ1597" s="73"/>
      <c r="DK1597" s="73"/>
      <c r="DL1597" s="73"/>
      <c r="DM1597" s="73"/>
    </row>
    <row r="1598" spans="1:117" s="48" customFormat="1">
      <c r="A1598" s="73"/>
      <c r="T1598" s="73"/>
      <c r="U1598" s="73"/>
      <c r="V1598" s="73"/>
      <c r="W1598" s="73"/>
      <c r="X1598" s="73"/>
      <c r="Y1598" s="73"/>
      <c r="Z1598" s="73"/>
      <c r="AA1598" s="73"/>
      <c r="AB1598" s="73"/>
      <c r="AC1598" s="73"/>
      <c r="AD1598" s="73"/>
      <c r="AE1598" s="73"/>
      <c r="AF1598" s="73"/>
      <c r="AG1598" s="73"/>
      <c r="AH1598" s="73"/>
      <c r="AI1598" s="73"/>
      <c r="AJ1598" s="73"/>
      <c r="AK1598" s="73"/>
      <c r="AL1598" s="73"/>
      <c r="AM1598" s="73"/>
      <c r="AN1598" s="73"/>
      <c r="AO1598" s="73"/>
      <c r="AP1598" s="73"/>
      <c r="AQ1598" s="73"/>
      <c r="AR1598" s="73"/>
      <c r="AS1598" s="73"/>
      <c r="AT1598" s="73"/>
      <c r="AU1598" s="73"/>
      <c r="AV1598" s="73"/>
      <c r="AW1598" s="73"/>
      <c r="AX1598" s="73"/>
      <c r="AY1598" s="73"/>
      <c r="AZ1598" s="73"/>
      <c r="BA1598" s="73"/>
      <c r="BB1598" s="73"/>
      <c r="BC1598" s="73"/>
      <c r="BD1598" s="73"/>
      <c r="BE1598" s="73"/>
      <c r="BF1598" s="73"/>
      <c r="BG1598" s="73"/>
      <c r="BH1598" s="73"/>
      <c r="BI1598" s="73"/>
      <c r="BJ1598" s="73"/>
      <c r="BK1598" s="73"/>
      <c r="BL1598" s="73"/>
      <c r="BM1598" s="73"/>
      <c r="BN1598" s="73"/>
      <c r="BO1598" s="73"/>
      <c r="BP1598" s="73"/>
      <c r="BQ1598" s="73"/>
      <c r="BR1598" s="73"/>
      <c r="BS1598" s="73"/>
      <c r="BT1598" s="73"/>
      <c r="BU1598" s="73"/>
      <c r="BV1598" s="73"/>
      <c r="BW1598" s="73"/>
      <c r="BX1598" s="73"/>
      <c r="BY1598" s="73"/>
      <c r="BZ1598" s="73"/>
      <c r="CA1598" s="73"/>
      <c r="CB1598" s="73"/>
      <c r="CC1598" s="73"/>
      <c r="CD1598" s="73"/>
      <c r="CE1598" s="73"/>
      <c r="CF1598" s="73"/>
      <c r="CG1598" s="73"/>
      <c r="CH1598" s="73"/>
      <c r="CI1598" s="73"/>
      <c r="CJ1598" s="73"/>
      <c r="CK1598" s="73"/>
      <c r="CL1598" s="73"/>
      <c r="CM1598" s="73"/>
      <c r="CN1598" s="73"/>
      <c r="CO1598" s="73"/>
      <c r="CP1598" s="73"/>
      <c r="CQ1598" s="73"/>
      <c r="CR1598" s="73"/>
      <c r="CS1598" s="73"/>
      <c r="CT1598" s="73"/>
      <c r="CU1598" s="73"/>
      <c r="CV1598" s="73"/>
      <c r="CW1598" s="73"/>
      <c r="CX1598" s="73"/>
      <c r="CY1598" s="73"/>
      <c r="CZ1598" s="73"/>
      <c r="DA1598" s="73"/>
      <c r="DB1598" s="73"/>
      <c r="DC1598" s="73"/>
      <c r="DD1598" s="73"/>
      <c r="DE1598" s="73"/>
      <c r="DF1598" s="73"/>
      <c r="DG1598" s="73"/>
      <c r="DH1598" s="73"/>
      <c r="DI1598" s="73"/>
      <c r="DJ1598" s="73"/>
      <c r="DK1598" s="73"/>
      <c r="DL1598" s="73"/>
      <c r="DM1598" s="73"/>
    </row>
    <row r="1599" spans="1:117" s="48" customFormat="1">
      <c r="A1599" s="73"/>
      <c r="T1599" s="73"/>
      <c r="U1599" s="73"/>
      <c r="V1599" s="73"/>
      <c r="W1599" s="73"/>
      <c r="X1599" s="73"/>
      <c r="Y1599" s="73"/>
      <c r="Z1599" s="73"/>
      <c r="AA1599" s="73"/>
      <c r="AB1599" s="73"/>
      <c r="AC1599" s="73"/>
      <c r="AD1599" s="73"/>
      <c r="AE1599" s="73"/>
      <c r="AF1599" s="73"/>
      <c r="AG1599" s="73"/>
      <c r="AH1599" s="73"/>
      <c r="AI1599" s="73"/>
      <c r="AJ1599" s="73"/>
      <c r="AK1599" s="73"/>
      <c r="AL1599" s="73"/>
      <c r="AM1599" s="73"/>
      <c r="AN1599" s="73"/>
      <c r="AO1599" s="73"/>
      <c r="AP1599" s="73"/>
      <c r="AQ1599" s="73"/>
      <c r="AR1599" s="73"/>
      <c r="AS1599" s="73"/>
      <c r="AT1599" s="73"/>
      <c r="AU1599" s="73"/>
      <c r="AV1599" s="73"/>
      <c r="AW1599" s="73"/>
      <c r="AX1599" s="73"/>
      <c r="AY1599" s="73"/>
      <c r="AZ1599" s="73"/>
      <c r="BA1599" s="73"/>
      <c r="BB1599" s="73"/>
      <c r="BC1599" s="73"/>
      <c r="BD1599" s="73"/>
      <c r="BE1599" s="73"/>
      <c r="BF1599" s="73"/>
      <c r="BG1599" s="73"/>
      <c r="BH1599" s="73"/>
      <c r="BI1599" s="73"/>
      <c r="BJ1599" s="73"/>
      <c r="BK1599" s="73"/>
      <c r="BL1599" s="73"/>
      <c r="BM1599" s="73"/>
      <c r="BN1599" s="73"/>
      <c r="BO1599" s="73"/>
      <c r="BP1599" s="73"/>
      <c r="BQ1599" s="73"/>
      <c r="BR1599" s="73"/>
      <c r="BS1599" s="73"/>
      <c r="BT1599" s="73"/>
      <c r="BU1599" s="73"/>
      <c r="BV1599" s="73"/>
      <c r="BW1599" s="73"/>
      <c r="BX1599" s="73"/>
      <c r="BY1599" s="73"/>
      <c r="BZ1599" s="73"/>
      <c r="CA1599" s="73"/>
      <c r="CB1599" s="73"/>
      <c r="CC1599" s="73"/>
      <c r="CD1599" s="73"/>
      <c r="CE1599" s="73"/>
      <c r="CF1599" s="73"/>
      <c r="CG1599" s="73"/>
      <c r="CH1599" s="73"/>
      <c r="CI1599" s="73"/>
      <c r="CJ1599" s="73"/>
      <c r="CK1599" s="73"/>
      <c r="CL1599" s="73"/>
      <c r="CM1599" s="73"/>
      <c r="CN1599" s="73"/>
      <c r="CO1599" s="73"/>
      <c r="CP1599" s="73"/>
      <c r="CQ1599" s="73"/>
      <c r="CR1599" s="73"/>
      <c r="CS1599" s="73"/>
      <c r="CT1599" s="73"/>
      <c r="CU1599" s="73"/>
      <c r="CV1599" s="73"/>
      <c r="CW1599" s="73"/>
      <c r="CX1599" s="73"/>
      <c r="CY1599" s="73"/>
      <c r="CZ1599" s="73"/>
      <c r="DA1599" s="73"/>
      <c r="DB1599" s="73"/>
      <c r="DC1599" s="73"/>
      <c r="DD1599" s="73"/>
      <c r="DE1599" s="73"/>
      <c r="DF1599" s="73"/>
      <c r="DG1599" s="73"/>
      <c r="DH1599" s="73"/>
      <c r="DI1599" s="73"/>
      <c r="DJ1599" s="73"/>
      <c r="DK1599" s="73"/>
      <c r="DL1599" s="73"/>
      <c r="DM1599" s="73"/>
    </row>
    <row r="1600" spans="1:117" s="48" customFormat="1">
      <c r="A1600" s="73"/>
      <c r="T1600" s="73"/>
      <c r="U1600" s="73"/>
      <c r="V1600" s="73"/>
      <c r="W1600" s="73"/>
      <c r="X1600" s="73"/>
      <c r="Y1600" s="73"/>
      <c r="Z1600" s="73"/>
      <c r="AA1600" s="73"/>
      <c r="AB1600" s="73"/>
      <c r="AC1600" s="73"/>
      <c r="AD1600" s="73"/>
      <c r="AE1600" s="73"/>
      <c r="AF1600" s="73"/>
      <c r="AG1600" s="73"/>
      <c r="AH1600" s="73"/>
      <c r="AI1600" s="73"/>
      <c r="AJ1600" s="73"/>
      <c r="AK1600" s="73"/>
      <c r="AL1600" s="73"/>
      <c r="AM1600" s="73"/>
      <c r="AN1600" s="73"/>
      <c r="AO1600" s="73"/>
      <c r="AP1600" s="73"/>
      <c r="AQ1600" s="73"/>
      <c r="AR1600" s="73"/>
      <c r="AS1600" s="73"/>
      <c r="AT1600" s="73"/>
      <c r="AU1600" s="73"/>
      <c r="AV1600" s="73"/>
      <c r="AW1600" s="73"/>
      <c r="AX1600" s="73"/>
      <c r="AY1600" s="73"/>
      <c r="AZ1600" s="73"/>
      <c r="BA1600" s="73"/>
      <c r="BB1600" s="73"/>
      <c r="BC1600" s="73"/>
      <c r="BD1600" s="73"/>
      <c r="BE1600" s="73"/>
      <c r="BF1600" s="73"/>
      <c r="BG1600" s="73"/>
      <c r="BH1600" s="73"/>
      <c r="BI1600" s="73"/>
      <c r="BJ1600" s="73"/>
      <c r="BK1600" s="73"/>
      <c r="BL1600" s="73"/>
      <c r="BM1600" s="73"/>
      <c r="BN1600" s="73"/>
      <c r="BO1600" s="73"/>
      <c r="BP1600" s="73"/>
      <c r="BQ1600" s="73"/>
      <c r="BR1600" s="73"/>
      <c r="BS1600" s="73"/>
      <c r="BT1600" s="73"/>
      <c r="BU1600" s="73"/>
      <c r="BV1600" s="73"/>
      <c r="BW1600" s="73"/>
      <c r="BX1600" s="73"/>
      <c r="BY1600" s="73"/>
      <c r="BZ1600" s="73"/>
      <c r="CA1600" s="73"/>
      <c r="CB1600" s="73"/>
      <c r="CC1600" s="73"/>
      <c r="CD1600" s="73"/>
      <c r="CE1600" s="73"/>
      <c r="CF1600" s="73"/>
      <c r="CG1600" s="73"/>
      <c r="CH1600" s="73"/>
      <c r="CI1600" s="73"/>
      <c r="CJ1600" s="73"/>
      <c r="CK1600" s="73"/>
      <c r="CL1600" s="73"/>
      <c r="CM1600" s="73"/>
      <c r="CN1600" s="73"/>
      <c r="CO1600" s="73"/>
      <c r="CP1600" s="73"/>
      <c r="CQ1600" s="73"/>
      <c r="CR1600" s="73"/>
      <c r="CS1600" s="73"/>
      <c r="CT1600" s="73"/>
      <c r="CU1600" s="73"/>
      <c r="CV1600" s="73"/>
      <c r="CW1600" s="73"/>
      <c r="CX1600" s="73"/>
      <c r="CY1600" s="73"/>
      <c r="CZ1600" s="73"/>
      <c r="DA1600" s="73"/>
      <c r="DB1600" s="73"/>
      <c r="DC1600" s="73"/>
      <c r="DD1600" s="73"/>
      <c r="DE1600" s="73"/>
      <c r="DF1600" s="73"/>
      <c r="DG1600" s="73"/>
      <c r="DH1600" s="73"/>
      <c r="DI1600" s="73"/>
      <c r="DJ1600" s="73"/>
      <c r="DK1600" s="73"/>
      <c r="DL1600" s="73"/>
      <c r="DM1600" s="73"/>
    </row>
    <row r="1601" spans="1:117" s="48" customFormat="1">
      <c r="A1601" s="73"/>
      <c r="T1601" s="73"/>
      <c r="U1601" s="73"/>
      <c r="V1601" s="73"/>
      <c r="W1601" s="73"/>
      <c r="X1601" s="73"/>
      <c r="Y1601" s="73"/>
      <c r="Z1601" s="73"/>
      <c r="AA1601" s="73"/>
      <c r="AB1601" s="73"/>
      <c r="AC1601" s="73"/>
      <c r="AD1601" s="73"/>
      <c r="AE1601" s="73"/>
      <c r="AF1601" s="73"/>
      <c r="AG1601" s="73"/>
      <c r="AH1601" s="73"/>
      <c r="AI1601" s="73"/>
      <c r="AJ1601" s="73"/>
      <c r="AK1601" s="73"/>
      <c r="AL1601" s="73"/>
      <c r="AM1601" s="73"/>
      <c r="AN1601" s="73"/>
      <c r="AO1601" s="73"/>
      <c r="AP1601" s="73"/>
      <c r="AQ1601" s="73"/>
      <c r="AR1601" s="73"/>
      <c r="AS1601" s="73"/>
      <c r="AT1601" s="73"/>
      <c r="AU1601" s="73"/>
      <c r="AV1601" s="73"/>
      <c r="AW1601" s="73"/>
      <c r="AX1601" s="73"/>
      <c r="AY1601" s="73"/>
      <c r="AZ1601" s="73"/>
      <c r="BA1601" s="73"/>
      <c r="BB1601" s="73"/>
      <c r="BC1601" s="73"/>
      <c r="BD1601" s="73"/>
      <c r="BE1601" s="73"/>
      <c r="BF1601" s="73"/>
      <c r="BG1601" s="73"/>
      <c r="BH1601" s="73"/>
      <c r="BI1601" s="73"/>
      <c r="BJ1601" s="73"/>
      <c r="BK1601" s="73"/>
      <c r="BL1601" s="73"/>
      <c r="BM1601" s="73"/>
      <c r="BN1601" s="73"/>
      <c r="BO1601" s="73"/>
      <c r="BP1601" s="73"/>
      <c r="BQ1601" s="73"/>
      <c r="BR1601" s="73"/>
      <c r="BS1601" s="73"/>
      <c r="BT1601" s="73"/>
      <c r="BU1601" s="73"/>
      <c r="BV1601" s="73"/>
      <c r="BW1601" s="73"/>
      <c r="BX1601" s="73"/>
      <c r="BY1601" s="73"/>
      <c r="BZ1601" s="73"/>
      <c r="CA1601" s="73"/>
      <c r="CB1601" s="73"/>
      <c r="CC1601" s="73"/>
      <c r="CD1601" s="73"/>
      <c r="CE1601" s="73"/>
      <c r="CF1601" s="73"/>
      <c r="CG1601" s="73"/>
      <c r="CH1601" s="73"/>
      <c r="CI1601" s="73"/>
      <c r="CJ1601" s="73"/>
      <c r="CK1601" s="73"/>
      <c r="CL1601" s="73"/>
      <c r="CM1601" s="73"/>
      <c r="CN1601" s="73"/>
      <c r="CO1601" s="73"/>
      <c r="CP1601" s="73"/>
      <c r="CQ1601" s="73"/>
      <c r="CR1601" s="73"/>
      <c r="CS1601" s="73"/>
      <c r="CT1601" s="73"/>
      <c r="CU1601" s="73"/>
      <c r="CV1601" s="73"/>
      <c r="CW1601" s="73"/>
      <c r="CX1601" s="73"/>
      <c r="CY1601" s="73"/>
      <c r="CZ1601" s="73"/>
      <c r="DA1601" s="73"/>
      <c r="DB1601" s="73"/>
      <c r="DC1601" s="73"/>
      <c r="DD1601" s="73"/>
      <c r="DE1601" s="73"/>
      <c r="DF1601" s="73"/>
      <c r="DG1601" s="73"/>
      <c r="DH1601" s="73"/>
      <c r="DI1601" s="73"/>
      <c r="DJ1601" s="73"/>
      <c r="DK1601" s="73"/>
      <c r="DL1601" s="73"/>
      <c r="DM1601" s="73"/>
    </row>
    <row r="1602" spans="1:117" s="48" customFormat="1">
      <c r="A1602" s="73"/>
      <c r="T1602" s="73"/>
      <c r="U1602" s="73"/>
      <c r="V1602" s="73"/>
      <c r="W1602" s="73"/>
      <c r="X1602" s="73"/>
      <c r="Y1602" s="73"/>
      <c r="Z1602" s="73"/>
      <c r="AA1602" s="73"/>
      <c r="AB1602" s="73"/>
      <c r="AC1602" s="73"/>
      <c r="AD1602" s="73"/>
      <c r="AE1602" s="73"/>
      <c r="AF1602" s="73"/>
      <c r="AG1602" s="73"/>
      <c r="AH1602" s="73"/>
      <c r="AI1602" s="73"/>
      <c r="AJ1602" s="73"/>
      <c r="AK1602" s="73"/>
      <c r="AL1602" s="73"/>
      <c r="AM1602" s="73"/>
      <c r="AN1602" s="73"/>
      <c r="AO1602" s="73"/>
      <c r="AP1602" s="73"/>
      <c r="AQ1602" s="73"/>
      <c r="AR1602" s="73"/>
      <c r="AS1602" s="73"/>
      <c r="AT1602" s="73"/>
      <c r="AU1602" s="73"/>
      <c r="AV1602" s="73"/>
      <c r="AW1602" s="73"/>
      <c r="AX1602" s="73"/>
      <c r="AY1602" s="73"/>
      <c r="AZ1602" s="73"/>
      <c r="BA1602" s="73"/>
      <c r="BB1602" s="73"/>
      <c r="BC1602" s="73"/>
      <c r="BD1602" s="73"/>
      <c r="BE1602" s="73"/>
      <c r="BF1602" s="73"/>
      <c r="BG1602" s="73"/>
      <c r="BH1602" s="73"/>
      <c r="BI1602" s="73"/>
      <c r="BJ1602" s="73"/>
      <c r="BK1602" s="73"/>
      <c r="BL1602" s="73"/>
      <c r="BM1602" s="73"/>
      <c r="BN1602" s="73"/>
      <c r="BO1602" s="73"/>
      <c r="BP1602" s="73"/>
      <c r="BQ1602" s="73"/>
      <c r="BR1602" s="73"/>
      <c r="BS1602" s="73"/>
      <c r="BT1602" s="73"/>
      <c r="BU1602" s="73"/>
      <c r="BV1602" s="73"/>
      <c r="BW1602" s="73"/>
      <c r="BX1602" s="73"/>
      <c r="BY1602" s="73"/>
      <c r="BZ1602" s="73"/>
      <c r="CA1602" s="73"/>
      <c r="CB1602" s="73"/>
      <c r="CC1602" s="73"/>
      <c r="CD1602" s="73"/>
      <c r="CE1602" s="73"/>
      <c r="CF1602" s="73"/>
      <c r="CG1602" s="73"/>
      <c r="CH1602" s="73"/>
      <c r="CI1602" s="73"/>
      <c r="CJ1602" s="73"/>
      <c r="CK1602" s="73"/>
      <c r="CL1602" s="73"/>
      <c r="CM1602" s="73"/>
      <c r="CN1602" s="73"/>
      <c r="CO1602" s="73"/>
      <c r="CP1602" s="73"/>
      <c r="CQ1602" s="73"/>
      <c r="CR1602" s="73"/>
      <c r="CS1602" s="73"/>
      <c r="CT1602" s="73"/>
      <c r="CU1602" s="73"/>
      <c r="CV1602" s="73"/>
      <c r="CW1602" s="73"/>
      <c r="CX1602" s="73"/>
      <c r="CY1602" s="73"/>
      <c r="CZ1602" s="73"/>
      <c r="DA1602" s="73"/>
      <c r="DB1602" s="73"/>
      <c r="DC1602" s="73"/>
      <c r="DD1602" s="73"/>
      <c r="DE1602" s="73"/>
      <c r="DF1602" s="73"/>
      <c r="DG1602" s="73"/>
      <c r="DH1602" s="73"/>
      <c r="DI1602" s="73"/>
      <c r="DJ1602" s="73"/>
      <c r="DK1602" s="73"/>
      <c r="DL1602" s="73"/>
      <c r="DM1602" s="73"/>
    </row>
    <row r="1603" spans="1:117" s="48" customFormat="1">
      <c r="A1603" s="73"/>
      <c r="T1603" s="73"/>
      <c r="U1603" s="73"/>
      <c r="V1603" s="73"/>
      <c r="W1603" s="73"/>
      <c r="X1603" s="73"/>
      <c r="Y1603" s="73"/>
      <c r="Z1603" s="73"/>
      <c r="AA1603" s="73"/>
      <c r="AB1603" s="73"/>
      <c r="AC1603" s="73"/>
      <c r="AD1603" s="73"/>
      <c r="AE1603" s="73"/>
      <c r="AF1603" s="73"/>
      <c r="AG1603" s="73"/>
      <c r="AH1603" s="73"/>
      <c r="AI1603" s="73"/>
      <c r="AJ1603" s="73"/>
      <c r="AK1603" s="73"/>
      <c r="AL1603" s="73"/>
      <c r="AM1603" s="73"/>
      <c r="AN1603" s="73"/>
      <c r="AO1603" s="73"/>
      <c r="AP1603" s="73"/>
      <c r="AQ1603" s="73"/>
      <c r="AR1603" s="73"/>
      <c r="AS1603" s="73"/>
      <c r="AT1603" s="73"/>
      <c r="AU1603" s="73"/>
      <c r="AV1603" s="73"/>
      <c r="AW1603" s="73"/>
      <c r="AX1603" s="73"/>
      <c r="AY1603" s="73"/>
      <c r="AZ1603" s="73"/>
      <c r="BA1603" s="73"/>
      <c r="BB1603" s="73"/>
      <c r="BC1603" s="73"/>
      <c r="BD1603" s="73"/>
      <c r="BE1603" s="73"/>
      <c r="BF1603" s="73"/>
      <c r="BG1603" s="73"/>
      <c r="BH1603" s="73"/>
      <c r="BI1603" s="73"/>
      <c r="BJ1603" s="73"/>
      <c r="BK1603" s="73"/>
      <c r="BL1603" s="73"/>
      <c r="BM1603" s="73"/>
      <c r="BN1603" s="73"/>
      <c r="BO1603" s="73"/>
      <c r="BP1603" s="73"/>
      <c r="BQ1603" s="73"/>
      <c r="BR1603" s="73"/>
      <c r="BS1603" s="73"/>
      <c r="BT1603" s="73"/>
      <c r="BU1603" s="73"/>
      <c r="BV1603" s="73"/>
      <c r="BW1603" s="73"/>
      <c r="BX1603" s="73"/>
      <c r="BY1603" s="73"/>
      <c r="BZ1603" s="73"/>
      <c r="CA1603" s="73"/>
      <c r="CB1603" s="73"/>
      <c r="CC1603" s="73"/>
      <c r="CD1603" s="73"/>
      <c r="CE1603" s="73"/>
      <c r="CF1603" s="73"/>
      <c r="CG1603" s="73"/>
      <c r="CH1603" s="73"/>
      <c r="CI1603" s="73"/>
      <c r="CJ1603" s="73"/>
      <c r="CK1603" s="73"/>
      <c r="CL1603" s="73"/>
      <c r="CM1603" s="73"/>
      <c r="CN1603" s="73"/>
      <c r="CO1603" s="73"/>
      <c r="CP1603" s="73"/>
      <c r="CQ1603" s="73"/>
      <c r="CR1603" s="73"/>
      <c r="CS1603" s="73"/>
      <c r="CT1603" s="73"/>
      <c r="CU1603" s="73"/>
      <c r="CV1603" s="73"/>
      <c r="CW1603" s="73"/>
      <c r="CX1603" s="73"/>
      <c r="CY1603" s="73"/>
      <c r="CZ1603" s="73"/>
      <c r="DA1603" s="73"/>
      <c r="DB1603" s="73"/>
      <c r="DC1603" s="73"/>
      <c r="DD1603" s="73"/>
      <c r="DE1603" s="73"/>
      <c r="DF1603" s="73"/>
      <c r="DG1603" s="73"/>
      <c r="DH1603" s="73"/>
      <c r="DI1603" s="73"/>
      <c r="DJ1603" s="73"/>
      <c r="DK1603" s="73"/>
      <c r="DL1603" s="73"/>
      <c r="DM1603" s="73"/>
    </row>
    <row r="1604" spans="1:117" s="48" customFormat="1">
      <c r="A1604" s="73"/>
      <c r="T1604" s="73"/>
      <c r="U1604" s="73"/>
      <c r="V1604" s="73"/>
      <c r="W1604" s="73"/>
      <c r="X1604" s="73"/>
      <c r="Y1604" s="73"/>
      <c r="Z1604" s="73"/>
      <c r="AA1604" s="73"/>
      <c r="AB1604" s="73"/>
      <c r="AC1604" s="73"/>
      <c r="AD1604" s="73"/>
      <c r="AE1604" s="73"/>
      <c r="AF1604" s="73"/>
      <c r="AG1604" s="73"/>
      <c r="AH1604" s="73"/>
      <c r="AI1604" s="73"/>
      <c r="AJ1604" s="73"/>
      <c r="AK1604" s="73"/>
      <c r="AL1604" s="73"/>
      <c r="AM1604" s="73"/>
      <c r="AN1604" s="73"/>
      <c r="AO1604" s="73"/>
      <c r="AP1604" s="73"/>
      <c r="AQ1604" s="73"/>
      <c r="AR1604" s="73"/>
      <c r="AS1604" s="73"/>
      <c r="AT1604" s="73"/>
      <c r="AU1604" s="73"/>
      <c r="AV1604" s="73"/>
      <c r="AW1604" s="73"/>
      <c r="AX1604" s="73"/>
      <c r="AY1604" s="73"/>
      <c r="AZ1604" s="73"/>
      <c r="BA1604" s="73"/>
      <c r="BB1604" s="73"/>
      <c r="BC1604" s="73"/>
      <c r="BD1604" s="73"/>
      <c r="BE1604" s="73"/>
      <c r="BF1604" s="73"/>
      <c r="BG1604" s="73"/>
      <c r="BH1604" s="73"/>
      <c r="BI1604" s="73"/>
      <c r="BJ1604" s="73"/>
      <c r="BK1604" s="73"/>
      <c r="BL1604" s="73"/>
      <c r="BM1604" s="73"/>
      <c r="BN1604" s="73"/>
      <c r="BO1604" s="73"/>
      <c r="BP1604" s="73"/>
      <c r="BQ1604" s="73"/>
      <c r="BR1604" s="73"/>
      <c r="BS1604" s="73"/>
      <c r="BT1604" s="73"/>
      <c r="BU1604" s="73"/>
      <c r="BV1604" s="73"/>
      <c r="BW1604" s="73"/>
      <c r="BX1604" s="73"/>
      <c r="BY1604" s="73"/>
      <c r="BZ1604" s="73"/>
      <c r="CA1604" s="73"/>
      <c r="CB1604" s="73"/>
      <c r="CC1604" s="73"/>
      <c r="CD1604" s="73"/>
      <c r="CE1604" s="73"/>
      <c r="CF1604" s="73"/>
      <c r="CG1604" s="73"/>
      <c r="CH1604" s="73"/>
      <c r="CI1604" s="73"/>
      <c r="CJ1604" s="73"/>
      <c r="CK1604" s="73"/>
      <c r="CL1604" s="73"/>
      <c r="CM1604" s="73"/>
      <c r="CN1604" s="73"/>
      <c r="CO1604" s="73"/>
      <c r="CP1604" s="73"/>
      <c r="CQ1604" s="73"/>
      <c r="CR1604" s="73"/>
      <c r="CS1604" s="73"/>
      <c r="CT1604" s="73"/>
      <c r="CU1604" s="73"/>
      <c r="CV1604" s="73"/>
      <c r="CW1604" s="73"/>
      <c r="CX1604" s="73"/>
      <c r="CY1604" s="73"/>
      <c r="CZ1604" s="73"/>
      <c r="DA1604" s="73"/>
      <c r="DB1604" s="73"/>
      <c r="DC1604" s="73"/>
      <c r="DD1604" s="73"/>
      <c r="DE1604" s="73"/>
      <c r="DF1604" s="73"/>
      <c r="DG1604" s="73"/>
      <c r="DH1604" s="73"/>
      <c r="DI1604" s="73"/>
      <c r="DJ1604" s="73"/>
      <c r="DK1604" s="73"/>
      <c r="DL1604" s="73"/>
      <c r="DM1604" s="73"/>
    </row>
    <row r="1605" spans="1:117" s="48" customFormat="1">
      <c r="A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M1605" s="73"/>
      <c r="CN1605" s="73"/>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c r="DM1605" s="73"/>
    </row>
    <row r="1606" spans="1:117" s="48" customFormat="1">
      <c r="A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M1606" s="73"/>
      <c r="CN1606" s="73"/>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c r="DM1606" s="73"/>
    </row>
    <row r="1607" spans="1:117" s="48" customFormat="1">
      <c r="A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M1607" s="73"/>
      <c r="CN1607" s="73"/>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c r="DM1607" s="73"/>
    </row>
    <row r="1608" spans="1:117" s="48" customFormat="1">
      <c r="A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M1608" s="73"/>
      <c r="CN1608" s="73"/>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c r="DM1608" s="73"/>
    </row>
    <row r="1609" spans="1:117" s="48" customFormat="1">
      <c r="A1609" s="73"/>
      <c r="T1609" s="73"/>
      <c r="U1609" s="73"/>
      <c r="V1609" s="73"/>
      <c r="W1609" s="73"/>
      <c r="X1609" s="73"/>
      <c r="Y1609" s="73"/>
      <c r="Z1609" s="73"/>
      <c r="AA1609" s="73"/>
      <c r="AB1609" s="73"/>
      <c r="AC1609" s="73"/>
      <c r="AD1609" s="73"/>
      <c r="AE1609" s="73"/>
      <c r="AF1609" s="73"/>
      <c r="AG1609" s="73"/>
      <c r="AH1609" s="73"/>
      <c r="AI1609" s="73"/>
      <c r="AJ1609" s="73"/>
      <c r="AK1609" s="73"/>
      <c r="AL1609" s="73"/>
      <c r="AM1609" s="73"/>
      <c r="AN1609" s="73"/>
      <c r="AO1609" s="73"/>
      <c r="AP1609" s="73"/>
      <c r="AQ1609" s="73"/>
      <c r="AR1609" s="73"/>
      <c r="AS1609" s="73"/>
      <c r="AT1609" s="73"/>
      <c r="AU1609" s="73"/>
      <c r="AV1609" s="73"/>
      <c r="AW1609" s="73"/>
      <c r="AX1609" s="73"/>
      <c r="AY1609" s="73"/>
      <c r="AZ1609" s="73"/>
      <c r="BA1609" s="73"/>
      <c r="BB1609" s="73"/>
      <c r="BC1609" s="73"/>
      <c r="BD1609" s="73"/>
      <c r="BE1609" s="73"/>
      <c r="BF1609" s="73"/>
      <c r="BG1609" s="73"/>
      <c r="BH1609" s="73"/>
      <c r="BI1609" s="73"/>
      <c r="BJ1609" s="73"/>
      <c r="BK1609" s="73"/>
      <c r="BL1609" s="73"/>
      <c r="BM1609" s="73"/>
      <c r="BN1609" s="73"/>
      <c r="BO1609" s="73"/>
      <c r="BP1609" s="73"/>
      <c r="BQ1609" s="73"/>
      <c r="BR1609" s="73"/>
      <c r="BS1609" s="73"/>
      <c r="BT1609" s="73"/>
      <c r="BU1609" s="73"/>
      <c r="BV1609" s="73"/>
      <c r="BW1609" s="73"/>
      <c r="BX1609" s="73"/>
      <c r="BY1609" s="73"/>
      <c r="BZ1609" s="73"/>
      <c r="CA1609" s="73"/>
      <c r="CB1609" s="73"/>
      <c r="CC1609" s="73"/>
      <c r="CD1609" s="73"/>
      <c r="CE1609" s="73"/>
      <c r="CF1609" s="73"/>
      <c r="CG1609" s="73"/>
      <c r="CH1609" s="73"/>
      <c r="CI1609" s="73"/>
      <c r="CJ1609" s="73"/>
      <c r="CK1609" s="73"/>
      <c r="CL1609" s="73"/>
      <c r="CM1609" s="73"/>
      <c r="CN1609" s="73"/>
      <c r="CO1609" s="73"/>
      <c r="CP1609" s="73"/>
      <c r="CQ1609" s="73"/>
      <c r="CR1609" s="73"/>
      <c r="CS1609" s="73"/>
      <c r="CT1609" s="73"/>
      <c r="CU1609" s="73"/>
      <c r="CV1609" s="73"/>
      <c r="CW1609" s="73"/>
      <c r="CX1609" s="73"/>
      <c r="CY1609" s="73"/>
      <c r="CZ1609" s="73"/>
      <c r="DA1609" s="73"/>
      <c r="DB1609" s="73"/>
      <c r="DC1609" s="73"/>
      <c r="DD1609" s="73"/>
      <c r="DE1609" s="73"/>
      <c r="DF1609" s="73"/>
      <c r="DG1609" s="73"/>
      <c r="DH1609" s="73"/>
      <c r="DI1609" s="73"/>
      <c r="DJ1609" s="73"/>
      <c r="DK1609" s="73"/>
      <c r="DL1609" s="73"/>
      <c r="DM1609" s="73"/>
    </row>
    <row r="1610" spans="1:117" s="48" customFormat="1">
      <c r="A1610" s="73"/>
      <c r="T1610" s="73"/>
      <c r="U1610" s="73"/>
      <c r="V1610" s="73"/>
      <c r="W1610" s="73"/>
      <c r="X1610" s="73"/>
      <c r="Y1610" s="73"/>
      <c r="Z1610" s="73"/>
      <c r="AA1610" s="73"/>
      <c r="AB1610" s="73"/>
      <c r="AC1610" s="73"/>
      <c r="AD1610" s="73"/>
      <c r="AE1610" s="73"/>
      <c r="AF1610" s="73"/>
      <c r="AG1610" s="73"/>
      <c r="AH1610" s="73"/>
      <c r="AI1610" s="73"/>
      <c r="AJ1610" s="73"/>
      <c r="AK1610" s="73"/>
      <c r="AL1610" s="73"/>
      <c r="AM1610" s="73"/>
      <c r="AN1610" s="73"/>
      <c r="AO1610" s="73"/>
      <c r="AP1610" s="73"/>
      <c r="AQ1610" s="73"/>
      <c r="AR1610" s="73"/>
      <c r="AS1610" s="73"/>
      <c r="AT1610" s="73"/>
      <c r="AU1610" s="73"/>
      <c r="AV1610" s="73"/>
      <c r="AW1610" s="73"/>
      <c r="AX1610" s="73"/>
      <c r="AY1610" s="73"/>
      <c r="AZ1610" s="73"/>
      <c r="BA1610" s="73"/>
      <c r="BB1610" s="73"/>
      <c r="BC1610" s="73"/>
      <c r="BD1610" s="73"/>
      <c r="BE1610" s="73"/>
      <c r="BF1610" s="73"/>
      <c r="BG1610" s="73"/>
      <c r="BH1610" s="73"/>
      <c r="BI1610" s="73"/>
      <c r="BJ1610" s="73"/>
      <c r="BK1610" s="73"/>
      <c r="BL1610" s="73"/>
      <c r="BM1610" s="73"/>
      <c r="BN1610" s="73"/>
      <c r="BO1610" s="73"/>
      <c r="BP1610" s="73"/>
      <c r="BQ1610" s="73"/>
      <c r="BR1610" s="73"/>
      <c r="BS1610" s="73"/>
      <c r="BT1610" s="73"/>
      <c r="BU1610" s="73"/>
      <c r="BV1610" s="73"/>
      <c r="BW1610" s="73"/>
      <c r="BX1610" s="73"/>
      <c r="BY1610" s="73"/>
      <c r="BZ1610" s="73"/>
      <c r="CA1610" s="73"/>
      <c r="CB1610" s="73"/>
      <c r="CC1610" s="73"/>
      <c r="CD1610" s="73"/>
      <c r="CE1610" s="73"/>
      <c r="CF1610" s="73"/>
      <c r="CG1610" s="73"/>
      <c r="CH1610" s="73"/>
      <c r="CI1610" s="73"/>
      <c r="CJ1610" s="73"/>
      <c r="CK1610" s="73"/>
      <c r="CL1610" s="73"/>
      <c r="CM1610" s="73"/>
      <c r="CN1610" s="73"/>
      <c r="CO1610" s="73"/>
      <c r="CP1610" s="73"/>
      <c r="CQ1610" s="73"/>
      <c r="CR1610" s="73"/>
      <c r="CS1610" s="73"/>
      <c r="CT1610" s="73"/>
      <c r="CU1610" s="73"/>
      <c r="CV1610" s="73"/>
      <c r="CW1610" s="73"/>
      <c r="CX1610" s="73"/>
      <c r="CY1610" s="73"/>
      <c r="CZ1610" s="73"/>
      <c r="DA1610" s="73"/>
      <c r="DB1610" s="73"/>
      <c r="DC1610" s="73"/>
      <c r="DD1610" s="73"/>
      <c r="DE1610" s="73"/>
      <c r="DF1610" s="73"/>
      <c r="DG1610" s="73"/>
      <c r="DH1610" s="73"/>
      <c r="DI1610" s="73"/>
      <c r="DJ1610" s="73"/>
      <c r="DK1610" s="73"/>
      <c r="DL1610" s="73"/>
      <c r="DM1610" s="73"/>
    </row>
    <row r="1611" spans="1:117" s="48" customFormat="1">
      <c r="A1611" s="73"/>
      <c r="T1611" s="73"/>
      <c r="U1611" s="73"/>
      <c r="V1611" s="73"/>
      <c r="W1611" s="73"/>
      <c r="X1611" s="73"/>
      <c r="Y1611" s="73"/>
      <c r="Z1611" s="73"/>
      <c r="AA1611" s="73"/>
      <c r="AB1611" s="73"/>
      <c r="AC1611" s="73"/>
      <c r="AD1611" s="73"/>
      <c r="AE1611" s="73"/>
      <c r="AF1611" s="73"/>
      <c r="AG1611" s="73"/>
      <c r="AH1611" s="73"/>
      <c r="AI1611" s="73"/>
      <c r="AJ1611" s="73"/>
      <c r="AK1611" s="73"/>
      <c r="AL1611" s="73"/>
      <c r="AM1611" s="73"/>
      <c r="AN1611" s="73"/>
      <c r="AO1611" s="73"/>
      <c r="AP1611" s="73"/>
      <c r="AQ1611" s="73"/>
      <c r="AR1611" s="73"/>
      <c r="AS1611" s="73"/>
      <c r="AT1611" s="73"/>
      <c r="AU1611" s="73"/>
      <c r="AV1611" s="73"/>
      <c r="AW1611" s="73"/>
      <c r="AX1611" s="73"/>
      <c r="AY1611" s="73"/>
      <c r="AZ1611" s="73"/>
      <c r="BA1611" s="73"/>
      <c r="BB1611" s="73"/>
      <c r="BC1611" s="73"/>
      <c r="BD1611" s="73"/>
      <c r="BE1611" s="73"/>
      <c r="BF1611" s="73"/>
      <c r="BG1611" s="73"/>
      <c r="BH1611" s="73"/>
      <c r="BI1611" s="73"/>
      <c r="BJ1611" s="73"/>
      <c r="BK1611" s="73"/>
      <c r="BL1611" s="73"/>
      <c r="BM1611" s="73"/>
      <c r="BN1611" s="73"/>
      <c r="BO1611" s="73"/>
      <c r="BP1611" s="73"/>
      <c r="BQ1611" s="73"/>
      <c r="BR1611" s="73"/>
      <c r="BS1611" s="73"/>
      <c r="BT1611" s="73"/>
      <c r="BU1611" s="73"/>
      <c r="BV1611" s="73"/>
      <c r="BW1611" s="73"/>
      <c r="BX1611" s="73"/>
      <c r="BY1611" s="73"/>
      <c r="BZ1611" s="73"/>
      <c r="CA1611" s="73"/>
      <c r="CB1611" s="73"/>
      <c r="CC1611" s="73"/>
      <c r="CD1611" s="73"/>
      <c r="CE1611" s="73"/>
      <c r="CF1611" s="73"/>
      <c r="CG1611" s="73"/>
      <c r="CH1611" s="73"/>
      <c r="CI1611" s="73"/>
      <c r="CJ1611" s="73"/>
      <c r="CK1611" s="73"/>
      <c r="CL1611" s="73"/>
      <c r="CM1611" s="73"/>
      <c r="CN1611" s="73"/>
      <c r="CO1611" s="73"/>
      <c r="CP1611" s="73"/>
      <c r="CQ1611" s="73"/>
      <c r="CR1611" s="73"/>
      <c r="CS1611" s="73"/>
      <c r="CT1611" s="73"/>
      <c r="CU1611" s="73"/>
      <c r="CV1611" s="73"/>
      <c r="CW1611" s="73"/>
      <c r="CX1611" s="73"/>
      <c r="CY1611" s="73"/>
      <c r="CZ1611" s="73"/>
      <c r="DA1611" s="73"/>
      <c r="DB1611" s="73"/>
      <c r="DC1611" s="73"/>
      <c r="DD1611" s="73"/>
      <c r="DE1611" s="73"/>
      <c r="DF1611" s="73"/>
      <c r="DG1611" s="73"/>
      <c r="DH1611" s="73"/>
      <c r="DI1611" s="73"/>
      <c r="DJ1611" s="73"/>
      <c r="DK1611" s="73"/>
      <c r="DL1611" s="73"/>
      <c r="DM1611" s="73"/>
    </row>
    <row r="1612" spans="1:117" s="48" customFormat="1">
      <c r="A1612" s="73"/>
      <c r="T1612" s="73"/>
      <c r="U1612" s="73"/>
      <c r="V1612" s="73"/>
      <c r="W1612" s="73"/>
      <c r="X1612" s="73"/>
      <c r="Y1612" s="73"/>
      <c r="Z1612" s="73"/>
      <c r="AA1612" s="73"/>
      <c r="AB1612" s="73"/>
      <c r="AC1612" s="73"/>
      <c r="AD1612" s="73"/>
      <c r="AE1612" s="73"/>
      <c r="AF1612" s="73"/>
      <c r="AG1612" s="73"/>
      <c r="AH1612" s="73"/>
      <c r="AI1612" s="73"/>
      <c r="AJ1612" s="73"/>
      <c r="AK1612" s="73"/>
      <c r="AL1612" s="73"/>
      <c r="AM1612" s="73"/>
      <c r="AN1612" s="73"/>
      <c r="AO1612" s="73"/>
      <c r="AP1612" s="73"/>
      <c r="AQ1612" s="73"/>
      <c r="AR1612" s="73"/>
      <c r="AS1612" s="73"/>
      <c r="AT1612" s="73"/>
      <c r="AU1612" s="73"/>
      <c r="AV1612" s="73"/>
      <c r="AW1612" s="73"/>
      <c r="AX1612" s="73"/>
      <c r="AY1612" s="73"/>
      <c r="AZ1612" s="73"/>
      <c r="BA1612" s="73"/>
      <c r="BB1612" s="73"/>
      <c r="BC1612" s="73"/>
      <c r="BD1612" s="73"/>
      <c r="BE1612" s="73"/>
      <c r="BF1612" s="73"/>
      <c r="BG1612" s="73"/>
      <c r="BH1612" s="73"/>
      <c r="BI1612" s="73"/>
      <c r="BJ1612" s="73"/>
      <c r="BK1612" s="73"/>
      <c r="BL1612" s="73"/>
      <c r="BM1612" s="73"/>
      <c r="BN1612" s="73"/>
      <c r="BO1612" s="73"/>
      <c r="BP1612" s="73"/>
      <c r="BQ1612" s="73"/>
      <c r="BR1612" s="73"/>
      <c r="BS1612" s="73"/>
      <c r="BT1612" s="73"/>
      <c r="BU1612" s="73"/>
      <c r="BV1612" s="73"/>
      <c r="BW1612" s="73"/>
      <c r="BX1612" s="73"/>
      <c r="BY1612" s="73"/>
      <c r="BZ1612" s="73"/>
      <c r="CA1612" s="73"/>
      <c r="CB1612" s="73"/>
      <c r="CC1612" s="73"/>
      <c r="CD1612" s="73"/>
      <c r="CE1612" s="73"/>
      <c r="CF1612" s="73"/>
      <c r="CG1612" s="73"/>
      <c r="CH1612" s="73"/>
      <c r="CI1612" s="73"/>
      <c r="CJ1612" s="73"/>
      <c r="CK1612" s="73"/>
      <c r="CL1612" s="73"/>
      <c r="CM1612" s="73"/>
      <c r="CN1612" s="73"/>
      <c r="CO1612" s="73"/>
      <c r="CP1612" s="73"/>
      <c r="CQ1612" s="73"/>
      <c r="CR1612" s="73"/>
      <c r="CS1612" s="73"/>
      <c r="CT1612" s="73"/>
      <c r="CU1612" s="73"/>
      <c r="CV1612" s="73"/>
      <c r="CW1612" s="73"/>
      <c r="CX1612" s="73"/>
      <c r="CY1612" s="73"/>
      <c r="CZ1612" s="73"/>
      <c r="DA1612" s="73"/>
      <c r="DB1612" s="73"/>
      <c r="DC1612" s="73"/>
      <c r="DD1612" s="73"/>
      <c r="DE1612" s="73"/>
      <c r="DF1612" s="73"/>
      <c r="DG1612" s="73"/>
      <c r="DH1612" s="73"/>
      <c r="DI1612" s="73"/>
      <c r="DJ1612" s="73"/>
      <c r="DK1612" s="73"/>
      <c r="DL1612" s="73"/>
      <c r="DM1612" s="73"/>
    </row>
    <row r="1613" spans="1:117" s="48" customFormat="1">
      <c r="A1613" s="73"/>
      <c r="T1613" s="73"/>
      <c r="U1613" s="73"/>
      <c r="V1613" s="73"/>
      <c r="W1613" s="73"/>
      <c r="X1613" s="73"/>
      <c r="Y1613" s="73"/>
      <c r="Z1613" s="73"/>
      <c r="AA1613" s="73"/>
      <c r="AB1613" s="73"/>
      <c r="AC1613" s="73"/>
      <c r="AD1613" s="73"/>
      <c r="AE1613" s="73"/>
      <c r="AF1613" s="73"/>
      <c r="AG1613" s="73"/>
      <c r="AH1613" s="73"/>
      <c r="AI1613" s="73"/>
      <c r="AJ1613" s="73"/>
      <c r="AK1613" s="73"/>
      <c r="AL1613" s="73"/>
      <c r="AM1613" s="73"/>
      <c r="AN1613" s="73"/>
      <c r="AO1613" s="73"/>
      <c r="AP1613" s="73"/>
      <c r="AQ1613" s="73"/>
      <c r="AR1613" s="73"/>
      <c r="AS1613" s="73"/>
      <c r="AT1613" s="73"/>
      <c r="AU1613" s="73"/>
      <c r="AV1613" s="73"/>
      <c r="AW1613" s="73"/>
      <c r="AX1613" s="73"/>
      <c r="AY1613" s="73"/>
      <c r="AZ1613" s="73"/>
      <c r="BA1613" s="73"/>
      <c r="BB1613" s="73"/>
      <c r="BC1613" s="73"/>
      <c r="BD1613" s="73"/>
      <c r="BE1613" s="73"/>
      <c r="BF1613" s="73"/>
      <c r="BG1613" s="73"/>
      <c r="BH1613" s="73"/>
      <c r="BI1613" s="73"/>
      <c r="BJ1613" s="73"/>
      <c r="BK1613" s="73"/>
      <c r="BL1613" s="73"/>
      <c r="BM1613" s="73"/>
      <c r="BN1613" s="73"/>
      <c r="BO1613" s="73"/>
      <c r="BP1613" s="73"/>
      <c r="BQ1613" s="73"/>
      <c r="BR1613" s="73"/>
      <c r="BS1613" s="73"/>
      <c r="BT1613" s="73"/>
      <c r="BU1613" s="73"/>
      <c r="BV1613" s="73"/>
      <c r="BW1613" s="73"/>
      <c r="BX1613" s="73"/>
      <c r="BY1613" s="73"/>
      <c r="BZ1613" s="73"/>
      <c r="CA1613" s="73"/>
      <c r="CB1613" s="73"/>
      <c r="CC1613" s="73"/>
      <c r="CD1613" s="73"/>
      <c r="CE1613" s="73"/>
      <c r="CF1613" s="73"/>
      <c r="CG1613" s="73"/>
      <c r="CH1613" s="73"/>
      <c r="CI1613" s="73"/>
      <c r="CJ1613" s="73"/>
      <c r="CK1613" s="73"/>
      <c r="CL1613" s="73"/>
      <c r="CM1613" s="73"/>
      <c r="CN1613" s="73"/>
      <c r="CO1613" s="73"/>
      <c r="CP1613" s="73"/>
      <c r="CQ1613" s="73"/>
      <c r="CR1613" s="73"/>
      <c r="CS1613" s="73"/>
      <c r="CT1613" s="73"/>
      <c r="CU1613" s="73"/>
      <c r="CV1613" s="73"/>
      <c r="CW1613" s="73"/>
      <c r="CX1613" s="73"/>
      <c r="CY1613" s="73"/>
      <c r="CZ1613" s="73"/>
      <c r="DA1613" s="73"/>
      <c r="DB1613" s="73"/>
      <c r="DC1613" s="73"/>
      <c r="DD1613" s="73"/>
      <c r="DE1613" s="73"/>
      <c r="DF1613" s="73"/>
      <c r="DG1613" s="73"/>
      <c r="DH1613" s="73"/>
      <c r="DI1613" s="73"/>
      <c r="DJ1613" s="73"/>
      <c r="DK1613" s="73"/>
      <c r="DL1613" s="73"/>
      <c r="DM1613" s="73"/>
    </row>
    <row r="1614" spans="1:117" s="48" customFormat="1">
      <c r="A1614" s="73"/>
      <c r="T1614" s="73"/>
      <c r="U1614" s="73"/>
      <c r="V1614" s="73"/>
      <c r="W1614" s="73"/>
      <c r="X1614" s="73"/>
      <c r="Y1614" s="73"/>
      <c r="Z1614" s="73"/>
      <c r="AA1614" s="73"/>
      <c r="AB1614" s="73"/>
      <c r="AC1614" s="73"/>
      <c r="AD1614" s="73"/>
      <c r="AE1614" s="73"/>
      <c r="AF1614" s="73"/>
      <c r="AG1614" s="73"/>
      <c r="AH1614" s="73"/>
      <c r="AI1614" s="73"/>
      <c r="AJ1614" s="73"/>
      <c r="AK1614" s="73"/>
      <c r="AL1614" s="73"/>
      <c r="AM1614" s="73"/>
      <c r="AN1614" s="73"/>
      <c r="AO1614" s="73"/>
      <c r="AP1614" s="73"/>
      <c r="AQ1614" s="73"/>
      <c r="AR1614" s="73"/>
      <c r="AS1614" s="73"/>
      <c r="AT1614" s="73"/>
      <c r="AU1614" s="73"/>
      <c r="AV1614" s="73"/>
      <c r="AW1614" s="73"/>
      <c r="AX1614" s="73"/>
      <c r="AY1614" s="73"/>
      <c r="AZ1614" s="73"/>
      <c r="BA1614" s="73"/>
      <c r="BB1614" s="73"/>
      <c r="BC1614" s="73"/>
      <c r="BD1614" s="73"/>
      <c r="BE1614" s="73"/>
      <c r="BF1614" s="73"/>
      <c r="BG1614" s="73"/>
      <c r="BH1614" s="73"/>
      <c r="BI1614" s="73"/>
      <c r="BJ1614" s="73"/>
      <c r="BK1614" s="73"/>
      <c r="BL1614" s="73"/>
      <c r="BM1614" s="73"/>
      <c r="BN1614" s="73"/>
      <c r="BO1614" s="73"/>
      <c r="BP1614" s="73"/>
      <c r="BQ1614" s="73"/>
      <c r="BR1614" s="73"/>
      <c r="BS1614" s="73"/>
      <c r="BT1614" s="73"/>
      <c r="BU1614" s="73"/>
      <c r="BV1614" s="73"/>
      <c r="BW1614" s="73"/>
      <c r="BX1614" s="73"/>
      <c r="BY1614" s="73"/>
      <c r="BZ1614" s="73"/>
      <c r="CA1614" s="73"/>
      <c r="CB1614" s="73"/>
      <c r="CC1614" s="73"/>
      <c r="CD1614" s="73"/>
      <c r="CE1614" s="73"/>
      <c r="CF1614" s="73"/>
      <c r="CG1614" s="73"/>
      <c r="CH1614" s="73"/>
      <c r="CI1614" s="73"/>
      <c r="CJ1614" s="73"/>
      <c r="CK1614" s="73"/>
      <c r="CL1614" s="73"/>
      <c r="CM1614" s="73"/>
      <c r="CN1614" s="73"/>
      <c r="CO1614" s="73"/>
      <c r="CP1614" s="73"/>
      <c r="CQ1614" s="73"/>
      <c r="CR1614" s="73"/>
      <c r="CS1614" s="73"/>
      <c r="CT1614" s="73"/>
      <c r="CU1614" s="73"/>
      <c r="CV1614" s="73"/>
      <c r="CW1614" s="73"/>
      <c r="CX1614" s="73"/>
      <c r="CY1614" s="73"/>
      <c r="CZ1614" s="73"/>
      <c r="DA1614" s="73"/>
      <c r="DB1614" s="73"/>
      <c r="DC1614" s="73"/>
      <c r="DD1614" s="73"/>
      <c r="DE1614" s="73"/>
      <c r="DF1614" s="73"/>
      <c r="DG1614" s="73"/>
      <c r="DH1614" s="73"/>
      <c r="DI1614" s="73"/>
      <c r="DJ1614" s="73"/>
      <c r="DK1614" s="73"/>
      <c r="DL1614" s="73"/>
      <c r="DM1614" s="73"/>
    </row>
    <row r="1615" spans="1:117" s="48" customFormat="1">
      <c r="A1615" s="73"/>
      <c r="T1615" s="73"/>
      <c r="U1615" s="73"/>
      <c r="V1615" s="73"/>
      <c r="W1615" s="73"/>
      <c r="X1615" s="73"/>
      <c r="Y1615" s="73"/>
      <c r="Z1615" s="73"/>
      <c r="AA1615" s="73"/>
      <c r="AB1615" s="73"/>
      <c r="AC1615" s="73"/>
      <c r="AD1615" s="73"/>
      <c r="AE1615" s="73"/>
      <c r="AF1615" s="73"/>
      <c r="AG1615" s="73"/>
      <c r="AH1615" s="73"/>
      <c r="AI1615" s="73"/>
      <c r="AJ1615" s="73"/>
      <c r="AK1615" s="73"/>
      <c r="AL1615" s="73"/>
      <c r="AM1615" s="73"/>
      <c r="AN1615" s="73"/>
      <c r="AO1615" s="73"/>
      <c r="AP1615" s="73"/>
      <c r="AQ1615" s="73"/>
      <c r="AR1615" s="73"/>
      <c r="AS1615" s="73"/>
      <c r="AT1615" s="73"/>
      <c r="AU1615" s="73"/>
      <c r="AV1615" s="73"/>
      <c r="AW1615" s="73"/>
      <c r="AX1615" s="73"/>
      <c r="AY1615" s="73"/>
      <c r="AZ1615" s="73"/>
      <c r="BA1615" s="73"/>
      <c r="BB1615" s="73"/>
      <c r="BC1615" s="73"/>
      <c r="BD1615" s="73"/>
      <c r="BE1615" s="73"/>
      <c r="BF1615" s="73"/>
      <c r="BG1615" s="73"/>
      <c r="BH1615" s="73"/>
      <c r="BI1615" s="73"/>
      <c r="BJ1615" s="73"/>
      <c r="BK1615" s="73"/>
      <c r="BL1615" s="73"/>
      <c r="BM1615" s="73"/>
      <c r="BN1615" s="73"/>
      <c r="BO1615" s="73"/>
      <c r="BP1615" s="73"/>
      <c r="BQ1615" s="73"/>
      <c r="BR1615" s="73"/>
      <c r="BS1615" s="73"/>
      <c r="BT1615" s="73"/>
      <c r="BU1615" s="73"/>
      <c r="BV1615" s="73"/>
      <c r="BW1615" s="73"/>
      <c r="BX1615" s="73"/>
      <c r="BY1615" s="73"/>
      <c r="BZ1615" s="73"/>
      <c r="CA1615" s="73"/>
      <c r="CB1615" s="73"/>
      <c r="CC1615" s="73"/>
      <c r="CD1615" s="73"/>
      <c r="CE1615" s="73"/>
      <c r="CF1615" s="73"/>
      <c r="CG1615" s="73"/>
      <c r="CH1615" s="73"/>
      <c r="CI1615" s="73"/>
      <c r="CJ1615" s="73"/>
      <c r="CK1615" s="73"/>
      <c r="CL1615" s="73"/>
      <c r="CM1615" s="73"/>
      <c r="CN1615" s="73"/>
      <c r="CO1615" s="73"/>
      <c r="CP1615" s="73"/>
      <c r="CQ1615" s="73"/>
      <c r="CR1615" s="73"/>
      <c r="CS1615" s="73"/>
      <c r="CT1615" s="73"/>
      <c r="CU1615" s="73"/>
      <c r="CV1615" s="73"/>
      <c r="CW1615" s="73"/>
      <c r="CX1615" s="73"/>
      <c r="CY1615" s="73"/>
      <c r="CZ1615" s="73"/>
      <c r="DA1615" s="73"/>
      <c r="DB1615" s="73"/>
      <c r="DC1615" s="73"/>
      <c r="DD1615" s="73"/>
      <c r="DE1615" s="73"/>
      <c r="DF1615" s="73"/>
      <c r="DG1615" s="73"/>
      <c r="DH1615" s="73"/>
      <c r="DI1615" s="73"/>
      <c r="DJ1615" s="73"/>
      <c r="DK1615" s="73"/>
      <c r="DL1615" s="73"/>
      <c r="DM1615" s="73"/>
    </row>
    <row r="1616" spans="1:117" s="48" customFormat="1">
      <c r="A1616" s="73"/>
      <c r="T1616" s="73"/>
      <c r="U1616" s="73"/>
      <c r="V1616" s="73"/>
      <c r="W1616" s="73"/>
      <c r="X1616" s="73"/>
      <c r="Y1616" s="73"/>
      <c r="Z1616" s="73"/>
      <c r="AA1616" s="73"/>
      <c r="AB1616" s="73"/>
      <c r="AC1616" s="73"/>
      <c r="AD1616" s="73"/>
      <c r="AE1616" s="73"/>
      <c r="AF1616" s="73"/>
      <c r="AG1616" s="73"/>
      <c r="AH1616" s="73"/>
      <c r="AI1616" s="73"/>
      <c r="AJ1616" s="73"/>
      <c r="AK1616" s="73"/>
      <c r="AL1616" s="73"/>
      <c r="AM1616" s="73"/>
      <c r="AN1616" s="73"/>
      <c r="AO1616" s="73"/>
      <c r="AP1616" s="73"/>
      <c r="AQ1616" s="73"/>
      <c r="AR1616" s="73"/>
      <c r="AS1616" s="73"/>
      <c r="AT1616" s="73"/>
      <c r="AU1616" s="73"/>
      <c r="AV1616" s="73"/>
      <c r="AW1616" s="73"/>
      <c r="AX1616" s="73"/>
      <c r="AY1616" s="73"/>
      <c r="AZ1616" s="73"/>
      <c r="BA1616" s="73"/>
      <c r="BB1616" s="73"/>
      <c r="BC1616" s="73"/>
      <c r="BD1616" s="73"/>
      <c r="BE1616" s="73"/>
      <c r="BF1616" s="73"/>
      <c r="BG1616" s="73"/>
      <c r="BH1616" s="73"/>
      <c r="BI1616" s="73"/>
      <c r="BJ1616" s="73"/>
      <c r="BK1616" s="73"/>
      <c r="BL1616" s="73"/>
      <c r="BM1616" s="73"/>
      <c r="BN1616" s="73"/>
      <c r="BO1616" s="73"/>
      <c r="BP1616" s="73"/>
      <c r="BQ1616" s="73"/>
      <c r="BR1616" s="73"/>
      <c r="BS1616" s="73"/>
      <c r="BT1616" s="73"/>
      <c r="BU1616" s="73"/>
      <c r="BV1616" s="73"/>
      <c r="BW1616" s="73"/>
      <c r="BX1616" s="73"/>
      <c r="BY1616" s="73"/>
      <c r="BZ1616" s="73"/>
      <c r="CA1616" s="73"/>
      <c r="CB1616" s="73"/>
      <c r="CC1616" s="73"/>
      <c r="CD1616" s="73"/>
      <c r="CE1616" s="73"/>
      <c r="CF1616" s="73"/>
      <c r="CG1616" s="73"/>
      <c r="CH1616" s="73"/>
      <c r="CI1616" s="73"/>
      <c r="CJ1616" s="73"/>
      <c r="CK1616" s="73"/>
      <c r="CL1616" s="73"/>
      <c r="CM1616" s="73"/>
      <c r="CN1616" s="73"/>
      <c r="CO1616" s="73"/>
      <c r="CP1616" s="73"/>
      <c r="CQ1616" s="73"/>
      <c r="CR1616" s="73"/>
      <c r="CS1616" s="73"/>
      <c r="CT1616" s="73"/>
      <c r="CU1616" s="73"/>
      <c r="CV1616" s="73"/>
      <c r="CW1616" s="73"/>
      <c r="CX1616" s="73"/>
      <c r="CY1616" s="73"/>
      <c r="CZ1616" s="73"/>
      <c r="DA1616" s="73"/>
      <c r="DB1616" s="73"/>
      <c r="DC1616" s="73"/>
      <c r="DD1616" s="73"/>
      <c r="DE1616" s="73"/>
      <c r="DF1616" s="73"/>
      <c r="DG1616" s="73"/>
      <c r="DH1616" s="73"/>
      <c r="DI1616" s="73"/>
      <c r="DJ1616" s="73"/>
      <c r="DK1616" s="73"/>
      <c r="DL1616" s="73"/>
      <c r="DM1616" s="73"/>
    </row>
    <row r="1617" spans="1:117" s="48" customFormat="1">
      <c r="A1617" s="73"/>
      <c r="T1617" s="73"/>
      <c r="U1617" s="73"/>
      <c r="V1617" s="73"/>
      <c r="W1617" s="73"/>
      <c r="X1617" s="73"/>
      <c r="Y1617" s="73"/>
      <c r="Z1617" s="73"/>
      <c r="AA1617" s="73"/>
      <c r="AB1617" s="73"/>
      <c r="AC1617" s="73"/>
      <c r="AD1617" s="73"/>
      <c r="AE1617" s="73"/>
      <c r="AF1617" s="73"/>
      <c r="AG1617" s="73"/>
      <c r="AH1617" s="73"/>
      <c r="AI1617" s="73"/>
      <c r="AJ1617" s="73"/>
      <c r="AK1617" s="73"/>
      <c r="AL1617" s="73"/>
      <c r="AM1617" s="73"/>
      <c r="AN1617" s="73"/>
      <c r="AO1617" s="73"/>
      <c r="AP1617" s="73"/>
      <c r="AQ1617" s="73"/>
      <c r="AR1617" s="73"/>
      <c r="AS1617" s="73"/>
      <c r="AT1617" s="73"/>
      <c r="AU1617" s="73"/>
      <c r="AV1617" s="73"/>
      <c r="AW1617" s="73"/>
      <c r="AX1617" s="73"/>
      <c r="AY1617" s="73"/>
      <c r="AZ1617" s="73"/>
      <c r="BA1617" s="73"/>
      <c r="BB1617" s="73"/>
      <c r="BC1617" s="73"/>
      <c r="BD1617" s="73"/>
      <c r="BE1617" s="73"/>
      <c r="BF1617" s="73"/>
      <c r="BG1617" s="73"/>
      <c r="BH1617" s="73"/>
      <c r="BI1617" s="73"/>
      <c r="BJ1617" s="73"/>
      <c r="BK1617" s="73"/>
      <c r="BL1617" s="73"/>
      <c r="BM1617" s="73"/>
      <c r="BN1617" s="73"/>
      <c r="BO1617" s="73"/>
      <c r="BP1617" s="73"/>
      <c r="BQ1617" s="73"/>
      <c r="BR1617" s="73"/>
      <c r="BS1617" s="73"/>
      <c r="BT1617" s="73"/>
      <c r="BU1617" s="73"/>
      <c r="BV1617" s="73"/>
      <c r="BW1617" s="73"/>
      <c r="BX1617" s="73"/>
      <c r="BY1617" s="73"/>
      <c r="BZ1617" s="73"/>
      <c r="CA1617" s="73"/>
      <c r="CB1617" s="73"/>
      <c r="CC1617" s="73"/>
      <c r="CD1617" s="73"/>
      <c r="CE1617" s="73"/>
      <c r="CF1617" s="73"/>
      <c r="CG1617" s="73"/>
      <c r="CH1617" s="73"/>
      <c r="CI1617" s="73"/>
      <c r="CJ1617" s="73"/>
      <c r="CK1617" s="73"/>
      <c r="CL1617" s="73"/>
      <c r="CM1617" s="73"/>
      <c r="CN1617" s="73"/>
      <c r="CO1617" s="73"/>
      <c r="CP1617" s="73"/>
      <c r="CQ1617" s="73"/>
      <c r="CR1617" s="73"/>
      <c r="CS1617" s="73"/>
      <c r="CT1617" s="73"/>
      <c r="CU1617" s="73"/>
      <c r="CV1617" s="73"/>
      <c r="CW1617" s="73"/>
      <c r="CX1617" s="73"/>
      <c r="CY1617" s="73"/>
      <c r="CZ1617" s="73"/>
      <c r="DA1617" s="73"/>
      <c r="DB1617" s="73"/>
      <c r="DC1617" s="73"/>
      <c r="DD1617" s="73"/>
      <c r="DE1617" s="73"/>
      <c r="DF1617" s="73"/>
      <c r="DG1617" s="73"/>
      <c r="DH1617" s="73"/>
      <c r="DI1617" s="73"/>
      <c r="DJ1617" s="73"/>
      <c r="DK1617" s="73"/>
      <c r="DL1617" s="73"/>
      <c r="DM1617" s="73"/>
    </row>
    <row r="1618" spans="1:117" s="48" customFormat="1">
      <c r="A1618" s="73"/>
      <c r="T1618" s="73"/>
      <c r="U1618" s="73"/>
      <c r="V1618" s="73"/>
      <c r="W1618" s="73"/>
      <c r="X1618" s="73"/>
      <c r="Y1618" s="73"/>
      <c r="Z1618" s="73"/>
      <c r="AA1618" s="73"/>
      <c r="AB1618" s="73"/>
      <c r="AC1618" s="73"/>
      <c r="AD1618" s="73"/>
      <c r="AE1618" s="73"/>
      <c r="AF1618" s="73"/>
      <c r="AG1618" s="73"/>
      <c r="AH1618" s="73"/>
      <c r="AI1618" s="73"/>
      <c r="AJ1618" s="73"/>
      <c r="AK1618" s="73"/>
      <c r="AL1618" s="73"/>
      <c r="AM1618" s="73"/>
      <c r="AN1618" s="73"/>
      <c r="AO1618" s="73"/>
      <c r="AP1618" s="73"/>
      <c r="AQ1618" s="73"/>
      <c r="AR1618" s="73"/>
      <c r="AS1618" s="73"/>
      <c r="AT1618" s="73"/>
      <c r="AU1618" s="73"/>
      <c r="AV1618" s="73"/>
      <c r="AW1618" s="73"/>
      <c r="AX1618" s="73"/>
      <c r="AY1618" s="73"/>
      <c r="AZ1618" s="73"/>
      <c r="BA1618" s="73"/>
      <c r="BB1618" s="73"/>
      <c r="BC1618" s="73"/>
      <c r="BD1618" s="73"/>
      <c r="BE1618" s="73"/>
      <c r="BF1618" s="73"/>
      <c r="BG1618" s="73"/>
      <c r="BH1618" s="73"/>
      <c r="BI1618" s="73"/>
      <c r="BJ1618" s="73"/>
      <c r="BK1618" s="73"/>
      <c r="BL1618" s="73"/>
      <c r="BM1618" s="73"/>
      <c r="BN1618" s="73"/>
      <c r="BO1618" s="73"/>
      <c r="BP1618" s="73"/>
      <c r="BQ1618" s="73"/>
      <c r="BR1618" s="73"/>
      <c r="BS1618" s="73"/>
      <c r="BT1618" s="73"/>
      <c r="BU1618" s="73"/>
      <c r="BV1618" s="73"/>
      <c r="BW1618" s="73"/>
      <c r="BX1618" s="73"/>
      <c r="BY1618" s="73"/>
      <c r="BZ1618" s="73"/>
      <c r="CA1618" s="73"/>
      <c r="CB1618" s="73"/>
      <c r="CC1618" s="73"/>
      <c r="CD1618" s="73"/>
      <c r="CE1618" s="73"/>
      <c r="CF1618" s="73"/>
      <c r="CG1618" s="73"/>
      <c r="CH1618" s="73"/>
      <c r="CI1618" s="73"/>
      <c r="CJ1618" s="73"/>
      <c r="CK1618" s="73"/>
      <c r="CL1618" s="73"/>
      <c r="CM1618" s="73"/>
      <c r="CN1618" s="73"/>
      <c r="CO1618" s="73"/>
      <c r="CP1618" s="73"/>
      <c r="CQ1618" s="73"/>
      <c r="CR1618" s="73"/>
      <c r="CS1618" s="73"/>
      <c r="CT1618" s="73"/>
      <c r="CU1618" s="73"/>
      <c r="CV1618" s="73"/>
      <c r="CW1618" s="73"/>
      <c r="CX1618" s="73"/>
      <c r="CY1618" s="73"/>
      <c r="CZ1618" s="73"/>
      <c r="DA1618" s="73"/>
      <c r="DB1618" s="73"/>
      <c r="DC1618" s="73"/>
      <c r="DD1618" s="73"/>
      <c r="DE1618" s="73"/>
      <c r="DF1618" s="73"/>
      <c r="DG1618" s="73"/>
      <c r="DH1618" s="73"/>
      <c r="DI1618" s="73"/>
      <c r="DJ1618" s="73"/>
      <c r="DK1618" s="73"/>
      <c r="DL1618" s="73"/>
      <c r="DM1618" s="73"/>
    </row>
    <row r="1619" spans="1:117" s="48" customFormat="1">
      <c r="A1619" s="73"/>
      <c r="T1619" s="73"/>
      <c r="U1619" s="73"/>
      <c r="V1619" s="73"/>
      <c r="W1619" s="73"/>
      <c r="X1619" s="73"/>
      <c r="Y1619" s="73"/>
      <c r="Z1619" s="73"/>
      <c r="AA1619" s="73"/>
      <c r="AB1619" s="73"/>
      <c r="AC1619" s="73"/>
      <c r="AD1619" s="73"/>
      <c r="AE1619" s="73"/>
      <c r="AF1619" s="73"/>
      <c r="AG1619" s="73"/>
      <c r="AH1619" s="73"/>
      <c r="AI1619" s="73"/>
      <c r="AJ1619" s="73"/>
      <c r="AK1619" s="73"/>
      <c r="AL1619" s="73"/>
      <c r="AM1619" s="73"/>
      <c r="AN1619" s="73"/>
      <c r="AO1619" s="73"/>
      <c r="AP1619" s="73"/>
      <c r="AQ1619" s="73"/>
      <c r="AR1619" s="73"/>
      <c r="AS1619" s="73"/>
      <c r="AT1619" s="73"/>
      <c r="AU1619" s="73"/>
      <c r="AV1619" s="73"/>
      <c r="AW1619" s="73"/>
      <c r="AX1619" s="73"/>
      <c r="AY1619" s="73"/>
      <c r="AZ1619" s="73"/>
      <c r="BA1619" s="73"/>
      <c r="BB1619" s="73"/>
      <c r="BC1619" s="73"/>
      <c r="BD1619" s="73"/>
      <c r="BE1619" s="73"/>
      <c r="BF1619" s="73"/>
      <c r="BG1619" s="73"/>
      <c r="BH1619" s="73"/>
      <c r="BI1619" s="73"/>
      <c r="BJ1619" s="73"/>
      <c r="BK1619" s="73"/>
      <c r="BL1619" s="73"/>
      <c r="BM1619" s="73"/>
      <c r="BN1619" s="73"/>
      <c r="BO1619" s="73"/>
      <c r="BP1619" s="73"/>
      <c r="BQ1619" s="73"/>
      <c r="BR1619" s="73"/>
      <c r="BS1619" s="73"/>
      <c r="BT1619" s="73"/>
      <c r="BU1619" s="73"/>
      <c r="BV1619" s="73"/>
      <c r="BW1619" s="73"/>
      <c r="BX1619" s="73"/>
      <c r="BY1619" s="73"/>
      <c r="BZ1619" s="73"/>
      <c r="CA1619" s="73"/>
      <c r="CB1619" s="73"/>
      <c r="CC1619" s="73"/>
      <c r="CD1619" s="73"/>
      <c r="CE1619" s="73"/>
      <c r="CF1619" s="73"/>
      <c r="CG1619" s="73"/>
      <c r="CH1619" s="73"/>
      <c r="CI1619" s="73"/>
      <c r="CJ1619" s="73"/>
      <c r="CK1619" s="73"/>
      <c r="CL1619" s="73"/>
      <c r="CM1619" s="73"/>
      <c r="CN1619" s="73"/>
      <c r="CO1619" s="73"/>
      <c r="CP1619" s="73"/>
      <c r="CQ1619" s="73"/>
      <c r="CR1619" s="73"/>
      <c r="CS1619" s="73"/>
      <c r="CT1619" s="73"/>
      <c r="CU1619" s="73"/>
      <c r="CV1619" s="73"/>
      <c r="CW1619" s="73"/>
      <c r="CX1619" s="73"/>
      <c r="CY1619" s="73"/>
      <c r="CZ1619" s="73"/>
      <c r="DA1619" s="73"/>
      <c r="DB1619" s="73"/>
      <c r="DC1619" s="73"/>
      <c r="DD1619" s="73"/>
      <c r="DE1619" s="73"/>
      <c r="DF1619" s="73"/>
      <c r="DG1619" s="73"/>
      <c r="DH1619" s="73"/>
      <c r="DI1619" s="73"/>
      <c r="DJ1619" s="73"/>
      <c r="DK1619" s="73"/>
      <c r="DL1619" s="73"/>
      <c r="DM1619" s="73"/>
    </row>
    <row r="1620" spans="1:117" s="48" customFormat="1">
      <c r="A1620" s="73"/>
      <c r="T1620" s="73"/>
      <c r="U1620" s="73"/>
      <c r="V1620" s="73"/>
      <c r="W1620" s="73"/>
      <c r="X1620" s="73"/>
      <c r="Y1620" s="73"/>
      <c r="Z1620" s="73"/>
      <c r="AA1620" s="73"/>
      <c r="AB1620" s="73"/>
      <c r="AC1620" s="73"/>
      <c r="AD1620" s="73"/>
      <c r="AE1620" s="73"/>
      <c r="AF1620" s="73"/>
      <c r="AG1620" s="73"/>
      <c r="AH1620" s="73"/>
      <c r="AI1620" s="73"/>
      <c r="AJ1620" s="73"/>
      <c r="AK1620" s="73"/>
      <c r="AL1620" s="73"/>
      <c r="AM1620" s="73"/>
      <c r="AN1620" s="73"/>
      <c r="AO1620" s="73"/>
      <c r="AP1620" s="73"/>
      <c r="AQ1620" s="73"/>
      <c r="AR1620" s="73"/>
      <c r="AS1620" s="73"/>
      <c r="AT1620" s="73"/>
      <c r="AU1620" s="73"/>
      <c r="AV1620" s="73"/>
      <c r="AW1620" s="73"/>
      <c r="AX1620" s="73"/>
      <c r="AY1620" s="73"/>
      <c r="AZ1620" s="73"/>
      <c r="BA1620" s="73"/>
      <c r="BB1620" s="73"/>
      <c r="BC1620" s="73"/>
      <c r="BD1620" s="73"/>
      <c r="BE1620" s="73"/>
      <c r="BF1620" s="73"/>
      <c r="BG1620" s="73"/>
      <c r="BH1620" s="73"/>
      <c r="BI1620" s="73"/>
      <c r="BJ1620" s="73"/>
      <c r="BK1620" s="73"/>
      <c r="BL1620" s="73"/>
      <c r="BM1620" s="73"/>
      <c r="BN1620" s="73"/>
      <c r="BO1620" s="73"/>
      <c r="BP1620" s="73"/>
      <c r="BQ1620" s="73"/>
      <c r="BR1620" s="73"/>
      <c r="BS1620" s="73"/>
      <c r="BT1620" s="73"/>
      <c r="BU1620" s="73"/>
      <c r="BV1620" s="73"/>
      <c r="BW1620" s="73"/>
      <c r="BX1620" s="73"/>
      <c r="BY1620" s="73"/>
      <c r="BZ1620" s="73"/>
      <c r="CA1620" s="73"/>
      <c r="CB1620" s="73"/>
      <c r="CC1620" s="73"/>
      <c r="CD1620" s="73"/>
      <c r="CE1620" s="73"/>
      <c r="CF1620" s="73"/>
      <c r="CG1620" s="73"/>
      <c r="CH1620" s="73"/>
      <c r="CI1620" s="73"/>
      <c r="CJ1620" s="73"/>
      <c r="CK1620" s="73"/>
      <c r="CL1620" s="73"/>
      <c r="CM1620" s="73"/>
      <c r="CN1620" s="73"/>
      <c r="CO1620" s="73"/>
      <c r="CP1620" s="73"/>
      <c r="CQ1620" s="73"/>
      <c r="CR1620" s="73"/>
      <c r="CS1620" s="73"/>
      <c r="CT1620" s="73"/>
      <c r="CU1620" s="73"/>
      <c r="CV1620" s="73"/>
      <c r="CW1620" s="73"/>
      <c r="CX1620" s="73"/>
      <c r="CY1620" s="73"/>
      <c r="CZ1620" s="73"/>
      <c r="DA1620" s="73"/>
      <c r="DB1620" s="73"/>
      <c r="DC1620" s="73"/>
      <c r="DD1620" s="73"/>
      <c r="DE1620" s="73"/>
      <c r="DF1620" s="73"/>
      <c r="DG1620" s="73"/>
      <c r="DH1620" s="73"/>
      <c r="DI1620" s="73"/>
      <c r="DJ1620" s="73"/>
      <c r="DK1620" s="73"/>
      <c r="DL1620" s="73"/>
      <c r="DM1620" s="73"/>
    </row>
    <row r="1621" spans="1:117" s="48" customFormat="1">
      <c r="A1621" s="73"/>
      <c r="T1621" s="73"/>
      <c r="U1621" s="73"/>
      <c r="V1621" s="73"/>
      <c r="W1621" s="73"/>
      <c r="X1621" s="73"/>
      <c r="Y1621" s="73"/>
      <c r="Z1621" s="73"/>
      <c r="AA1621" s="73"/>
      <c r="AB1621" s="73"/>
      <c r="AC1621" s="73"/>
      <c r="AD1621" s="73"/>
      <c r="AE1621" s="73"/>
      <c r="AF1621" s="73"/>
      <c r="AG1621" s="73"/>
      <c r="AH1621" s="73"/>
      <c r="AI1621" s="73"/>
      <c r="AJ1621" s="73"/>
      <c r="AK1621" s="73"/>
      <c r="AL1621" s="73"/>
      <c r="AM1621" s="73"/>
      <c r="AN1621" s="73"/>
      <c r="AO1621" s="73"/>
      <c r="AP1621" s="73"/>
      <c r="AQ1621" s="73"/>
      <c r="AR1621" s="73"/>
      <c r="AS1621" s="73"/>
      <c r="AT1621" s="73"/>
      <c r="AU1621" s="73"/>
      <c r="AV1621" s="73"/>
      <c r="AW1621" s="73"/>
      <c r="AX1621" s="73"/>
      <c r="AY1621" s="73"/>
      <c r="AZ1621" s="73"/>
      <c r="BA1621" s="73"/>
      <c r="BB1621" s="73"/>
      <c r="BC1621" s="73"/>
      <c r="BD1621" s="73"/>
      <c r="BE1621" s="73"/>
      <c r="BF1621" s="73"/>
      <c r="BG1621" s="73"/>
      <c r="BH1621" s="73"/>
      <c r="BI1621" s="73"/>
      <c r="BJ1621" s="73"/>
      <c r="BK1621" s="73"/>
      <c r="BL1621" s="73"/>
      <c r="BM1621" s="73"/>
      <c r="BN1621" s="73"/>
      <c r="BO1621" s="73"/>
      <c r="BP1621" s="73"/>
      <c r="BQ1621" s="73"/>
      <c r="BR1621" s="73"/>
      <c r="BS1621" s="73"/>
      <c r="BT1621" s="73"/>
      <c r="BU1621" s="73"/>
      <c r="BV1621" s="73"/>
      <c r="BW1621" s="73"/>
      <c r="BX1621" s="73"/>
      <c r="BY1621" s="73"/>
      <c r="BZ1621" s="73"/>
      <c r="CA1621" s="73"/>
      <c r="CB1621" s="73"/>
      <c r="CC1621" s="73"/>
      <c r="CD1621" s="73"/>
      <c r="CE1621" s="73"/>
      <c r="CF1621" s="73"/>
      <c r="CG1621" s="73"/>
      <c r="CH1621" s="73"/>
      <c r="CI1621" s="73"/>
      <c r="CJ1621" s="73"/>
      <c r="CK1621" s="73"/>
      <c r="CL1621" s="73"/>
      <c r="CM1621" s="73"/>
      <c r="CN1621" s="73"/>
      <c r="CO1621" s="73"/>
      <c r="CP1621" s="73"/>
      <c r="CQ1621" s="73"/>
      <c r="CR1621" s="73"/>
      <c r="CS1621" s="73"/>
      <c r="CT1621" s="73"/>
      <c r="CU1621" s="73"/>
      <c r="CV1621" s="73"/>
      <c r="CW1621" s="73"/>
      <c r="CX1621" s="73"/>
      <c r="CY1621" s="73"/>
      <c r="CZ1621" s="73"/>
      <c r="DA1621" s="73"/>
      <c r="DB1621" s="73"/>
      <c r="DC1621" s="73"/>
      <c r="DD1621" s="73"/>
      <c r="DE1621" s="73"/>
      <c r="DF1621" s="73"/>
      <c r="DG1621" s="73"/>
      <c r="DH1621" s="73"/>
      <c r="DI1621" s="73"/>
      <c r="DJ1621" s="73"/>
      <c r="DK1621" s="73"/>
      <c r="DL1621" s="73"/>
      <c r="DM1621" s="73"/>
    </row>
    <row r="1622" spans="1:117" s="48" customFormat="1">
      <c r="A1622" s="73"/>
      <c r="T1622" s="73"/>
      <c r="U1622" s="73"/>
      <c r="V1622" s="73"/>
      <c r="W1622" s="73"/>
      <c r="X1622" s="73"/>
      <c r="Y1622" s="73"/>
      <c r="Z1622" s="73"/>
      <c r="AA1622" s="73"/>
      <c r="AB1622" s="73"/>
      <c r="AC1622" s="73"/>
      <c r="AD1622" s="73"/>
      <c r="AE1622" s="73"/>
      <c r="AF1622" s="73"/>
      <c r="AG1622" s="73"/>
      <c r="AH1622" s="73"/>
      <c r="AI1622" s="73"/>
      <c r="AJ1622" s="73"/>
      <c r="AK1622" s="73"/>
      <c r="AL1622" s="73"/>
      <c r="AM1622" s="73"/>
      <c r="AN1622" s="73"/>
      <c r="AO1622" s="73"/>
      <c r="AP1622" s="73"/>
      <c r="AQ1622" s="73"/>
      <c r="AR1622" s="73"/>
      <c r="AS1622" s="73"/>
      <c r="AT1622" s="73"/>
      <c r="AU1622" s="73"/>
      <c r="AV1622" s="73"/>
      <c r="AW1622" s="73"/>
      <c r="AX1622" s="73"/>
      <c r="AY1622" s="73"/>
      <c r="AZ1622" s="73"/>
      <c r="BA1622" s="73"/>
      <c r="BB1622" s="73"/>
      <c r="BC1622" s="73"/>
      <c r="BD1622" s="73"/>
      <c r="BE1622" s="73"/>
      <c r="BF1622" s="73"/>
      <c r="BG1622" s="73"/>
      <c r="BH1622" s="73"/>
      <c r="BI1622" s="73"/>
      <c r="BJ1622" s="73"/>
      <c r="BK1622" s="73"/>
      <c r="BL1622" s="73"/>
      <c r="BM1622" s="73"/>
      <c r="BN1622" s="73"/>
      <c r="BO1622" s="73"/>
      <c r="BP1622" s="73"/>
      <c r="BQ1622" s="73"/>
      <c r="BR1622" s="73"/>
      <c r="BS1622" s="73"/>
      <c r="BT1622" s="73"/>
      <c r="BU1622" s="73"/>
      <c r="BV1622" s="73"/>
      <c r="BW1622" s="73"/>
      <c r="BX1622" s="73"/>
      <c r="BY1622" s="73"/>
      <c r="BZ1622" s="73"/>
      <c r="CA1622" s="73"/>
      <c r="CB1622" s="73"/>
      <c r="CC1622" s="73"/>
      <c r="CD1622" s="73"/>
      <c r="CE1622" s="73"/>
      <c r="CF1622" s="73"/>
      <c r="CG1622" s="73"/>
      <c r="CH1622" s="73"/>
      <c r="CI1622" s="73"/>
      <c r="CJ1622" s="73"/>
      <c r="CK1622" s="73"/>
      <c r="CL1622" s="73"/>
      <c r="CM1622" s="73"/>
      <c r="CN1622" s="73"/>
      <c r="CO1622" s="73"/>
      <c r="CP1622" s="73"/>
      <c r="CQ1622" s="73"/>
      <c r="CR1622" s="73"/>
      <c r="CS1622" s="73"/>
      <c r="CT1622" s="73"/>
      <c r="CU1622" s="73"/>
      <c r="CV1622" s="73"/>
      <c r="CW1622" s="73"/>
      <c r="CX1622" s="73"/>
      <c r="CY1622" s="73"/>
      <c r="CZ1622" s="73"/>
      <c r="DA1622" s="73"/>
      <c r="DB1622" s="73"/>
      <c r="DC1622" s="73"/>
      <c r="DD1622" s="73"/>
      <c r="DE1622" s="73"/>
      <c r="DF1622" s="73"/>
      <c r="DG1622" s="73"/>
      <c r="DH1622" s="73"/>
      <c r="DI1622" s="73"/>
      <c r="DJ1622" s="73"/>
      <c r="DK1622" s="73"/>
      <c r="DL1622" s="73"/>
      <c r="DM1622" s="73"/>
    </row>
    <row r="1623" spans="1:117" s="48" customFormat="1">
      <c r="A1623" s="73"/>
      <c r="T1623" s="73"/>
      <c r="U1623" s="73"/>
      <c r="V1623" s="73"/>
      <c r="W1623" s="73"/>
      <c r="X1623" s="73"/>
      <c r="Y1623" s="73"/>
      <c r="Z1623" s="73"/>
      <c r="AA1623" s="73"/>
      <c r="AB1623" s="73"/>
      <c r="AC1623" s="73"/>
      <c r="AD1623" s="73"/>
      <c r="AE1623" s="73"/>
      <c r="AF1623" s="73"/>
      <c r="AG1623" s="73"/>
      <c r="AH1623" s="73"/>
      <c r="AI1623" s="73"/>
      <c r="AJ1623" s="73"/>
      <c r="AK1623" s="73"/>
      <c r="AL1623" s="73"/>
      <c r="AM1623" s="73"/>
      <c r="AN1623" s="73"/>
      <c r="AO1623" s="73"/>
      <c r="AP1623" s="73"/>
      <c r="AQ1623" s="73"/>
      <c r="AR1623" s="73"/>
      <c r="AS1623" s="73"/>
      <c r="AT1623" s="73"/>
      <c r="AU1623" s="73"/>
      <c r="AV1623" s="73"/>
      <c r="AW1623" s="73"/>
      <c r="AX1623" s="73"/>
      <c r="AY1623" s="73"/>
      <c r="AZ1623" s="73"/>
      <c r="BA1623" s="73"/>
      <c r="BB1623" s="73"/>
      <c r="BC1623" s="73"/>
      <c r="BD1623" s="73"/>
      <c r="BE1623" s="73"/>
      <c r="BF1623" s="73"/>
      <c r="BG1623" s="73"/>
      <c r="BH1623" s="73"/>
      <c r="BI1623" s="73"/>
      <c r="BJ1623" s="73"/>
      <c r="BK1623" s="73"/>
      <c r="BL1623" s="73"/>
      <c r="BM1623" s="73"/>
      <c r="BN1623" s="73"/>
      <c r="BO1623" s="73"/>
      <c r="BP1623" s="73"/>
      <c r="BQ1623" s="73"/>
      <c r="BR1623" s="73"/>
      <c r="BS1623" s="73"/>
      <c r="BT1623" s="73"/>
      <c r="BU1623" s="73"/>
      <c r="BV1623" s="73"/>
      <c r="BW1623" s="73"/>
      <c r="BX1623" s="73"/>
      <c r="BY1623" s="73"/>
      <c r="BZ1623" s="73"/>
      <c r="CA1623" s="73"/>
      <c r="CB1623" s="73"/>
      <c r="CC1623" s="73"/>
      <c r="CD1623" s="73"/>
      <c r="CE1623" s="73"/>
      <c r="CF1623" s="73"/>
      <c r="CG1623" s="73"/>
      <c r="CH1623" s="73"/>
      <c r="CI1623" s="73"/>
      <c r="CJ1623" s="73"/>
      <c r="CK1623" s="73"/>
      <c r="CL1623" s="73"/>
      <c r="CM1623" s="73"/>
      <c r="CN1623" s="73"/>
      <c r="CO1623" s="73"/>
      <c r="CP1623" s="73"/>
      <c r="CQ1623" s="73"/>
      <c r="CR1623" s="73"/>
      <c r="CS1623" s="73"/>
      <c r="CT1623" s="73"/>
      <c r="CU1623" s="73"/>
      <c r="CV1623" s="73"/>
      <c r="CW1623" s="73"/>
      <c r="CX1623" s="73"/>
      <c r="CY1623" s="73"/>
      <c r="CZ1623" s="73"/>
      <c r="DA1623" s="73"/>
      <c r="DB1623" s="73"/>
      <c r="DC1623" s="73"/>
      <c r="DD1623" s="73"/>
      <c r="DE1623" s="73"/>
      <c r="DF1623" s="73"/>
      <c r="DG1623" s="73"/>
      <c r="DH1623" s="73"/>
      <c r="DI1623" s="73"/>
      <c r="DJ1623" s="73"/>
      <c r="DK1623" s="73"/>
      <c r="DL1623" s="73"/>
      <c r="DM1623" s="73"/>
    </row>
    <row r="1624" spans="1:117" s="48" customFormat="1">
      <c r="A1624" s="73"/>
      <c r="T1624" s="73"/>
      <c r="U1624" s="73"/>
      <c r="V1624" s="73"/>
      <c r="W1624" s="73"/>
      <c r="X1624" s="73"/>
      <c r="Y1624" s="73"/>
      <c r="Z1624" s="73"/>
      <c r="AA1624" s="73"/>
      <c r="AB1624" s="73"/>
      <c r="AC1624" s="73"/>
      <c r="AD1624" s="73"/>
      <c r="AE1624" s="73"/>
      <c r="AF1624" s="73"/>
      <c r="AG1624" s="73"/>
      <c r="AH1624" s="73"/>
      <c r="AI1624" s="73"/>
      <c r="AJ1624" s="73"/>
      <c r="AK1624" s="73"/>
      <c r="AL1624" s="73"/>
      <c r="AM1624" s="73"/>
      <c r="AN1624" s="73"/>
      <c r="AO1624" s="73"/>
      <c r="AP1624" s="73"/>
      <c r="AQ1624" s="73"/>
      <c r="AR1624" s="73"/>
      <c r="AS1624" s="73"/>
      <c r="AT1624" s="73"/>
      <c r="AU1624" s="73"/>
      <c r="AV1624" s="73"/>
      <c r="AW1624" s="73"/>
      <c r="AX1624" s="73"/>
      <c r="AY1624" s="73"/>
      <c r="AZ1624" s="73"/>
      <c r="BA1624" s="73"/>
      <c r="BB1624" s="73"/>
      <c r="BC1624" s="73"/>
      <c r="BD1624" s="73"/>
      <c r="BE1624" s="73"/>
      <c r="BF1624" s="73"/>
      <c r="BG1624" s="73"/>
      <c r="BH1624" s="73"/>
      <c r="BI1624" s="73"/>
      <c r="BJ1624" s="73"/>
      <c r="BK1624" s="73"/>
      <c r="BL1624" s="73"/>
      <c r="BM1624" s="73"/>
      <c r="BN1624" s="73"/>
      <c r="BO1624" s="73"/>
      <c r="BP1624" s="73"/>
      <c r="BQ1624" s="73"/>
      <c r="BR1624" s="73"/>
      <c r="BS1624" s="73"/>
      <c r="BT1624" s="73"/>
      <c r="BU1624" s="73"/>
      <c r="BV1624" s="73"/>
      <c r="BW1624" s="73"/>
      <c r="BX1624" s="73"/>
      <c r="BY1624" s="73"/>
      <c r="BZ1624" s="73"/>
      <c r="CA1624" s="73"/>
      <c r="CB1624" s="73"/>
      <c r="CC1624" s="73"/>
      <c r="CD1624" s="73"/>
      <c r="CE1624" s="73"/>
      <c r="CF1624" s="73"/>
      <c r="CG1624" s="73"/>
      <c r="CH1624" s="73"/>
      <c r="CI1624" s="73"/>
      <c r="CJ1624" s="73"/>
      <c r="CK1624" s="73"/>
      <c r="CL1624" s="73"/>
      <c r="CM1624" s="73"/>
      <c r="CN1624" s="73"/>
      <c r="CO1624" s="73"/>
      <c r="CP1624" s="73"/>
      <c r="CQ1624" s="73"/>
      <c r="CR1624" s="73"/>
      <c r="CS1624" s="73"/>
      <c r="CT1624" s="73"/>
      <c r="CU1624" s="73"/>
      <c r="CV1624" s="73"/>
      <c r="CW1624" s="73"/>
      <c r="CX1624" s="73"/>
      <c r="CY1624" s="73"/>
      <c r="CZ1624" s="73"/>
      <c r="DA1624" s="73"/>
      <c r="DB1624" s="73"/>
      <c r="DC1624" s="73"/>
      <c r="DD1624" s="73"/>
      <c r="DE1624" s="73"/>
      <c r="DF1624" s="73"/>
      <c r="DG1624" s="73"/>
      <c r="DH1624" s="73"/>
      <c r="DI1624" s="73"/>
      <c r="DJ1624" s="73"/>
      <c r="DK1624" s="73"/>
      <c r="DL1624" s="73"/>
      <c r="DM1624" s="73"/>
    </row>
    <row r="1625" spans="1:117" s="48" customFormat="1">
      <c r="A1625" s="73"/>
      <c r="T1625" s="73"/>
      <c r="U1625" s="73"/>
      <c r="V1625" s="73"/>
      <c r="W1625" s="73"/>
      <c r="X1625" s="73"/>
      <c r="Y1625" s="73"/>
      <c r="Z1625" s="73"/>
      <c r="AA1625" s="73"/>
      <c r="AB1625" s="73"/>
      <c r="AC1625" s="73"/>
      <c r="AD1625" s="73"/>
      <c r="AE1625" s="73"/>
      <c r="AF1625" s="73"/>
      <c r="AG1625" s="73"/>
      <c r="AH1625" s="73"/>
      <c r="AI1625" s="73"/>
      <c r="AJ1625" s="73"/>
      <c r="AK1625" s="73"/>
      <c r="AL1625" s="73"/>
      <c r="AM1625" s="73"/>
      <c r="AN1625" s="73"/>
      <c r="AO1625" s="73"/>
      <c r="AP1625" s="73"/>
      <c r="AQ1625" s="73"/>
      <c r="AR1625" s="73"/>
      <c r="AS1625" s="73"/>
      <c r="AT1625" s="73"/>
      <c r="AU1625" s="73"/>
      <c r="AV1625" s="73"/>
      <c r="AW1625" s="73"/>
      <c r="AX1625" s="73"/>
      <c r="AY1625" s="73"/>
      <c r="AZ1625" s="73"/>
      <c r="BA1625" s="73"/>
      <c r="BB1625" s="73"/>
      <c r="BC1625" s="73"/>
      <c r="BD1625" s="73"/>
      <c r="BE1625" s="73"/>
      <c r="BF1625" s="73"/>
      <c r="BG1625" s="73"/>
      <c r="BH1625" s="73"/>
      <c r="BI1625" s="73"/>
      <c r="BJ1625" s="73"/>
      <c r="BK1625" s="73"/>
      <c r="BL1625" s="73"/>
      <c r="BM1625" s="73"/>
      <c r="BN1625" s="73"/>
      <c r="BO1625" s="73"/>
      <c r="BP1625" s="73"/>
      <c r="BQ1625" s="73"/>
      <c r="BR1625" s="73"/>
      <c r="BS1625" s="73"/>
      <c r="BT1625" s="73"/>
      <c r="BU1625" s="73"/>
      <c r="BV1625" s="73"/>
      <c r="BW1625" s="73"/>
      <c r="BX1625" s="73"/>
      <c r="BY1625" s="73"/>
      <c r="BZ1625" s="73"/>
      <c r="CA1625" s="73"/>
      <c r="CB1625" s="73"/>
      <c r="CC1625" s="73"/>
      <c r="CD1625" s="73"/>
      <c r="CE1625" s="73"/>
      <c r="CF1625" s="73"/>
      <c r="CG1625" s="73"/>
      <c r="CH1625" s="73"/>
      <c r="CI1625" s="73"/>
      <c r="CJ1625" s="73"/>
      <c r="CK1625" s="73"/>
      <c r="CL1625" s="73"/>
      <c r="CM1625" s="73"/>
      <c r="CN1625" s="73"/>
      <c r="CO1625" s="73"/>
      <c r="CP1625" s="73"/>
      <c r="CQ1625" s="73"/>
      <c r="CR1625" s="73"/>
      <c r="CS1625" s="73"/>
      <c r="CT1625" s="73"/>
      <c r="CU1625" s="73"/>
      <c r="CV1625" s="73"/>
      <c r="CW1625" s="73"/>
      <c r="CX1625" s="73"/>
      <c r="CY1625" s="73"/>
      <c r="CZ1625" s="73"/>
      <c r="DA1625" s="73"/>
      <c r="DB1625" s="73"/>
      <c r="DC1625" s="73"/>
      <c r="DD1625" s="73"/>
      <c r="DE1625" s="73"/>
      <c r="DF1625" s="73"/>
      <c r="DG1625" s="73"/>
      <c r="DH1625" s="73"/>
      <c r="DI1625" s="73"/>
      <c r="DJ1625" s="73"/>
      <c r="DK1625" s="73"/>
      <c r="DL1625" s="73"/>
      <c r="DM1625" s="73"/>
    </row>
    <row r="1626" spans="1:117" s="48" customFormat="1">
      <c r="A1626" s="73"/>
      <c r="T1626" s="73"/>
      <c r="U1626" s="73"/>
      <c r="V1626" s="73"/>
      <c r="W1626" s="73"/>
      <c r="X1626" s="73"/>
      <c r="Y1626" s="73"/>
      <c r="Z1626" s="73"/>
      <c r="AA1626" s="73"/>
      <c r="AB1626" s="73"/>
      <c r="AC1626" s="73"/>
      <c r="AD1626" s="73"/>
      <c r="AE1626" s="73"/>
      <c r="AF1626" s="73"/>
      <c r="AG1626" s="73"/>
      <c r="AH1626" s="73"/>
      <c r="AI1626" s="73"/>
      <c r="AJ1626" s="73"/>
      <c r="AK1626" s="73"/>
      <c r="AL1626" s="73"/>
      <c r="AM1626" s="73"/>
      <c r="AN1626" s="73"/>
      <c r="AO1626" s="73"/>
      <c r="AP1626" s="73"/>
      <c r="AQ1626" s="73"/>
      <c r="AR1626" s="73"/>
      <c r="AS1626" s="73"/>
      <c r="AT1626" s="73"/>
      <c r="AU1626" s="73"/>
      <c r="AV1626" s="73"/>
      <c r="AW1626" s="73"/>
      <c r="AX1626" s="73"/>
      <c r="AY1626" s="73"/>
      <c r="AZ1626" s="73"/>
      <c r="BA1626" s="73"/>
      <c r="BB1626" s="73"/>
      <c r="BC1626" s="73"/>
      <c r="BD1626" s="73"/>
      <c r="BE1626" s="73"/>
      <c r="BF1626" s="73"/>
      <c r="BG1626" s="73"/>
      <c r="BH1626" s="73"/>
      <c r="BI1626" s="73"/>
      <c r="BJ1626" s="73"/>
      <c r="BK1626" s="73"/>
      <c r="BL1626" s="73"/>
      <c r="BM1626" s="73"/>
      <c r="BN1626" s="73"/>
      <c r="BO1626" s="73"/>
      <c r="BP1626" s="73"/>
      <c r="BQ1626" s="73"/>
      <c r="BR1626" s="73"/>
      <c r="BS1626" s="73"/>
      <c r="BT1626" s="73"/>
      <c r="BU1626" s="73"/>
      <c r="BV1626" s="73"/>
      <c r="BW1626" s="73"/>
      <c r="BX1626" s="73"/>
      <c r="BY1626" s="73"/>
      <c r="BZ1626" s="73"/>
      <c r="CA1626" s="73"/>
      <c r="CB1626" s="73"/>
      <c r="CC1626" s="73"/>
      <c r="CD1626" s="73"/>
      <c r="CE1626" s="73"/>
      <c r="CF1626" s="73"/>
      <c r="CG1626" s="73"/>
      <c r="CH1626" s="73"/>
      <c r="CI1626" s="73"/>
      <c r="CJ1626" s="73"/>
      <c r="CK1626" s="73"/>
      <c r="CL1626" s="73"/>
      <c r="CM1626" s="73"/>
      <c r="CN1626" s="73"/>
      <c r="CO1626" s="73"/>
      <c r="CP1626" s="73"/>
      <c r="CQ1626" s="73"/>
      <c r="CR1626" s="73"/>
      <c r="CS1626" s="73"/>
      <c r="CT1626" s="73"/>
      <c r="CU1626" s="73"/>
      <c r="CV1626" s="73"/>
      <c r="CW1626" s="73"/>
      <c r="CX1626" s="73"/>
      <c r="CY1626" s="73"/>
      <c r="CZ1626" s="73"/>
      <c r="DA1626" s="73"/>
      <c r="DB1626" s="73"/>
      <c r="DC1626" s="73"/>
      <c r="DD1626" s="73"/>
      <c r="DE1626" s="73"/>
      <c r="DF1626" s="73"/>
      <c r="DG1626" s="73"/>
      <c r="DH1626" s="73"/>
      <c r="DI1626" s="73"/>
      <c r="DJ1626" s="73"/>
      <c r="DK1626" s="73"/>
      <c r="DL1626" s="73"/>
      <c r="DM1626" s="73"/>
    </row>
    <row r="1627" spans="1:117" s="48" customFormat="1">
      <c r="A1627" s="73"/>
      <c r="T1627" s="73"/>
      <c r="U1627" s="73"/>
      <c r="V1627" s="73"/>
      <c r="W1627" s="73"/>
      <c r="X1627" s="73"/>
      <c r="Y1627" s="73"/>
      <c r="Z1627" s="73"/>
      <c r="AA1627" s="73"/>
      <c r="AB1627" s="73"/>
      <c r="AC1627" s="73"/>
      <c r="AD1627" s="73"/>
      <c r="AE1627" s="73"/>
      <c r="AF1627" s="73"/>
      <c r="AG1627" s="73"/>
      <c r="AH1627" s="73"/>
      <c r="AI1627" s="73"/>
      <c r="AJ1627" s="73"/>
      <c r="AK1627" s="73"/>
      <c r="AL1627" s="73"/>
      <c r="AM1627" s="73"/>
      <c r="AN1627" s="73"/>
      <c r="AO1627" s="73"/>
      <c r="AP1627" s="73"/>
      <c r="AQ1627" s="73"/>
      <c r="AR1627" s="73"/>
      <c r="AS1627" s="73"/>
      <c r="AT1627" s="73"/>
      <c r="AU1627" s="73"/>
      <c r="AV1627" s="73"/>
      <c r="AW1627" s="73"/>
      <c r="AX1627" s="73"/>
      <c r="AY1627" s="73"/>
      <c r="AZ1627" s="73"/>
      <c r="BA1627" s="73"/>
      <c r="BB1627" s="73"/>
      <c r="BC1627" s="73"/>
      <c r="BD1627" s="73"/>
      <c r="BE1627" s="73"/>
      <c r="BF1627" s="73"/>
      <c r="BG1627" s="73"/>
      <c r="BH1627" s="73"/>
      <c r="BI1627" s="73"/>
      <c r="BJ1627" s="73"/>
      <c r="BK1627" s="73"/>
      <c r="BL1627" s="73"/>
      <c r="BM1627" s="73"/>
      <c r="BN1627" s="73"/>
      <c r="BO1627" s="73"/>
      <c r="BP1627" s="73"/>
      <c r="BQ1627" s="73"/>
      <c r="BR1627" s="73"/>
      <c r="BS1627" s="73"/>
      <c r="BT1627" s="73"/>
      <c r="BU1627" s="73"/>
      <c r="BV1627" s="73"/>
      <c r="BW1627" s="73"/>
      <c r="BX1627" s="73"/>
      <c r="BY1627" s="73"/>
      <c r="BZ1627" s="73"/>
      <c r="CA1627" s="73"/>
      <c r="CB1627" s="73"/>
      <c r="CC1627" s="73"/>
      <c r="CD1627" s="73"/>
      <c r="CE1627" s="73"/>
      <c r="CF1627" s="73"/>
      <c r="CG1627" s="73"/>
      <c r="CH1627" s="73"/>
      <c r="CI1627" s="73"/>
      <c r="CJ1627" s="73"/>
      <c r="CK1627" s="73"/>
      <c r="CL1627" s="73"/>
      <c r="CM1627" s="73"/>
      <c r="CN1627" s="73"/>
      <c r="CO1627" s="73"/>
      <c r="CP1627" s="73"/>
      <c r="CQ1627" s="73"/>
      <c r="CR1627" s="73"/>
      <c r="CS1627" s="73"/>
      <c r="CT1627" s="73"/>
      <c r="CU1627" s="73"/>
      <c r="CV1627" s="73"/>
      <c r="CW1627" s="73"/>
      <c r="CX1627" s="73"/>
      <c r="CY1627" s="73"/>
      <c r="CZ1627" s="73"/>
      <c r="DA1627" s="73"/>
      <c r="DB1627" s="73"/>
      <c r="DC1627" s="73"/>
      <c r="DD1627" s="73"/>
      <c r="DE1627" s="73"/>
      <c r="DF1627" s="73"/>
      <c r="DG1627" s="73"/>
      <c r="DH1627" s="73"/>
      <c r="DI1627" s="73"/>
      <c r="DJ1627" s="73"/>
      <c r="DK1627" s="73"/>
      <c r="DL1627" s="73"/>
      <c r="DM1627" s="73"/>
    </row>
    <row r="1628" spans="1:117" s="48" customFormat="1">
      <c r="A1628" s="73"/>
      <c r="T1628" s="73"/>
      <c r="U1628" s="73"/>
      <c r="V1628" s="73"/>
      <c r="W1628" s="73"/>
      <c r="X1628" s="73"/>
      <c r="Y1628" s="73"/>
      <c r="Z1628" s="73"/>
      <c r="AA1628" s="73"/>
      <c r="AB1628" s="73"/>
      <c r="AC1628" s="73"/>
      <c r="AD1628" s="73"/>
      <c r="AE1628" s="73"/>
      <c r="AF1628" s="73"/>
      <c r="AG1628" s="73"/>
      <c r="AH1628" s="73"/>
      <c r="AI1628" s="73"/>
      <c r="AJ1628" s="73"/>
      <c r="AK1628" s="73"/>
      <c r="AL1628" s="73"/>
      <c r="AM1628" s="73"/>
      <c r="AN1628" s="73"/>
      <c r="AO1628" s="73"/>
      <c r="AP1628" s="73"/>
      <c r="AQ1628" s="73"/>
      <c r="AR1628" s="73"/>
      <c r="AS1628" s="73"/>
      <c r="AT1628" s="73"/>
      <c r="AU1628" s="73"/>
      <c r="AV1628" s="73"/>
      <c r="AW1628" s="73"/>
      <c r="AX1628" s="73"/>
      <c r="AY1628" s="73"/>
      <c r="AZ1628" s="73"/>
      <c r="BA1628" s="73"/>
      <c r="BB1628" s="73"/>
      <c r="BC1628" s="73"/>
      <c r="BD1628" s="73"/>
      <c r="BE1628" s="73"/>
      <c r="BF1628" s="73"/>
      <c r="BG1628" s="73"/>
      <c r="BH1628" s="73"/>
      <c r="BI1628" s="73"/>
      <c r="BJ1628" s="73"/>
      <c r="BK1628" s="73"/>
      <c r="BL1628" s="73"/>
      <c r="BM1628" s="73"/>
      <c r="BN1628" s="73"/>
      <c r="BO1628" s="73"/>
      <c r="BP1628" s="73"/>
      <c r="BQ1628" s="73"/>
      <c r="BR1628" s="73"/>
      <c r="BS1628" s="73"/>
      <c r="BT1628" s="73"/>
      <c r="BU1628" s="73"/>
      <c r="BV1628" s="73"/>
      <c r="BW1628" s="73"/>
      <c r="BX1628" s="73"/>
      <c r="BY1628" s="73"/>
      <c r="BZ1628" s="73"/>
      <c r="CA1628" s="73"/>
      <c r="CB1628" s="73"/>
      <c r="CC1628" s="73"/>
      <c r="CD1628" s="73"/>
      <c r="CE1628" s="73"/>
      <c r="CF1628" s="73"/>
      <c r="CG1628" s="73"/>
      <c r="CH1628" s="73"/>
      <c r="CI1628" s="73"/>
      <c r="CJ1628" s="73"/>
      <c r="CK1628" s="73"/>
      <c r="CL1628" s="73"/>
      <c r="CM1628" s="73"/>
      <c r="CN1628" s="73"/>
      <c r="CO1628" s="73"/>
      <c r="CP1628" s="73"/>
      <c r="CQ1628" s="73"/>
      <c r="CR1628" s="73"/>
      <c r="CS1628" s="73"/>
      <c r="CT1628" s="73"/>
      <c r="CU1628" s="73"/>
      <c r="CV1628" s="73"/>
      <c r="CW1628" s="73"/>
      <c r="CX1628" s="73"/>
      <c r="CY1628" s="73"/>
      <c r="CZ1628" s="73"/>
      <c r="DA1628" s="73"/>
      <c r="DB1628" s="73"/>
      <c r="DC1628" s="73"/>
      <c r="DD1628" s="73"/>
      <c r="DE1628" s="73"/>
      <c r="DF1628" s="73"/>
      <c r="DG1628" s="73"/>
      <c r="DH1628" s="73"/>
      <c r="DI1628" s="73"/>
      <c r="DJ1628" s="73"/>
      <c r="DK1628" s="73"/>
      <c r="DL1628" s="73"/>
      <c r="DM1628" s="73"/>
    </row>
    <row r="1629" spans="1:117" s="48" customFormat="1">
      <c r="A1629" s="73"/>
      <c r="T1629" s="73"/>
      <c r="U1629" s="73"/>
      <c r="V1629" s="73"/>
      <c r="W1629" s="73"/>
      <c r="X1629" s="73"/>
      <c r="Y1629" s="73"/>
      <c r="Z1629" s="73"/>
      <c r="AA1629" s="73"/>
      <c r="AB1629" s="73"/>
      <c r="AC1629" s="73"/>
      <c r="AD1629" s="73"/>
      <c r="AE1629" s="73"/>
      <c r="AF1629" s="73"/>
      <c r="AG1629" s="73"/>
      <c r="AH1629" s="73"/>
      <c r="AI1629" s="73"/>
      <c r="AJ1629" s="73"/>
      <c r="AK1629" s="73"/>
      <c r="AL1629" s="73"/>
      <c r="AM1629" s="73"/>
      <c r="AN1629" s="73"/>
      <c r="AO1629" s="73"/>
      <c r="AP1629" s="73"/>
      <c r="AQ1629" s="73"/>
      <c r="AR1629" s="73"/>
      <c r="AS1629" s="73"/>
      <c r="AT1629" s="73"/>
      <c r="AU1629" s="73"/>
      <c r="AV1629" s="73"/>
      <c r="AW1629" s="73"/>
      <c r="AX1629" s="73"/>
      <c r="AY1629" s="73"/>
      <c r="AZ1629" s="73"/>
      <c r="BA1629" s="73"/>
      <c r="BB1629" s="73"/>
      <c r="BC1629" s="73"/>
      <c r="BD1629" s="73"/>
      <c r="BE1629" s="73"/>
      <c r="BF1629" s="73"/>
      <c r="BG1629" s="73"/>
      <c r="BH1629" s="73"/>
      <c r="BI1629" s="73"/>
      <c r="BJ1629" s="73"/>
      <c r="BK1629" s="73"/>
      <c r="BL1629" s="73"/>
      <c r="BM1629" s="73"/>
      <c r="BN1629" s="73"/>
      <c r="BO1629" s="73"/>
      <c r="BP1629" s="73"/>
      <c r="BQ1629" s="73"/>
      <c r="BR1629" s="73"/>
      <c r="BS1629" s="73"/>
      <c r="BT1629" s="73"/>
      <c r="BU1629" s="73"/>
      <c r="BV1629" s="73"/>
      <c r="BW1629" s="73"/>
      <c r="BX1629" s="73"/>
      <c r="BY1629" s="73"/>
      <c r="BZ1629" s="73"/>
      <c r="CA1629" s="73"/>
      <c r="CB1629" s="73"/>
      <c r="CC1629" s="73"/>
      <c r="CD1629" s="73"/>
      <c r="CE1629" s="73"/>
      <c r="CF1629" s="73"/>
      <c r="CG1629" s="73"/>
      <c r="CH1629" s="73"/>
      <c r="CI1629" s="73"/>
      <c r="CJ1629" s="73"/>
      <c r="CK1629" s="73"/>
      <c r="CL1629" s="73"/>
      <c r="CM1629" s="73"/>
      <c r="CN1629" s="73"/>
      <c r="CO1629" s="73"/>
      <c r="CP1629" s="73"/>
      <c r="CQ1629" s="73"/>
      <c r="CR1629" s="73"/>
      <c r="CS1629" s="73"/>
      <c r="CT1629" s="73"/>
      <c r="CU1629" s="73"/>
      <c r="CV1629" s="73"/>
      <c r="CW1629" s="73"/>
      <c r="CX1629" s="73"/>
      <c r="CY1629" s="73"/>
      <c r="CZ1629" s="73"/>
      <c r="DA1629" s="73"/>
      <c r="DB1629" s="73"/>
      <c r="DC1629" s="73"/>
      <c r="DD1629" s="73"/>
      <c r="DE1629" s="73"/>
      <c r="DF1629" s="73"/>
      <c r="DG1629" s="73"/>
      <c r="DH1629" s="73"/>
      <c r="DI1629" s="73"/>
      <c r="DJ1629" s="73"/>
      <c r="DK1629" s="73"/>
      <c r="DL1629" s="73"/>
      <c r="DM1629" s="73"/>
    </row>
    <row r="1630" spans="1:117" s="48" customFormat="1">
      <c r="A1630" s="73"/>
      <c r="T1630" s="73"/>
      <c r="U1630" s="73"/>
      <c r="V1630" s="73"/>
      <c r="W1630" s="73"/>
      <c r="X1630" s="73"/>
      <c r="Y1630" s="73"/>
      <c r="Z1630" s="73"/>
      <c r="AA1630" s="73"/>
      <c r="AB1630" s="73"/>
      <c r="AC1630" s="73"/>
      <c r="AD1630" s="73"/>
      <c r="AE1630" s="73"/>
      <c r="AF1630" s="73"/>
      <c r="AG1630" s="73"/>
      <c r="AH1630" s="73"/>
      <c r="AI1630" s="73"/>
      <c r="AJ1630" s="73"/>
      <c r="AK1630" s="73"/>
      <c r="AL1630" s="73"/>
      <c r="AM1630" s="73"/>
      <c r="AN1630" s="73"/>
      <c r="AO1630" s="73"/>
      <c r="AP1630" s="73"/>
      <c r="AQ1630" s="73"/>
      <c r="AR1630" s="73"/>
      <c r="AS1630" s="73"/>
      <c r="AT1630" s="73"/>
      <c r="AU1630" s="73"/>
      <c r="AV1630" s="73"/>
      <c r="AW1630" s="73"/>
      <c r="AX1630" s="73"/>
      <c r="AY1630" s="73"/>
      <c r="AZ1630" s="73"/>
      <c r="BA1630" s="73"/>
      <c r="BB1630" s="73"/>
      <c r="BC1630" s="73"/>
      <c r="BD1630" s="73"/>
      <c r="BE1630" s="73"/>
      <c r="BF1630" s="73"/>
      <c r="BG1630" s="73"/>
      <c r="BH1630" s="73"/>
      <c r="BI1630" s="73"/>
      <c r="BJ1630" s="73"/>
      <c r="BK1630" s="73"/>
      <c r="BL1630" s="73"/>
      <c r="BM1630" s="73"/>
      <c r="BN1630" s="73"/>
      <c r="BO1630" s="73"/>
      <c r="BP1630" s="73"/>
      <c r="BQ1630" s="73"/>
      <c r="BR1630" s="73"/>
      <c r="BS1630" s="73"/>
      <c r="BT1630" s="73"/>
      <c r="BU1630" s="73"/>
      <c r="BV1630" s="73"/>
      <c r="BW1630" s="73"/>
      <c r="BX1630" s="73"/>
      <c r="BY1630" s="73"/>
      <c r="BZ1630" s="73"/>
      <c r="CA1630" s="73"/>
      <c r="CB1630" s="73"/>
      <c r="CC1630" s="73"/>
      <c r="CD1630" s="73"/>
      <c r="CE1630" s="73"/>
      <c r="CF1630" s="73"/>
      <c r="CG1630" s="73"/>
      <c r="CH1630" s="73"/>
      <c r="CI1630" s="73"/>
      <c r="CJ1630" s="73"/>
      <c r="CK1630" s="73"/>
      <c r="CL1630" s="73"/>
      <c r="CM1630" s="73"/>
      <c r="CN1630" s="73"/>
      <c r="CO1630" s="73"/>
      <c r="CP1630" s="73"/>
      <c r="CQ1630" s="73"/>
      <c r="CR1630" s="73"/>
      <c r="CS1630" s="73"/>
      <c r="CT1630" s="73"/>
      <c r="CU1630" s="73"/>
      <c r="CV1630" s="73"/>
      <c r="CW1630" s="73"/>
      <c r="CX1630" s="73"/>
      <c r="CY1630" s="73"/>
      <c r="CZ1630" s="73"/>
      <c r="DA1630" s="73"/>
      <c r="DB1630" s="73"/>
      <c r="DC1630" s="73"/>
      <c r="DD1630" s="73"/>
      <c r="DE1630" s="73"/>
      <c r="DF1630" s="73"/>
      <c r="DG1630" s="73"/>
      <c r="DH1630" s="73"/>
      <c r="DI1630" s="73"/>
      <c r="DJ1630" s="73"/>
      <c r="DK1630" s="73"/>
      <c r="DL1630" s="73"/>
      <c r="DM1630" s="73"/>
    </row>
    <row r="1631" spans="1:117" s="48" customFormat="1">
      <c r="A1631" s="73"/>
      <c r="T1631" s="73"/>
      <c r="U1631" s="73"/>
      <c r="V1631" s="73"/>
      <c r="W1631" s="73"/>
      <c r="X1631" s="73"/>
      <c r="Y1631" s="73"/>
      <c r="Z1631" s="73"/>
      <c r="AA1631" s="73"/>
      <c r="AB1631" s="73"/>
      <c r="AC1631" s="73"/>
      <c r="AD1631" s="73"/>
      <c r="AE1631" s="73"/>
      <c r="AF1631" s="73"/>
      <c r="AG1631" s="73"/>
      <c r="AH1631" s="73"/>
      <c r="AI1631" s="73"/>
      <c r="AJ1631" s="73"/>
      <c r="AK1631" s="73"/>
      <c r="AL1631" s="73"/>
      <c r="AM1631" s="73"/>
      <c r="AN1631" s="73"/>
      <c r="AO1631" s="73"/>
      <c r="AP1631" s="73"/>
      <c r="AQ1631" s="73"/>
      <c r="AR1631" s="73"/>
      <c r="AS1631" s="73"/>
      <c r="AT1631" s="73"/>
      <c r="AU1631" s="73"/>
      <c r="AV1631" s="73"/>
      <c r="AW1631" s="73"/>
      <c r="AX1631" s="73"/>
      <c r="AY1631" s="73"/>
      <c r="AZ1631" s="73"/>
      <c r="BA1631" s="73"/>
      <c r="BB1631" s="73"/>
      <c r="BC1631" s="73"/>
      <c r="BD1631" s="73"/>
      <c r="BE1631" s="73"/>
      <c r="BF1631" s="73"/>
      <c r="BG1631" s="73"/>
      <c r="BH1631" s="73"/>
      <c r="BI1631" s="73"/>
      <c r="BJ1631" s="73"/>
      <c r="BK1631" s="73"/>
      <c r="BL1631" s="73"/>
      <c r="BM1631" s="73"/>
      <c r="BN1631" s="73"/>
      <c r="BO1631" s="73"/>
      <c r="BP1631" s="73"/>
      <c r="BQ1631" s="73"/>
      <c r="BR1631" s="73"/>
      <c r="BS1631" s="73"/>
      <c r="BT1631" s="73"/>
      <c r="BU1631" s="73"/>
      <c r="BV1631" s="73"/>
      <c r="BW1631" s="73"/>
      <c r="BX1631" s="73"/>
      <c r="BY1631" s="73"/>
      <c r="BZ1631" s="73"/>
      <c r="CA1631" s="73"/>
      <c r="CB1631" s="73"/>
      <c r="CC1631" s="73"/>
      <c r="CD1631" s="73"/>
      <c r="CE1631" s="73"/>
      <c r="CF1631" s="73"/>
      <c r="CG1631" s="73"/>
      <c r="CH1631" s="73"/>
      <c r="CI1631" s="73"/>
      <c r="CJ1631" s="73"/>
      <c r="CK1631" s="73"/>
      <c r="CL1631" s="73"/>
      <c r="CM1631" s="73"/>
      <c r="CN1631" s="73"/>
      <c r="CO1631" s="73"/>
      <c r="CP1631" s="73"/>
      <c r="CQ1631" s="73"/>
      <c r="CR1631" s="73"/>
      <c r="CS1631" s="73"/>
      <c r="CT1631" s="73"/>
      <c r="CU1631" s="73"/>
      <c r="CV1631" s="73"/>
      <c r="CW1631" s="73"/>
      <c r="CX1631" s="73"/>
      <c r="CY1631" s="73"/>
      <c r="CZ1631" s="73"/>
      <c r="DA1631" s="73"/>
      <c r="DB1631" s="73"/>
      <c r="DC1631" s="73"/>
      <c r="DD1631" s="73"/>
      <c r="DE1631" s="73"/>
      <c r="DF1631" s="73"/>
      <c r="DG1631" s="73"/>
      <c r="DH1631" s="73"/>
      <c r="DI1631" s="73"/>
      <c r="DJ1631" s="73"/>
      <c r="DK1631" s="73"/>
      <c r="DL1631" s="73"/>
      <c r="DM1631" s="73"/>
    </row>
    <row r="1632" spans="1:117" s="48" customFormat="1">
      <c r="A1632" s="73"/>
      <c r="T1632" s="73"/>
      <c r="U1632" s="73"/>
      <c r="V1632" s="73"/>
      <c r="W1632" s="73"/>
      <c r="X1632" s="73"/>
      <c r="Y1632" s="73"/>
      <c r="Z1632" s="73"/>
      <c r="AA1632" s="73"/>
      <c r="AB1632" s="73"/>
      <c r="AC1632" s="73"/>
      <c r="AD1632" s="73"/>
      <c r="AE1632" s="73"/>
      <c r="AF1632" s="73"/>
      <c r="AG1632" s="73"/>
      <c r="AH1632" s="73"/>
      <c r="AI1632" s="73"/>
      <c r="AJ1632" s="73"/>
      <c r="AK1632" s="73"/>
      <c r="AL1632" s="73"/>
      <c r="AM1632" s="73"/>
      <c r="AN1632" s="73"/>
      <c r="AO1632" s="73"/>
      <c r="AP1632" s="73"/>
      <c r="AQ1632" s="73"/>
      <c r="AR1632" s="73"/>
      <c r="AS1632" s="73"/>
      <c r="AT1632" s="73"/>
      <c r="AU1632" s="73"/>
      <c r="AV1632" s="73"/>
      <c r="AW1632" s="73"/>
      <c r="AX1632" s="73"/>
      <c r="AY1632" s="73"/>
      <c r="AZ1632" s="73"/>
      <c r="BA1632" s="73"/>
      <c r="BB1632" s="73"/>
      <c r="BC1632" s="73"/>
      <c r="BD1632" s="73"/>
      <c r="BE1632" s="73"/>
      <c r="BF1632" s="73"/>
      <c r="BG1632" s="73"/>
      <c r="BH1632" s="73"/>
      <c r="BI1632" s="73"/>
      <c r="BJ1632" s="73"/>
      <c r="BK1632" s="73"/>
      <c r="BL1632" s="73"/>
      <c r="BM1632" s="73"/>
      <c r="BN1632" s="73"/>
      <c r="BO1632" s="73"/>
      <c r="BP1632" s="73"/>
      <c r="BQ1632" s="73"/>
      <c r="BR1632" s="73"/>
      <c r="BS1632" s="73"/>
      <c r="BT1632" s="73"/>
      <c r="BU1632" s="73"/>
      <c r="BV1632" s="73"/>
      <c r="BW1632" s="73"/>
      <c r="BX1632" s="73"/>
      <c r="BY1632" s="73"/>
      <c r="BZ1632" s="73"/>
      <c r="CA1632" s="73"/>
      <c r="CB1632" s="73"/>
      <c r="CC1632" s="73"/>
      <c r="CD1632" s="73"/>
      <c r="CE1632" s="73"/>
      <c r="CF1632" s="73"/>
      <c r="CG1632" s="73"/>
      <c r="CH1632" s="73"/>
      <c r="CI1632" s="73"/>
      <c r="CJ1632" s="73"/>
      <c r="CK1632" s="73"/>
      <c r="CL1632" s="73"/>
      <c r="CM1632" s="73"/>
      <c r="CN1632" s="73"/>
      <c r="CO1632" s="73"/>
      <c r="CP1632" s="73"/>
      <c r="CQ1632" s="73"/>
      <c r="CR1632" s="73"/>
      <c r="CS1632" s="73"/>
      <c r="CT1632" s="73"/>
      <c r="CU1632" s="73"/>
      <c r="CV1632" s="73"/>
      <c r="CW1632" s="73"/>
      <c r="CX1632" s="73"/>
      <c r="CY1632" s="73"/>
      <c r="CZ1632" s="73"/>
      <c r="DA1632" s="73"/>
      <c r="DB1632" s="73"/>
      <c r="DC1632" s="73"/>
      <c r="DD1632" s="73"/>
      <c r="DE1632" s="73"/>
      <c r="DF1632" s="73"/>
      <c r="DG1632" s="73"/>
      <c r="DH1632" s="73"/>
      <c r="DI1632" s="73"/>
      <c r="DJ1632" s="73"/>
      <c r="DK1632" s="73"/>
      <c r="DL1632" s="73"/>
      <c r="DM1632" s="73"/>
    </row>
    <row r="1633" spans="1:117" s="48" customFormat="1">
      <c r="A1633" s="73"/>
      <c r="T1633" s="73"/>
      <c r="U1633" s="73"/>
      <c r="V1633" s="73"/>
      <c r="W1633" s="73"/>
      <c r="X1633" s="73"/>
      <c r="Y1633" s="73"/>
      <c r="Z1633" s="73"/>
      <c r="AA1633" s="73"/>
      <c r="AB1633" s="73"/>
      <c r="AC1633" s="73"/>
      <c r="AD1633" s="73"/>
      <c r="AE1633" s="73"/>
      <c r="AF1633" s="73"/>
      <c r="AG1633" s="73"/>
      <c r="AH1633" s="73"/>
      <c r="AI1633" s="73"/>
      <c r="AJ1633" s="73"/>
      <c r="AK1633" s="73"/>
      <c r="AL1633" s="73"/>
      <c r="AM1633" s="73"/>
      <c r="AN1633" s="73"/>
      <c r="AO1633" s="73"/>
      <c r="AP1633" s="73"/>
      <c r="AQ1633" s="73"/>
      <c r="AR1633" s="73"/>
      <c r="AS1633" s="73"/>
      <c r="AT1633" s="73"/>
      <c r="AU1633" s="73"/>
      <c r="AV1633" s="73"/>
      <c r="AW1633" s="73"/>
      <c r="AX1633" s="73"/>
      <c r="AY1633" s="73"/>
      <c r="AZ1633" s="73"/>
      <c r="BA1633" s="73"/>
      <c r="BB1633" s="73"/>
      <c r="BC1633" s="73"/>
      <c r="BD1633" s="73"/>
      <c r="BE1633" s="73"/>
      <c r="BF1633" s="73"/>
      <c r="BG1633" s="73"/>
      <c r="BH1633" s="73"/>
      <c r="BI1633" s="73"/>
      <c r="BJ1633" s="73"/>
      <c r="BK1633" s="73"/>
      <c r="BL1633" s="73"/>
      <c r="BM1633" s="73"/>
      <c r="BN1633" s="73"/>
      <c r="BO1633" s="73"/>
      <c r="BP1633" s="73"/>
      <c r="BQ1633" s="73"/>
      <c r="BR1633" s="73"/>
      <c r="BS1633" s="73"/>
      <c r="BT1633" s="73"/>
      <c r="BU1633" s="73"/>
      <c r="BV1633" s="73"/>
      <c r="BW1633" s="73"/>
      <c r="BX1633" s="73"/>
      <c r="BY1633" s="73"/>
      <c r="BZ1633" s="73"/>
      <c r="CA1633" s="73"/>
      <c r="CB1633" s="73"/>
      <c r="CC1633" s="73"/>
      <c r="CD1633" s="73"/>
      <c r="CE1633" s="73"/>
      <c r="CF1633" s="73"/>
      <c r="CG1633" s="73"/>
      <c r="CH1633" s="73"/>
      <c r="CI1633" s="73"/>
      <c r="CJ1633" s="73"/>
      <c r="CK1633" s="73"/>
      <c r="CL1633" s="73"/>
      <c r="CM1633" s="73"/>
      <c r="CN1633" s="73"/>
      <c r="CO1633" s="73"/>
      <c r="CP1633" s="73"/>
      <c r="CQ1633" s="73"/>
      <c r="CR1633" s="73"/>
      <c r="CS1633" s="73"/>
      <c r="CT1633" s="73"/>
      <c r="CU1633" s="73"/>
      <c r="CV1633" s="73"/>
      <c r="CW1633" s="73"/>
      <c r="CX1633" s="73"/>
      <c r="CY1633" s="73"/>
      <c r="CZ1633" s="73"/>
      <c r="DA1633" s="73"/>
      <c r="DB1633" s="73"/>
      <c r="DC1633" s="73"/>
      <c r="DD1633" s="73"/>
      <c r="DE1633" s="73"/>
      <c r="DF1633" s="73"/>
      <c r="DG1633" s="73"/>
      <c r="DH1633" s="73"/>
      <c r="DI1633" s="73"/>
      <c r="DJ1633" s="73"/>
      <c r="DK1633" s="73"/>
      <c r="DL1633" s="73"/>
      <c r="DM1633" s="73"/>
    </row>
    <row r="1634" spans="1:117" s="48" customFormat="1">
      <c r="A1634" s="73"/>
      <c r="T1634" s="73"/>
      <c r="U1634" s="73"/>
      <c r="V1634" s="73"/>
      <c r="W1634" s="73"/>
      <c r="X1634" s="73"/>
      <c r="Y1634" s="73"/>
      <c r="Z1634" s="73"/>
      <c r="AA1634" s="73"/>
      <c r="AB1634" s="73"/>
      <c r="AC1634" s="73"/>
      <c r="AD1634" s="73"/>
      <c r="AE1634" s="73"/>
      <c r="AF1634" s="73"/>
      <c r="AG1634" s="73"/>
      <c r="AH1634" s="73"/>
      <c r="AI1634" s="73"/>
      <c r="AJ1634" s="73"/>
      <c r="AK1634" s="73"/>
      <c r="AL1634" s="73"/>
      <c r="AM1634" s="73"/>
      <c r="AN1634" s="73"/>
      <c r="AO1634" s="73"/>
      <c r="AP1634" s="73"/>
      <c r="AQ1634" s="73"/>
      <c r="AR1634" s="73"/>
      <c r="AS1634" s="73"/>
      <c r="AT1634" s="73"/>
      <c r="AU1634" s="73"/>
      <c r="AV1634" s="73"/>
      <c r="AW1634" s="73"/>
      <c r="AX1634" s="73"/>
      <c r="AY1634" s="73"/>
      <c r="AZ1634" s="73"/>
      <c r="BA1634" s="73"/>
      <c r="BB1634" s="73"/>
      <c r="BC1634" s="73"/>
      <c r="BD1634" s="73"/>
      <c r="BE1634" s="73"/>
      <c r="BF1634" s="73"/>
      <c r="BG1634" s="73"/>
      <c r="BH1634" s="73"/>
      <c r="BI1634" s="73"/>
      <c r="BJ1634" s="73"/>
      <c r="BK1634" s="73"/>
      <c r="BL1634" s="73"/>
      <c r="BM1634" s="73"/>
      <c r="BN1634" s="73"/>
      <c r="BO1634" s="73"/>
      <c r="BP1634" s="73"/>
      <c r="BQ1634" s="73"/>
      <c r="BR1634" s="73"/>
      <c r="BS1634" s="73"/>
      <c r="BT1634" s="73"/>
      <c r="BU1634" s="73"/>
      <c r="BV1634" s="73"/>
      <c r="BW1634" s="73"/>
      <c r="BX1634" s="73"/>
      <c r="BY1634" s="73"/>
      <c r="BZ1634" s="73"/>
      <c r="CA1634" s="73"/>
      <c r="CB1634" s="73"/>
      <c r="CC1634" s="73"/>
      <c r="CD1634" s="73"/>
      <c r="CE1634" s="73"/>
      <c r="CF1634" s="73"/>
      <c r="CG1634" s="73"/>
      <c r="CH1634" s="73"/>
      <c r="CI1634" s="73"/>
      <c r="CJ1634" s="73"/>
      <c r="CK1634" s="73"/>
      <c r="CL1634" s="73"/>
      <c r="CM1634" s="73"/>
      <c r="CN1634" s="73"/>
      <c r="CO1634" s="73"/>
      <c r="CP1634" s="73"/>
      <c r="CQ1634" s="73"/>
      <c r="CR1634" s="73"/>
      <c r="CS1634" s="73"/>
      <c r="CT1634" s="73"/>
      <c r="CU1634" s="73"/>
      <c r="CV1634" s="73"/>
      <c r="CW1634" s="73"/>
      <c r="CX1634" s="73"/>
      <c r="CY1634" s="73"/>
      <c r="CZ1634" s="73"/>
      <c r="DA1634" s="73"/>
      <c r="DB1634" s="73"/>
      <c r="DC1634" s="73"/>
      <c r="DD1634" s="73"/>
      <c r="DE1634" s="73"/>
      <c r="DF1634" s="73"/>
      <c r="DG1634" s="73"/>
      <c r="DH1634" s="73"/>
      <c r="DI1634" s="73"/>
      <c r="DJ1634" s="73"/>
      <c r="DK1634" s="73"/>
      <c r="DL1634" s="73"/>
      <c r="DM1634" s="73"/>
    </row>
    <row r="1635" spans="1:117" s="48" customFormat="1">
      <c r="A1635" s="73"/>
      <c r="T1635" s="73"/>
      <c r="U1635" s="73"/>
      <c r="V1635" s="73"/>
      <c r="W1635" s="73"/>
      <c r="X1635" s="73"/>
      <c r="Y1635" s="73"/>
      <c r="Z1635" s="73"/>
      <c r="AA1635" s="73"/>
      <c r="AB1635" s="73"/>
      <c r="AC1635" s="73"/>
      <c r="AD1635" s="73"/>
      <c r="AE1635" s="73"/>
      <c r="AF1635" s="73"/>
      <c r="AG1635" s="73"/>
      <c r="AH1635" s="73"/>
      <c r="AI1635" s="73"/>
      <c r="AJ1635" s="73"/>
      <c r="AK1635" s="73"/>
      <c r="AL1635" s="73"/>
      <c r="AM1635" s="73"/>
      <c r="AN1635" s="73"/>
      <c r="AO1635" s="73"/>
      <c r="AP1635" s="73"/>
      <c r="AQ1635" s="73"/>
      <c r="AR1635" s="73"/>
      <c r="AS1635" s="73"/>
      <c r="AT1635" s="73"/>
      <c r="AU1635" s="73"/>
      <c r="AV1635" s="73"/>
      <c r="AW1635" s="73"/>
      <c r="AX1635" s="73"/>
      <c r="AY1635" s="73"/>
      <c r="AZ1635" s="73"/>
      <c r="BA1635" s="73"/>
      <c r="BB1635" s="73"/>
      <c r="BC1635" s="73"/>
      <c r="BD1635" s="73"/>
      <c r="BE1635" s="73"/>
      <c r="BF1635" s="73"/>
      <c r="BG1635" s="73"/>
      <c r="BH1635" s="73"/>
      <c r="BI1635" s="73"/>
      <c r="BJ1635" s="73"/>
      <c r="BK1635" s="73"/>
      <c r="BL1635" s="73"/>
      <c r="BM1635" s="73"/>
      <c r="BN1635" s="73"/>
      <c r="BO1635" s="73"/>
      <c r="BP1635" s="73"/>
      <c r="BQ1635" s="73"/>
      <c r="BR1635" s="73"/>
      <c r="BS1635" s="73"/>
      <c r="BT1635" s="73"/>
      <c r="BU1635" s="73"/>
      <c r="BV1635" s="73"/>
      <c r="BW1635" s="73"/>
      <c r="BX1635" s="73"/>
      <c r="BY1635" s="73"/>
      <c r="BZ1635" s="73"/>
      <c r="CA1635" s="73"/>
      <c r="CB1635" s="73"/>
      <c r="CC1635" s="73"/>
      <c r="CD1635" s="73"/>
      <c r="CE1635" s="73"/>
      <c r="CF1635" s="73"/>
      <c r="CG1635" s="73"/>
      <c r="CH1635" s="73"/>
      <c r="CI1635" s="73"/>
      <c r="CJ1635" s="73"/>
      <c r="CK1635" s="73"/>
      <c r="CL1635" s="73"/>
      <c r="CM1635" s="73"/>
      <c r="CN1635" s="73"/>
      <c r="CO1635" s="73"/>
      <c r="CP1635" s="73"/>
      <c r="CQ1635" s="73"/>
      <c r="CR1635" s="73"/>
      <c r="CS1635" s="73"/>
      <c r="CT1635" s="73"/>
      <c r="CU1635" s="73"/>
      <c r="CV1635" s="73"/>
      <c r="CW1635" s="73"/>
      <c r="CX1635" s="73"/>
      <c r="CY1635" s="73"/>
      <c r="CZ1635" s="73"/>
      <c r="DA1635" s="73"/>
      <c r="DB1635" s="73"/>
      <c r="DC1635" s="73"/>
      <c r="DD1635" s="73"/>
      <c r="DE1635" s="73"/>
      <c r="DF1635" s="73"/>
      <c r="DG1635" s="73"/>
      <c r="DH1635" s="73"/>
      <c r="DI1635" s="73"/>
      <c r="DJ1635" s="73"/>
      <c r="DK1635" s="73"/>
      <c r="DL1635" s="73"/>
      <c r="DM1635" s="73"/>
    </row>
    <row r="1636" spans="1:117" s="48" customFormat="1">
      <c r="A1636" s="73"/>
      <c r="T1636" s="73"/>
      <c r="U1636" s="73"/>
      <c r="V1636" s="73"/>
      <c r="W1636" s="73"/>
      <c r="X1636" s="73"/>
      <c r="Y1636" s="73"/>
      <c r="Z1636" s="73"/>
      <c r="AA1636" s="73"/>
      <c r="AB1636" s="73"/>
      <c r="AC1636" s="73"/>
      <c r="AD1636" s="73"/>
      <c r="AE1636" s="73"/>
      <c r="AF1636" s="73"/>
      <c r="AG1636" s="73"/>
      <c r="AH1636" s="73"/>
      <c r="AI1636" s="73"/>
      <c r="AJ1636" s="73"/>
      <c r="AK1636" s="73"/>
      <c r="AL1636" s="73"/>
      <c r="AM1636" s="73"/>
      <c r="AN1636" s="73"/>
      <c r="AO1636" s="73"/>
      <c r="AP1636" s="73"/>
      <c r="AQ1636" s="73"/>
      <c r="AR1636" s="73"/>
      <c r="AS1636" s="73"/>
      <c r="AT1636" s="73"/>
      <c r="AU1636" s="73"/>
      <c r="AV1636" s="73"/>
      <c r="AW1636" s="73"/>
      <c r="AX1636" s="73"/>
      <c r="AY1636" s="73"/>
      <c r="AZ1636" s="73"/>
      <c r="BA1636" s="73"/>
      <c r="BB1636" s="73"/>
      <c r="BC1636" s="73"/>
      <c r="BD1636" s="73"/>
      <c r="BE1636" s="73"/>
      <c r="BF1636" s="73"/>
      <c r="BG1636" s="73"/>
      <c r="BH1636" s="73"/>
      <c r="BI1636" s="73"/>
      <c r="BJ1636" s="73"/>
      <c r="BK1636" s="73"/>
      <c r="BL1636" s="73"/>
      <c r="BM1636" s="73"/>
      <c r="BN1636" s="73"/>
      <c r="BO1636" s="73"/>
      <c r="BP1636" s="73"/>
      <c r="BQ1636" s="73"/>
      <c r="BR1636" s="73"/>
      <c r="BS1636" s="73"/>
      <c r="BT1636" s="73"/>
      <c r="BU1636" s="73"/>
      <c r="BV1636" s="73"/>
      <c r="BW1636" s="73"/>
      <c r="BX1636" s="73"/>
      <c r="BY1636" s="73"/>
      <c r="BZ1636" s="73"/>
      <c r="CA1636" s="73"/>
      <c r="CB1636" s="73"/>
      <c r="CC1636" s="73"/>
      <c r="CD1636" s="73"/>
      <c r="CE1636" s="73"/>
      <c r="CF1636" s="73"/>
      <c r="CG1636" s="73"/>
      <c r="CH1636" s="73"/>
      <c r="CI1636" s="73"/>
      <c r="CJ1636" s="73"/>
      <c r="CK1636" s="73"/>
      <c r="CL1636" s="73"/>
      <c r="CM1636" s="73"/>
      <c r="CN1636" s="73"/>
      <c r="CO1636" s="73"/>
      <c r="CP1636" s="73"/>
      <c r="CQ1636" s="73"/>
      <c r="CR1636" s="73"/>
      <c r="CS1636" s="73"/>
      <c r="CT1636" s="73"/>
      <c r="CU1636" s="73"/>
      <c r="CV1636" s="73"/>
      <c r="CW1636" s="73"/>
      <c r="CX1636" s="73"/>
      <c r="CY1636" s="73"/>
      <c r="CZ1636" s="73"/>
      <c r="DA1636" s="73"/>
      <c r="DB1636" s="73"/>
      <c r="DC1636" s="73"/>
      <c r="DD1636" s="73"/>
      <c r="DE1636" s="73"/>
      <c r="DF1636" s="73"/>
      <c r="DG1636" s="73"/>
      <c r="DH1636" s="73"/>
      <c r="DI1636" s="73"/>
      <c r="DJ1636" s="73"/>
      <c r="DK1636" s="73"/>
      <c r="DL1636" s="73"/>
      <c r="DM1636" s="73"/>
    </row>
    <row r="1637" spans="1:117" s="48" customFormat="1">
      <c r="A1637" s="73"/>
      <c r="T1637" s="73"/>
      <c r="U1637" s="73"/>
      <c r="V1637" s="73"/>
      <c r="W1637" s="73"/>
      <c r="X1637" s="73"/>
      <c r="Y1637" s="73"/>
      <c r="Z1637" s="73"/>
      <c r="AA1637" s="73"/>
      <c r="AB1637" s="73"/>
      <c r="AC1637" s="73"/>
      <c r="AD1637" s="73"/>
      <c r="AE1637" s="73"/>
      <c r="AF1637" s="73"/>
      <c r="AG1637" s="73"/>
      <c r="AH1637" s="73"/>
      <c r="AI1637" s="73"/>
      <c r="AJ1637" s="73"/>
      <c r="AK1637" s="73"/>
      <c r="AL1637" s="73"/>
      <c r="AM1637" s="73"/>
      <c r="AN1637" s="73"/>
      <c r="AO1637" s="73"/>
      <c r="AP1637" s="73"/>
      <c r="AQ1637" s="73"/>
      <c r="AR1637" s="73"/>
      <c r="AS1637" s="73"/>
      <c r="AT1637" s="73"/>
      <c r="AU1637" s="73"/>
      <c r="AV1637" s="73"/>
      <c r="AW1637" s="73"/>
      <c r="AX1637" s="73"/>
      <c r="AY1637" s="73"/>
      <c r="AZ1637" s="73"/>
      <c r="BA1637" s="73"/>
      <c r="BB1637" s="73"/>
      <c r="BC1637" s="73"/>
      <c r="BD1637" s="73"/>
      <c r="BE1637" s="73"/>
      <c r="BF1637" s="73"/>
      <c r="BG1637" s="73"/>
      <c r="BH1637" s="73"/>
      <c r="BI1637" s="73"/>
      <c r="BJ1637" s="73"/>
      <c r="BK1637" s="73"/>
      <c r="BL1637" s="73"/>
      <c r="BM1637" s="73"/>
      <c r="BN1637" s="73"/>
      <c r="BO1637" s="73"/>
      <c r="BP1637" s="73"/>
      <c r="BQ1637" s="73"/>
      <c r="BR1637" s="73"/>
      <c r="BS1637" s="73"/>
      <c r="BT1637" s="73"/>
      <c r="BU1637" s="73"/>
      <c r="BV1637" s="73"/>
      <c r="BW1637" s="73"/>
      <c r="BX1637" s="73"/>
      <c r="BY1637" s="73"/>
      <c r="BZ1637" s="73"/>
      <c r="CA1637" s="73"/>
      <c r="CB1637" s="73"/>
      <c r="CC1637" s="73"/>
      <c r="CD1637" s="73"/>
      <c r="CE1637" s="73"/>
      <c r="CF1637" s="73"/>
      <c r="CG1637" s="73"/>
      <c r="CH1637" s="73"/>
      <c r="CI1637" s="73"/>
      <c r="CJ1637" s="73"/>
      <c r="CK1637" s="73"/>
      <c r="CL1637" s="73"/>
      <c r="CM1637" s="73"/>
      <c r="CN1637" s="73"/>
      <c r="CO1637" s="73"/>
      <c r="CP1637" s="73"/>
      <c r="CQ1637" s="73"/>
      <c r="CR1637" s="73"/>
      <c r="CS1637" s="73"/>
      <c r="CT1637" s="73"/>
      <c r="CU1637" s="73"/>
      <c r="CV1637" s="73"/>
      <c r="CW1637" s="73"/>
      <c r="CX1637" s="73"/>
      <c r="CY1637" s="73"/>
      <c r="CZ1637" s="73"/>
      <c r="DA1637" s="73"/>
      <c r="DB1637" s="73"/>
      <c r="DC1637" s="73"/>
      <c r="DD1637" s="73"/>
      <c r="DE1637" s="73"/>
      <c r="DF1637" s="73"/>
      <c r="DG1637" s="73"/>
      <c r="DH1637" s="73"/>
      <c r="DI1637" s="73"/>
      <c r="DJ1637" s="73"/>
      <c r="DK1637" s="73"/>
      <c r="DL1637" s="73"/>
      <c r="DM1637" s="73"/>
    </row>
    <row r="1638" spans="1:117" s="48" customFormat="1">
      <c r="A1638" s="73"/>
      <c r="T1638" s="73"/>
      <c r="U1638" s="73"/>
      <c r="V1638" s="73"/>
      <c r="W1638" s="73"/>
      <c r="X1638" s="73"/>
      <c r="Y1638" s="73"/>
      <c r="Z1638" s="73"/>
      <c r="AA1638" s="73"/>
      <c r="AB1638" s="73"/>
      <c r="AC1638" s="73"/>
      <c r="AD1638" s="73"/>
      <c r="AE1638" s="73"/>
      <c r="AF1638" s="73"/>
      <c r="AG1638" s="73"/>
      <c r="AH1638" s="73"/>
      <c r="AI1638" s="73"/>
      <c r="AJ1638" s="73"/>
      <c r="AK1638" s="73"/>
      <c r="AL1638" s="73"/>
      <c r="AM1638" s="73"/>
      <c r="AN1638" s="73"/>
      <c r="AO1638" s="73"/>
      <c r="AP1638" s="73"/>
      <c r="AQ1638" s="73"/>
      <c r="AR1638" s="73"/>
      <c r="AS1638" s="73"/>
      <c r="AT1638" s="73"/>
      <c r="AU1638" s="73"/>
      <c r="AV1638" s="73"/>
      <c r="AW1638" s="73"/>
      <c r="AX1638" s="73"/>
      <c r="AY1638" s="73"/>
      <c r="AZ1638" s="73"/>
      <c r="BA1638" s="73"/>
      <c r="BB1638" s="73"/>
      <c r="BC1638" s="73"/>
      <c r="BD1638" s="73"/>
      <c r="BE1638" s="73"/>
      <c r="BF1638" s="73"/>
      <c r="BG1638" s="73"/>
      <c r="BH1638" s="73"/>
      <c r="BI1638" s="73"/>
      <c r="BJ1638" s="73"/>
      <c r="BK1638" s="73"/>
      <c r="BL1638" s="73"/>
      <c r="BM1638" s="73"/>
      <c r="BN1638" s="73"/>
      <c r="BO1638" s="73"/>
      <c r="BP1638" s="73"/>
      <c r="BQ1638" s="73"/>
      <c r="BR1638" s="73"/>
      <c r="BS1638" s="73"/>
      <c r="BT1638" s="73"/>
      <c r="BU1638" s="73"/>
      <c r="BV1638" s="73"/>
      <c r="BW1638" s="73"/>
      <c r="BX1638" s="73"/>
      <c r="BY1638" s="73"/>
      <c r="BZ1638" s="73"/>
      <c r="CA1638" s="73"/>
      <c r="CB1638" s="73"/>
      <c r="CC1638" s="73"/>
      <c r="CD1638" s="73"/>
      <c r="CE1638" s="73"/>
      <c r="CF1638" s="73"/>
      <c r="CG1638" s="73"/>
      <c r="CH1638" s="73"/>
      <c r="CI1638" s="73"/>
      <c r="CJ1638" s="73"/>
      <c r="CK1638" s="73"/>
      <c r="CL1638" s="73"/>
      <c r="CM1638" s="73"/>
      <c r="CN1638" s="73"/>
      <c r="CO1638" s="73"/>
      <c r="CP1638" s="73"/>
      <c r="CQ1638" s="73"/>
      <c r="CR1638" s="73"/>
      <c r="CS1638" s="73"/>
      <c r="CT1638" s="73"/>
      <c r="CU1638" s="73"/>
      <c r="CV1638" s="73"/>
      <c r="CW1638" s="73"/>
      <c r="CX1638" s="73"/>
      <c r="CY1638" s="73"/>
      <c r="CZ1638" s="73"/>
      <c r="DA1638" s="73"/>
      <c r="DB1638" s="73"/>
      <c r="DC1638" s="73"/>
      <c r="DD1638" s="73"/>
      <c r="DE1638" s="73"/>
      <c r="DF1638" s="73"/>
      <c r="DG1638" s="73"/>
      <c r="DH1638" s="73"/>
      <c r="DI1638" s="73"/>
      <c r="DJ1638" s="73"/>
      <c r="DK1638" s="73"/>
      <c r="DL1638" s="73"/>
      <c r="DM1638" s="73"/>
    </row>
    <row r="1639" spans="1:117" s="48" customFormat="1">
      <c r="A1639" s="73"/>
      <c r="T1639" s="73"/>
      <c r="U1639" s="73"/>
      <c r="V1639" s="73"/>
      <c r="W1639" s="73"/>
      <c r="X1639" s="73"/>
      <c r="Y1639" s="73"/>
      <c r="Z1639" s="73"/>
      <c r="AA1639" s="73"/>
      <c r="AB1639" s="73"/>
      <c r="AC1639" s="73"/>
      <c r="AD1639" s="73"/>
      <c r="AE1639" s="73"/>
      <c r="AF1639" s="73"/>
      <c r="AG1639" s="73"/>
      <c r="AH1639" s="73"/>
      <c r="AI1639" s="73"/>
      <c r="AJ1639" s="73"/>
      <c r="AK1639" s="73"/>
      <c r="AL1639" s="73"/>
      <c r="AM1639" s="73"/>
      <c r="AN1639" s="73"/>
      <c r="AO1639" s="73"/>
      <c r="AP1639" s="73"/>
      <c r="AQ1639" s="73"/>
      <c r="AR1639" s="73"/>
      <c r="AS1639" s="73"/>
      <c r="AT1639" s="73"/>
      <c r="AU1639" s="73"/>
      <c r="AV1639" s="73"/>
      <c r="AW1639" s="73"/>
      <c r="AX1639" s="73"/>
      <c r="AY1639" s="73"/>
      <c r="AZ1639" s="73"/>
      <c r="BA1639" s="73"/>
      <c r="BB1639" s="73"/>
      <c r="BC1639" s="73"/>
      <c r="BD1639" s="73"/>
      <c r="BE1639" s="73"/>
      <c r="BF1639" s="73"/>
      <c r="BG1639" s="73"/>
      <c r="BH1639" s="73"/>
      <c r="BI1639" s="73"/>
      <c r="BJ1639" s="73"/>
      <c r="BK1639" s="73"/>
      <c r="BL1639" s="73"/>
      <c r="BM1639" s="73"/>
      <c r="BN1639" s="73"/>
      <c r="BO1639" s="73"/>
      <c r="BP1639" s="73"/>
      <c r="BQ1639" s="73"/>
      <c r="BR1639" s="73"/>
      <c r="BS1639" s="73"/>
      <c r="BT1639" s="73"/>
      <c r="BU1639" s="73"/>
      <c r="BV1639" s="73"/>
      <c r="BW1639" s="73"/>
      <c r="BX1639" s="73"/>
      <c r="BY1639" s="73"/>
      <c r="BZ1639" s="73"/>
      <c r="CA1639" s="73"/>
      <c r="CB1639" s="73"/>
      <c r="CC1639" s="73"/>
      <c r="CD1639" s="73"/>
      <c r="CE1639" s="73"/>
      <c r="CF1639" s="73"/>
      <c r="CG1639" s="73"/>
      <c r="CH1639" s="73"/>
      <c r="CI1639" s="73"/>
      <c r="CJ1639" s="73"/>
      <c r="CK1639" s="73"/>
      <c r="CL1639" s="73"/>
      <c r="CM1639" s="73"/>
      <c r="CN1639" s="73"/>
      <c r="CO1639" s="73"/>
      <c r="CP1639" s="73"/>
      <c r="CQ1639" s="73"/>
      <c r="CR1639" s="73"/>
      <c r="CS1639" s="73"/>
      <c r="CT1639" s="73"/>
      <c r="CU1639" s="73"/>
      <c r="CV1639" s="73"/>
      <c r="CW1639" s="73"/>
      <c r="CX1639" s="73"/>
      <c r="CY1639" s="73"/>
      <c r="CZ1639" s="73"/>
      <c r="DA1639" s="73"/>
      <c r="DB1639" s="73"/>
      <c r="DC1639" s="73"/>
      <c r="DD1639" s="73"/>
      <c r="DE1639" s="73"/>
      <c r="DF1639" s="73"/>
      <c r="DG1639" s="73"/>
      <c r="DH1639" s="73"/>
      <c r="DI1639" s="73"/>
      <c r="DJ1639" s="73"/>
      <c r="DK1639" s="73"/>
      <c r="DL1639" s="73"/>
      <c r="DM1639" s="73"/>
    </row>
    <row r="1640" spans="1:117" s="48" customFormat="1">
      <c r="A1640" s="73"/>
      <c r="T1640" s="73"/>
      <c r="U1640" s="73"/>
      <c r="V1640" s="73"/>
      <c r="W1640" s="73"/>
      <c r="X1640" s="73"/>
      <c r="Y1640" s="73"/>
      <c r="Z1640" s="73"/>
      <c r="AA1640" s="73"/>
      <c r="AB1640" s="73"/>
      <c r="AC1640" s="73"/>
      <c r="AD1640" s="73"/>
      <c r="AE1640" s="73"/>
      <c r="AF1640" s="73"/>
      <c r="AG1640" s="73"/>
      <c r="AH1640" s="73"/>
      <c r="AI1640" s="73"/>
      <c r="AJ1640" s="73"/>
      <c r="AK1640" s="73"/>
      <c r="AL1640" s="73"/>
      <c r="AM1640" s="73"/>
      <c r="AN1640" s="73"/>
      <c r="AO1640" s="73"/>
      <c r="AP1640" s="73"/>
      <c r="AQ1640" s="73"/>
      <c r="AR1640" s="73"/>
      <c r="AS1640" s="73"/>
      <c r="AT1640" s="73"/>
      <c r="AU1640" s="73"/>
      <c r="AV1640" s="73"/>
      <c r="AW1640" s="73"/>
      <c r="AX1640" s="73"/>
      <c r="AY1640" s="73"/>
      <c r="AZ1640" s="73"/>
      <c r="BA1640" s="73"/>
      <c r="BB1640" s="73"/>
      <c r="BC1640" s="73"/>
      <c r="BD1640" s="73"/>
      <c r="BE1640" s="73"/>
      <c r="BF1640" s="73"/>
      <c r="BG1640" s="73"/>
      <c r="BH1640" s="73"/>
      <c r="BI1640" s="73"/>
      <c r="BJ1640" s="73"/>
      <c r="BK1640" s="73"/>
      <c r="BL1640" s="73"/>
      <c r="BM1640" s="73"/>
      <c r="BN1640" s="73"/>
      <c r="BO1640" s="73"/>
      <c r="BP1640" s="73"/>
      <c r="BQ1640" s="73"/>
      <c r="BR1640" s="73"/>
      <c r="BS1640" s="73"/>
      <c r="BT1640" s="73"/>
      <c r="BU1640" s="73"/>
      <c r="BV1640" s="73"/>
      <c r="BW1640" s="73"/>
      <c r="BX1640" s="73"/>
      <c r="BY1640" s="73"/>
      <c r="BZ1640" s="73"/>
      <c r="CA1640" s="73"/>
      <c r="CB1640" s="73"/>
      <c r="CC1640" s="73"/>
      <c r="CD1640" s="73"/>
      <c r="CE1640" s="73"/>
      <c r="CF1640" s="73"/>
      <c r="CG1640" s="73"/>
      <c r="CH1640" s="73"/>
      <c r="CI1640" s="73"/>
      <c r="CJ1640" s="73"/>
      <c r="CK1640" s="73"/>
      <c r="CL1640" s="73"/>
      <c r="CM1640" s="73"/>
      <c r="CN1640" s="73"/>
      <c r="CO1640" s="73"/>
      <c r="CP1640" s="73"/>
      <c r="CQ1640" s="73"/>
      <c r="CR1640" s="73"/>
      <c r="CS1640" s="73"/>
      <c r="CT1640" s="73"/>
      <c r="CU1640" s="73"/>
      <c r="CV1640" s="73"/>
      <c r="CW1640" s="73"/>
      <c r="CX1640" s="73"/>
      <c r="CY1640" s="73"/>
      <c r="CZ1640" s="73"/>
      <c r="DA1640" s="73"/>
      <c r="DB1640" s="73"/>
      <c r="DC1640" s="73"/>
      <c r="DD1640" s="73"/>
      <c r="DE1640" s="73"/>
      <c r="DF1640" s="73"/>
      <c r="DG1640" s="73"/>
      <c r="DH1640" s="73"/>
      <c r="DI1640" s="73"/>
      <c r="DJ1640" s="73"/>
      <c r="DK1640" s="73"/>
      <c r="DL1640" s="73"/>
      <c r="DM1640" s="73"/>
    </row>
    <row r="1641" spans="1:117" s="48" customFormat="1">
      <c r="A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M1641" s="73"/>
      <c r="CN1641" s="73"/>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c r="DM1641" s="73"/>
    </row>
    <row r="1642" spans="1:117" s="48" customFormat="1">
      <c r="A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M1642" s="73"/>
      <c r="CN1642" s="73"/>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c r="DM1642" s="73"/>
    </row>
    <row r="1643" spans="1:117" s="48" customFormat="1">
      <c r="A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M1643" s="73"/>
      <c r="CN1643" s="73"/>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c r="DM1643" s="73"/>
    </row>
    <row r="1644" spans="1:117" s="48" customFormat="1">
      <c r="A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M1644" s="73"/>
      <c r="CN1644" s="73"/>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c r="DM1644" s="73"/>
    </row>
    <row r="1645" spans="1:117" s="48" customFormat="1">
      <c r="A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M1645" s="73"/>
      <c r="CN1645" s="73"/>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c r="DM1645" s="73"/>
    </row>
    <row r="1646" spans="1:117" s="48" customFormat="1">
      <c r="A1646" s="73"/>
      <c r="T1646" s="73"/>
      <c r="U1646" s="73"/>
      <c r="V1646" s="73"/>
      <c r="W1646" s="73"/>
      <c r="X1646" s="73"/>
      <c r="Y1646" s="73"/>
      <c r="Z1646" s="73"/>
      <c r="AA1646" s="73"/>
      <c r="AB1646" s="73"/>
      <c r="AC1646" s="73"/>
      <c r="AD1646" s="73"/>
      <c r="AE1646" s="73"/>
      <c r="AF1646" s="73"/>
      <c r="AG1646" s="73"/>
      <c r="AH1646" s="73"/>
      <c r="AI1646" s="73"/>
      <c r="AJ1646" s="73"/>
      <c r="AK1646" s="73"/>
      <c r="AL1646" s="73"/>
      <c r="AM1646" s="73"/>
      <c r="AN1646" s="73"/>
      <c r="AO1646" s="73"/>
      <c r="AP1646" s="73"/>
      <c r="AQ1646" s="73"/>
      <c r="AR1646" s="73"/>
      <c r="AS1646" s="73"/>
      <c r="AT1646" s="73"/>
      <c r="AU1646" s="73"/>
      <c r="AV1646" s="73"/>
      <c r="AW1646" s="73"/>
      <c r="AX1646" s="73"/>
      <c r="AY1646" s="73"/>
      <c r="AZ1646" s="73"/>
      <c r="BA1646" s="73"/>
      <c r="BB1646" s="73"/>
      <c r="BC1646" s="73"/>
      <c r="BD1646" s="73"/>
      <c r="BE1646" s="73"/>
      <c r="BF1646" s="73"/>
      <c r="BG1646" s="73"/>
      <c r="BH1646" s="73"/>
      <c r="BI1646" s="73"/>
      <c r="BJ1646" s="73"/>
      <c r="BK1646" s="73"/>
      <c r="BL1646" s="73"/>
      <c r="BM1646" s="73"/>
      <c r="BN1646" s="73"/>
      <c r="BO1646" s="73"/>
      <c r="BP1646" s="73"/>
      <c r="BQ1646" s="73"/>
      <c r="BR1646" s="73"/>
      <c r="BS1646" s="73"/>
      <c r="BT1646" s="73"/>
      <c r="BU1646" s="73"/>
      <c r="BV1646" s="73"/>
      <c r="BW1646" s="73"/>
      <c r="BX1646" s="73"/>
      <c r="BY1646" s="73"/>
      <c r="BZ1646" s="73"/>
      <c r="CA1646" s="73"/>
      <c r="CB1646" s="73"/>
      <c r="CC1646" s="73"/>
      <c r="CD1646" s="73"/>
      <c r="CE1646" s="73"/>
      <c r="CF1646" s="73"/>
      <c r="CG1646" s="73"/>
      <c r="CH1646" s="73"/>
      <c r="CI1646" s="73"/>
      <c r="CJ1646" s="73"/>
      <c r="CK1646" s="73"/>
      <c r="CL1646" s="73"/>
      <c r="CM1646" s="73"/>
      <c r="CN1646" s="73"/>
      <c r="CO1646" s="73"/>
      <c r="CP1646" s="73"/>
      <c r="CQ1646" s="73"/>
      <c r="CR1646" s="73"/>
      <c r="CS1646" s="73"/>
      <c r="CT1646" s="73"/>
      <c r="CU1646" s="73"/>
      <c r="CV1646" s="73"/>
      <c r="CW1646" s="73"/>
      <c r="CX1646" s="73"/>
      <c r="CY1646" s="73"/>
      <c r="CZ1646" s="73"/>
      <c r="DA1646" s="73"/>
      <c r="DB1646" s="73"/>
      <c r="DC1646" s="73"/>
      <c r="DD1646" s="73"/>
      <c r="DE1646" s="73"/>
      <c r="DF1646" s="73"/>
      <c r="DG1646" s="73"/>
      <c r="DH1646" s="73"/>
      <c r="DI1646" s="73"/>
      <c r="DJ1646" s="73"/>
      <c r="DK1646" s="73"/>
      <c r="DL1646" s="73"/>
      <c r="DM1646" s="73"/>
    </row>
    <row r="1647" spans="1:117" s="48" customFormat="1">
      <c r="A1647" s="73"/>
      <c r="T1647" s="73"/>
      <c r="U1647" s="73"/>
      <c r="V1647" s="73"/>
      <c r="W1647" s="73"/>
      <c r="X1647" s="73"/>
      <c r="Y1647" s="73"/>
      <c r="Z1647" s="73"/>
      <c r="AA1647" s="73"/>
      <c r="AB1647" s="73"/>
      <c r="AC1647" s="73"/>
      <c r="AD1647" s="73"/>
      <c r="AE1647" s="73"/>
      <c r="AF1647" s="73"/>
      <c r="AG1647" s="73"/>
      <c r="AH1647" s="73"/>
      <c r="AI1647" s="73"/>
      <c r="AJ1647" s="73"/>
      <c r="AK1647" s="73"/>
      <c r="AL1647" s="73"/>
      <c r="AM1647" s="73"/>
      <c r="AN1647" s="73"/>
      <c r="AO1647" s="73"/>
      <c r="AP1647" s="73"/>
      <c r="AQ1647" s="73"/>
      <c r="AR1647" s="73"/>
      <c r="AS1647" s="73"/>
      <c r="AT1647" s="73"/>
      <c r="AU1647" s="73"/>
      <c r="AV1647" s="73"/>
      <c r="AW1647" s="73"/>
      <c r="AX1647" s="73"/>
      <c r="AY1647" s="73"/>
      <c r="AZ1647" s="73"/>
      <c r="BA1647" s="73"/>
      <c r="BB1647" s="73"/>
      <c r="BC1647" s="73"/>
      <c r="BD1647" s="73"/>
      <c r="BE1647" s="73"/>
      <c r="BF1647" s="73"/>
      <c r="BG1647" s="73"/>
      <c r="BH1647" s="73"/>
      <c r="BI1647" s="73"/>
      <c r="BJ1647" s="73"/>
      <c r="BK1647" s="73"/>
      <c r="BL1647" s="73"/>
      <c r="BM1647" s="73"/>
      <c r="BN1647" s="73"/>
      <c r="BO1647" s="73"/>
      <c r="BP1647" s="73"/>
      <c r="BQ1647" s="73"/>
      <c r="BR1647" s="73"/>
      <c r="BS1647" s="73"/>
      <c r="BT1647" s="73"/>
      <c r="BU1647" s="73"/>
      <c r="BV1647" s="73"/>
      <c r="BW1647" s="73"/>
      <c r="BX1647" s="73"/>
      <c r="BY1647" s="73"/>
      <c r="BZ1647" s="73"/>
      <c r="CA1647" s="73"/>
      <c r="CB1647" s="73"/>
      <c r="CC1647" s="73"/>
      <c r="CD1647" s="73"/>
      <c r="CE1647" s="73"/>
      <c r="CF1647" s="73"/>
      <c r="CG1647" s="73"/>
      <c r="CH1647" s="73"/>
      <c r="CI1647" s="73"/>
      <c r="CJ1647" s="73"/>
      <c r="CK1647" s="73"/>
      <c r="CL1647" s="73"/>
      <c r="CM1647" s="73"/>
      <c r="CN1647" s="73"/>
      <c r="CO1647" s="73"/>
      <c r="CP1647" s="73"/>
      <c r="CQ1647" s="73"/>
      <c r="CR1647" s="73"/>
      <c r="CS1647" s="73"/>
      <c r="CT1647" s="73"/>
      <c r="CU1647" s="73"/>
      <c r="CV1647" s="73"/>
      <c r="CW1647" s="73"/>
      <c r="CX1647" s="73"/>
      <c r="CY1647" s="73"/>
      <c r="CZ1647" s="73"/>
      <c r="DA1647" s="73"/>
      <c r="DB1647" s="73"/>
      <c r="DC1647" s="73"/>
      <c r="DD1647" s="73"/>
      <c r="DE1647" s="73"/>
      <c r="DF1647" s="73"/>
      <c r="DG1647" s="73"/>
      <c r="DH1647" s="73"/>
      <c r="DI1647" s="73"/>
      <c r="DJ1647" s="73"/>
      <c r="DK1647" s="73"/>
      <c r="DL1647" s="73"/>
      <c r="DM1647" s="73"/>
    </row>
    <row r="1648" spans="1:117" s="48" customFormat="1">
      <c r="A1648" s="73"/>
      <c r="T1648" s="73"/>
      <c r="U1648" s="73"/>
      <c r="V1648" s="73"/>
      <c r="W1648" s="73"/>
      <c r="X1648" s="73"/>
      <c r="Y1648" s="73"/>
      <c r="Z1648" s="73"/>
      <c r="AA1648" s="73"/>
      <c r="AB1648" s="73"/>
      <c r="AC1648" s="73"/>
      <c r="AD1648" s="73"/>
      <c r="AE1648" s="73"/>
      <c r="AF1648" s="73"/>
      <c r="AG1648" s="73"/>
      <c r="AH1648" s="73"/>
      <c r="AI1648" s="73"/>
      <c r="AJ1648" s="73"/>
      <c r="AK1648" s="73"/>
      <c r="AL1648" s="73"/>
      <c r="AM1648" s="73"/>
      <c r="AN1648" s="73"/>
      <c r="AO1648" s="73"/>
      <c r="AP1648" s="73"/>
      <c r="AQ1648" s="73"/>
      <c r="AR1648" s="73"/>
      <c r="AS1648" s="73"/>
      <c r="AT1648" s="73"/>
      <c r="AU1648" s="73"/>
      <c r="AV1648" s="73"/>
      <c r="AW1648" s="73"/>
      <c r="AX1648" s="73"/>
      <c r="AY1648" s="73"/>
      <c r="AZ1648" s="73"/>
      <c r="BA1648" s="73"/>
      <c r="BB1648" s="73"/>
      <c r="BC1648" s="73"/>
      <c r="BD1648" s="73"/>
      <c r="BE1648" s="73"/>
      <c r="BF1648" s="73"/>
      <c r="BG1648" s="73"/>
      <c r="BH1648" s="73"/>
      <c r="BI1648" s="73"/>
      <c r="BJ1648" s="73"/>
      <c r="BK1648" s="73"/>
      <c r="BL1648" s="73"/>
      <c r="BM1648" s="73"/>
      <c r="BN1648" s="73"/>
      <c r="BO1648" s="73"/>
      <c r="BP1648" s="73"/>
      <c r="BQ1648" s="73"/>
      <c r="BR1648" s="73"/>
      <c r="BS1648" s="73"/>
      <c r="BT1648" s="73"/>
      <c r="BU1648" s="73"/>
      <c r="BV1648" s="73"/>
      <c r="BW1648" s="73"/>
      <c r="BX1648" s="73"/>
      <c r="BY1648" s="73"/>
      <c r="BZ1648" s="73"/>
      <c r="CA1648" s="73"/>
      <c r="CB1648" s="73"/>
      <c r="CC1648" s="73"/>
      <c r="CD1648" s="73"/>
      <c r="CE1648" s="73"/>
      <c r="CF1648" s="73"/>
      <c r="CG1648" s="73"/>
      <c r="CH1648" s="73"/>
      <c r="CI1648" s="73"/>
      <c r="CJ1648" s="73"/>
      <c r="CK1648" s="73"/>
      <c r="CL1648" s="73"/>
      <c r="CM1648" s="73"/>
      <c r="CN1648" s="73"/>
      <c r="CO1648" s="73"/>
      <c r="CP1648" s="73"/>
      <c r="CQ1648" s="73"/>
      <c r="CR1648" s="73"/>
      <c r="CS1648" s="73"/>
      <c r="CT1648" s="73"/>
      <c r="CU1648" s="73"/>
      <c r="CV1648" s="73"/>
      <c r="CW1648" s="73"/>
      <c r="CX1648" s="73"/>
      <c r="CY1648" s="73"/>
      <c r="CZ1648" s="73"/>
      <c r="DA1648" s="73"/>
      <c r="DB1648" s="73"/>
      <c r="DC1648" s="73"/>
      <c r="DD1648" s="73"/>
      <c r="DE1648" s="73"/>
      <c r="DF1648" s="73"/>
      <c r="DG1648" s="73"/>
      <c r="DH1648" s="73"/>
      <c r="DI1648" s="73"/>
      <c r="DJ1648" s="73"/>
      <c r="DK1648" s="73"/>
      <c r="DL1648" s="73"/>
      <c r="DM1648" s="73"/>
    </row>
    <row r="1649" spans="1:117" s="48" customFormat="1">
      <c r="A1649" s="73"/>
      <c r="T1649" s="73"/>
      <c r="U1649" s="73"/>
      <c r="V1649" s="73"/>
      <c r="W1649" s="73"/>
      <c r="X1649" s="73"/>
      <c r="Y1649" s="73"/>
      <c r="Z1649" s="73"/>
      <c r="AA1649" s="73"/>
      <c r="AB1649" s="73"/>
      <c r="AC1649" s="73"/>
      <c r="AD1649" s="73"/>
      <c r="AE1649" s="73"/>
      <c r="AF1649" s="73"/>
      <c r="AG1649" s="73"/>
      <c r="AH1649" s="73"/>
      <c r="AI1649" s="73"/>
      <c r="AJ1649" s="73"/>
      <c r="AK1649" s="73"/>
      <c r="AL1649" s="73"/>
      <c r="AM1649" s="73"/>
      <c r="AN1649" s="73"/>
      <c r="AO1649" s="73"/>
      <c r="AP1649" s="73"/>
      <c r="AQ1649" s="73"/>
      <c r="AR1649" s="73"/>
      <c r="AS1649" s="73"/>
      <c r="AT1649" s="73"/>
      <c r="AU1649" s="73"/>
      <c r="AV1649" s="73"/>
      <c r="AW1649" s="73"/>
      <c r="AX1649" s="73"/>
      <c r="AY1649" s="73"/>
      <c r="AZ1649" s="73"/>
      <c r="BA1649" s="73"/>
      <c r="BB1649" s="73"/>
      <c r="BC1649" s="73"/>
      <c r="BD1649" s="73"/>
      <c r="BE1649" s="73"/>
      <c r="BF1649" s="73"/>
      <c r="BG1649" s="73"/>
      <c r="BH1649" s="73"/>
      <c r="BI1649" s="73"/>
      <c r="BJ1649" s="73"/>
      <c r="BK1649" s="73"/>
      <c r="BL1649" s="73"/>
      <c r="BM1649" s="73"/>
      <c r="BN1649" s="73"/>
      <c r="BO1649" s="73"/>
      <c r="BP1649" s="73"/>
      <c r="BQ1649" s="73"/>
      <c r="BR1649" s="73"/>
      <c r="BS1649" s="73"/>
      <c r="BT1649" s="73"/>
      <c r="BU1649" s="73"/>
      <c r="BV1649" s="73"/>
      <c r="BW1649" s="73"/>
      <c r="BX1649" s="73"/>
      <c r="BY1649" s="73"/>
      <c r="BZ1649" s="73"/>
      <c r="CA1649" s="73"/>
      <c r="CB1649" s="73"/>
      <c r="CC1649" s="73"/>
      <c r="CD1649" s="73"/>
      <c r="CE1649" s="73"/>
      <c r="CF1649" s="73"/>
      <c r="CG1649" s="73"/>
      <c r="CH1649" s="73"/>
      <c r="CI1649" s="73"/>
      <c r="CJ1649" s="73"/>
      <c r="CK1649" s="73"/>
      <c r="CL1649" s="73"/>
      <c r="CM1649" s="73"/>
      <c r="CN1649" s="73"/>
      <c r="CO1649" s="73"/>
      <c r="CP1649" s="73"/>
      <c r="CQ1649" s="73"/>
      <c r="CR1649" s="73"/>
      <c r="CS1649" s="73"/>
      <c r="CT1649" s="73"/>
      <c r="CU1649" s="73"/>
      <c r="CV1649" s="73"/>
      <c r="CW1649" s="73"/>
      <c r="CX1649" s="73"/>
      <c r="CY1649" s="73"/>
      <c r="CZ1649" s="73"/>
      <c r="DA1649" s="73"/>
      <c r="DB1649" s="73"/>
      <c r="DC1649" s="73"/>
      <c r="DD1649" s="73"/>
      <c r="DE1649" s="73"/>
      <c r="DF1649" s="73"/>
      <c r="DG1649" s="73"/>
      <c r="DH1649" s="73"/>
      <c r="DI1649" s="73"/>
      <c r="DJ1649" s="73"/>
      <c r="DK1649" s="73"/>
      <c r="DL1649" s="73"/>
      <c r="DM1649" s="73"/>
    </row>
    <row r="1650" spans="1:117" s="48" customFormat="1">
      <c r="A1650" s="73"/>
      <c r="T1650" s="73"/>
      <c r="U1650" s="73"/>
      <c r="V1650" s="73"/>
      <c r="W1650" s="73"/>
      <c r="X1650" s="73"/>
      <c r="Y1650" s="73"/>
      <c r="Z1650" s="73"/>
      <c r="AA1650" s="73"/>
      <c r="AB1650" s="73"/>
      <c r="AC1650" s="73"/>
      <c r="AD1650" s="73"/>
      <c r="AE1650" s="73"/>
      <c r="AF1650" s="73"/>
      <c r="AG1650" s="73"/>
      <c r="AH1650" s="73"/>
      <c r="AI1650" s="73"/>
      <c r="AJ1650" s="73"/>
      <c r="AK1650" s="73"/>
      <c r="AL1650" s="73"/>
      <c r="AM1650" s="73"/>
      <c r="AN1650" s="73"/>
      <c r="AO1650" s="73"/>
      <c r="AP1650" s="73"/>
      <c r="AQ1650" s="73"/>
      <c r="AR1650" s="73"/>
      <c r="AS1650" s="73"/>
      <c r="AT1650" s="73"/>
      <c r="AU1650" s="73"/>
      <c r="AV1650" s="73"/>
      <c r="AW1650" s="73"/>
      <c r="AX1650" s="73"/>
      <c r="AY1650" s="73"/>
      <c r="AZ1650" s="73"/>
      <c r="BA1650" s="73"/>
      <c r="BB1650" s="73"/>
      <c r="BC1650" s="73"/>
      <c r="BD1650" s="73"/>
      <c r="BE1650" s="73"/>
      <c r="BF1650" s="73"/>
      <c r="BG1650" s="73"/>
      <c r="BH1650" s="73"/>
      <c r="BI1650" s="73"/>
      <c r="BJ1650" s="73"/>
      <c r="BK1650" s="73"/>
      <c r="BL1650" s="73"/>
      <c r="BM1650" s="73"/>
      <c r="BN1650" s="73"/>
      <c r="BO1650" s="73"/>
      <c r="BP1650" s="73"/>
      <c r="BQ1650" s="73"/>
      <c r="BR1650" s="73"/>
      <c r="BS1650" s="73"/>
      <c r="BT1650" s="73"/>
      <c r="BU1650" s="73"/>
      <c r="BV1650" s="73"/>
      <c r="BW1650" s="73"/>
      <c r="BX1650" s="73"/>
      <c r="BY1650" s="73"/>
      <c r="BZ1650" s="73"/>
      <c r="CA1650" s="73"/>
      <c r="CB1650" s="73"/>
      <c r="CC1650" s="73"/>
      <c r="CD1650" s="73"/>
      <c r="CE1650" s="73"/>
      <c r="CF1650" s="73"/>
      <c r="CG1650" s="73"/>
      <c r="CH1650" s="73"/>
      <c r="CI1650" s="73"/>
      <c r="CJ1650" s="73"/>
      <c r="CK1650" s="73"/>
      <c r="CL1650" s="73"/>
      <c r="CM1650" s="73"/>
      <c r="CN1650" s="73"/>
      <c r="CO1650" s="73"/>
      <c r="CP1650" s="73"/>
      <c r="CQ1650" s="73"/>
      <c r="CR1650" s="73"/>
      <c r="CS1650" s="73"/>
      <c r="CT1650" s="73"/>
      <c r="CU1650" s="73"/>
      <c r="CV1650" s="73"/>
      <c r="CW1650" s="73"/>
      <c r="CX1650" s="73"/>
      <c r="CY1650" s="73"/>
      <c r="CZ1650" s="73"/>
      <c r="DA1650" s="73"/>
      <c r="DB1650" s="73"/>
      <c r="DC1650" s="73"/>
      <c r="DD1650" s="73"/>
      <c r="DE1650" s="73"/>
      <c r="DF1650" s="73"/>
      <c r="DG1650" s="73"/>
      <c r="DH1650" s="73"/>
      <c r="DI1650" s="73"/>
      <c r="DJ1650" s="73"/>
      <c r="DK1650" s="73"/>
      <c r="DL1650" s="73"/>
      <c r="DM1650" s="73"/>
    </row>
    <row r="1651" spans="1:117" s="48" customFormat="1">
      <c r="A1651" s="73"/>
      <c r="T1651" s="73"/>
      <c r="U1651" s="73"/>
      <c r="V1651" s="73"/>
      <c r="W1651" s="73"/>
      <c r="X1651" s="73"/>
      <c r="Y1651" s="73"/>
      <c r="Z1651" s="73"/>
      <c r="AA1651" s="73"/>
      <c r="AB1651" s="73"/>
      <c r="AC1651" s="73"/>
      <c r="AD1651" s="73"/>
      <c r="AE1651" s="73"/>
      <c r="AF1651" s="73"/>
      <c r="AG1651" s="73"/>
      <c r="AH1651" s="73"/>
      <c r="AI1651" s="73"/>
      <c r="AJ1651" s="73"/>
      <c r="AK1651" s="73"/>
      <c r="AL1651" s="73"/>
      <c r="AM1651" s="73"/>
      <c r="AN1651" s="73"/>
      <c r="AO1651" s="73"/>
      <c r="AP1651" s="73"/>
      <c r="AQ1651" s="73"/>
      <c r="AR1651" s="73"/>
      <c r="AS1651" s="73"/>
      <c r="AT1651" s="73"/>
      <c r="AU1651" s="73"/>
      <c r="AV1651" s="73"/>
      <c r="AW1651" s="73"/>
      <c r="AX1651" s="73"/>
      <c r="AY1651" s="73"/>
      <c r="AZ1651" s="73"/>
      <c r="BA1651" s="73"/>
      <c r="BB1651" s="73"/>
      <c r="BC1651" s="73"/>
      <c r="BD1651" s="73"/>
      <c r="BE1651" s="73"/>
      <c r="BF1651" s="73"/>
      <c r="BG1651" s="73"/>
      <c r="BH1651" s="73"/>
      <c r="BI1651" s="73"/>
      <c r="BJ1651" s="73"/>
      <c r="BK1651" s="73"/>
      <c r="BL1651" s="73"/>
      <c r="BM1651" s="73"/>
      <c r="BN1651" s="73"/>
      <c r="BO1651" s="73"/>
      <c r="BP1651" s="73"/>
      <c r="BQ1651" s="73"/>
      <c r="BR1651" s="73"/>
      <c r="BS1651" s="73"/>
      <c r="BT1651" s="73"/>
      <c r="BU1651" s="73"/>
      <c r="BV1651" s="73"/>
      <c r="BW1651" s="73"/>
      <c r="BX1651" s="73"/>
      <c r="BY1651" s="73"/>
      <c r="BZ1651" s="73"/>
      <c r="CA1651" s="73"/>
      <c r="CB1651" s="73"/>
      <c r="CC1651" s="73"/>
      <c r="CD1651" s="73"/>
      <c r="CE1651" s="73"/>
      <c r="CF1651" s="73"/>
      <c r="CG1651" s="73"/>
      <c r="CH1651" s="73"/>
      <c r="CI1651" s="73"/>
      <c r="CJ1651" s="73"/>
      <c r="CK1651" s="73"/>
      <c r="CL1651" s="73"/>
      <c r="CM1651" s="73"/>
      <c r="CN1651" s="73"/>
      <c r="CO1651" s="73"/>
      <c r="CP1651" s="73"/>
      <c r="CQ1651" s="73"/>
      <c r="CR1651" s="73"/>
      <c r="CS1651" s="73"/>
      <c r="CT1651" s="73"/>
      <c r="CU1651" s="73"/>
      <c r="CV1651" s="73"/>
      <c r="CW1651" s="73"/>
      <c r="CX1651" s="73"/>
      <c r="CY1651" s="73"/>
      <c r="CZ1651" s="73"/>
      <c r="DA1651" s="73"/>
      <c r="DB1651" s="73"/>
      <c r="DC1651" s="73"/>
      <c r="DD1651" s="73"/>
      <c r="DE1651" s="73"/>
      <c r="DF1651" s="73"/>
      <c r="DG1651" s="73"/>
      <c r="DH1651" s="73"/>
      <c r="DI1651" s="73"/>
      <c r="DJ1651" s="73"/>
      <c r="DK1651" s="73"/>
      <c r="DL1651" s="73"/>
      <c r="DM1651" s="73"/>
    </row>
    <row r="1652" spans="1:117" s="48" customFormat="1">
      <c r="A1652" s="73"/>
      <c r="T1652" s="73"/>
      <c r="U1652" s="73"/>
      <c r="V1652" s="73"/>
      <c r="W1652" s="73"/>
      <c r="X1652" s="73"/>
      <c r="Y1652" s="73"/>
      <c r="Z1652" s="73"/>
      <c r="AA1652" s="73"/>
      <c r="AB1652" s="73"/>
      <c r="AC1652" s="73"/>
      <c r="AD1652" s="73"/>
      <c r="AE1652" s="73"/>
      <c r="AF1652" s="73"/>
      <c r="AG1652" s="73"/>
      <c r="AH1652" s="73"/>
      <c r="AI1652" s="73"/>
      <c r="AJ1652" s="73"/>
      <c r="AK1652" s="73"/>
      <c r="AL1652" s="73"/>
      <c r="AM1652" s="73"/>
      <c r="AN1652" s="73"/>
      <c r="AO1652" s="73"/>
      <c r="AP1652" s="73"/>
      <c r="AQ1652" s="73"/>
      <c r="AR1652" s="73"/>
      <c r="AS1652" s="73"/>
      <c r="AT1652" s="73"/>
      <c r="AU1652" s="73"/>
      <c r="AV1652" s="73"/>
      <c r="AW1652" s="73"/>
      <c r="AX1652" s="73"/>
      <c r="AY1652" s="73"/>
      <c r="AZ1652" s="73"/>
      <c r="BA1652" s="73"/>
      <c r="BB1652" s="73"/>
      <c r="BC1652" s="73"/>
      <c r="BD1652" s="73"/>
      <c r="BE1652" s="73"/>
      <c r="BF1652" s="73"/>
      <c r="BG1652" s="73"/>
      <c r="BH1652" s="73"/>
      <c r="BI1652" s="73"/>
      <c r="BJ1652" s="73"/>
      <c r="BK1652" s="73"/>
      <c r="BL1652" s="73"/>
      <c r="BM1652" s="73"/>
      <c r="BN1652" s="73"/>
      <c r="BO1652" s="73"/>
      <c r="BP1652" s="73"/>
      <c r="BQ1652" s="73"/>
      <c r="BR1652" s="73"/>
      <c r="BS1652" s="73"/>
      <c r="BT1652" s="73"/>
      <c r="BU1652" s="73"/>
      <c r="BV1652" s="73"/>
      <c r="BW1652" s="73"/>
      <c r="BX1652" s="73"/>
      <c r="BY1652" s="73"/>
      <c r="BZ1652" s="73"/>
      <c r="CA1652" s="73"/>
      <c r="CB1652" s="73"/>
      <c r="CC1652" s="73"/>
      <c r="CD1652" s="73"/>
      <c r="CE1652" s="73"/>
      <c r="CF1652" s="73"/>
      <c r="CG1652" s="73"/>
      <c r="CH1652" s="73"/>
      <c r="CI1652" s="73"/>
      <c r="CJ1652" s="73"/>
      <c r="CK1652" s="73"/>
      <c r="CL1652" s="73"/>
      <c r="CM1652" s="73"/>
      <c r="CN1652" s="73"/>
      <c r="CO1652" s="73"/>
      <c r="CP1652" s="73"/>
      <c r="CQ1652" s="73"/>
      <c r="CR1652" s="73"/>
      <c r="CS1652" s="73"/>
      <c r="CT1652" s="73"/>
      <c r="CU1652" s="73"/>
      <c r="CV1652" s="73"/>
      <c r="CW1652" s="73"/>
      <c r="CX1652" s="73"/>
      <c r="CY1652" s="73"/>
      <c r="CZ1652" s="73"/>
      <c r="DA1652" s="73"/>
      <c r="DB1652" s="73"/>
      <c r="DC1652" s="73"/>
      <c r="DD1652" s="73"/>
      <c r="DE1652" s="73"/>
      <c r="DF1652" s="73"/>
      <c r="DG1652" s="73"/>
      <c r="DH1652" s="73"/>
      <c r="DI1652" s="73"/>
      <c r="DJ1652" s="73"/>
      <c r="DK1652" s="73"/>
      <c r="DL1652" s="73"/>
      <c r="DM1652" s="73"/>
    </row>
    <row r="1653" spans="1:117" s="48" customFormat="1">
      <c r="A1653" s="73"/>
      <c r="T1653" s="73"/>
      <c r="U1653" s="73"/>
      <c r="V1653" s="73"/>
      <c r="W1653" s="73"/>
      <c r="X1653" s="73"/>
      <c r="Y1653" s="73"/>
      <c r="Z1653" s="73"/>
      <c r="AA1653" s="73"/>
      <c r="AB1653" s="73"/>
      <c r="AC1653" s="73"/>
      <c r="AD1653" s="73"/>
      <c r="AE1653" s="73"/>
      <c r="AF1653" s="73"/>
      <c r="AG1653" s="73"/>
      <c r="AH1653" s="73"/>
      <c r="AI1653" s="73"/>
      <c r="AJ1653" s="73"/>
      <c r="AK1653" s="73"/>
      <c r="AL1653" s="73"/>
      <c r="AM1653" s="73"/>
      <c r="AN1653" s="73"/>
      <c r="AO1653" s="73"/>
      <c r="AP1653" s="73"/>
      <c r="AQ1653" s="73"/>
      <c r="AR1653" s="73"/>
      <c r="AS1653" s="73"/>
      <c r="AT1653" s="73"/>
      <c r="AU1653" s="73"/>
      <c r="AV1653" s="73"/>
      <c r="AW1653" s="73"/>
      <c r="AX1653" s="73"/>
      <c r="AY1653" s="73"/>
      <c r="AZ1653" s="73"/>
      <c r="BA1653" s="73"/>
      <c r="BB1653" s="73"/>
      <c r="BC1653" s="73"/>
      <c r="BD1653" s="73"/>
      <c r="BE1653" s="73"/>
      <c r="BF1653" s="73"/>
      <c r="BG1653" s="73"/>
      <c r="BH1653" s="73"/>
      <c r="BI1653" s="73"/>
      <c r="BJ1653" s="73"/>
      <c r="BK1653" s="73"/>
      <c r="BL1653" s="73"/>
      <c r="BM1653" s="73"/>
      <c r="BN1653" s="73"/>
      <c r="BO1653" s="73"/>
      <c r="BP1653" s="73"/>
      <c r="BQ1653" s="73"/>
      <c r="BR1653" s="73"/>
      <c r="BS1653" s="73"/>
      <c r="BT1653" s="73"/>
      <c r="BU1653" s="73"/>
      <c r="BV1653" s="73"/>
      <c r="BW1653" s="73"/>
      <c r="BX1653" s="73"/>
      <c r="BY1653" s="73"/>
      <c r="BZ1653" s="73"/>
      <c r="CA1653" s="73"/>
      <c r="CB1653" s="73"/>
      <c r="CC1653" s="73"/>
      <c r="CD1653" s="73"/>
      <c r="CE1653" s="73"/>
      <c r="CF1653" s="73"/>
      <c r="CG1653" s="73"/>
      <c r="CH1653" s="73"/>
      <c r="CI1653" s="73"/>
      <c r="CJ1653" s="73"/>
      <c r="CK1653" s="73"/>
      <c r="CL1653" s="73"/>
      <c r="CM1653" s="73"/>
      <c r="CN1653" s="73"/>
      <c r="CO1653" s="73"/>
      <c r="CP1653" s="73"/>
      <c r="CQ1653" s="73"/>
      <c r="CR1653" s="73"/>
      <c r="CS1653" s="73"/>
      <c r="CT1653" s="73"/>
      <c r="CU1653" s="73"/>
      <c r="CV1653" s="73"/>
      <c r="CW1653" s="73"/>
      <c r="CX1653" s="73"/>
      <c r="CY1653" s="73"/>
      <c r="CZ1653" s="73"/>
      <c r="DA1653" s="73"/>
      <c r="DB1653" s="73"/>
      <c r="DC1653" s="73"/>
      <c r="DD1653" s="73"/>
      <c r="DE1653" s="73"/>
      <c r="DF1653" s="73"/>
      <c r="DG1653" s="73"/>
      <c r="DH1653" s="73"/>
      <c r="DI1653" s="73"/>
      <c r="DJ1653" s="73"/>
      <c r="DK1653" s="73"/>
      <c r="DL1653" s="73"/>
      <c r="DM1653" s="73"/>
    </row>
    <row r="1654" spans="1:117" s="48" customFormat="1">
      <c r="A1654" s="73"/>
      <c r="T1654" s="73"/>
      <c r="U1654" s="73"/>
      <c r="V1654" s="73"/>
      <c r="W1654" s="73"/>
      <c r="X1654" s="73"/>
      <c r="Y1654" s="73"/>
      <c r="Z1654" s="73"/>
      <c r="AA1654" s="73"/>
      <c r="AB1654" s="73"/>
      <c r="AC1654" s="73"/>
      <c r="AD1654" s="73"/>
      <c r="AE1654" s="73"/>
      <c r="AF1654" s="73"/>
      <c r="AG1654" s="73"/>
      <c r="AH1654" s="73"/>
      <c r="AI1654" s="73"/>
      <c r="AJ1654" s="73"/>
      <c r="AK1654" s="73"/>
      <c r="AL1654" s="73"/>
      <c r="AM1654" s="73"/>
      <c r="AN1654" s="73"/>
      <c r="AO1654" s="73"/>
      <c r="AP1654" s="73"/>
      <c r="AQ1654" s="73"/>
      <c r="AR1654" s="73"/>
      <c r="AS1654" s="73"/>
      <c r="AT1654" s="73"/>
      <c r="AU1654" s="73"/>
      <c r="AV1654" s="73"/>
      <c r="AW1654" s="73"/>
      <c r="AX1654" s="73"/>
      <c r="AY1654" s="73"/>
      <c r="AZ1654" s="73"/>
      <c r="BA1654" s="73"/>
      <c r="BB1654" s="73"/>
      <c r="BC1654" s="73"/>
      <c r="BD1654" s="73"/>
      <c r="BE1654" s="73"/>
      <c r="BF1654" s="73"/>
      <c r="BG1654" s="73"/>
      <c r="BH1654" s="73"/>
      <c r="BI1654" s="73"/>
      <c r="BJ1654" s="73"/>
      <c r="BK1654" s="73"/>
      <c r="BL1654" s="73"/>
      <c r="BM1654" s="73"/>
      <c r="BN1654" s="73"/>
      <c r="BO1654" s="73"/>
      <c r="BP1654" s="73"/>
      <c r="BQ1654" s="73"/>
      <c r="BR1654" s="73"/>
      <c r="BS1654" s="73"/>
      <c r="BT1654" s="73"/>
      <c r="BU1654" s="73"/>
      <c r="BV1654" s="73"/>
      <c r="BW1654" s="73"/>
      <c r="BX1654" s="73"/>
      <c r="BY1654" s="73"/>
      <c r="BZ1654" s="73"/>
      <c r="CA1654" s="73"/>
      <c r="CB1654" s="73"/>
      <c r="CC1654" s="73"/>
      <c r="CD1654" s="73"/>
      <c r="CE1654" s="73"/>
      <c r="CF1654" s="73"/>
      <c r="CG1654" s="73"/>
      <c r="CH1654" s="73"/>
      <c r="CI1654" s="73"/>
      <c r="CJ1654" s="73"/>
      <c r="CK1654" s="73"/>
      <c r="CL1654" s="73"/>
      <c r="CM1654" s="73"/>
      <c r="CN1654" s="73"/>
      <c r="CO1654" s="73"/>
      <c r="CP1654" s="73"/>
      <c r="CQ1654" s="73"/>
      <c r="CR1654" s="73"/>
      <c r="CS1654" s="73"/>
      <c r="CT1654" s="73"/>
      <c r="CU1654" s="73"/>
      <c r="CV1654" s="73"/>
      <c r="CW1654" s="73"/>
      <c r="CX1654" s="73"/>
      <c r="CY1654" s="73"/>
      <c r="CZ1654" s="73"/>
      <c r="DA1654" s="73"/>
      <c r="DB1654" s="73"/>
      <c r="DC1654" s="73"/>
      <c r="DD1654" s="73"/>
      <c r="DE1654" s="73"/>
      <c r="DF1654" s="73"/>
      <c r="DG1654" s="73"/>
      <c r="DH1654" s="73"/>
      <c r="DI1654" s="73"/>
      <c r="DJ1654" s="73"/>
      <c r="DK1654" s="73"/>
      <c r="DL1654" s="73"/>
      <c r="DM1654" s="73"/>
    </row>
    <row r="1655" spans="1:117" s="48" customFormat="1">
      <c r="A1655" s="73"/>
      <c r="T1655" s="73"/>
      <c r="U1655" s="73"/>
      <c r="V1655" s="73"/>
      <c r="W1655" s="73"/>
      <c r="X1655" s="73"/>
      <c r="Y1655" s="73"/>
      <c r="Z1655" s="73"/>
      <c r="AA1655" s="73"/>
      <c r="AB1655" s="73"/>
      <c r="AC1655" s="73"/>
      <c r="AD1655" s="73"/>
      <c r="AE1655" s="73"/>
      <c r="AF1655" s="73"/>
      <c r="AG1655" s="73"/>
      <c r="AH1655" s="73"/>
      <c r="AI1655" s="73"/>
      <c r="AJ1655" s="73"/>
      <c r="AK1655" s="73"/>
      <c r="AL1655" s="73"/>
      <c r="AM1655" s="73"/>
      <c r="AN1655" s="73"/>
      <c r="AO1655" s="73"/>
      <c r="AP1655" s="73"/>
      <c r="AQ1655" s="73"/>
      <c r="AR1655" s="73"/>
      <c r="AS1655" s="73"/>
      <c r="AT1655" s="73"/>
      <c r="AU1655" s="73"/>
      <c r="AV1655" s="73"/>
      <c r="AW1655" s="73"/>
      <c r="AX1655" s="73"/>
      <c r="AY1655" s="73"/>
      <c r="AZ1655" s="73"/>
      <c r="BA1655" s="73"/>
      <c r="BB1655" s="73"/>
      <c r="BC1655" s="73"/>
      <c r="BD1655" s="73"/>
      <c r="BE1655" s="73"/>
      <c r="BF1655" s="73"/>
      <c r="BG1655" s="73"/>
      <c r="BH1655" s="73"/>
      <c r="BI1655" s="73"/>
      <c r="BJ1655" s="73"/>
      <c r="BK1655" s="73"/>
      <c r="BL1655" s="73"/>
      <c r="BM1655" s="73"/>
      <c r="BN1655" s="73"/>
      <c r="BO1655" s="73"/>
      <c r="BP1655" s="73"/>
      <c r="BQ1655" s="73"/>
      <c r="BR1655" s="73"/>
      <c r="BS1655" s="73"/>
      <c r="BT1655" s="73"/>
      <c r="BU1655" s="73"/>
      <c r="BV1655" s="73"/>
      <c r="BW1655" s="73"/>
      <c r="BX1655" s="73"/>
      <c r="BY1655" s="73"/>
      <c r="BZ1655" s="73"/>
      <c r="CA1655" s="73"/>
      <c r="CB1655" s="73"/>
      <c r="CC1655" s="73"/>
      <c r="CD1655" s="73"/>
      <c r="CE1655" s="73"/>
      <c r="CF1655" s="73"/>
      <c r="CG1655" s="73"/>
      <c r="CH1655" s="73"/>
      <c r="CI1655" s="73"/>
      <c r="CJ1655" s="73"/>
      <c r="CK1655" s="73"/>
      <c r="CL1655" s="73"/>
      <c r="CM1655" s="73"/>
      <c r="CN1655" s="73"/>
      <c r="CO1655" s="73"/>
      <c r="CP1655" s="73"/>
      <c r="CQ1655" s="73"/>
      <c r="CR1655" s="73"/>
      <c r="CS1655" s="73"/>
      <c r="CT1655" s="73"/>
      <c r="CU1655" s="73"/>
      <c r="CV1655" s="73"/>
      <c r="CW1655" s="73"/>
      <c r="CX1655" s="73"/>
      <c r="CY1655" s="73"/>
      <c r="CZ1655" s="73"/>
      <c r="DA1655" s="73"/>
      <c r="DB1655" s="73"/>
      <c r="DC1655" s="73"/>
      <c r="DD1655" s="73"/>
      <c r="DE1655" s="73"/>
      <c r="DF1655" s="73"/>
      <c r="DG1655" s="73"/>
      <c r="DH1655" s="73"/>
      <c r="DI1655" s="73"/>
      <c r="DJ1655" s="73"/>
      <c r="DK1655" s="73"/>
      <c r="DL1655" s="73"/>
      <c r="DM1655" s="73"/>
    </row>
    <row r="1656" spans="1:117" s="48" customFormat="1">
      <c r="A1656" s="73"/>
      <c r="T1656" s="73"/>
      <c r="U1656" s="73"/>
      <c r="V1656" s="73"/>
      <c r="W1656" s="73"/>
      <c r="X1656" s="73"/>
      <c r="Y1656" s="73"/>
      <c r="Z1656" s="73"/>
      <c r="AA1656" s="73"/>
      <c r="AB1656" s="73"/>
      <c r="AC1656" s="73"/>
      <c r="AD1656" s="73"/>
      <c r="AE1656" s="73"/>
      <c r="AF1656" s="73"/>
      <c r="AG1656" s="73"/>
      <c r="AH1656" s="73"/>
      <c r="AI1656" s="73"/>
      <c r="AJ1656" s="73"/>
      <c r="AK1656" s="73"/>
      <c r="AL1656" s="73"/>
      <c r="AM1656" s="73"/>
      <c r="AN1656" s="73"/>
      <c r="AO1656" s="73"/>
      <c r="AP1656" s="73"/>
      <c r="AQ1656" s="73"/>
      <c r="AR1656" s="73"/>
      <c r="AS1656" s="73"/>
      <c r="AT1656" s="73"/>
      <c r="AU1656" s="73"/>
      <c r="AV1656" s="73"/>
      <c r="AW1656" s="73"/>
      <c r="AX1656" s="73"/>
      <c r="AY1656" s="73"/>
      <c r="AZ1656" s="73"/>
      <c r="BA1656" s="73"/>
      <c r="BB1656" s="73"/>
      <c r="BC1656" s="73"/>
      <c r="BD1656" s="73"/>
      <c r="BE1656" s="73"/>
      <c r="BF1656" s="73"/>
      <c r="BG1656" s="73"/>
      <c r="BH1656" s="73"/>
      <c r="BI1656" s="73"/>
      <c r="BJ1656" s="73"/>
      <c r="BK1656" s="73"/>
      <c r="BL1656" s="73"/>
      <c r="BM1656" s="73"/>
      <c r="BN1656" s="73"/>
      <c r="BO1656" s="73"/>
      <c r="BP1656" s="73"/>
      <c r="BQ1656" s="73"/>
      <c r="BR1656" s="73"/>
      <c r="BS1656" s="73"/>
      <c r="BT1656" s="73"/>
      <c r="BU1656" s="73"/>
      <c r="BV1656" s="73"/>
      <c r="BW1656" s="73"/>
      <c r="BX1656" s="73"/>
      <c r="BY1656" s="73"/>
      <c r="BZ1656" s="73"/>
      <c r="CA1656" s="73"/>
      <c r="CB1656" s="73"/>
      <c r="CC1656" s="73"/>
      <c r="CD1656" s="73"/>
      <c r="CE1656" s="73"/>
      <c r="CF1656" s="73"/>
      <c r="CG1656" s="73"/>
      <c r="CH1656" s="73"/>
      <c r="CI1656" s="73"/>
      <c r="CJ1656" s="73"/>
      <c r="CK1656" s="73"/>
      <c r="CL1656" s="73"/>
      <c r="CM1656" s="73"/>
      <c r="CN1656" s="73"/>
      <c r="CO1656" s="73"/>
      <c r="CP1656" s="73"/>
      <c r="CQ1656" s="73"/>
      <c r="CR1656" s="73"/>
      <c r="CS1656" s="73"/>
      <c r="CT1656" s="73"/>
      <c r="CU1656" s="73"/>
      <c r="CV1656" s="73"/>
      <c r="CW1656" s="73"/>
      <c r="CX1656" s="73"/>
      <c r="CY1656" s="73"/>
      <c r="CZ1656" s="73"/>
      <c r="DA1656" s="73"/>
      <c r="DB1656" s="73"/>
      <c r="DC1656" s="73"/>
      <c r="DD1656" s="73"/>
      <c r="DE1656" s="73"/>
      <c r="DF1656" s="73"/>
      <c r="DG1656" s="73"/>
      <c r="DH1656" s="73"/>
      <c r="DI1656" s="73"/>
      <c r="DJ1656" s="73"/>
      <c r="DK1656" s="73"/>
      <c r="DL1656" s="73"/>
      <c r="DM1656" s="73"/>
    </row>
    <row r="1657" spans="1:117" s="48" customFormat="1">
      <c r="A1657" s="73"/>
      <c r="T1657" s="73"/>
      <c r="U1657" s="73"/>
      <c r="V1657" s="73"/>
      <c r="W1657" s="73"/>
      <c r="X1657" s="73"/>
      <c r="Y1657" s="73"/>
      <c r="Z1657" s="73"/>
      <c r="AA1657" s="73"/>
      <c r="AB1657" s="73"/>
      <c r="AC1657" s="73"/>
      <c r="AD1657" s="73"/>
      <c r="AE1657" s="73"/>
      <c r="AF1657" s="73"/>
      <c r="AG1657" s="73"/>
      <c r="AH1657" s="73"/>
      <c r="AI1657" s="73"/>
      <c r="AJ1657" s="73"/>
      <c r="AK1657" s="73"/>
      <c r="AL1657" s="73"/>
      <c r="AM1657" s="73"/>
      <c r="AN1657" s="73"/>
      <c r="AO1657" s="73"/>
      <c r="AP1657" s="73"/>
      <c r="AQ1657" s="73"/>
      <c r="AR1657" s="73"/>
      <c r="AS1657" s="73"/>
      <c r="AT1657" s="73"/>
      <c r="AU1657" s="73"/>
      <c r="AV1657" s="73"/>
      <c r="AW1657" s="73"/>
      <c r="AX1657" s="73"/>
      <c r="AY1657" s="73"/>
      <c r="AZ1657" s="73"/>
      <c r="BA1657" s="73"/>
      <c r="BB1657" s="73"/>
      <c r="BC1657" s="73"/>
      <c r="BD1657" s="73"/>
      <c r="BE1657" s="73"/>
      <c r="BF1657" s="73"/>
      <c r="BG1657" s="73"/>
      <c r="BH1657" s="73"/>
      <c r="BI1657" s="73"/>
      <c r="BJ1657" s="73"/>
      <c r="BK1657" s="73"/>
      <c r="BL1657" s="73"/>
      <c r="BM1657" s="73"/>
      <c r="BN1657" s="73"/>
      <c r="BO1657" s="73"/>
      <c r="BP1657" s="73"/>
      <c r="BQ1657" s="73"/>
      <c r="BR1657" s="73"/>
      <c r="BS1657" s="73"/>
      <c r="BT1657" s="73"/>
      <c r="BU1657" s="73"/>
      <c r="BV1657" s="73"/>
      <c r="BW1657" s="73"/>
      <c r="BX1657" s="73"/>
      <c r="BY1657" s="73"/>
      <c r="BZ1657" s="73"/>
      <c r="CA1657" s="73"/>
      <c r="CB1657" s="73"/>
      <c r="CC1657" s="73"/>
      <c r="CD1657" s="73"/>
      <c r="CE1657" s="73"/>
      <c r="CF1657" s="73"/>
      <c r="CG1657" s="73"/>
      <c r="CH1657" s="73"/>
      <c r="CI1657" s="73"/>
      <c r="CJ1657" s="73"/>
      <c r="CK1657" s="73"/>
      <c r="CL1657" s="73"/>
      <c r="CM1657" s="73"/>
      <c r="CN1657" s="73"/>
      <c r="CO1657" s="73"/>
      <c r="CP1657" s="73"/>
      <c r="CQ1657" s="73"/>
      <c r="CR1657" s="73"/>
      <c r="CS1657" s="73"/>
      <c r="CT1657" s="73"/>
      <c r="CU1657" s="73"/>
      <c r="CV1657" s="73"/>
      <c r="CW1657" s="73"/>
      <c r="CX1657" s="73"/>
      <c r="CY1657" s="73"/>
      <c r="CZ1657" s="73"/>
      <c r="DA1657" s="73"/>
      <c r="DB1657" s="73"/>
      <c r="DC1657" s="73"/>
      <c r="DD1657" s="73"/>
      <c r="DE1657" s="73"/>
      <c r="DF1657" s="73"/>
      <c r="DG1657" s="73"/>
      <c r="DH1657" s="73"/>
      <c r="DI1657" s="73"/>
      <c r="DJ1657" s="73"/>
      <c r="DK1657" s="73"/>
      <c r="DL1657" s="73"/>
      <c r="DM1657" s="73"/>
    </row>
    <row r="1658" spans="1:117" s="48" customFormat="1">
      <c r="A1658" s="73"/>
      <c r="T1658" s="73"/>
      <c r="U1658" s="73"/>
      <c r="V1658" s="73"/>
      <c r="W1658" s="73"/>
      <c r="X1658" s="73"/>
      <c r="Y1658" s="73"/>
      <c r="Z1658" s="73"/>
      <c r="AA1658" s="73"/>
      <c r="AB1658" s="73"/>
      <c r="AC1658" s="73"/>
      <c r="AD1658" s="73"/>
      <c r="AE1658" s="73"/>
      <c r="AF1658" s="73"/>
      <c r="AG1658" s="73"/>
      <c r="AH1658" s="73"/>
      <c r="AI1658" s="73"/>
      <c r="AJ1658" s="73"/>
      <c r="AK1658" s="73"/>
      <c r="AL1658" s="73"/>
      <c r="AM1658" s="73"/>
      <c r="AN1658" s="73"/>
      <c r="AO1658" s="73"/>
      <c r="AP1658" s="73"/>
      <c r="AQ1658" s="73"/>
      <c r="AR1658" s="73"/>
      <c r="AS1658" s="73"/>
      <c r="AT1658" s="73"/>
      <c r="AU1658" s="73"/>
      <c r="AV1658" s="73"/>
      <c r="AW1658" s="73"/>
      <c r="AX1658" s="73"/>
      <c r="AY1658" s="73"/>
      <c r="AZ1658" s="73"/>
      <c r="BA1658" s="73"/>
      <c r="BB1658" s="73"/>
      <c r="BC1658" s="73"/>
      <c r="BD1658" s="73"/>
      <c r="BE1658" s="73"/>
      <c r="BF1658" s="73"/>
      <c r="BG1658" s="73"/>
      <c r="BH1658" s="73"/>
      <c r="BI1658" s="73"/>
      <c r="BJ1658" s="73"/>
      <c r="BK1658" s="73"/>
      <c r="BL1658" s="73"/>
      <c r="BM1658" s="73"/>
      <c r="BN1658" s="73"/>
      <c r="BO1658" s="73"/>
      <c r="BP1658" s="73"/>
      <c r="BQ1658" s="73"/>
      <c r="BR1658" s="73"/>
      <c r="BS1658" s="73"/>
      <c r="BT1658" s="73"/>
      <c r="BU1658" s="73"/>
      <c r="BV1658" s="73"/>
      <c r="BW1658" s="73"/>
      <c r="BX1658" s="73"/>
      <c r="BY1658" s="73"/>
      <c r="BZ1658" s="73"/>
      <c r="CA1658" s="73"/>
      <c r="CB1658" s="73"/>
      <c r="CC1658" s="73"/>
      <c r="CD1658" s="73"/>
      <c r="CE1658" s="73"/>
      <c r="CF1658" s="73"/>
      <c r="CG1658" s="73"/>
      <c r="CH1658" s="73"/>
      <c r="CI1658" s="73"/>
      <c r="CJ1658" s="73"/>
      <c r="CK1658" s="73"/>
      <c r="CL1658" s="73"/>
      <c r="CM1658" s="73"/>
      <c r="CN1658" s="73"/>
      <c r="CO1658" s="73"/>
      <c r="CP1658" s="73"/>
      <c r="CQ1658" s="73"/>
      <c r="CR1658" s="73"/>
      <c r="CS1658" s="73"/>
      <c r="CT1658" s="73"/>
      <c r="CU1658" s="73"/>
      <c r="CV1658" s="73"/>
      <c r="CW1658" s="73"/>
      <c r="CX1658" s="73"/>
      <c r="CY1658" s="73"/>
      <c r="CZ1658" s="73"/>
      <c r="DA1658" s="73"/>
      <c r="DB1658" s="73"/>
      <c r="DC1658" s="73"/>
      <c r="DD1658" s="73"/>
      <c r="DE1658" s="73"/>
      <c r="DF1658" s="73"/>
      <c r="DG1658" s="73"/>
      <c r="DH1658" s="73"/>
      <c r="DI1658" s="73"/>
      <c r="DJ1658" s="73"/>
      <c r="DK1658" s="73"/>
      <c r="DL1658" s="73"/>
      <c r="DM1658" s="73"/>
    </row>
    <row r="1659" spans="1:117" s="48" customFormat="1">
      <c r="A1659" s="73"/>
      <c r="T1659" s="73"/>
      <c r="U1659" s="73"/>
      <c r="V1659" s="73"/>
      <c r="W1659" s="73"/>
      <c r="X1659" s="73"/>
      <c r="Y1659" s="73"/>
      <c r="Z1659" s="73"/>
      <c r="AA1659" s="73"/>
      <c r="AB1659" s="73"/>
      <c r="AC1659" s="73"/>
      <c r="AD1659" s="73"/>
      <c r="AE1659" s="73"/>
      <c r="AF1659" s="73"/>
      <c r="AG1659" s="73"/>
      <c r="AH1659" s="73"/>
      <c r="AI1659" s="73"/>
      <c r="AJ1659" s="73"/>
      <c r="AK1659" s="73"/>
      <c r="AL1659" s="73"/>
      <c r="AM1659" s="73"/>
      <c r="AN1659" s="73"/>
      <c r="AO1659" s="73"/>
      <c r="AP1659" s="73"/>
      <c r="AQ1659" s="73"/>
      <c r="AR1659" s="73"/>
      <c r="AS1659" s="73"/>
      <c r="AT1659" s="73"/>
      <c r="AU1659" s="73"/>
      <c r="AV1659" s="73"/>
      <c r="AW1659" s="73"/>
      <c r="AX1659" s="73"/>
      <c r="AY1659" s="73"/>
      <c r="AZ1659" s="73"/>
      <c r="BA1659" s="73"/>
      <c r="BB1659" s="73"/>
      <c r="BC1659" s="73"/>
      <c r="BD1659" s="73"/>
      <c r="BE1659" s="73"/>
      <c r="BF1659" s="73"/>
      <c r="BG1659" s="73"/>
      <c r="BH1659" s="73"/>
      <c r="BI1659" s="73"/>
      <c r="BJ1659" s="73"/>
      <c r="BK1659" s="73"/>
      <c r="BL1659" s="73"/>
      <c r="BM1659" s="73"/>
      <c r="BN1659" s="73"/>
      <c r="BO1659" s="73"/>
      <c r="BP1659" s="73"/>
      <c r="BQ1659" s="73"/>
      <c r="BR1659" s="73"/>
      <c r="BS1659" s="73"/>
      <c r="BT1659" s="73"/>
      <c r="BU1659" s="73"/>
      <c r="BV1659" s="73"/>
      <c r="BW1659" s="73"/>
      <c r="BX1659" s="73"/>
      <c r="BY1659" s="73"/>
      <c r="BZ1659" s="73"/>
      <c r="CA1659" s="73"/>
      <c r="CB1659" s="73"/>
      <c r="CC1659" s="73"/>
      <c r="CD1659" s="73"/>
      <c r="CE1659" s="73"/>
      <c r="CF1659" s="73"/>
      <c r="CG1659" s="73"/>
      <c r="CH1659" s="73"/>
      <c r="CI1659" s="73"/>
      <c r="CJ1659" s="73"/>
      <c r="CK1659" s="73"/>
      <c r="CL1659" s="73"/>
      <c r="CM1659" s="73"/>
      <c r="CN1659" s="73"/>
      <c r="CO1659" s="73"/>
      <c r="CP1659" s="73"/>
      <c r="CQ1659" s="73"/>
      <c r="CR1659" s="73"/>
      <c r="CS1659" s="73"/>
      <c r="CT1659" s="73"/>
      <c r="CU1659" s="73"/>
      <c r="CV1659" s="73"/>
      <c r="CW1659" s="73"/>
      <c r="CX1659" s="73"/>
      <c r="CY1659" s="73"/>
      <c r="CZ1659" s="73"/>
      <c r="DA1659" s="73"/>
      <c r="DB1659" s="73"/>
      <c r="DC1659" s="73"/>
      <c r="DD1659" s="73"/>
      <c r="DE1659" s="73"/>
      <c r="DF1659" s="73"/>
      <c r="DG1659" s="73"/>
      <c r="DH1659" s="73"/>
      <c r="DI1659" s="73"/>
      <c r="DJ1659" s="73"/>
      <c r="DK1659" s="73"/>
      <c r="DL1659" s="73"/>
      <c r="DM1659" s="73"/>
    </row>
    <row r="1660" spans="1:117" s="48" customFormat="1">
      <c r="A1660" s="73"/>
      <c r="T1660" s="73"/>
      <c r="U1660" s="73"/>
      <c r="V1660" s="73"/>
      <c r="W1660" s="73"/>
      <c r="X1660" s="73"/>
      <c r="Y1660" s="73"/>
      <c r="Z1660" s="73"/>
      <c r="AA1660" s="73"/>
      <c r="AB1660" s="73"/>
      <c r="AC1660" s="73"/>
      <c r="AD1660" s="73"/>
      <c r="AE1660" s="73"/>
      <c r="AF1660" s="73"/>
      <c r="AG1660" s="73"/>
      <c r="AH1660" s="73"/>
      <c r="AI1660" s="73"/>
      <c r="AJ1660" s="73"/>
      <c r="AK1660" s="73"/>
      <c r="AL1660" s="73"/>
      <c r="AM1660" s="73"/>
      <c r="AN1660" s="73"/>
      <c r="AO1660" s="73"/>
      <c r="AP1660" s="73"/>
      <c r="AQ1660" s="73"/>
      <c r="AR1660" s="73"/>
      <c r="AS1660" s="73"/>
      <c r="AT1660" s="73"/>
      <c r="AU1660" s="73"/>
      <c r="AV1660" s="73"/>
      <c r="AW1660" s="73"/>
      <c r="AX1660" s="73"/>
      <c r="AY1660" s="73"/>
      <c r="AZ1660" s="73"/>
      <c r="BA1660" s="73"/>
      <c r="BB1660" s="73"/>
      <c r="BC1660" s="73"/>
      <c r="BD1660" s="73"/>
      <c r="BE1660" s="73"/>
      <c r="BF1660" s="73"/>
      <c r="BG1660" s="73"/>
      <c r="BH1660" s="73"/>
      <c r="BI1660" s="73"/>
      <c r="BJ1660" s="73"/>
      <c r="BK1660" s="73"/>
      <c r="BL1660" s="73"/>
      <c r="BM1660" s="73"/>
      <c r="BN1660" s="73"/>
      <c r="BO1660" s="73"/>
      <c r="BP1660" s="73"/>
      <c r="BQ1660" s="73"/>
      <c r="BR1660" s="73"/>
      <c r="BS1660" s="73"/>
      <c r="BT1660" s="73"/>
      <c r="BU1660" s="73"/>
      <c r="BV1660" s="73"/>
      <c r="BW1660" s="73"/>
      <c r="BX1660" s="73"/>
      <c r="BY1660" s="73"/>
      <c r="BZ1660" s="73"/>
      <c r="CA1660" s="73"/>
      <c r="CB1660" s="73"/>
      <c r="CC1660" s="73"/>
      <c r="CD1660" s="73"/>
      <c r="CE1660" s="73"/>
      <c r="CF1660" s="73"/>
      <c r="CG1660" s="73"/>
      <c r="CH1660" s="73"/>
      <c r="CI1660" s="73"/>
      <c r="CJ1660" s="73"/>
      <c r="CK1660" s="73"/>
      <c r="CL1660" s="73"/>
      <c r="CM1660" s="73"/>
      <c r="CN1660" s="73"/>
      <c r="CO1660" s="73"/>
      <c r="CP1660" s="73"/>
      <c r="CQ1660" s="73"/>
      <c r="CR1660" s="73"/>
      <c r="CS1660" s="73"/>
      <c r="CT1660" s="73"/>
      <c r="CU1660" s="73"/>
      <c r="CV1660" s="73"/>
      <c r="CW1660" s="73"/>
      <c r="CX1660" s="73"/>
      <c r="CY1660" s="73"/>
      <c r="CZ1660" s="73"/>
      <c r="DA1660" s="73"/>
      <c r="DB1660" s="73"/>
      <c r="DC1660" s="73"/>
      <c r="DD1660" s="73"/>
      <c r="DE1660" s="73"/>
      <c r="DF1660" s="73"/>
      <c r="DG1660" s="73"/>
      <c r="DH1660" s="73"/>
      <c r="DI1660" s="73"/>
      <c r="DJ1660" s="73"/>
      <c r="DK1660" s="73"/>
      <c r="DL1660" s="73"/>
      <c r="DM1660" s="73"/>
    </row>
    <row r="1661" spans="1:117" s="48" customFormat="1">
      <c r="A1661" s="73"/>
      <c r="T1661" s="73"/>
      <c r="U1661" s="73"/>
      <c r="V1661" s="73"/>
      <c r="W1661" s="73"/>
      <c r="X1661" s="73"/>
      <c r="Y1661" s="73"/>
      <c r="Z1661" s="73"/>
      <c r="AA1661" s="73"/>
      <c r="AB1661" s="73"/>
      <c r="AC1661" s="73"/>
      <c r="AD1661" s="73"/>
      <c r="AE1661" s="73"/>
      <c r="AF1661" s="73"/>
      <c r="AG1661" s="73"/>
      <c r="AH1661" s="73"/>
      <c r="AI1661" s="73"/>
      <c r="AJ1661" s="73"/>
      <c r="AK1661" s="73"/>
      <c r="AL1661" s="73"/>
      <c r="AM1661" s="73"/>
      <c r="AN1661" s="73"/>
      <c r="AO1661" s="73"/>
      <c r="AP1661" s="73"/>
      <c r="AQ1661" s="73"/>
      <c r="AR1661" s="73"/>
      <c r="AS1661" s="73"/>
      <c r="AT1661" s="73"/>
      <c r="AU1661" s="73"/>
      <c r="AV1661" s="73"/>
      <c r="AW1661" s="73"/>
      <c r="AX1661" s="73"/>
      <c r="AY1661" s="73"/>
      <c r="AZ1661" s="73"/>
      <c r="BA1661" s="73"/>
      <c r="BB1661" s="73"/>
      <c r="BC1661" s="73"/>
      <c r="BD1661" s="73"/>
      <c r="BE1661" s="73"/>
      <c r="BF1661" s="73"/>
      <c r="BG1661" s="73"/>
      <c r="BH1661" s="73"/>
      <c r="BI1661" s="73"/>
      <c r="BJ1661" s="73"/>
      <c r="BK1661" s="73"/>
      <c r="BL1661" s="73"/>
      <c r="BM1661" s="73"/>
      <c r="BN1661" s="73"/>
      <c r="BO1661" s="73"/>
      <c r="BP1661" s="73"/>
      <c r="BQ1661" s="73"/>
      <c r="BR1661" s="73"/>
      <c r="BS1661" s="73"/>
      <c r="BT1661" s="73"/>
      <c r="BU1661" s="73"/>
      <c r="BV1661" s="73"/>
      <c r="BW1661" s="73"/>
      <c r="BX1661" s="73"/>
      <c r="BY1661" s="73"/>
      <c r="BZ1661" s="73"/>
      <c r="CA1661" s="73"/>
      <c r="CB1661" s="73"/>
      <c r="CC1661" s="73"/>
      <c r="CD1661" s="73"/>
      <c r="CE1661" s="73"/>
      <c r="CF1661" s="73"/>
      <c r="CG1661" s="73"/>
      <c r="CH1661" s="73"/>
      <c r="CI1661" s="73"/>
      <c r="CJ1661" s="73"/>
      <c r="CK1661" s="73"/>
      <c r="CL1661" s="73"/>
      <c r="CM1661" s="73"/>
      <c r="CN1661" s="73"/>
      <c r="CO1661" s="73"/>
      <c r="CP1661" s="73"/>
      <c r="CQ1661" s="73"/>
      <c r="CR1661" s="73"/>
      <c r="CS1661" s="73"/>
      <c r="CT1661" s="73"/>
      <c r="CU1661" s="73"/>
      <c r="CV1661" s="73"/>
      <c r="CW1661" s="73"/>
      <c r="CX1661" s="73"/>
      <c r="CY1661" s="73"/>
      <c r="CZ1661" s="73"/>
      <c r="DA1661" s="73"/>
      <c r="DB1661" s="73"/>
      <c r="DC1661" s="73"/>
      <c r="DD1661" s="73"/>
      <c r="DE1661" s="73"/>
      <c r="DF1661" s="73"/>
      <c r="DG1661" s="73"/>
      <c r="DH1661" s="73"/>
      <c r="DI1661" s="73"/>
      <c r="DJ1661" s="73"/>
      <c r="DK1661" s="73"/>
      <c r="DL1661" s="73"/>
      <c r="DM1661" s="73"/>
    </row>
    <row r="1662" spans="1:117" s="48" customFormat="1">
      <c r="A1662" s="73"/>
      <c r="T1662" s="73"/>
      <c r="U1662" s="73"/>
      <c r="V1662" s="73"/>
      <c r="W1662" s="73"/>
      <c r="X1662" s="73"/>
      <c r="Y1662" s="73"/>
      <c r="Z1662" s="73"/>
      <c r="AA1662" s="73"/>
      <c r="AB1662" s="73"/>
      <c r="AC1662" s="73"/>
      <c r="AD1662" s="73"/>
      <c r="AE1662" s="73"/>
      <c r="AF1662" s="73"/>
      <c r="AG1662" s="73"/>
      <c r="AH1662" s="73"/>
      <c r="AI1662" s="73"/>
      <c r="AJ1662" s="73"/>
      <c r="AK1662" s="73"/>
      <c r="AL1662" s="73"/>
      <c r="AM1662" s="73"/>
      <c r="AN1662" s="73"/>
      <c r="AO1662" s="73"/>
      <c r="AP1662" s="73"/>
      <c r="AQ1662" s="73"/>
      <c r="AR1662" s="73"/>
      <c r="AS1662" s="73"/>
      <c r="AT1662" s="73"/>
      <c r="AU1662" s="73"/>
      <c r="AV1662" s="73"/>
      <c r="AW1662" s="73"/>
      <c r="AX1662" s="73"/>
      <c r="AY1662" s="73"/>
      <c r="AZ1662" s="73"/>
      <c r="BA1662" s="73"/>
      <c r="BB1662" s="73"/>
      <c r="BC1662" s="73"/>
      <c r="BD1662" s="73"/>
      <c r="BE1662" s="73"/>
      <c r="BF1662" s="73"/>
      <c r="BG1662" s="73"/>
      <c r="BH1662" s="73"/>
      <c r="BI1662" s="73"/>
      <c r="BJ1662" s="73"/>
      <c r="BK1662" s="73"/>
      <c r="BL1662" s="73"/>
      <c r="BM1662" s="73"/>
      <c r="BN1662" s="73"/>
      <c r="BO1662" s="73"/>
      <c r="BP1662" s="73"/>
      <c r="BQ1662" s="73"/>
      <c r="BR1662" s="73"/>
      <c r="BS1662" s="73"/>
      <c r="BT1662" s="73"/>
      <c r="BU1662" s="73"/>
      <c r="BV1662" s="73"/>
      <c r="BW1662" s="73"/>
      <c r="BX1662" s="73"/>
      <c r="BY1662" s="73"/>
      <c r="BZ1662" s="73"/>
      <c r="CA1662" s="73"/>
      <c r="CB1662" s="73"/>
      <c r="CC1662" s="73"/>
      <c r="CD1662" s="73"/>
      <c r="CE1662" s="73"/>
      <c r="CF1662" s="73"/>
      <c r="CG1662" s="73"/>
      <c r="CH1662" s="73"/>
      <c r="CI1662" s="73"/>
      <c r="CJ1662" s="73"/>
      <c r="CK1662" s="73"/>
      <c r="CL1662" s="73"/>
      <c r="CM1662" s="73"/>
      <c r="CN1662" s="73"/>
      <c r="CO1662" s="73"/>
      <c r="CP1662" s="73"/>
      <c r="CQ1662" s="73"/>
      <c r="CR1662" s="73"/>
      <c r="CS1662" s="73"/>
      <c r="CT1662" s="73"/>
      <c r="CU1662" s="73"/>
      <c r="CV1662" s="73"/>
      <c r="CW1662" s="73"/>
      <c r="CX1662" s="73"/>
      <c r="CY1662" s="73"/>
      <c r="CZ1662" s="73"/>
      <c r="DA1662" s="73"/>
      <c r="DB1662" s="73"/>
      <c r="DC1662" s="73"/>
      <c r="DD1662" s="73"/>
      <c r="DE1662" s="73"/>
      <c r="DF1662" s="73"/>
      <c r="DG1662" s="73"/>
      <c r="DH1662" s="73"/>
      <c r="DI1662" s="73"/>
      <c r="DJ1662" s="73"/>
      <c r="DK1662" s="73"/>
      <c r="DL1662" s="73"/>
      <c r="DM1662" s="73"/>
    </row>
    <row r="1663" spans="1:117" s="48" customFormat="1">
      <c r="A1663" s="73"/>
      <c r="T1663" s="73"/>
      <c r="U1663" s="73"/>
      <c r="V1663" s="73"/>
      <c r="W1663" s="73"/>
      <c r="X1663" s="73"/>
      <c r="Y1663" s="73"/>
      <c r="Z1663" s="73"/>
      <c r="AA1663" s="73"/>
      <c r="AB1663" s="73"/>
      <c r="AC1663" s="73"/>
      <c r="AD1663" s="73"/>
      <c r="AE1663" s="73"/>
      <c r="AF1663" s="73"/>
      <c r="AG1663" s="73"/>
      <c r="AH1663" s="73"/>
      <c r="AI1663" s="73"/>
      <c r="AJ1663" s="73"/>
      <c r="AK1663" s="73"/>
      <c r="AL1663" s="73"/>
      <c r="AM1663" s="73"/>
      <c r="AN1663" s="73"/>
      <c r="AO1663" s="73"/>
      <c r="AP1663" s="73"/>
      <c r="AQ1663" s="73"/>
      <c r="AR1663" s="73"/>
      <c r="AS1663" s="73"/>
      <c r="AT1663" s="73"/>
      <c r="AU1663" s="73"/>
      <c r="AV1663" s="73"/>
      <c r="AW1663" s="73"/>
      <c r="AX1663" s="73"/>
      <c r="AY1663" s="73"/>
      <c r="AZ1663" s="73"/>
      <c r="BA1663" s="73"/>
      <c r="BB1663" s="73"/>
      <c r="BC1663" s="73"/>
      <c r="BD1663" s="73"/>
      <c r="BE1663" s="73"/>
      <c r="BF1663" s="73"/>
      <c r="BG1663" s="73"/>
      <c r="BH1663" s="73"/>
      <c r="BI1663" s="73"/>
      <c r="BJ1663" s="73"/>
      <c r="BK1663" s="73"/>
      <c r="BL1663" s="73"/>
      <c r="BM1663" s="73"/>
      <c r="BN1663" s="73"/>
      <c r="BO1663" s="73"/>
      <c r="BP1663" s="73"/>
      <c r="BQ1663" s="73"/>
      <c r="BR1663" s="73"/>
      <c r="BS1663" s="73"/>
      <c r="BT1663" s="73"/>
      <c r="BU1663" s="73"/>
      <c r="BV1663" s="73"/>
      <c r="BW1663" s="73"/>
      <c r="BX1663" s="73"/>
      <c r="BY1663" s="73"/>
      <c r="BZ1663" s="73"/>
      <c r="CA1663" s="73"/>
      <c r="CB1663" s="73"/>
      <c r="CC1663" s="73"/>
      <c r="CD1663" s="73"/>
      <c r="CE1663" s="73"/>
      <c r="CF1663" s="73"/>
      <c r="CG1663" s="73"/>
      <c r="CH1663" s="73"/>
      <c r="CI1663" s="73"/>
      <c r="CJ1663" s="73"/>
      <c r="CK1663" s="73"/>
      <c r="CL1663" s="73"/>
      <c r="CM1663" s="73"/>
      <c r="CN1663" s="73"/>
      <c r="CO1663" s="73"/>
      <c r="CP1663" s="73"/>
      <c r="CQ1663" s="73"/>
      <c r="CR1663" s="73"/>
      <c r="CS1663" s="73"/>
      <c r="CT1663" s="73"/>
      <c r="CU1663" s="73"/>
      <c r="CV1663" s="73"/>
      <c r="CW1663" s="73"/>
      <c r="CX1663" s="73"/>
      <c r="CY1663" s="73"/>
      <c r="CZ1663" s="73"/>
      <c r="DA1663" s="73"/>
      <c r="DB1663" s="73"/>
      <c r="DC1663" s="73"/>
      <c r="DD1663" s="73"/>
      <c r="DE1663" s="73"/>
      <c r="DF1663" s="73"/>
      <c r="DG1663" s="73"/>
      <c r="DH1663" s="73"/>
      <c r="DI1663" s="73"/>
      <c r="DJ1663" s="73"/>
      <c r="DK1663" s="73"/>
      <c r="DL1663" s="73"/>
      <c r="DM1663" s="73"/>
    </row>
    <row r="1664" spans="1:117" s="48" customFormat="1">
      <c r="A1664" s="73"/>
      <c r="T1664" s="73"/>
      <c r="U1664" s="73"/>
      <c r="V1664" s="73"/>
      <c r="W1664" s="73"/>
      <c r="X1664" s="73"/>
      <c r="Y1664" s="73"/>
      <c r="Z1664" s="73"/>
      <c r="AA1664" s="73"/>
      <c r="AB1664" s="73"/>
      <c r="AC1664" s="73"/>
      <c r="AD1664" s="73"/>
      <c r="AE1664" s="73"/>
      <c r="AF1664" s="73"/>
      <c r="AG1664" s="73"/>
      <c r="AH1664" s="73"/>
      <c r="AI1664" s="73"/>
      <c r="AJ1664" s="73"/>
      <c r="AK1664" s="73"/>
      <c r="AL1664" s="73"/>
      <c r="AM1664" s="73"/>
      <c r="AN1664" s="73"/>
      <c r="AO1664" s="73"/>
      <c r="AP1664" s="73"/>
      <c r="AQ1664" s="73"/>
      <c r="AR1664" s="73"/>
      <c r="AS1664" s="73"/>
      <c r="AT1664" s="73"/>
      <c r="AU1664" s="73"/>
      <c r="AV1664" s="73"/>
      <c r="AW1664" s="73"/>
      <c r="AX1664" s="73"/>
      <c r="AY1664" s="73"/>
      <c r="AZ1664" s="73"/>
      <c r="BA1664" s="73"/>
      <c r="BB1664" s="73"/>
      <c r="BC1664" s="73"/>
      <c r="BD1664" s="73"/>
      <c r="BE1664" s="73"/>
      <c r="BF1664" s="73"/>
      <c r="BG1664" s="73"/>
      <c r="BH1664" s="73"/>
      <c r="BI1664" s="73"/>
      <c r="BJ1664" s="73"/>
      <c r="BK1664" s="73"/>
      <c r="BL1664" s="73"/>
      <c r="BM1664" s="73"/>
      <c r="BN1664" s="73"/>
      <c r="BO1664" s="73"/>
      <c r="BP1664" s="73"/>
      <c r="BQ1664" s="73"/>
      <c r="BR1664" s="73"/>
      <c r="BS1664" s="73"/>
      <c r="BT1664" s="73"/>
      <c r="BU1664" s="73"/>
      <c r="BV1664" s="73"/>
      <c r="BW1664" s="73"/>
      <c r="BX1664" s="73"/>
      <c r="BY1664" s="73"/>
      <c r="BZ1664" s="73"/>
      <c r="CA1664" s="73"/>
      <c r="CB1664" s="73"/>
      <c r="CC1664" s="73"/>
      <c r="CD1664" s="73"/>
      <c r="CE1664" s="73"/>
      <c r="CF1664" s="73"/>
      <c r="CG1664" s="73"/>
      <c r="CH1664" s="73"/>
      <c r="CI1664" s="73"/>
      <c r="CJ1664" s="73"/>
      <c r="CK1664" s="73"/>
      <c r="CL1664" s="73"/>
      <c r="CM1664" s="73"/>
      <c r="CN1664" s="73"/>
      <c r="CO1664" s="73"/>
      <c r="CP1664" s="73"/>
      <c r="CQ1664" s="73"/>
      <c r="CR1664" s="73"/>
      <c r="CS1664" s="73"/>
      <c r="CT1664" s="73"/>
      <c r="CU1664" s="73"/>
      <c r="CV1664" s="73"/>
      <c r="CW1664" s="73"/>
      <c r="CX1664" s="73"/>
      <c r="CY1664" s="73"/>
      <c r="CZ1664" s="73"/>
      <c r="DA1664" s="73"/>
      <c r="DB1664" s="73"/>
      <c r="DC1664" s="73"/>
      <c r="DD1664" s="73"/>
      <c r="DE1664" s="73"/>
      <c r="DF1664" s="73"/>
      <c r="DG1664" s="73"/>
      <c r="DH1664" s="73"/>
      <c r="DI1664" s="73"/>
      <c r="DJ1664" s="73"/>
      <c r="DK1664" s="73"/>
      <c r="DL1664" s="73"/>
      <c r="DM1664" s="73"/>
    </row>
    <row r="1665" spans="1:117" s="48" customFormat="1">
      <c r="A1665" s="73"/>
      <c r="T1665" s="73"/>
      <c r="U1665" s="73"/>
      <c r="V1665" s="73"/>
      <c r="W1665" s="73"/>
      <c r="X1665" s="73"/>
      <c r="Y1665" s="73"/>
      <c r="Z1665" s="73"/>
      <c r="AA1665" s="73"/>
      <c r="AB1665" s="73"/>
      <c r="AC1665" s="73"/>
      <c r="AD1665" s="73"/>
      <c r="AE1665" s="73"/>
      <c r="AF1665" s="73"/>
      <c r="AG1665" s="73"/>
      <c r="AH1665" s="73"/>
      <c r="AI1665" s="73"/>
      <c r="AJ1665" s="73"/>
      <c r="AK1665" s="73"/>
      <c r="AL1665" s="73"/>
      <c r="AM1665" s="73"/>
      <c r="AN1665" s="73"/>
      <c r="AO1665" s="73"/>
      <c r="AP1665" s="73"/>
      <c r="AQ1665" s="73"/>
      <c r="AR1665" s="73"/>
      <c r="AS1665" s="73"/>
      <c r="AT1665" s="73"/>
      <c r="AU1665" s="73"/>
      <c r="AV1665" s="73"/>
      <c r="AW1665" s="73"/>
      <c r="AX1665" s="73"/>
      <c r="AY1665" s="73"/>
      <c r="AZ1665" s="73"/>
      <c r="BA1665" s="73"/>
      <c r="BB1665" s="73"/>
      <c r="BC1665" s="73"/>
      <c r="BD1665" s="73"/>
      <c r="BE1665" s="73"/>
      <c r="BF1665" s="73"/>
      <c r="BG1665" s="73"/>
      <c r="BH1665" s="73"/>
      <c r="BI1665" s="73"/>
      <c r="BJ1665" s="73"/>
      <c r="BK1665" s="73"/>
      <c r="BL1665" s="73"/>
      <c r="BM1665" s="73"/>
      <c r="BN1665" s="73"/>
      <c r="BO1665" s="73"/>
      <c r="BP1665" s="73"/>
      <c r="BQ1665" s="73"/>
      <c r="BR1665" s="73"/>
      <c r="BS1665" s="73"/>
      <c r="BT1665" s="73"/>
      <c r="BU1665" s="73"/>
      <c r="BV1665" s="73"/>
      <c r="BW1665" s="73"/>
      <c r="BX1665" s="73"/>
      <c r="BY1665" s="73"/>
      <c r="BZ1665" s="73"/>
      <c r="CA1665" s="73"/>
      <c r="CB1665" s="73"/>
      <c r="CC1665" s="73"/>
      <c r="CD1665" s="73"/>
      <c r="CE1665" s="73"/>
      <c r="CF1665" s="73"/>
      <c r="CG1665" s="73"/>
      <c r="CH1665" s="73"/>
      <c r="CI1665" s="73"/>
      <c r="CJ1665" s="73"/>
      <c r="CK1665" s="73"/>
      <c r="CL1665" s="73"/>
      <c r="CM1665" s="73"/>
      <c r="CN1665" s="73"/>
      <c r="CO1665" s="73"/>
      <c r="CP1665" s="73"/>
      <c r="CQ1665" s="73"/>
      <c r="CR1665" s="73"/>
      <c r="CS1665" s="73"/>
      <c r="CT1665" s="73"/>
      <c r="CU1665" s="73"/>
      <c r="CV1665" s="73"/>
      <c r="CW1665" s="73"/>
      <c r="CX1665" s="73"/>
      <c r="CY1665" s="73"/>
      <c r="CZ1665" s="73"/>
      <c r="DA1665" s="73"/>
      <c r="DB1665" s="73"/>
      <c r="DC1665" s="73"/>
      <c r="DD1665" s="73"/>
      <c r="DE1665" s="73"/>
      <c r="DF1665" s="73"/>
      <c r="DG1665" s="73"/>
      <c r="DH1665" s="73"/>
      <c r="DI1665" s="73"/>
      <c r="DJ1665" s="73"/>
      <c r="DK1665" s="73"/>
      <c r="DL1665" s="73"/>
      <c r="DM1665" s="73"/>
    </row>
    <row r="1666" spans="1:117" s="48" customFormat="1">
      <c r="A1666" s="73"/>
      <c r="T1666" s="73"/>
      <c r="U1666" s="73"/>
      <c r="V1666" s="73"/>
      <c r="W1666" s="73"/>
      <c r="X1666" s="73"/>
      <c r="Y1666" s="73"/>
      <c r="Z1666" s="73"/>
      <c r="AA1666" s="73"/>
      <c r="AB1666" s="73"/>
      <c r="AC1666" s="73"/>
      <c r="AD1666" s="73"/>
      <c r="AE1666" s="73"/>
      <c r="AF1666" s="73"/>
      <c r="AG1666" s="73"/>
      <c r="AH1666" s="73"/>
      <c r="AI1666" s="73"/>
      <c r="AJ1666" s="73"/>
      <c r="AK1666" s="73"/>
      <c r="AL1666" s="73"/>
      <c r="AM1666" s="73"/>
      <c r="AN1666" s="73"/>
      <c r="AO1666" s="73"/>
      <c r="AP1666" s="73"/>
      <c r="AQ1666" s="73"/>
      <c r="AR1666" s="73"/>
      <c r="AS1666" s="73"/>
      <c r="AT1666" s="73"/>
      <c r="AU1666" s="73"/>
      <c r="AV1666" s="73"/>
      <c r="AW1666" s="73"/>
      <c r="AX1666" s="73"/>
      <c r="AY1666" s="73"/>
      <c r="AZ1666" s="73"/>
      <c r="BA1666" s="73"/>
      <c r="BB1666" s="73"/>
      <c r="BC1666" s="73"/>
      <c r="BD1666" s="73"/>
      <c r="BE1666" s="73"/>
      <c r="BF1666" s="73"/>
      <c r="BG1666" s="73"/>
      <c r="BH1666" s="73"/>
      <c r="BI1666" s="73"/>
      <c r="BJ1666" s="73"/>
      <c r="BK1666" s="73"/>
      <c r="BL1666" s="73"/>
      <c r="BM1666" s="73"/>
      <c r="BN1666" s="73"/>
      <c r="BO1666" s="73"/>
      <c r="BP1666" s="73"/>
      <c r="BQ1666" s="73"/>
      <c r="BR1666" s="73"/>
      <c r="BS1666" s="73"/>
      <c r="BT1666" s="73"/>
      <c r="BU1666" s="73"/>
      <c r="BV1666" s="73"/>
      <c r="BW1666" s="73"/>
      <c r="BX1666" s="73"/>
      <c r="BY1666" s="73"/>
      <c r="BZ1666" s="73"/>
      <c r="CA1666" s="73"/>
      <c r="CB1666" s="73"/>
      <c r="CC1666" s="73"/>
      <c r="CD1666" s="73"/>
      <c r="CE1666" s="73"/>
      <c r="CF1666" s="73"/>
      <c r="CG1666" s="73"/>
      <c r="CH1666" s="73"/>
      <c r="CI1666" s="73"/>
      <c r="CJ1666" s="73"/>
      <c r="CK1666" s="73"/>
      <c r="CL1666" s="73"/>
      <c r="CM1666" s="73"/>
      <c r="CN1666" s="73"/>
      <c r="CO1666" s="73"/>
      <c r="CP1666" s="73"/>
      <c r="CQ1666" s="73"/>
      <c r="CR1666" s="73"/>
      <c r="CS1666" s="73"/>
      <c r="CT1666" s="73"/>
      <c r="CU1666" s="73"/>
      <c r="CV1666" s="73"/>
      <c r="CW1666" s="73"/>
      <c r="CX1666" s="73"/>
      <c r="CY1666" s="73"/>
      <c r="CZ1666" s="73"/>
      <c r="DA1666" s="73"/>
      <c r="DB1666" s="73"/>
      <c r="DC1666" s="73"/>
      <c r="DD1666" s="73"/>
      <c r="DE1666" s="73"/>
      <c r="DF1666" s="73"/>
      <c r="DG1666" s="73"/>
      <c r="DH1666" s="73"/>
      <c r="DI1666" s="73"/>
      <c r="DJ1666" s="73"/>
      <c r="DK1666" s="73"/>
      <c r="DL1666" s="73"/>
      <c r="DM1666" s="73"/>
    </row>
    <row r="1667" spans="1:117" s="48" customFormat="1">
      <c r="A1667" s="73"/>
      <c r="T1667" s="73"/>
      <c r="U1667" s="73"/>
      <c r="V1667" s="73"/>
      <c r="W1667" s="73"/>
      <c r="X1667" s="73"/>
      <c r="Y1667" s="73"/>
      <c r="Z1667" s="73"/>
      <c r="AA1667" s="73"/>
      <c r="AB1667" s="73"/>
      <c r="AC1667" s="73"/>
      <c r="AD1667" s="73"/>
      <c r="AE1667" s="73"/>
      <c r="AF1667" s="73"/>
      <c r="AG1667" s="73"/>
      <c r="AH1667" s="73"/>
      <c r="AI1667" s="73"/>
      <c r="AJ1667" s="73"/>
      <c r="AK1667" s="73"/>
      <c r="AL1667" s="73"/>
      <c r="AM1667" s="73"/>
      <c r="AN1667" s="73"/>
      <c r="AO1667" s="73"/>
      <c r="AP1667" s="73"/>
      <c r="AQ1667" s="73"/>
      <c r="AR1667" s="73"/>
      <c r="AS1667" s="73"/>
      <c r="AT1667" s="73"/>
      <c r="AU1667" s="73"/>
      <c r="AV1667" s="73"/>
      <c r="AW1667" s="73"/>
      <c r="AX1667" s="73"/>
      <c r="AY1667" s="73"/>
      <c r="AZ1667" s="73"/>
      <c r="BA1667" s="73"/>
      <c r="BB1667" s="73"/>
      <c r="BC1667" s="73"/>
      <c r="BD1667" s="73"/>
      <c r="BE1667" s="73"/>
      <c r="BF1667" s="73"/>
      <c r="BG1667" s="73"/>
      <c r="BH1667" s="73"/>
      <c r="BI1667" s="73"/>
      <c r="BJ1667" s="73"/>
      <c r="BK1667" s="73"/>
      <c r="BL1667" s="73"/>
      <c r="BM1667" s="73"/>
      <c r="BN1667" s="73"/>
      <c r="BO1667" s="73"/>
      <c r="BP1667" s="73"/>
      <c r="BQ1667" s="73"/>
      <c r="BR1667" s="73"/>
      <c r="BS1667" s="73"/>
      <c r="BT1667" s="73"/>
      <c r="BU1667" s="73"/>
      <c r="BV1667" s="73"/>
      <c r="BW1667" s="73"/>
      <c r="BX1667" s="73"/>
      <c r="BY1667" s="73"/>
      <c r="BZ1667" s="73"/>
      <c r="CA1667" s="73"/>
      <c r="CB1667" s="73"/>
      <c r="CC1667" s="73"/>
      <c r="CD1667" s="73"/>
      <c r="CE1667" s="73"/>
      <c r="CF1667" s="73"/>
      <c r="CG1667" s="73"/>
      <c r="CH1667" s="73"/>
      <c r="CI1667" s="73"/>
      <c r="CJ1667" s="73"/>
      <c r="CK1667" s="73"/>
      <c r="CL1667" s="73"/>
      <c r="CM1667" s="73"/>
      <c r="CN1667" s="73"/>
      <c r="CO1667" s="73"/>
      <c r="CP1667" s="73"/>
      <c r="CQ1667" s="73"/>
      <c r="CR1667" s="73"/>
      <c r="CS1667" s="73"/>
      <c r="CT1667" s="73"/>
      <c r="CU1667" s="73"/>
      <c r="CV1667" s="73"/>
      <c r="CW1667" s="73"/>
      <c r="CX1667" s="73"/>
      <c r="CY1667" s="73"/>
      <c r="CZ1667" s="73"/>
      <c r="DA1667" s="73"/>
      <c r="DB1667" s="73"/>
      <c r="DC1667" s="73"/>
      <c r="DD1667" s="73"/>
      <c r="DE1667" s="73"/>
      <c r="DF1667" s="73"/>
      <c r="DG1667" s="73"/>
      <c r="DH1667" s="73"/>
      <c r="DI1667" s="73"/>
      <c r="DJ1667" s="73"/>
      <c r="DK1667" s="73"/>
      <c r="DL1667" s="73"/>
      <c r="DM1667" s="73"/>
    </row>
    <row r="1668" spans="1:117" s="48" customFormat="1">
      <c r="A1668" s="73"/>
      <c r="T1668" s="73"/>
      <c r="U1668" s="73"/>
      <c r="V1668" s="73"/>
      <c r="W1668" s="73"/>
      <c r="X1668" s="73"/>
      <c r="Y1668" s="73"/>
      <c r="Z1668" s="73"/>
      <c r="AA1668" s="73"/>
      <c r="AB1668" s="73"/>
      <c r="AC1668" s="73"/>
      <c r="AD1668" s="73"/>
      <c r="AE1668" s="73"/>
      <c r="AF1668" s="73"/>
      <c r="AG1668" s="73"/>
      <c r="AH1668" s="73"/>
      <c r="AI1668" s="73"/>
      <c r="AJ1668" s="73"/>
      <c r="AK1668" s="73"/>
      <c r="AL1668" s="73"/>
      <c r="AM1668" s="73"/>
      <c r="AN1668" s="73"/>
      <c r="AO1668" s="73"/>
      <c r="AP1668" s="73"/>
      <c r="AQ1668" s="73"/>
      <c r="AR1668" s="73"/>
      <c r="AS1668" s="73"/>
      <c r="AT1668" s="73"/>
      <c r="AU1668" s="73"/>
      <c r="AV1668" s="73"/>
      <c r="AW1668" s="73"/>
      <c r="AX1668" s="73"/>
      <c r="AY1668" s="73"/>
      <c r="AZ1668" s="73"/>
      <c r="BA1668" s="73"/>
      <c r="BB1668" s="73"/>
      <c r="BC1668" s="73"/>
      <c r="BD1668" s="73"/>
      <c r="BE1668" s="73"/>
      <c r="BF1668" s="73"/>
      <c r="BG1668" s="73"/>
      <c r="BH1668" s="73"/>
      <c r="BI1668" s="73"/>
      <c r="BJ1668" s="73"/>
      <c r="BK1668" s="73"/>
      <c r="BL1668" s="73"/>
      <c r="BM1668" s="73"/>
      <c r="BN1668" s="73"/>
      <c r="BO1668" s="73"/>
      <c r="BP1668" s="73"/>
      <c r="BQ1668" s="73"/>
      <c r="BR1668" s="73"/>
      <c r="BS1668" s="73"/>
      <c r="BT1668" s="73"/>
      <c r="BU1668" s="73"/>
      <c r="BV1668" s="73"/>
      <c r="BW1668" s="73"/>
      <c r="BX1668" s="73"/>
      <c r="BY1668" s="73"/>
      <c r="BZ1668" s="73"/>
      <c r="CA1668" s="73"/>
      <c r="CB1668" s="73"/>
      <c r="CC1668" s="73"/>
      <c r="CD1668" s="73"/>
      <c r="CE1668" s="73"/>
      <c r="CF1668" s="73"/>
      <c r="CG1668" s="73"/>
      <c r="CH1668" s="73"/>
      <c r="CI1668" s="73"/>
      <c r="CJ1668" s="73"/>
      <c r="CK1668" s="73"/>
      <c r="CL1668" s="73"/>
      <c r="CM1668" s="73"/>
      <c r="CN1668" s="73"/>
      <c r="CO1668" s="73"/>
      <c r="CP1668" s="73"/>
      <c r="CQ1668" s="73"/>
      <c r="CR1668" s="73"/>
      <c r="CS1668" s="73"/>
      <c r="CT1668" s="73"/>
      <c r="CU1668" s="73"/>
      <c r="CV1668" s="73"/>
      <c r="CW1668" s="73"/>
      <c r="CX1668" s="73"/>
      <c r="CY1668" s="73"/>
      <c r="CZ1668" s="73"/>
      <c r="DA1668" s="73"/>
      <c r="DB1668" s="73"/>
      <c r="DC1668" s="73"/>
      <c r="DD1668" s="73"/>
      <c r="DE1668" s="73"/>
      <c r="DF1668" s="73"/>
      <c r="DG1668" s="73"/>
      <c r="DH1668" s="73"/>
      <c r="DI1668" s="73"/>
      <c r="DJ1668" s="73"/>
      <c r="DK1668" s="73"/>
      <c r="DL1668" s="73"/>
      <c r="DM1668" s="73"/>
    </row>
    <row r="1669" spans="1:117" s="48" customFormat="1">
      <c r="A1669" s="73"/>
      <c r="T1669" s="73"/>
      <c r="U1669" s="73"/>
      <c r="V1669" s="73"/>
      <c r="W1669" s="73"/>
      <c r="X1669" s="73"/>
      <c r="Y1669" s="73"/>
      <c r="Z1669" s="73"/>
      <c r="AA1669" s="73"/>
      <c r="AB1669" s="73"/>
      <c r="AC1669" s="73"/>
      <c r="AD1669" s="73"/>
      <c r="AE1669" s="73"/>
      <c r="AF1669" s="73"/>
      <c r="AG1669" s="73"/>
      <c r="AH1669" s="73"/>
      <c r="AI1669" s="73"/>
      <c r="AJ1669" s="73"/>
      <c r="AK1669" s="73"/>
      <c r="AL1669" s="73"/>
      <c r="AM1669" s="73"/>
      <c r="AN1669" s="73"/>
      <c r="AO1669" s="73"/>
      <c r="AP1669" s="73"/>
      <c r="AQ1669" s="73"/>
      <c r="AR1669" s="73"/>
      <c r="AS1669" s="73"/>
      <c r="AT1669" s="73"/>
      <c r="AU1669" s="73"/>
      <c r="AV1669" s="73"/>
      <c r="AW1669" s="73"/>
      <c r="AX1669" s="73"/>
      <c r="AY1669" s="73"/>
      <c r="AZ1669" s="73"/>
      <c r="BA1669" s="73"/>
      <c r="BB1669" s="73"/>
      <c r="BC1669" s="73"/>
      <c r="BD1669" s="73"/>
      <c r="BE1669" s="73"/>
      <c r="BF1669" s="73"/>
      <c r="BG1669" s="73"/>
      <c r="BH1669" s="73"/>
      <c r="BI1669" s="73"/>
      <c r="BJ1669" s="73"/>
      <c r="BK1669" s="73"/>
      <c r="BL1669" s="73"/>
      <c r="BM1669" s="73"/>
      <c r="BN1669" s="73"/>
      <c r="BO1669" s="73"/>
      <c r="BP1669" s="73"/>
      <c r="BQ1669" s="73"/>
      <c r="BR1669" s="73"/>
      <c r="BS1669" s="73"/>
      <c r="BT1669" s="73"/>
      <c r="BU1669" s="73"/>
      <c r="BV1669" s="73"/>
      <c r="BW1669" s="73"/>
      <c r="BX1669" s="73"/>
      <c r="BY1669" s="73"/>
      <c r="BZ1669" s="73"/>
      <c r="CA1669" s="73"/>
      <c r="CB1669" s="73"/>
      <c r="CC1669" s="73"/>
      <c r="CD1669" s="73"/>
      <c r="CE1669" s="73"/>
      <c r="CF1669" s="73"/>
      <c r="CG1669" s="73"/>
      <c r="CH1669" s="73"/>
      <c r="CI1669" s="73"/>
      <c r="CJ1669" s="73"/>
      <c r="CK1669" s="73"/>
      <c r="CL1669" s="73"/>
      <c r="CM1669" s="73"/>
      <c r="CN1669" s="73"/>
      <c r="CO1669" s="73"/>
      <c r="CP1669" s="73"/>
      <c r="CQ1669" s="73"/>
      <c r="CR1669" s="73"/>
      <c r="CS1669" s="73"/>
      <c r="CT1669" s="73"/>
      <c r="CU1669" s="73"/>
      <c r="CV1669" s="73"/>
      <c r="CW1669" s="73"/>
      <c r="CX1669" s="73"/>
      <c r="CY1669" s="73"/>
      <c r="CZ1669" s="73"/>
      <c r="DA1669" s="73"/>
      <c r="DB1669" s="73"/>
      <c r="DC1669" s="73"/>
      <c r="DD1669" s="73"/>
      <c r="DE1669" s="73"/>
      <c r="DF1669" s="73"/>
      <c r="DG1669" s="73"/>
      <c r="DH1669" s="73"/>
      <c r="DI1669" s="73"/>
      <c r="DJ1669" s="73"/>
      <c r="DK1669" s="73"/>
      <c r="DL1669" s="73"/>
      <c r="DM1669" s="73"/>
    </row>
    <row r="1670" spans="1:117" s="48" customFormat="1">
      <c r="A1670" s="73"/>
      <c r="T1670" s="73"/>
      <c r="U1670" s="73"/>
      <c r="V1670" s="73"/>
      <c r="W1670" s="73"/>
      <c r="X1670" s="73"/>
      <c r="Y1670" s="73"/>
      <c r="Z1670" s="73"/>
      <c r="AA1670" s="73"/>
      <c r="AB1670" s="73"/>
      <c r="AC1670" s="73"/>
      <c r="AD1670" s="73"/>
      <c r="AE1670" s="73"/>
      <c r="AF1670" s="73"/>
      <c r="AG1670" s="73"/>
      <c r="AH1670" s="73"/>
      <c r="AI1670" s="73"/>
      <c r="AJ1670" s="73"/>
      <c r="AK1670" s="73"/>
      <c r="AL1670" s="73"/>
      <c r="AM1670" s="73"/>
      <c r="AN1670" s="73"/>
      <c r="AO1670" s="73"/>
      <c r="AP1670" s="73"/>
      <c r="AQ1670" s="73"/>
      <c r="AR1670" s="73"/>
      <c r="AS1670" s="73"/>
      <c r="AT1670" s="73"/>
      <c r="AU1670" s="73"/>
      <c r="AV1670" s="73"/>
      <c r="AW1670" s="73"/>
      <c r="AX1670" s="73"/>
      <c r="AY1670" s="73"/>
      <c r="AZ1670" s="73"/>
      <c r="BA1670" s="73"/>
      <c r="BB1670" s="73"/>
      <c r="BC1670" s="73"/>
      <c r="BD1670" s="73"/>
      <c r="BE1670" s="73"/>
      <c r="BF1670" s="73"/>
      <c r="BG1670" s="73"/>
      <c r="BH1670" s="73"/>
      <c r="BI1670" s="73"/>
      <c r="BJ1670" s="73"/>
      <c r="BK1670" s="73"/>
      <c r="BL1670" s="73"/>
      <c r="BM1670" s="73"/>
      <c r="BN1670" s="73"/>
      <c r="BO1670" s="73"/>
      <c r="BP1670" s="73"/>
      <c r="BQ1670" s="73"/>
      <c r="BR1670" s="73"/>
      <c r="BS1670" s="73"/>
      <c r="BT1670" s="73"/>
      <c r="BU1670" s="73"/>
      <c r="BV1670" s="73"/>
      <c r="BW1670" s="73"/>
      <c r="BX1670" s="73"/>
      <c r="BY1670" s="73"/>
      <c r="BZ1670" s="73"/>
      <c r="CA1670" s="73"/>
      <c r="CB1670" s="73"/>
      <c r="CC1670" s="73"/>
      <c r="CD1670" s="73"/>
      <c r="CE1670" s="73"/>
      <c r="CF1670" s="73"/>
      <c r="CG1670" s="73"/>
      <c r="CH1670" s="73"/>
      <c r="CI1670" s="73"/>
      <c r="CJ1670" s="73"/>
      <c r="CK1670" s="73"/>
      <c r="CL1670" s="73"/>
      <c r="CM1670" s="73"/>
      <c r="CN1670" s="73"/>
      <c r="CO1670" s="73"/>
      <c r="CP1670" s="73"/>
      <c r="CQ1670" s="73"/>
      <c r="CR1670" s="73"/>
      <c r="CS1670" s="73"/>
      <c r="CT1670" s="73"/>
      <c r="CU1670" s="73"/>
      <c r="CV1670" s="73"/>
      <c r="CW1670" s="73"/>
      <c r="CX1670" s="73"/>
      <c r="CY1670" s="73"/>
      <c r="CZ1670" s="73"/>
      <c r="DA1670" s="73"/>
      <c r="DB1670" s="73"/>
      <c r="DC1670" s="73"/>
      <c r="DD1670" s="73"/>
      <c r="DE1670" s="73"/>
      <c r="DF1670" s="73"/>
      <c r="DG1670" s="73"/>
      <c r="DH1670" s="73"/>
      <c r="DI1670" s="73"/>
      <c r="DJ1670" s="73"/>
      <c r="DK1670" s="73"/>
      <c r="DL1670" s="73"/>
      <c r="DM1670" s="73"/>
    </row>
    <row r="1671" spans="1:117" s="48" customFormat="1">
      <c r="A1671" s="73"/>
      <c r="T1671" s="73"/>
      <c r="U1671" s="73"/>
      <c r="V1671" s="73"/>
      <c r="W1671" s="73"/>
      <c r="X1671" s="73"/>
      <c r="Y1671" s="73"/>
      <c r="Z1671" s="73"/>
      <c r="AA1671" s="73"/>
      <c r="AB1671" s="73"/>
      <c r="AC1671" s="73"/>
      <c r="AD1671" s="73"/>
      <c r="AE1671" s="73"/>
      <c r="AF1671" s="73"/>
      <c r="AG1671" s="73"/>
      <c r="AH1671" s="73"/>
      <c r="AI1671" s="73"/>
      <c r="AJ1671" s="73"/>
      <c r="AK1671" s="73"/>
      <c r="AL1671" s="73"/>
      <c r="AM1671" s="73"/>
      <c r="AN1671" s="73"/>
      <c r="AO1671" s="73"/>
      <c r="AP1671" s="73"/>
      <c r="AQ1671" s="73"/>
      <c r="AR1671" s="73"/>
      <c r="AS1671" s="73"/>
      <c r="AT1671" s="73"/>
      <c r="AU1671" s="73"/>
      <c r="AV1671" s="73"/>
      <c r="AW1671" s="73"/>
      <c r="AX1671" s="73"/>
      <c r="AY1671" s="73"/>
      <c r="AZ1671" s="73"/>
      <c r="BA1671" s="73"/>
      <c r="BB1671" s="73"/>
      <c r="BC1671" s="73"/>
      <c r="BD1671" s="73"/>
      <c r="BE1671" s="73"/>
      <c r="BF1671" s="73"/>
      <c r="BG1671" s="73"/>
      <c r="BH1671" s="73"/>
      <c r="BI1671" s="73"/>
      <c r="BJ1671" s="73"/>
      <c r="BK1671" s="73"/>
      <c r="BL1671" s="73"/>
      <c r="BM1671" s="73"/>
      <c r="BN1671" s="73"/>
      <c r="BO1671" s="73"/>
      <c r="BP1671" s="73"/>
      <c r="BQ1671" s="73"/>
      <c r="BR1671" s="73"/>
      <c r="BS1671" s="73"/>
      <c r="BT1671" s="73"/>
      <c r="BU1671" s="73"/>
      <c r="BV1671" s="73"/>
      <c r="BW1671" s="73"/>
      <c r="BX1671" s="73"/>
      <c r="BY1671" s="73"/>
      <c r="BZ1671" s="73"/>
      <c r="CA1671" s="73"/>
      <c r="CB1671" s="73"/>
      <c r="CC1671" s="73"/>
      <c r="CD1671" s="73"/>
      <c r="CE1671" s="73"/>
      <c r="CF1671" s="73"/>
      <c r="CG1671" s="73"/>
      <c r="CH1671" s="73"/>
      <c r="CI1671" s="73"/>
      <c r="CJ1671" s="73"/>
      <c r="CK1671" s="73"/>
      <c r="CL1671" s="73"/>
      <c r="CM1671" s="73"/>
      <c r="CN1671" s="73"/>
      <c r="CO1671" s="73"/>
      <c r="CP1671" s="73"/>
      <c r="CQ1671" s="73"/>
      <c r="CR1671" s="73"/>
      <c r="CS1671" s="73"/>
      <c r="CT1671" s="73"/>
      <c r="CU1671" s="73"/>
      <c r="CV1671" s="73"/>
      <c r="CW1671" s="73"/>
      <c r="CX1671" s="73"/>
      <c r="CY1671" s="73"/>
      <c r="CZ1671" s="73"/>
      <c r="DA1671" s="73"/>
      <c r="DB1671" s="73"/>
      <c r="DC1671" s="73"/>
      <c r="DD1671" s="73"/>
      <c r="DE1671" s="73"/>
      <c r="DF1671" s="73"/>
      <c r="DG1671" s="73"/>
      <c r="DH1671" s="73"/>
      <c r="DI1671" s="73"/>
      <c r="DJ1671" s="73"/>
      <c r="DK1671" s="73"/>
      <c r="DL1671" s="73"/>
      <c r="DM1671" s="73"/>
    </row>
    <row r="1672" spans="1:117" s="48" customFormat="1">
      <c r="A1672" s="73"/>
      <c r="T1672" s="73"/>
      <c r="U1672" s="73"/>
      <c r="V1672" s="73"/>
      <c r="W1672" s="73"/>
      <c r="X1672" s="73"/>
      <c r="Y1672" s="73"/>
      <c r="Z1672" s="73"/>
      <c r="AA1672" s="73"/>
      <c r="AB1672" s="73"/>
      <c r="AC1672" s="73"/>
      <c r="AD1672" s="73"/>
      <c r="AE1672" s="73"/>
      <c r="AF1672" s="73"/>
      <c r="AG1672" s="73"/>
      <c r="AH1672" s="73"/>
      <c r="AI1672" s="73"/>
      <c r="AJ1672" s="73"/>
      <c r="AK1672" s="73"/>
      <c r="AL1672" s="73"/>
      <c r="AM1672" s="73"/>
      <c r="AN1672" s="73"/>
      <c r="AO1672" s="73"/>
      <c r="AP1672" s="73"/>
      <c r="AQ1672" s="73"/>
      <c r="AR1672" s="73"/>
      <c r="AS1672" s="73"/>
      <c r="AT1672" s="73"/>
      <c r="AU1672" s="73"/>
      <c r="AV1672" s="73"/>
      <c r="AW1672" s="73"/>
      <c r="AX1672" s="73"/>
      <c r="AY1672" s="73"/>
      <c r="AZ1672" s="73"/>
      <c r="BA1672" s="73"/>
      <c r="BB1672" s="73"/>
      <c r="BC1672" s="73"/>
      <c r="BD1672" s="73"/>
      <c r="BE1672" s="73"/>
      <c r="BF1672" s="73"/>
      <c r="BG1672" s="73"/>
      <c r="BH1672" s="73"/>
      <c r="BI1672" s="73"/>
      <c r="BJ1672" s="73"/>
      <c r="BK1672" s="73"/>
      <c r="BL1672" s="73"/>
      <c r="BM1672" s="73"/>
      <c r="BN1672" s="73"/>
      <c r="BO1672" s="73"/>
      <c r="BP1672" s="73"/>
      <c r="BQ1672" s="73"/>
      <c r="BR1672" s="73"/>
      <c r="BS1672" s="73"/>
      <c r="BT1672" s="73"/>
      <c r="BU1672" s="73"/>
      <c r="BV1672" s="73"/>
      <c r="BW1672" s="73"/>
      <c r="BX1672" s="73"/>
      <c r="BY1672" s="73"/>
      <c r="BZ1672" s="73"/>
      <c r="CA1672" s="73"/>
      <c r="CB1672" s="73"/>
      <c r="CC1672" s="73"/>
      <c r="CD1672" s="73"/>
      <c r="CE1672" s="73"/>
      <c r="CF1672" s="73"/>
      <c r="CG1672" s="73"/>
      <c r="CH1672" s="73"/>
      <c r="CI1672" s="73"/>
      <c r="CJ1672" s="73"/>
      <c r="CK1672" s="73"/>
      <c r="CL1672" s="73"/>
      <c r="CM1672" s="73"/>
      <c r="CN1672" s="73"/>
      <c r="CO1672" s="73"/>
      <c r="CP1672" s="73"/>
      <c r="CQ1672" s="73"/>
      <c r="CR1672" s="73"/>
      <c r="CS1672" s="73"/>
      <c r="CT1672" s="73"/>
      <c r="CU1672" s="73"/>
      <c r="CV1672" s="73"/>
      <c r="CW1672" s="73"/>
      <c r="CX1672" s="73"/>
      <c r="CY1672" s="73"/>
      <c r="CZ1672" s="73"/>
      <c r="DA1672" s="73"/>
      <c r="DB1672" s="73"/>
      <c r="DC1672" s="73"/>
      <c r="DD1672" s="73"/>
      <c r="DE1672" s="73"/>
      <c r="DF1672" s="73"/>
      <c r="DG1672" s="73"/>
      <c r="DH1672" s="73"/>
      <c r="DI1672" s="73"/>
      <c r="DJ1672" s="73"/>
      <c r="DK1672" s="73"/>
      <c r="DL1672" s="73"/>
      <c r="DM1672" s="73"/>
    </row>
    <row r="1673" spans="1:117" s="48" customFormat="1">
      <c r="A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M1673" s="73"/>
      <c r="CN1673" s="73"/>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c r="DM1673" s="73"/>
    </row>
    <row r="1674" spans="1:117" s="48" customFormat="1">
      <c r="A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M1674" s="73"/>
      <c r="CN1674" s="73"/>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c r="DM1674" s="73"/>
    </row>
    <row r="1675" spans="1:117" s="48" customFormat="1">
      <c r="A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M1675" s="73"/>
      <c r="CN1675" s="73"/>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c r="DM1675" s="73"/>
    </row>
    <row r="1676" spans="1:117" s="48" customFormat="1">
      <c r="A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M1676" s="73"/>
      <c r="CN1676" s="73"/>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c r="DM1676" s="73"/>
    </row>
    <row r="1677" spans="1:117" s="48" customFormat="1">
      <c r="A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M1677" s="73"/>
      <c r="CN1677" s="73"/>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c r="DM1677" s="73"/>
    </row>
    <row r="1678" spans="1:117" s="48" customFormat="1">
      <c r="A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M1678" s="73"/>
      <c r="CN1678" s="73"/>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c r="DM1678" s="73"/>
    </row>
    <row r="1679" spans="1:117" s="48" customFormat="1">
      <c r="A1679" s="73"/>
      <c r="T1679" s="73"/>
      <c r="U1679" s="73"/>
      <c r="V1679" s="73"/>
      <c r="W1679" s="73"/>
      <c r="X1679" s="73"/>
      <c r="Y1679" s="73"/>
      <c r="Z1679" s="73"/>
      <c r="AA1679" s="73"/>
      <c r="AB1679" s="73"/>
      <c r="AC1679" s="73"/>
      <c r="AD1679" s="73"/>
      <c r="AE1679" s="73"/>
      <c r="AF1679" s="73"/>
      <c r="AG1679" s="73"/>
      <c r="AH1679" s="73"/>
      <c r="AI1679" s="73"/>
      <c r="AJ1679" s="73"/>
      <c r="AK1679" s="73"/>
      <c r="AL1679" s="73"/>
      <c r="AM1679" s="73"/>
      <c r="AN1679" s="73"/>
      <c r="AO1679" s="73"/>
      <c r="AP1679" s="73"/>
      <c r="AQ1679" s="73"/>
      <c r="AR1679" s="73"/>
      <c r="AS1679" s="73"/>
      <c r="AT1679" s="73"/>
      <c r="AU1679" s="73"/>
      <c r="AV1679" s="73"/>
      <c r="AW1679" s="73"/>
      <c r="AX1679" s="73"/>
      <c r="AY1679" s="73"/>
      <c r="AZ1679" s="73"/>
      <c r="BA1679" s="73"/>
      <c r="BB1679" s="73"/>
      <c r="BC1679" s="73"/>
      <c r="BD1679" s="73"/>
      <c r="BE1679" s="73"/>
      <c r="BF1679" s="73"/>
      <c r="BG1679" s="73"/>
      <c r="BH1679" s="73"/>
      <c r="BI1679" s="73"/>
      <c r="BJ1679" s="73"/>
      <c r="BK1679" s="73"/>
      <c r="BL1679" s="73"/>
      <c r="BM1679" s="73"/>
      <c r="BN1679" s="73"/>
      <c r="BO1679" s="73"/>
      <c r="BP1679" s="73"/>
      <c r="BQ1679" s="73"/>
      <c r="BR1679" s="73"/>
      <c r="BS1679" s="73"/>
      <c r="BT1679" s="73"/>
      <c r="BU1679" s="73"/>
      <c r="BV1679" s="73"/>
      <c r="BW1679" s="73"/>
      <c r="BX1679" s="73"/>
      <c r="BY1679" s="73"/>
      <c r="BZ1679" s="73"/>
      <c r="CA1679" s="73"/>
      <c r="CB1679" s="73"/>
      <c r="CC1679" s="73"/>
      <c r="CD1679" s="73"/>
      <c r="CE1679" s="73"/>
      <c r="CF1679" s="73"/>
      <c r="CG1679" s="73"/>
      <c r="CH1679" s="73"/>
      <c r="CI1679" s="73"/>
      <c r="CJ1679" s="73"/>
      <c r="CK1679" s="73"/>
      <c r="CL1679" s="73"/>
      <c r="CM1679" s="73"/>
      <c r="CN1679" s="73"/>
      <c r="CO1679" s="73"/>
      <c r="CP1679" s="73"/>
      <c r="CQ1679" s="73"/>
      <c r="CR1679" s="73"/>
      <c r="CS1679" s="73"/>
      <c r="CT1679" s="73"/>
      <c r="CU1679" s="73"/>
      <c r="CV1679" s="73"/>
      <c r="CW1679" s="73"/>
      <c r="CX1679" s="73"/>
      <c r="CY1679" s="73"/>
      <c r="CZ1679" s="73"/>
      <c r="DA1679" s="73"/>
      <c r="DB1679" s="73"/>
      <c r="DC1679" s="73"/>
      <c r="DD1679" s="73"/>
      <c r="DE1679" s="73"/>
      <c r="DF1679" s="73"/>
      <c r="DG1679" s="73"/>
      <c r="DH1679" s="73"/>
      <c r="DI1679" s="73"/>
      <c r="DJ1679" s="73"/>
      <c r="DK1679" s="73"/>
      <c r="DL1679" s="73"/>
      <c r="DM1679" s="73"/>
    </row>
    <row r="1680" spans="1:117" s="48" customFormat="1">
      <c r="A1680" s="73"/>
      <c r="T1680" s="73"/>
      <c r="U1680" s="73"/>
      <c r="V1680" s="73"/>
      <c r="W1680" s="73"/>
      <c r="X1680" s="73"/>
      <c r="Y1680" s="73"/>
      <c r="Z1680" s="73"/>
      <c r="AA1680" s="73"/>
      <c r="AB1680" s="73"/>
      <c r="AC1680" s="73"/>
      <c r="AD1680" s="73"/>
      <c r="AE1680" s="73"/>
      <c r="AF1680" s="73"/>
      <c r="AG1680" s="73"/>
      <c r="AH1680" s="73"/>
      <c r="AI1680" s="73"/>
      <c r="AJ1680" s="73"/>
      <c r="AK1680" s="73"/>
      <c r="AL1680" s="73"/>
      <c r="AM1680" s="73"/>
      <c r="AN1680" s="73"/>
      <c r="AO1680" s="73"/>
      <c r="AP1680" s="73"/>
      <c r="AQ1680" s="73"/>
      <c r="AR1680" s="73"/>
      <c r="AS1680" s="73"/>
      <c r="AT1680" s="73"/>
      <c r="AU1680" s="73"/>
      <c r="AV1680" s="73"/>
      <c r="AW1680" s="73"/>
      <c r="AX1680" s="73"/>
      <c r="AY1680" s="73"/>
      <c r="AZ1680" s="73"/>
      <c r="BA1680" s="73"/>
      <c r="BB1680" s="73"/>
      <c r="BC1680" s="73"/>
      <c r="BD1680" s="73"/>
      <c r="BE1680" s="73"/>
      <c r="BF1680" s="73"/>
      <c r="BG1680" s="73"/>
      <c r="BH1680" s="73"/>
      <c r="BI1680" s="73"/>
      <c r="BJ1680" s="73"/>
      <c r="BK1680" s="73"/>
      <c r="BL1680" s="73"/>
      <c r="BM1680" s="73"/>
      <c r="BN1680" s="73"/>
      <c r="BO1680" s="73"/>
      <c r="BP1680" s="73"/>
      <c r="BQ1680" s="73"/>
      <c r="BR1680" s="73"/>
      <c r="BS1680" s="73"/>
      <c r="BT1680" s="73"/>
      <c r="BU1680" s="73"/>
      <c r="BV1680" s="73"/>
      <c r="BW1680" s="73"/>
      <c r="BX1680" s="73"/>
      <c r="BY1680" s="73"/>
      <c r="BZ1680" s="73"/>
      <c r="CA1680" s="73"/>
      <c r="CB1680" s="73"/>
      <c r="CC1680" s="73"/>
      <c r="CD1680" s="73"/>
      <c r="CE1680" s="73"/>
      <c r="CF1680" s="73"/>
      <c r="CG1680" s="73"/>
      <c r="CH1680" s="73"/>
      <c r="CI1680" s="73"/>
      <c r="CJ1680" s="73"/>
      <c r="CK1680" s="73"/>
      <c r="CL1680" s="73"/>
      <c r="CM1680" s="73"/>
      <c r="CN1680" s="73"/>
      <c r="CO1680" s="73"/>
      <c r="CP1680" s="73"/>
      <c r="CQ1680" s="73"/>
      <c r="CR1680" s="73"/>
      <c r="CS1680" s="73"/>
      <c r="CT1680" s="73"/>
      <c r="CU1680" s="73"/>
      <c r="CV1680" s="73"/>
      <c r="CW1680" s="73"/>
      <c r="CX1680" s="73"/>
      <c r="CY1680" s="73"/>
      <c r="CZ1680" s="73"/>
      <c r="DA1680" s="73"/>
      <c r="DB1680" s="73"/>
      <c r="DC1680" s="73"/>
      <c r="DD1680" s="73"/>
      <c r="DE1680" s="73"/>
      <c r="DF1680" s="73"/>
      <c r="DG1680" s="73"/>
      <c r="DH1680" s="73"/>
      <c r="DI1680" s="73"/>
      <c r="DJ1680" s="73"/>
      <c r="DK1680" s="73"/>
      <c r="DL1680" s="73"/>
      <c r="DM1680" s="73"/>
    </row>
    <row r="1681" spans="1:117" s="48" customFormat="1">
      <c r="A1681" s="73"/>
      <c r="T1681" s="73"/>
      <c r="U1681" s="73"/>
      <c r="V1681" s="73"/>
      <c r="W1681" s="73"/>
      <c r="X1681" s="73"/>
      <c r="Y1681" s="73"/>
      <c r="Z1681" s="73"/>
      <c r="AA1681" s="73"/>
      <c r="AB1681" s="73"/>
      <c r="AC1681" s="73"/>
      <c r="AD1681" s="73"/>
      <c r="AE1681" s="73"/>
      <c r="AF1681" s="73"/>
      <c r="AG1681" s="73"/>
      <c r="AH1681" s="73"/>
      <c r="AI1681" s="73"/>
      <c r="AJ1681" s="73"/>
      <c r="AK1681" s="73"/>
      <c r="AL1681" s="73"/>
      <c r="AM1681" s="73"/>
      <c r="AN1681" s="73"/>
      <c r="AO1681" s="73"/>
      <c r="AP1681" s="73"/>
      <c r="AQ1681" s="73"/>
      <c r="AR1681" s="73"/>
      <c r="AS1681" s="73"/>
      <c r="AT1681" s="73"/>
      <c r="AU1681" s="73"/>
      <c r="AV1681" s="73"/>
      <c r="AW1681" s="73"/>
      <c r="AX1681" s="73"/>
      <c r="AY1681" s="73"/>
      <c r="AZ1681" s="73"/>
      <c r="BA1681" s="73"/>
      <c r="BB1681" s="73"/>
      <c r="BC1681" s="73"/>
      <c r="BD1681" s="73"/>
      <c r="BE1681" s="73"/>
      <c r="BF1681" s="73"/>
      <c r="BG1681" s="73"/>
      <c r="BH1681" s="73"/>
      <c r="BI1681" s="73"/>
      <c r="BJ1681" s="73"/>
      <c r="BK1681" s="73"/>
      <c r="BL1681" s="73"/>
      <c r="BM1681" s="73"/>
      <c r="BN1681" s="73"/>
      <c r="BO1681" s="73"/>
      <c r="BP1681" s="73"/>
      <c r="BQ1681" s="73"/>
      <c r="BR1681" s="73"/>
      <c r="BS1681" s="73"/>
      <c r="BT1681" s="73"/>
      <c r="BU1681" s="73"/>
      <c r="BV1681" s="73"/>
      <c r="BW1681" s="73"/>
      <c r="BX1681" s="73"/>
      <c r="BY1681" s="73"/>
      <c r="BZ1681" s="73"/>
      <c r="CA1681" s="73"/>
      <c r="CB1681" s="73"/>
      <c r="CC1681" s="73"/>
      <c r="CD1681" s="73"/>
      <c r="CE1681" s="73"/>
      <c r="CF1681" s="73"/>
      <c r="CG1681" s="73"/>
      <c r="CH1681" s="73"/>
      <c r="CI1681" s="73"/>
      <c r="CJ1681" s="73"/>
      <c r="CK1681" s="73"/>
      <c r="CL1681" s="73"/>
      <c r="CM1681" s="73"/>
      <c r="CN1681" s="73"/>
      <c r="CO1681" s="73"/>
      <c r="CP1681" s="73"/>
      <c r="CQ1681" s="73"/>
      <c r="CR1681" s="73"/>
      <c r="CS1681" s="73"/>
      <c r="CT1681" s="73"/>
      <c r="CU1681" s="73"/>
      <c r="CV1681" s="73"/>
      <c r="CW1681" s="73"/>
      <c r="CX1681" s="73"/>
      <c r="CY1681" s="73"/>
      <c r="CZ1681" s="73"/>
      <c r="DA1681" s="73"/>
      <c r="DB1681" s="73"/>
      <c r="DC1681" s="73"/>
      <c r="DD1681" s="73"/>
      <c r="DE1681" s="73"/>
      <c r="DF1681" s="73"/>
      <c r="DG1681" s="73"/>
      <c r="DH1681" s="73"/>
      <c r="DI1681" s="73"/>
      <c r="DJ1681" s="73"/>
      <c r="DK1681" s="73"/>
      <c r="DL1681" s="73"/>
      <c r="DM1681" s="73"/>
    </row>
    <row r="1682" spans="1:117" s="48" customFormat="1">
      <c r="A1682" s="73"/>
      <c r="T1682" s="73"/>
      <c r="U1682" s="73"/>
      <c r="V1682" s="73"/>
      <c r="W1682" s="73"/>
      <c r="X1682" s="73"/>
      <c r="Y1682" s="73"/>
      <c r="Z1682" s="73"/>
      <c r="AA1682" s="73"/>
      <c r="AB1682" s="73"/>
      <c r="AC1682" s="73"/>
      <c r="AD1682" s="73"/>
      <c r="AE1682" s="73"/>
      <c r="AF1682" s="73"/>
      <c r="AG1682" s="73"/>
      <c r="AH1682" s="73"/>
      <c r="AI1682" s="73"/>
      <c r="AJ1682" s="73"/>
      <c r="AK1682" s="73"/>
      <c r="AL1682" s="73"/>
      <c r="AM1682" s="73"/>
      <c r="AN1682" s="73"/>
      <c r="AO1682" s="73"/>
      <c r="AP1682" s="73"/>
      <c r="AQ1682" s="73"/>
      <c r="AR1682" s="73"/>
      <c r="AS1682" s="73"/>
      <c r="AT1682" s="73"/>
      <c r="AU1682" s="73"/>
      <c r="AV1682" s="73"/>
      <c r="AW1682" s="73"/>
      <c r="AX1682" s="73"/>
      <c r="AY1682" s="73"/>
      <c r="AZ1682" s="73"/>
      <c r="BA1682" s="73"/>
      <c r="BB1682" s="73"/>
      <c r="BC1682" s="73"/>
      <c r="BD1682" s="73"/>
      <c r="BE1682" s="73"/>
      <c r="BF1682" s="73"/>
      <c r="BG1682" s="73"/>
      <c r="BH1682" s="73"/>
      <c r="BI1682" s="73"/>
      <c r="BJ1682" s="73"/>
      <c r="BK1682" s="73"/>
      <c r="BL1682" s="73"/>
      <c r="BM1682" s="73"/>
      <c r="BN1682" s="73"/>
      <c r="BO1682" s="73"/>
      <c r="BP1682" s="73"/>
      <c r="BQ1682" s="73"/>
      <c r="BR1682" s="73"/>
      <c r="BS1682" s="73"/>
      <c r="BT1682" s="73"/>
      <c r="BU1682" s="73"/>
      <c r="BV1682" s="73"/>
      <c r="BW1682" s="73"/>
      <c r="BX1682" s="73"/>
      <c r="BY1682" s="73"/>
      <c r="BZ1682" s="73"/>
      <c r="CA1682" s="73"/>
      <c r="CB1682" s="73"/>
      <c r="CC1682" s="73"/>
      <c r="CD1682" s="73"/>
      <c r="CE1682" s="73"/>
      <c r="CF1682" s="73"/>
      <c r="CG1682" s="73"/>
      <c r="CH1682" s="73"/>
      <c r="CI1682" s="73"/>
      <c r="CJ1682" s="73"/>
      <c r="CK1682" s="73"/>
      <c r="CL1682" s="73"/>
      <c r="CM1682" s="73"/>
      <c r="CN1682" s="73"/>
      <c r="CO1682" s="73"/>
      <c r="CP1682" s="73"/>
      <c r="CQ1682" s="73"/>
      <c r="CR1682" s="73"/>
      <c r="CS1682" s="73"/>
      <c r="CT1682" s="73"/>
      <c r="CU1682" s="73"/>
      <c r="CV1682" s="73"/>
      <c r="CW1682" s="73"/>
      <c r="CX1682" s="73"/>
      <c r="CY1682" s="73"/>
      <c r="CZ1682" s="73"/>
      <c r="DA1682" s="73"/>
      <c r="DB1682" s="73"/>
      <c r="DC1682" s="73"/>
      <c r="DD1682" s="73"/>
      <c r="DE1682" s="73"/>
      <c r="DF1682" s="73"/>
      <c r="DG1682" s="73"/>
      <c r="DH1682" s="73"/>
      <c r="DI1682" s="73"/>
      <c r="DJ1682" s="73"/>
      <c r="DK1682" s="73"/>
      <c r="DL1682" s="73"/>
      <c r="DM1682" s="73"/>
    </row>
    <row r="1683" spans="1:117" s="48" customFormat="1">
      <c r="A1683" s="73"/>
      <c r="T1683" s="73"/>
      <c r="U1683" s="73"/>
      <c r="V1683" s="73"/>
      <c r="W1683" s="73"/>
      <c r="X1683" s="73"/>
      <c r="Y1683" s="73"/>
      <c r="Z1683" s="73"/>
      <c r="AA1683" s="73"/>
      <c r="AB1683" s="73"/>
      <c r="AC1683" s="73"/>
      <c r="AD1683" s="73"/>
      <c r="AE1683" s="73"/>
      <c r="AF1683" s="73"/>
      <c r="AG1683" s="73"/>
      <c r="AH1683" s="73"/>
      <c r="AI1683" s="73"/>
      <c r="AJ1683" s="73"/>
      <c r="AK1683" s="73"/>
      <c r="AL1683" s="73"/>
      <c r="AM1683" s="73"/>
      <c r="AN1683" s="73"/>
      <c r="AO1683" s="73"/>
      <c r="AP1683" s="73"/>
      <c r="AQ1683" s="73"/>
      <c r="AR1683" s="73"/>
      <c r="AS1683" s="73"/>
      <c r="AT1683" s="73"/>
      <c r="AU1683" s="73"/>
      <c r="AV1683" s="73"/>
      <c r="AW1683" s="73"/>
      <c r="AX1683" s="73"/>
      <c r="AY1683" s="73"/>
      <c r="AZ1683" s="73"/>
      <c r="BA1683" s="73"/>
      <c r="BB1683" s="73"/>
      <c r="BC1683" s="73"/>
      <c r="BD1683" s="73"/>
      <c r="BE1683" s="73"/>
      <c r="BF1683" s="73"/>
      <c r="BG1683" s="73"/>
      <c r="BH1683" s="73"/>
      <c r="BI1683" s="73"/>
      <c r="BJ1683" s="73"/>
      <c r="BK1683" s="73"/>
      <c r="BL1683" s="73"/>
      <c r="BM1683" s="73"/>
      <c r="BN1683" s="73"/>
      <c r="BO1683" s="73"/>
      <c r="BP1683" s="73"/>
      <c r="BQ1683" s="73"/>
      <c r="BR1683" s="73"/>
      <c r="BS1683" s="73"/>
      <c r="BT1683" s="73"/>
      <c r="BU1683" s="73"/>
      <c r="BV1683" s="73"/>
      <c r="BW1683" s="73"/>
      <c r="BX1683" s="73"/>
      <c r="BY1683" s="73"/>
      <c r="BZ1683" s="73"/>
      <c r="CA1683" s="73"/>
      <c r="CB1683" s="73"/>
      <c r="CC1683" s="73"/>
      <c r="CD1683" s="73"/>
      <c r="CE1683" s="73"/>
      <c r="CF1683" s="73"/>
      <c r="CG1683" s="73"/>
      <c r="CH1683" s="73"/>
      <c r="CI1683" s="73"/>
      <c r="CJ1683" s="73"/>
      <c r="CK1683" s="73"/>
      <c r="CL1683" s="73"/>
      <c r="CM1683" s="73"/>
      <c r="CN1683" s="73"/>
      <c r="CO1683" s="73"/>
      <c r="CP1683" s="73"/>
      <c r="CQ1683" s="73"/>
      <c r="CR1683" s="73"/>
      <c r="CS1683" s="73"/>
      <c r="CT1683" s="73"/>
      <c r="CU1683" s="73"/>
      <c r="CV1683" s="73"/>
      <c r="CW1683" s="73"/>
      <c r="CX1683" s="73"/>
      <c r="CY1683" s="73"/>
      <c r="CZ1683" s="73"/>
      <c r="DA1683" s="73"/>
      <c r="DB1683" s="73"/>
      <c r="DC1683" s="73"/>
      <c r="DD1683" s="73"/>
      <c r="DE1683" s="73"/>
      <c r="DF1683" s="73"/>
      <c r="DG1683" s="73"/>
      <c r="DH1683" s="73"/>
      <c r="DI1683" s="73"/>
      <c r="DJ1683" s="73"/>
      <c r="DK1683" s="73"/>
      <c r="DL1683" s="73"/>
      <c r="DM1683" s="73"/>
    </row>
    <row r="1684" spans="1:117" s="48" customFormat="1">
      <c r="A1684" s="73"/>
      <c r="T1684" s="73"/>
      <c r="U1684" s="73"/>
      <c r="V1684" s="73"/>
      <c r="W1684" s="73"/>
      <c r="X1684" s="73"/>
      <c r="Y1684" s="73"/>
      <c r="Z1684" s="73"/>
      <c r="AA1684" s="73"/>
      <c r="AB1684" s="73"/>
      <c r="AC1684" s="73"/>
      <c r="AD1684" s="73"/>
      <c r="AE1684" s="73"/>
      <c r="AF1684" s="73"/>
      <c r="AG1684" s="73"/>
      <c r="AH1684" s="73"/>
      <c r="AI1684" s="73"/>
      <c r="AJ1684" s="73"/>
      <c r="AK1684" s="73"/>
      <c r="AL1684" s="73"/>
      <c r="AM1684" s="73"/>
      <c r="AN1684" s="73"/>
      <c r="AO1684" s="73"/>
      <c r="AP1684" s="73"/>
      <c r="AQ1684" s="73"/>
      <c r="AR1684" s="73"/>
      <c r="AS1684" s="73"/>
      <c r="AT1684" s="73"/>
      <c r="AU1684" s="73"/>
      <c r="AV1684" s="73"/>
      <c r="AW1684" s="73"/>
      <c r="AX1684" s="73"/>
      <c r="AY1684" s="73"/>
      <c r="AZ1684" s="73"/>
      <c r="BA1684" s="73"/>
      <c r="BB1684" s="73"/>
      <c r="BC1684" s="73"/>
      <c r="BD1684" s="73"/>
      <c r="BE1684" s="73"/>
      <c r="BF1684" s="73"/>
      <c r="BG1684" s="73"/>
      <c r="BH1684" s="73"/>
      <c r="BI1684" s="73"/>
      <c r="BJ1684" s="73"/>
      <c r="BK1684" s="73"/>
      <c r="BL1684" s="73"/>
      <c r="BM1684" s="73"/>
      <c r="BN1684" s="73"/>
      <c r="BO1684" s="73"/>
      <c r="BP1684" s="73"/>
      <c r="BQ1684" s="73"/>
      <c r="BR1684" s="73"/>
      <c r="BS1684" s="73"/>
      <c r="BT1684" s="73"/>
      <c r="BU1684" s="73"/>
      <c r="BV1684" s="73"/>
      <c r="BW1684" s="73"/>
      <c r="BX1684" s="73"/>
      <c r="BY1684" s="73"/>
      <c r="BZ1684" s="73"/>
      <c r="CA1684" s="73"/>
      <c r="CB1684" s="73"/>
      <c r="CC1684" s="73"/>
      <c r="CD1684" s="73"/>
      <c r="CE1684" s="73"/>
      <c r="CF1684" s="73"/>
      <c r="CG1684" s="73"/>
      <c r="CH1684" s="73"/>
      <c r="CI1684" s="73"/>
      <c r="CJ1684" s="73"/>
      <c r="CK1684" s="73"/>
      <c r="CL1684" s="73"/>
      <c r="CM1684" s="73"/>
      <c r="CN1684" s="73"/>
      <c r="CO1684" s="73"/>
      <c r="CP1684" s="73"/>
      <c r="CQ1684" s="73"/>
      <c r="CR1684" s="73"/>
      <c r="CS1684" s="73"/>
      <c r="CT1684" s="73"/>
      <c r="CU1684" s="73"/>
      <c r="CV1684" s="73"/>
      <c r="CW1684" s="73"/>
      <c r="CX1684" s="73"/>
      <c r="CY1684" s="73"/>
      <c r="CZ1684" s="73"/>
      <c r="DA1684" s="73"/>
      <c r="DB1684" s="73"/>
      <c r="DC1684" s="73"/>
      <c r="DD1684" s="73"/>
      <c r="DE1684" s="73"/>
      <c r="DF1684" s="73"/>
      <c r="DG1684" s="73"/>
      <c r="DH1684" s="73"/>
      <c r="DI1684" s="73"/>
      <c r="DJ1684" s="73"/>
      <c r="DK1684" s="73"/>
      <c r="DL1684" s="73"/>
      <c r="DM1684" s="73"/>
    </row>
    <row r="1685" spans="1:117" s="48" customFormat="1">
      <c r="A1685" s="73"/>
      <c r="T1685" s="73"/>
      <c r="U1685" s="73"/>
      <c r="V1685" s="73"/>
      <c r="W1685" s="73"/>
      <c r="X1685" s="73"/>
      <c r="Y1685" s="73"/>
      <c r="Z1685" s="73"/>
      <c r="AA1685" s="73"/>
      <c r="AB1685" s="73"/>
      <c r="AC1685" s="73"/>
      <c r="AD1685" s="73"/>
      <c r="AE1685" s="73"/>
      <c r="AF1685" s="73"/>
      <c r="AG1685" s="73"/>
      <c r="AH1685" s="73"/>
      <c r="AI1685" s="73"/>
      <c r="AJ1685" s="73"/>
      <c r="AK1685" s="73"/>
      <c r="AL1685" s="73"/>
      <c r="AM1685" s="73"/>
      <c r="AN1685" s="73"/>
      <c r="AO1685" s="73"/>
      <c r="AP1685" s="73"/>
      <c r="AQ1685" s="73"/>
      <c r="AR1685" s="73"/>
      <c r="AS1685" s="73"/>
      <c r="AT1685" s="73"/>
      <c r="AU1685" s="73"/>
      <c r="AV1685" s="73"/>
      <c r="AW1685" s="73"/>
      <c r="AX1685" s="73"/>
      <c r="AY1685" s="73"/>
      <c r="AZ1685" s="73"/>
      <c r="BA1685" s="73"/>
      <c r="BB1685" s="73"/>
      <c r="BC1685" s="73"/>
      <c r="BD1685" s="73"/>
      <c r="BE1685" s="73"/>
      <c r="BF1685" s="73"/>
      <c r="BG1685" s="73"/>
      <c r="BH1685" s="73"/>
      <c r="BI1685" s="73"/>
      <c r="BJ1685" s="73"/>
      <c r="BK1685" s="73"/>
      <c r="BL1685" s="73"/>
      <c r="BM1685" s="73"/>
      <c r="BN1685" s="73"/>
      <c r="BO1685" s="73"/>
      <c r="BP1685" s="73"/>
      <c r="BQ1685" s="73"/>
      <c r="BR1685" s="73"/>
      <c r="BS1685" s="73"/>
      <c r="BT1685" s="73"/>
      <c r="BU1685" s="73"/>
      <c r="BV1685" s="73"/>
      <c r="BW1685" s="73"/>
      <c r="BX1685" s="73"/>
      <c r="BY1685" s="73"/>
      <c r="BZ1685" s="73"/>
      <c r="CA1685" s="73"/>
      <c r="CB1685" s="73"/>
      <c r="CC1685" s="73"/>
      <c r="CD1685" s="73"/>
      <c r="CE1685" s="73"/>
      <c r="CF1685" s="73"/>
      <c r="CG1685" s="73"/>
      <c r="CH1685" s="73"/>
      <c r="CI1685" s="73"/>
      <c r="CJ1685" s="73"/>
      <c r="CK1685" s="73"/>
      <c r="CL1685" s="73"/>
      <c r="CM1685" s="73"/>
      <c r="CN1685" s="73"/>
      <c r="CO1685" s="73"/>
      <c r="CP1685" s="73"/>
      <c r="CQ1685" s="73"/>
      <c r="CR1685" s="73"/>
      <c r="CS1685" s="73"/>
      <c r="CT1685" s="73"/>
      <c r="CU1685" s="73"/>
      <c r="CV1685" s="73"/>
      <c r="CW1685" s="73"/>
      <c r="CX1685" s="73"/>
      <c r="CY1685" s="73"/>
      <c r="CZ1685" s="73"/>
      <c r="DA1685" s="73"/>
      <c r="DB1685" s="73"/>
      <c r="DC1685" s="73"/>
      <c r="DD1685" s="73"/>
      <c r="DE1685" s="73"/>
      <c r="DF1685" s="73"/>
      <c r="DG1685" s="73"/>
      <c r="DH1685" s="73"/>
      <c r="DI1685" s="73"/>
      <c r="DJ1685" s="73"/>
      <c r="DK1685" s="73"/>
      <c r="DL1685" s="73"/>
      <c r="DM1685" s="73"/>
    </row>
    <row r="1686" spans="1:117" s="48" customFormat="1">
      <c r="A1686" s="73"/>
      <c r="T1686" s="73"/>
      <c r="U1686" s="73"/>
      <c r="V1686" s="73"/>
      <c r="W1686" s="73"/>
      <c r="X1686" s="73"/>
      <c r="Y1686" s="73"/>
      <c r="Z1686" s="73"/>
      <c r="AA1686" s="73"/>
      <c r="AB1686" s="73"/>
      <c r="AC1686" s="73"/>
      <c r="AD1686" s="73"/>
      <c r="AE1686" s="73"/>
      <c r="AF1686" s="73"/>
      <c r="AG1686" s="73"/>
      <c r="AH1686" s="73"/>
      <c r="AI1686" s="73"/>
      <c r="AJ1686" s="73"/>
      <c r="AK1686" s="73"/>
      <c r="AL1686" s="73"/>
      <c r="AM1686" s="73"/>
      <c r="AN1686" s="73"/>
      <c r="AO1686" s="73"/>
      <c r="AP1686" s="73"/>
      <c r="AQ1686" s="73"/>
      <c r="AR1686" s="73"/>
      <c r="AS1686" s="73"/>
      <c r="AT1686" s="73"/>
      <c r="AU1686" s="73"/>
      <c r="AV1686" s="73"/>
      <c r="AW1686" s="73"/>
      <c r="AX1686" s="73"/>
      <c r="AY1686" s="73"/>
      <c r="AZ1686" s="73"/>
      <c r="BA1686" s="73"/>
      <c r="BB1686" s="73"/>
      <c r="BC1686" s="73"/>
      <c r="BD1686" s="73"/>
      <c r="BE1686" s="73"/>
      <c r="BF1686" s="73"/>
      <c r="BG1686" s="73"/>
      <c r="BH1686" s="73"/>
      <c r="BI1686" s="73"/>
      <c r="BJ1686" s="73"/>
      <c r="BK1686" s="73"/>
      <c r="BL1686" s="73"/>
      <c r="BM1686" s="73"/>
      <c r="BN1686" s="73"/>
      <c r="BO1686" s="73"/>
      <c r="BP1686" s="73"/>
      <c r="BQ1686" s="73"/>
      <c r="BR1686" s="73"/>
      <c r="BS1686" s="73"/>
      <c r="BT1686" s="73"/>
      <c r="BU1686" s="73"/>
      <c r="BV1686" s="73"/>
      <c r="BW1686" s="73"/>
      <c r="BX1686" s="73"/>
      <c r="BY1686" s="73"/>
      <c r="BZ1686" s="73"/>
      <c r="CA1686" s="73"/>
      <c r="CB1686" s="73"/>
      <c r="CC1686" s="73"/>
      <c r="CD1686" s="73"/>
      <c r="CE1686" s="73"/>
      <c r="CF1686" s="73"/>
      <c r="CG1686" s="73"/>
      <c r="CH1686" s="73"/>
      <c r="CI1686" s="73"/>
      <c r="CJ1686" s="73"/>
      <c r="CK1686" s="73"/>
      <c r="CL1686" s="73"/>
      <c r="CM1686" s="73"/>
      <c r="CN1686" s="73"/>
      <c r="CO1686" s="73"/>
      <c r="CP1686" s="73"/>
      <c r="CQ1686" s="73"/>
      <c r="CR1686" s="73"/>
      <c r="CS1686" s="73"/>
      <c r="CT1686" s="73"/>
      <c r="CU1686" s="73"/>
      <c r="CV1686" s="73"/>
      <c r="CW1686" s="73"/>
      <c r="CX1686" s="73"/>
      <c r="CY1686" s="73"/>
      <c r="CZ1686" s="73"/>
      <c r="DA1686" s="73"/>
      <c r="DB1686" s="73"/>
      <c r="DC1686" s="73"/>
      <c r="DD1686" s="73"/>
      <c r="DE1686" s="73"/>
      <c r="DF1686" s="73"/>
      <c r="DG1686" s="73"/>
      <c r="DH1686" s="73"/>
      <c r="DI1686" s="73"/>
      <c r="DJ1686" s="73"/>
      <c r="DK1686" s="73"/>
      <c r="DL1686" s="73"/>
      <c r="DM1686" s="73"/>
    </row>
    <row r="1687" spans="1:117" s="48" customFormat="1">
      <c r="A1687" s="73"/>
      <c r="T1687" s="73"/>
      <c r="U1687" s="73"/>
      <c r="V1687" s="73"/>
      <c r="W1687" s="73"/>
      <c r="X1687" s="73"/>
      <c r="Y1687" s="73"/>
      <c r="Z1687" s="73"/>
      <c r="AA1687" s="73"/>
      <c r="AB1687" s="73"/>
      <c r="AC1687" s="73"/>
      <c r="AD1687" s="73"/>
      <c r="AE1687" s="73"/>
      <c r="AF1687" s="73"/>
      <c r="AG1687" s="73"/>
      <c r="AH1687" s="73"/>
      <c r="AI1687" s="73"/>
      <c r="AJ1687" s="73"/>
      <c r="AK1687" s="73"/>
      <c r="AL1687" s="73"/>
      <c r="AM1687" s="73"/>
      <c r="AN1687" s="73"/>
      <c r="AO1687" s="73"/>
      <c r="AP1687" s="73"/>
      <c r="AQ1687" s="73"/>
      <c r="AR1687" s="73"/>
      <c r="AS1687" s="73"/>
      <c r="AT1687" s="73"/>
      <c r="AU1687" s="73"/>
      <c r="AV1687" s="73"/>
      <c r="AW1687" s="73"/>
      <c r="AX1687" s="73"/>
      <c r="AY1687" s="73"/>
      <c r="AZ1687" s="73"/>
      <c r="BA1687" s="73"/>
      <c r="BB1687" s="73"/>
      <c r="BC1687" s="73"/>
      <c r="BD1687" s="73"/>
      <c r="BE1687" s="73"/>
      <c r="BF1687" s="73"/>
      <c r="BG1687" s="73"/>
      <c r="BH1687" s="73"/>
      <c r="BI1687" s="73"/>
      <c r="BJ1687" s="73"/>
      <c r="BK1687" s="73"/>
      <c r="BL1687" s="73"/>
      <c r="BM1687" s="73"/>
      <c r="BN1687" s="73"/>
      <c r="BO1687" s="73"/>
      <c r="BP1687" s="73"/>
      <c r="BQ1687" s="73"/>
      <c r="BR1687" s="73"/>
      <c r="BS1687" s="73"/>
      <c r="BT1687" s="73"/>
      <c r="BU1687" s="73"/>
      <c r="BV1687" s="73"/>
      <c r="BW1687" s="73"/>
      <c r="BX1687" s="73"/>
      <c r="BY1687" s="73"/>
      <c r="BZ1687" s="73"/>
      <c r="CA1687" s="73"/>
      <c r="CB1687" s="73"/>
      <c r="CC1687" s="73"/>
      <c r="CD1687" s="73"/>
      <c r="CE1687" s="73"/>
      <c r="CF1687" s="73"/>
      <c r="CG1687" s="73"/>
      <c r="CH1687" s="73"/>
      <c r="CI1687" s="73"/>
      <c r="CJ1687" s="73"/>
      <c r="CK1687" s="73"/>
      <c r="CL1687" s="73"/>
      <c r="CM1687" s="73"/>
      <c r="CN1687" s="73"/>
      <c r="CO1687" s="73"/>
      <c r="CP1687" s="73"/>
      <c r="CQ1687" s="73"/>
      <c r="CR1687" s="73"/>
      <c r="CS1687" s="73"/>
      <c r="CT1687" s="73"/>
      <c r="CU1687" s="73"/>
      <c r="CV1687" s="73"/>
      <c r="CW1687" s="73"/>
      <c r="CX1687" s="73"/>
      <c r="CY1687" s="73"/>
      <c r="CZ1687" s="73"/>
      <c r="DA1687" s="73"/>
      <c r="DB1687" s="73"/>
      <c r="DC1687" s="73"/>
      <c r="DD1687" s="73"/>
      <c r="DE1687" s="73"/>
      <c r="DF1687" s="73"/>
      <c r="DG1687" s="73"/>
      <c r="DH1687" s="73"/>
      <c r="DI1687" s="73"/>
      <c r="DJ1687" s="73"/>
      <c r="DK1687" s="73"/>
      <c r="DL1687" s="73"/>
      <c r="DM1687" s="73"/>
    </row>
    <row r="1688" spans="1:117" s="48" customFormat="1">
      <c r="A1688" s="73"/>
      <c r="T1688" s="73"/>
      <c r="U1688" s="73"/>
      <c r="V1688" s="73"/>
      <c r="W1688" s="73"/>
      <c r="X1688" s="73"/>
      <c r="Y1688" s="73"/>
      <c r="Z1688" s="73"/>
      <c r="AA1688" s="73"/>
      <c r="AB1688" s="73"/>
      <c r="AC1688" s="73"/>
      <c r="AD1688" s="73"/>
      <c r="AE1688" s="73"/>
      <c r="AF1688" s="73"/>
      <c r="AG1688" s="73"/>
      <c r="AH1688" s="73"/>
      <c r="AI1688" s="73"/>
      <c r="AJ1688" s="73"/>
      <c r="AK1688" s="73"/>
      <c r="AL1688" s="73"/>
      <c r="AM1688" s="73"/>
      <c r="AN1688" s="73"/>
      <c r="AO1688" s="73"/>
      <c r="AP1688" s="73"/>
      <c r="AQ1688" s="73"/>
      <c r="AR1688" s="73"/>
      <c r="AS1688" s="73"/>
      <c r="AT1688" s="73"/>
      <c r="AU1688" s="73"/>
      <c r="AV1688" s="73"/>
      <c r="AW1688" s="73"/>
      <c r="AX1688" s="73"/>
      <c r="AY1688" s="73"/>
      <c r="AZ1688" s="73"/>
      <c r="BA1688" s="73"/>
      <c r="BB1688" s="73"/>
      <c r="BC1688" s="73"/>
      <c r="BD1688" s="73"/>
      <c r="BE1688" s="73"/>
      <c r="BF1688" s="73"/>
      <c r="BG1688" s="73"/>
      <c r="BH1688" s="73"/>
      <c r="BI1688" s="73"/>
      <c r="BJ1688" s="73"/>
      <c r="BK1688" s="73"/>
      <c r="BL1688" s="73"/>
      <c r="BM1688" s="73"/>
      <c r="BN1688" s="73"/>
      <c r="BO1688" s="73"/>
      <c r="BP1688" s="73"/>
      <c r="BQ1688" s="73"/>
      <c r="BR1688" s="73"/>
      <c r="BS1688" s="73"/>
      <c r="BT1688" s="73"/>
      <c r="BU1688" s="73"/>
      <c r="BV1688" s="73"/>
      <c r="BW1688" s="73"/>
      <c r="BX1688" s="73"/>
      <c r="BY1688" s="73"/>
      <c r="BZ1688" s="73"/>
      <c r="CA1688" s="73"/>
      <c r="CB1688" s="73"/>
      <c r="CC1688" s="73"/>
      <c r="CD1688" s="73"/>
      <c r="CE1688" s="73"/>
      <c r="CF1688" s="73"/>
      <c r="CG1688" s="73"/>
      <c r="CH1688" s="73"/>
      <c r="CI1688" s="73"/>
      <c r="CJ1688" s="73"/>
      <c r="CK1688" s="73"/>
      <c r="CL1688" s="73"/>
      <c r="CM1688" s="73"/>
      <c r="CN1688" s="73"/>
      <c r="CO1688" s="73"/>
      <c r="CP1688" s="73"/>
      <c r="CQ1688" s="73"/>
      <c r="CR1688" s="73"/>
      <c r="CS1688" s="73"/>
      <c r="CT1688" s="73"/>
      <c r="CU1688" s="73"/>
      <c r="CV1688" s="73"/>
      <c r="CW1688" s="73"/>
      <c r="CX1688" s="73"/>
      <c r="CY1688" s="73"/>
      <c r="CZ1688" s="73"/>
      <c r="DA1688" s="73"/>
      <c r="DB1688" s="73"/>
      <c r="DC1688" s="73"/>
      <c r="DD1688" s="73"/>
      <c r="DE1688" s="73"/>
      <c r="DF1688" s="73"/>
      <c r="DG1688" s="73"/>
      <c r="DH1688" s="73"/>
      <c r="DI1688" s="73"/>
      <c r="DJ1688" s="73"/>
      <c r="DK1688" s="73"/>
      <c r="DL1688" s="73"/>
      <c r="DM1688" s="73"/>
    </row>
    <row r="1689" spans="1:117" s="48" customFormat="1">
      <c r="A1689" s="73"/>
      <c r="T1689" s="73"/>
      <c r="U1689" s="73"/>
      <c r="V1689" s="73"/>
      <c r="W1689" s="73"/>
      <c r="X1689" s="73"/>
      <c r="Y1689" s="73"/>
      <c r="Z1689" s="73"/>
      <c r="AA1689" s="73"/>
      <c r="AB1689" s="73"/>
      <c r="AC1689" s="73"/>
      <c r="AD1689" s="73"/>
      <c r="AE1689" s="73"/>
      <c r="AF1689" s="73"/>
      <c r="AG1689" s="73"/>
      <c r="AH1689" s="73"/>
      <c r="AI1689" s="73"/>
      <c r="AJ1689" s="73"/>
      <c r="AK1689" s="73"/>
      <c r="AL1689" s="73"/>
      <c r="AM1689" s="73"/>
      <c r="AN1689" s="73"/>
      <c r="AO1689" s="73"/>
      <c r="AP1689" s="73"/>
      <c r="AQ1689" s="73"/>
      <c r="AR1689" s="73"/>
      <c r="AS1689" s="73"/>
      <c r="AT1689" s="73"/>
      <c r="AU1689" s="73"/>
      <c r="AV1689" s="73"/>
      <c r="AW1689" s="73"/>
      <c r="AX1689" s="73"/>
      <c r="AY1689" s="73"/>
      <c r="AZ1689" s="73"/>
      <c r="BA1689" s="73"/>
      <c r="BB1689" s="73"/>
      <c r="BC1689" s="73"/>
      <c r="BD1689" s="73"/>
      <c r="BE1689" s="73"/>
      <c r="BF1689" s="73"/>
      <c r="BG1689" s="73"/>
      <c r="BH1689" s="73"/>
      <c r="BI1689" s="73"/>
      <c r="BJ1689" s="73"/>
      <c r="BK1689" s="73"/>
      <c r="BL1689" s="73"/>
      <c r="BM1689" s="73"/>
      <c r="BN1689" s="73"/>
      <c r="BO1689" s="73"/>
      <c r="BP1689" s="73"/>
      <c r="BQ1689" s="73"/>
      <c r="BR1689" s="73"/>
      <c r="BS1689" s="73"/>
      <c r="BT1689" s="73"/>
      <c r="BU1689" s="73"/>
      <c r="BV1689" s="73"/>
      <c r="BW1689" s="73"/>
      <c r="BX1689" s="73"/>
      <c r="BY1689" s="73"/>
      <c r="BZ1689" s="73"/>
      <c r="CA1689" s="73"/>
      <c r="CB1689" s="73"/>
      <c r="CC1689" s="73"/>
      <c r="CD1689" s="73"/>
      <c r="CE1689" s="73"/>
      <c r="CF1689" s="73"/>
      <c r="CG1689" s="73"/>
      <c r="CH1689" s="73"/>
      <c r="CI1689" s="73"/>
      <c r="CJ1689" s="73"/>
      <c r="CK1689" s="73"/>
      <c r="CL1689" s="73"/>
      <c r="CM1689" s="73"/>
      <c r="CN1689" s="73"/>
      <c r="CO1689" s="73"/>
      <c r="CP1689" s="73"/>
      <c r="CQ1689" s="73"/>
      <c r="CR1689" s="73"/>
      <c r="CS1689" s="73"/>
      <c r="CT1689" s="73"/>
      <c r="CU1689" s="73"/>
      <c r="CV1689" s="73"/>
      <c r="CW1689" s="73"/>
      <c r="CX1689" s="73"/>
      <c r="CY1689" s="73"/>
      <c r="CZ1689" s="73"/>
      <c r="DA1689" s="73"/>
      <c r="DB1689" s="73"/>
      <c r="DC1689" s="73"/>
      <c r="DD1689" s="73"/>
      <c r="DE1689" s="73"/>
      <c r="DF1689" s="73"/>
      <c r="DG1689" s="73"/>
      <c r="DH1689" s="73"/>
      <c r="DI1689" s="73"/>
      <c r="DJ1689" s="73"/>
      <c r="DK1689" s="73"/>
      <c r="DL1689" s="73"/>
      <c r="DM1689" s="73"/>
    </row>
    <row r="1690" spans="1:117" s="48" customFormat="1">
      <c r="A1690" s="73"/>
      <c r="T1690" s="73"/>
      <c r="U1690" s="73"/>
      <c r="V1690" s="73"/>
      <c r="W1690" s="73"/>
      <c r="X1690" s="73"/>
      <c r="Y1690" s="73"/>
      <c r="Z1690" s="73"/>
      <c r="AA1690" s="73"/>
      <c r="AB1690" s="73"/>
      <c r="AC1690" s="73"/>
      <c r="AD1690" s="73"/>
      <c r="AE1690" s="73"/>
      <c r="AF1690" s="73"/>
      <c r="AG1690" s="73"/>
      <c r="AH1690" s="73"/>
      <c r="AI1690" s="73"/>
      <c r="AJ1690" s="73"/>
      <c r="AK1690" s="73"/>
      <c r="AL1690" s="73"/>
      <c r="AM1690" s="73"/>
      <c r="AN1690" s="73"/>
      <c r="AO1690" s="73"/>
      <c r="AP1690" s="73"/>
      <c r="AQ1690" s="73"/>
      <c r="AR1690" s="73"/>
      <c r="AS1690" s="73"/>
      <c r="AT1690" s="73"/>
      <c r="AU1690" s="73"/>
      <c r="AV1690" s="73"/>
      <c r="AW1690" s="73"/>
      <c r="AX1690" s="73"/>
      <c r="AY1690" s="73"/>
      <c r="AZ1690" s="73"/>
      <c r="BA1690" s="73"/>
      <c r="BB1690" s="73"/>
      <c r="BC1690" s="73"/>
      <c r="BD1690" s="73"/>
      <c r="BE1690" s="73"/>
      <c r="BF1690" s="73"/>
      <c r="BG1690" s="73"/>
      <c r="BH1690" s="73"/>
      <c r="BI1690" s="73"/>
      <c r="BJ1690" s="73"/>
      <c r="BK1690" s="73"/>
      <c r="BL1690" s="73"/>
      <c r="BM1690" s="73"/>
      <c r="BN1690" s="73"/>
      <c r="BO1690" s="73"/>
      <c r="BP1690" s="73"/>
      <c r="BQ1690" s="73"/>
      <c r="BR1690" s="73"/>
      <c r="BS1690" s="73"/>
      <c r="BT1690" s="73"/>
      <c r="BU1690" s="73"/>
      <c r="BV1690" s="73"/>
      <c r="BW1690" s="73"/>
      <c r="BX1690" s="73"/>
      <c r="BY1690" s="73"/>
      <c r="BZ1690" s="73"/>
      <c r="CA1690" s="73"/>
      <c r="CB1690" s="73"/>
      <c r="CC1690" s="73"/>
      <c r="CD1690" s="73"/>
      <c r="CE1690" s="73"/>
      <c r="CF1690" s="73"/>
      <c r="CG1690" s="73"/>
      <c r="CH1690" s="73"/>
      <c r="CI1690" s="73"/>
      <c r="CJ1690" s="73"/>
      <c r="CK1690" s="73"/>
      <c r="CL1690" s="73"/>
      <c r="CM1690" s="73"/>
      <c r="CN1690" s="73"/>
      <c r="CO1690" s="73"/>
      <c r="CP1690" s="73"/>
      <c r="CQ1690" s="73"/>
      <c r="CR1690" s="73"/>
      <c r="CS1690" s="73"/>
      <c r="CT1690" s="73"/>
      <c r="CU1690" s="73"/>
      <c r="CV1690" s="73"/>
      <c r="CW1690" s="73"/>
      <c r="CX1690" s="73"/>
      <c r="CY1690" s="73"/>
      <c r="CZ1690" s="73"/>
      <c r="DA1690" s="73"/>
      <c r="DB1690" s="73"/>
      <c r="DC1690" s="73"/>
      <c r="DD1690" s="73"/>
      <c r="DE1690" s="73"/>
      <c r="DF1690" s="73"/>
      <c r="DG1690" s="73"/>
      <c r="DH1690" s="73"/>
      <c r="DI1690" s="73"/>
      <c r="DJ1690" s="73"/>
      <c r="DK1690" s="73"/>
      <c r="DL1690" s="73"/>
      <c r="DM1690" s="73"/>
    </row>
    <row r="1691" spans="1:117" s="48" customFormat="1">
      <c r="A1691" s="73"/>
      <c r="T1691" s="73"/>
      <c r="U1691" s="73"/>
      <c r="V1691" s="73"/>
      <c r="W1691" s="73"/>
      <c r="X1691" s="73"/>
      <c r="Y1691" s="73"/>
      <c r="Z1691" s="73"/>
      <c r="AA1691" s="73"/>
      <c r="AB1691" s="73"/>
      <c r="AC1691" s="73"/>
      <c r="AD1691" s="73"/>
      <c r="AE1691" s="73"/>
      <c r="AF1691" s="73"/>
      <c r="AG1691" s="73"/>
      <c r="AH1691" s="73"/>
      <c r="AI1691" s="73"/>
      <c r="AJ1691" s="73"/>
      <c r="AK1691" s="73"/>
      <c r="AL1691" s="73"/>
      <c r="AM1691" s="73"/>
      <c r="AN1691" s="73"/>
      <c r="AO1691" s="73"/>
      <c r="AP1691" s="73"/>
      <c r="AQ1691" s="73"/>
      <c r="AR1691" s="73"/>
      <c r="AS1691" s="73"/>
      <c r="AT1691" s="73"/>
      <c r="AU1691" s="73"/>
      <c r="AV1691" s="73"/>
      <c r="AW1691" s="73"/>
      <c r="AX1691" s="73"/>
      <c r="AY1691" s="73"/>
      <c r="AZ1691" s="73"/>
      <c r="BA1691" s="73"/>
      <c r="BB1691" s="73"/>
      <c r="BC1691" s="73"/>
      <c r="BD1691" s="73"/>
      <c r="BE1691" s="73"/>
      <c r="BF1691" s="73"/>
      <c r="BG1691" s="73"/>
      <c r="BH1691" s="73"/>
      <c r="BI1691" s="73"/>
      <c r="BJ1691" s="73"/>
      <c r="BK1691" s="73"/>
      <c r="BL1691" s="73"/>
      <c r="BM1691" s="73"/>
      <c r="BN1691" s="73"/>
      <c r="BO1691" s="73"/>
      <c r="BP1691" s="73"/>
      <c r="BQ1691" s="73"/>
      <c r="BR1691" s="73"/>
      <c r="BS1691" s="73"/>
      <c r="BT1691" s="73"/>
      <c r="BU1691" s="73"/>
      <c r="BV1691" s="73"/>
      <c r="BW1691" s="73"/>
      <c r="BX1691" s="73"/>
      <c r="BY1691" s="73"/>
      <c r="BZ1691" s="73"/>
      <c r="CA1691" s="73"/>
      <c r="CB1691" s="73"/>
      <c r="CC1691" s="73"/>
      <c r="CD1691" s="73"/>
      <c r="CE1691" s="73"/>
      <c r="CF1691" s="73"/>
      <c r="CG1691" s="73"/>
      <c r="CH1691" s="73"/>
      <c r="CI1691" s="73"/>
      <c r="CJ1691" s="73"/>
      <c r="CK1691" s="73"/>
      <c r="CL1691" s="73"/>
      <c r="CM1691" s="73"/>
      <c r="CN1691" s="73"/>
      <c r="CO1691" s="73"/>
      <c r="CP1691" s="73"/>
      <c r="CQ1691" s="73"/>
      <c r="CR1691" s="73"/>
      <c r="CS1691" s="73"/>
      <c r="CT1691" s="73"/>
      <c r="CU1691" s="73"/>
      <c r="CV1691" s="73"/>
      <c r="CW1691" s="73"/>
      <c r="CX1691" s="73"/>
      <c r="CY1691" s="73"/>
      <c r="CZ1691" s="73"/>
      <c r="DA1691" s="73"/>
      <c r="DB1691" s="73"/>
      <c r="DC1691" s="73"/>
      <c r="DD1691" s="73"/>
      <c r="DE1691" s="73"/>
      <c r="DF1691" s="73"/>
      <c r="DG1691" s="73"/>
      <c r="DH1691" s="73"/>
      <c r="DI1691" s="73"/>
      <c r="DJ1691" s="73"/>
      <c r="DK1691" s="73"/>
      <c r="DL1691" s="73"/>
      <c r="DM1691" s="73"/>
    </row>
    <row r="1692" spans="1:117" s="48" customFormat="1">
      <c r="A1692" s="73"/>
      <c r="T1692" s="73"/>
      <c r="U1692" s="73"/>
      <c r="V1692" s="73"/>
      <c r="W1692" s="73"/>
      <c r="X1692" s="73"/>
      <c r="Y1692" s="73"/>
      <c r="Z1692" s="73"/>
      <c r="AA1692" s="73"/>
      <c r="AB1692" s="73"/>
      <c r="AC1692" s="73"/>
      <c r="AD1692" s="73"/>
      <c r="AE1692" s="73"/>
      <c r="AF1692" s="73"/>
      <c r="AG1692" s="73"/>
      <c r="AH1692" s="73"/>
      <c r="AI1692" s="73"/>
      <c r="AJ1692" s="73"/>
      <c r="AK1692" s="73"/>
      <c r="AL1692" s="73"/>
      <c r="AM1692" s="73"/>
      <c r="AN1692" s="73"/>
      <c r="AO1692" s="73"/>
      <c r="AP1692" s="73"/>
      <c r="AQ1692" s="73"/>
      <c r="AR1692" s="73"/>
      <c r="AS1692" s="73"/>
      <c r="AT1692" s="73"/>
      <c r="AU1692" s="73"/>
      <c r="AV1692" s="73"/>
      <c r="AW1692" s="73"/>
      <c r="AX1692" s="73"/>
      <c r="AY1692" s="73"/>
      <c r="AZ1692" s="73"/>
      <c r="BA1692" s="73"/>
      <c r="BB1692" s="73"/>
      <c r="BC1692" s="73"/>
      <c r="BD1692" s="73"/>
      <c r="BE1692" s="73"/>
      <c r="BF1692" s="73"/>
      <c r="BG1692" s="73"/>
      <c r="BH1692" s="73"/>
      <c r="BI1692" s="73"/>
      <c r="BJ1692" s="73"/>
      <c r="BK1692" s="73"/>
      <c r="BL1692" s="73"/>
      <c r="BM1692" s="73"/>
      <c r="BN1692" s="73"/>
      <c r="BO1692" s="73"/>
      <c r="BP1692" s="73"/>
      <c r="BQ1692" s="73"/>
      <c r="BR1692" s="73"/>
      <c r="BS1692" s="73"/>
      <c r="BT1692" s="73"/>
      <c r="BU1692" s="73"/>
      <c r="BV1692" s="73"/>
      <c r="BW1692" s="73"/>
      <c r="BX1692" s="73"/>
      <c r="BY1692" s="73"/>
      <c r="BZ1692" s="73"/>
      <c r="CA1692" s="73"/>
      <c r="CB1692" s="73"/>
      <c r="CC1692" s="73"/>
      <c r="CD1692" s="73"/>
      <c r="CE1692" s="73"/>
      <c r="CF1692" s="73"/>
      <c r="CG1692" s="73"/>
      <c r="CH1692" s="73"/>
      <c r="CI1692" s="73"/>
      <c r="CJ1692" s="73"/>
      <c r="CK1692" s="73"/>
      <c r="CL1692" s="73"/>
      <c r="CM1692" s="73"/>
      <c r="CN1692" s="73"/>
      <c r="CO1692" s="73"/>
      <c r="CP1692" s="73"/>
      <c r="CQ1692" s="73"/>
      <c r="CR1692" s="73"/>
      <c r="CS1692" s="73"/>
      <c r="CT1692" s="73"/>
      <c r="CU1692" s="73"/>
      <c r="CV1692" s="73"/>
      <c r="CW1692" s="73"/>
      <c r="CX1692" s="73"/>
      <c r="CY1692" s="73"/>
      <c r="CZ1692" s="73"/>
      <c r="DA1692" s="73"/>
      <c r="DB1692" s="73"/>
      <c r="DC1692" s="73"/>
      <c r="DD1692" s="73"/>
      <c r="DE1692" s="73"/>
      <c r="DF1692" s="73"/>
      <c r="DG1692" s="73"/>
      <c r="DH1692" s="73"/>
      <c r="DI1692" s="73"/>
      <c r="DJ1692" s="73"/>
      <c r="DK1692" s="73"/>
      <c r="DL1692" s="73"/>
      <c r="DM1692" s="73"/>
    </row>
    <row r="1693" spans="1:117" s="48" customFormat="1">
      <c r="A1693" s="73"/>
      <c r="T1693" s="73"/>
      <c r="U1693" s="73"/>
      <c r="V1693" s="73"/>
      <c r="W1693" s="73"/>
      <c r="X1693" s="73"/>
      <c r="Y1693" s="73"/>
      <c r="Z1693" s="73"/>
      <c r="AA1693" s="73"/>
      <c r="AB1693" s="73"/>
      <c r="AC1693" s="73"/>
      <c r="AD1693" s="73"/>
      <c r="AE1693" s="73"/>
      <c r="AF1693" s="73"/>
      <c r="AG1693" s="73"/>
      <c r="AH1693" s="73"/>
      <c r="AI1693" s="73"/>
      <c r="AJ1693" s="73"/>
      <c r="AK1693" s="73"/>
      <c r="AL1693" s="73"/>
      <c r="AM1693" s="73"/>
      <c r="AN1693" s="73"/>
      <c r="AO1693" s="73"/>
      <c r="AP1693" s="73"/>
      <c r="AQ1693" s="73"/>
      <c r="AR1693" s="73"/>
      <c r="AS1693" s="73"/>
      <c r="AT1693" s="73"/>
      <c r="AU1693" s="73"/>
      <c r="AV1693" s="73"/>
      <c r="AW1693" s="73"/>
      <c r="AX1693" s="73"/>
      <c r="AY1693" s="73"/>
      <c r="AZ1693" s="73"/>
      <c r="BA1693" s="73"/>
      <c r="BB1693" s="73"/>
      <c r="BC1693" s="73"/>
      <c r="BD1693" s="73"/>
      <c r="BE1693" s="73"/>
      <c r="BF1693" s="73"/>
      <c r="BG1693" s="73"/>
      <c r="BH1693" s="73"/>
      <c r="BI1693" s="73"/>
      <c r="BJ1693" s="73"/>
      <c r="BK1693" s="73"/>
      <c r="BL1693" s="73"/>
      <c r="BM1693" s="73"/>
      <c r="BN1693" s="73"/>
      <c r="BO1693" s="73"/>
      <c r="BP1693" s="73"/>
      <c r="BQ1693" s="73"/>
      <c r="BR1693" s="73"/>
      <c r="BS1693" s="73"/>
      <c r="BT1693" s="73"/>
      <c r="BU1693" s="73"/>
      <c r="BV1693" s="73"/>
      <c r="BW1693" s="73"/>
      <c r="BX1693" s="73"/>
      <c r="BY1693" s="73"/>
      <c r="BZ1693" s="73"/>
      <c r="CA1693" s="73"/>
      <c r="CB1693" s="73"/>
      <c r="CC1693" s="73"/>
      <c r="CD1693" s="73"/>
      <c r="CE1693" s="73"/>
      <c r="CF1693" s="73"/>
      <c r="CG1693" s="73"/>
      <c r="CH1693" s="73"/>
      <c r="CI1693" s="73"/>
      <c r="CJ1693" s="73"/>
      <c r="CK1693" s="73"/>
      <c r="CL1693" s="73"/>
      <c r="CM1693" s="73"/>
      <c r="CN1693" s="73"/>
      <c r="CO1693" s="73"/>
      <c r="CP1693" s="73"/>
      <c r="CQ1693" s="73"/>
      <c r="CR1693" s="73"/>
      <c r="CS1693" s="73"/>
      <c r="CT1693" s="73"/>
      <c r="CU1693" s="73"/>
      <c r="CV1693" s="73"/>
      <c r="CW1693" s="73"/>
      <c r="CX1693" s="73"/>
      <c r="CY1693" s="73"/>
      <c r="CZ1693" s="73"/>
      <c r="DA1693" s="73"/>
      <c r="DB1693" s="73"/>
      <c r="DC1693" s="73"/>
      <c r="DD1693" s="73"/>
      <c r="DE1693" s="73"/>
      <c r="DF1693" s="73"/>
      <c r="DG1693" s="73"/>
      <c r="DH1693" s="73"/>
      <c r="DI1693" s="73"/>
      <c r="DJ1693" s="73"/>
      <c r="DK1693" s="73"/>
      <c r="DL1693" s="73"/>
      <c r="DM1693" s="73"/>
    </row>
    <row r="1694" spans="1:117" s="48" customFormat="1">
      <c r="A1694" s="73"/>
      <c r="T1694" s="73"/>
      <c r="U1694" s="73"/>
      <c r="V1694" s="73"/>
      <c r="W1694" s="73"/>
      <c r="X1694" s="73"/>
      <c r="Y1694" s="73"/>
      <c r="Z1694" s="73"/>
      <c r="AA1694" s="73"/>
      <c r="AB1694" s="73"/>
      <c r="AC1694" s="73"/>
      <c r="AD1694" s="73"/>
      <c r="AE1694" s="73"/>
      <c r="AF1694" s="73"/>
      <c r="AG1694" s="73"/>
      <c r="AH1694" s="73"/>
      <c r="AI1694" s="73"/>
      <c r="AJ1694" s="73"/>
      <c r="AK1694" s="73"/>
      <c r="AL1694" s="73"/>
      <c r="AM1694" s="73"/>
      <c r="AN1694" s="73"/>
      <c r="AO1694" s="73"/>
      <c r="AP1694" s="73"/>
      <c r="AQ1694" s="73"/>
      <c r="AR1694" s="73"/>
      <c r="AS1694" s="73"/>
      <c r="AT1694" s="73"/>
      <c r="AU1694" s="73"/>
      <c r="AV1694" s="73"/>
      <c r="AW1694" s="73"/>
      <c r="AX1694" s="73"/>
      <c r="AY1694" s="73"/>
      <c r="AZ1694" s="73"/>
      <c r="BA1694" s="73"/>
      <c r="BB1694" s="73"/>
      <c r="BC1694" s="73"/>
      <c r="BD1694" s="73"/>
      <c r="BE1694" s="73"/>
      <c r="BF1694" s="73"/>
      <c r="BG1694" s="73"/>
      <c r="BH1694" s="73"/>
      <c r="BI1694" s="73"/>
      <c r="BJ1694" s="73"/>
      <c r="BK1694" s="73"/>
      <c r="BL1694" s="73"/>
      <c r="BM1694" s="73"/>
      <c r="BN1694" s="73"/>
      <c r="BO1694" s="73"/>
      <c r="BP1694" s="73"/>
      <c r="BQ1694" s="73"/>
      <c r="BR1694" s="73"/>
      <c r="BS1694" s="73"/>
      <c r="BT1694" s="73"/>
      <c r="BU1694" s="73"/>
      <c r="BV1694" s="73"/>
      <c r="BW1694" s="73"/>
      <c r="BX1694" s="73"/>
      <c r="BY1694" s="73"/>
      <c r="BZ1694" s="73"/>
      <c r="CA1694" s="73"/>
      <c r="CB1694" s="73"/>
      <c r="CC1694" s="73"/>
      <c r="CD1694" s="73"/>
      <c r="CE1694" s="73"/>
      <c r="CF1694" s="73"/>
      <c r="CG1694" s="73"/>
      <c r="CH1694" s="73"/>
      <c r="CI1694" s="73"/>
      <c r="CJ1694" s="73"/>
      <c r="CK1694" s="73"/>
      <c r="CL1694" s="73"/>
      <c r="CM1694" s="73"/>
      <c r="CN1694" s="73"/>
      <c r="CO1694" s="73"/>
      <c r="CP1694" s="73"/>
      <c r="CQ1694" s="73"/>
      <c r="CR1694" s="73"/>
      <c r="CS1694" s="73"/>
      <c r="CT1694" s="73"/>
      <c r="CU1694" s="73"/>
      <c r="CV1694" s="73"/>
      <c r="CW1694" s="73"/>
      <c r="CX1694" s="73"/>
      <c r="CY1694" s="73"/>
      <c r="CZ1694" s="73"/>
      <c r="DA1694" s="73"/>
      <c r="DB1694" s="73"/>
      <c r="DC1694" s="73"/>
      <c r="DD1694" s="73"/>
      <c r="DE1694" s="73"/>
      <c r="DF1694" s="73"/>
      <c r="DG1694" s="73"/>
      <c r="DH1694" s="73"/>
      <c r="DI1694" s="73"/>
      <c r="DJ1694" s="73"/>
      <c r="DK1694" s="73"/>
      <c r="DL1694" s="73"/>
      <c r="DM1694" s="73"/>
    </row>
    <row r="1695" spans="1:117" s="48" customFormat="1">
      <c r="A1695" s="73"/>
      <c r="T1695" s="73"/>
      <c r="U1695" s="73"/>
      <c r="V1695" s="73"/>
      <c r="W1695" s="73"/>
      <c r="X1695" s="73"/>
      <c r="Y1695" s="73"/>
      <c r="Z1695" s="73"/>
      <c r="AA1695" s="73"/>
      <c r="AB1695" s="73"/>
      <c r="AC1695" s="73"/>
      <c r="AD1695" s="73"/>
      <c r="AE1695" s="73"/>
      <c r="AF1695" s="73"/>
      <c r="AG1695" s="73"/>
      <c r="AH1695" s="73"/>
      <c r="AI1695" s="73"/>
      <c r="AJ1695" s="73"/>
      <c r="AK1695" s="73"/>
      <c r="AL1695" s="73"/>
      <c r="AM1695" s="73"/>
      <c r="AN1695" s="73"/>
      <c r="AO1695" s="73"/>
      <c r="AP1695" s="73"/>
      <c r="AQ1695" s="73"/>
      <c r="AR1695" s="73"/>
      <c r="AS1695" s="73"/>
      <c r="AT1695" s="73"/>
      <c r="AU1695" s="73"/>
      <c r="AV1695" s="73"/>
      <c r="AW1695" s="73"/>
      <c r="AX1695" s="73"/>
      <c r="AY1695" s="73"/>
      <c r="AZ1695" s="73"/>
      <c r="BA1695" s="73"/>
      <c r="BB1695" s="73"/>
      <c r="BC1695" s="73"/>
      <c r="BD1695" s="73"/>
      <c r="BE1695" s="73"/>
      <c r="BF1695" s="73"/>
      <c r="BG1695" s="73"/>
      <c r="BH1695" s="73"/>
      <c r="BI1695" s="73"/>
      <c r="BJ1695" s="73"/>
      <c r="BK1695" s="73"/>
      <c r="BL1695" s="73"/>
      <c r="BM1695" s="73"/>
      <c r="BN1695" s="73"/>
      <c r="BO1695" s="73"/>
      <c r="BP1695" s="73"/>
      <c r="BQ1695" s="73"/>
      <c r="BR1695" s="73"/>
      <c r="BS1695" s="73"/>
      <c r="BT1695" s="73"/>
      <c r="BU1695" s="73"/>
      <c r="BV1695" s="73"/>
      <c r="BW1695" s="73"/>
      <c r="BX1695" s="73"/>
      <c r="BY1695" s="73"/>
      <c r="BZ1695" s="73"/>
      <c r="CA1695" s="73"/>
      <c r="CB1695" s="73"/>
      <c r="CC1695" s="73"/>
      <c r="CD1695" s="73"/>
      <c r="CE1695" s="73"/>
      <c r="CF1695" s="73"/>
      <c r="CG1695" s="73"/>
      <c r="CH1695" s="73"/>
      <c r="CI1695" s="73"/>
      <c r="CJ1695" s="73"/>
      <c r="CK1695" s="73"/>
      <c r="CL1695" s="73"/>
      <c r="CM1695" s="73"/>
      <c r="CN1695" s="73"/>
      <c r="CO1695" s="73"/>
      <c r="CP1695" s="73"/>
      <c r="CQ1695" s="73"/>
      <c r="CR1695" s="73"/>
      <c r="CS1695" s="73"/>
      <c r="CT1695" s="73"/>
      <c r="CU1695" s="73"/>
      <c r="CV1695" s="73"/>
      <c r="CW1695" s="73"/>
      <c r="CX1695" s="73"/>
      <c r="CY1695" s="73"/>
      <c r="CZ1695" s="73"/>
      <c r="DA1695" s="73"/>
      <c r="DB1695" s="73"/>
      <c r="DC1695" s="73"/>
      <c r="DD1695" s="73"/>
      <c r="DE1695" s="73"/>
      <c r="DF1695" s="73"/>
      <c r="DG1695" s="73"/>
      <c r="DH1695" s="73"/>
      <c r="DI1695" s="73"/>
      <c r="DJ1695" s="73"/>
      <c r="DK1695" s="73"/>
      <c r="DL1695" s="73"/>
      <c r="DM1695" s="73"/>
    </row>
    <row r="1696" spans="1:117" s="48" customFormat="1">
      <c r="A1696" s="73"/>
      <c r="T1696" s="73"/>
      <c r="U1696" s="73"/>
      <c r="V1696" s="73"/>
      <c r="W1696" s="73"/>
      <c r="X1696" s="73"/>
      <c r="Y1696" s="73"/>
      <c r="Z1696" s="73"/>
      <c r="AA1696" s="73"/>
      <c r="AB1696" s="73"/>
      <c r="AC1696" s="73"/>
      <c r="AD1696" s="73"/>
      <c r="AE1696" s="73"/>
      <c r="AF1696" s="73"/>
      <c r="AG1696" s="73"/>
      <c r="AH1696" s="73"/>
      <c r="AI1696" s="73"/>
      <c r="AJ1696" s="73"/>
      <c r="AK1696" s="73"/>
      <c r="AL1696" s="73"/>
      <c r="AM1696" s="73"/>
      <c r="AN1696" s="73"/>
      <c r="AO1696" s="73"/>
      <c r="AP1696" s="73"/>
      <c r="AQ1696" s="73"/>
      <c r="AR1696" s="73"/>
      <c r="AS1696" s="73"/>
      <c r="AT1696" s="73"/>
      <c r="AU1696" s="73"/>
      <c r="AV1696" s="73"/>
      <c r="AW1696" s="73"/>
      <c r="AX1696" s="73"/>
      <c r="AY1696" s="73"/>
      <c r="AZ1696" s="73"/>
      <c r="BA1696" s="73"/>
      <c r="BB1696" s="73"/>
      <c r="BC1696" s="73"/>
      <c r="BD1696" s="73"/>
      <c r="BE1696" s="73"/>
      <c r="BF1696" s="73"/>
      <c r="BG1696" s="73"/>
      <c r="BH1696" s="73"/>
      <c r="BI1696" s="73"/>
      <c r="BJ1696" s="73"/>
      <c r="BK1696" s="73"/>
      <c r="BL1696" s="73"/>
      <c r="BM1696" s="73"/>
      <c r="BN1696" s="73"/>
      <c r="BO1696" s="73"/>
      <c r="BP1696" s="73"/>
      <c r="BQ1696" s="73"/>
      <c r="BR1696" s="73"/>
      <c r="BS1696" s="73"/>
      <c r="BT1696" s="73"/>
      <c r="BU1696" s="73"/>
      <c r="BV1696" s="73"/>
      <c r="BW1696" s="73"/>
      <c r="BX1696" s="73"/>
      <c r="BY1696" s="73"/>
      <c r="BZ1696" s="73"/>
      <c r="CA1696" s="73"/>
      <c r="CB1696" s="73"/>
      <c r="CC1696" s="73"/>
      <c r="CD1696" s="73"/>
      <c r="CE1696" s="73"/>
      <c r="CF1696" s="73"/>
      <c r="CG1696" s="73"/>
      <c r="CH1696" s="73"/>
      <c r="CI1696" s="73"/>
      <c r="CJ1696" s="73"/>
      <c r="CK1696" s="73"/>
      <c r="CL1696" s="73"/>
      <c r="CM1696" s="73"/>
      <c r="CN1696" s="73"/>
      <c r="CO1696" s="73"/>
      <c r="CP1696" s="73"/>
      <c r="CQ1696" s="73"/>
      <c r="CR1696" s="73"/>
      <c r="CS1696" s="73"/>
      <c r="CT1696" s="73"/>
      <c r="CU1696" s="73"/>
      <c r="CV1696" s="73"/>
      <c r="CW1696" s="73"/>
      <c r="CX1696" s="73"/>
      <c r="CY1696" s="73"/>
      <c r="CZ1696" s="73"/>
      <c r="DA1696" s="73"/>
      <c r="DB1696" s="73"/>
      <c r="DC1696" s="73"/>
      <c r="DD1696" s="73"/>
      <c r="DE1696" s="73"/>
      <c r="DF1696" s="73"/>
      <c r="DG1696" s="73"/>
      <c r="DH1696" s="73"/>
      <c r="DI1696" s="73"/>
      <c r="DJ1696" s="73"/>
      <c r="DK1696" s="73"/>
      <c r="DL1696" s="73"/>
      <c r="DM1696" s="73"/>
    </row>
    <row r="1697" spans="1:117" s="48" customFormat="1">
      <c r="A1697" s="73"/>
      <c r="T1697" s="73"/>
      <c r="U1697" s="73"/>
      <c r="V1697" s="73"/>
      <c r="W1697" s="73"/>
      <c r="X1697" s="73"/>
      <c r="Y1697" s="73"/>
      <c r="Z1697" s="73"/>
      <c r="AA1697" s="73"/>
      <c r="AB1697" s="73"/>
      <c r="AC1697" s="73"/>
      <c r="AD1697" s="73"/>
      <c r="AE1697" s="73"/>
      <c r="AF1697" s="73"/>
      <c r="AG1697" s="73"/>
      <c r="AH1697" s="73"/>
      <c r="AI1697" s="73"/>
      <c r="AJ1697" s="73"/>
      <c r="AK1697" s="73"/>
      <c r="AL1697" s="73"/>
      <c r="AM1697" s="73"/>
      <c r="AN1697" s="73"/>
      <c r="AO1697" s="73"/>
      <c r="AP1697" s="73"/>
      <c r="AQ1697" s="73"/>
      <c r="AR1697" s="73"/>
      <c r="AS1697" s="73"/>
      <c r="AT1697" s="73"/>
      <c r="AU1697" s="73"/>
      <c r="AV1697" s="73"/>
      <c r="AW1697" s="73"/>
      <c r="AX1697" s="73"/>
      <c r="AY1697" s="73"/>
      <c r="AZ1697" s="73"/>
      <c r="BA1697" s="73"/>
      <c r="BB1697" s="73"/>
      <c r="BC1697" s="73"/>
      <c r="BD1697" s="73"/>
      <c r="BE1697" s="73"/>
      <c r="BF1697" s="73"/>
      <c r="BG1697" s="73"/>
      <c r="BH1697" s="73"/>
      <c r="BI1697" s="73"/>
      <c r="BJ1697" s="73"/>
      <c r="BK1697" s="73"/>
      <c r="BL1697" s="73"/>
      <c r="BM1697" s="73"/>
      <c r="BN1697" s="73"/>
      <c r="BO1697" s="73"/>
      <c r="BP1697" s="73"/>
      <c r="BQ1697" s="73"/>
      <c r="BR1697" s="73"/>
      <c r="BS1697" s="73"/>
      <c r="BT1697" s="73"/>
      <c r="BU1697" s="73"/>
      <c r="BV1697" s="73"/>
      <c r="BW1697" s="73"/>
      <c r="BX1697" s="73"/>
      <c r="BY1697" s="73"/>
      <c r="BZ1697" s="73"/>
      <c r="CA1697" s="73"/>
      <c r="CB1697" s="73"/>
      <c r="CC1697" s="73"/>
      <c r="CD1697" s="73"/>
      <c r="CE1697" s="73"/>
      <c r="CF1697" s="73"/>
      <c r="CG1697" s="73"/>
      <c r="CH1697" s="73"/>
      <c r="CI1697" s="73"/>
      <c r="CJ1697" s="73"/>
      <c r="CK1697" s="73"/>
      <c r="CL1697" s="73"/>
      <c r="CM1697" s="73"/>
      <c r="CN1697" s="73"/>
      <c r="CO1697" s="73"/>
      <c r="CP1697" s="73"/>
      <c r="CQ1697" s="73"/>
      <c r="CR1697" s="73"/>
      <c r="CS1697" s="73"/>
      <c r="CT1697" s="73"/>
      <c r="CU1697" s="73"/>
      <c r="CV1697" s="73"/>
      <c r="CW1697" s="73"/>
      <c r="CX1697" s="73"/>
      <c r="CY1697" s="73"/>
      <c r="CZ1697" s="73"/>
      <c r="DA1697" s="73"/>
      <c r="DB1697" s="73"/>
      <c r="DC1697" s="73"/>
      <c r="DD1697" s="73"/>
      <c r="DE1697" s="73"/>
      <c r="DF1697" s="73"/>
      <c r="DG1697" s="73"/>
      <c r="DH1697" s="73"/>
      <c r="DI1697" s="73"/>
      <c r="DJ1697" s="73"/>
      <c r="DK1697" s="73"/>
      <c r="DL1697" s="73"/>
      <c r="DM1697" s="73"/>
    </row>
    <row r="1698" spans="1:117" s="48" customFormat="1">
      <c r="A1698" s="73"/>
      <c r="T1698" s="73"/>
      <c r="U1698" s="73"/>
      <c r="V1698" s="73"/>
      <c r="W1698" s="73"/>
      <c r="X1698" s="73"/>
      <c r="Y1698" s="73"/>
      <c r="Z1698" s="73"/>
      <c r="AA1698" s="73"/>
      <c r="AB1698" s="73"/>
      <c r="AC1698" s="73"/>
      <c r="AD1698" s="73"/>
      <c r="AE1698" s="73"/>
      <c r="AF1698" s="73"/>
      <c r="AG1698" s="73"/>
      <c r="AH1698" s="73"/>
      <c r="AI1698" s="73"/>
      <c r="AJ1698" s="73"/>
      <c r="AK1698" s="73"/>
      <c r="AL1698" s="73"/>
      <c r="AM1698" s="73"/>
      <c r="AN1698" s="73"/>
      <c r="AO1698" s="73"/>
      <c r="AP1698" s="73"/>
      <c r="AQ1698" s="73"/>
      <c r="AR1698" s="73"/>
      <c r="AS1698" s="73"/>
      <c r="AT1698" s="73"/>
      <c r="AU1698" s="73"/>
      <c r="AV1698" s="73"/>
      <c r="AW1698" s="73"/>
      <c r="AX1698" s="73"/>
      <c r="AY1698" s="73"/>
      <c r="AZ1698" s="73"/>
      <c r="BA1698" s="73"/>
      <c r="BB1698" s="73"/>
      <c r="BC1698" s="73"/>
      <c r="BD1698" s="73"/>
      <c r="BE1698" s="73"/>
      <c r="BF1698" s="73"/>
      <c r="BG1698" s="73"/>
      <c r="BH1698" s="73"/>
      <c r="BI1698" s="73"/>
      <c r="BJ1698" s="73"/>
      <c r="BK1698" s="73"/>
      <c r="BL1698" s="73"/>
      <c r="BM1698" s="73"/>
      <c r="BN1698" s="73"/>
      <c r="BO1698" s="73"/>
      <c r="BP1698" s="73"/>
      <c r="BQ1698" s="73"/>
      <c r="BR1698" s="73"/>
      <c r="BS1698" s="73"/>
      <c r="BT1698" s="73"/>
      <c r="BU1698" s="73"/>
      <c r="BV1698" s="73"/>
      <c r="BW1698" s="73"/>
      <c r="BX1698" s="73"/>
      <c r="BY1698" s="73"/>
      <c r="BZ1698" s="73"/>
      <c r="CA1698" s="73"/>
      <c r="CB1698" s="73"/>
      <c r="CC1698" s="73"/>
      <c r="CD1698" s="73"/>
      <c r="CE1698" s="73"/>
      <c r="CF1698" s="73"/>
      <c r="CG1698" s="73"/>
      <c r="CH1698" s="73"/>
      <c r="CI1698" s="73"/>
      <c r="CJ1698" s="73"/>
      <c r="CK1698" s="73"/>
      <c r="CL1698" s="73"/>
      <c r="CM1698" s="73"/>
      <c r="CN1698" s="73"/>
      <c r="CO1698" s="73"/>
      <c r="CP1698" s="73"/>
      <c r="CQ1698" s="73"/>
      <c r="CR1698" s="73"/>
      <c r="CS1698" s="73"/>
      <c r="CT1698" s="73"/>
      <c r="CU1698" s="73"/>
      <c r="CV1698" s="73"/>
      <c r="CW1698" s="73"/>
      <c r="CX1698" s="73"/>
      <c r="CY1698" s="73"/>
      <c r="CZ1698" s="73"/>
      <c r="DA1698" s="73"/>
      <c r="DB1698" s="73"/>
      <c r="DC1698" s="73"/>
      <c r="DD1698" s="73"/>
      <c r="DE1698" s="73"/>
      <c r="DF1698" s="73"/>
      <c r="DG1698" s="73"/>
      <c r="DH1698" s="73"/>
      <c r="DI1698" s="73"/>
      <c r="DJ1698" s="73"/>
      <c r="DK1698" s="73"/>
      <c r="DL1698" s="73"/>
      <c r="DM1698" s="73"/>
    </row>
    <row r="1699" spans="1:117" s="48" customFormat="1">
      <c r="A1699" s="73"/>
      <c r="T1699" s="73"/>
      <c r="U1699" s="73"/>
      <c r="V1699" s="73"/>
      <c r="W1699" s="73"/>
      <c r="X1699" s="73"/>
      <c r="Y1699" s="73"/>
      <c r="Z1699" s="73"/>
      <c r="AA1699" s="73"/>
      <c r="AB1699" s="73"/>
      <c r="AC1699" s="73"/>
      <c r="AD1699" s="73"/>
      <c r="AE1699" s="73"/>
      <c r="AF1699" s="73"/>
      <c r="AG1699" s="73"/>
      <c r="AH1699" s="73"/>
      <c r="AI1699" s="73"/>
      <c r="AJ1699" s="73"/>
      <c r="AK1699" s="73"/>
      <c r="AL1699" s="73"/>
      <c r="AM1699" s="73"/>
      <c r="AN1699" s="73"/>
      <c r="AO1699" s="73"/>
      <c r="AP1699" s="73"/>
      <c r="AQ1699" s="73"/>
      <c r="AR1699" s="73"/>
      <c r="AS1699" s="73"/>
      <c r="AT1699" s="73"/>
      <c r="AU1699" s="73"/>
      <c r="AV1699" s="73"/>
      <c r="AW1699" s="73"/>
      <c r="AX1699" s="73"/>
      <c r="AY1699" s="73"/>
      <c r="AZ1699" s="73"/>
      <c r="BA1699" s="73"/>
      <c r="BB1699" s="73"/>
      <c r="BC1699" s="73"/>
      <c r="BD1699" s="73"/>
      <c r="BE1699" s="73"/>
      <c r="BF1699" s="73"/>
      <c r="BG1699" s="73"/>
      <c r="BH1699" s="73"/>
      <c r="BI1699" s="73"/>
      <c r="BJ1699" s="73"/>
      <c r="BK1699" s="73"/>
      <c r="BL1699" s="73"/>
      <c r="BM1699" s="73"/>
      <c r="BN1699" s="73"/>
      <c r="BO1699" s="73"/>
      <c r="BP1699" s="73"/>
      <c r="BQ1699" s="73"/>
      <c r="BR1699" s="73"/>
      <c r="BS1699" s="73"/>
      <c r="BT1699" s="73"/>
      <c r="BU1699" s="73"/>
      <c r="BV1699" s="73"/>
      <c r="BW1699" s="73"/>
      <c r="BX1699" s="73"/>
      <c r="BY1699" s="73"/>
      <c r="BZ1699" s="73"/>
      <c r="CA1699" s="73"/>
      <c r="CB1699" s="73"/>
      <c r="CC1699" s="73"/>
      <c r="CD1699" s="73"/>
      <c r="CE1699" s="73"/>
      <c r="CF1699" s="73"/>
      <c r="CG1699" s="73"/>
      <c r="CH1699" s="73"/>
      <c r="CI1699" s="73"/>
      <c r="CJ1699" s="73"/>
      <c r="CK1699" s="73"/>
      <c r="CL1699" s="73"/>
      <c r="CM1699" s="73"/>
      <c r="CN1699" s="73"/>
      <c r="CO1699" s="73"/>
      <c r="CP1699" s="73"/>
      <c r="CQ1699" s="73"/>
      <c r="CR1699" s="73"/>
      <c r="CS1699" s="73"/>
      <c r="CT1699" s="73"/>
      <c r="CU1699" s="73"/>
      <c r="CV1699" s="73"/>
      <c r="CW1699" s="73"/>
      <c r="CX1699" s="73"/>
      <c r="CY1699" s="73"/>
      <c r="CZ1699" s="73"/>
      <c r="DA1699" s="73"/>
      <c r="DB1699" s="73"/>
      <c r="DC1699" s="73"/>
      <c r="DD1699" s="73"/>
      <c r="DE1699" s="73"/>
      <c r="DF1699" s="73"/>
      <c r="DG1699" s="73"/>
      <c r="DH1699" s="73"/>
      <c r="DI1699" s="73"/>
      <c r="DJ1699" s="73"/>
      <c r="DK1699" s="73"/>
      <c r="DL1699" s="73"/>
      <c r="DM1699" s="73"/>
    </row>
    <row r="1700" spans="1:117" s="48" customFormat="1">
      <c r="A1700" s="73"/>
      <c r="T1700" s="73"/>
      <c r="U1700" s="73"/>
      <c r="V1700" s="73"/>
      <c r="W1700" s="73"/>
      <c r="X1700" s="73"/>
      <c r="Y1700" s="73"/>
      <c r="Z1700" s="73"/>
      <c r="AA1700" s="73"/>
      <c r="AB1700" s="73"/>
      <c r="AC1700" s="73"/>
      <c r="AD1700" s="73"/>
      <c r="AE1700" s="73"/>
      <c r="AF1700" s="73"/>
      <c r="AG1700" s="73"/>
      <c r="AH1700" s="73"/>
      <c r="AI1700" s="73"/>
      <c r="AJ1700" s="73"/>
      <c r="AK1700" s="73"/>
      <c r="AL1700" s="73"/>
      <c r="AM1700" s="73"/>
      <c r="AN1700" s="73"/>
      <c r="AO1700" s="73"/>
      <c r="AP1700" s="73"/>
      <c r="AQ1700" s="73"/>
      <c r="AR1700" s="73"/>
      <c r="AS1700" s="73"/>
      <c r="AT1700" s="73"/>
      <c r="AU1700" s="73"/>
      <c r="AV1700" s="73"/>
      <c r="AW1700" s="73"/>
      <c r="AX1700" s="73"/>
      <c r="AY1700" s="73"/>
      <c r="AZ1700" s="73"/>
      <c r="BA1700" s="73"/>
      <c r="BB1700" s="73"/>
      <c r="BC1700" s="73"/>
      <c r="BD1700" s="73"/>
      <c r="BE1700" s="73"/>
      <c r="BF1700" s="73"/>
      <c r="BG1700" s="73"/>
      <c r="BH1700" s="73"/>
      <c r="BI1700" s="73"/>
      <c r="BJ1700" s="73"/>
      <c r="BK1700" s="73"/>
      <c r="BL1700" s="73"/>
      <c r="BM1700" s="73"/>
      <c r="BN1700" s="73"/>
      <c r="BO1700" s="73"/>
      <c r="BP1700" s="73"/>
      <c r="BQ1700" s="73"/>
      <c r="BR1700" s="73"/>
      <c r="BS1700" s="73"/>
      <c r="BT1700" s="73"/>
      <c r="BU1700" s="73"/>
      <c r="BV1700" s="73"/>
      <c r="BW1700" s="73"/>
      <c r="BX1700" s="73"/>
      <c r="BY1700" s="73"/>
      <c r="BZ1700" s="73"/>
      <c r="CA1700" s="73"/>
      <c r="CB1700" s="73"/>
      <c r="CC1700" s="73"/>
      <c r="CD1700" s="73"/>
      <c r="CE1700" s="73"/>
      <c r="CF1700" s="73"/>
      <c r="CG1700" s="73"/>
      <c r="CH1700" s="73"/>
      <c r="CI1700" s="73"/>
      <c r="CJ1700" s="73"/>
      <c r="CK1700" s="73"/>
      <c r="CL1700" s="73"/>
      <c r="CM1700" s="73"/>
      <c r="CN1700" s="73"/>
      <c r="CO1700" s="73"/>
      <c r="CP1700" s="73"/>
      <c r="CQ1700" s="73"/>
      <c r="CR1700" s="73"/>
      <c r="CS1700" s="73"/>
      <c r="CT1700" s="73"/>
      <c r="CU1700" s="73"/>
      <c r="CV1700" s="73"/>
      <c r="CW1700" s="73"/>
      <c r="CX1700" s="73"/>
      <c r="CY1700" s="73"/>
      <c r="CZ1700" s="73"/>
      <c r="DA1700" s="73"/>
      <c r="DB1700" s="73"/>
      <c r="DC1700" s="73"/>
      <c r="DD1700" s="73"/>
      <c r="DE1700" s="73"/>
      <c r="DF1700" s="73"/>
      <c r="DG1700" s="73"/>
      <c r="DH1700" s="73"/>
      <c r="DI1700" s="73"/>
      <c r="DJ1700" s="73"/>
      <c r="DK1700" s="73"/>
      <c r="DL1700" s="73"/>
      <c r="DM1700" s="73"/>
    </row>
    <row r="1701" spans="1:117" s="48" customFormat="1">
      <c r="A1701" s="73"/>
      <c r="T1701" s="73"/>
      <c r="U1701" s="73"/>
      <c r="V1701" s="73"/>
      <c r="W1701" s="73"/>
      <c r="X1701" s="73"/>
      <c r="Y1701" s="73"/>
      <c r="Z1701" s="73"/>
      <c r="AA1701" s="73"/>
      <c r="AB1701" s="73"/>
      <c r="AC1701" s="73"/>
      <c r="AD1701" s="73"/>
      <c r="AE1701" s="73"/>
      <c r="AF1701" s="73"/>
      <c r="AG1701" s="73"/>
      <c r="AH1701" s="73"/>
      <c r="AI1701" s="73"/>
      <c r="AJ1701" s="73"/>
      <c r="AK1701" s="73"/>
      <c r="AL1701" s="73"/>
      <c r="AM1701" s="73"/>
      <c r="AN1701" s="73"/>
      <c r="AO1701" s="73"/>
      <c r="AP1701" s="73"/>
      <c r="AQ1701" s="73"/>
      <c r="AR1701" s="73"/>
      <c r="AS1701" s="73"/>
      <c r="AT1701" s="73"/>
      <c r="AU1701" s="73"/>
      <c r="AV1701" s="73"/>
      <c r="AW1701" s="73"/>
      <c r="AX1701" s="73"/>
      <c r="AY1701" s="73"/>
      <c r="AZ1701" s="73"/>
      <c r="BA1701" s="73"/>
      <c r="BB1701" s="73"/>
      <c r="BC1701" s="73"/>
      <c r="BD1701" s="73"/>
      <c r="BE1701" s="73"/>
      <c r="BF1701" s="73"/>
      <c r="BG1701" s="73"/>
      <c r="BH1701" s="73"/>
      <c r="BI1701" s="73"/>
      <c r="BJ1701" s="73"/>
      <c r="BK1701" s="73"/>
      <c r="BL1701" s="73"/>
      <c r="BM1701" s="73"/>
      <c r="BN1701" s="73"/>
      <c r="BO1701" s="73"/>
      <c r="BP1701" s="73"/>
      <c r="BQ1701" s="73"/>
      <c r="BR1701" s="73"/>
      <c r="BS1701" s="73"/>
      <c r="BT1701" s="73"/>
      <c r="BU1701" s="73"/>
      <c r="BV1701" s="73"/>
      <c r="BW1701" s="73"/>
      <c r="BX1701" s="73"/>
      <c r="BY1701" s="73"/>
      <c r="BZ1701" s="73"/>
      <c r="CA1701" s="73"/>
      <c r="CB1701" s="73"/>
      <c r="CC1701" s="73"/>
      <c r="CD1701" s="73"/>
      <c r="CE1701" s="73"/>
      <c r="CF1701" s="73"/>
      <c r="CG1701" s="73"/>
      <c r="CH1701" s="73"/>
      <c r="CI1701" s="73"/>
      <c r="CJ1701" s="73"/>
      <c r="CK1701" s="73"/>
      <c r="CL1701" s="73"/>
      <c r="CM1701" s="73"/>
      <c r="CN1701" s="73"/>
      <c r="CO1701" s="73"/>
      <c r="CP1701" s="73"/>
      <c r="CQ1701" s="73"/>
      <c r="CR1701" s="73"/>
      <c r="CS1701" s="73"/>
      <c r="CT1701" s="73"/>
      <c r="CU1701" s="73"/>
      <c r="CV1701" s="73"/>
      <c r="CW1701" s="73"/>
      <c r="CX1701" s="73"/>
      <c r="CY1701" s="73"/>
      <c r="CZ1701" s="73"/>
      <c r="DA1701" s="73"/>
      <c r="DB1701" s="73"/>
      <c r="DC1701" s="73"/>
      <c r="DD1701" s="73"/>
      <c r="DE1701" s="73"/>
      <c r="DF1701" s="73"/>
      <c r="DG1701" s="73"/>
      <c r="DH1701" s="73"/>
      <c r="DI1701" s="73"/>
      <c r="DJ1701" s="73"/>
      <c r="DK1701" s="73"/>
      <c r="DL1701" s="73"/>
      <c r="DM1701" s="73"/>
    </row>
    <row r="1702" spans="1:117" s="48" customFormat="1">
      <c r="A1702" s="73"/>
      <c r="T1702" s="73"/>
      <c r="U1702" s="73"/>
      <c r="V1702" s="73"/>
      <c r="W1702" s="73"/>
      <c r="X1702" s="73"/>
      <c r="Y1702" s="73"/>
      <c r="Z1702" s="73"/>
      <c r="AA1702" s="73"/>
      <c r="AB1702" s="73"/>
      <c r="AC1702" s="73"/>
      <c r="AD1702" s="73"/>
      <c r="AE1702" s="73"/>
      <c r="AF1702" s="73"/>
      <c r="AG1702" s="73"/>
      <c r="AH1702" s="73"/>
      <c r="AI1702" s="73"/>
      <c r="AJ1702" s="73"/>
      <c r="AK1702" s="73"/>
      <c r="AL1702" s="73"/>
      <c r="AM1702" s="73"/>
      <c r="AN1702" s="73"/>
      <c r="AO1702" s="73"/>
      <c r="AP1702" s="73"/>
      <c r="AQ1702" s="73"/>
      <c r="AR1702" s="73"/>
      <c r="AS1702" s="73"/>
      <c r="AT1702" s="73"/>
      <c r="AU1702" s="73"/>
      <c r="AV1702" s="73"/>
      <c r="AW1702" s="73"/>
      <c r="AX1702" s="73"/>
      <c r="AY1702" s="73"/>
      <c r="AZ1702" s="73"/>
      <c r="BA1702" s="73"/>
      <c r="BB1702" s="73"/>
      <c r="BC1702" s="73"/>
      <c r="BD1702" s="73"/>
      <c r="BE1702" s="73"/>
      <c r="BF1702" s="73"/>
      <c r="BG1702" s="73"/>
      <c r="BH1702" s="73"/>
      <c r="BI1702" s="73"/>
      <c r="BJ1702" s="73"/>
      <c r="BK1702" s="73"/>
      <c r="BL1702" s="73"/>
      <c r="BM1702" s="73"/>
      <c r="BN1702" s="73"/>
      <c r="BO1702" s="73"/>
      <c r="BP1702" s="73"/>
      <c r="BQ1702" s="73"/>
      <c r="BR1702" s="73"/>
      <c r="BS1702" s="73"/>
      <c r="BT1702" s="73"/>
      <c r="BU1702" s="73"/>
      <c r="BV1702" s="73"/>
      <c r="BW1702" s="73"/>
      <c r="BX1702" s="73"/>
      <c r="BY1702" s="73"/>
      <c r="BZ1702" s="73"/>
      <c r="CA1702" s="73"/>
      <c r="CB1702" s="73"/>
      <c r="CC1702" s="73"/>
      <c r="CD1702" s="73"/>
      <c r="CE1702" s="73"/>
      <c r="CF1702" s="73"/>
      <c r="CG1702" s="73"/>
      <c r="CH1702" s="73"/>
      <c r="CI1702" s="73"/>
      <c r="CJ1702" s="73"/>
      <c r="CK1702" s="73"/>
      <c r="CL1702" s="73"/>
      <c r="CM1702" s="73"/>
      <c r="CN1702" s="73"/>
      <c r="CO1702" s="73"/>
      <c r="CP1702" s="73"/>
      <c r="CQ1702" s="73"/>
      <c r="CR1702" s="73"/>
      <c r="CS1702" s="73"/>
      <c r="CT1702" s="73"/>
      <c r="CU1702" s="73"/>
      <c r="CV1702" s="73"/>
      <c r="CW1702" s="73"/>
      <c r="CX1702" s="73"/>
      <c r="CY1702" s="73"/>
      <c r="CZ1702" s="73"/>
      <c r="DA1702" s="73"/>
      <c r="DB1702" s="73"/>
      <c r="DC1702" s="73"/>
      <c r="DD1702" s="73"/>
      <c r="DE1702" s="73"/>
      <c r="DF1702" s="73"/>
      <c r="DG1702" s="73"/>
      <c r="DH1702" s="73"/>
      <c r="DI1702" s="73"/>
      <c r="DJ1702" s="73"/>
      <c r="DK1702" s="73"/>
      <c r="DL1702" s="73"/>
      <c r="DM1702" s="73"/>
    </row>
    <row r="1703" spans="1:117" s="48" customFormat="1">
      <c r="A1703" s="73"/>
      <c r="T1703" s="73"/>
      <c r="U1703" s="73"/>
      <c r="V1703" s="73"/>
      <c r="W1703" s="73"/>
      <c r="X1703" s="73"/>
      <c r="Y1703" s="73"/>
      <c r="Z1703" s="73"/>
      <c r="AA1703" s="73"/>
      <c r="AB1703" s="73"/>
      <c r="AC1703" s="73"/>
      <c r="AD1703" s="73"/>
      <c r="AE1703" s="73"/>
      <c r="AF1703" s="73"/>
      <c r="AG1703" s="73"/>
      <c r="AH1703" s="73"/>
      <c r="AI1703" s="73"/>
      <c r="AJ1703" s="73"/>
      <c r="AK1703" s="73"/>
      <c r="AL1703" s="73"/>
      <c r="AM1703" s="73"/>
      <c r="AN1703" s="73"/>
      <c r="AO1703" s="73"/>
      <c r="AP1703" s="73"/>
      <c r="AQ1703" s="73"/>
      <c r="AR1703" s="73"/>
      <c r="AS1703" s="73"/>
      <c r="AT1703" s="73"/>
      <c r="AU1703" s="73"/>
      <c r="AV1703" s="73"/>
      <c r="AW1703" s="73"/>
      <c r="AX1703" s="73"/>
      <c r="AY1703" s="73"/>
      <c r="AZ1703" s="73"/>
      <c r="BA1703" s="73"/>
      <c r="BB1703" s="73"/>
      <c r="BC1703" s="73"/>
      <c r="BD1703" s="73"/>
      <c r="BE1703" s="73"/>
      <c r="BF1703" s="73"/>
      <c r="BG1703" s="73"/>
      <c r="BH1703" s="73"/>
      <c r="BI1703" s="73"/>
      <c r="BJ1703" s="73"/>
      <c r="BK1703" s="73"/>
      <c r="BL1703" s="73"/>
      <c r="BM1703" s="73"/>
      <c r="BN1703" s="73"/>
      <c r="BO1703" s="73"/>
      <c r="BP1703" s="73"/>
      <c r="BQ1703" s="73"/>
      <c r="BR1703" s="73"/>
      <c r="BS1703" s="73"/>
      <c r="BT1703" s="73"/>
      <c r="BU1703" s="73"/>
      <c r="BV1703" s="73"/>
      <c r="BW1703" s="73"/>
      <c r="BX1703" s="73"/>
      <c r="BY1703" s="73"/>
      <c r="BZ1703" s="73"/>
      <c r="CA1703" s="73"/>
      <c r="CB1703" s="73"/>
      <c r="CC1703" s="73"/>
      <c r="CD1703" s="73"/>
      <c r="CE1703" s="73"/>
      <c r="CF1703" s="73"/>
      <c r="CG1703" s="73"/>
      <c r="CH1703" s="73"/>
      <c r="CI1703" s="73"/>
      <c r="CJ1703" s="73"/>
      <c r="CK1703" s="73"/>
      <c r="CL1703" s="73"/>
      <c r="CM1703" s="73"/>
      <c r="CN1703" s="73"/>
      <c r="CO1703" s="73"/>
      <c r="CP1703" s="73"/>
      <c r="CQ1703" s="73"/>
      <c r="CR1703" s="73"/>
      <c r="CS1703" s="73"/>
      <c r="CT1703" s="73"/>
      <c r="CU1703" s="73"/>
      <c r="CV1703" s="73"/>
      <c r="CW1703" s="73"/>
      <c r="CX1703" s="73"/>
      <c r="CY1703" s="73"/>
      <c r="CZ1703" s="73"/>
      <c r="DA1703" s="73"/>
      <c r="DB1703" s="73"/>
      <c r="DC1703" s="73"/>
      <c r="DD1703" s="73"/>
      <c r="DE1703" s="73"/>
      <c r="DF1703" s="73"/>
      <c r="DG1703" s="73"/>
      <c r="DH1703" s="73"/>
      <c r="DI1703" s="73"/>
      <c r="DJ1703" s="73"/>
      <c r="DK1703" s="73"/>
      <c r="DL1703" s="73"/>
      <c r="DM1703" s="73"/>
    </row>
    <row r="1704" spans="1:117" s="48" customFormat="1">
      <c r="A1704" s="73"/>
      <c r="T1704" s="73"/>
      <c r="U1704" s="73"/>
      <c r="V1704" s="73"/>
      <c r="W1704" s="73"/>
      <c r="X1704" s="73"/>
      <c r="Y1704" s="73"/>
      <c r="Z1704" s="73"/>
      <c r="AA1704" s="73"/>
      <c r="AB1704" s="73"/>
      <c r="AC1704" s="73"/>
      <c r="AD1704" s="73"/>
      <c r="AE1704" s="73"/>
      <c r="AF1704" s="73"/>
      <c r="AG1704" s="73"/>
      <c r="AH1704" s="73"/>
      <c r="AI1704" s="73"/>
      <c r="AJ1704" s="73"/>
      <c r="AK1704" s="73"/>
      <c r="AL1704" s="73"/>
      <c r="AM1704" s="73"/>
      <c r="AN1704" s="73"/>
      <c r="AO1704" s="73"/>
      <c r="AP1704" s="73"/>
      <c r="AQ1704" s="73"/>
      <c r="AR1704" s="73"/>
      <c r="AS1704" s="73"/>
      <c r="AT1704" s="73"/>
      <c r="AU1704" s="73"/>
      <c r="AV1704" s="73"/>
      <c r="AW1704" s="73"/>
      <c r="AX1704" s="73"/>
      <c r="AY1704" s="73"/>
      <c r="AZ1704" s="73"/>
      <c r="BA1704" s="73"/>
      <c r="BB1704" s="73"/>
      <c r="BC1704" s="73"/>
      <c r="BD1704" s="73"/>
      <c r="BE1704" s="73"/>
      <c r="BF1704" s="73"/>
      <c r="BG1704" s="73"/>
      <c r="BH1704" s="73"/>
      <c r="BI1704" s="73"/>
      <c r="BJ1704" s="73"/>
      <c r="BK1704" s="73"/>
      <c r="BL1704" s="73"/>
      <c r="BM1704" s="73"/>
      <c r="BN1704" s="73"/>
      <c r="BO1704" s="73"/>
      <c r="BP1704" s="73"/>
      <c r="BQ1704" s="73"/>
      <c r="BR1704" s="73"/>
      <c r="BS1704" s="73"/>
      <c r="BT1704" s="73"/>
      <c r="BU1704" s="73"/>
      <c r="BV1704" s="73"/>
      <c r="BW1704" s="73"/>
      <c r="BX1704" s="73"/>
      <c r="BY1704" s="73"/>
      <c r="BZ1704" s="73"/>
      <c r="CA1704" s="73"/>
      <c r="CB1704" s="73"/>
      <c r="CC1704" s="73"/>
      <c r="CD1704" s="73"/>
      <c r="CE1704" s="73"/>
      <c r="CF1704" s="73"/>
      <c r="CG1704" s="73"/>
      <c r="CH1704" s="73"/>
      <c r="CI1704" s="73"/>
      <c r="CJ1704" s="73"/>
      <c r="CK1704" s="73"/>
      <c r="CL1704" s="73"/>
      <c r="CM1704" s="73"/>
      <c r="CN1704" s="73"/>
      <c r="CO1704" s="73"/>
      <c r="CP1704" s="73"/>
      <c r="CQ1704" s="73"/>
      <c r="CR1704" s="73"/>
      <c r="CS1704" s="73"/>
      <c r="CT1704" s="73"/>
      <c r="CU1704" s="73"/>
      <c r="CV1704" s="73"/>
      <c r="CW1704" s="73"/>
      <c r="CX1704" s="73"/>
      <c r="CY1704" s="73"/>
      <c r="CZ1704" s="73"/>
      <c r="DA1704" s="73"/>
      <c r="DB1704" s="73"/>
      <c r="DC1704" s="73"/>
      <c r="DD1704" s="73"/>
      <c r="DE1704" s="73"/>
      <c r="DF1704" s="73"/>
      <c r="DG1704" s="73"/>
      <c r="DH1704" s="73"/>
      <c r="DI1704" s="73"/>
      <c r="DJ1704" s="73"/>
      <c r="DK1704" s="73"/>
      <c r="DL1704" s="73"/>
      <c r="DM1704" s="73"/>
    </row>
    <row r="1705" spans="1:117" s="48" customFormat="1">
      <c r="A1705" s="73"/>
      <c r="T1705" s="73"/>
      <c r="U1705" s="73"/>
      <c r="V1705" s="73"/>
      <c r="W1705" s="73"/>
      <c r="X1705" s="73"/>
      <c r="Y1705" s="73"/>
      <c r="Z1705" s="73"/>
      <c r="AA1705" s="73"/>
      <c r="AB1705" s="73"/>
      <c r="AC1705" s="73"/>
      <c r="AD1705" s="73"/>
      <c r="AE1705" s="73"/>
      <c r="AF1705" s="73"/>
      <c r="AG1705" s="73"/>
      <c r="AH1705" s="73"/>
      <c r="AI1705" s="73"/>
      <c r="AJ1705" s="73"/>
      <c r="AK1705" s="73"/>
      <c r="AL1705" s="73"/>
      <c r="AM1705" s="73"/>
      <c r="AN1705" s="73"/>
      <c r="AO1705" s="73"/>
      <c r="AP1705" s="73"/>
      <c r="AQ1705" s="73"/>
      <c r="AR1705" s="73"/>
      <c r="AS1705" s="73"/>
      <c r="AT1705" s="73"/>
      <c r="AU1705" s="73"/>
      <c r="AV1705" s="73"/>
      <c r="AW1705" s="73"/>
      <c r="AX1705" s="73"/>
      <c r="AY1705" s="73"/>
      <c r="AZ1705" s="73"/>
      <c r="BA1705" s="73"/>
      <c r="BB1705" s="73"/>
      <c r="BC1705" s="73"/>
      <c r="BD1705" s="73"/>
      <c r="BE1705" s="73"/>
      <c r="BF1705" s="73"/>
      <c r="BG1705" s="73"/>
      <c r="BH1705" s="73"/>
      <c r="BI1705" s="73"/>
      <c r="BJ1705" s="73"/>
      <c r="BK1705" s="73"/>
      <c r="BL1705" s="73"/>
      <c r="BM1705" s="73"/>
      <c r="BN1705" s="73"/>
      <c r="BO1705" s="73"/>
      <c r="BP1705" s="73"/>
      <c r="BQ1705" s="73"/>
      <c r="BR1705" s="73"/>
      <c r="BS1705" s="73"/>
      <c r="BT1705" s="73"/>
      <c r="BU1705" s="73"/>
      <c r="BV1705" s="73"/>
      <c r="BW1705" s="73"/>
      <c r="BX1705" s="73"/>
      <c r="BY1705" s="73"/>
      <c r="BZ1705" s="73"/>
      <c r="CA1705" s="73"/>
      <c r="CB1705" s="73"/>
      <c r="CC1705" s="73"/>
      <c r="CD1705" s="73"/>
      <c r="CE1705" s="73"/>
      <c r="CF1705" s="73"/>
      <c r="CG1705" s="73"/>
      <c r="CH1705" s="73"/>
      <c r="CI1705" s="73"/>
      <c r="CJ1705" s="73"/>
      <c r="CK1705" s="73"/>
      <c r="CL1705" s="73"/>
      <c r="CM1705" s="73"/>
      <c r="CN1705" s="73"/>
      <c r="CO1705" s="73"/>
      <c r="CP1705" s="73"/>
      <c r="CQ1705" s="73"/>
      <c r="CR1705" s="73"/>
      <c r="CS1705" s="73"/>
      <c r="CT1705" s="73"/>
      <c r="CU1705" s="73"/>
      <c r="CV1705" s="73"/>
      <c r="CW1705" s="73"/>
      <c r="CX1705" s="73"/>
      <c r="CY1705" s="73"/>
      <c r="CZ1705" s="73"/>
      <c r="DA1705" s="73"/>
      <c r="DB1705" s="73"/>
      <c r="DC1705" s="73"/>
      <c r="DD1705" s="73"/>
      <c r="DE1705" s="73"/>
      <c r="DF1705" s="73"/>
      <c r="DG1705" s="73"/>
      <c r="DH1705" s="73"/>
      <c r="DI1705" s="73"/>
      <c r="DJ1705" s="73"/>
      <c r="DK1705" s="73"/>
      <c r="DL1705" s="73"/>
      <c r="DM1705" s="73"/>
    </row>
    <row r="1706" spans="1:117" s="48" customFormat="1">
      <c r="A1706" s="73"/>
      <c r="T1706" s="73"/>
      <c r="U1706" s="73"/>
      <c r="V1706" s="73"/>
      <c r="W1706" s="73"/>
      <c r="X1706" s="73"/>
      <c r="Y1706" s="73"/>
      <c r="Z1706" s="73"/>
      <c r="AA1706" s="73"/>
      <c r="AB1706" s="73"/>
      <c r="AC1706" s="73"/>
      <c r="AD1706" s="73"/>
      <c r="AE1706" s="73"/>
      <c r="AF1706" s="73"/>
      <c r="AG1706" s="73"/>
      <c r="AH1706" s="73"/>
      <c r="AI1706" s="73"/>
      <c r="AJ1706" s="73"/>
      <c r="AK1706" s="73"/>
      <c r="AL1706" s="73"/>
      <c r="AM1706" s="73"/>
      <c r="AN1706" s="73"/>
      <c r="AO1706" s="73"/>
      <c r="AP1706" s="73"/>
      <c r="AQ1706" s="73"/>
      <c r="AR1706" s="73"/>
      <c r="AS1706" s="73"/>
      <c r="AT1706" s="73"/>
      <c r="AU1706" s="73"/>
      <c r="AV1706" s="73"/>
      <c r="AW1706" s="73"/>
      <c r="AX1706" s="73"/>
      <c r="AY1706" s="73"/>
      <c r="AZ1706" s="73"/>
      <c r="BA1706" s="73"/>
      <c r="BB1706" s="73"/>
      <c r="BC1706" s="73"/>
      <c r="BD1706" s="73"/>
      <c r="BE1706" s="73"/>
      <c r="BF1706" s="73"/>
      <c r="BG1706" s="73"/>
      <c r="BH1706" s="73"/>
      <c r="BI1706" s="73"/>
      <c r="BJ1706" s="73"/>
      <c r="BK1706" s="73"/>
      <c r="BL1706" s="73"/>
      <c r="BM1706" s="73"/>
      <c r="BN1706" s="73"/>
      <c r="BO1706" s="73"/>
      <c r="BP1706" s="73"/>
      <c r="BQ1706" s="73"/>
      <c r="BR1706" s="73"/>
      <c r="BS1706" s="73"/>
      <c r="BT1706" s="73"/>
      <c r="BU1706" s="73"/>
      <c r="BV1706" s="73"/>
      <c r="BW1706" s="73"/>
      <c r="BX1706" s="73"/>
      <c r="BY1706" s="73"/>
      <c r="BZ1706" s="73"/>
      <c r="CA1706" s="73"/>
      <c r="CB1706" s="73"/>
      <c r="CC1706" s="73"/>
      <c r="CD1706" s="73"/>
      <c r="CE1706" s="73"/>
      <c r="CF1706" s="73"/>
      <c r="CG1706" s="73"/>
      <c r="CH1706" s="73"/>
      <c r="CI1706" s="73"/>
      <c r="CJ1706" s="73"/>
      <c r="CK1706" s="73"/>
      <c r="CL1706" s="73"/>
      <c r="CM1706" s="73"/>
      <c r="CN1706" s="73"/>
      <c r="CO1706" s="73"/>
      <c r="CP1706" s="73"/>
      <c r="CQ1706" s="73"/>
      <c r="CR1706" s="73"/>
      <c r="CS1706" s="73"/>
      <c r="CT1706" s="73"/>
      <c r="CU1706" s="73"/>
      <c r="CV1706" s="73"/>
      <c r="CW1706" s="73"/>
      <c r="CX1706" s="73"/>
      <c r="CY1706" s="73"/>
      <c r="CZ1706" s="73"/>
      <c r="DA1706" s="73"/>
      <c r="DB1706" s="73"/>
      <c r="DC1706" s="73"/>
      <c r="DD1706" s="73"/>
      <c r="DE1706" s="73"/>
      <c r="DF1706" s="73"/>
      <c r="DG1706" s="73"/>
      <c r="DH1706" s="73"/>
      <c r="DI1706" s="73"/>
      <c r="DJ1706" s="73"/>
      <c r="DK1706" s="73"/>
      <c r="DL1706" s="73"/>
      <c r="DM1706" s="73"/>
    </row>
    <row r="1707" spans="1:117" s="48" customFormat="1">
      <c r="A1707" s="73"/>
      <c r="T1707" s="73"/>
      <c r="U1707" s="73"/>
      <c r="V1707" s="73"/>
      <c r="W1707" s="73"/>
      <c r="X1707" s="73"/>
      <c r="Y1707" s="73"/>
      <c r="Z1707" s="73"/>
      <c r="AA1707" s="73"/>
      <c r="AB1707" s="73"/>
      <c r="AC1707" s="73"/>
      <c r="AD1707" s="73"/>
      <c r="AE1707" s="73"/>
      <c r="AF1707" s="73"/>
      <c r="AG1707" s="73"/>
      <c r="AH1707" s="73"/>
      <c r="AI1707" s="73"/>
      <c r="AJ1707" s="73"/>
      <c r="AK1707" s="73"/>
      <c r="AL1707" s="73"/>
      <c r="AM1707" s="73"/>
      <c r="AN1707" s="73"/>
      <c r="AO1707" s="73"/>
      <c r="AP1707" s="73"/>
      <c r="AQ1707" s="73"/>
      <c r="AR1707" s="73"/>
      <c r="AS1707" s="73"/>
      <c r="AT1707" s="73"/>
      <c r="AU1707" s="73"/>
      <c r="AV1707" s="73"/>
      <c r="AW1707" s="73"/>
      <c r="AX1707" s="73"/>
      <c r="AY1707" s="73"/>
      <c r="AZ1707" s="73"/>
      <c r="BA1707" s="73"/>
      <c r="BB1707" s="73"/>
      <c r="BC1707" s="73"/>
      <c r="BD1707" s="73"/>
      <c r="BE1707" s="73"/>
      <c r="BF1707" s="73"/>
      <c r="BG1707" s="73"/>
      <c r="BH1707" s="73"/>
      <c r="BI1707" s="73"/>
      <c r="BJ1707" s="73"/>
      <c r="BK1707" s="73"/>
      <c r="BL1707" s="73"/>
      <c r="BM1707" s="73"/>
      <c r="BN1707" s="73"/>
      <c r="BO1707" s="73"/>
      <c r="BP1707" s="73"/>
      <c r="BQ1707" s="73"/>
      <c r="BR1707" s="73"/>
      <c r="BS1707" s="73"/>
      <c r="BT1707" s="73"/>
      <c r="BU1707" s="73"/>
      <c r="BV1707" s="73"/>
      <c r="BW1707" s="73"/>
      <c r="BX1707" s="73"/>
      <c r="BY1707" s="73"/>
      <c r="BZ1707" s="73"/>
      <c r="CA1707" s="73"/>
      <c r="CB1707" s="73"/>
      <c r="CC1707" s="73"/>
      <c r="CD1707" s="73"/>
      <c r="CE1707" s="73"/>
      <c r="CF1707" s="73"/>
      <c r="CG1707" s="73"/>
      <c r="CH1707" s="73"/>
      <c r="CI1707" s="73"/>
      <c r="CJ1707" s="73"/>
      <c r="CK1707" s="73"/>
      <c r="CL1707" s="73"/>
      <c r="CM1707" s="73"/>
      <c r="CN1707" s="73"/>
      <c r="CO1707" s="73"/>
      <c r="CP1707" s="73"/>
      <c r="CQ1707" s="73"/>
      <c r="CR1707" s="73"/>
      <c r="CS1707" s="73"/>
      <c r="CT1707" s="73"/>
      <c r="CU1707" s="73"/>
      <c r="CV1707" s="73"/>
      <c r="CW1707" s="73"/>
      <c r="CX1707" s="73"/>
      <c r="CY1707" s="73"/>
      <c r="CZ1707" s="73"/>
      <c r="DA1707" s="73"/>
      <c r="DB1707" s="73"/>
      <c r="DC1707" s="73"/>
      <c r="DD1707" s="73"/>
      <c r="DE1707" s="73"/>
      <c r="DF1707" s="73"/>
      <c r="DG1707" s="73"/>
      <c r="DH1707" s="73"/>
      <c r="DI1707" s="73"/>
      <c r="DJ1707" s="73"/>
      <c r="DK1707" s="73"/>
      <c r="DL1707" s="73"/>
      <c r="DM1707" s="73"/>
    </row>
    <row r="1708" spans="1:117" s="48" customFormat="1">
      <c r="A1708" s="73"/>
      <c r="T1708" s="73"/>
      <c r="U1708" s="73"/>
      <c r="V1708" s="73"/>
      <c r="W1708" s="73"/>
      <c r="X1708" s="73"/>
      <c r="Y1708" s="73"/>
      <c r="Z1708" s="73"/>
      <c r="AA1708" s="73"/>
      <c r="AB1708" s="73"/>
      <c r="AC1708" s="73"/>
      <c r="AD1708" s="73"/>
      <c r="AE1708" s="73"/>
      <c r="AF1708" s="73"/>
      <c r="AG1708" s="73"/>
      <c r="AH1708" s="73"/>
      <c r="AI1708" s="73"/>
      <c r="AJ1708" s="73"/>
      <c r="AK1708" s="73"/>
      <c r="AL1708" s="73"/>
      <c r="AM1708" s="73"/>
      <c r="AN1708" s="73"/>
      <c r="AO1708" s="73"/>
      <c r="AP1708" s="73"/>
      <c r="AQ1708" s="73"/>
      <c r="AR1708" s="73"/>
      <c r="AS1708" s="73"/>
      <c r="AT1708" s="73"/>
      <c r="AU1708" s="73"/>
      <c r="AV1708" s="73"/>
      <c r="AW1708" s="73"/>
      <c r="AX1708" s="73"/>
      <c r="AY1708" s="73"/>
      <c r="AZ1708" s="73"/>
      <c r="BA1708" s="73"/>
      <c r="BB1708" s="73"/>
      <c r="BC1708" s="73"/>
      <c r="BD1708" s="73"/>
      <c r="BE1708" s="73"/>
      <c r="BF1708" s="73"/>
      <c r="BG1708" s="73"/>
      <c r="BH1708" s="73"/>
      <c r="BI1708" s="73"/>
      <c r="BJ1708" s="73"/>
      <c r="BK1708" s="73"/>
      <c r="BL1708" s="73"/>
      <c r="BM1708" s="73"/>
      <c r="BN1708" s="73"/>
      <c r="BO1708" s="73"/>
      <c r="BP1708" s="73"/>
      <c r="BQ1708" s="73"/>
      <c r="BR1708" s="73"/>
      <c r="BS1708" s="73"/>
      <c r="BT1708" s="73"/>
      <c r="BU1708" s="73"/>
      <c r="BV1708" s="73"/>
      <c r="BW1708" s="73"/>
      <c r="BX1708" s="73"/>
      <c r="BY1708" s="73"/>
      <c r="BZ1708" s="73"/>
      <c r="CA1708" s="73"/>
      <c r="CB1708" s="73"/>
      <c r="CC1708" s="73"/>
      <c r="CD1708" s="73"/>
      <c r="CE1708" s="73"/>
      <c r="CF1708" s="73"/>
      <c r="CG1708" s="73"/>
      <c r="CH1708" s="73"/>
      <c r="CI1708" s="73"/>
      <c r="CJ1708" s="73"/>
      <c r="CK1708" s="73"/>
      <c r="CL1708" s="73"/>
      <c r="CM1708" s="73"/>
      <c r="CN1708" s="73"/>
      <c r="CO1708" s="73"/>
      <c r="CP1708" s="73"/>
      <c r="CQ1708" s="73"/>
      <c r="CR1708" s="73"/>
      <c r="CS1708" s="73"/>
      <c r="CT1708" s="73"/>
      <c r="CU1708" s="73"/>
      <c r="CV1708" s="73"/>
      <c r="CW1708" s="73"/>
      <c r="CX1708" s="73"/>
      <c r="CY1708" s="73"/>
      <c r="CZ1708" s="73"/>
      <c r="DA1708" s="73"/>
      <c r="DB1708" s="73"/>
      <c r="DC1708" s="73"/>
      <c r="DD1708" s="73"/>
      <c r="DE1708" s="73"/>
      <c r="DF1708" s="73"/>
      <c r="DG1708" s="73"/>
      <c r="DH1708" s="73"/>
      <c r="DI1708" s="73"/>
      <c r="DJ1708" s="73"/>
      <c r="DK1708" s="73"/>
      <c r="DL1708" s="73"/>
      <c r="DM1708" s="73"/>
    </row>
    <row r="1709" spans="1:117" s="48" customFormat="1">
      <c r="A1709" s="73"/>
      <c r="T1709" s="73"/>
      <c r="U1709" s="73"/>
      <c r="V1709" s="73"/>
      <c r="W1709" s="73"/>
      <c r="X1709" s="73"/>
      <c r="Y1709" s="73"/>
      <c r="Z1709" s="73"/>
      <c r="AA1709" s="73"/>
      <c r="AB1709" s="73"/>
      <c r="AC1709" s="73"/>
      <c r="AD1709" s="73"/>
      <c r="AE1709" s="73"/>
      <c r="AF1709" s="73"/>
      <c r="AG1709" s="73"/>
      <c r="AH1709" s="73"/>
      <c r="AI1709" s="73"/>
      <c r="AJ1709" s="73"/>
      <c r="AK1709" s="73"/>
      <c r="AL1709" s="73"/>
      <c r="AM1709" s="73"/>
      <c r="AN1709" s="73"/>
      <c r="AO1709" s="73"/>
      <c r="AP1709" s="73"/>
      <c r="AQ1709" s="73"/>
      <c r="AR1709" s="73"/>
      <c r="AS1709" s="73"/>
      <c r="AT1709" s="73"/>
      <c r="AU1709" s="73"/>
      <c r="AV1709" s="73"/>
      <c r="AW1709" s="73"/>
      <c r="AX1709" s="73"/>
      <c r="AY1709" s="73"/>
      <c r="AZ1709" s="73"/>
      <c r="BA1709" s="73"/>
      <c r="BB1709" s="73"/>
      <c r="BC1709" s="73"/>
      <c r="BD1709" s="73"/>
      <c r="BE1709" s="73"/>
      <c r="BF1709" s="73"/>
      <c r="BG1709" s="73"/>
      <c r="BH1709" s="73"/>
      <c r="BI1709" s="73"/>
      <c r="BJ1709" s="73"/>
      <c r="BK1709" s="73"/>
      <c r="BL1709" s="73"/>
      <c r="BM1709" s="73"/>
      <c r="BN1709" s="73"/>
      <c r="BO1709" s="73"/>
      <c r="BP1709" s="73"/>
      <c r="BQ1709" s="73"/>
      <c r="BR1709" s="73"/>
      <c r="BS1709" s="73"/>
      <c r="BT1709" s="73"/>
      <c r="BU1709" s="73"/>
      <c r="BV1709" s="73"/>
      <c r="BW1709" s="73"/>
      <c r="BX1709" s="73"/>
      <c r="BY1709" s="73"/>
      <c r="BZ1709" s="73"/>
      <c r="CA1709" s="73"/>
      <c r="CB1709" s="73"/>
      <c r="CC1709" s="73"/>
      <c r="CD1709" s="73"/>
      <c r="CE1709" s="73"/>
      <c r="CF1709" s="73"/>
      <c r="CG1709" s="73"/>
      <c r="CH1709" s="73"/>
      <c r="CI1709" s="73"/>
      <c r="CJ1709" s="73"/>
      <c r="CK1709" s="73"/>
      <c r="CL1709" s="73"/>
      <c r="CM1709" s="73"/>
      <c r="CN1709" s="73"/>
      <c r="CO1709" s="73"/>
      <c r="CP1709" s="73"/>
      <c r="CQ1709" s="73"/>
      <c r="CR1709" s="73"/>
      <c r="CS1709" s="73"/>
      <c r="CT1709" s="73"/>
      <c r="CU1709" s="73"/>
      <c r="CV1709" s="73"/>
      <c r="CW1709" s="73"/>
      <c r="CX1709" s="73"/>
      <c r="CY1709" s="73"/>
      <c r="CZ1709" s="73"/>
      <c r="DA1709" s="73"/>
      <c r="DB1709" s="73"/>
      <c r="DC1709" s="73"/>
      <c r="DD1709" s="73"/>
      <c r="DE1709" s="73"/>
      <c r="DF1709" s="73"/>
      <c r="DG1709" s="73"/>
      <c r="DH1709" s="73"/>
      <c r="DI1709" s="73"/>
      <c r="DJ1709" s="73"/>
      <c r="DK1709" s="73"/>
      <c r="DL1709" s="73"/>
      <c r="DM1709" s="73"/>
    </row>
    <row r="1710" spans="1:117" s="48" customFormat="1">
      <c r="A1710" s="73"/>
      <c r="T1710" s="73"/>
      <c r="U1710" s="73"/>
      <c r="V1710" s="73"/>
      <c r="W1710" s="73"/>
      <c r="X1710" s="73"/>
      <c r="Y1710" s="73"/>
      <c r="Z1710" s="73"/>
      <c r="AA1710" s="73"/>
      <c r="AB1710" s="73"/>
      <c r="AC1710" s="73"/>
      <c r="AD1710" s="73"/>
      <c r="AE1710" s="73"/>
      <c r="AF1710" s="73"/>
      <c r="AG1710" s="73"/>
      <c r="AH1710" s="73"/>
      <c r="AI1710" s="73"/>
      <c r="AJ1710" s="73"/>
      <c r="AK1710" s="73"/>
      <c r="AL1710" s="73"/>
      <c r="AM1710" s="73"/>
      <c r="AN1710" s="73"/>
      <c r="AO1710" s="73"/>
      <c r="AP1710" s="73"/>
      <c r="AQ1710" s="73"/>
      <c r="AR1710" s="73"/>
      <c r="AS1710" s="73"/>
      <c r="AT1710" s="73"/>
      <c r="AU1710" s="73"/>
      <c r="AV1710" s="73"/>
      <c r="AW1710" s="73"/>
      <c r="AX1710" s="73"/>
      <c r="AY1710" s="73"/>
      <c r="AZ1710" s="73"/>
      <c r="BA1710" s="73"/>
      <c r="BB1710" s="73"/>
      <c r="BC1710" s="73"/>
      <c r="BD1710" s="73"/>
      <c r="BE1710" s="73"/>
      <c r="BF1710" s="73"/>
      <c r="BG1710" s="73"/>
      <c r="BH1710" s="73"/>
      <c r="BI1710" s="73"/>
      <c r="BJ1710" s="73"/>
      <c r="BK1710" s="73"/>
      <c r="BL1710" s="73"/>
      <c r="BM1710" s="73"/>
      <c r="BN1710" s="73"/>
      <c r="BO1710" s="73"/>
      <c r="BP1710" s="73"/>
      <c r="BQ1710" s="73"/>
      <c r="BR1710" s="73"/>
      <c r="BS1710" s="73"/>
      <c r="BT1710" s="73"/>
      <c r="BU1710" s="73"/>
      <c r="BV1710" s="73"/>
      <c r="BW1710" s="73"/>
      <c r="BX1710" s="73"/>
      <c r="BY1710" s="73"/>
      <c r="BZ1710" s="73"/>
      <c r="CA1710" s="73"/>
      <c r="CB1710" s="73"/>
      <c r="CC1710" s="73"/>
      <c r="CD1710" s="73"/>
      <c r="CE1710" s="73"/>
      <c r="CF1710" s="73"/>
      <c r="CG1710" s="73"/>
      <c r="CH1710" s="73"/>
      <c r="CI1710" s="73"/>
      <c r="CJ1710" s="73"/>
      <c r="CK1710" s="73"/>
      <c r="CL1710" s="73"/>
      <c r="CM1710" s="73"/>
      <c r="CN1710" s="73"/>
      <c r="CO1710" s="73"/>
      <c r="CP1710" s="73"/>
      <c r="CQ1710" s="73"/>
      <c r="CR1710" s="73"/>
      <c r="CS1710" s="73"/>
      <c r="CT1710" s="73"/>
      <c r="CU1710" s="73"/>
      <c r="CV1710" s="73"/>
      <c r="CW1710" s="73"/>
      <c r="CX1710" s="73"/>
      <c r="CY1710" s="73"/>
      <c r="CZ1710" s="73"/>
      <c r="DA1710" s="73"/>
      <c r="DB1710" s="73"/>
      <c r="DC1710" s="73"/>
      <c r="DD1710" s="73"/>
      <c r="DE1710" s="73"/>
      <c r="DF1710" s="73"/>
      <c r="DG1710" s="73"/>
      <c r="DH1710" s="73"/>
      <c r="DI1710" s="73"/>
      <c r="DJ1710" s="73"/>
      <c r="DK1710" s="73"/>
      <c r="DL1710" s="73"/>
      <c r="DM1710" s="73"/>
    </row>
    <row r="1711" spans="1:117" s="48" customFormat="1">
      <c r="A1711" s="73"/>
      <c r="T1711" s="73"/>
      <c r="U1711" s="73"/>
      <c r="V1711" s="73"/>
      <c r="W1711" s="73"/>
      <c r="X1711" s="73"/>
      <c r="Y1711" s="73"/>
      <c r="Z1711" s="73"/>
      <c r="AA1711" s="73"/>
      <c r="AB1711" s="73"/>
      <c r="AC1711" s="73"/>
      <c r="AD1711" s="73"/>
      <c r="AE1711" s="73"/>
      <c r="AF1711" s="73"/>
      <c r="AG1711" s="73"/>
      <c r="AH1711" s="73"/>
      <c r="AI1711" s="73"/>
      <c r="AJ1711" s="73"/>
      <c r="AK1711" s="73"/>
      <c r="AL1711" s="73"/>
      <c r="AM1711" s="73"/>
      <c r="AN1711" s="73"/>
      <c r="AO1711" s="73"/>
      <c r="AP1711" s="73"/>
      <c r="AQ1711" s="73"/>
      <c r="AR1711" s="73"/>
      <c r="AS1711" s="73"/>
      <c r="AT1711" s="73"/>
      <c r="AU1711" s="73"/>
      <c r="AV1711" s="73"/>
      <c r="AW1711" s="73"/>
      <c r="AX1711" s="73"/>
      <c r="AY1711" s="73"/>
      <c r="AZ1711" s="73"/>
      <c r="BA1711" s="73"/>
      <c r="BB1711" s="73"/>
      <c r="BC1711" s="73"/>
      <c r="BD1711" s="73"/>
      <c r="BE1711" s="73"/>
      <c r="BF1711" s="73"/>
      <c r="BG1711" s="73"/>
      <c r="BH1711" s="73"/>
      <c r="BI1711" s="73"/>
      <c r="BJ1711" s="73"/>
      <c r="BK1711" s="73"/>
      <c r="BL1711" s="73"/>
      <c r="BM1711" s="73"/>
      <c r="BN1711" s="73"/>
      <c r="BO1711" s="73"/>
      <c r="BP1711" s="73"/>
      <c r="BQ1711" s="73"/>
      <c r="BR1711" s="73"/>
      <c r="BS1711" s="73"/>
      <c r="BT1711" s="73"/>
      <c r="BU1711" s="73"/>
      <c r="BV1711" s="73"/>
      <c r="BW1711" s="73"/>
      <c r="BX1711" s="73"/>
      <c r="BY1711" s="73"/>
      <c r="BZ1711" s="73"/>
      <c r="CA1711" s="73"/>
      <c r="CB1711" s="73"/>
      <c r="CC1711" s="73"/>
      <c r="CD1711" s="73"/>
      <c r="CE1711" s="73"/>
      <c r="CF1711" s="73"/>
      <c r="CG1711" s="73"/>
      <c r="CH1711" s="73"/>
      <c r="CI1711" s="73"/>
      <c r="CJ1711" s="73"/>
      <c r="CK1711" s="73"/>
      <c r="CL1711" s="73"/>
      <c r="CM1711" s="73"/>
      <c r="CN1711" s="73"/>
      <c r="CO1711" s="73"/>
      <c r="CP1711" s="73"/>
      <c r="CQ1711" s="73"/>
      <c r="CR1711" s="73"/>
      <c r="CS1711" s="73"/>
      <c r="CT1711" s="73"/>
      <c r="CU1711" s="73"/>
      <c r="CV1711" s="73"/>
      <c r="CW1711" s="73"/>
      <c r="CX1711" s="73"/>
      <c r="CY1711" s="73"/>
      <c r="CZ1711" s="73"/>
      <c r="DA1711" s="73"/>
      <c r="DB1711" s="73"/>
      <c r="DC1711" s="73"/>
      <c r="DD1711" s="73"/>
      <c r="DE1711" s="73"/>
      <c r="DF1711" s="73"/>
      <c r="DG1711" s="73"/>
      <c r="DH1711" s="73"/>
      <c r="DI1711" s="73"/>
      <c r="DJ1711" s="73"/>
      <c r="DK1711" s="73"/>
      <c r="DL1711" s="73"/>
      <c r="DM1711" s="73"/>
    </row>
    <row r="1712" spans="1:117" s="48" customFormat="1">
      <c r="A1712" s="73"/>
      <c r="T1712" s="73"/>
      <c r="U1712" s="73"/>
      <c r="V1712" s="73"/>
      <c r="W1712" s="73"/>
      <c r="X1712" s="73"/>
      <c r="Y1712" s="73"/>
      <c r="Z1712" s="73"/>
      <c r="AA1712" s="73"/>
      <c r="AB1712" s="73"/>
      <c r="AC1712" s="73"/>
      <c r="AD1712" s="73"/>
      <c r="AE1712" s="73"/>
      <c r="AF1712" s="73"/>
      <c r="AG1712" s="73"/>
      <c r="AH1712" s="73"/>
      <c r="AI1712" s="73"/>
      <c r="AJ1712" s="73"/>
      <c r="AK1712" s="73"/>
      <c r="AL1712" s="73"/>
      <c r="AM1712" s="73"/>
      <c r="AN1712" s="73"/>
      <c r="AO1712" s="73"/>
      <c r="AP1712" s="73"/>
      <c r="AQ1712" s="73"/>
      <c r="AR1712" s="73"/>
      <c r="AS1712" s="73"/>
      <c r="AT1712" s="73"/>
      <c r="AU1712" s="73"/>
      <c r="AV1712" s="73"/>
      <c r="AW1712" s="73"/>
      <c r="AX1712" s="73"/>
      <c r="AY1712" s="73"/>
      <c r="AZ1712" s="73"/>
      <c r="BA1712" s="73"/>
      <c r="BB1712" s="73"/>
      <c r="BC1712" s="73"/>
      <c r="BD1712" s="73"/>
      <c r="BE1712" s="73"/>
      <c r="BF1712" s="73"/>
      <c r="BG1712" s="73"/>
      <c r="BH1712" s="73"/>
      <c r="BI1712" s="73"/>
      <c r="BJ1712" s="73"/>
      <c r="BK1712" s="73"/>
      <c r="BL1712" s="73"/>
      <c r="BM1712" s="73"/>
      <c r="BN1712" s="73"/>
      <c r="BO1712" s="73"/>
      <c r="BP1712" s="73"/>
      <c r="BQ1712" s="73"/>
      <c r="BR1712" s="73"/>
      <c r="BS1712" s="73"/>
      <c r="BT1712" s="73"/>
      <c r="BU1712" s="73"/>
      <c r="BV1712" s="73"/>
      <c r="BW1712" s="73"/>
      <c r="BX1712" s="73"/>
      <c r="BY1712" s="73"/>
      <c r="BZ1712" s="73"/>
      <c r="CA1712" s="73"/>
      <c r="CB1712" s="73"/>
      <c r="CC1712" s="73"/>
      <c r="CD1712" s="73"/>
      <c r="CE1712" s="73"/>
      <c r="CF1712" s="73"/>
      <c r="CG1712" s="73"/>
      <c r="CH1712" s="73"/>
      <c r="CI1712" s="73"/>
      <c r="CJ1712" s="73"/>
      <c r="CK1712" s="73"/>
      <c r="CL1712" s="73"/>
      <c r="CM1712" s="73"/>
      <c r="CN1712" s="73"/>
      <c r="CO1712" s="73"/>
      <c r="CP1712" s="73"/>
      <c r="CQ1712" s="73"/>
      <c r="CR1712" s="73"/>
      <c r="CS1712" s="73"/>
      <c r="CT1712" s="73"/>
      <c r="CU1712" s="73"/>
      <c r="CV1712" s="73"/>
      <c r="CW1712" s="73"/>
      <c r="CX1712" s="73"/>
      <c r="CY1712" s="73"/>
      <c r="CZ1712" s="73"/>
      <c r="DA1712" s="73"/>
      <c r="DB1712" s="73"/>
      <c r="DC1712" s="73"/>
      <c r="DD1712" s="73"/>
      <c r="DE1712" s="73"/>
      <c r="DF1712" s="73"/>
      <c r="DG1712" s="73"/>
      <c r="DH1712" s="73"/>
      <c r="DI1712" s="73"/>
      <c r="DJ1712" s="73"/>
      <c r="DK1712" s="73"/>
      <c r="DL1712" s="73"/>
      <c r="DM1712" s="73"/>
    </row>
    <row r="1713" spans="1:117" s="48" customFormat="1">
      <c r="A1713" s="73"/>
      <c r="T1713" s="73"/>
      <c r="U1713" s="73"/>
      <c r="V1713" s="73"/>
      <c r="W1713" s="73"/>
      <c r="X1713" s="73"/>
      <c r="Y1713" s="73"/>
      <c r="Z1713" s="73"/>
      <c r="AA1713" s="73"/>
      <c r="AB1713" s="73"/>
      <c r="AC1713" s="73"/>
      <c r="AD1713" s="73"/>
      <c r="AE1713" s="73"/>
      <c r="AF1713" s="73"/>
      <c r="AG1713" s="73"/>
      <c r="AH1713" s="73"/>
      <c r="AI1713" s="73"/>
      <c r="AJ1713" s="73"/>
      <c r="AK1713" s="73"/>
      <c r="AL1713" s="73"/>
      <c r="AM1713" s="73"/>
      <c r="AN1713" s="73"/>
      <c r="AO1713" s="73"/>
      <c r="AP1713" s="73"/>
      <c r="AQ1713" s="73"/>
      <c r="AR1713" s="73"/>
      <c r="AS1713" s="73"/>
      <c r="AT1713" s="73"/>
      <c r="AU1713" s="73"/>
      <c r="AV1713" s="73"/>
      <c r="AW1713" s="73"/>
      <c r="AX1713" s="73"/>
      <c r="AY1713" s="73"/>
      <c r="AZ1713" s="73"/>
      <c r="BA1713" s="73"/>
      <c r="BB1713" s="73"/>
      <c r="BC1713" s="73"/>
      <c r="BD1713" s="73"/>
      <c r="BE1713" s="73"/>
      <c r="BF1713" s="73"/>
      <c r="BG1713" s="73"/>
      <c r="BH1713" s="73"/>
      <c r="BI1713" s="73"/>
      <c r="BJ1713" s="73"/>
      <c r="BK1713" s="73"/>
      <c r="BL1713" s="73"/>
      <c r="BM1713" s="73"/>
      <c r="BN1713" s="73"/>
      <c r="BO1713" s="73"/>
      <c r="BP1713" s="73"/>
      <c r="BQ1713" s="73"/>
      <c r="BR1713" s="73"/>
      <c r="BS1713" s="73"/>
      <c r="BT1713" s="73"/>
      <c r="BU1713" s="73"/>
      <c r="BV1713" s="73"/>
      <c r="BW1713" s="73"/>
      <c r="BX1713" s="73"/>
      <c r="BY1713" s="73"/>
      <c r="BZ1713" s="73"/>
      <c r="CA1713" s="73"/>
      <c r="CB1713" s="73"/>
      <c r="CC1713" s="73"/>
      <c r="CD1713" s="73"/>
      <c r="CE1713" s="73"/>
      <c r="CF1713" s="73"/>
      <c r="CG1713" s="73"/>
      <c r="CH1713" s="73"/>
      <c r="CI1713" s="73"/>
      <c r="CJ1713" s="73"/>
      <c r="CK1713" s="73"/>
      <c r="CL1713" s="73"/>
      <c r="CM1713" s="73"/>
      <c r="CN1713" s="73"/>
      <c r="CO1713" s="73"/>
      <c r="CP1713" s="73"/>
      <c r="CQ1713" s="73"/>
      <c r="CR1713" s="73"/>
      <c r="CS1713" s="73"/>
      <c r="CT1713" s="73"/>
      <c r="CU1713" s="73"/>
      <c r="CV1713" s="73"/>
      <c r="CW1713" s="73"/>
      <c r="CX1713" s="73"/>
      <c r="CY1713" s="73"/>
      <c r="CZ1713" s="73"/>
      <c r="DA1713" s="73"/>
      <c r="DB1713" s="73"/>
      <c r="DC1713" s="73"/>
      <c r="DD1713" s="73"/>
      <c r="DE1713" s="73"/>
      <c r="DF1713" s="73"/>
      <c r="DG1713" s="73"/>
      <c r="DH1713" s="73"/>
      <c r="DI1713" s="73"/>
      <c r="DJ1713" s="73"/>
      <c r="DK1713" s="73"/>
      <c r="DL1713" s="73"/>
      <c r="DM1713" s="73"/>
    </row>
    <row r="1714" spans="1:117" s="48" customFormat="1">
      <c r="A1714" s="73"/>
      <c r="T1714" s="73"/>
      <c r="U1714" s="73"/>
      <c r="V1714" s="73"/>
      <c r="W1714" s="73"/>
      <c r="X1714" s="73"/>
      <c r="Y1714" s="73"/>
      <c r="Z1714" s="73"/>
      <c r="AA1714" s="73"/>
      <c r="AB1714" s="73"/>
      <c r="AC1714" s="73"/>
      <c r="AD1714" s="73"/>
      <c r="AE1714" s="73"/>
      <c r="AF1714" s="73"/>
      <c r="AG1714" s="73"/>
      <c r="AH1714" s="73"/>
      <c r="AI1714" s="73"/>
      <c r="AJ1714" s="73"/>
      <c r="AK1714" s="73"/>
      <c r="AL1714" s="73"/>
      <c r="AM1714" s="73"/>
      <c r="AN1714" s="73"/>
      <c r="AO1714" s="73"/>
      <c r="AP1714" s="73"/>
      <c r="AQ1714" s="73"/>
      <c r="AR1714" s="73"/>
      <c r="AS1714" s="73"/>
      <c r="AT1714" s="73"/>
      <c r="AU1714" s="73"/>
      <c r="AV1714" s="73"/>
      <c r="AW1714" s="73"/>
      <c r="AX1714" s="73"/>
      <c r="AY1714" s="73"/>
      <c r="AZ1714" s="73"/>
      <c r="BA1714" s="73"/>
      <c r="BB1714" s="73"/>
      <c r="BC1714" s="73"/>
      <c r="BD1714" s="73"/>
      <c r="BE1714" s="73"/>
      <c r="BF1714" s="73"/>
      <c r="BG1714" s="73"/>
      <c r="BH1714" s="73"/>
      <c r="BI1714" s="73"/>
      <c r="BJ1714" s="73"/>
      <c r="BK1714" s="73"/>
      <c r="BL1714" s="73"/>
      <c r="BM1714" s="73"/>
      <c r="BN1714" s="73"/>
      <c r="BO1714" s="73"/>
      <c r="BP1714" s="73"/>
      <c r="BQ1714" s="73"/>
      <c r="BR1714" s="73"/>
      <c r="BS1714" s="73"/>
      <c r="BT1714" s="73"/>
      <c r="BU1714" s="73"/>
      <c r="BV1714" s="73"/>
      <c r="BW1714" s="73"/>
      <c r="BX1714" s="73"/>
      <c r="BY1714" s="73"/>
      <c r="BZ1714" s="73"/>
      <c r="CA1714" s="73"/>
      <c r="CB1714" s="73"/>
      <c r="CC1714" s="73"/>
      <c r="CD1714" s="73"/>
      <c r="CE1714" s="73"/>
      <c r="CF1714" s="73"/>
      <c r="CG1714" s="73"/>
      <c r="CH1714" s="73"/>
      <c r="CI1714" s="73"/>
      <c r="CJ1714" s="73"/>
      <c r="CK1714" s="73"/>
      <c r="CL1714" s="73"/>
      <c r="CM1714" s="73"/>
      <c r="CN1714" s="73"/>
      <c r="CO1714" s="73"/>
      <c r="CP1714" s="73"/>
      <c r="CQ1714" s="73"/>
      <c r="CR1714" s="73"/>
      <c r="CS1714" s="73"/>
      <c r="CT1714" s="73"/>
      <c r="CU1714" s="73"/>
      <c r="CV1714" s="73"/>
      <c r="CW1714" s="73"/>
      <c r="CX1714" s="73"/>
      <c r="CY1714" s="73"/>
      <c r="CZ1714" s="73"/>
      <c r="DA1714" s="73"/>
      <c r="DB1714" s="73"/>
      <c r="DC1714" s="73"/>
      <c r="DD1714" s="73"/>
      <c r="DE1714" s="73"/>
      <c r="DF1714" s="73"/>
      <c r="DG1714" s="73"/>
      <c r="DH1714" s="73"/>
      <c r="DI1714" s="73"/>
      <c r="DJ1714" s="73"/>
      <c r="DK1714" s="73"/>
      <c r="DL1714" s="73"/>
      <c r="DM1714" s="73"/>
    </row>
    <row r="1715" spans="1:117" s="48" customFormat="1">
      <c r="A1715" s="73"/>
      <c r="T1715" s="73"/>
      <c r="U1715" s="73"/>
      <c r="V1715" s="73"/>
      <c r="W1715" s="73"/>
      <c r="X1715" s="73"/>
      <c r="Y1715" s="73"/>
      <c r="Z1715" s="73"/>
      <c r="AA1715" s="73"/>
      <c r="AB1715" s="73"/>
      <c r="AC1715" s="73"/>
      <c r="AD1715" s="73"/>
      <c r="AE1715" s="73"/>
      <c r="AF1715" s="73"/>
      <c r="AG1715" s="73"/>
      <c r="AH1715" s="73"/>
      <c r="AI1715" s="73"/>
      <c r="AJ1715" s="73"/>
      <c r="AK1715" s="73"/>
      <c r="AL1715" s="73"/>
      <c r="AM1715" s="73"/>
      <c r="AN1715" s="73"/>
      <c r="AO1715" s="73"/>
      <c r="AP1715" s="73"/>
      <c r="AQ1715" s="73"/>
      <c r="AR1715" s="73"/>
      <c r="AS1715" s="73"/>
      <c r="AT1715" s="73"/>
      <c r="AU1715" s="73"/>
      <c r="AV1715" s="73"/>
      <c r="AW1715" s="73"/>
      <c r="AX1715" s="73"/>
      <c r="AY1715" s="73"/>
      <c r="AZ1715" s="73"/>
      <c r="BA1715" s="73"/>
      <c r="BB1715" s="73"/>
      <c r="BC1715" s="73"/>
      <c r="BD1715" s="73"/>
      <c r="BE1715" s="73"/>
      <c r="BF1715" s="73"/>
      <c r="BG1715" s="73"/>
      <c r="BH1715" s="73"/>
      <c r="BI1715" s="73"/>
      <c r="BJ1715" s="73"/>
      <c r="BK1715" s="73"/>
      <c r="BL1715" s="73"/>
      <c r="BM1715" s="73"/>
      <c r="BN1715" s="73"/>
      <c r="BO1715" s="73"/>
      <c r="BP1715" s="73"/>
      <c r="BQ1715" s="73"/>
      <c r="BR1715" s="73"/>
      <c r="BS1715" s="73"/>
      <c r="BT1715" s="73"/>
      <c r="BU1715" s="73"/>
      <c r="BV1715" s="73"/>
      <c r="BW1715" s="73"/>
      <c r="BX1715" s="73"/>
      <c r="BY1715" s="73"/>
      <c r="BZ1715" s="73"/>
      <c r="CA1715" s="73"/>
      <c r="CB1715" s="73"/>
      <c r="CC1715" s="73"/>
      <c r="CD1715" s="73"/>
      <c r="CE1715" s="73"/>
      <c r="CF1715" s="73"/>
      <c r="CG1715" s="73"/>
      <c r="CH1715" s="73"/>
      <c r="CI1715" s="73"/>
      <c r="CJ1715" s="73"/>
      <c r="CK1715" s="73"/>
      <c r="CL1715" s="73"/>
      <c r="CM1715" s="73"/>
      <c r="CN1715" s="73"/>
      <c r="CO1715" s="73"/>
      <c r="CP1715" s="73"/>
      <c r="CQ1715" s="73"/>
      <c r="CR1715" s="73"/>
      <c r="CS1715" s="73"/>
      <c r="CT1715" s="73"/>
      <c r="CU1715" s="73"/>
      <c r="CV1715" s="73"/>
      <c r="CW1715" s="73"/>
      <c r="CX1715" s="73"/>
      <c r="CY1715" s="73"/>
      <c r="CZ1715" s="73"/>
      <c r="DA1715" s="73"/>
      <c r="DB1715" s="73"/>
      <c r="DC1715" s="73"/>
      <c r="DD1715" s="73"/>
      <c r="DE1715" s="73"/>
      <c r="DF1715" s="73"/>
      <c r="DG1715" s="73"/>
      <c r="DH1715" s="73"/>
      <c r="DI1715" s="73"/>
      <c r="DJ1715" s="73"/>
      <c r="DK1715" s="73"/>
      <c r="DL1715" s="73"/>
      <c r="DM1715" s="73"/>
    </row>
    <row r="1716" spans="1:117" s="48" customFormat="1">
      <c r="A1716" s="73"/>
      <c r="T1716" s="73"/>
      <c r="U1716" s="73"/>
      <c r="V1716" s="73"/>
      <c r="W1716" s="73"/>
      <c r="X1716" s="73"/>
      <c r="Y1716" s="73"/>
      <c r="Z1716" s="73"/>
      <c r="AA1716" s="73"/>
      <c r="AB1716" s="73"/>
      <c r="AC1716" s="73"/>
      <c r="AD1716" s="73"/>
      <c r="AE1716" s="73"/>
      <c r="AF1716" s="73"/>
      <c r="AG1716" s="73"/>
      <c r="AH1716" s="73"/>
      <c r="AI1716" s="73"/>
      <c r="AJ1716" s="73"/>
      <c r="AK1716" s="73"/>
      <c r="AL1716" s="73"/>
      <c r="AM1716" s="73"/>
      <c r="AN1716" s="73"/>
      <c r="AO1716" s="73"/>
      <c r="AP1716" s="73"/>
      <c r="AQ1716" s="73"/>
      <c r="AR1716" s="73"/>
      <c r="AS1716" s="73"/>
      <c r="AT1716" s="73"/>
      <c r="AU1716" s="73"/>
      <c r="AV1716" s="73"/>
      <c r="AW1716" s="73"/>
      <c r="AX1716" s="73"/>
      <c r="AY1716" s="73"/>
      <c r="AZ1716" s="73"/>
      <c r="BA1716" s="73"/>
      <c r="BB1716" s="73"/>
      <c r="BC1716" s="73"/>
      <c r="BD1716" s="73"/>
      <c r="BE1716" s="73"/>
      <c r="BF1716" s="73"/>
      <c r="BG1716" s="73"/>
      <c r="BH1716" s="73"/>
      <c r="BI1716" s="73"/>
      <c r="BJ1716" s="73"/>
      <c r="BK1716" s="73"/>
      <c r="BL1716" s="73"/>
      <c r="BM1716" s="73"/>
      <c r="BN1716" s="73"/>
      <c r="BO1716" s="73"/>
      <c r="BP1716" s="73"/>
      <c r="BQ1716" s="73"/>
      <c r="BR1716" s="73"/>
      <c r="BS1716" s="73"/>
      <c r="BT1716" s="73"/>
      <c r="BU1716" s="73"/>
      <c r="BV1716" s="73"/>
      <c r="BW1716" s="73"/>
      <c r="BX1716" s="73"/>
      <c r="BY1716" s="73"/>
      <c r="BZ1716" s="73"/>
      <c r="CA1716" s="73"/>
      <c r="CB1716" s="73"/>
      <c r="CC1716" s="73"/>
      <c r="CD1716" s="73"/>
      <c r="CE1716" s="73"/>
      <c r="CF1716" s="73"/>
      <c r="CG1716" s="73"/>
      <c r="CH1716" s="73"/>
      <c r="CI1716" s="73"/>
      <c r="CJ1716" s="73"/>
      <c r="CK1716" s="73"/>
      <c r="CL1716" s="73"/>
      <c r="CM1716" s="73"/>
      <c r="CN1716" s="73"/>
      <c r="CO1716" s="73"/>
      <c r="CP1716" s="73"/>
      <c r="CQ1716" s="73"/>
      <c r="CR1716" s="73"/>
      <c r="CS1716" s="73"/>
      <c r="CT1716" s="73"/>
      <c r="CU1716" s="73"/>
      <c r="CV1716" s="73"/>
      <c r="CW1716" s="73"/>
      <c r="CX1716" s="73"/>
      <c r="CY1716" s="73"/>
      <c r="CZ1716" s="73"/>
      <c r="DA1716" s="73"/>
      <c r="DB1716" s="73"/>
      <c r="DC1716" s="73"/>
      <c r="DD1716" s="73"/>
      <c r="DE1716" s="73"/>
      <c r="DF1716" s="73"/>
      <c r="DG1716" s="73"/>
      <c r="DH1716" s="73"/>
      <c r="DI1716" s="73"/>
      <c r="DJ1716" s="73"/>
      <c r="DK1716" s="73"/>
      <c r="DL1716" s="73"/>
      <c r="DM1716" s="73"/>
    </row>
    <row r="1717" spans="1:117" s="48" customFormat="1">
      <c r="A1717" s="73"/>
      <c r="T1717" s="73"/>
      <c r="U1717" s="73"/>
      <c r="V1717" s="73"/>
      <c r="W1717" s="73"/>
      <c r="X1717" s="73"/>
      <c r="Y1717" s="73"/>
      <c r="Z1717" s="73"/>
      <c r="AA1717" s="73"/>
      <c r="AB1717" s="73"/>
      <c r="AC1717" s="73"/>
      <c r="AD1717" s="73"/>
      <c r="AE1717" s="73"/>
      <c r="AF1717" s="73"/>
      <c r="AG1717" s="73"/>
      <c r="AH1717" s="73"/>
      <c r="AI1717" s="73"/>
      <c r="AJ1717" s="73"/>
      <c r="AK1717" s="73"/>
      <c r="AL1717" s="73"/>
      <c r="AM1717" s="73"/>
      <c r="AN1717" s="73"/>
      <c r="AO1717" s="73"/>
      <c r="AP1717" s="73"/>
      <c r="AQ1717" s="73"/>
      <c r="AR1717" s="73"/>
      <c r="AS1717" s="73"/>
      <c r="AT1717" s="73"/>
      <c r="AU1717" s="73"/>
      <c r="AV1717" s="73"/>
      <c r="AW1717" s="73"/>
      <c r="AX1717" s="73"/>
      <c r="AY1717" s="73"/>
      <c r="AZ1717" s="73"/>
      <c r="BA1717" s="73"/>
      <c r="BB1717" s="73"/>
      <c r="BC1717" s="73"/>
      <c r="BD1717" s="73"/>
      <c r="BE1717" s="73"/>
      <c r="BF1717" s="73"/>
      <c r="BG1717" s="73"/>
      <c r="BH1717" s="73"/>
      <c r="BI1717" s="73"/>
      <c r="BJ1717" s="73"/>
      <c r="BK1717" s="73"/>
      <c r="BL1717" s="73"/>
      <c r="BM1717" s="73"/>
      <c r="BN1717" s="73"/>
      <c r="BO1717" s="73"/>
      <c r="BP1717" s="73"/>
      <c r="BQ1717" s="73"/>
      <c r="BR1717" s="73"/>
      <c r="BS1717" s="73"/>
      <c r="BT1717" s="73"/>
      <c r="BU1717" s="73"/>
      <c r="BV1717" s="73"/>
      <c r="BW1717" s="73"/>
      <c r="BX1717" s="73"/>
      <c r="BY1717" s="73"/>
      <c r="BZ1717" s="73"/>
      <c r="CA1717" s="73"/>
      <c r="CB1717" s="73"/>
      <c r="CC1717" s="73"/>
      <c r="CD1717" s="73"/>
      <c r="CE1717" s="73"/>
      <c r="CF1717" s="73"/>
      <c r="CG1717" s="73"/>
      <c r="CH1717" s="73"/>
      <c r="CI1717" s="73"/>
      <c r="CJ1717" s="73"/>
      <c r="CK1717" s="73"/>
      <c r="CL1717" s="73"/>
      <c r="CM1717" s="73"/>
      <c r="CN1717" s="73"/>
      <c r="CO1717" s="73"/>
      <c r="CP1717" s="73"/>
      <c r="CQ1717" s="73"/>
      <c r="CR1717" s="73"/>
      <c r="CS1717" s="73"/>
      <c r="CT1717" s="73"/>
      <c r="CU1717" s="73"/>
      <c r="CV1717" s="73"/>
      <c r="CW1717" s="73"/>
      <c r="CX1717" s="73"/>
      <c r="CY1717" s="73"/>
      <c r="CZ1717" s="73"/>
      <c r="DA1717" s="73"/>
      <c r="DB1717" s="73"/>
      <c r="DC1717" s="73"/>
      <c r="DD1717" s="73"/>
      <c r="DE1717" s="73"/>
      <c r="DF1717" s="73"/>
      <c r="DG1717" s="73"/>
      <c r="DH1717" s="73"/>
      <c r="DI1717" s="73"/>
      <c r="DJ1717" s="73"/>
      <c r="DK1717" s="73"/>
      <c r="DL1717" s="73"/>
      <c r="DM1717" s="73"/>
    </row>
    <row r="1718" spans="1:117" s="48" customFormat="1">
      <c r="A1718" s="73"/>
      <c r="T1718" s="73"/>
      <c r="U1718" s="73"/>
      <c r="V1718" s="73"/>
      <c r="W1718" s="73"/>
      <c r="X1718" s="73"/>
      <c r="Y1718" s="73"/>
      <c r="Z1718" s="73"/>
      <c r="AA1718" s="73"/>
      <c r="AB1718" s="73"/>
      <c r="AC1718" s="73"/>
      <c r="AD1718" s="73"/>
      <c r="AE1718" s="73"/>
      <c r="AF1718" s="73"/>
      <c r="AG1718" s="73"/>
      <c r="AH1718" s="73"/>
      <c r="AI1718" s="73"/>
      <c r="AJ1718" s="73"/>
      <c r="AK1718" s="73"/>
      <c r="AL1718" s="73"/>
      <c r="AM1718" s="73"/>
      <c r="AN1718" s="73"/>
      <c r="AO1718" s="73"/>
      <c r="AP1718" s="73"/>
      <c r="AQ1718" s="73"/>
      <c r="AR1718" s="73"/>
      <c r="AS1718" s="73"/>
      <c r="AT1718" s="73"/>
      <c r="AU1718" s="73"/>
      <c r="AV1718" s="73"/>
      <c r="AW1718" s="73"/>
      <c r="AX1718" s="73"/>
      <c r="AY1718" s="73"/>
      <c r="AZ1718" s="73"/>
      <c r="BA1718" s="73"/>
      <c r="BB1718" s="73"/>
      <c r="BC1718" s="73"/>
      <c r="BD1718" s="73"/>
      <c r="BE1718" s="73"/>
      <c r="BF1718" s="73"/>
      <c r="BG1718" s="73"/>
      <c r="BH1718" s="73"/>
      <c r="BI1718" s="73"/>
      <c r="BJ1718" s="73"/>
      <c r="BK1718" s="73"/>
      <c r="BL1718" s="73"/>
      <c r="BM1718" s="73"/>
      <c r="BN1718" s="73"/>
      <c r="BO1718" s="73"/>
      <c r="BP1718" s="73"/>
      <c r="BQ1718" s="73"/>
      <c r="BR1718" s="73"/>
      <c r="BS1718" s="73"/>
      <c r="BT1718" s="73"/>
      <c r="BU1718" s="73"/>
      <c r="BV1718" s="73"/>
      <c r="BW1718" s="73"/>
      <c r="BX1718" s="73"/>
      <c r="BY1718" s="73"/>
      <c r="BZ1718" s="73"/>
      <c r="CA1718" s="73"/>
      <c r="CB1718" s="73"/>
      <c r="CC1718" s="73"/>
      <c r="CD1718" s="73"/>
      <c r="CE1718" s="73"/>
      <c r="CF1718" s="73"/>
      <c r="CG1718" s="73"/>
      <c r="CH1718" s="73"/>
      <c r="CI1718" s="73"/>
      <c r="CJ1718" s="73"/>
      <c r="CK1718" s="73"/>
      <c r="CL1718" s="73"/>
      <c r="CM1718" s="73"/>
      <c r="CN1718" s="73"/>
      <c r="CO1718" s="73"/>
      <c r="CP1718" s="73"/>
      <c r="CQ1718" s="73"/>
      <c r="CR1718" s="73"/>
      <c r="CS1718" s="73"/>
      <c r="CT1718" s="73"/>
      <c r="CU1718" s="73"/>
      <c r="CV1718" s="73"/>
      <c r="CW1718" s="73"/>
      <c r="CX1718" s="73"/>
      <c r="CY1718" s="73"/>
      <c r="CZ1718" s="73"/>
      <c r="DA1718" s="73"/>
      <c r="DB1718" s="73"/>
      <c r="DC1718" s="73"/>
      <c r="DD1718" s="73"/>
      <c r="DE1718" s="73"/>
      <c r="DF1718" s="73"/>
      <c r="DG1718" s="73"/>
      <c r="DH1718" s="73"/>
      <c r="DI1718" s="73"/>
      <c r="DJ1718" s="73"/>
      <c r="DK1718" s="73"/>
      <c r="DL1718" s="73"/>
      <c r="DM1718" s="73"/>
    </row>
    <row r="1719" spans="1:117" s="48" customFormat="1">
      <c r="A1719" s="73"/>
      <c r="T1719" s="73"/>
      <c r="U1719" s="73"/>
      <c r="V1719" s="73"/>
      <c r="W1719" s="73"/>
      <c r="X1719" s="73"/>
      <c r="Y1719" s="73"/>
      <c r="Z1719" s="73"/>
      <c r="AA1719" s="73"/>
      <c r="AB1719" s="73"/>
      <c r="AC1719" s="73"/>
      <c r="AD1719" s="73"/>
      <c r="AE1719" s="73"/>
      <c r="AF1719" s="73"/>
      <c r="AG1719" s="73"/>
      <c r="AH1719" s="73"/>
      <c r="AI1719" s="73"/>
      <c r="AJ1719" s="73"/>
      <c r="AK1719" s="73"/>
      <c r="AL1719" s="73"/>
      <c r="AM1719" s="73"/>
      <c r="AN1719" s="73"/>
      <c r="AO1719" s="73"/>
      <c r="AP1719" s="73"/>
      <c r="AQ1719" s="73"/>
      <c r="AR1719" s="73"/>
      <c r="AS1719" s="73"/>
      <c r="AT1719" s="73"/>
      <c r="AU1719" s="73"/>
      <c r="AV1719" s="73"/>
      <c r="AW1719" s="73"/>
      <c r="AX1719" s="73"/>
      <c r="AY1719" s="73"/>
      <c r="AZ1719" s="73"/>
      <c r="BA1719" s="73"/>
      <c r="BB1719" s="73"/>
      <c r="BC1719" s="73"/>
      <c r="BD1719" s="73"/>
      <c r="BE1719" s="73"/>
      <c r="BF1719" s="73"/>
      <c r="BG1719" s="73"/>
      <c r="BH1719" s="73"/>
      <c r="BI1719" s="73"/>
      <c r="BJ1719" s="73"/>
      <c r="BK1719" s="73"/>
      <c r="BL1719" s="73"/>
      <c r="BM1719" s="73"/>
      <c r="BN1719" s="73"/>
      <c r="BO1719" s="73"/>
      <c r="BP1719" s="73"/>
      <c r="BQ1719" s="73"/>
      <c r="BR1719" s="73"/>
      <c r="BS1719" s="73"/>
      <c r="BT1719" s="73"/>
      <c r="BU1719" s="73"/>
      <c r="BV1719" s="73"/>
      <c r="BW1719" s="73"/>
      <c r="BX1719" s="73"/>
      <c r="BY1719" s="73"/>
      <c r="BZ1719" s="73"/>
      <c r="CA1719" s="73"/>
      <c r="CB1719" s="73"/>
      <c r="CC1719" s="73"/>
      <c r="CD1719" s="73"/>
      <c r="CE1719" s="73"/>
      <c r="CF1719" s="73"/>
      <c r="CG1719" s="73"/>
      <c r="CH1719" s="73"/>
      <c r="CI1719" s="73"/>
      <c r="CJ1719" s="73"/>
      <c r="CK1719" s="73"/>
      <c r="CL1719" s="73"/>
      <c r="CM1719" s="73"/>
      <c r="CN1719" s="73"/>
      <c r="CO1719" s="73"/>
      <c r="CP1719" s="73"/>
      <c r="CQ1719" s="73"/>
      <c r="CR1719" s="73"/>
      <c r="CS1719" s="73"/>
      <c r="CT1719" s="73"/>
      <c r="CU1719" s="73"/>
      <c r="CV1719" s="73"/>
      <c r="CW1719" s="73"/>
      <c r="CX1719" s="73"/>
      <c r="CY1719" s="73"/>
      <c r="CZ1719" s="73"/>
      <c r="DA1719" s="73"/>
      <c r="DB1719" s="73"/>
      <c r="DC1719" s="73"/>
      <c r="DD1719" s="73"/>
      <c r="DE1719" s="73"/>
      <c r="DF1719" s="73"/>
      <c r="DG1719" s="73"/>
      <c r="DH1719" s="73"/>
      <c r="DI1719" s="73"/>
      <c r="DJ1719" s="73"/>
      <c r="DK1719" s="73"/>
      <c r="DL1719" s="73"/>
      <c r="DM1719" s="73"/>
    </row>
    <row r="1720" spans="1:117" s="48" customFormat="1">
      <c r="A1720" s="73"/>
      <c r="T1720" s="73"/>
      <c r="U1720" s="73"/>
      <c r="V1720" s="73"/>
      <c r="W1720" s="73"/>
      <c r="X1720" s="73"/>
      <c r="Y1720" s="73"/>
      <c r="Z1720" s="73"/>
      <c r="AA1720" s="73"/>
      <c r="AB1720" s="73"/>
      <c r="AC1720" s="73"/>
      <c r="AD1720" s="73"/>
      <c r="AE1720" s="73"/>
      <c r="AF1720" s="73"/>
      <c r="AG1720" s="73"/>
      <c r="AH1720" s="73"/>
      <c r="AI1720" s="73"/>
      <c r="AJ1720" s="73"/>
      <c r="AK1720" s="73"/>
      <c r="AL1720" s="73"/>
      <c r="AM1720" s="73"/>
      <c r="AN1720" s="73"/>
      <c r="AO1720" s="73"/>
      <c r="AP1720" s="73"/>
      <c r="AQ1720" s="73"/>
      <c r="AR1720" s="73"/>
      <c r="AS1720" s="73"/>
      <c r="AT1720" s="73"/>
      <c r="AU1720" s="73"/>
      <c r="AV1720" s="73"/>
      <c r="AW1720" s="73"/>
      <c r="AX1720" s="73"/>
      <c r="AY1720" s="73"/>
      <c r="AZ1720" s="73"/>
      <c r="BA1720" s="73"/>
      <c r="BB1720" s="73"/>
      <c r="BC1720" s="73"/>
      <c r="BD1720" s="73"/>
      <c r="BE1720" s="73"/>
      <c r="BF1720" s="73"/>
      <c r="BG1720" s="73"/>
      <c r="BH1720" s="73"/>
      <c r="BI1720" s="73"/>
      <c r="BJ1720" s="73"/>
      <c r="BK1720" s="73"/>
      <c r="BL1720" s="73"/>
      <c r="BM1720" s="73"/>
      <c r="BN1720" s="73"/>
      <c r="BO1720" s="73"/>
      <c r="BP1720" s="73"/>
      <c r="BQ1720" s="73"/>
      <c r="BR1720" s="73"/>
      <c r="BS1720" s="73"/>
      <c r="BT1720" s="73"/>
      <c r="BU1720" s="73"/>
      <c r="BV1720" s="73"/>
      <c r="BW1720" s="73"/>
      <c r="BX1720" s="73"/>
      <c r="BY1720" s="73"/>
      <c r="BZ1720" s="73"/>
      <c r="CA1720" s="73"/>
      <c r="CB1720" s="73"/>
      <c r="CC1720" s="73"/>
      <c r="CD1720" s="73"/>
      <c r="CE1720" s="73"/>
      <c r="CF1720" s="73"/>
      <c r="CG1720" s="73"/>
      <c r="CH1720" s="73"/>
      <c r="CI1720" s="73"/>
      <c r="CJ1720" s="73"/>
      <c r="CK1720" s="73"/>
      <c r="CL1720" s="73"/>
      <c r="CM1720" s="73"/>
      <c r="CN1720" s="73"/>
      <c r="CO1720" s="73"/>
      <c r="CP1720" s="73"/>
      <c r="CQ1720" s="73"/>
      <c r="CR1720" s="73"/>
      <c r="CS1720" s="73"/>
      <c r="CT1720" s="73"/>
      <c r="CU1720" s="73"/>
      <c r="CV1720" s="73"/>
      <c r="CW1720" s="73"/>
      <c r="CX1720" s="73"/>
      <c r="CY1720" s="73"/>
      <c r="CZ1720" s="73"/>
      <c r="DA1720" s="73"/>
      <c r="DB1720" s="73"/>
      <c r="DC1720" s="73"/>
      <c r="DD1720" s="73"/>
      <c r="DE1720" s="73"/>
      <c r="DF1720" s="73"/>
      <c r="DG1720" s="73"/>
      <c r="DH1720" s="73"/>
      <c r="DI1720" s="73"/>
      <c r="DJ1720" s="73"/>
      <c r="DK1720" s="73"/>
      <c r="DL1720" s="73"/>
      <c r="DM1720" s="73"/>
    </row>
    <row r="1721" spans="1:117" s="48" customFormat="1">
      <c r="A1721" s="73"/>
      <c r="T1721" s="73"/>
      <c r="U1721" s="73"/>
      <c r="V1721" s="73"/>
      <c r="W1721" s="73"/>
      <c r="X1721" s="73"/>
      <c r="Y1721" s="73"/>
      <c r="Z1721" s="73"/>
      <c r="AA1721" s="73"/>
      <c r="AB1721" s="73"/>
      <c r="AC1721" s="73"/>
      <c r="AD1721" s="73"/>
      <c r="AE1721" s="73"/>
      <c r="AF1721" s="73"/>
      <c r="AG1721" s="73"/>
      <c r="AH1721" s="73"/>
      <c r="AI1721" s="73"/>
      <c r="AJ1721" s="73"/>
      <c r="AK1721" s="73"/>
      <c r="AL1721" s="73"/>
      <c r="AM1721" s="73"/>
      <c r="AN1721" s="73"/>
      <c r="AO1721" s="73"/>
      <c r="AP1721" s="73"/>
      <c r="AQ1721" s="73"/>
      <c r="AR1721" s="73"/>
      <c r="AS1721" s="73"/>
      <c r="AT1721" s="73"/>
      <c r="AU1721" s="73"/>
      <c r="AV1721" s="73"/>
      <c r="AW1721" s="73"/>
      <c r="AX1721" s="73"/>
      <c r="AY1721" s="73"/>
      <c r="AZ1721" s="73"/>
      <c r="BA1721" s="73"/>
      <c r="BB1721" s="73"/>
      <c r="BC1721" s="73"/>
      <c r="BD1721" s="73"/>
      <c r="BE1721" s="73"/>
      <c r="BF1721" s="73"/>
      <c r="BG1721" s="73"/>
      <c r="BH1721" s="73"/>
      <c r="BI1721" s="73"/>
      <c r="BJ1721" s="73"/>
      <c r="BK1721" s="73"/>
      <c r="BL1721" s="73"/>
      <c r="BM1721" s="73"/>
      <c r="BN1721" s="73"/>
      <c r="BO1721" s="73"/>
      <c r="BP1721" s="73"/>
      <c r="BQ1721" s="73"/>
      <c r="BR1721" s="73"/>
      <c r="BS1721" s="73"/>
      <c r="BT1721" s="73"/>
      <c r="BU1721" s="73"/>
      <c r="BV1721" s="73"/>
      <c r="BW1721" s="73"/>
      <c r="BX1721" s="73"/>
      <c r="BY1721" s="73"/>
      <c r="BZ1721" s="73"/>
      <c r="CA1721" s="73"/>
      <c r="CB1721" s="73"/>
      <c r="CC1721" s="73"/>
      <c r="CD1721" s="73"/>
      <c r="CE1721" s="73"/>
      <c r="CF1721" s="73"/>
      <c r="CG1721" s="73"/>
      <c r="CH1721" s="73"/>
      <c r="CI1721" s="73"/>
      <c r="CJ1721" s="73"/>
      <c r="CK1721" s="73"/>
      <c r="CL1721" s="73"/>
      <c r="CM1721" s="73"/>
      <c r="CN1721" s="73"/>
      <c r="CO1721" s="73"/>
      <c r="CP1721" s="73"/>
      <c r="CQ1721" s="73"/>
      <c r="CR1721" s="73"/>
      <c r="CS1721" s="73"/>
      <c r="CT1721" s="73"/>
      <c r="CU1721" s="73"/>
      <c r="CV1721" s="73"/>
      <c r="CW1721" s="73"/>
      <c r="CX1721" s="73"/>
      <c r="CY1721" s="73"/>
      <c r="CZ1721" s="73"/>
      <c r="DA1721" s="73"/>
      <c r="DB1721" s="73"/>
      <c r="DC1721" s="73"/>
      <c r="DD1721" s="73"/>
      <c r="DE1721" s="73"/>
      <c r="DF1721" s="73"/>
      <c r="DG1721" s="73"/>
      <c r="DH1721" s="73"/>
      <c r="DI1721" s="73"/>
      <c r="DJ1721" s="73"/>
      <c r="DK1721" s="73"/>
      <c r="DL1721" s="73"/>
      <c r="DM1721" s="73"/>
    </row>
    <row r="1722" spans="1:117" s="48" customFormat="1">
      <c r="A1722" s="73"/>
      <c r="T1722" s="73"/>
      <c r="U1722" s="73"/>
      <c r="V1722" s="73"/>
      <c r="W1722" s="73"/>
      <c r="X1722" s="73"/>
      <c r="Y1722" s="73"/>
      <c r="Z1722" s="73"/>
      <c r="AA1722" s="73"/>
      <c r="AB1722" s="73"/>
      <c r="AC1722" s="73"/>
      <c r="AD1722" s="73"/>
      <c r="AE1722" s="73"/>
      <c r="AF1722" s="73"/>
      <c r="AG1722" s="73"/>
      <c r="AH1722" s="73"/>
      <c r="AI1722" s="73"/>
      <c r="AJ1722" s="73"/>
      <c r="AK1722" s="73"/>
      <c r="AL1722" s="73"/>
      <c r="AM1722" s="73"/>
      <c r="AN1722" s="73"/>
      <c r="AO1722" s="73"/>
      <c r="AP1722" s="73"/>
      <c r="AQ1722" s="73"/>
      <c r="AR1722" s="73"/>
      <c r="AS1722" s="73"/>
      <c r="AT1722" s="73"/>
      <c r="AU1722" s="73"/>
      <c r="AV1722" s="73"/>
      <c r="AW1722" s="73"/>
      <c r="AX1722" s="73"/>
      <c r="AY1722" s="73"/>
      <c r="AZ1722" s="73"/>
      <c r="BA1722" s="73"/>
      <c r="BB1722" s="73"/>
      <c r="BC1722" s="73"/>
      <c r="BD1722" s="73"/>
      <c r="BE1722" s="73"/>
      <c r="BF1722" s="73"/>
      <c r="BG1722" s="73"/>
      <c r="BH1722" s="73"/>
      <c r="BI1722" s="73"/>
      <c r="BJ1722" s="73"/>
      <c r="BK1722" s="73"/>
      <c r="BL1722" s="73"/>
      <c r="BM1722" s="73"/>
      <c r="BN1722" s="73"/>
      <c r="BO1722" s="73"/>
      <c r="BP1722" s="73"/>
      <c r="BQ1722" s="73"/>
      <c r="BR1722" s="73"/>
      <c r="BS1722" s="73"/>
      <c r="BT1722" s="73"/>
      <c r="BU1722" s="73"/>
      <c r="BV1722" s="73"/>
      <c r="BW1722" s="73"/>
      <c r="BX1722" s="73"/>
      <c r="BY1722" s="73"/>
      <c r="BZ1722" s="73"/>
      <c r="CA1722" s="73"/>
      <c r="CB1722" s="73"/>
      <c r="CC1722" s="73"/>
      <c r="CD1722" s="73"/>
      <c r="CE1722" s="73"/>
      <c r="CF1722" s="73"/>
      <c r="CG1722" s="73"/>
      <c r="CH1722" s="73"/>
      <c r="CI1722" s="73"/>
      <c r="CJ1722" s="73"/>
      <c r="CK1722" s="73"/>
      <c r="CL1722" s="73"/>
      <c r="CM1722" s="73"/>
      <c r="CN1722" s="73"/>
      <c r="CO1722" s="73"/>
      <c r="CP1722" s="73"/>
      <c r="CQ1722" s="73"/>
      <c r="CR1722" s="73"/>
      <c r="CS1722" s="73"/>
      <c r="CT1722" s="73"/>
      <c r="CU1722" s="73"/>
      <c r="CV1722" s="73"/>
      <c r="CW1722" s="73"/>
      <c r="CX1722" s="73"/>
      <c r="CY1722" s="73"/>
      <c r="CZ1722" s="73"/>
      <c r="DA1722" s="73"/>
      <c r="DB1722" s="73"/>
      <c r="DC1722" s="73"/>
      <c r="DD1722" s="73"/>
      <c r="DE1722" s="73"/>
      <c r="DF1722" s="73"/>
      <c r="DG1722" s="73"/>
      <c r="DH1722" s="73"/>
      <c r="DI1722" s="73"/>
      <c r="DJ1722" s="73"/>
      <c r="DK1722" s="73"/>
      <c r="DL1722" s="73"/>
      <c r="DM1722" s="73"/>
    </row>
    <row r="1723" spans="1:117" s="48" customFormat="1">
      <c r="A1723" s="73"/>
      <c r="T1723" s="73"/>
      <c r="U1723" s="73"/>
      <c r="V1723" s="73"/>
      <c r="W1723" s="73"/>
      <c r="X1723" s="73"/>
      <c r="Y1723" s="73"/>
      <c r="Z1723" s="73"/>
      <c r="AA1723" s="73"/>
      <c r="AB1723" s="73"/>
      <c r="AC1723" s="73"/>
      <c r="AD1723" s="73"/>
      <c r="AE1723" s="73"/>
      <c r="AF1723" s="73"/>
      <c r="AG1723" s="73"/>
      <c r="AH1723" s="73"/>
      <c r="AI1723" s="73"/>
      <c r="AJ1723" s="73"/>
      <c r="AK1723" s="73"/>
      <c r="AL1723" s="73"/>
      <c r="AM1723" s="73"/>
      <c r="AN1723" s="73"/>
      <c r="AO1723" s="73"/>
      <c r="AP1723" s="73"/>
      <c r="AQ1723" s="73"/>
      <c r="AR1723" s="73"/>
      <c r="AS1723" s="73"/>
      <c r="AT1723" s="73"/>
      <c r="AU1723" s="73"/>
      <c r="AV1723" s="73"/>
      <c r="AW1723" s="73"/>
      <c r="AX1723" s="73"/>
      <c r="AY1723" s="73"/>
      <c r="AZ1723" s="73"/>
      <c r="BA1723" s="73"/>
      <c r="BB1723" s="73"/>
      <c r="BC1723" s="73"/>
      <c r="BD1723" s="73"/>
      <c r="BE1723" s="73"/>
      <c r="BF1723" s="73"/>
      <c r="BG1723" s="73"/>
      <c r="BH1723" s="73"/>
      <c r="BI1723" s="73"/>
      <c r="BJ1723" s="73"/>
      <c r="BK1723" s="73"/>
      <c r="BL1723" s="73"/>
      <c r="BM1723" s="73"/>
      <c r="BN1723" s="73"/>
      <c r="BO1723" s="73"/>
      <c r="BP1723" s="73"/>
      <c r="BQ1723" s="73"/>
      <c r="BR1723" s="73"/>
      <c r="BS1723" s="73"/>
      <c r="BT1723" s="73"/>
      <c r="BU1723" s="73"/>
      <c r="BV1723" s="73"/>
      <c r="BW1723" s="73"/>
      <c r="BX1723" s="73"/>
      <c r="BY1723" s="73"/>
      <c r="BZ1723" s="73"/>
      <c r="CA1723" s="73"/>
      <c r="CB1723" s="73"/>
      <c r="CC1723" s="73"/>
      <c r="CD1723" s="73"/>
      <c r="CE1723" s="73"/>
      <c r="CF1723" s="73"/>
      <c r="CG1723" s="73"/>
      <c r="CH1723" s="73"/>
      <c r="CI1723" s="73"/>
      <c r="CJ1723" s="73"/>
      <c r="CK1723" s="73"/>
      <c r="CL1723" s="73"/>
      <c r="CM1723" s="73"/>
      <c r="CN1723" s="73"/>
      <c r="CO1723" s="73"/>
      <c r="CP1723" s="73"/>
      <c r="CQ1723" s="73"/>
      <c r="CR1723" s="73"/>
      <c r="CS1723" s="73"/>
      <c r="CT1723" s="73"/>
      <c r="CU1723" s="73"/>
      <c r="CV1723" s="73"/>
      <c r="CW1723" s="73"/>
      <c r="CX1723" s="73"/>
      <c r="CY1723" s="73"/>
      <c r="CZ1723" s="73"/>
      <c r="DA1723" s="73"/>
      <c r="DB1723" s="73"/>
      <c r="DC1723" s="73"/>
      <c r="DD1723" s="73"/>
      <c r="DE1723" s="73"/>
      <c r="DF1723" s="73"/>
      <c r="DG1723" s="73"/>
      <c r="DH1723" s="73"/>
      <c r="DI1723" s="73"/>
      <c r="DJ1723" s="73"/>
      <c r="DK1723" s="73"/>
      <c r="DL1723" s="73"/>
      <c r="DM1723" s="73"/>
    </row>
    <row r="1724" spans="1:117" s="48" customFormat="1">
      <c r="A1724" s="73"/>
      <c r="T1724" s="73"/>
      <c r="U1724" s="73"/>
      <c r="V1724" s="73"/>
      <c r="W1724" s="73"/>
      <c r="X1724" s="73"/>
      <c r="Y1724" s="73"/>
      <c r="Z1724" s="73"/>
      <c r="AA1724" s="73"/>
      <c r="AB1724" s="73"/>
      <c r="AC1724" s="73"/>
      <c r="AD1724" s="73"/>
      <c r="AE1724" s="73"/>
      <c r="AF1724" s="73"/>
      <c r="AG1724" s="73"/>
      <c r="AH1724" s="73"/>
      <c r="AI1724" s="73"/>
      <c r="AJ1724" s="73"/>
      <c r="AK1724" s="73"/>
      <c r="AL1724" s="73"/>
      <c r="AM1724" s="73"/>
      <c r="AN1724" s="73"/>
      <c r="AO1724" s="73"/>
      <c r="AP1724" s="73"/>
      <c r="AQ1724" s="73"/>
      <c r="AR1724" s="73"/>
      <c r="AS1724" s="73"/>
      <c r="AT1724" s="73"/>
      <c r="AU1724" s="73"/>
      <c r="AV1724" s="73"/>
      <c r="AW1724" s="73"/>
      <c r="AX1724" s="73"/>
      <c r="AY1724" s="73"/>
      <c r="AZ1724" s="73"/>
      <c r="BA1724" s="73"/>
      <c r="BB1724" s="73"/>
      <c r="BC1724" s="73"/>
      <c r="BD1724" s="73"/>
      <c r="BE1724" s="73"/>
      <c r="BF1724" s="73"/>
      <c r="BG1724" s="73"/>
      <c r="BH1724" s="73"/>
      <c r="BI1724" s="73"/>
      <c r="BJ1724" s="73"/>
      <c r="BK1724" s="73"/>
      <c r="BL1724" s="73"/>
      <c r="BM1724" s="73"/>
      <c r="BN1724" s="73"/>
      <c r="BO1724" s="73"/>
      <c r="BP1724" s="73"/>
      <c r="BQ1724" s="73"/>
      <c r="BR1724" s="73"/>
      <c r="BS1724" s="73"/>
      <c r="BT1724" s="73"/>
      <c r="BU1724" s="73"/>
      <c r="BV1724" s="73"/>
      <c r="BW1724" s="73"/>
      <c r="BX1724" s="73"/>
      <c r="BY1724" s="73"/>
      <c r="BZ1724" s="73"/>
      <c r="CA1724" s="73"/>
      <c r="CB1724" s="73"/>
      <c r="CC1724" s="73"/>
      <c r="CD1724" s="73"/>
      <c r="CE1724" s="73"/>
      <c r="CF1724" s="73"/>
      <c r="CG1724" s="73"/>
      <c r="CH1724" s="73"/>
      <c r="CI1724" s="73"/>
      <c r="CJ1724" s="73"/>
      <c r="CK1724" s="73"/>
      <c r="CL1724" s="73"/>
      <c r="CM1724" s="73"/>
      <c r="CN1724" s="73"/>
      <c r="CO1724" s="73"/>
      <c r="CP1724" s="73"/>
      <c r="CQ1724" s="73"/>
      <c r="CR1724" s="73"/>
      <c r="CS1724" s="73"/>
      <c r="CT1724" s="73"/>
      <c r="CU1724" s="73"/>
      <c r="CV1724" s="73"/>
      <c r="CW1724" s="73"/>
      <c r="CX1724" s="73"/>
      <c r="CY1724" s="73"/>
      <c r="CZ1724" s="73"/>
      <c r="DA1724" s="73"/>
      <c r="DB1724" s="73"/>
      <c r="DC1724" s="73"/>
      <c r="DD1724" s="73"/>
      <c r="DE1724" s="73"/>
      <c r="DF1724" s="73"/>
      <c r="DG1724" s="73"/>
      <c r="DH1724" s="73"/>
      <c r="DI1724" s="73"/>
      <c r="DJ1724" s="73"/>
      <c r="DK1724" s="73"/>
      <c r="DL1724" s="73"/>
      <c r="DM1724" s="73"/>
    </row>
    <row r="1725" spans="1:117" s="48" customFormat="1">
      <c r="A1725" s="73"/>
      <c r="T1725" s="73"/>
      <c r="U1725" s="73"/>
      <c r="V1725" s="73"/>
      <c r="W1725" s="73"/>
      <c r="X1725" s="73"/>
      <c r="Y1725" s="73"/>
      <c r="Z1725" s="73"/>
      <c r="AA1725" s="73"/>
      <c r="AB1725" s="73"/>
      <c r="AC1725" s="73"/>
      <c r="AD1725" s="73"/>
      <c r="AE1725" s="73"/>
      <c r="AF1725" s="73"/>
      <c r="AG1725" s="73"/>
      <c r="AH1725" s="73"/>
      <c r="AI1725" s="73"/>
      <c r="AJ1725" s="73"/>
      <c r="AK1725" s="73"/>
      <c r="AL1725" s="73"/>
      <c r="AM1725" s="73"/>
      <c r="AN1725" s="73"/>
      <c r="AO1725" s="73"/>
      <c r="AP1725" s="73"/>
      <c r="AQ1725" s="73"/>
      <c r="AR1725" s="73"/>
      <c r="AS1725" s="73"/>
      <c r="AT1725" s="73"/>
      <c r="AU1725" s="73"/>
      <c r="AV1725" s="73"/>
      <c r="AW1725" s="73"/>
      <c r="AX1725" s="73"/>
      <c r="AY1725" s="73"/>
      <c r="AZ1725" s="73"/>
      <c r="BA1725" s="73"/>
      <c r="BB1725" s="73"/>
      <c r="BC1725" s="73"/>
      <c r="BD1725" s="73"/>
      <c r="BE1725" s="73"/>
      <c r="BF1725" s="73"/>
      <c r="BG1725" s="73"/>
      <c r="BH1725" s="73"/>
      <c r="BI1725" s="73"/>
      <c r="BJ1725" s="73"/>
      <c r="BK1725" s="73"/>
      <c r="BL1725" s="73"/>
      <c r="BM1725" s="73"/>
      <c r="BN1725" s="73"/>
      <c r="BO1725" s="73"/>
      <c r="BP1725" s="73"/>
      <c r="BQ1725" s="73"/>
      <c r="BR1725" s="73"/>
      <c r="BS1725" s="73"/>
      <c r="BT1725" s="73"/>
      <c r="BU1725" s="73"/>
      <c r="BV1725" s="73"/>
      <c r="BW1725" s="73"/>
      <c r="BX1725" s="73"/>
      <c r="BY1725" s="73"/>
      <c r="BZ1725" s="73"/>
      <c r="CA1725" s="73"/>
      <c r="CB1725" s="73"/>
      <c r="CC1725" s="73"/>
      <c r="CD1725" s="73"/>
      <c r="CE1725" s="73"/>
      <c r="CF1725" s="73"/>
      <c r="CG1725" s="73"/>
      <c r="CH1725" s="73"/>
      <c r="CI1725" s="73"/>
      <c r="CJ1725" s="73"/>
      <c r="CK1725" s="73"/>
      <c r="CL1725" s="73"/>
      <c r="CM1725" s="73"/>
      <c r="CN1725" s="73"/>
      <c r="CO1725" s="73"/>
      <c r="CP1725" s="73"/>
      <c r="CQ1725" s="73"/>
      <c r="CR1725" s="73"/>
      <c r="CS1725" s="73"/>
      <c r="CT1725" s="73"/>
      <c r="CU1725" s="73"/>
      <c r="CV1725" s="73"/>
      <c r="CW1725" s="73"/>
      <c r="CX1725" s="73"/>
      <c r="CY1725" s="73"/>
      <c r="CZ1725" s="73"/>
      <c r="DA1725" s="73"/>
      <c r="DB1725" s="73"/>
      <c r="DC1725" s="73"/>
      <c r="DD1725" s="73"/>
      <c r="DE1725" s="73"/>
      <c r="DF1725" s="73"/>
      <c r="DG1725" s="73"/>
      <c r="DH1725" s="73"/>
      <c r="DI1725" s="73"/>
      <c r="DJ1725" s="73"/>
      <c r="DK1725" s="73"/>
      <c r="DL1725" s="73"/>
      <c r="DM1725" s="73"/>
    </row>
    <row r="1726" spans="1:117" s="48" customFormat="1">
      <c r="A1726" s="73"/>
      <c r="T1726" s="73"/>
      <c r="U1726" s="73"/>
      <c r="V1726" s="73"/>
      <c r="W1726" s="73"/>
      <c r="X1726" s="73"/>
      <c r="Y1726" s="73"/>
      <c r="Z1726" s="73"/>
      <c r="AA1726" s="73"/>
      <c r="AB1726" s="73"/>
      <c r="AC1726" s="73"/>
      <c r="AD1726" s="73"/>
      <c r="AE1726" s="73"/>
      <c r="AF1726" s="73"/>
      <c r="AG1726" s="73"/>
      <c r="AH1726" s="73"/>
      <c r="AI1726" s="73"/>
      <c r="AJ1726" s="73"/>
      <c r="AK1726" s="73"/>
      <c r="AL1726" s="73"/>
      <c r="AM1726" s="73"/>
      <c r="AN1726" s="73"/>
      <c r="AO1726" s="73"/>
      <c r="AP1726" s="73"/>
      <c r="AQ1726" s="73"/>
      <c r="AR1726" s="73"/>
      <c r="AS1726" s="73"/>
      <c r="AT1726" s="73"/>
      <c r="AU1726" s="73"/>
      <c r="AV1726" s="73"/>
      <c r="AW1726" s="73"/>
      <c r="AX1726" s="73"/>
      <c r="AY1726" s="73"/>
      <c r="AZ1726" s="73"/>
      <c r="BA1726" s="73"/>
      <c r="BB1726" s="73"/>
      <c r="BC1726" s="73"/>
      <c r="BD1726" s="73"/>
      <c r="BE1726" s="73"/>
      <c r="BF1726" s="73"/>
      <c r="BG1726" s="73"/>
      <c r="BH1726" s="73"/>
      <c r="BI1726" s="73"/>
      <c r="BJ1726" s="73"/>
      <c r="BK1726" s="73"/>
      <c r="BL1726" s="73"/>
      <c r="BM1726" s="73"/>
      <c r="BN1726" s="73"/>
      <c r="BO1726" s="73"/>
      <c r="BP1726" s="73"/>
      <c r="BQ1726" s="73"/>
      <c r="BR1726" s="73"/>
      <c r="BS1726" s="73"/>
      <c r="BT1726" s="73"/>
      <c r="BU1726" s="73"/>
      <c r="BV1726" s="73"/>
      <c r="BW1726" s="73"/>
      <c r="BX1726" s="73"/>
      <c r="BY1726" s="73"/>
      <c r="BZ1726" s="73"/>
      <c r="CA1726" s="73"/>
      <c r="CB1726" s="73"/>
      <c r="CC1726" s="73"/>
      <c r="CD1726" s="73"/>
      <c r="CE1726" s="73"/>
      <c r="CF1726" s="73"/>
      <c r="CG1726" s="73"/>
      <c r="CH1726" s="73"/>
      <c r="CI1726" s="73"/>
      <c r="CJ1726" s="73"/>
      <c r="CK1726" s="73"/>
      <c r="CL1726" s="73"/>
      <c r="CM1726" s="73"/>
      <c r="CN1726" s="73"/>
      <c r="CO1726" s="73"/>
      <c r="CP1726" s="73"/>
      <c r="CQ1726" s="73"/>
      <c r="CR1726" s="73"/>
      <c r="CS1726" s="73"/>
      <c r="CT1726" s="73"/>
      <c r="CU1726" s="73"/>
      <c r="CV1726" s="73"/>
      <c r="CW1726" s="73"/>
      <c r="CX1726" s="73"/>
      <c r="CY1726" s="73"/>
      <c r="CZ1726" s="73"/>
      <c r="DA1726" s="73"/>
      <c r="DB1726" s="73"/>
      <c r="DC1726" s="73"/>
      <c r="DD1726" s="73"/>
      <c r="DE1726" s="73"/>
      <c r="DF1726" s="73"/>
      <c r="DG1726" s="73"/>
      <c r="DH1726" s="73"/>
      <c r="DI1726" s="73"/>
      <c r="DJ1726" s="73"/>
      <c r="DK1726" s="73"/>
      <c r="DL1726" s="73"/>
      <c r="DM1726" s="73"/>
    </row>
    <row r="1727" spans="1:117" s="48" customFormat="1">
      <c r="A1727" s="73"/>
      <c r="T1727" s="73"/>
      <c r="U1727" s="73"/>
      <c r="V1727" s="73"/>
      <c r="W1727" s="73"/>
      <c r="X1727" s="73"/>
      <c r="Y1727" s="73"/>
      <c r="Z1727" s="73"/>
      <c r="AA1727" s="73"/>
      <c r="AB1727" s="73"/>
      <c r="AC1727" s="73"/>
      <c r="AD1727" s="73"/>
      <c r="AE1727" s="73"/>
      <c r="AF1727" s="73"/>
      <c r="AG1727" s="73"/>
      <c r="AH1727" s="73"/>
      <c r="AI1727" s="73"/>
      <c r="AJ1727" s="73"/>
      <c r="AK1727" s="73"/>
      <c r="AL1727" s="73"/>
      <c r="AM1727" s="73"/>
      <c r="AN1727" s="73"/>
      <c r="AO1727" s="73"/>
      <c r="AP1727" s="73"/>
      <c r="AQ1727" s="73"/>
      <c r="AR1727" s="73"/>
      <c r="AS1727" s="73"/>
      <c r="AT1727" s="73"/>
      <c r="AU1727" s="73"/>
      <c r="AV1727" s="73"/>
      <c r="AW1727" s="73"/>
      <c r="AX1727" s="73"/>
      <c r="AY1727" s="73"/>
      <c r="AZ1727" s="73"/>
      <c r="BA1727" s="73"/>
      <c r="BB1727" s="73"/>
      <c r="BC1727" s="73"/>
      <c r="BD1727" s="73"/>
      <c r="BE1727" s="73"/>
      <c r="BF1727" s="73"/>
      <c r="BG1727" s="73"/>
      <c r="BH1727" s="73"/>
      <c r="BI1727" s="73"/>
      <c r="BJ1727" s="73"/>
      <c r="BK1727" s="73"/>
      <c r="BL1727" s="73"/>
      <c r="BM1727" s="73"/>
      <c r="BN1727" s="73"/>
      <c r="BO1727" s="73"/>
      <c r="BP1727" s="73"/>
      <c r="BQ1727" s="73"/>
      <c r="BR1727" s="73"/>
      <c r="BS1727" s="73"/>
      <c r="BT1727" s="73"/>
      <c r="BU1727" s="73"/>
      <c r="BV1727" s="73"/>
      <c r="BW1727" s="73"/>
      <c r="BX1727" s="73"/>
      <c r="BY1727" s="73"/>
      <c r="BZ1727" s="73"/>
      <c r="CA1727" s="73"/>
      <c r="CB1727" s="73"/>
      <c r="CC1727" s="73"/>
      <c r="CD1727" s="73"/>
      <c r="CE1727" s="73"/>
      <c r="CF1727" s="73"/>
      <c r="CG1727" s="73"/>
      <c r="CH1727" s="73"/>
      <c r="CI1727" s="73"/>
      <c r="CJ1727" s="73"/>
      <c r="CK1727" s="73"/>
      <c r="CL1727" s="73"/>
      <c r="CM1727" s="73"/>
      <c r="CN1727" s="73"/>
      <c r="CO1727" s="73"/>
      <c r="CP1727" s="73"/>
      <c r="CQ1727" s="73"/>
      <c r="CR1727" s="73"/>
      <c r="CS1727" s="73"/>
      <c r="CT1727" s="73"/>
      <c r="CU1727" s="73"/>
      <c r="CV1727" s="73"/>
      <c r="CW1727" s="73"/>
      <c r="CX1727" s="73"/>
      <c r="CY1727" s="73"/>
      <c r="CZ1727" s="73"/>
      <c r="DA1727" s="73"/>
      <c r="DB1727" s="73"/>
      <c r="DC1727" s="73"/>
      <c r="DD1727" s="73"/>
      <c r="DE1727" s="73"/>
      <c r="DF1727" s="73"/>
      <c r="DG1727" s="73"/>
      <c r="DH1727" s="73"/>
      <c r="DI1727" s="73"/>
      <c r="DJ1727" s="73"/>
      <c r="DK1727" s="73"/>
      <c r="DL1727" s="73"/>
      <c r="DM1727" s="73"/>
    </row>
    <row r="1728" spans="1:117" s="48" customFormat="1">
      <c r="A1728" s="73"/>
      <c r="T1728" s="73"/>
      <c r="U1728" s="73"/>
      <c r="V1728" s="73"/>
      <c r="W1728" s="73"/>
      <c r="X1728" s="73"/>
      <c r="Y1728" s="73"/>
      <c r="Z1728" s="73"/>
      <c r="AA1728" s="73"/>
      <c r="AB1728" s="73"/>
      <c r="AC1728" s="73"/>
      <c r="AD1728" s="73"/>
      <c r="AE1728" s="73"/>
      <c r="AF1728" s="73"/>
      <c r="AG1728" s="73"/>
      <c r="AH1728" s="73"/>
      <c r="AI1728" s="73"/>
      <c r="AJ1728" s="73"/>
      <c r="AK1728" s="73"/>
      <c r="AL1728" s="73"/>
      <c r="AM1728" s="73"/>
      <c r="AN1728" s="73"/>
      <c r="AO1728" s="73"/>
      <c r="AP1728" s="73"/>
      <c r="AQ1728" s="73"/>
      <c r="AR1728" s="73"/>
      <c r="AS1728" s="73"/>
      <c r="AT1728" s="73"/>
      <c r="AU1728" s="73"/>
      <c r="AV1728" s="73"/>
      <c r="AW1728" s="73"/>
      <c r="AX1728" s="73"/>
      <c r="AY1728" s="73"/>
      <c r="AZ1728" s="73"/>
      <c r="BA1728" s="73"/>
      <c r="BB1728" s="73"/>
      <c r="BC1728" s="73"/>
      <c r="BD1728" s="73"/>
      <c r="BE1728" s="73"/>
      <c r="BF1728" s="73"/>
      <c r="BG1728" s="73"/>
      <c r="BH1728" s="73"/>
      <c r="BI1728" s="73"/>
      <c r="BJ1728" s="73"/>
      <c r="BK1728" s="73"/>
      <c r="BL1728" s="73"/>
      <c r="BM1728" s="73"/>
      <c r="BN1728" s="73"/>
      <c r="BO1728" s="73"/>
      <c r="BP1728" s="73"/>
      <c r="BQ1728" s="73"/>
      <c r="BR1728" s="73"/>
      <c r="BS1728" s="73"/>
      <c r="BT1728" s="73"/>
      <c r="BU1728" s="73"/>
      <c r="BV1728" s="73"/>
      <c r="BW1728" s="73"/>
      <c r="BX1728" s="73"/>
      <c r="BY1728" s="73"/>
      <c r="BZ1728" s="73"/>
      <c r="CA1728" s="73"/>
      <c r="CB1728" s="73"/>
      <c r="CC1728" s="73"/>
      <c r="CD1728" s="73"/>
      <c r="CE1728" s="73"/>
      <c r="CF1728" s="73"/>
      <c r="CG1728" s="73"/>
      <c r="CH1728" s="73"/>
      <c r="CI1728" s="73"/>
      <c r="CJ1728" s="73"/>
      <c r="CK1728" s="73"/>
      <c r="CL1728" s="73"/>
      <c r="CM1728" s="73"/>
      <c r="CN1728" s="73"/>
      <c r="CO1728" s="73"/>
      <c r="CP1728" s="73"/>
      <c r="CQ1728" s="73"/>
      <c r="CR1728" s="73"/>
      <c r="CS1728" s="73"/>
      <c r="CT1728" s="73"/>
      <c r="CU1728" s="73"/>
      <c r="CV1728" s="73"/>
      <c r="CW1728" s="73"/>
      <c r="CX1728" s="73"/>
      <c r="CY1728" s="73"/>
      <c r="CZ1728" s="73"/>
      <c r="DA1728" s="73"/>
      <c r="DB1728" s="73"/>
      <c r="DC1728" s="73"/>
      <c r="DD1728" s="73"/>
      <c r="DE1728" s="73"/>
      <c r="DF1728" s="73"/>
      <c r="DG1728" s="73"/>
      <c r="DH1728" s="73"/>
      <c r="DI1728" s="73"/>
      <c r="DJ1728" s="73"/>
      <c r="DK1728" s="73"/>
      <c r="DL1728" s="73"/>
      <c r="DM1728" s="73"/>
    </row>
    <row r="1729" spans="1:117" s="48" customFormat="1">
      <c r="A1729" s="73"/>
      <c r="T1729" s="73"/>
      <c r="U1729" s="73"/>
      <c r="V1729" s="73"/>
      <c r="W1729" s="73"/>
      <c r="X1729" s="73"/>
      <c r="Y1729" s="73"/>
      <c r="Z1729" s="73"/>
      <c r="AA1729" s="73"/>
      <c r="AB1729" s="73"/>
      <c r="AC1729" s="73"/>
      <c r="AD1729" s="73"/>
      <c r="AE1729" s="73"/>
      <c r="AF1729" s="73"/>
      <c r="AG1729" s="73"/>
      <c r="AH1729" s="73"/>
      <c r="AI1729" s="73"/>
      <c r="AJ1729" s="73"/>
      <c r="AK1729" s="73"/>
      <c r="AL1729" s="73"/>
      <c r="AM1729" s="73"/>
      <c r="AN1729" s="73"/>
      <c r="AO1729" s="73"/>
      <c r="AP1729" s="73"/>
      <c r="AQ1729" s="73"/>
      <c r="AR1729" s="73"/>
      <c r="AS1729" s="73"/>
      <c r="AT1729" s="73"/>
      <c r="AU1729" s="73"/>
      <c r="AV1729" s="73"/>
      <c r="AW1729" s="73"/>
      <c r="AX1729" s="73"/>
      <c r="AY1729" s="73"/>
      <c r="AZ1729" s="73"/>
      <c r="BA1729" s="73"/>
      <c r="BB1729" s="73"/>
      <c r="BC1729" s="73"/>
      <c r="BD1729" s="73"/>
      <c r="BE1729" s="73"/>
      <c r="BF1729" s="73"/>
      <c r="BG1729" s="73"/>
      <c r="BH1729" s="73"/>
      <c r="BI1729" s="73"/>
      <c r="BJ1729" s="73"/>
      <c r="BK1729" s="73"/>
      <c r="BL1729" s="73"/>
      <c r="BM1729" s="73"/>
      <c r="BN1729" s="73"/>
      <c r="BO1729" s="73"/>
      <c r="BP1729" s="73"/>
      <c r="BQ1729" s="73"/>
      <c r="BR1729" s="73"/>
      <c r="BS1729" s="73"/>
      <c r="BT1729" s="73"/>
      <c r="BU1729" s="73"/>
      <c r="BV1729" s="73"/>
      <c r="BW1729" s="73"/>
      <c r="BX1729" s="73"/>
      <c r="BY1729" s="73"/>
      <c r="BZ1729" s="73"/>
      <c r="CA1729" s="73"/>
      <c r="CB1729" s="73"/>
      <c r="CC1729" s="73"/>
      <c r="CD1729" s="73"/>
      <c r="CE1729" s="73"/>
      <c r="CF1729" s="73"/>
      <c r="CG1729" s="73"/>
      <c r="CH1729" s="73"/>
      <c r="CI1729" s="73"/>
      <c r="CJ1729" s="73"/>
      <c r="CK1729" s="73"/>
      <c r="CL1729" s="73"/>
      <c r="CM1729" s="73"/>
      <c r="CN1729" s="73"/>
      <c r="CO1729" s="73"/>
      <c r="CP1729" s="73"/>
      <c r="CQ1729" s="73"/>
      <c r="CR1729" s="73"/>
      <c r="CS1729" s="73"/>
      <c r="CT1729" s="73"/>
      <c r="CU1729" s="73"/>
      <c r="CV1729" s="73"/>
      <c r="CW1729" s="73"/>
      <c r="CX1729" s="73"/>
      <c r="CY1729" s="73"/>
      <c r="CZ1729" s="73"/>
      <c r="DA1729" s="73"/>
      <c r="DB1729" s="73"/>
      <c r="DC1729" s="73"/>
      <c r="DD1729" s="73"/>
      <c r="DE1729" s="73"/>
      <c r="DF1729" s="73"/>
      <c r="DG1729" s="73"/>
      <c r="DH1729" s="73"/>
      <c r="DI1729" s="73"/>
      <c r="DJ1729" s="73"/>
      <c r="DK1729" s="73"/>
      <c r="DL1729" s="73"/>
      <c r="DM1729" s="73"/>
    </row>
    <row r="1730" spans="1:117" s="48" customFormat="1">
      <c r="A1730" s="73"/>
      <c r="T1730" s="73"/>
      <c r="U1730" s="73"/>
      <c r="V1730" s="73"/>
      <c r="W1730" s="73"/>
      <c r="X1730" s="73"/>
      <c r="Y1730" s="73"/>
      <c r="Z1730" s="73"/>
      <c r="AA1730" s="73"/>
      <c r="AB1730" s="73"/>
      <c r="AC1730" s="73"/>
      <c r="AD1730" s="73"/>
      <c r="AE1730" s="73"/>
      <c r="AF1730" s="73"/>
      <c r="AG1730" s="73"/>
      <c r="AH1730" s="73"/>
      <c r="AI1730" s="73"/>
      <c r="AJ1730" s="73"/>
      <c r="AK1730" s="73"/>
      <c r="AL1730" s="73"/>
      <c r="AM1730" s="73"/>
      <c r="AN1730" s="73"/>
      <c r="AO1730" s="73"/>
      <c r="AP1730" s="73"/>
      <c r="AQ1730" s="73"/>
      <c r="AR1730" s="73"/>
      <c r="AS1730" s="73"/>
      <c r="AT1730" s="73"/>
      <c r="AU1730" s="73"/>
      <c r="AV1730" s="73"/>
      <c r="AW1730" s="73"/>
      <c r="AX1730" s="73"/>
      <c r="AY1730" s="73"/>
      <c r="AZ1730" s="73"/>
      <c r="BA1730" s="73"/>
      <c r="BB1730" s="73"/>
      <c r="BC1730" s="73"/>
      <c r="BD1730" s="73"/>
      <c r="BE1730" s="73"/>
      <c r="BF1730" s="73"/>
      <c r="BG1730" s="73"/>
      <c r="BH1730" s="73"/>
      <c r="BI1730" s="73"/>
      <c r="BJ1730" s="73"/>
      <c r="BK1730" s="73"/>
      <c r="BL1730" s="73"/>
      <c r="BM1730" s="73"/>
      <c r="BN1730" s="73"/>
      <c r="BO1730" s="73"/>
      <c r="BP1730" s="73"/>
      <c r="BQ1730" s="73"/>
      <c r="BR1730" s="73"/>
      <c r="BS1730" s="73"/>
      <c r="BT1730" s="73"/>
      <c r="BU1730" s="73"/>
      <c r="BV1730" s="73"/>
      <c r="BW1730" s="73"/>
      <c r="BX1730" s="73"/>
      <c r="BY1730" s="73"/>
      <c r="BZ1730" s="73"/>
      <c r="CA1730" s="73"/>
      <c r="CB1730" s="73"/>
      <c r="CC1730" s="73"/>
      <c r="CD1730" s="73"/>
      <c r="CE1730" s="73"/>
      <c r="CF1730" s="73"/>
      <c r="CG1730" s="73"/>
      <c r="CH1730" s="73"/>
      <c r="CI1730" s="73"/>
      <c r="CJ1730" s="73"/>
      <c r="CK1730" s="73"/>
      <c r="CL1730" s="73"/>
      <c r="CM1730" s="73"/>
      <c r="CN1730" s="73"/>
      <c r="CO1730" s="73"/>
      <c r="CP1730" s="73"/>
      <c r="CQ1730" s="73"/>
      <c r="CR1730" s="73"/>
      <c r="CS1730" s="73"/>
      <c r="CT1730" s="73"/>
      <c r="CU1730" s="73"/>
      <c r="CV1730" s="73"/>
      <c r="CW1730" s="73"/>
      <c r="CX1730" s="73"/>
      <c r="CY1730" s="73"/>
      <c r="CZ1730" s="73"/>
      <c r="DA1730" s="73"/>
      <c r="DB1730" s="73"/>
      <c r="DC1730" s="73"/>
      <c r="DD1730" s="73"/>
      <c r="DE1730" s="73"/>
      <c r="DF1730" s="73"/>
      <c r="DG1730" s="73"/>
      <c r="DH1730" s="73"/>
      <c r="DI1730" s="73"/>
      <c r="DJ1730" s="73"/>
      <c r="DK1730" s="73"/>
      <c r="DL1730" s="73"/>
      <c r="DM1730" s="73"/>
    </row>
    <row r="1731" spans="1:117" s="48" customFormat="1">
      <c r="A1731" s="73"/>
      <c r="T1731" s="73"/>
      <c r="U1731" s="73"/>
      <c r="V1731" s="73"/>
      <c r="W1731" s="73"/>
      <c r="X1731" s="73"/>
      <c r="Y1731" s="73"/>
      <c r="Z1731" s="73"/>
      <c r="AA1731" s="73"/>
      <c r="AB1731" s="73"/>
      <c r="AC1731" s="73"/>
      <c r="AD1731" s="73"/>
      <c r="AE1731" s="73"/>
      <c r="AF1731" s="73"/>
      <c r="AG1731" s="73"/>
      <c r="AH1731" s="73"/>
      <c r="AI1731" s="73"/>
      <c r="AJ1731" s="73"/>
      <c r="AK1731" s="73"/>
      <c r="AL1731" s="73"/>
      <c r="AM1731" s="73"/>
      <c r="AN1731" s="73"/>
      <c r="AO1731" s="73"/>
      <c r="AP1731" s="73"/>
      <c r="AQ1731" s="73"/>
      <c r="AR1731" s="73"/>
      <c r="AS1731" s="73"/>
      <c r="AT1731" s="73"/>
      <c r="AU1731" s="73"/>
      <c r="AV1731" s="73"/>
      <c r="AW1731" s="73"/>
      <c r="AX1731" s="73"/>
      <c r="AY1731" s="73"/>
      <c r="AZ1731" s="73"/>
      <c r="BA1731" s="73"/>
      <c r="BB1731" s="73"/>
      <c r="BC1731" s="73"/>
      <c r="BD1731" s="73"/>
      <c r="BE1731" s="73"/>
      <c r="BF1731" s="73"/>
      <c r="BG1731" s="73"/>
      <c r="BH1731" s="73"/>
      <c r="BI1731" s="73"/>
      <c r="BJ1731" s="73"/>
      <c r="BK1731" s="73"/>
      <c r="BL1731" s="73"/>
      <c r="BM1731" s="73"/>
      <c r="BN1731" s="73"/>
      <c r="BO1731" s="73"/>
      <c r="BP1731" s="73"/>
      <c r="BQ1731" s="73"/>
      <c r="BR1731" s="73"/>
      <c r="BS1731" s="73"/>
      <c r="BT1731" s="73"/>
      <c r="BU1731" s="73"/>
      <c r="BV1731" s="73"/>
      <c r="BW1731" s="73"/>
      <c r="BX1731" s="73"/>
      <c r="BY1731" s="73"/>
      <c r="BZ1731" s="73"/>
      <c r="CA1731" s="73"/>
      <c r="CB1731" s="73"/>
      <c r="CC1731" s="73"/>
      <c r="CD1731" s="73"/>
      <c r="CE1731" s="73"/>
      <c r="CF1731" s="73"/>
      <c r="CG1731" s="73"/>
      <c r="CH1731" s="73"/>
      <c r="CI1731" s="73"/>
      <c r="CJ1731" s="73"/>
      <c r="CK1731" s="73"/>
      <c r="CL1731" s="73"/>
      <c r="CM1731" s="73"/>
      <c r="CN1731" s="73"/>
      <c r="CO1731" s="73"/>
      <c r="CP1731" s="73"/>
      <c r="CQ1731" s="73"/>
      <c r="CR1731" s="73"/>
      <c r="CS1731" s="73"/>
      <c r="CT1731" s="73"/>
      <c r="CU1731" s="73"/>
      <c r="CV1731" s="73"/>
      <c r="CW1731" s="73"/>
      <c r="CX1731" s="73"/>
      <c r="CY1731" s="73"/>
      <c r="CZ1731" s="73"/>
      <c r="DA1731" s="73"/>
      <c r="DB1731" s="73"/>
      <c r="DC1731" s="73"/>
      <c r="DD1731" s="73"/>
      <c r="DE1731" s="73"/>
      <c r="DF1731" s="73"/>
      <c r="DG1731" s="73"/>
      <c r="DH1731" s="73"/>
      <c r="DI1731" s="73"/>
      <c r="DJ1731" s="73"/>
      <c r="DK1731" s="73"/>
      <c r="DL1731" s="73"/>
      <c r="DM1731" s="73"/>
    </row>
    <row r="1732" spans="1:117" s="48" customFormat="1">
      <c r="A1732" s="73"/>
      <c r="T1732" s="73"/>
      <c r="U1732" s="73"/>
      <c r="V1732" s="73"/>
      <c r="W1732" s="73"/>
      <c r="X1732" s="73"/>
      <c r="Y1732" s="73"/>
      <c r="Z1732" s="73"/>
      <c r="AA1732" s="73"/>
      <c r="AB1732" s="73"/>
      <c r="AC1732" s="73"/>
      <c r="AD1732" s="73"/>
      <c r="AE1732" s="73"/>
      <c r="AF1732" s="73"/>
      <c r="AG1732" s="73"/>
      <c r="AH1732" s="73"/>
      <c r="AI1732" s="73"/>
      <c r="AJ1732" s="73"/>
      <c r="AK1732" s="73"/>
      <c r="AL1732" s="73"/>
      <c r="AM1732" s="73"/>
      <c r="AN1732" s="73"/>
      <c r="AO1732" s="73"/>
      <c r="AP1732" s="73"/>
      <c r="AQ1732" s="73"/>
      <c r="AR1732" s="73"/>
      <c r="AS1732" s="73"/>
      <c r="AT1732" s="73"/>
      <c r="AU1732" s="73"/>
      <c r="AV1732" s="73"/>
      <c r="AW1732" s="73"/>
      <c r="AX1732" s="73"/>
      <c r="AY1732" s="73"/>
      <c r="AZ1732" s="73"/>
      <c r="BA1732" s="73"/>
      <c r="BB1732" s="73"/>
      <c r="BC1732" s="73"/>
      <c r="BD1732" s="73"/>
      <c r="BE1732" s="73"/>
      <c r="BF1732" s="73"/>
      <c r="BG1732" s="73"/>
      <c r="BH1732" s="73"/>
      <c r="BI1732" s="73"/>
      <c r="BJ1732" s="73"/>
      <c r="BK1732" s="73"/>
      <c r="BL1732" s="73"/>
      <c r="BM1732" s="73"/>
      <c r="BN1732" s="73"/>
      <c r="BO1732" s="73"/>
      <c r="BP1732" s="73"/>
      <c r="BQ1732" s="73"/>
      <c r="BR1732" s="73"/>
      <c r="BS1732" s="73"/>
      <c r="BT1732" s="73"/>
      <c r="BU1732" s="73"/>
      <c r="BV1732" s="73"/>
      <c r="BW1732" s="73"/>
      <c r="BX1732" s="73"/>
      <c r="BY1732" s="73"/>
      <c r="BZ1732" s="73"/>
      <c r="CA1732" s="73"/>
      <c r="CB1732" s="73"/>
      <c r="CC1732" s="73"/>
      <c r="CD1732" s="73"/>
      <c r="CE1732" s="73"/>
      <c r="CF1732" s="73"/>
      <c r="CG1732" s="73"/>
      <c r="CH1732" s="73"/>
      <c r="CI1732" s="73"/>
      <c r="CJ1732" s="73"/>
      <c r="CK1732" s="73"/>
      <c r="CL1732" s="73"/>
      <c r="CM1732" s="73"/>
      <c r="CN1732" s="73"/>
      <c r="CO1732" s="73"/>
      <c r="CP1732" s="73"/>
      <c r="CQ1732" s="73"/>
      <c r="CR1732" s="73"/>
      <c r="CS1732" s="73"/>
      <c r="CT1732" s="73"/>
      <c r="CU1732" s="73"/>
      <c r="CV1732" s="73"/>
      <c r="CW1732" s="73"/>
      <c r="CX1732" s="73"/>
      <c r="CY1732" s="73"/>
      <c r="CZ1732" s="73"/>
      <c r="DA1732" s="73"/>
      <c r="DB1732" s="73"/>
      <c r="DC1732" s="73"/>
      <c r="DD1732" s="73"/>
      <c r="DE1732" s="73"/>
      <c r="DF1732" s="73"/>
      <c r="DG1732" s="73"/>
      <c r="DH1732" s="73"/>
      <c r="DI1732" s="73"/>
      <c r="DJ1732" s="73"/>
      <c r="DK1732" s="73"/>
      <c r="DL1732" s="73"/>
      <c r="DM1732" s="73"/>
    </row>
    <row r="1733" spans="1:117" s="48" customFormat="1">
      <c r="A1733" s="73"/>
      <c r="T1733" s="73"/>
      <c r="U1733" s="73"/>
      <c r="V1733" s="73"/>
      <c r="W1733" s="73"/>
      <c r="X1733" s="73"/>
      <c r="Y1733" s="73"/>
      <c r="Z1733" s="73"/>
      <c r="AA1733" s="73"/>
      <c r="AB1733" s="73"/>
      <c r="AC1733" s="73"/>
      <c r="AD1733" s="73"/>
      <c r="AE1733" s="73"/>
      <c r="AF1733" s="73"/>
      <c r="AG1733" s="73"/>
      <c r="AH1733" s="73"/>
      <c r="AI1733" s="73"/>
      <c r="AJ1733" s="73"/>
      <c r="AK1733" s="73"/>
      <c r="AL1733" s="73"/>
      <c r="AM1733" s="73"/>
      <c r="AN1733" s="73"/>
      <c r="AO1733" s="73"/>
      <c r="AP1733" s="73"/>
      <c r="AQ1733" s="73"/>
      <c r="AR1733" s="73"/>
      <c r="AS1733" s="73"/>
      <c r="AT1733" s="73"/>
      <c r="AU1733" s="73"/>
      <c r="AV1733" s="73"/>
      <c r="AW1733" s="73"/>
      <c r="AX1733" s="73"/>
      <c r="AY1733" s="73"/>
      <c r="AZ1733" s="73"/>
      <c r="BA1733" s="73"/>
      <c r="BB1733" s="73"/>
      <c r="BC1733" s="73"/>
      <c r="BD1733" s="73"/>
      <c r="BE1733" s="73"/>
      <c r="BF1733" s="73"/>
      <c r="BG1733" s="73"/>
      <c r="BH1733" s="73"/>
      <c r="BI1733" s="73"/>
      <c r="BJ1733" s="73"/>
      <c r="BK1733" s="73"/>
      <c r="BL1733" s="73"/>
      <c r="BM1733" s="73"/>
      <c r="BN1733" s="73"/>
      <c r="BO1733" s="73"/>
      <c r="BP1733" s="73"/>
      <c r="BQ1733" s="73"/>
      <c r="BR1733" s="73"/>
      <c r="BS1733" s="73"/>
      <c r="BT1733" s="73"/>
      <c r="BU1733" s="73"/>
      <c r="BV1733" s="73"/>
      <c r="BW1733" s="73"/>
      <c r="BX1733" s="73"/>
      <c r="BY1733" s="73"/>
      <c r="BZ1733" s="73"/>
      <c r="CA1733" s="73"/>
      <c r="CB1733" s="73"/>
      <c r="CC1733" s="73"/>
      <c r="CD1733" s="73"/>
      <c r="CE1733" s="73"/>
      <c r="CF1733" s="73"/>
      <c r="CG1733" s="73"/>
      <c r="CH1733" s="73"/>
      <c r="CI1733" s="73"/>
      <c r="CJ1733" s="73"/>
      <c r="CK1733" s="73"/>
      <c r="CL1733" s="73"/>
      <c r="CM1733" s="73"/>
      <c r="CN1733" s="73"/>
      <c r="CO1733" s="73"/>
      <c r="CP1733" s="73"/>
      <c r="CQ1733" s="73"/>
      <c r="CR1733" s="73"/>
      <c r="CS1733" s="73"/>
      <c r="CT1733" s="73"/>
      <c r="CU1733" s="73"/>
      <c r="CV1733" s="73"/>
      <c r="CW1733" s="73"/>
      <c r="CX1733" s="73"/>
      <c r="CY1733" s="73"/>
      <c r="CZ1733" s="73"/>
      <c r="DA1733" s="73"/>
      <c r="DB1733" s="73"/>
      <c r="DC1733" s="73"/>
      <c r="DD1733" s="73"/>
      <c r="DE1733" s="73"/>
      <c r="DF1733" s="73"/>
      <c r="DG1733" s="73"/>
      <c r="DH1733" s="73"/>
      <c r="DI1733" s="73"/>
      <c r="DJ1733" s="73"/>
      <c r="DK1733" s="73"/>
      <c r="DL1733" s="73"/>
      <c r="DM1733" s="73"/>
    </row>
    <row r="1734" spans="1:117" s="48" customFormat="1">
      <c r="A1734" s="73"/>
      <c r="T1734" s="73"/>
      <c r="U1734" s="73"/>
      <c r="V1734" s="73"/>
      <c r="W1734" s="73"/>
      <c r="X1734" s="73"/>
      <c r="Y1734" s="73"/>
      <c r="Z1734" s="73"/>
      <c r="AA1734" s="73"/>
      <c r="AB1734" s="73"/>
      <c r="AC1734" s="73"/>
      <c r="AD1734" s="73"/>
      <c r="AE1734" s="73"/>
      <c r="AF1734" s="73"/>
      <c r="AG1734" s="73"/>
      <c r="AH1734" s="73"/>
      <c r="AI1734" s="73"/>
      <c r="AJ1734" s="73"/>
      <c r="AK1734" s="73"/>
      <c r="AL1734" s="73"/>
      <c r="AM1734" s="73"/>
      <c r="AN1734" s="73"/>
      <c r="AO1734" s="73"/>
      <c r="AP1734" s="73"/>
      <c r="AQ1734" s="73"/>
      <c r="AR1734" s="73"/>
      <c r="AS1734" s="73"/>
      <c r="AT1734" s="73"/>
      <c r="AU1734" s="73"/>
      <c r="AV1734" s="73"/>
      <c r="AW1734" s="73"/>
      <c r="AX1734" s="73"/>
      <c r="AY1734" s="73"/>
      <c r="AZ1734" s="73"/>
      <c r="BA1734" s="73"/>
      <c r="BB1734" s="73"/>
      <c r="BC1734" s="73"/>
      <c r="BD1734" s="73"/>
      <c r="BE1734" s="73"/>
      <c r="BF1734" s="73"/>
      <c r="BG1734" s="73"/>
      <c r="BH1734" s="73"/>
      <c r="BI1734" s="73"/>
      <c r="BJ1734" s="73"/>
      <c r="BK1734" s="73"/>
      <c r="BL1734" s="73"/>
      <c r="BM1734" s="73"/>
      <c r="BN1734" s="73"/>
      <c r="BO1734" s="73"/>
      <c r="BP1734" s="73"/>
      <c r="BQ1734" s="73"/>
      <c r="BR1734" s="73"/>
      <c r="BS1734" s="73"/>
      <c r="BT1734" s="73"/>
      <c r="BU1734" s="73"/>
      <c r="BV1734" s="73"/>
      <c r="BW1734" s="73"/>
      <c r="BX1734" s="73"/>
      <c r="BY1734" s="73"/>
      <c r="BZ1734" s="73"/>
      <c r="CA1734" s="73"/>
      <c r="CB1734" s="73"/>
      <c r="CC1734" s="73"/>
      <c r="CD1734" s="73"/>
      <c r="CE1734" s="73"/>
      <c r="CF1734" s="73"/>
      <c r="CG1734" s="73"/>
      <c r="CH1734" s="73"/>
      <c r="CI1734" s="73"/>
      <c r="CJ1734" s="73"/>
      <c r="CK1734" s="73"/>
      <c r="CL1734" s="73"/>
      <c r="CM1734" s="73"/>
      <c r="CN1734" s="73"/>
      <c r="CO1734" s="73"/>
      <c r="CP1734" s="73"/>
      <c r="CQ1734" s="73"/>
      <c r="CR1734" s="73"/>
      <c r="CS1734" s="73"/>
      <c r="CT1734" s="73"/>
      <c r="CU1734" s="73"/>
      <c r="CV1734" s="73"/>
      <c r="CW1734" s="73"/>
      <c r="CX1734" s="73"/>
      <c r="CY1734" s="73"/>
      <c r="CZ1734" s="73"/>
      <c r="DA1734" s="73"/>
      <c r="DB1734" s="73"/>
      <c r="DC1734" s="73"/>
      <c r="DD1734" s="73"/>
      <c r="DE1734" s="73"/>
      <c r="DF1734" s="73"/>
      <c r="DG1734" s="73"/>
      <c r="DH1734" s="73"/>
      <c r="DI1734" s="73"/>
      <c r="DJ1734" s="73"/>
      <c r="DK1734" s="73"/>
      <c r="DL1734" s="73"/>
      <c r="DM1734" s="73"/>
    </row>
    <row r="1735" spans="1:117" s="48" customFormat="1">
      <c r="A1735" s="73"/>
      <c r="T1735" s="73"/>
      <c r="U1735" s="73"/>
      <c r="V1735" s="73"/>
      <c r="W1735" s="73"/>
      <c r="X1735" s="73"/>
      <c r="Y1735" s="73"/>
      <c r="Z1735" s="73"/>
      <c r="AA1735" s="73"/>
      <c r="AB1735" s="73"/>
      <c r="AC1735" s="73"/>
      <c r="AD1735" s="73"/>
      <c r="AE1735" s="73"/>
      <c r="AF1735" s="73"/>
      <c r="AG1735" s="73"/>
      <c r="AH1735" s="73"/>
      <c r="AI1735" s="73"/>
      <c r="AJ1735" s="73"/>
      <c r="AK1735" s="73"/>
      <c r="AL1735" s="73"/>
      <c r="AM1735" s="73"/>
      <c r="AN1735" s="73"/>
      <c r="AO1735" s="73"/>
      <c r="AP1735" s="73"/>
      <c r="AQ1735" s="73"/>
      <c r="AR1735" s="73"/>
      <c r="AS1735" s="73"/>
      <c r="AT1735" s="73"/>
      <c r="AU1735" s="73"/>
      <c r="AV1735" s="73"/>
      <c r="AW1735" s="73"/>
      <c r="AX1735" s="73"/>
      <c r="AY1735" s="73"/>
      <c r="AZ1735" s="73"/>
      <c r="BA1735" s="73"/>
      <c r="BB1735" s="73"/>
      <c r="BC1735" s="73"/>
      <c r="BD1735" s="73"/>
      <c r="BE1735" s="73"/>
      <c r="BF1735" s="73"/>
      <c r="BG1735" s="73"/>
      <c r="BH1735" s="73"/>
      <c r="BI1735" s="73"/>
      <c r="BJ1735" s="73"/>
      <c r="BK1735" s="73"/>
      <c r="BL1735" s="73"/>
      <c r="BM1735" s="73"/>
      <c r="BN1735" s="73"/>
      <c r="BO1735" s="73"/>
      <c r="BP1735" s="73"/>
      <c r="BQ1735" s="73"/>
      <c r="BR1735" s="73"/>
      <c r="BS1735" s="73"/>
      <c r="BT1735" s="73"/>
      <c r="BU1735" s="73"/>
      <c r="BV1735" s="73"/>
      <c r="BW1735" s="73"/>
      <c r="BX1735" s="73"/>
      <c r="BY1735" s="73"/>
      <c r="BZ1735" s="73"/>
      <c r="CA1735" s="73"/>
      <c r="CB1735" s="73"/>
      <c r="CC1735" s="73"/>
      <c r="CD1735" s="73"/>
      <c r="CE1735" s="73"/>
      <c r="CF1735" s="73"/>
      <c r="CG1735" s="73"/>
      <c r="CH1735" s="73"/>
      <c r="CI1735" s="73"/>
      <c r="CJ1735" s="73"/>
      <c r="CK1735" s="73"/>
      <c r="CL1735" s="73"/>
      <c r="CM1735" s="73"/>
      <c r="CN1735" s="73"/>
      <c r="CO1735" s="73"/>
      <c r="CP1735" s="73"/>
      <c r="CQ1735" s="73"/>
      <c r="CR1735" s="73"/>
      <c r="CS1735" s="73"/>
      <c r="CT1735" s="73"/>
      <c r="CU1735" s="73"/>
      <c r="CV1735" s="73"/>
      <c r="CW1735" s="73"/>
      <c r="CX1735" s="73"/>
      <c r="CY1735" s="73"/>
      <c r="CZ1735" s="73"/>
      <c r="DA1735" s="73"/>
      <c r="DB1735" s="73"/>
      <c r="DC1735" s="73"/>
      <c r="DD1735" s="73"/>
      <c r="DE1735" s="73"/>
      <c r="DF1735" s="73"/>
      <c r="DG1735" s="73"/>
      <c r="DH1735" s="73"/>
      <c r="DI1735" s="73"/>
      <c r="DJ1735" s="73"/>
      <c r="DK1735" s="73"/>
      <c r="DL1735" s="73"/>
      <c r="DM1735" s="73"/>
    </row>
    <row r="1736" spans="1:117" s="48" customFormat="1">
      <c r="A1736" s="73"/>
      <c r="T1736" s="73"/>
      <c r="U1736" s="73"/>
      <c r="V1736" s="73"/>
      <c r="W1736" s="73"/>
      <c r="X1736" s="73"/>
      <c r="Y1736" s="73"/>
      <c r="Z1736" s="73"/>
      <c r="AA1736" s="73"/>
      <c r="AB1736" s="73"/>
      <c r="AC1736" s="73"/>
      <c r="AD1736" s="73"/>
      <c r="AE1736" s="73"/>
      <c r="AF1736" s="73"/>
      <c r="AG1736" s="73"/>
      <c r="AH1736" s="73"/>
      <c r="AI1736" s="73"/>
      <c r="AJ1736" s="73"/>
      <c r="AK1736" s="73"/>
      <c r="AL1736" s="73"/>
      <c r="AM1736" s="73"/>
      <c r="AN1736" s="73"/>
      <c r="AO1736" s="73"/>
      <c r="AP1736" s="73"/>
      <c r="AQ1736" s="73"/>
      <c r="AR1736" s="73"/>
      <c r="AS1736" s="73"/>
      <c r="AT1736" s="73"/>
      <c r="AU1736" s="73"/>
      <c r="AV1736" s="73"/>
      <c r="AW1736" s="73"/>
      <c r="AX1736" s="73"/>
      <c r="AY1736" s="73"/>
      <c r="AZ1736" s="73"/>
      <c r="BA1736" s="73"/>
      <c r="BB1736" s="73"/>
      <c r="BC1736" s="73"/>
      <c r="BD1736" s="73"/>
      <c r="BE1736" s="73"/>
      <c r="BF1736" s="73"/>
      <c r="BG1736" s="73"/>
      <c r="BH1736" s="73"/>
      <c r="BI1736" s="73"/>
      <c r="BJ1736" s="73"/>
      <c r="BK1736" s="73"/>
      <c r="BL1736" s="73"/>
      <c r="BM1736" s="73"/>
      <c r="BN1736" s="73"/>
      <c r="BO1736" s="73"/>
      <c r="BP1736" s="73"/>
      <c r="BQ1736" s="73"/>
      <c r="BR1736" s="73"/>
      <c r="BS1736" s="73"/>
      <c r="BT1736" s="73"/>
      <c r="BU1736" s="73"/>
      <c r="BV1736" s="73"/>
      <c r="BW1736" s="73"/>
      <c r="BX1736" s="73"/>
      <c r="BY1736" s="73"/>
      <c r="BZ1736" s="73"/>
      <c r="CA1736" s="73"/>
      <c r="CB1736" s="73"/>
      <c r="CC1736" s="73"/>
      <c r="CD1736" s="73"/>
      <c r="CE1736" s="73"/>
      <c r="CF1736" s="73"/>
      <c r="CG1736" s="73"/>
      <c r="CH1736" s="73"/>
      <c r="CI1736" s="73"/>
      <c r="CJ1736" s="73"/>
      <c r="CK1736" s="73"/>
      <c r="CL1736" s="73"/>
      <c r="CM1736" s="73"/>
      <c r="CN1736" s="73"/>
      <c r="CO1736" s="73"/>
      <c r="CP1736" s="73"/>
      <c r="CQ1736" s="73"/>
      <c r="CR1736" s="73"/>
      <c r="CS1736" s="73"/>
      <c r="CT1736" s="73"/>
      <c r="CU1736" s="73"/>
      <c r="CV1736" s="73"/>
      <c r="CW1736" s="73"/>
      <c r="CX1736" s="73"/>
      <c r="CY1736" s="73"/>
      <c r="CZ1736" s="73"/>
      <c r="DA1736" s="73"/>
      <c r="DB1736" s="73"/>
      <c r="DC1736" s="73"/>
      <c r="DD1736" s="73"/>
      <c r="DE1736" s="73"/>
      <c r="DF1736" s="73"/>
      <c r="DG1736" s="73"/>
      <c r="DH1736" s="73"/>
      <c r="DI1736" s="73"/>
      <c r="DJ1736" s="73"/>
      <c r="DK1736" s="73"/>
      <c r="DL1736" s="73"/>
      <c r="DM1736" s="73"/>
    </row>
    <row r="1737" spans="1:117" s="48" customFormat="1">
      <c r="A1737" s="73"/>
      <c r="T1737" s="73"/>
      <c r="U1737" s="73"/>
      <c r="V1737" s="73"/>
      <c r="W1737" s="73"/>
      <c r="X1737" s="73"/>
      <c r="Y1737" s="73"/>
      <c r="Z1737" s="73"/>
      <c r="AA1737" s="73"/>
      <c r="AB1737" s="73"/>
      <c r="AC1737" s="73"/>
      <c r="AD1737" s="73"/>
      <c r="AE1737" s="73"/>
      <c r="AF1737" s="73"/>
      <c r="AG1737" s="73"/>
      <c r="AH1737" s="73"/>
      <c r="AI1737" s="73"/>
      <c r="AJ1737" s="73"/>
      <c r="AK1737" s="73"/>
      <c r="AL1737" s="73"/>
      <c r="AM1737" s="73"/>
      <c r="AN1737" s="73"/>
      <c r="AO1737" s="73"/>
      <c r="AP1737" s="73"/>
      <c r="AQ1737" s="73"/>
      <c r="AR1737" s="73"/>
      <c r="AS1737" s="73"/>
      <c r="AT1737" s="73"/>
      <c r="AU1737" s="73"/>
      <c r="AV1737" s="73"/>
      <c r="AW1737" s="73"/>
      <c r="AX1737" s="73"/>
      <c r="AY1737" s="73"/>
      <c r="AZ1737" s="73"/>
      <c r="BA1737" s="73"/>
      <c r="BB1737" s="73"/>
      <c r="BC1737" s="73"/>
      <c r="BD1737" s="73"/>
      <c r="BE1737" s="73"/>
      <c r="BF1737" s="73"/>
      <c r="BG1737" s="73"/>
      <c r="BH1737" s="73"/>
      <c r="BI1737" s="73"/>
      <c r="BJ1737" s="73"/>
      <c r="BK1737" s="73"/>
      <c r="BL1737" s="73"/>
      <c r="BM1737" s="73"/>
      <c r="BN1737" s="73"/>
      <c r="BO1737" s="73"/>
      <c r="BP1737" s="73"/>
      <c r="BQ1737" s="73"/>
      <c r="BR1737" s="73"/>
      <c r="BS1737" s="73"/>
      <c r="BT1737" s="73"/>
      <c r="BU1737" s="73"/>
      <c r="BV1737" s="73"/>
      <c r="BW1737" s="73"/>
      <c r="BX1737" s="73"/>
      <c r="BY1737" s="73"/>
      <c r="BZ1737" s="73"/>
      <c r="CA1737" s="73"/>
      <c r="CB1737" s="73"/>
      <c r="CC1737" s="73"/>
      <c r="CD1737" s="73"/>
      <c r="CE1737" s="73"/>
      <c r="CF1737" s="73"/>
      <c r="CG1737" s="73"/>
      <c r="CH1737" s="73"/>
      <c r="CI1737" s="73"/>
      <c r="CJ1737" s="73"/>
      <c r="CK1737" s="73"/>
      <c r="CL1737" s="73"/>
      <c r="CM1737" s="73"/>
      <c r="CN1737" s="73"/>
      <c r="CO1737" s="73"/>
      <c r="CP1737" s="73"/>
      <c r="CQ1737" s="73"/>
      <c r="CR1737" s="73"/>
      <c r="CS1737" s="73"/>
      <c r="CT1737" s="73"/>
      <c r="CU1737" s="73"/>
      <c r="CV1737" s="73"/>
      <c r="CW1737" s="73"/>
      <c r="CX1737" s="73"/>
      <c r="CY1737" s="73"/>
      <c r="CZ1737" s="73"/>
      <c r="DA1737" s="73"/>
      <c r="DB1737" s="73"/>
      <c r="DC1737" s="73"/>
      <c r="DD1737" s="73"/>
      <c r="DE1737" s="73"/>
      <c r="DF1737" s="73"/>
      <c r="DG1737" s="73"/>
      <c r="DH1737" s="73"/>
      <c r="DI1737" s="73"/>
      <c r="DJ1737" s="73"/>
      <c r="DK1737" s="73"/>
      <c r="DL1737" s="73"/>
      <c r="DM1737" s="73"/>
    </row>
    <row r="1738" spans="1:117" s="48" customFormat="1">
      <c r="A1738" s="73"/>
      <c r="T1738" s="73"/>
      <c r="U1738" s="73"/>
      <c r="V1738" s="73"/>
      <c r="W1738" s="73"/>
      <c r="X1738" s="73"/>
      <c r="Y1738" s="73"/>
      <c r="Z1738" s="73"/>
      <c r="AA1738" s="73"/>
      <c r="AB1738" s="73"/>
      <c r="AC1738" s="73"/>
      <c r="AD1738" s="73"/>
      <c r="AE1738" s="73"/>
      <c r="AF1738" s="73"/>
      <c r="AG1738" s="73"/>
      <c r="AH1738" s="73"/>
      <c r="AI1738" s="73"/>
      <c r="AJ1738" s="73"/>
      <c r="AK1738" s="73"/>
      <c r="AL1738" s="73"/>
      <c r="AM1738" s="73"/>
      <c r="AN1738" s="73"/>
      <c r="AO1738" s="73"/>
      <c r="AP1738" s="73"/>
      <c r="AQ1738" s="73"/>
      <c r="AR1738" s="73"/>
      <c r="AS1738" s="73"/>
      <c r="AT1738" s="73"/>
      <c r="AU1738" s="73"/>
      <c r="AV1738" s="73"/>
      <c r="AW1738" s="73"/>
      <c r="AX1738" s="73"/>
      <c r="AY1738" s="73"/>
      <c r="AZ1738" s="73"/>
      <c r="BA1738" s="73"/>
      <c r="BB1738" s="73"/>
      <c r="BC1738" s="73"/>
      <c r="BD1738" s="73"/>
      <c r="BE1738" s="73"/>
      <c r="BF1738" s="73"/>
      <c r="BG1738" s="73"/>
      <c r="BH1738" s="73"/>
      <c r="BI1738" s="73"/>
      <c r="BJ1738" s="73"/>
      <c r="BK1738" s="73"/>
      <c r="BL1738" s="73"/>
      <c r="BM1738" s="73"/>
      <c r="BN1738" s="73"/>
      <c r="BO1738" s="73"/>
      <c r="BP1738" s="73"/>
      <c r="BQ1738" s="73"/>
      <c r="BR1738" s="73"/>
      <c r="BS1738" s="73"/>
      <c r="BT1738" s="73"/>
      <c r="BU1738" s="73"/>
      <c r="BV1738" s="73"/>
      <c r="BW1738" s="73"/>
      <c r="BX1738" s="73"/>
      <c r="BY1738" s="73"/>
      <c r="BZ1738" s="73"/>
      <c r="CA1738" s="73"/>
      <c r="CB1738" s="73"/>
      <c r="CC1738" s="73"/>
      <c r="CD1738" s="73"/>
      <c r="CE1738" s="73"/>
      <c r="CF1738" s="73"/>
      <c r="CG1738" s="73"/>
      <c r="CH1738" s="73"/>
      <c r="CI1738" s="73"/>
      <c r="CJ1738" s="73"/>
      <c r="CK1738" s="73"/>
      <c r="CL1738" s="73"/>
      <c r="CM1738" s="73"/>
      <c r="CN1738" s="73"/>
      <c r="CO1738" s="73"/>
      <c r="CP1738" s="73"/>
      <c r="CQ1738" s="73"/>
      <c r="CR1738" s="73"/>
      <c r="CS1738" s="73"/>
      <c r="CT1738" s="73"/>
      <c r="CU1738" s="73"/>
      <c r="CV1738" s="73"/>
      <c r="CW1738" s="73"/>
      <c r="CX1738" s="73"/>
      <c r="CY1738" s="73"/>
      <c r="CZ1738" s="73"/>
      <c r="DA1738" s="73"/>
      <c r="DB1738" s="73"/>
      <c r="DC1738" s="73"/>
      <c r="DD1738" s="73"/>
      <c r="DE1738" s="73"/>
      <c r="DF1738" s="73"/>
      <c r="DG1738" s="73"/>
      <c r="DH1738" s="73"/>
      <c r="DI1738" s="73"/>
      <c r="DJ1738" s="73"/>
      <c r="DK1738" s="73"/>
      <c r="DL1738" s="73"/>
      <c r="DM1738" s="73"/>
    </row>
    <row r="1739" spans="1:117" s="48" customFormat="1">
      <c r="A1739" s="73"/>
      <c r="T1739" s="73"/>
      <c r="U1739" s="73"/>
      <c r="V1739" s="73"/>
      <c r="W1739" s="73"/>
      <c r="X1739" s="73"/>
      <c r="Y1739" s="73"/>
      <c r="Z1739" s="73"/>
      <c r="AA1739" s="73"/>
      <c r="AB1739" s="73"/>
      <c r="AC1739" s="73"/>
      <c r="AD1739" s="73"/>
      <c r="AE1739" s="73"/>
      <c r="AF1739" s="73"/>
      <c r="AG1739" s="73"/>
      <c r="AH1739" s="73"/>
      <c r="AI1739" s="73"/>
      <c r="AJ1739" s="73"/>
      <c r="AK1739" s="73"/>
      <c r="AL1739" s="73"/>
      <c r="AM1739" s="73"/>
      <c r="AN1739" s="73"/>
      <c r="AO1739" s="73"/>
      <c r="AP1739" s="73"/>
      <c r="AQ1739" s="73"/>
      <c r="AR1739" s="73"/>
      <c r="AS1739" s="73"/>
      <c r="AT1739" s="73"/>
      <c r="AU1739" s="73"/>
      <c r="AV1739" s="73"/>
      <c r="AW1739" s="73"/>
      <c r="AX1739" s="73"/>
      <c r="AY1739" s="73"/>
      <c r="AZ1739" s="73"/>
      <c r="BA1739" s="73"/>
      <c r="BB1739" s="73"/>
      <c r="BC1739" s="73"/>
      <c r="BD1739" s="73"/>
      <c r="BE1739" s="73"/>
      <c r="BF1739" s="73"/>
      <c r="BG1739" s="73"/>
      <c r="BH1739" s="73"/>
      <c r="BI1739" s="73"/>
      <c r="BJ1739" s="73"/>
      <c r="BK1739" s="73"/>
      <c r="BL1739" s="73"/>
      <c r="BM1739" s="73"/>
      <c r="BN1739" s="73"/>
      <c r="BO1739" s="73"/>
      <c r="BP1739" s="73"/>
      <c r="BQ1739" s="73"/>
      <c r="BR1739" s="73"/>
      <c r="BS1739" s="73"/>
      <c r="BT1739" s="73"/>
      <c r="BU1739" s="73"/>
      <c r="BV1739" s="73"/>
      <c r="BW1739" s="73"/>
      <c r="BX1739" s="73"/>
      <c r="BY1739" s="73"/>
      <c r="BZ1739" s="73"/>
      <c r="CA1739" s="73"/>
      <c r="CB1739" s="73"/>
      <c r="CC1739" s="73"/>
      <c r="CD1739" s="73"/>
      <c r="CE1739" s="73"/>
      <c r="CF1739" s="73"/>
      <c r="CG1739" s="73"/>
      <c r="CH1739" s="73"/>
      <c r="CI1739" s="73"/>
      <c r="CJ1739" s="73"/>
      <c r="CK1739" s="73"/>
      <c r="CL1739" s="73"/>
      <c r="CM1739" s="73"/>
      <c r="CN1739" s="73"/>
      <c r="CO1739" s="73"/>
      <c r="CP1739" s="73"/>
      <c r="CQ1739" s="73"/>
      <c r="CR1739" s="73"/>
      <c r="CS1739" s="73"/>
      <c r="CT1739" s="73"/>
      <c r="CU1739" s="73"/>
      <c r="CV1739" s="73"/>
      <c r="CW1739" s="73"/>
      <c r="CX1739" s="73"/>
      <c r="CY1739" s="73"/>
      <c r="CZ1739" s="73"/>
      <c r="DA1739" s="73"/>
      <c r="DB1739" s="73"/>
      <c r="DC1739" s="73"/>
      <c r="DD1739" s="73"/>
      <c r="DE1739" s="73"/>
      <c r="DF1739" s="73"/>
      <c r="DG1739" s="73"/>
      <c r="DH1739" s="73"/>
      <c r="DI1739" s="73"/>
      <c r="DJ1739" s="73"/>
      <c r="DK1739" s="73"/>
      <c r="DL1739" s="73"/>
      <c r="DM1739" s="73"/>
    </row>
    <row r="1740" spans="1:117" s="48" customFormat="1">
      <c r="A1740" s="73"/>
      <c r="T1740" s="73"/>
      <c r="U1740" s="73"/>
      <c r="V1740" s="73"/>
      <c r="W1740" s="73"/>
      <c r="X1740" s="73"/>
      <c r="Y1740" s="73"/>
      <c r="Z1740" s="73"/>
      <c r="AA1740" s="73"/>
      <c r="AB1740" s="73"/>
      <c r="AC1740" s="73"/>
      <c r="AD1740" s="73"/>
      <c r="AE1740" s="73"/>
      <c r="AF1740" s="73"/>
      <c r="AG1740" s="73"/>
      <c r="AH1740" s="73"/>
      <c r="AI1740" s="73"/>
      <c r="AJ1740" s="73"/>
      <c r="AK1740" s="73"/>
      <c r="AL1740" s="73"/>
      <c r="AM1740" s="73"/>
      <c r="AN1740" s="73"/>
      <c r="AO1740" s="73"/>
      <c r="AP1740" s="73"/>
      <c r="AQ1740" s="73"/>
      <c r="AR1740" s="73"/>
      <c r="AS1740" s="73"/>
      <c r="AT1740" s="73"/>
      <c r="AU1740" s="73"/>
      <c r="AV1740" s="73"/>
      <c r="AW1740" s="73"/>
      <c r="AX1740" s="73"/>
      <c r="AY1740" s="73"/>
      <c r="AZ1740" s="73"/>
      <c r="BA1740" s="73"/>
      <c r="BB1740" s="73"/>
      <c r="BC1740" s="73"/>
      <c r="BD1740" s="73"/>
      <c r="BE1740" s="73"/>
      <c r="BF1740" s="73"/>
      <c r="BG1740" s="73"/>
      <c r="BH1740" s="73"/>
      <c r="BI1740" s="73"/>
      <c r="BJ1740" s="73"/>
      <c r="BK1740" s="73"/>
      <c r="BL1740" s="73"/>
      <c r="BM1740" s="73"/>
      <c r="BN1740" s="73"/>
      <c r="BO1740" s="73"/>
      <c r="BP1740" s="73"/>
      <c r="BQ1740" s="73"/>
      <c r="BR1740" s="73"/>
      <c r="BS1740" s="73"/>
      <c r="BT1740" s="73"/>
      <c r="BU1740" s="73"/>
      <c r="BV1740" s="73"/>
      <c r="BW1740" s="73"/>
      <c r="BX1740" s="73"/>
      <c r="BY1740" s="73"/>
      <c r="BZ1740" s="73"/>
      <c r="CA1740" s="73"/>
      <c r="CB1740" s="73"/>
      <c r="CC1740" s="73"/>
      <c r="CD1740" s="73"/>
      <c r="CE1740" s="73"/>
      <c r="CF1740" s="73"/>
      <c r="CG1740" s="73"/>
      <c r="CH1740" s="73"/>
      <c r="CI1740" s="73"/>
      <c r="CJ1740" s="73"/>
      <c r="CK1740" s="73"/>
      <c r="CL1740" s="73"/>
      <c r="CM1740" s="73"/>
      <c r="CN1740" s="73"/>
      <c r="CO1740" s="73"/>
      <c r="CP1740" s="73"/>
      <c r="CQ1740" s="73"/>
      <c r="CR1740" s="73"/>
      <c r="CS1740" s="73"/>
      <c r="CT1740" s="73"/>
      <c r="CU1740" s="73"/>
      <c r="CV1740" s="73"/>
      <c r="CW1740" s="73"/>
      <c r="CX1740" s="73"/>
      <c r="CY1740" s="73"/>
      <c r="CZ1740" s="73"/>
      <c r="DA1740" s="73"/>
      <c r="DB1740" s="73"/>
      <c r="DC1740" s="73"/>
      <c r="DD1740" s="73"/>
      <c r="DE1740" s="73"/>
      <c r="DF1740" s="73"/>
      <c r="DG1740" s="73"/>
      <c r="DH1740" s="73"/>
      <c r="DI1740" s="73"/>
      <c r="DJ1740" s="73"/>
      <c r="DK1740" s="73"/>
      <c r="DL1740" s="73"/>
      <c r="DM1740" s="73"/>
    </row>
    <row r="1741" spans="1:117" s="48" customFormat="1">
      <c r="A1741" s="73"/>
      <c r="T1741" s="73"/>
      <c r="U1741" s="73"/>
      <c r="V1741" s="73"/>
      <c r="W1741" s="73"/>
      <c r="X1741" s="73"/>
      <c r="Y1741" s="73"/>
      <c r="Z1741" s="73"/>
      <c r="AA1741" s="73"/>
      <c r="AB1741" s="73"/>
      <c r="AC1741" s="73"/>
      <c r="AD1741" s="73"/>
      <c r="AE1741" s="73"/>
      <c r="AF1741" s="73"/>
      <c r="AG1741" s="73"/>
      <c r="AH1741" s="73"/>
      <c r="AI1741" s="73"/>
      <c r="AJ1741" s="73"/>
      <c r="AK1741" s="73"/>
      <c r="AL1741" s="73"/>
      <c r="AM1741" s="73"/>
      <c r="AN1741" s="73"/>
      <c r="AO1741" s="73"/>
      <c r="AP1741" s="73"/>
      <c r="AQ1741" s="73"/>
      <c r="AR1741" s="73"/>
      <c r="AS1741" s="73"/>
      <c r="AT1741" s="73"/>
      <c r="AU1741" s="73"/>
      <c r="AV1741" s="73"/>
      <c r="AW1741" s="73"/>
      <c r="AX1741" s="73"/>
      <c r="AY1741" s="73"/>
      <c r="AZ1741" s="73"/>
      <c r="BA1741" s="73"/>
      <c r="BB1741" s="73"/>
      <c r="BC1741" s="73"/>
      <c r="BD1741" s="73"/>
      <c r="BE1741" s="73"/>
      <c r="BF1741" s="73"/>
      <c r="BG1741" s="73"/>
      <c r="BH1741" s="73"/>
      <c r="BI1741" s="73"/>
      <c r="BJ1741" s="73"/>
      <c r="BK1741" s="73"/>
      <c r="BL1741" s="73"/>
      <c r="BM1741" s="73"/>
      <c r="BN1741" s="73"/>
      <c r="BO1741" s="73"/>
      <c r="BP1741" s="73"/>
      <c r="BQ1741" s="73"/>
      <c r="BR1741" s="73"/>
      <c r="BS1741" s="73"/>
      <c r="BT1741" s="73"/>
      <c r="BU1741" s="73"/>
      <c r="BV1741" s="73"/>
      <c r="BW1741" s="73"/>
      <c r="BX1741" s="73"/>
      <c r="BY1741" s="73"/>
      <c r="BZ1741" s="73"/>
      <c r="CA1741" s="73"/>
      <c r="CB1741" s="73"/>
      <c r="CC1741" s="73"/>
      <c r="CD1741" s="73"/>
      <c r="CE1741" s="73"/>
      <c r="CF1741" s="73"/>
      <c r="CG1741" s="73"/>
      <c r="CH1741" s="73"/>
      <c r="CI1741" s="73"/>
      <c r="CJ1741" s="73"/>
      <c r="CK1741" s="73"/>
      <c r="CL1741" s="73"/>
      <c r="CM1741" s="73"/>
      <c r="CN1741" s="73"/>
      <c r="CO1741" s="73"/>
      <c r="CP1741" s="73"/>
      <c r="CQ1741" s="73"/>
      <c r="CR1741" s="73"/>
      <c r="CS1741" s="73"/>
      <c r="CT1741" s="73"/>
      <c r="CU1741" s="73"/>
      <c r="CV1741" s="73"/>
      <c r="CW1741" s="73"/>
      <c r="CX1741" s="73"/>
      <c r="CY1741" s="73"/>
      <c r="CZ1741" s="73"/>
      <c r="DA1741" s="73"/>
      <c r="DB1741" s="73"/>
      <c r="DC1741" s="73"/>
      <c r="DD1741" s="73"/>
      <c r="DE1741" s="73"/>
      <c r="DF1741" s="73"/>
      <c r="DG1741" s="73"/>
      <c r="DH1741" s="73"/>
      <c r="DI1741" s="73"/>
      <c r="DJ1741" s="73"/>
      <c r="DK1741" s="73"/>
      <c r="DL1741" s="73"/>
      <c r="DM1741" s="73"/>
    </row>
    <row r="1742" spans="1:117" s="48" customFormat="1">
      <c r="A1742" s="73"/>
      <c r="T1742" s="73"/>
      <c r="U1742" s="73"/>
      <c r="V1742" s="73"/>
      <c r="W1742" s="73"/>
      <c r="X1742" s="73"/>
      <c r="Y1742" s="73"/>
      <c r="Z1742" s="73"/>
      <c r="AA1742" s="73"/>
      <c r="AB1742" s="73"/>
      <c r="AC1742" s="73"/>
      <c r="AD1742" s="73"/>
      <c r="AE1742" s="73"/>
      <c r="AF1742" s="73"/>
      <c r="AG1742" s="73"/>
      <c r="AH1742" s="73"/>
      <c r="AI1742" s="73"/>
      <c r="AJ1742" s="73"/>
      <c r="AK1742" s="73"/>
      <c r="AL1742" s="73"/>
      <c r="AM1742" s="73"/>
      <c r="AN1742" s="73"/>
      <c r="AO1742" s="73"/>
      <c r="AP1742" s="73"/>
      <c r="AQ1742" s="73"/>
      <c r="AR1742" s="73"/>
      <c r="AS1742" s="73"/>
      <c r="AT1742" s="73"/>
      <c r="AU1742" s="73"/>
      <c r="AV1742" s="73"/>
      <c r="AW1742" s="73"/>
      <c r="AX1742" s="73"/>
      <c r="AY1742" s="73"/>
      <c r="AZ1742" s="73"/>
      <c r="BA1742" s="73"/>
      <c r="BB1742" s="73"/>
      <c r="BC1742" s="73"/>
      <c r="BD1742" s="73"/>
      <c r="BE1742" s="73"/>
      <c r="BF1742" s="73"/>
      <c r="BG1742" s="73"/>
      <c r="BH1742" s="73"/>
      <c r="BI1742" s="73"/>
      <c r="BJ1742" s="73"/>
      <c r="BK1742" s="73"/>
      <c r="BL1742" s="73"/>
      <c r="BM1742" s="73"/>
      <c r="BN1742" s="73"/>
      <c r="BO1742" s="73"/>
      <c r="BP1742" s="73"/>
      <c r="BQ1742" s="73"/>
      <c r="BR1742" s="73"/>
      <c r="BS1742" s="73"/>
      <c r="BT1742" s="73"/>
      <c r="BU1742" s="73"/>
      <c r="BV1742" s="73"/>
      <c r="BW1742" s="73"/>
      <c r="BX1742" s="73"/>
      <c r="BY1742" s="73"/>
      <c r="BZ1742" s="73"/>
      <c r="CA1742" s="73"/>
      <c r="CB1742" s="73"/>
      <c r="CC1742" s="73"/>
      <c r="CD1742" s="73"/>
      <c r="CE1742" s="73"/>
      <c r="CF1742" s="73"/>
      <c r="CG1742" s="73"/>
      <c r="CH1742" s="73"/>
      <c r="CI1742" s="73"/>
      <c r="CJ1742" s="73"/>
      <c r="CK1742" s="73"/>
      <c r="CL1742" s="73"/>
      <c r="CM1742" s="73"/>
      <c r="CN1742" s="73"/>
      <c r="CO1742" s="73"/>
      <c r="CP1742" s="73"/>
      <c r="CQ1742" s="73"/>
      <c r="CR1742" s="73"/>
      <c r="CS1742" s="73"/>
      <c r="CT1742" s="73"/>
      <c r="CU1742" s="73"/>
      <c r="CV1742" s="73"/>
      <c r="CW1742" s="73"/>
      <c r="CX1742" s="73"/>
      <c r="CY1742" s="73"/>
      <c r="CZ1742" s="73"/>
      <c r="DA1742" s="73"/>
      <c r="DB1742" s="73"/>
      <c r="DC1742" s="73"/>
      <c r="DD1742" s="73"/>
      <c r="DE1742" s="73"/>
      <c r="DF1742" s="73"/>
      <c r="DG1742" s="73"/>
      <c r="DH1742" s="73"/>
      <c r="DI1742" s="73"/>
      <c r="DJ1742" s="73"/>
      <c r="DK1742" s="73"/>
      <c r="DL1742" s="73"/>
      <c r="DM1742" s="73"/>
    </row>
    <row r="1743" spans="1:117" s="48" customFormat="1">
      <c r="A1743" s="73"/>
      <c r="T1743" s="73"/>
      <c r="U1743" s="73"/>
      <c r="V1743" s="73"/>
      <c r="W1743" s="73"/>
      <c r="X1743" s="73"/>
      <c r="Y1743" s="73"/>
      <c r="Z1743" s="73"/>
      <c r="AA1743" s="73"/>
      <c r="AB1743" s="73"/>
      <c r="AC1743" s="73"/>
      <c r="AD1743" s="73"/>
      <c r="AE1743" s="73"/>
      <c r="AF1743" s="73"/>
      <c r="AG1743" s="73"/>
      <c r="AH1743" s="73"/>
      <c r="AI1743" s="73"/>
      <c r="AJ1743" s="73"/>
      <c r="AK1743" s="73"/>
      <c r="AL1743" s="73"/>
      <c r="AM1743" s="73"/>
      <c r="AN1743" s="73"/>
      <c r="AO1743" s="73"/>
      <c r="AP1743" s="73"/>
      <c r="AQ1743" s="73"/>
      <c r="AR1743" s="73"/>
      <c r="AS1743" s="73"/>
      <c r="AT1743" s="73"/>
      <c r="AU1743" s="73"/>
      <c r="AV1743" s="73"/>
      <c r="AW1743" s="73"/>
      <c r="AX1743" s="73"/>
      <c r="AY1743" s="73"/>
      <c r="AZ1743" s="73"/>
      <c r="BA1743" s="73"/>
      <c r="BB1743" s="73"/>
      <c r="BC1743" s="73"/>
      <c r="BD1743" s="73"/>
      <c r="BE1743" s="73"/>
      <c r="BF1743" s="73"/>
      <c r="BG1743" s="73"/>
      <c r="BH1743" s="73"/>
      <c r="BI1743" s="73"/>
      <c r="BJ1743" s="73"/>
      <c r="BK1743" s="73"/>
      <c r="BL1743" s="73"/>
      <c r="BM1743" s="73"/>
      <c r="BN1743" s="73"/>
      <c r="BO1743" s="73"/>
      <c r="BP1743" s="73"/>
      <c r="BQ1743" s="73"/>
      <c r="BR1743" s="73"/>
      <c r="BS1743" s="73"/>
      <c r="BT1743" s="73"/>
      <c r="BU1743" s="73"/>
      <c r="BV1743" s="73"/>
      <c r="BW1743" s="73"/>
      <c r="BX1743" s="73"/>
      <c r="BY1743" s="73"/>
      <c r="BZ1743" s="73"/>
      <c r="CA1743" s="73"/>
      <c r="CB1743" s="73"/>
      <c r="CC1743" s="73"/>
      <c r="CD1743" s="73"/>
      <c r="CE1743" s="73"/>
      <c r="CF1743" s="73"/>
      <c r="CG1743" s="73"/>
      <c r="CH1743" s="73"/>
      <c r="CI1743" s="73"/>
      <c r="CJ1743" s="73"/>
      <c r="CK1743" s="73"/>
      <c r="CL1743" s="73"/>
      <c r="CM1743" s="73"/>
      <c r="CN1743" s="73"/>
      <c r="CO1743" s="73"/>
      <c r="CP1743" s="73"/>
      <c r="CQ1743" s="73"/>
      <c r="CR1743" s="73"/>
      <c r="CS1743" s="73"/>
      <c r="CT1743" s="73"/>
      <c r="CU1743" s="73"/>
      <c r="CV1743" s="73"/>
      <c r="CW1743" s="73"/>
      <c r="CX1743" s="73"/>
      <c r="CY1743" s="73"/>
      <c r="CZ1743" s="73"/>
      <c r="DA1743" s="73"/>
      <c r="DB1743" s="73"/>
      <c r="DC1743" s="73"/>
      <c r="DD1743" s="73"/>
      <c r="DE1743" s="73"/>
      <c r="DF1743" s="73"/>
      <c r="DG1743" s="73"/>
      <c r="DH1743" s="73"/>
      <c r="DI1743" s="73"/>
      <c r="DJ1743" s="73"/>
      <c r="DK1743" s="73"/>
      <c r="DL1743" s="73"/>
      <c r="DM1743" s="73"/>
    </row>
    <row r="1744" spans="1:117" s="48" customFormat="1">
      <c r="A1744" s="73"/>
      <c r="T1744" s="73"/>
      <c r="U1744" s="73"/>
      <c r="V1744" s="73"/>
      <c r="W1744" s="73"/>
      <c r="X1744" s="73"/>
      <c r="Y1744" s="73"/>
      <c r="Z1744" s="73"/>
      <c r="AA1744" s="73"/>
      <c r="AB1744" s="73"/>
      <c r="AC1744" s="73"/>
      <c r="AD1744" s="73"/>
      <c r="AE1744" s="73"/>
      <c r="AF1744" s="73"/>
      <c r="AG1744" s="73"/>
      <c r="AH1744" s="73"/>
      <c r="AI1744" s="73"/>
      <c r="AJ1744" s="73"/>
      <c r="AK1744" s="73"/>
      <c r="AL1744" s="73"/>
      <c r="AM1744" s="73"/>
      <c r="AN1744" s="73"/>
      <c r="AO1744" s="73"/>
      <c r="AP1744" s="73"/>
      <c r="AQ1744" s="73"/>
      <c r="AR1744" s="73"/>
      <c r="AS1744" s="73"/>
      <c r="AT1744" s="73"/>
      <c r="AU1744" s="73"/>
      <c r="AV1744" s="73"/>
      <c r="AW1744" s="73"/>
      <c r="AX1744" s="73"/>
      <c r="AY1744" s="73"/>
      <c r="AZ1744" s="73"/>
      <c r="BA1744" s="73"/>
      <c r="BB1744" s="73"/>
      <c r="BC1744" s="73"/>
      <c r="BD1744" s="73"/>
      <c r="BE1744" s="73"/>
      <c r="BF1744" s="73"/>
      <c r="BG1744" s="73"/>
      <c r="BH1744" s="73"/>
      <c r="BI1744" s="73"/>
      <c r="BJ1744" s="73"/>
      <c r="BK1744" s="73"/>
      <c r="BL1744" s="73"/>
      <c r="BM1744" s="73"/>
      <c r="BN1744" s="73"/>
      <c r="BO1744" s="73"/>
      <c r="BP1744" s="73"/>
      <c r="BQ1744" s="73"/>
      <c r="BR1744" s="73"/>
      <c r="BS1744" s="73"/>
      <c r="BT1744" s="73"/>
      <c r="BU1744" s="73"/>
      <c r="BV1744" s="73"/>
      <c r="BW1744" s="73"/>
      <c r="BX1744" s="73"/>
      <c r="BY1744" s="73"/>
      <c r="BZ1744" s="73"/>
      <c r="CA1744" s="73"/>
      <c r="CB1744" s="73"/>
      <c r="CC1744" s="73"/>
      <c r="CD1744" s="73"/>
      <c r="CE1744" s="73"/>
      <c r="CF1744" s="73"/>
      <c r="CG1744" s="73"/>
      <c r="CH1744" s="73"/>
      <c r="CI1744" s="73"/>
      <c r="CJ1744" s="73"/>
      <c r="CK1744" s="73"/>
      <c r="CL1744" s="73"/>
      <c r="CM1744" s="73"/>
      <c r="CN1744" s="73"/>
      <c r="CO1744" s="73"/>
      <c r="CP1744" s="73"/>
      <c r="CQ1744" s="73"/>
      <c r="CR1744" s="73"/>
      <c r="CS1744" s="73"/>
      <c r="CT1744" s="73"/>
      <c r="CU1744" s="73"/>
      <c r="CV1744" s="73"/>
      <c r="CW1744" s="73"/>
      <c r="CX1744" s="73"/>
      <c r="CY1744" s="73"/>
      <c r="CZ1744" s="73"/>
      <c r="DA1744" s="73"/>
      <c r="DB1744" s="73"/>
      <c r="DC1744" s="73"/>
      <c r="DD1744" s="73"/>
      <c r="DE1744" s="73"/>
      <c r="DF1744" s="73"/>
      <c r="DG1744" s="73"/>
      <c r="DH1744" s="73"/>
      <c r="DI1744" s="73"/>
      <c r="DJ1744" s="73"/>
      <c r="DK1744" s="73"/>
      <c r="DL1744" s="73"/>
      <c r="DM1744" s="73"/>
    </row>
    <row r="1745" spans="1:117" s="48" customFormat="1">
      <c r="A1745" s="73"/>
      <c r="T1745" s="73"/>
      <c r="U1745" s="73"/>
      <c r="V1745" s="73"/>
      <c r="W1745" s="73"/>
      <c r="X1745" s="73"/>
      <c r="Y1745" s="73"/>
      <c r="Z1745" s="73"/>
      <c r="AA1745" s="73"/>
      <c r="AB1745" s="73"/>
      <c r="AC1745" s="73"/>
      <c r="AD1745" s="73"/>
      <c r="AE1745" s="73"/>
      <c r="AF1745" s="73"/>
      <c r="AG1745" s="73"/>
      <c r="AH1745" s="73"/>
      <c r="AI1745" s="73"/>
      <c r="AJ1745" s="73"/>
      <c r="AK1745" s="73"/>
      <c r="AL1745" s="73"/>
      <c r="AM1745" s="73"/>
      <c r="AN1745" s="73"/>
      <c r="AO1745" s="73"/>
      <c r="AP1745" s="73"/>
      <c r="AQ1745" s="73"/>
      <c r="AR1745" s="73"/>
      <c r="AS1745" s="73"/>
      <c r="AT1745" s="73"/>
      <c r="AU1745" s="73"/>
      <c r="AV1745" s="73"/>
      <c r="AW1745" s="73"/>
      <c r="AX1745" s="73"/>
      <c r="AY1745" s="73"/>
      <c r="AZ1745" s="73"/>
      <c r="BA1745" s="73"/>
      <c r="BB1745" s="73"/>
      <c r="BC1745" s="73"/>
      <c r="BD1745" s="73"/>
      <c r="BE1745" s="73"/>
      <c r="BF1745" s="73"/>
      <c r="BG1745" s="73"/>
      <c r="BH1745" s="73"/>
      <c r="BI1745" s="73"/>
      <c r="BJ1745" s="73"/>
      <c r="BK1745" s="73"/>
      <c r="BL1745" s="73"/>
      <c r="BM1745" s="73"/>
      <c r="BN1745" s="73"/>
      <c r="BO1745" s="73"/>
      <c r="BP1745" s="73"/>
      <c r="BQ1745" s="73"/>
      <c r="BR1745" s="73"/>
      <c r="BS1745" s="73"/>
      <c r="BT1745" s="73"/>
      <c r="BU1745" s="73"/>
      <c r="BV1745" s="73"/>
      <c r="BW1745" s="73"/>
      <c r="BX1745" s="73"/>
      <c r="BY1745" s="73"/>
      <c r="BZ1745" s="73"/>
      <c r="CA1745" s="73"/>
      <c r="CB1745" s="73"/>
      <c r="CC1745" s="73"/>
      <c r="CD1745" s="73"/>
      <c r="CE1745" s="73"/>
      <c r="CF1745" s="73"/>
      <c r="CG1745" s="73"/>
      <c r="CH1745" s="73"/>
      <c r="CI1745" s="73"/>
      <c r="CJ1745" s="73"/>
      <c r="CK1745" s="73"/>
      <c r="CL1745" s="73"/>
      <c r="CM1745" s="73"/>
      <c r="CN1745" s="73"/>
      <c r="CO1745" s="73"/>
      <c r="CP1745" s="73"/>
      <c r="CQ1745" s="73"/>
      <c r="CR1745" s="73"/>
      <c r="CS1745" s="73"/>
      <c r="CT1745" s="73"/>
      <c r="CU1745" s="73"/>
      <c r="CV1745" s="73"/>
      <c r="CW1745" s="73"/>
      <c r="CX1745" s="73"/>
      <c r="CY1745" s="73"/>
      <c r="CZ1745" s="73"/>
      <c r="DA1745" s="73"/>
      <c r="DB1745" s="73"/>
      <c r="DC1745" s="73"/>
      <c r="DD1745" s="73"/>
      <c r="DE1745" s="73"/>
      <c r="DF1745" s="73"/>
      <c r="DG1745" s="73"/>
      <c r="DH1745" s="73"/>
      <c r="DI1745" s="73"/>
      <c r="DJ1745" s="73"/>
      <c r="DK1745" s="73"/>
      <c r="DL1745" s="73"/>
      <c r="DM1745" s="73"/>
    </row>
    <row r="1746" spans="1:117" s="48" customFormat="1">
      <c r="A1746" s="73"/>
      <c r="T1746" s="73"/>
      <c r="U1746" s="73"/>
      <c r="V1746" s="73"/>
      <c r="W1746" s="73"/>
      <c r="X1746" s="73"/>
      <c r="Y1746" s="73"/>
      <c r="Z1746" s="73"/>
      <c r="AA1746" s="73"/>
      <c r="AB1746" s="73"/>
      <c r="AC1746" s="73"/>
      <c r="AD1746" s="73"/>
      <c r="AE1746" s="73"/>
      <c r="AF1746" s="73"/>
      <c r="AG1746" s="73"/>
      <c r="AH1746" s="73"/>
      <c r="AI1746" s="73"/>
      <c r="AJ1746" s="73"/>
      <c r="AK1746" s="73"/>
      <c r="AL1746" s="73"/>
      <c r="AM1746" s="73"/>
      <c r="AN1746" s="73"/>
      <c r="AO1746" s="73"/>
      <c r="AP1746" s="73"/>
      <c r="AQ1746" s="73"/>
      <c r="AR1746" s="73"/>
      <c r="AS1746" s="73"/>
      <c r="AT1746" s="73"/>
      <c r="AU1746" s="73"/>
      <c r="AV1746" s="73"/>
      <c r="AW1746" s="73"/>
      <c r="AX1746" s="73"/>
      <c r="AY1746" s="73"/>
      <c r="AZ1746" s="73"/>
      <c r="BA1746" s="73"/>
      <c r="BB1746" s="73"/>
      <c r="BC1746" s="73"/>
      <c r="BD1746" s="73"/>
      <c r="BE1746" s="73"/>
      <c r="BF1746" s="73"/>
      <c r="BG1746" s="73"/>
      <c r="BH1746" s="73"/>
      <c r="BI1746" s="73"/>
      <c r="BJ1746" s="73"/>
      <c r="BK1746" s="73"/>
      <c r="BL1746" s="73"/>
      <c r="BM1746" s="73"/>
      <c r="BN1746" s="73"/>
      <c r="BO1746" s="73"/>
      <c r="BP1746" s="73"/>
      <c r="BQ1746" s="73"/>
      <c r="BR1746" s="73"/>
      <c r="BS1746" s="73"/>
      <c r="BT1746" s="73"/>
      <c r="BU1746" s="73"/>
      <c r="BV1746" s="73"/>
      <c r="BW1746" s="73"/>
      <c r="BX1746" s="73"/>
      <c r="BY1746" s="73"/>
      <c r="BZ1746" s="73"/>
      <c r="CA1746" s="73"/>
      <c r="CB1746" s="73"/>
      <c r="CC1746" s="73"/>
      <c r="CD1746" s="73"/>
      <c r="CE1746" s="73"/>
      <c r="CF1746" s="73"/>
      <c r="CG1746" s="73"/>
      <c r="CH1746" s="73"/>
      <c r="CI1746" s="73"/>
      <c r="CJ1746" s="73"/>
      <c r="CK1746" s="73"/>
      <c r="CL1746" s="73"/>
      <c r="CM1746" s="73"/>
      <c r="CN1746" s="73"/>
      <c r="CO1746" s="73"/>
      <c r="CP1746" s="73"/>
      <c r="CQ1746" s="73"/>
      <c r="CR1746" s="73"/>
      <c r="CS1746" s="73"/>
      <c r="CT1746" s="73"/>
      <c r="CU1746" s="73"/>
      <c r="CV1746" s="73"/>
      <c r="CW1746" s="73"/>
      <c r="CX1746" s="73"/>
      <c r="CY1746" s="73"/>
      <c r="CZ1746" s="73"/>
      <c r="DA1746" s="73"/>
      <c r="DB1746" s="73"/>
      <c r="DC1746" s="73"/>
      <c r="DD1746" s="73"/>
      <c r="DE1746" s="73"/>
      <c r="DF1746" s="73"/>
      <c r="DG1746" s="73"/>
      <c r="DH1746" s="73"/>
      <c r="DI1746" s="73"/>
      <c r="DJ1746" s="73"/>
      <c r="DK1746" s="73"/>
      <c r="DL1746" s="73"/>
      <c r="DM1746" s="73"/>
    </row>
    <row r="1747" spans="1:117" s="48" customFormat="1">
      <c r="A1747" s="73"/>
      <c r="T1747" s="73"/>
      <c r="U1747" s="73"/>
      <c r="V1747" s="73"/>
      <c r="W1747" s="73"/>
      <c r="X1747" s="73"/>
      <c r="Y1747" s="73"/>
      <c r="Z1747" s="73"/>
      <c r="AA1747" s="73"/>
      <c r="AB1747" s="73"/>
      <c r="AC1747" s="73"/>
      <c r="AD1747" s="73"/>
      <c r="AE1747" s="73"/>
      <c r="AF1747" s="73"/>
      <c r="AG1747" s="73"/>
      <c r="AH1747" s="73"/>
      <c r="AI1747" s="73"/>
      <c r="AJ1747" s="73"/>
      <c r="AK1747" s="73"/>
      <c r="AL1747" s="73"/>
      <c r="AM1747" s="73"/>
      <c r="AN1747" s="73"/>
      <c r="AO1747" s="73"/>
      <c r="AP1747" s="73"/>
      <c r="AQ1747" s="73"/>
      <c r="AR1747" s="73"/>
      <c r="AS1747" s="73"/>
      <c r="AT1747" s="73"/>
      <c r="AU1747" s="73"/>
      <c r="AV1747" s="73"/>
      <c r="AW1747" s="73"/>
      <c r="AX1747" s="73"/>
      <c r="AY1747" s="73"/>
      <c r="AZ1747" s="73"/>
      <c r="BA1747" s="73"/>
      <c r="BB1747" s="73"/>
      <c r="BC1747" s="73"/>
      <c r="BD1747" s="73"/>
      <c r="BE1747" s="73"/>
      <c r="BF1747" s="73"/>
      <c r="BG1747" s="73"/>
      <c r="BH1747" s="73"/>
      <c r="BI1747" s="73"/>
      <c r="BJ1747" s="73"/>
      <c r="BK1747" s="73"/>
      <c r="BL1747" s="73"/>
      <c r="BM1747" s="73"/>
      <c r="BN1747" s="73"/>
      <c r="BO1747" s="73"/>
      <c r="BP1747" s="73"/>
      <c r="BQ1747" s="73"/>
      <c r="BR1747" s="73"/>
      <c r="BS1747" s="73"/>
      <c r="BT1747" s="73"/>
      <c r="BU1747" s="73"/>
      <c r="BV1747" s="73"/>
      <c r="BW1747" s="73"/>
      <c r="BX1747" s="73"/>
      <c r="BY1747" s="73"/>
      <c r="BZ1747" s="73"/>
      <c r="CA1747" s="73"/>
      <c r="CB1747" s="73"/>
      <c r="CC1747" s="73"/>
      <c r="CD1747" s="73"/>
      <c r="CE1747" s="73"/>
      <c r="CF1747" s="73"/>
      <c r="CG1747" s="73"/>
      <c r="CH1747" s="73"/>
      <c r="CI1747" s="73"/>
      <c r="CJ1747" s="73"/>
      <c r="CK1747" s="73"/>
      <c r="CL1747" s="73"/>
      <c r="CM1747" s="73"/>
      <c r="CN1747" s="73"/>
      <c r="CO1747" s="73"/>
      <c r="CP1747" s="73"/>
      <c r="CQ1747" s="73"/>
      <c r="CR1747" s="73"/>
      <c r="CS1747" s="73"/>
      <c r="CT1747" s="73"/>
      <c r="CU1747" s="73"/>
      <c r="CV1747" s="73"/>
      <c r="CW1747" s="73"/>
      <c r="CX1747" s="73"/>
      <c r="CY1747" s="73"/>
      <c r="CZ1747" s="73"/>
      <c r="DA1747" s="73"/>
      <c r="DB1747" s="73"/>
      <c r="DC1747" s="73"/>
      <c r="DD1747" s="73"/>
      <c r="DE1747" s="73"/>
      <c r="DF1747" s="73"/>
      <c r="DG1747" s="73"/>
      <c r="DH1747" s="73"/>
      <c r="DI1747" s="73"/>
      <c r="DJ1747" s="73"/>
      <c r="DK1747" s="73"/>
      <c r="DL1747" s="73"/>
      <c r="DM1747" s="73"/>
    </row>
    <row r="1748" spans="1:117" s="48" customFormat="1">
      <c r="A1748" s="73"/>
      <c r="T1748" s="73"/>
      <c r="U1748" s="73"/>
      <c r="V1748" s="73"/>
      <c r="W1748" s="73"/>
      <c r="X1748" s="73"/>
      <c r="Y1748" s="73"/>
      <c r="Z1748" s="73"/>
      <c r="AA1748" s="73"/>
      <c r="AB1748" s="73"/>
      <c r="AC1748" s="73"/>
      <c r="AD1748" s="73"/>
      <c r="AE1748" s="73"/>
      <c r="AF1748" s="73"/>
      <c r="AG1748" s="73"/>
      <c r="AH1748" s="73"/>
      <c r="AI1748" s="73"/>
      <c r="AJ1748" s="73"/>
      <c r="AK1748" s="73"/>
      <c r="AL1748" s="73"/>
      <c r="AM1748" s="73"/>
      <c r="AN1748" s="73"/>
      <c r="AO1748" s="73"/>
      <c r="AP1748" s="73"/>
      <c r="AQ1748" s="73"/>
      <c r="AR1748" s="73"/>
      <c r="AS1748" s="73"/>
      <c r="AT1748" s="73"/>
      <c r="AU1748" s="73"/>
      <c r="AV1748" s="73"/>
      <c r="AW1748" s="73"/>
      <c r="AX1748" s="73"/>
      <c r="AY1748" s="73"/>
      <c r="AZ1748" s="73"/>
      <c r="BA1748" s="73"/>
      <c r="BB1748" s="73"/>
      <c r="BC1748" s="73"/>
      <c r="BD1748" s="73"/>
      <c r="BE1748" s="73"/>
      <c r="BF1748" s="73"/>
      <c r="BG1748" s="73"/>
      <c r="BH1748" s="73"/>
      <c r="BI1748" s="73"/>
      <c r="BJ1748" s="73"/>
      <c r="BK1748" s="73"/>
      <c r="BL1748" s="73"/>
      <c r="BM1748" s="73"/>
      <c r="BN1748" s="73"/>
      <c r="BO1748" s="73"/>
      <c r="BP1748" s="73"/>
      <c r="BQ1748" s="73"/>
      <c r="BR1748" s="73"/>
      <c r="BS1748" s="73"/>
      <c r="BT1748" s="73"/>
      <c r="BU1748" s="73"/>
      <c r="BV1748" s="73"/>
      <c r="BW1748" s="73"/>
      <c r="BX1748" s="73"/>
      <c r="BY1748" s="73"/>
      <c r="BZ1748" s="73"/>
      <c r="CA1748" s="73"/>
      <c r="CB1748" s="73"/>
      <c r="CC1748" s="73"/>
      <c r="CD1748" s="73"/>
      <c r="CE1748" s="73"/>
      <c r="CF1748" s="73"/>
      <c r="CG1748" s="73"/>
      <c r="CH1748" s="73"/>
      <c r="CI1748" s="73"/>
      <c r="CJ1748" s="73"/>
      <c r="CK1748" s="73"/>
      <c r="CL1748" s="73"/>
      <c r="CM1748" s="73"/>
      <c r="CN1748" s="73"/>
      <c r="CO1748" s="73"/>
      <c r="CP1748" s="73"/>
      <c r="CQ1748" s="73"/>
      <c r="CR1748" s="73"/>
      <c r="CS1748" s="73"/>
      <c r="CT1748" s="73"/>
      <c r="CU1748" s="73"/>
      <c r="CV1748" s="73"/>
      <c r="CW1748" s="73"/>
      <c r="CX1748" s="73"/>
      <c r="CY1748" s="73"/>
      <c r="CZ1748" s="73"/>
      <c r="DA1748" s="73"/>
      <c r="DB1748" s="73"/>
      <c r="DC1748" s="73"/>
      <c r="DD1748" s="73"/>
      <c r="DE1748" s="73"/>
      <c r="DF1748" s="73"/>
      <c r="DG1748" s="73"/>
      <c r="DH1748" s="73"/>
      <c r="DI1748" s="73"/>
      <c r="DJ1748" s="73"/>
      <c r="DK1748" s="73"/>
      <c r="DL1748" s="73"/>
      <c r="DM1748" s="73"/>
    </row>
    <row r="1749" spans="1:117" s="48" customFormat="1">
      <c r="A1749" s="73"/>
      <c r="T1749" s="73"/>
      <c r="U1749" s="73"/>
      <c r="V1749" s="73"/>
      <c r="W1749" s="73"/>
      <c r="X1749" s="73"/>
      <c r="Y1749" s="73"/>
      <c r="Z1749" s="73"/>
      <c r="AA1749" s="73"/>
      <c r="AB1749" s="73"/>
      <c r="AC1749" s="73"/>
      <c r="AD1749" s="73"/>
      <c r="AE1749" s="73"/>
      <c r="AF1749" s="73"/>
      <c r="AG1749" s="73"/>
      <c r="AH1749" s="73"/>
      <c r="AI1749" s="73"/>
      <c r="AJ1749" s="73"/>
      <c r="AK1749" s="73"/>
      <c r="AL1749" s="73"/>
      <c r="AM1749" s="73"/>
      <c r="AN1749" s="73"/>
      <c r="AO1749" s="73"/>
      <c r="AP1749" s="73"/>
      <c r="AQ1749" s="73"/>
      <c r="AR1749" s="73"/>
      <c r="AS1749" s="73"/>
      <c r="AT1749" s="73"/>
      <c r="AU1749" s="73"/>
      <c r="AV1749" s="73"/>
      <c r="AW1749" s="73"/>
      <c r="AX1749" s="73"/>
      <c r="AY1749" s="73"/>
      <c r="AZ1749" s="73"/>
      <c r="BA1749" s="73"/>
      <c r="BB1749" s="73"/>
      <c r="BC1749" s="73"/>
      <c r="BD1749" s="73"/>
      <c r="BE1749" s="73"/>
      <c r="BF1749" s="73"/>
      <c r="BG1749" s="73"/>
      <c r="BH1749" s="73"/>
      <c r="BI1749" s="73"/>
      <c r="BJ1749" s="73"/>
      <c r="BK1749" s="73"/>
      <c r="BL1749" s="73"/>
      <c r="BM1749" s="73"/>
      <c r="BN1749" s="73"/>
      <c r="BO1749" s="73"/>
      <c r="BP1749" s="73"/>
      <c r="BQ1749" s="73"/>
      <c r="BR1749" s="73"/>
      <c r="BS1749" s="73"/>
      <c r="BT1749" s="73"/>
      <c r="BU1749" s="73"/>
      <c r="BV1749" s="73"/>
      <c r="BW1749" s="73"/>
      <c r="BX1749" s="73"/>
      <c r="BY1749" s="73"/>
      <c r="BZ1749" s="73"/>
      <c r="CA1749" s="73"/>
      <c r="CB1749" s="73"/>
      <c r="CC1749" s="73"/>
      <c r="CD1749" s="73"/>
      <c r="CE1749" s="73"/>
      <c r="CF1749" s="73"/>
      <c r="CG1749" s="73"/>
      <c r="CH1749" s="73"/>
      <c r="CI1749" s="73"/>
      <c r="CJ1749" s="73"/>
      <c r="CK1749" s="73"/>
      <c r="CL1749" s="73"/>
      <c r="CM1749" s="73"/>
      <c r="CN1749" s="73"/>
      <c r="CO1749" s="73"/>
      <c r="CP1749" s="73"/>
      <c r="CQ1749" s="73"/>
      <c r="CR1749" s="73"/>
      <c r="CS1749" s="73"/>
      <c r="CT1749" s="73"/>
      <c r="CU1749" s="73"/>
      <c r="CV1749" s="73"/>
      <c r="CW1749" s="73"/>
      <c r="CX1749" s="73"/>
      <c r="CY1749" s="73"/>
      <c r="CZ1749" s="73"/>
      <c r="DA1749" s="73"/>
      <c r="DB1749" s="73"/>
      <c r="DC1749" s="73"/>
      <c r="DD1749" s="73"/>
      <c r="DE1749" s="73"/>
      <c r="DF1749" s="73"/>
      <c r="DG1749" s="73"/>
      <c r="DH1749" s="73"/>
      <c r="DI1749" s="73"/>
      <c r="DJ1749" s="73"/>
      <c r="DK1749" s="73"/>
      <c r="DL1749" s="73"/>
      <c r="DM1749" s="73"/>
    </row>
    <row r="1750" spans="1:117" s="48" customFormat="1">
      <c r="A1750" s="73"/>
      <c r="T1750" s="73"/>
      <c r="U1750" s="73"/>
      <c r="V1750" s="73"/>
      <c r="W1750" s="73"/>
      <c r="X1750" s="73"/>
      <c r="Y1750" s="73"/>
      <c r="Z1750" s="73"/>
      <c r="AA1750" s="73"/>
      <c r="AB1750" s="73"/>
      <c r="AC1750" s="73"/>
      <c r="AD1750" s="73"/>
      <c r="AE1750" s="73"/>
      <c r="AF1750" s="73"/>
      <c r="AG1750" s="73"/>
      <c r="AH1750" s="73"/>
      <c r="AI1750" s="73"/>
      <c r="AJ1750" s="73"/>
      <c r="AK1750" s="73"/>
      <c r="AL1750" s="73"/>
      <c r="AM1750" s="73"/>
      <c r="AN1750" s="73"/>
      <c r="AO1750" s="73"/>
      <c r="AP1750" s="73"/>
      <c r="AQ1750" s="73"/>
      <c r="AR1750" s="73"/>
      <c r="AS1750" s="73"/>
      <c r="AT1750" s="73"/>
      <c r="AU1750" s="73"/>
      <c r="AV1750" s="73"/>
      <c r="AW1750" s="73"/>
      <c r="AX1750" s="73"/>
      <c r="AY1750" s="73"/>
      <c r="AZ1750" s="73"/>
      <c r="BA1750" s="73"/>
      <c r="BB1750" s="73"/>
      <c r="BC1750" s="73"/>
      <c r="BD1750" s="73"/>
      <c r="BE1750" s="73"/>
      <c r="BF1750" s="73"/>
      <c r="BG1750" s="73"/>
      <c r="BH1750" s="73"/>
      <c r="BI1750" s="73"/>
      <c r="BJ1750" s="73"/>
      <c r="BK1750" s="73"/>
      <c r="BL1750" s="73"/>
      <c r="BM1750" s="73"/>
      <c r="BN1750" s="73"/>
      <c r="BO1750" s="73"/>
      <c r="BP1750" s="73"/>
      <c r="BQ1750" s="73"/>
      <c r="BR1750" s="73"/>
      <c r="BS1750" s="73"/>
      <c r="BT1750" s="73"/>
      <c r="BU1750" s="73"/>
      <c r="BV1750" s="73"/>
      <c r="BW1750" s="73"/>
      <c r="BX1750" s="73"/>
      <c r="BY1750" s="73"/>
      <c r="BZ1750" s="73"/>
      <c r="CA1750" s="73"/>
      <c r="CB1750" s="73"/>
      <c r="CC1750" s="73"/>
      <c r="CD1750" s="73"/>
      <c r="CE1750" s="73"/>
      <c r="CF1750" s="73"/>
      <c r="CG1750" s="73"/>
      <c r="CH1750" s="73"/>
      <c r="CI1750" s="73"/>
      <c r="CJ1750" s="73"/>
      <c r="CK1750" s="73"/>
      <c r="CL1750" s="73"/>
      <c r="CM1750" s="73"/>
      <c r="CN1750" s="73"/>
      <c r="CO1750" s="73"/>
      <c r="CP1750" s="73"/>
      <c r="CQ1750" s="73"/>
      <c r="CR1750" s="73"/>
      <c r="CS1750" s="73"/>
      <c r="CT1750" s="73"/>
      <c r="CU1750" s="73"/>
      <c r="CV1750" s="73"/>
      <c r="CW1750" s="73"/>
      <c r="CX1750" s="73"/>
      <c r="CY1750" s="73"/>
      <c r="CZ1750" s="73"/>
      <c r="DA1750" s="73"/>
      <c r="DB1750" s="73"/>
      <c r="DC1750" s="73"/>
      <c r="DD1750" s="73"/>
      <c r="DE1750" s="73"/>
      <c r="DF1750" s="73"/>
      <c r="DG1750" s="73"/>
      <c r="DH1750" s="73"/>
      <c r="DI1750" s="73"/>
      <c r="DJ1750" s="73"/>
      <c r="DK1750" s="73"/>
      <c r="DL1750" s="73"/>
      <c r="DM1750" s="73"/>
    </row>
    <row r="1751" spans="1:117" s="48" customFormat="1">
      <c r="A1751" s="73"/>
      <c r="T1751" s="73"/>
      <c r="U1751" s="73"/>
      <c r="V1751" s="73"/>
      <c r="W1751" s="73"/>
      <c r="X1751" s="73"/>
      <c r="Y1751" s="73"/>
      <c r="Z1751" s="73"/>
      <c r="AA1751" s="73"/>
      <c r="AB1751" s="73"/>
      <c r="AC1751" s="73"/>
      <c r="AD1751" s="73"/>
      <c r="AE1751" s="73"/>
      <c r="AF1751" s="73"/>
      <c r="AG1751" s="73"/>
      <c r="AH1751" s="73"/>
      <c r="AI1751" s="73"/>
      <c r="AJ1751" s="73"/>
      <c r="AK1751" s="73"/>
      <c r="AL1751" s="73"/>
      <c r="AM1751" s="73"/>
      <c r="AN1751" s="73"/>
      <c r="AO1751" s="73"/>
      <c r="AP1751" s="73"/>
      <c r="AQ1751" s="73"/>
      <c r="AR1751" s="73"/>
      <c r="AS1751" s="73"/>
      <c r="AT1751" s="73"/>
      <c r="AU1751" s="73"/>
      <c r="AV1751" s="73"/>
      <c r="AW1751" s="73"/>
      <c r="AX1751" s="73"/>
      <c r="AY1751" s="73"/>
      <c r="AZ1751" s="73"/>
      <c r="BA1751" s="73"/>
      <c r="BB1751" s="73"/>
      <c r="BC1751" s="73"/>
      <c r="BD1751" s="73"/>
      <c r="BE1751" s="73"/>
      <c r="BF1751" s="73"/>
      <c r="BG1751" s="73"/>
      <c r="BH1751" s="73"/>
      <c r="BI1751" s="73"/>
      <c r="BJ1751" s="73"/>
      <c r="BK1751" s="73"/>
      <c r="BL1751" s="73"/>
      <c r="BM1751" s="73"/>
      <c r="BN1751" s="73"/>
      <c r="BO1751" s="73"/>
      <c r="BP1751" s="73"/>
      <c r="BQ1751" s="73"/>
      <c r="BR1751" s="73"/>
      <c r="BS1751" s="73"/>
      <c r="BT1751" s="73"/>
      <c r="BU1751" s="73"/>
      <c r="BV1751" s="73"/>
      <c r="BW1751" s="73"/>
      <c r="BX1751" s="73"/>
      <c r="BY1751" s="73"/>
      <c r="BZ1751" s="73"/>
      <c r="CA1751" s="73"/>
      <c r="CB1751" s="73"/>
      <c r="CC1751" s="73"/>
      <c r="CD1751" s="73"/>
      <c r="CE1751" s="73"/>
      <c r="CF1751" s="73"/>
      <c r="CG1751" s="73"/>
      <c r="CH1751" s="73"/>
      <c r="CI1751" s="73"/>
      <c r="CJ1751" s="73"/>
      <c r="CK1751" s="73"/>
      <c r="CL1751" s="73"/>
      <c r="CM1751" s="73"/>
      <c r="CN1751" s="73"/>
      <c r="CO1751" s="73"/>
      <c r="CP1751" s="73"/>
      <c r="CQ1751" s="73"/>
      <c r="CR1751" s="73"/>
      <c r="CS1751" s="73"/>
      <c r="CT1751" s="73"/>
      <c r="CU1751" s="73"/>
      <c r="CV1751" s="73"/>
      <c r="CW1751" s="73"/>
      <c r="CX1751" s="73"/>
      <c r="CY1751" s="73"/>
      <c r="CZ1751" s="73"/>
      <c r="DA1751" s="73"/>
      <c r="DB1751" s="73"/>
      <c r="DC1751" s="73"/>
      <c r="DD1751" s="73"/>
      <c r="DE1751" s="73"/>
      <c r="DF1751" s="73"/>
      <c r="DG1751" s="73"/>
      <c r="DH1751" s="73"/>
      <c r="DI1751" s="73"/>
      <c r="DJ1751" s="73"/>
      <c r="DK1751" s="73"/>
      <c r="DL1751" s="73"/>
      <c r="DM1751" s="73"/>
    </row>
    <row r="1752" spans="1:117" s="48" customFormat="1">
      <c r="A1752" s="73"/>
      <c r="T1752" s="73"/>
      <c r="U1752" s="73"/>
      <c r="V1752" s="73"/>
      <c r="W1752" s="73"/>
      <c r="X1752" s="73"/>
      <c r="Y1752" s="73"/>
      <c r="Z1752" s="73"/>
      <c r="AA1752" s="73"/>
      <c r="AB1752" s="73"/>
      <c r="AC1752" s="73"/>
      <c r="AD1752" s="73"/>
      <c r="AE1752" s="73"/>
      <c r="AF1752" s="73"/>
      <c r="AG1752" s="73"/>
      <c r="AH1752" s="73"/>
      <c r="AI1752" s="73"/>
      <c r="AJ1752" s="73"/>
      <c r="AK1752" s="73"/>
      <c r="AL1752" s="73"/>
      <c r="AM1752" s="73"/>
      <c r="AN1752" s="73"/>
      <c r="AO1752" s="73"/>
      <c r="AP1752" s="73"/>
      <c r="AQ1752" s="73"/>
      <c r="AR1752" s="73"/>
      <c r="AS1752" s="73"/>
      <c r="AT1752" s="73"/>
      <c r="AU1752" s="73"/>
      <c r="AV1752" s="73"/>
      <c r="AW1752" s="73"/>
      <c r="AX1752" s="73"/>
      <c r="AY1752" s="73"/>
      <c r="AZ1752" s="73"/>
      <c r="BA1752" s="73"/>
      <c r="BB1752" s="73"/>
      <c r="BC1752" s="73"/>
      <c r="BD1752" s="73"/>
      <c r="BE1752" s="73"/>
      <c r="BF1752" s="73"/>
      <c r="BG1752" s="73"/>
      <c r="BH1752" s="73"/>
      <c r="BI1752" s="73"/>
      <c r="BJ1752" s="73"/>
      <c r="BK1752" s="73"/>
      <c r="BL1752" s="73"/>
      <c r="BM1752" s="73"/>
      <c r="BN1752" s="73"/>
      <c r="BO1752" s="73"/>
      <c r="BP1752" s="73"/>
      <c r="BQ1752" s="73"/>
      <c r="BR1752" s="73"/>
      <c r="BS1752" s="73"/>
      <c r="BT1752" s="73"/>
      <c r="BU1752" s="73"/>
      <c r="BV1752" s="73"/>
      <c r="BW1752" s="73"/>
      <c r="BX1752" s="73"/>
      <c r="BY1752" s="73"/>
      <c r="BZ1752" s="73"/>
      <c r="CA1752" s="73"/>
      <c r="CB1752" s="73"/>
      <c r="CC1752" s="73"/>
      <c r="CD1752" s="73"/>
      <c r="CE1752" s="73"/>
      <c r="CF1752" s="73"/>
      <c r="CG1752" s="73"/>
      <c r="CH1752" s="73"/>
      <c r="CI1752" s="73"/>
      <c r="CJ1752" s="73"/>
      <c r="CK1752" s="73"/>
      <c r="CL1752" s="73"/>
      <c r="CM1752" s="73"/>
      <c r="CN1752" s="73"/>
      <c r="CO1752" s="73"/>
      <c r="CP1752" s="73"/>
      <c r="CQ1752" s="73"/>
      <c r="CR1752" s="73"/>
      <c r="CS1752" s="73"/>
      <c r="CT1752" s="73"/>
      <c r="CU1752" s="73"/>
      <c r="CV1752" s="73"/>
      <c r="CW1752" s="73"/>
      <c r="CX1752" s="73"/>
      <c r="CY1752" s="73"/>
      <c r="CZ1752" s="73"/>
      <c r="DA1752" s="73"/>
      <c r="DB1752" s="73"/>
      <c r="DC1752" s="73"/>
      <c r="DD1752" s="73"/>
      <c r="DE1752" s="73"/>
      <c r="DF1752" s="73"/>
      <c r="DG1752" s="73"/>
      <c r="DH1752" s="73"/>
      <c r="DI1752" s="73"/>
      <c r="DJ1752" s="73"/>
      <c r="DK1752" s="73"/>
      <c r="DL1752" s="73"/>
      <c r="DM1752" s="73"/>
    </row>
    <row r="1753" spans="1:117" s="48" customFormat="1">
      <c r="A1753" s="73"/>
      <c r="T1753" s="73"/>
      <c r="U1753" s="73"/>
      <c r="V1753" s="73"/>
      <c r="W1753" s="73"/>
      <c r="X1753" s="73"/>
      <c r="Y1753" s="73"/>
      <c r="Z1753" s="73"/>
      <c r="AA1753" s="73"/>
      <c r="AB1753" s="73"/>
      <c r="AC1753" s="73"/>
      <c r="AD1753" s="73"/>
      <c r="AE1753" s="73"/>
      <c r="AF1753" s="73"/>
      <c r="AG1753" s="73"/>
      <c r="AH1753" s="73"/>
      <c r="AI1753" s="73"/>
      <c r="AJ1753" s="73"/>
      <c r="AK1753" s="73"/>
      <c r="AL1753" s="73"/>
      <c r="AM1753" s="73"/>
      <c r="AN1753" s="73"/>
      <c r="AO1753" s="73"/>
      <c r="AP1753" s="73"/>
      <c r="AQ1753" s="73"/>
      <c r="AR1753" s="73"/>
      <c r="AS1753" s="73"/>
      <c r="AT1753" s="73"/>
      <c r="AU1753" s="73"/>
      <c r="AV1753" s="73"/>
      <c r="AW1753" s="73"/>
      <c r="AX1753" s="73"/>
      <c r="AY1753" s="73"/>
      <c r="AZ1753" s="73"/>
      <c r="BA1753" s="73"/>
      <c r="BB1753" s="73"/>
      <c r="BC1753" s="73"/>
      <c r="BD1753" s="73"/>
      <c r="BE1753" s="73"/>
      <c r="BF1753" s="73"/>
      <c r="BG1753" s="73"/>
      <c r="BH1753" s="73"/>
      <c r="BI1753" s="73"/>
      <c r="BJ1753" s="73"/>
      <c r="BK1753" s="73"/>
      <c r="BL1753" s="73"/>
      <c r="BM1753" s="73"/>
      <c r="BN1753" s="73"/>
      <c r="BO1753" s="73"/>
      <c r="BP1753" s="73"/>
      <c r="BQ1753" s="73"/>
      <c r="BR1753" s="73"/>
      <c r="BS1753" s="73"/>
      <c r="BT1753" s="73"/>
      <c r="BU1753" s="73"/>
      <c r="BV1753" s="73"/>
      <c r="BW1753" s="73"/>
      <c r="BX1753" s="73"/>
      <c r="BY1753" s="73"/>
      <c r="BZ1753" s="73"/>
      <c r="CA1753" s="73"/>
      <c r="CB1753" s="73"/>
      <c r="CC1753" s="73"/>
      <c r="CD1753" s="73"/>
      <c r="CE1753" s="73"/>
      <c r="CF1753" s="73"/>
      <c r="CG1753" s="73"/>
      <c r="CH1753" s="73"/>
      <c r="CI1753" s="73"/>
      <c r="CJ1753" s="73"/>
      <c r="CK1753" s="73"/>
      <c r="CL1753" s="73"/>
      <c r="CM1753" s="73"/>
      <c r="CN1753" s="73"/>
      <c r="CO1753" s="73"/>
      <c r="CP1753" s="73"/>
      <c r="CQ1753" s="73"/>
      <c r="CR1753" s="73"/>
      <c r="CS1753" s="73"/>
      <c r="CT1753" s="73"/>
      <c r="CU1753" s="73"/>
      <c r="CV1753" s="73"/>
      <c r="CW1753" s="73"/>
      <c r="CX1753" s="73"/>
      <c r="CY1753" s="73"/>
      <c r="CZ1753" s="73"/>
      <c r="DA1753" s="73"/>
      <c r="DB1753" s="73"/>
      <c r="DC1753" s="73"/>
      <c r="DD1753" s="73"/>
      <c r="DE1753" s="73"/>
      <c r="DF1753" s="73"/>
      <c r="DG1753" s="73"/>
      <c r="DH1753" s="73"/>
      <c r="DI1753" s="73"/>
      <c r="DJ1753" s="73"/>
      <c r="DK1753" s="73"/>
      <c r="DL1753" s="73"/>
      <c r="DM1753" s="73"/>
    </row>
    <row r="1754" spans="1:117" s="48" customFormat="1">
      <c r="A1754" s="73"/>
      <c r="T1754" s="73"/>
      <c r="U1754" s="73"/>
      <c r="V1754" s="73"/>
      <c r="W1754" s="73"/>
      <c r="X1754" s="73"/>
      <c r="Y1754" s="73"/>
      <c r="Z1754" s="73"/>
      <c r="AA1754" s="73"/>
      <c r="AB1754" s="73"/>
      <c r="AC1754" s="73"/>
      <c r="AD1754" s="73"/>
      <c r="AE1754" s="73"/>
      <c r="AF1754" s="73"/>
      <c r="AG1754" s="73"/>
      <c r="AH1754" s="73"/>
      <c r="AI1754" s="73"/>
      <c r="AJ1754" s="73"/>
      <c r="AK1754" s="73"/>
      <c r="AL1754" s="73"/>
      <c r="AM1754" s="73"/>
      <c r="AN1754" s="73"/>
      <c r="AO1754" s="73"/>
      <c r="AP1754" s="73"/>
      <c r="AQ1754" s="73"/>
      <c r="AR1754" s="73"/>
      <c r="AS1754" s="73"/>
      <c r="AT1754" s="73"/>
      <c r="AU1754" s="73"/>
      <c r="AV1754" s="73"/>
      <c r="AW1754" s="73"/>
      <c r="AX1754" s="73"/>
      <c r="AY1754" s="73"/>
      <c r="AZ1754" s="73"/>
      <c r="BA1754" s="73"/>
      <c r="BB1754" s="73"/>
      <c r="BC1754" s="73"/>
      <c r="BD1754" s="73"/>
      <c r="BE1754" s="73"/>
      <c r="BF1754" s="73"/>
      <c r="BG1754" s="73"/>
      <c r="BH1754" s="73"/>
      <c r="BI1754" s="73"/>
      <c r="BJ1754" s="73"/>
      <c r="BK1754" s="73"/>
      <c r="BL1754" s="73"/>
      <c r="BM1754" s="73"/>
      <c r="BN1754" s="73"/>
      <c r="BO1754" s="73"/>
      <c r="BP1754" s="73"/>
      <c r="BQ1754" s="73"/>
      <c r="BR1754" s="73"/>
      <c r="BS1754" s="73"/>
      <c r="BT1754" s="73"/>
      <c r="BU1754" s="73"/>
      <c r="BV1754" s="73"/>
      <c r="BW1754" s="73"/>
      <c r="BX1754" s="73"/>
      <c r="BY1754" s="73"/>
      <c r="BZ1754" s="73"/>
      <c r="CA1754" s="73"/>
      <c r="CB1754" s="73"/>
      <c r="CC1754" s="73"/>
      <c r="CD1754" s="73"/>
      <c r="CE1754" s="73"/>
      <c r="CF1754" s="73"/>
      <c r="CG1754" s="73"/>
      <c r="CH1754" s="73"/>
      <c r="CI1754" s="73"/>
      <c r="CJ1754" s="73"/>
      <c r="CK1754" s="73"/>
      <c r="CL1754" s="73"/>
      <c r="CM1754" s="73"/>
      <c r="CN1754" s="73"/>
      <c r="CO1754" s="73"/>
      <c r="CP1754" s="73"/>
      <c r="CQ1754" s="73"/>
      <c r="CR1754" s="73"/>
      <c r="CS1754" s="73"/>
      <c r="CT1754" s="73"/>
      <c r="CU1754" s="73"/>
      <c r="CV1754" s="73"/>
      <c r="CW1754" s="73"/>
      <c r="CX1754" s="73"/>
      <c r="CY1754" s="73"/>
      <c r="CZ1754" s="73"/>
      <c r="DA1754" s="73"/>
      <c r="DB1754" s="73"/>
      <c r="DC1754" s="73"/>
      <c r="DD1754" s="73"/>
      <c r="DE1754" s="73"/>
      <c r="DF1754" s="73"/>
      <c r="DG1754" s="73"/>
      <c r="DH1754" s="73"/>
      <c r="DI1754" s="73"/>
      <c r="DJ1754" s="73"/>
      <c r="DK1754" s="73"/>
      <c r="DL1754" s="73"/>
      <c r="DM1754" s="73"/>
    </row>
    <row r="1755" spans="1:117" s="48" customFormat="1">
      <c r="A1755" s="73"/>
      <c r="T1755" s="73"/>
      <c r="U1755" s="73"/>
      <c r="V1755" s="73"/>
      <c r="W1755" s="73"/>
      <c r="X1755" s="73"/>
      <c r="Y1755" s="73"/>
      <c r="Z1755" s="73"/>
      <c r="AA1755" s="73"/>
      <c r="AB1755" s="73"/>
      <c r="AC1755" s="73"/>
      <c r="AD1755" s="73"/>
      <c r="AE1755" s="73"/>
      <c r="AF1755" s="73"/>
      <c r="AG1755" s="73"/>
      <c r="AH1755" s="73"/>
      <c r="AI1755" s="73"/>
      <c r="AJ1755" s="73"/>
      <c r="AK1755" s="73"/>
      <c r="AL1755" s="73"/>
      <c r="AM1755" s="73"/>
      <c r="AN1755" s="73"/>
      <c r="AO1755" s="73"/>
      <c r="AP1755" s="73"/>
      <c r="AQ1755" s="73"/>
      <c r="AR1755" s="73"/>
      <c r="AS1755" s="73"/>
      <c r="AT1755" s="73"/>
      <c r="AU1755" s="73"/>
      <c r="AV1755" s="73"/>
      <c r="AW1755" s="73"/>
      <c r="AX1755" s="73"/>
      <c r="AY1755" s="73"/>
      <c r="AZ1755" s="73"/>
      <c r="BA1755" s="73"/>
      <c r="BB1755" s="73"/>
      <c r="BC1755" s="73"/>
      <c r="BD1755" s="73"/>
      <c r="BE1755" s="73"/>
      <c r="BF1755" s="73"/>
      <c r="BG1755" s="73"/>
      <c r="BH1755" s="73"/>
      <c r="BI1755" s="73"/>
      <c r="BJ1755" s="73"/>
      <c r="BK1755" s="73"/>
      <c r="BL1755" s="73"/>
      <c r="BM1755" s="73"/>
      <c r="BN1755" s="73"/>
      <c r="BO1755" s="73"/>
      <c r="BP1755" s="73"/>
      <c r="BQ1755" s="73"/>
      <c r="BR1755" s="73"/>
      <c r="BS1755" s="73"/>
      <c r="BT1755" s="73"/>
      <c r="BU1755" s="73"/>
      <c r="BV1755" s="73"/>
      <c r="BW1755" s="73"/>
      <c r="BX1755" s="73"/>
      <c r="BY1755" s="73"/>
      <c r="BZ1755" s="73"/>
      <c r="CA1755" s="73"/>
      <c r="CB1755" s="73"/>
      <c r="CC1755" s="73"/>
      <c r="CD1755" s="73"/>
      <c r="CE1755" s="73"/>
      <c r="CF1755" s="73"/>
      <c r="CG1755" s="73"/>
      <c r="CH1755" s="73"/>
      <c r="CI1755" s="73"/>
      <c r="CJ1755" s="73"/>
      <c r="CK1755" s="73"/>
      <c r="CL1755" s="73"/>
      <c r="CM1755" s="73"/>
      <c r="CN1755" s="73"/>
      <c r="CO1755" s="73"/>
      <c r="CP1755" s="73"/>
      <c r="CQ1755" s="73"/>
      <c r="CR1755" s="73"/>
      <c r="CS1755" s="73"/>
      <c r="CT1755" s="73"/>
      <c r="CU1755" s="73"/>
      <c r="CV1755" s="73"/>
      <c r="CW1755" s="73"/>
      <c r="CX1755" s="73"/>
      <c r="CY1755" s="73"/>
      <c r="CZ1755" s="73"/>
      <c r="DA1755" s="73"/>
      <c r="DB1755" s="73"/>
      <c r="DC1755" s="73"/>
      <c r="DD1755" s="73"/>
      <c r="DE1755" s="73"/>
      <c r="DF1755" s="73"/>
      <c r="DG1755" s="73"/>
      <c r="DH1755" s="73"/>
      <c r="DI1755" s="73"/>
      <c r="DJ1755" s="73"/>
      <c r="DK1755" s="73"/>
      <c r="DL1755" s="73"/>
      <c r="DM1755" s="73"/>
    </row>
    <row r="1756" spans="1:117" s="48" customFormat="1">
      <c r="A1756" s="73"/>
      <c r="T1756" s="73"/>
      <c r="U1756" s="73"/>
      <c r="V1756" s="73"/>
      <c r="W1756" s="73"/>
      <c r="X1756" s="73"/>
      <c r="Y1756" s="73"/>
      <c r="Z1756" s="73"/>
      <c r="AA1756" s="73"/>
      <c r="AB1756" s="73"/>
      <c r="AC1756" s="73"/>
      <c r="AD1756" s="73"/>
      <c r="AE1756" s="73"/>
      <c r="AF1756" s="73"/>
      <c r="AG1756" s="73"/>
      <c r="AH1756" s="73"/>
      <c r="AI1756" s="73"/>
      <c r="AJ1756" s="73"/>
      <c r="AK1756" s="73"/>
      <c r="AL1756" s="73"/>
      <c r="AM1756" s="73"/>
      <c r="AN1756" s="73"/>
      <c r="AO1756" s="73"/>
      <c r="AP1756" s="73"/>
      <c r="AQ1756" s="73"/>
      <c r="AR1756" s="73"/>
      <c r="AS1756" s="73"/>
      <c r="AT1756" s="73"/>
      <c r="AU1756" s="73"/>
      <c r="AV1756" s="73"/>
      <c r="AW1756" s="73"/>
      <c r="AX1756" s="73"/>
      <c r="AY1756" s="73"/>
      <c r="AZ1756" s="73"/>
      <c r="BA1756" s="73"/>
      <c r="BB1756" s="73"/>
      <c r="BC1756" s="73"/>
      <c r="BD1756" s="73"/>
      <c r="BE1756" s="73"/>
      <c r="BF1756" s="73"/>
      <c r="BG1756" s="73"/>
      <c r="BH1756" s="73"/>
      <c r="BI1756" s="73"/>
      <c r="BJ1756" s="73"/>
      <c r="BK1756" s="73"/>
      <c r="BL1756" s="73"/>
      <c r="BM1756" s="73"/>
      <c r="BN1756" s="73"/>
      <c r="BO1756" s="73"/>
      <c r="BP1756" s="73"/>
      <c r="BQ1756" s="73"/>
      <c r="BR1756" s="73"/>
      <c r="BS1756" s="73"/>
      <c r="BT1756" s="73"/>
      <c r="BU1756" s="73"/>
      <c r="BV1756" s="73"/>
      <c r="BW1756" s="73"/>
      <c r="BX1756" s="73"/>
      <c r="BY1756" s="73"/>
      <c r="BZ1756" s="73"/>
      <c r="CA1756" s="73"/>
      <c r="CB1756" s="73"/>
      <c r="CC1756" s="73"/>
      <c r="CD1756" s="73"/>
      <c r="CE1756" s="73"/>
      <c r="CF1756" s="73"/>
      <c r="CG1756" s="73"/>
      <c r="CH1756" s="73"/>
      <c r="CI1756" s="73"/>
      <c r="CJ1756" s="73"/>
      <c r="CK1756" s="73"/>
      <c r="CL1756" s="73"/>
      <c r="CM1756" s="73"/>
      <c r="CN1756" s="73"/>
      <c r="CO1756" s="73"/>
      <c r="CP1756" s="73"/>
      <c r="CQ1756" s="73"/>
      <c r="CR1756" s="73"/>
      <c r="CS1756" s="73"/>
      <c r="CT1756" s="73"/>
      <c r="CU1756" s="73"/>
      <c r="CV1756" s="73"/>
      <c r="CW1756" s="73"/>
      <c r="CX1756" s="73"/>
      <c r="CY1756" s="73"/>
      <c r="CZ1756" s="73"/>
      <c r="DA1756" s="73"/>
      <c r="DB1756" s="73"/>
      <c r="DC1756" s="73"/>
      <c r="DD1756" s="73"/>
      <c r="DE1756" s="73"/>
      <c r="DF1756" s="73"/>
      <c r="DG1756" s="73"/>
      <c r="DH1756" s="73"/>
      <c r="DI1756" s="73"/>
      <c r="DJ1756" s="73"/>
      <c r="DK1756" s="73"/>
      <c r="DL1756" s="73"/>
      <c r="DM1756" s="73"/>
    </row>
    <row r="1757" spans="1:117" s="48" customFormat="1">
      <c r="A1757" s="73"/>
      <c r="T1757" s="73"/>
      <c r="U1757" s="73"/>
      <c r="V1757" s="73"/>
      <c r="W1757" s="73"/>
      <c r="X1757" s="73"/>
      <c r="Y1757" s="73"/>
      <c r="Z1757" s="73"/>
      <c r="AA1757" s="73"/>
      <c r="AB1757" s="73"/>
      <c r="AC1757" s="73"/>
      <c r="AD1757" s="73"/>
      <c r="AE1757" s="73"/>
      <c r="AF1757" s="73"/>
      <c r="AG1757" s="73"/>
      <c r="AH1757" s="73"/>
      <c r="AI1757" s="73"/>
      <c r="AJ1757" s="73"/>
      <c r="AK1757" s="73"/>
      <c r="AL1757" s="73"/>
      <c r="AM1757" s="73"/>
      <c r="AN1757" s="73"/>
      <c r="AO1757" s="73"/>
      <c r="AP1757" s="73"/>
      <c r="AQ1757" s="73"/>
      <c r="AR1757" s="73"/>
      <c r="AS1757" s="73"/>
      <c r="AT1757" s="73"/>
      <c r="AU1757" s="73"/>
      <c r="AV1757" s="73"/>
      <c r="AW1757" s="73"/>
      <c r="AX1757" s="73"/>
      <c r="AY1757" s="73"/>
      <c r="AZ1757" s="73"/>
      <c r="BA1757" s="73"/>
      <c r="BB1757" s="73"/>
      <c r="BC1757" s="73"/>
      <c r="BD1757" s="73"/>
      <c r="BE1757" s="73"/>
      <c r="BF1757" s="73"/>
      <c r="BG1757" s="73"/>
      <c r="BH1757" s="73"/>
      <c r="BI1757" s="73"/>
      <c r="BJ1757" s="73"/>
      <c r="BK1757" s="73"/>
      <c r="BL1757" s="73"/>
      <c r="BM1757" s="73"/>
      <c r="BN1757" s="73"/>
      <c r="BO1757" s="73"/>
      <c r="BP1757" s="73"/>
      <c r="BQ1757" s="73"/>
      <c r="BR1757" s="73"/>
      <c r="BS1757" s="73"/>
      <c r="BT1757" s="73"/>
      <c r="BU1757" s="73"/>
      <c r="BV1757" s="73"/>
      <c r="BW1757" s="73"/>
      <c r="BX1757" s="73"/>
      <c r="BY1757" s="73"/>
      <c r="BZ1757" s="73"/>
      <c r="CA1757" s="73"/>
      <c r="CB1757" s="73"/>
      <c r="CC1757" s="73"/>
      <c r="CD1757" s="73"/>
      <c r="CE1757" s="73"/>
      <c r="CF1757" s="73"/>
      <c r="CG1757" s="73"/>
      <c r="CH1757" s="73"/>
      <c r="CI1757" s="73"/>
      <c r="CJ1757" s="73"/>
      <c r="CK1757" s="73"/>
      <c r="CL1757" s="73"/>
      <c r="CM1757" s="73"/>
      <c r="CN1757" s="73"/>
      <c r="CO1757" s="73"/>
      <c r="CP1757" s="73"/>
      <c r="CQ1757" s="73"/>
      <c r="CR1757" s="73"/>
      <c r="CS1757" s="73"/>
      <c r="CT1757" s="73"/>
      <c r="CU1757" s="73"/>
      <c r="CV1757" s="73"/>
      <c r="CW1757" s="73"/>
      <c r="CX1757" s="73"/>
      <c r="CY1757" s="73"/>
      <c r="CZ1757" s="73"/>
      <c r="DA1757" s="73"/>
      <c r="DB1757" s="73"/>
      <c r="DC1757" s="73"/>
      <c r="DD1757" s="73"/>
      <c r="DE1757" s="73"/>
      <c r="DF1757" s="73"/>
      <c r="DG1757" s="73"/>
      <c r="DH1757" s="73"/>
      <c r="DI1757" s="73"/>
      <c r="DJ1757" s="73"/>
      <c r="DK1757" s="73"/>
      <c r="DL1757" s="73"/>
      <c r="DM1757" s="73"/>
    </row>
    <row r="1758" spans="1:117" s="48" customFormat="1">
      <c r="A1758" s="73"/>
      <c r="T1758" s="73"/>
      <c r="U1758" s="73"/>
      <c r="V1758" s="73"/>
      <c r="W1758" s="73"/>
      <c r="X1758" s="73"/>
      <c r="Y1758" s="73"/>
      <c r="Z1758" s="73"/>
      <c r="AA1758" s="73"/>
      <c r="AB1758" s="73"/>
      <c r="AC1758" s="73"/>
      <c r="AD1758" s="73"/>
      <c r="AE1758" s="73"/>
      <c r="AF1758" s="73"/>
      <c r="AG1758" s="73"/>
      <c r="AH1758" s="73"/>
      <c r="AI1758" s="73"/>
      <c r="AJ1758" s="73"/>
      <c r="AK1758" s="73"/>
      <c r="AL1758" s="73"/>
      <c r="AM1758" s="73"/>
      <c r="AN1758" s="73"/>
      <c r="AO1758" s="73"/>
      <c r="AP1758" s="73"/>
      <c r="AQ1758" s="73"/>
      <c r="AR1758" s="73"/>
      <c r="AS1758" s="73"/>
      <c r="AT1758" s="73"/>
      <c r="AU1758" s="73"/>
      <c r="AV1758" s="73"/>
      <c r="AW1758" s="73"/>
      <c r="AX1758" s="73"/>
      <c r="AY1758" s="73"/>
      <c r="AZ1758" s="73"/>
      <c r="BA1758" s="73"/>
      <c r="BB1758" s="73"/>
      <c r="BC1758" s="73"/>
      <c r="BD1758" s="73"/>
      <c r="BE1758" s="73"/>
      <c r="BF1758" s="73"/>
      <c r="BG1758" s="73"/>
      <c r="BH1758" s="73"/>
      <c r="BI1758" s="73"/>
      <c r="BJ1758" s="73"/>
      <c r="BK1758" s="73"/>
      <c r="BL1758" s="73"/>
      <c r="BM1758" s="73"/>
      <c r="BN1758" s="73"/>
      <c r="BO1758" s="73"/>
      <c r="BP1758" s="73"/>
      <c r="BQ1758" s="73"/>
      <c r="BR1758" s="73"/>
      <c r="BS1758" s="73"/>
      <c r="BT1758" s="73"/>
      <c r="BU1758" s="73"/>
      <c r="BV1758" s="73"/>
      <c r="BW1758" s="73"/>
      <c r="BX1758" s="73"/>
      <c r="BY1758" s="73"/>
      <c r="BZ1758" s="73"/>
      <c r="CA1758" s="73"/>
      <c r="CB1758" s="73"/>
      <c r="CC1758" s="73"/>
      <c r="CD1758" s="73"/>
      <c r="CE1758" s="73"/>
      <c r="CF1758" s="73"/>
      <c r="CG1758" s="73"/>
      <c r="CH1758" s="73"/>
      <c r="CI1758" s="73"/>
      <c r="CJ1758" s="73"/>
      <c r="CK1758" s="73"/>
      <c r="CL1758" s="73"/>
      <c r="CM1758" s="73"/>
      <c r="CN1758" s="73"/>
      <c r="CO1758" s="73"/>
      <c r="CP1758" s="73"/>
      <c r="CQ1758" s="73"/>
      <c r="CR1758" s="73"/>
      <c r="CS1758" s="73"/>
      <c r="CT1758" s="73"/>
      <c r="CU1758" s="73"/>
      <c r="CV1758" s="73"/>
      <c r="CW1758" s="73"/>
      <c r="CX1758" s="73"/>
      <c r="CY1758" s="73"/>
      <c r="CZ1758" s="73"/>
      <c r="DA1758" s="73"/>
      <c r="DB1758" s="73"/>
      <c r="DC1758" s="73"/>
      <c r="DD1758" s="73"/>
      <c r="DE1758" s="73"/>
      <c r="DF1758" s="73"/>
      <c r="DG1758" s="73"/>
      <c r="DH1758" s="73"/>
      <c r="DI1758" s="73"/>
      <c r="DJ1758" s="73"/>
      <c r="DK1758" s="73"/>
      <c r="DL1758" s="73"/>
      <c r="DM1758" s="73"/>
    </row>
    <row r="1759" spans="1:117" s="48" customFormat="1">
      <c r="A1759" s="73"/>
      <c r="T1759" s="73"/>
      <c r="U1759" s="73"/>
      <c r="V1759" s="73"/>
      <c r="W1759" s="73"/>
      <c r="X1759" s="73"/>
      <c r="Y1759" s="73"/>
      <c r="Z1759" s="73"/>
      <c r="AA1759" s="73"/>
      <c r="AB1759" s="73"/>
      <c r="AC1759" s="73"/>
      <c r="AD1759" s="73"/>
      <c r="AE1759" s="73"/>
      <c r="AF1759" s="73"/>
      <c r="AG1759" s="73"/>
      <c r="AH1759" s="73"/>
      <c r="AI1759" s="73"/>
      <c r="AJ1759" s="73"/>
      <c r="AK1759" s="73"/>
      <c r="AL1759" s="73"/>
      <c r="AM1759" s="73"/>
      <c r="AN1759" s="73"/>
      <c r="AO1759" s="73"/>
      <c r="AP1759" s="73"/>
      <c r="AQ1759" s="73"/>
      <c r="AR1759" s="73"/>
      <c r="AS1759" s="73"/>
      <c r="AT1759" s="73"/>
      <c r="AU1759" s="73"/>
      <c r="AV1759" s="73"/>
      <c r="AW1759" s="73"/>
      <c r="AX1759" s="73"/>
      <c r="AY1759" s="73"/>
      <c r="AZ1759" s="73"/>
      <c r="BA1759" s="73"/>
      <c r="BB1759" s="73"/>
      <c r="BC1759" s="73"/>
      <c r="BD1759" s="73"/>
      <c r="BE1759" s="73"/>
      <c r="BF1759" s="73"/>
      <c r="BG1759" s="73"/>
      <c r="BH1759" s="73"/>
      <c r="BI1759" s="73"/>
      <c r="BJ1759" s="73"/>
      <c r="BK1759" s="73"/>
      <c r="BL1759" s="73"/>
      <c r="BM1759" s="73"/>
      <c r="BN1759" s="73"/>
      <c r="BO1759" s="73"/>
      <c r="BP1759" s="73"/>
      <c r="BQ1759" s="73"/>
      <c r="BR1759" s="73"/>
      <c r="BS1759" s="73"/>
      <c r="BT1759" s="73"/>
      <c r="BU1759" s="73"/>
      <c r="BV1759" s="73"/>
      <c r="BW1759" s="73"/>
      <c r="BX1759" s="73"/>
      <c r="BY1759" s="73"/>
      <c r="BZ1759" s="73"/>
      <c r="CA1759" s="73"/>
      <c r="CB1759" s="73"/>
      <c r="CC1759" s="73"/>
      <c r="CD1759" s="73"/>
      <c r="CE1759" s="73"/>
      <c r="CF1759" s="73"/>
      <c r="CG1759" s="73"/>
      <c r="CH1759" s="73"/>
      <c r="CI1759" s="73"/>
      <c r="CJ1759" s="73"/>
      <c r="CK1759" s="73"/>
      <c r="CL1759" s="73"/>
      <c r="CM1759" s="73"/>
      <c r="CN1759" s="73"/>
      <c r="CO1759" s="73"/>
      <c r="CP1759" s="73"/>
      <c r="CQ1759" s="73"/>
      <c r="CR1759" s="73"/>
      <c r="CS1759" s="73"/>
      <c r="CT1759" s="73"/>
      <c r="CU1759" s="73"/>
      <c r="CV1759" s="73"/>
      <c r="CW1759" s="73"/>
      <c r="CX1759" s="73"/>
      <c r="CY1759" s="73"/>
      <c r="CZ1759" s="73"/>
      <c r="DA1759" s="73"/>
      <c r="DB1759" s="73"/>
      <c r="DC1759" s="73"/>
      <c r="DD1759" s="73"/>
      <c r="DE1759" s="73"/>
      <c r="DF1759" s="73"/>
      <c r="DG1759" s="73"/>
      <c r="DH1759" s="73"/>
      <c r="DI1759" s="73"/>
      <c r="DJ1759" s="73"/>
      <c r="DK1759" s="73"/>
      <c r="DL1759" s="73"/>
      <c r="DM1759" s="73"/>
    </row>
    <row r="1760" spans="1:117" s="48" customFormat="1">
      <c r="A1760" s="73"/>
      <c r="T1760" s="73"/>
      <c r="U1760" s="73"/>
      <c r="V1760" s="73"/>
      <c r="W1760" s="73"/>
      <c r="X1760" s="73"/>
      <c r="Y1760" s="73"/>
      <c r="Z1760" s="73"/>
      <c r="AA1760" s="73"/>
      <c r="AB1760" s="73"/>
      <c r="AC1760" s="73"/>
      <c r="AD1760" s="73"/>
      <c r="AE1760" s="73"/>
      <c r="AF1760" s="73"/>
      <c r="AG1760" s="73"/>
      <c r="AH1760" s="73"/>
      <c r="AI1760" s="73"/>
      <c r="AJ1760" s="73"/>
      <c r="AK1760" s="73"/>
      <c r="AL1760" s="73"/>
      <c r="AM1760" s="73"/>
      <c r="AN1760" s="73"/>
      <c r="AO1760" s="73"/>
      <c r="AP1760" s="73"/>
      <c r="AQ1760" s="73"/>
      <c r="AR1760" s="73"/>
      <c r="AS1760" s="73"/>
      <c r="AT1760" s="73"/>
      <c r="AU1760" s="73"/>
      <c r="AV1760" s="73"/>
      <c r="AW1760" s="73"/>
      <c r="AX1760" s="73"/>
      <c r="AY1760" s="73"/>
      <c r="AZ1760" s="73"/>
      <c r="BA1760" s="73"/>
      <c r="BB1760" s="73"/>
      <c r="BC1760" s="73"/>
      <c r="BD1760" s="73"/>
      <c r="BE1760" s="73"/>
      <c r="BF1760" s="73"/>
      <c r="BG1760" s="73"/>
      <c r="BH1760" s="73"/>
      <c r="BI1760" s="73"/>
      <c r="BJ1760" s="73"/>
      <c r="BK1760" s="73"/>
      <c r="BL1760" s="73"/>
      <c r="BM1760" s="73"/>
      <c r="BN1760" s="73"/>
      <c r="BO1760" s="73"/>
      <c r="BP1760" s="73"/>
      <c r="BQ1760" s="73"/>
      <c r="BR1760" s="73"/>
      <c r="BS1760" s="73"/>
      <c r="BT1760" s="73"/>
      <c r="BU1760" s="73"/>
      <c r="BV1760" s="73"/>
      <c r="BW1760" s="73"/>
      <c r="BX1760" s="73"/>
      <c r="BY1760" s="73"/>
      <c r="BZ1760" s="73"/>
      <c r="CA1760" s="73"/>
      <c r="CB1760" s="73"/>
      <c r="CC1760" s="73"/>
      <c r="CD1760" s="73"/>
      <c r="CE1760" s="73"/>
      <c r="CF1760" s="73"/>
      <c r="CG1760" s="73"/>
      <c r="CH1760" s="73"/>
      <c r="CI1760" s="73"/>
      <c r="CJ1760" s="73"/>
      <c r="CK1760" s="73"/>
      <c r="CL1760" s="73"/>
      <c r="CM1760" s="73"/>
      <c r="CN1760" s="73"/>
      <c r="CO1760" s="73"/>
      <c r="CP1760" s="73"/>
      <c r="CQ1760" s="73"/>
      <c r="CR1760" s="73"/>
      <c r="CS1760" s="73"/>
      <c r="CT1760" s="73"/>
      <c r="CU1760" s="73"/>
      <c r="CV1760" s="73"/>
      <c r="CW1760" s="73"/>
      <c r="CX1760" s="73"/>
      <c r="CY1760" s="73"/>
      <c r="CZ1760" s="73"/>
      <c r="DA1760" s="73"/>
      <c r="DB1760" s="73"/>
      <c r="DC1760" s="73"/>
      <c r="DD1760" s="73"/>
      <c r="DE1760" s="73"/>
      <c r="DF1760" s="73"/>
      <c r="DG1760" s="73"/>
      <c r="DH1760" s="73"/>
      <c r="DI1760" s="73"/>
      <c r="DJ1760" s="73"/>
      <c r="DK1760" s="73"/>
      <c r="DL1760" s="73"/>
      <c r="DM1760" s="73"/>
    </row>
    <row r="1761" spans="1:117" s="48" customFormat="1">
      <c r="A1761" s="73"/>
      <c r="T1761" s="73"/>
      <c r="U1761" s="73"/>
      <c r="V1761" s="73"/>
      <c r="W1761" s="73"/>
      <c r="X1761" s="73"/>
      <c r="Y1761" s="73"/>
      <c r="Z1761" s="73"/>
      <c r="AA1761" s="73"/>
      <c r="AB1761" s="73"/>
      <c r="AC1761" s="73"/>
      <c r="AD1761" s="73"/>
      <c r="AE1761" s="73"/>
      <c r="AF1761" s="73"/>
      <c r="AG1761" s="73"/>
      <c r="AH1761" s="73"/>
      <c r="AI1761" s="73"/>
      <c r="AJ1761" s="73"/>
      <c r="AK1761" s="73"/>
      <c r="AL1761" s="73"/>
      <c r="AM1761" s="73"/>
      <c r="AN1761" s="73"/>
      <c r="AO1761" s="73"/>
      <c r="AP1761" s="73"/>
      <c r="AQ1761" s="73"/>
      <c r="AR1761" s="73"/>
      <c r="AS1761" s="73"/>
      <c r="AT1761" s="73"/>
      <c r="AU1761" s="73"/>
      <c r="AV1761" s="73"/>
      <c r="AW1761" s="73"/>
      <c r="AX1761" s="73"/>
      <c r="AY1761" s="73"/>
      <c r="AZ1761" s="73"/>
      <c r="BA1761" s="73"/>
      <c r="BB1761" s="73"/>
      <c r="BC1761" s="73"/>
      <c r="BD1761" s="73"/>
      <c r="BE1761" s="73"/>
      <c r="BF1761" s="73"/>
      <c r="BG1761" s="73"/>
      <c r="BH1761" s="73"/>
      <c r="BI1761" s="73"/>
      <c r="BJ1761" s="73"/>
      <c r="BK1761" s="73"/>
      <c r="BL1761" s="73"/>
      <c r="BM1761" s="73"/>
      <c r="BN1761" s="73"/>
      <c r="BO1761" s="73"/>
      <c r="BP1761" s="73"/>
      <c r="BQ1761" s="73"/>
      <c r="BR1761" s="73"/>
      <c r="BS1761" s="73"/>
      <c r="BT1761" s="73"/>
      <c r="BU1761" s="73"/>
      <c r="BV1761" s="73"/>
      <c r="BW1761" s="73"/>
      <c r="BX1761" s="73"/>
      <c r="BY1761" s="73"/>
      <c r="BZ1761" s="73"/>
      <c r="CA1761" s="73"/>
      <c r="CB1761" s="73"/>
      <c r="CC1761" s="73"/>
      <c r="CD1761" s="73"/>
      <c r="CE1761" s="73"/>
      <c r="CF1761" s="73"/>
      <c r="CG1761" s="73"/>
      <c r="CH1761" s="73"/>
      <c r="CI1761" s="73"/>
      <c r="CJ1761" s="73"/>
      <c r="CK1761" s="73"/>
      <c r="CL1761" s="73"/>
      <c r="CM1761" s="73"/>
      <c r="CN1761" s="73"/>
      <c r="CO1761" s="73"/>
      <c r="CP1761" s="73"/>
      <c r="CQ1761" s="73"/>
      <c r="CR1761" s="73"/>
      <c r="CS1761" s="73"/>
      <c r="CT1761" s="73"/>
      <c r="CU1761" s="73"/>
      <c r="CV1761" s="73"/>
      <c r="CW1761" s="73"/>
      <c r="CX1761" s="73"/>
      <c r="CY1761" s="73"/>
      <c r="CZ1761" s="73"/>
      <c r="DA1761" s="73"/>
      <c r="DB1761" s="73"/>
      <c r="DC1761" s="73"/>
      <c r="DD1761" s="73"/>
      <c r="DE1761" s="73"/>
      <c r="DF1761" s="73"/>
      <c r="DG1761" s="73"/>
      <c r="DH1761" s="73"/>
      <c r="DI1761" s="73"/>
      <c r="DJ1761" s="73"/>
      <c r="DK1761" s="73"/>
      <c r="DL1761" s="73"/>
      <c r="DM1761" s="73"/>
    </row>
    <row r="1762" spans="1:117" s="48" customFormat="1">
      <c r="A1762" s="73"/>
      <c r="T1762" s="73"/>
      <c r="U1762" s="73"/>
      <c r="V1762" s="73"/>
      <c r="W1762" s="73"/>
      <c r="X1762" s="73"/>
      <c r="Y1762" s="73"/>
      <c r="Z1762" s="73"/>
      <c r="AA1762" s="73"/>
      <c r="AB1762" s="73"/>
      <c r="AC1762" s="73"/>
      <c r="AD1762" s="73"/>
      <c r="AE1762" s="73"/>
      <c r="AF1762" s="73"/>
      <c r="AG1762" s="73"/>
      <c r="AH1762" s="73"/>
      <c r="AI1762" s="73"/>
      <c r="AJ1762" s="73"/>
      <c r="AK1762" s="73"/>
      <c r="AL1762" s="73"/>
      <c r="AM1762" s="73"/>
      <c r="AN1762" s="73"/>
      <c r="AO1762" s="73"/>
      <c r="AP1762" s="73"/>
      <c r="AQ1762" s="73"/>
      <c r="AR1762" s="73"/>
      <c r="AS1762" s="73"/>
      <c r="AT1762" s="73"/>
      <c r="AU1762" s="73"/>
      <c r="AV1762" s="73"/>
      <c r="AW1762" s="73"/>
      <c r="AX1762" s="73"/>
      <c r="AY1762" s="73"/>
      <c r="AZ1762" s="73"/>
      <c r="BA1762" s="73"/>
      <c r="BB1762" s="73"/>
      <c r="BC1762" s="73"/>
      <c r="BD1762" s="73"/>
      <c r="BE1762" s="73"/>
      <c r="BF1762" s="73"/>
      <c r="BG1762" s="73"/>
      <c r="BH1762" s="73"/>
      <c r="BI1762" s="73"/>
      <c r="BJ1762" s="73"/>
      <c r="BK1762" s="73"/>
      <c r="BL1762" s="73"/>
      <c r="BM1762" s="73"/>
      <c r="BN1762" s="73"/>
      <c r="BO1762" s="73"/>
      <c r="BP1762" s="73"/>
      <c r="BQ1762" s="73"/>
      <c r="BR1762" s="73"/>
      <c r="BS1762" s="73"/>
      <c r="BT1762" s="73"/>
      <c r="BU1762" s="73"/>
      <c r="BV1762" s="73"/>
      <c r="BW1762" s="73"/>
      <c r="BX1762" s="73"/>
      <c r="BY1762" s="73"/>
      <c r="BZ1762" s="73"/>
      <c r="CA1762" s="73"/>
      <c r="CB1762" s="73"/>
      <c r="CC1762" s="73"/>
      <c r="CD1762" s="73"/>
      <c r="CE1762" s="73"/>
      <c r="CF1762" s="73"/>
      <c r="CG1762" s="73"/>
      <c r="CH1762" s="73"/>
      <c r="CI1762" s="73"/>
      <c r="CJ1762" s="73"/>
      <c r="CK1762" s="73"/>
      <c r="CL1762" s="73"/>
      <c r="CM1762" s="73"/>
      <c r="CN1762" s="73"/>
      <c r="CO1762" s="73"/>
      <c r="CP1762" s="73"/>
      <c r="CQ1762" s="73"/>
      <c r="CR1762" s="73"/>
      <c r="CS1762" s="73"/>
      <c r="CT1762" s="73"/>
      <c r="CU1762" s="73"/>
      <c r="CV1762" s="73"/>
      <c r="CW1762" s="73"/>
      <c r="CX1762" s="73"/>
      <c r="CY1762" s="73"/>
      <c r="CZ1762" s="73"/>
      <c r="DA1762" s="73"/>
      <c r="DB1762" s="73"/>
      <c r="DC1762" s="73"/>
      <c r="DD1762" s="73"/>
      <c r="DE1762" s="73"/>
      <c r="DF1762" s="73"/>
      <c r="DG1762" s="73"/>
      <c r="DH1762" s="73"/>
      <c r="DI1762" s="73"/>
      <c r="DJ1762" s="73"/>
      <c r="DK1762" s="73"/>
      <c r="DL1762" s="73"/>
      <c r="DM1762" s="73"/>
    </row>
    <row r="1763" spans="1:117" s="48" customFormat="1">
      <c r="A1763" s="73"/>
      <c r="T1763" s="73"/>
      <c r="U1763" s="73"/>
      <c r="V1763" s="73"/>
      <c r="W1763" s="73"/>
      <c r="X1763" s="73"/>
      <c r="Y1763" s="73"/>
      <c r="Z1763" s="73"/>
      <c r="AA1763" s="73"/>
      <c r="AB1763" s="73"/>
      <c r="AC1763" s="73"/>
      <c r="AD1763" s="73"/>
      <c r="AE1763" s="73"/>
      <c r="AF1763" s="73"/>
      <c r="AG1763" s="73"/>
      <c r="AH1763" s="73"/>
      <c r="AI1763" s="73"/>
      <c r="AJ1763" s="73"/>
      <c r="AK1763" s="73"/>
      <c r="AL1763" s="73"/>
      <c r="AM1763" s="73"/>
      <c r="AN1763" s="73"/>
      <c r="AO1763" s="73"/>
      <c r="AP1763" s="73"/>
      <c r="AQ1763" s="73"/>
      <c r="AR1763" s="73"/>
      <c r="AS1763" s="73"/>
      <c r="AT1763" s="73"/>
      <c r="AU1763" s="73"/>
      <c r="AV1763" s="73"/>
      <c r="AW1763" s="73"/>
      <c r="AX1763" s="73"/>
      <c r="AY1763" s="73"/>
      <c r="AZ1763" s="73"/>
      <c r="BA1763" s="73"/>
      <c r="BB1763" s="73"/>
      <c r="BC1763" s="73"/>
      <c r="BD1763" s="73"/>
      <c r="BE1763" s="73"/>
      <c r="BF1763" s="73"/>
      <c r="BG1763" s="73"/>
      <c r="BH1763" s="73"/>
      <c r="BI1763" s="73"/>
      <c r="BJ1763" s="73"/>
      <c r="BK1763" s="73"/>
      <c r="BL1763" s="73"/>
      <c r="BM1763" s="73"/>
      <c r="BN1763" s="73"/>
      <c r="BO1763" s="73"/>
      <c r="BP1763" s="73"/>
      <c r="BQ1763" s="73"/>
      <c r="BR1763" s="73"/>
      <c r="BS1763" s="73"/>
      <c r="BT1763" s="73"/>
      <c r="BU1763" s="73"/>
      <c r="BV1763" s="73"/>
      <c r="BW1763" s="73"/>
      <c r="BX1763" s="73"/>
      <c r="BY1763" s="73"/>
      <c r="BZ1763" s="73"/>
      <c r="CA1763" s="73"/>
      <c r="CB1763" s="73"/>
      <c r="CC1763" s="73"/>
      <c r="CD1763" s="73"/>
      <c r="CE1763" s="73"/>
      <c r="CF1763" s="73"/>
      <c r="CG1763" s="73"/>
      <c r="CH1763" s="73"/>
      <c r="CI1763" s="73"/>
      <c r="CJ1763" s="73"/>
      <c r="CK1763" s="73"/>
      <c r="CL1763" s="73"/>
      <c r="CM1763" s="73"/>
      <c r="CN1763" s="73"/>
      <c r="CO1763" s="73"/>
      <c r="CP1763" s="73"/>
      <c r="CQ1763" s="73"/>
      <c r="CR1763" s="73"/>
      <c r="CS1763" s="73"/>
      <c r="CT1763" s="73"/>
      <c r="CU1763" s="73"/>
      <c r="CV1763" s="73"/>
      <c r="CW1763" s="73"/>
      <c r="CX1763" s="73"/>
      <c r="CY1763" s="73"/>
      <c r="CZ1763" s="73"/>
      <c r="DA1763" s="73"/>
      <c r="DB1763" s="73"/>
      <c r="DC1763" s="73"/>
      <c r="DD1763" s="73"/>
      <c r="DE1763" s="73"/>
      <c r="DF1763" s="73"/>
      <c r="DG1763" s="73"/>
      <c r="DH1763" s="73"/>
      <c r="DI1763" s="73"/>
      <c r="DJ1763" s="73"/>
      <c r="DK1763" s="73"/>
      <c r="DL1763" s="73"/>
      <c r="DM1763" s="73"/>
    </row>
    <row r="1764" spans="1:117" s="48" customFormat="1">
      <c r="A1764" s="73"/>
      <c r="T1764" s="73"/>
      <c r="U1764" s="73"/>
      <c r="V1764" s="73"/>
      <c r="W1764" s="73"/>
      <c r="X1764" s="73"/>
      <c r="Y1764" s="73"/>
      <c r="Z1764" s="73"/>
      <c r="AA1764" s="73"/>
      <c r="AB1764" s="73"/>
      <c r="AC1764" s="73"/>
      <c r="AD1764" s="73"/>
      <c r="AE1764" s="73"/>
      <c r="AF1764" s="73"/>
      <c r="AG1764" s="73"/>
      <c r="AH1764" s="73"/>
      <c r="AI1764" s="73"/>
      <c r="AJ1764" s="73"/>
      <c r="AK1764" s="73"/>
      <c r="AL1764" s="73"/>
      <c r="AM1764" s="73"/>
      <c r="AN1764" s="73"/>
      <c r="AO1764" s="73"/>
      <c r="AP1764" s="73"/>
      <c r="AQ1764" s="73"/>
      <c r="AR1764" s="73"/>
      <c r="AS1764" s="73"/>
      <c r="AT1764" s="73"/>
      <c r="AU1764" s="73"/>
      <c r="AV1764" s="73"/>
      <c r="AW1764" s="73"/>
      <c r="AX1764" s="73"/>
      <c r="AY1764" s="73"/>
      <c r="AZ1764" s="73"/>
      <c r="BA1764" s="73"/>
      <c r="BB1764" s="73"/>
      <c r="BC1764" s="73"/>
      <c r="BD1764" s="73"/>
      <c r="BE1764" s="73"/>
      <c r="BF1764" s="73"/>
      <c r="BG1764" s="73"/>
      <c r="BH1764" s="73"/>
      <c r="BI1764" s="73"/>
      <c r="BJ1764" s="73"/>
      <c r="BK1764" s="73"/>
      <c r="BL1764" s="73"/>
      <c r="BM1764" s="73"/>
      <c r="BN1764" s="73"/>
      <c r="BO1764" s="73"/>
      <c r="BP1764" s="73"/>
      <c r="BQ1764" s="73"/>
      <c r="BR1764" s="73"/>
      <c r="BS1764" s="73"/>
      <c r="BT1764" s="73"/>
      <c r="BU1764" s="73"/>
      <c r="BV1764" s="73"/>
      <c r="BW1764" s="73"/>
      <c r="BX1764" s="73"/>
      <c r="BY1764" s="73"/>
      <c r="BZ1764" s="73"/>
      <c r="CA1764" s="73"/>
      <c r="CB1764" s="73"/>
      <c r="CC1764" s="73"/>
      <c r="CD1764" s="73"/>
      <c r="CE1764" s="73"/>
      <c r="CF1764" s="73"/>
      <c r="CG1764" s="73"/>
      <c r="CH1764" s="73"/>
      <c r="CI1764" s="73"/>
      <c r="CJ1764" s="73"/>
      <c r="CK1764" s="73"/>
      <c r="CL1764" s="73"/>
      <c r="CM1764" s="73"/>
      <c r="CN1764" s="73"/>
      <c r="CO1764" s="73"/>
      <c r="CP1764" s="73"/>
      <c r="CQ1764" s="73"/>
      <c r="CR1764" s="73"/>
      <c r="CS1764" s="73"/>
      <c r="CT1764" s="73"/>
      <c r="CU1764" s="73"/>
      <c r="CV1764" s="73"/>
      <c r="CW1764" s="73"/>
      <c r="CX1764" s="73"/>
      <c r="CY1764" s="73"/>
      <c r="CZ1764" s="73"/>
      <c r="DA1764" s="73"/>
      <c r="DB1764" s="73"/>
      <c r="DC1764" s="73"/>
      <c r="DD1764" s="73"/>
      <c r="DE1764" s="73"/>
      <c r="DF1764" s="73"/>
      <c r="DG1764" s="73"/>
      <c r="DH1764" s="73"/>
      <c r="DI1764" s="73"/>
      <c r="DJ1764" s="73"/>
      <c r="DK1764" s="73"/>
      <c r="DL1764" s="73"/>
      <c r="DM1764" s="73"/>
    </row>
    <row r="1765" spans="1:117" s="48" customFormat="1">
      <c r="A1765" s="73"/>
      <c r="T1765" s="73"/>
      <c r="U1765" s="73"/>
      <c r="V1765" s="73"/>
      <c r="W1765" s="73"/>
      <c r="X1765" s="73"/>
      <c r="Y1765" s="73"/>
      <c r="Z1765" s="73"/>
      <c r="AA1765" s="73"/>
      <c r="AB1765" s="73"/>
      <c r="AC1765" s="73"/>
      <c r="AD1765" s="73"/>
      <c r="AE1765" s="73"/>
      <c r="AF1765" s="73"/>
      <c r="AG1765" s="73"/>
      <c r="AH1765" s="73"/>
      <c r="AI1765" s="73"/>
      <c r="AJ1765" s="73"/>
      <c r="AK1765" s="73"/>
      <c r="AL1765" s="73"/>
      <c r="AM1765" s="73"/>
      <c r="AN1765" s="73"/>
      <c r="AO1765" s="73"/>
      <c r="AP1765" s="73"/>
      <c r="AQ1765" s="73"/>
      <c r="AR1765" s="73"/>
      <c r="AS1765" s="73"/>
      <c r="AT1765" s="73"/>
      <c r="AU1765" s="73"/>
      <c r="AV1765" s="73"/>
      <c r="AW1765" s="73"/>
      <c r="AX1765" s="73"/>
      <c r="AY1765" s="73"/>
      <c r="AZ1765" s="73"/>
      <c r="BA1765" s="73"/>
      <c r="BB1765" s="73"/>
      <c r="BC1765" s="73"/>
      <c r="BD1765" s="73"/>
      <c r="BE1765" s="73"/>
      <c r="BF1765" s="73"/>
      <c r="BG1765" s="73"/>
      <c r="BH1765" s="73"/>
      <c r="BI1765" s="73"/>
      <c r="BJ1765" s="73"/>
      <c r="BK1765" s="73"/>
      <c r="BL1765" s="73"/>
      <c r="BM1765" s="73"/>
      <c r="BN1765" s="73"/>
      <c r="BO1765" s="73"/>
      <c r="BP1765" s="73"/>
      <c r="BQ1765" s="73"/>
      <c r="BR1765" s="73"/>
      <c r="BS1765" s="73"/>
      <c r="BT1765" s="73"/>
      <c r="BU1765" s="73"/>
      <c r="BV1765" s="73"/>
      <c r="BW1765" s="73"/>
      <c r="BX1765" s="73"/>
      <c r="BY1765" s="73"/>
      <c r="BZ1765" s="73"/>
      <c r="CA1765" s="73"/>
      <c r="CB1765" s="73"/>
      <c r="CC1765" s="73"/>
      <c r="CD1765" s="73"/>
      <c r="CE1765" s="73"/>
      <c r="CF1765" s="73"/>
      <c r="CG1765" s="73"/>
      <c r="CH1765" s="73"/>
      <c r="CI1765" s="73"/>
      <c r="CJ1765" s="73"/>
      <c r="CK1765" s="73"/>
      <c r="CL1765" s="73"/>
      <c r="CM1765" s="73"/>
      <c r="CN1765" s="73"/>
      <c r="CO1765" s="73"/>
      <c r="CP1765" s="73"/>
      <c r="CQ1765" s="73"/>
      <c r="CR1765" s="73"/>
      <c r="CS1765" s="73"/>
      <c r="CT1765" s="73"/>
      <c r="CU1765" s="73"/>
      <c r="CV1765" s="73"/>
      <c r="CW1765" s="73"/>
      <c r="CX1765" s="73"/>
      <c r="CY1765" s="73"/>
      <c r="CZ1765" s="73"/>
      <c r="DA1765" s="73"/>
      <c r="DB1765" s="73"/>
      <c r="DC1765" s="73"/>
      <c r="DD1765" s="73"/>
      <c r="DE1765" s="73"/>
      <c r="DF1765" s="73"/>
      <c r="DG1765" s="73"/>
      <c r="DH1765" s="73"/>
      <c r="DI1765" s="73"/>
      <c r="DJ1765" s="73"/>
      <c r="DK1765" s="73"/>
      <c r="DL1765" s="73"/>
      <c r="DM1765" s="73"/>
    </row>
    <row r="1766" spans="1:117" s="48" customFormat="1">
      <c r="A1766" s="73"/>
      <c r="T1766" s="73"/>
      <c r="U1766" s="73"/>
      <c r="V1766" s="73"/>
      <c r="W1766" s="73"/>
      <c r="X1766" s="73"/>
      <c r="Y1766" s="73"/>
      <c r="Z1766" s="73"/>
      <c r="AA1766" s="73"/>
      <c r="AB1766" s="73"/>
      <c r="AC1766" s="73"/>
      <c r="AD1766" s="73"/>
      <c r="AE1766" s="73"/>
      <c r="AF1766" s="73"/>
      <c r="AG1766" s="73"/>
      <c r="AH1766" s="73"/>
      <c r="AI1766" s="73"/>
      <c r="AJ1766" s="73"/>
      <c r="AK1766" s="73"/>
      <c r="AL1766" s="73"/>
      <c r="AM1766" s="73"/>
      <c r="AN1766" s="73"/>
      <c r="AO1766" s="73"/>
      <c r="AP1766" s="73"/>
      <c r="AQ1766" s="73"/>
      <c r="AR1766" s="73"/>
      <c r="AS1766" s="73"/>
      <c r="AT1766" s="73"/>
      <c r="AU1766" s="73"/>
      <c r="AV1766" s="73"/>
      <c r="AW1766" s="73"/>
      <c r="AX1766" s="73"/>
      <c r="AY1766" s="73"/>
      <c r="AZ1766" s="73"/>
      <c r="BA1766" s="73"/>
      <c r="BB1766" s="73"/>
      <c r="BC1766" s="73"/>
      <c r="BD1766" s="73"/>
      <c r="BE1766" s="73"/>
      <c r="BF1766" s="73"/>
      <c r="BG1766" s="73"/>
      <c r="BH1766" s="73"/>
      <c r="BI1766" s="73"/>
      <c r="BJ1766" s="73"/>
      <c r="BK1766" s="73"/>
      <c r="BL1766" s="73"/>
      <c r="BM1766" s="73"/>
      <c r="BN1766" s="73"/>
      <c r="BO1766" s="73"/>
      <c r="BP1766" s="73"/>
      <c r="BQ1766" s="73"/>
      <c r="BR1766" s="73"/>
      <c r="BS1766" s="73"/>
      <c r="BT1766" s="73"/>
      <c r="BU1766" s="73"/>
      <c r="BV1766" s="73"/>
      <c r="BW1766" s="73"/>
      <c r="BX1766" s="73"/>
      <c r="BY1766" s="73"/>
      <c r="BZ1766" s="73"/>
      <c r="CA1766" s="73"/>
      <c r="CB1766" s="73"/>
      <c r="CC1766" s="73"/>
      <c r="CD1766" s="73"/>
      <c r="CE1766" s="73"/>
      <c r="CF1766" s="73"/>
      <c r="CG1766" s="73"/>
      <c r="CH1766" s="73"/>
      <c r="CI1766" s="73"/>
      <c r="CJ1766" s="73"/>
      <c r="CK1766" s="73"/>
      <c r="CL1766" s="73"/>
      <c r="CM1766" s="73"/>
      <c r="CN1766" s="73"/>
      <c r="CO1766" s="73"/>
      <c r="CP1766" s="73"/>
      <c r="CQ1766" s="73"/>
      <c r="CR1766" s="73"/>
      <c r="CS1766" s="73"/>
      <c r="CT1766" s="73"/>
      <c r="CU1766" s="73"/>
      <c r="CV1766" s="73"/>
      <c r="CW1766" s="73"/>
      <c r="CX1766" s="73"/>
      <c r="CY1766" s="73"/>
      <c r="CZ1766" s="73"/>
      <c r="DA1766" s="73"/>
      <c r="DB1766" s="73"/>
      <c r="DC1766" s="73"/>
      <c r="DD1766" s="73"/>
      <c r="DE1766" s="73"/>
      <c r="DF1766" s="73"/>
      <c r="DG1766" s="73"/>
      <c r="DH1766" s="73"/>
      <c r="DI1766" s="73"/>
      <c r="DJ1766" s="73"/>
      <c r="DK1766" s="73"/>
      <c r="DL1766" s="73"/>
      <c r="DM1766" s="73"/>
    </row>
    <row r="1767" spans="1:117" s="48" customFormat="1">
      <c r="A1767" s="73"/>
      <c r="T1767" s="73"/>
      <c r="U1767" s="73"/>
      <c r="V1767" s="73"/>
      <c r="W1767" s="73"/>
      <c r="X1767" s="73"/>
      <c r="Y1767" s="73"/>
      <c r="Z1767" s="73"/>
      <c r="AA1767" s="73"/>
      <c r="AB1767" s="73"/>
      <c r="AC1767" s="73"/>
      <c r="AD1767" s="73"/>
      <c r="AE1767" s="73"/>
      <c r="AF1767" s="73"/>
      <c r="AG1767" s="73"/>
      <c r="AH1767" s="73"/>
      <c r="AI1767" s="73"/>
      <c r="AJ1767" s="73"/>
      <c r="AK1767" s="73"/>
      <c r="AL1767" s="73"/>
      <c r="AM1767" s="73"/>
      <c r="AN1767" s="73"/>
      <c r="AO1767" s="73"/>
      <c r="AP1767" s="73"/>
      <c r="AQ1767" s="73"/>
      <c r="AR1767" s="73"/>
      <c r="AS1767" s="73"/>
      <c r="AT1767" s="73"/>
      <c r="AU1767" s="73"/>
      <c r="AV1767" s="73"/>
      <c r="AW1767" s="73"/>
      <c r="AX1767" s="73"/>
      <c r="AY1767" s="73"/>
      <c r="AZ1767" s="73"/>
      <c r="BA1767" s="73"/>
      <c r="BB1767" s="73"/>
      <c r="BC1767" s="73"/>
      <c r="BD1767" s="73"/>
      <c r="BE1767" s="73"/>
      <c r="BF1767" s="73"/>
      <c r="BG1767" s="73"/>
      <c r="BH1767" s="73"/>
      <c r="BI1767" s="73"/>
      <c r="BJ1767" s="73"/>
      <c r="BK1767" s="73"/>
      <c r="BL1767" s="73"/>
      <c r="BM1767" s="73"/>
      <c r="BN1767" s="73"/>
      <c r="BO1767" s="73"/>
      <c r="BP1767" s="73"/>
      <c r="BQ1767" s="73"/>
      <c r="BR1767" s="73"/>
      <c r="BS1767" s="73"/>
      <c r="BT1767" s="73"/>
      <c r="BU1767" s="73"/>
      <c r="BV1767" s="73"/>
      <c r="BW1767" s="73"/>
      <c r="BX1767" s="73"/>
      <c r="BY1767" s="73"/>
      <c r="BZ1767" s="73"/>
      <c r="CA1767" s="73"/>
      <c r="CB1767" s="73"/>
      <c r="CC1767" s="73"/>
      <c r="CD1767" s="73"/>
      <c r="CE1767" s="73"/>
      <c r="CF1767" s="73"/>
      <c r="CG1767" s="73"/>
      <c r="CH1767" s="73"/>
      <c r="CI1767" s="73"/>
      <c r="CJ1767" s="73"/>
      <c r="CK1767" s="73"/>
      <c r="CL1767" s="73"/>
      <c r="CM1767" s="73"/>
      <c r="CN1767" s="73"/>
      <c r="CO1767" s="73"/>
      <c r="CP1767" s="73"/>
      <c r="CQ1767" s="73"/>
      <c r="CR1767" s="73"/>
      <c r="CS1767" s="73"/>
      <c r="CT1767" s="73"/>
      <c r="CU1767" s="73"/>
      <c r="CV1767" s="73"/>
      <c r="CW1767" s="73"/>
      <c r="CX1767" s="73"/>
      <c r="CY1767" s="73"/>
      <c r="CZ1767" s="73"/>
      <c r="DA1767" s="73"/>
      <c r="DB1767" s="73"/>
      <c r="DC1767" s="73"/>
      <c r="DD1767" s="73"/>
      <c r="DE1767" s="73"/>
      <c r="DF1767" s="73"/>
      <c r="DG1767" s="73"/>
      <c r="DH1767" s="73"/>
      <c r="DI1767" s="73"/>
      <c r="DJ1767" s="73"/>
      <c r="DK1767" s="73"/>
      <c r="DL1767" s="73"/>
      <c r="DM1767" s="73"/>
    </row>
    <row r="1768" spans="1:117" s="48" customFormat="1">
      <c r="A1768" s="73"/>
      <c r="T1768" s="73"/>
      <c r="U1768" s="73"/>
      <c r="V1768" s="73"/>
      <c r="W1768" s="73"/>
      <c r="X1768" s="73"/>
      <c r="Y1768" s="73"/>
      <c r="Z1768" s="73"/>
      <c r="AA1768" s="73"/>
      <c r="AB1768" s="73"/>
      <c r="AC1768" s="73"/>
      <c r="AD1768" s="73"/>
      <c r="AE1768" s="73"/>
      <c r="AF1768" s="73"/>
      <c r="AG1768" s="73"/>
      <c r="AH1768" s="73"/>
      <c r="AI1768" s="73"/>
      <c r="AJ1768" s="73"/>
      <c r="AK1768" s="73"/>
      <c r="AL1768" s="73"/>
      <c r="AM1768" s="73"/>
      <c r="AN1768" s="73"/>
      <c r="AO1768" s="73"/>
      <c r="AP1768" s="73"/>
      <c r="AQ1768" s="73"/>
      <c r="AR1768" s="73"/>
      <c r="AS1768" s="73"/>
      <c r="AT1768" s="73"/>
      <c r="AU1768" s="73"/>
      <c r="AV1768" s="73"/>
      <c r="AW1768" s="73"/>
      <c r="AX1768" s="73"/>
      <c r="AY1768" s="73"/>
      <c r="AZ1768" s="73"/>
      <c r="BA1768" s="73"/>
      <c r="BB1768" s="73"/>
      <c r="BC1768" s="73"/>
      <c r="BD1768" s="73"/>
      <c r="BE1768" s="73"/>
      <c r="BF1768" s="73"/>
      <c r="BG1768" s="73"/>
      <c r="BH1768" s="73"/>
      <c r="BI1768" s="73"/>
      <c r="BJ1768" s="73"/>
      <c r="BK1768" s="73"/>
      <c r="BL1768" s="73"/>
      <c r="BM1768" s="73"/>
      <c r="BN1768" s="73"/>
      <c r="BO1768" s="73"/>
      <c r="BP1768" s="73"/>
      <c r="BQ1768" s="73"/>
      <c r="BR1768" s="73"/>
      <c r="BS1768" s="73"/>
      <c r="BT1768" s="73"/>
      <c r="BU1768" s="73"/>
      <c r="BV1768" s="73"/>
      <c r="BW1768" s="73"/>
      <c r="BX1768" s="73"/>
      <c r="BY1768" s="73"/>
      <c r="BZ1768" s="73"/>
      <c r="CA1768" s="73"/>
      <c r="CB1768" s="73"/>
      <c r="CC1768" s="73"/>
      <c r="CD1768" s="73"/>
      <c r="CE1768" s="73"/>
      <c r="CF1768" s="73"/>
      <c r="CG1768" s="73"/>
      <c r="CH1768" s="73"/>
      <c r="CI1768" s="73"/>
      <c r="CJ1768" s="73"/>
      <c r="CK1768" s="73"/>
      <c r="CL1768" s="73"/>
      <c r="CM1768" s="73"/>
      <c r="CN1768" s="73"/>
      <c r="CO1768" s="73"/>
      <c r="CP1768" s="73"/>
      <c r="CQ1768" s="73"/>
      <c r="CR1768" s="73"/>
      <c r="CS1768" s="73"/>
      <c r="CT1768" s="73"/>
      <c r="CU1768" s="73"/>
      <c r="CV1768" s="73"/>
      <c r="CW1768" s="73"/>
      <c r="CX1768" s="73"/>
      <c r="CY1768" s="73"/>
      <c r="CZ1768" s="73"/>
      <c r="DA1768" s="73"/>
      <c r="DB1768" s="73"/>
      <c r="DC1768" s="73"/>
      <c r="DD1768" s="73"/>
      <c r="DE1768" s="73"/>
      <c r="DF1768" s="73"/>
      <c r="DG1768" s="73"/>
      <c r="DH1768" s="73"/>
      <c r="DI1768" s="73"/>
      <c r="DJ1768" s="73"/>
      <c r="DK1768" s="73"/>
      <c r="DL1768" s="73"/>
      <c r="DM1768" s="73"/>
    </row>
    <row r="1769" spans="1:117" s="48" customFormat="1">
      <c r="A1769" s="73"/>
      <c r="T1769" s="73"/>
      <c r="U1769" s="73"/>
      <c r="V1769" s="73"/>
      <c r="W1769" s="73"/>
      <c r="X1769" s="73"/>
      <c r="Y1769" s="73"/>
      <c r="Z1769" s="73"/>
      <c r="AA1769" s="73"/>
      <c r="AB1769" s="73"/>
      <c r="AC1769" s="73"/>
      <c r="AD1769" s="73"/>
      <c r="AE1769" s="73"/>
      <c r="AF1769" s="73"/>
      <c r="AG1769" s="73"/>
      <c r="AH1769" s="73"/>
      <c r="AI1769" s="73"/>
      <c r="AJ1769" s="73"/>
      <c r="AK1769" s="73"/>
      <c r="AL1769" s="73"/>
      <c r="AM1769" s="73"/>
      <c r="AN1769" s="73"/>
      <c r="AO1769" s="73"/>
      <c r="AP1769" s="73"/>
      <c r="AQ1769" s="73"/>
      <c r="AR1769" s="73"/>
      <c r="AS1769" s="73"/>
      <c r="AT1769" s="73"/>
      <c r="AU1769" s="73"/>
      <c r="AV1769" s="73"/>
      <c r="AW1769" s="73"/>
      <c r="AX1769" s="73"/>
      <c r="AY1769" s="73"/>
      <c r="AZ1769" s="73"/>
      <c r="BA1769" s="73"/>
      <c r="BB1769" s="73"/>
      <c r="BC1769" s="73"/>
      <c r="BD1769" s="73"/>
      <c r="BE1769" s="73"/>
      <c r="BF1769" s="73"/>
      <c r="BG1769" s="73"/>
      <c r="BH1769" s="73"/>
      <c r="BI1769" s="73"/>
      <c r="BJ1769" s="73"/>
      <c r="BK1769" s="73"/>
      <c r="BL1769" s="73"/>
      <c r="BM1769" s="73"/>
      <c r="BN1769" s="73"/>
      <c r="BO1769" s="73"/>
      <c r="BP1769" s="73"/>
      <c r="BQ1769" s="73"/>
      <c r="BR1769" s="73"/>
      <c r="BS1769" s="73"/>
      <c r="BT1769" s="73"/>
      <c r="BU1769" s="73"/>
      <c r="BV1769" s="73"/>
      <c r="BW1769" s="73"/>
      <c r="BX1769" s="73"/>
      <c r="BY1769" s="73"/>
      <c r="BZ1769" s="73"/>
      <c r="CA1769" s="73"/>
      <c r="CB1769" s="73"/>
      <c r="CC1769" s="73"/>
      <c r="CD1769" s="73"/>
      <c r="CE1769" s="73"/>
      <c r="CF1769" s="73"/>
      <c r="CG1769" s="73"/>
      <c r="CH1769" s="73"/>
      <c r="CI1769" s="73"/>
      <c r="CJ1769" s="73"/>
      <c r="CK1769" s="73"/>
      <c r="CL1769" s="73"/>
      <c r="CM1769" s="73"/>
      <c r="CN1769" s="73"/>
      <c r="CO1769" s="73"/>
      <c r="CP1769" s="73"/>
      <c r="CQ1769" s="73"/>
      <c r="CR1769" s="73"/>
      <c r="CS1769" s="73"/>
      <c r="CT1769" s="73"/>
      <c r="CU1769" s="73"/>
      <c r="CV1769" s="73"/>
      <c r="CW1769" s="73"/>
      <c r="CX1769" s="73"/>
      <c r="CY1769" s="73"/>
      <c r="CZ1769" s="73"/>
      <c r="DA1769" s="73"/>
      <c r="DB1769" s="73"/>
      <c r="DC1769" s="73"/>
      <c r="DD1769" s="73"/>
      <c r="DE1769" s="73"/>
      <c r="DF1769" s="73"/>
      <c r="DG1769" s="73"/>
      <c r="DH1769" s="73"/>
      <c r="DI1769" s="73"/>
      <c r="DJ1769" s="73"/>
      <c r="DK1769" s="73"/>
      <c r="DL1769" s="73"/>
      <c r="DM1769" s="73"/>
    </row>
    <row r="1770" spans="1:117" s="48" customFormat="1">
      <c r="A1770" s="73"/>
      <c r="T1770" s="73"/>
      <c r="U1770" s="73"/>
      <c r="V1770" s="73"/>
      <c r="W1770" s="73"/>
      <c r="X1770" s="73"/>
      <c r="Y1770" s="73"/>
      <c r="Z1770" s="73"/>
      <c r="AA1770" s="73"/>
      <c r="AB1770" s="73"/>
      <c r="AC1770" s="73"/>
      <c r="AD1770" s="73"/>
      <c r="AE1770" s="73"/>
      <c r="AF1770" s="73"/>
      <c r="AG1770" s="73"/>
      <c r="AH1770" s="73"/>
      <c r="AI1770" s="73"/>
      <c r="AJ1770" s="73"/>
      <c r="AK1770" s="73"/>
      <c r="AL1770" s="73"/>
      <c r="AM1770" s="73"/>
      <c r="AN1770" s="73"/>
      <c r="AO1770" s="73"/>
      <c r="AP1770" s="73"/>
      <c r="AQ1770" s="73"/>
      <c r="AR1770" s="73"/>
      <c r="AS1770" s="73"/>
      <c r="AT1770" s="73"/>
      <c r="AU1770" s="73"/>
      <c r="AV1770" s="73"/>
      <c r="AW1770" s="73"/>
      <c r="AX1770" s="73"/>
      <c r="AY1770" s="73"/>
      <c r="AZ1770" s="73"/>
      <c r="BA1770" s="73"/>
      <c r="BB1770" s="73"/>
      <c r="BC1770" s="73"/>
      <c r="BD1770" s="73"/>
      <c r="BE1770" s="73"/>
      <c r="BF1770" s="73"/>
      <c r="BG1770" s="73"/>
      <c r="BH1770" s="73"/>
      <c r="BI1770" s="73"/>
      <c r="BJ1770" s="73"/>
      <c r="BK1770" s="73"/>
      <c r="BL1770" s="73"/>
      <c r="BM1770" s="73"/>
      <c r="BN1770" s="73"/>
      <c r="BO1770" s="73"/>
      <c r="BP1770" s="73"/>
      <c r="BQ1770" s="73"/>
      <c r="BR1770" s="73"/>
      <c r="BS1770" s="73"/>
      <c r="BT1770" s="73"/>
      <c r="BU1770" s="73"/>
      <c r="BV1770" s="73"/>
      <c r="BW1770" s="73"/>
      <c r="BX1770" s="73"/>
      <c r="BY1770" s="73"/>
      <c r="BZ1770" s="73"/>
      <c r="CA1770" s="73"/>
      <c r="CB1770" s="73"/>
      <c r="CC1770" s="73"/>
      <c r="CD1770" s="73"/>
      <c r="CE1770" s="73"/>
      <c r="CF1770" s="73"/>
      <c r="CG1770" s="73"/>
      <c r="CH1770" s="73"/>
      <c r="CI1770" s="73"/>
      <c r="CJ1770" s="73"/>
      <c r="CK1770" s="73"/>
      <c r="CL1770" s="73"/>
      <c r="CM1770" s="73"/>
      <c r="CN1770" s="73"/>
      <c r="CO1770" s="73"/>
      <c r="CP1770" s="73"/>
      <c r="CQ1770" s="73"/>
      <c r="CR1770" s="73"/>
      <c r="CS1770" s="73"/>
      <c r="CT1770" s="73"/>
      <c r="CU1770" s="73"/>
      <c r="CV1770" s="73"/>
      <c r="CW1770" s="73"/>
      <c r="CX1770" s="73"/>
      <c r="CY1770" s="73"/>
      <c r="CZ1770" s="73"/>
      <c r="DA1770" s="73"/>
      <c r="DB1770" s="73"/>
      <c r="DC1770" s="73"/>
      <c r="DD1770" s="73"/>
      <c r="DE1770" s="73"/>
      <c r="DF1770" s="73"/>
      <c r="DG1770" s="73"/>
      <c r="DH1770" s="73"/>
      <c r="DI1770" s="73"/>
      <c r="DJ1770" s="73"/>
      <c r="DK1770" s="73"/>
      <c r="DL1770" s="73"/>
      <c r="DM1770" s="73"/>
    </row>
    <row r="1771" spans="1:117" s="48" customFormat="1">
      <c r="A1771" s="73"/>
      <c r="T1771" s="73"/>
      <c r="U1771" s="73"/>
      <c r="V1771" s="73"/>
      <c r="W1771" s="73"/>
      <c r="X1771" s="73"/>
      <c r="Y1771" s="73"/>
      <c r="Z1771" s="73"/>
      <c r="AA1771" s="73"/>
      <c r="AB1771" s="73"/>
      <c r="AC1771" s="73"/>
      <c r="AD1771" s="73"/>
      <c r="AE1771" s="73"/>
      <c r="AF1771" s="73"/>
      <c r="AG1771" s="73"/>
      <c r="AH1771" s="73"/>
      <c r="AI1771" s="73"/>
      <c r="AJ1771" s="73"/>
      <c r="AK1771" s="73"/>
      <c r="AL1771" s="73"/>
      <c r="AM1771" s="73"/>
      <c r="AN1771" s="73"/>
      <c r="AO1771" s="73"/>
      <c r="AP1771" s="73"/>
      <c r="AQ1771" s="73"/>
      <c r="AR1771" s="73"/>
      <c r="AS1771" s="73"/>
      <c r="AT1771" s="73"/>
      <c r="AU1771" s="73"/>
      <c r="AV1771" s="73"/>
      <c r="AW1771" s="73"/>
      <c r="AX1771" s="73"/>
      <c r="AY1771" s="73"/>
      <c r="AZ1771" s="73"/>
      <c r="BA1771" s="73"/>
      <c r="BB1771" s="73"/>
      <c r="BC1771" s="73"/>
      <c r="BD1771" s="73"/>
      <c r="BE1771" s="73"/>
      <c r="BF1771" s="73"/>
      <c r="BG1771" s="73"/>
      <c r="BH1771" s="73"/>
      <c r="BI1771" s="73"/>
      <c r="BJ1771" s="73"/>
      <c r="BK1771" s="73"/>
      <c r="BL1771" s="73"/>
      <c r="BM1771" s="73"/>
      <c r="BN1771" s="73"/>
      <c r="BO1771" s="73"/>
      <c r="BP1771" s="73"/>
      <c r="BQ1771" s="73"/>
      <c r="BR1771" s="73"/>
      <c r="BS1771" s="73"/>
      <c r="BT1771" s="73"/>
      <c r="BU1771" s="73"/>
      <c r="BV1771" s="73"/>
      <c r="BW1771" s="73"/>
      <c r="BX1771" s="73"/>
      <c r="BY1771" s="73"/>
      <c r="BZ1771" s="73"/>
      <c r="CA1771" s="73"/>
      <c r="CB1771" s="73"/>
      <c r="CC1771" s="73"/>
      <c r="CD1771" s="73"/>
      <c r="CE1771" s="73"/>
      <c r="CF1771" s="73"/>
      <c r="CG1771" s="73"/>
      <c r="CH1771" s="73"/>
      <c r="CI1771" s="73"/>
      <c r="CJ1771" s="73"/>
      <c r="CK1771" s="73"/>
      <c r="CL1771" s="73"/>
      <c r="CM1771" s="73"/>
      <c r="CN1771" s="73"/>
      <c r="CO1771" s="73"/>
      <c r="CP1771" s="73"/>
      <c r="CQ1771" s="73"/>
      <c r="CR1771" s="73"/>
      <c r="CS1771" s="73"/>
      <c r="CT1771" s="73"/>
      <c r="CU1771" s="73"/>
      <c r="CV1771" s="73"/>
      <c r="CW1771" s="73"/>
      <c r="CX1771" s="73"/>
      <c r="CY1771" s="73"/>
      <c r="CZ1771" s="73"/>
      <c r="DA1771" s="73"/>
      <c r="DB1771" s="73"/>
      <c r="DC1771" s="73"/>
      <c r="DD1771" s="73"/>
      <c r="DE1771" s="73"/>
      <c r="DF1771" s="73"/>
      <c r="DG1771" s="73"/>
      <c r="DH1771" s="73"/>
      <c r="DI1771" s="73"/>
      <c r="DJ1771" s="73"/>
      <c r="DK1771" s="73"/>
      <c r="DL1771" s="73"/>
      <c r="DM1771" s="73"/>
    </row>
    <row r="1772" spans="1:117" s="48" customFormat="1">
      <c r="A1772" s="73"/>
      <c r="T1772" s="73"/>
      <c r="U1772" s="73"/>
      <c r="V1772" s="73"/>
      <c r="W1772" s="73"/>
      <c r="X1772" s="73"/>
      <c r="Y1772" s="73"/>
      <c r="Z1772" s="73"/>
      <c r="AA1772" s="73"/>
      <c r="AB1772" s="73"/>
      <c r="AC1772" s="73"/>
      <c r="AD1772" s="73"/>
      <c r="AE1772" s="73"/>
      <c r="AF1772" s="73"/>
      <c r="AG1772" s="73"/>
      <c r="AH1772" s="73"/>
      <c r="AI1772" s="73"/>
      <c r="AJ1772" s="73"/>
      <c r="AK1772" s="73"/>
      <c r="AL1772" s="73"/>
      <c r="AM1772" s="73"/>
      <c r="AN1772" s="73"/>
      <c r="AO1772" s="73"/>
      <c r="AP1772" s="73"/>
      <c r="AQ1772" s="73"/>
      <c r="AR1772" s="73"/>
      <c r="AS1772" s="73"/>
      <c r="AT1772" s="73"/>
      <c r="AU1772" s="73"/>
      <c r="AV1772" s="73"/>
      <c r="AW1772" s="73"/>
      <c r="AX1772" s="73"/>
      <c r="AY1772" s="73"/>
      <c r="AZ1772" s="73"/>
      <c r="BA1772" s="73"/>
      <c r="BB1772" s="73"/>
      <c r="BC1772" s="73"/>
      <c r="BD1772" s="73"/>
      <c r="BE1772" s="73"/>
      <c r="BF1772" s="73"/>
      <c r="BG1772" s="73"/>
      <c r="BH1772" s="73"/>
      <c r="BI1772" s="73"/>
      <c r="BJ1772" s="73"/>
      <c r="BK1772" s="73"/>
      <c r="BL1772" s="73"/>
      <c r="BM1772" s="73"/>
      <c r="BN1772" s="73"/>
      <c r="BO1772" s="73"/>
      <c r="BP1772" s="73"/>
      <c r="BQ1772" s="73"/>
      <c r="BR1772" s="73"/>
      <c r="BS1772" s="73"/>
      <c r="BT1772" s="73"/>
      <c r="BU1772" s="73"/>
      <c r="BV1772" s="73"/>
      <c r="BW1772" s="73"/>
      <c r="BX1772" s="73"/>
      <c r="BY1772" s="73"/>
      <c r="BZ1772" s="73"/>
      <c r="CA1772" s="73"/>
      <c r="CB1772" s="73"/>
      <c r="CC1772" s="73"/>
      <c r="CD1772" s="73"/>
      <c r="CE1772" s="73"/>
      <c r="CF1772" s="73"/>
      <c r="CG1772" s="73"/>
      <c r="CH1772" s="73"/>
      <c r="CI1772" s="73"/>
      <c r="CJ1772" s="73"/>
      <c r="CK1772" s="73"/>
      <c r="CL1772" s="73"/>
      <c r="CM1772" s="73"/>
      <c r="CN1772" s="73"/>
      <c r="CO1772" s="73"/>
      <c r="CP1772" s="73"/>
      <c r="CQ1772" s="73"/>
      <c r="CR1772" s="73"/>
      <c r="CS1772" s="73"/>
      <c r="CT1772" s="73"/>
      <c r="CU1772" s="73"/>
      <c r="CV1772" s="73"/>
      <c r="CW1772" s="73"/>
      <c r="CX1772" s="73"/>
      <c r="CY1772" s="73"/>
      <c r="CZ1772" s="73"/>
      <c r="DA1772" s="73"/>
      <c r="DB1772" s="73"/>
      <c r="DC1772" s="73"/>
      <c r="DD1772" s="73"/>
      <c r="DE1772" s="73"/>
      <c r="DF1772" s="73"/>
      <c r="DG1772" s="73"/>
      <c r="DH1772" s="73"/>
      <c r="DI1772" s="73"/>
      <c r="DJ1772" s="73"/>
      <c r="DK1772" s="73"/>
      <c r="DL1772" s="73"/>
      <c r="DM1772" s="73"/>
    </row>
    <row r="1773" spans="1:117" s="48" customFormat="1">
      <c r="A1773" s="73"/>
      <c r="T1773" s="73"/>
      <c r="U1773" s="73"/>
      <c r="V1773" s="73"/>
      <c r="W1773" s="73"/>
      <c r="X1773" s="73"/>
      <c r="Y1773" s="73"/>
      <c r="Z1773" s="73"/>
      <c r="AA1773" s="73"/>
      <c r="AB1773" s="73"/>
      <c r="AC1773" s="73"/>
      <c r="AD1773" s="73"/>
      <c r="AE1773" s="73"/>
      <c r="AF1773" s="73"/>
      <c r="AG1773" s="73"/>
      <c r="AH1773" s="73"/>
      <c r="AI1773" s="73"/>
      <c r="AJ1773" s="73"/>
      <c r="AK1773" s="73"/>
      <c r="AL1773" s="73"/>
      <c r="AM1773" s="73"/>
      <c r="AN1773" s="73"/>
      <c r="AO1773" s="73"/>
      <c r="AP1773" s="73"/>
      <c r="AQ1773" s="73"/>
      <c r="AR1773" s="73"/>
      <c r="AS1773" s="73"/>
      <c r="AT1773" s="73"/>
      <c r="AU1773" s="73"/>
      <c r="AV1773" s="73"/>
      <c r="AW1773" s="73"/>
      <c r="AX1773" s="73"/>
      <c r="AY1773" s="73"/>
      <c r="AZ1773" s="73"/>
      <c r="BA1773" s="73"/>
      <c r="BB1773" s="73"/>
      <c r="BC1773" s="73"/>
      <c r="BD1773" s="73"/>
      <c r="BE1773" s="73"/>
      <c r="BF1773" s="73"/>
      <c r="BG1773" s="73"/>
      <c r="BH1773" s="73"/>
      <c r="BI1773" s="73"/>
      <c r="BJ1773" s="73"/>
      <c r="BK1773" s="73"/>
      <c r="BL1773" s="73"/>
      <c r="BM1773" s="73"/>
      <c r="BN1773" s="73"/>
      <c r="BO1773" s="73"/>
      <c r="BP1773" s="73"/>
      <c r="BQ1773" s="73"/>
      <c r="BR1773" s="73"/>
      <c r="BS1773" s="73"/>
      <c r="BT1773" s="73"/>
      <c r="BU1773" s="73"/>
      <c r="BV1773" s="73"/>
      <c r="BW1773" s="73"/>
      <c r="BX1773" s="73"/>
      <c r="BY1773" s="73"/>
      <c r="BZ1773" s="73"/>
      <c r="CA1773" s="73"/>
      <c r="CB1773" s="73"/>
      <c r="CC1773" s="73"/>
      <c r="CD1773" s="73"/>
      <c r="CE1773" s="73"/>
      <c r="CF1773" s="73"/>
      <c r="CG1773" s="73"/>
      <c r="CH1773" s="73"/>
      <c r="CI1773" s="73"/>
      <c r="CJ1773" s="73"/>
      <c r="CK1773" s="73"/>
      <c r="CL1773" s="73"/>
      <c r="CM1773" s="73"/>
      <c r="CN1773" s="73"/>
      <c r="CO1773" s="73"/>
      <c r="CP1773" s="73"/>
      <c r="CQ1773" s="73"/>
      <c r="CR1773" s="73"/>
      <c r="CS1773" s="73"/>
      <c r="CT1773" s="73"/>
      <c r="CU1773" s="73"/>
      <c r="CV1773" s="73"/>
      <c r="CW1773" s="73"/>
      <c r="CX1773" s="73"/>
      <c r="CY1773" s="73"/>
      <c r="CZ1773" s="73"/>
      <c r="DA1773" s="73"/>
      <c r="DB1773" s="73"/>
      <c r="DC1773" s="73"/>
      <c r="DD1773" s="73"/>
      <c r="DE1773" s="73"/>
      <c r="DF1773" s="73"/>
      <c r="DG1773" s="73"/>
      <c r="DH1773" s="73"/>
      <c r="DI1773" s="73"/>
      <c r="DJ1773" s="73"/>
      <c r="DK1773" s="73"/>
      <c r="DL1773" s="73"/>
      <c r="DM1773" s="73"/>
    </row>
    <row r="1774" spans="1:117" s="48" customFormat="1">
      <c r="A1774" s="73"/>
      <c r="T1774" s="73"/>
      <c r="U1774" s="73"/>
      <c r="V1774" s="73"/>
      <c r="W1774" s="73"/>
      <c r="X1774" s="73"/>
      <c r="Y1774" s="73"/>
      <c r="Z1774" s="73"/>
      <c r="AA1774" s="73"/>
      <c r="AB1774" s="73"/>
      <c r="AC1774" s="73"/>
      <c r="AD1774" s="73"/>
      <c r="AE1774" s="73"/>
      <c r="AF1774" s="73"/>
      <c r="AG1774" s="73"/>
      <c r="AH1774" s="73"/>
      <c r="AI1774" s="73"/>
      <c r="AJ1774" s="73"/>
      <c r="AK1774" s="73"/>
      <c r="AL1774" s="73"/>
      <c r="AM1774" s="73"/>
      <c r="AN1774" s="73"/>
      <c r="AO1774" s="73"/>
      <c r="AP1774" s="73"/>
      <c r="AQ1774" s="73"/>
      <c r="AR1774" s="73"/>
      <c r="AS1774" s="73"/>
      <c r="AT1774" s="73"/>
      <c r="AU1774" s="73"/>
      <c r="AV1774" s="73"/>
      <c r="AW1774" s="73"/>
      <c r="AX1774" s="73"/>
      <c r="AY1774" s="73"/>
      <c r="AZ1774" s="73"/>
      <c r="BA1774" s="73"/>
      <c r="BB1774" s="73"/>
      <c r="BC1774" s="73"/>
      <c r="BD1774" s="73"/>
      <c r="BE1774" s="73"/>
      <c r="BF1774" s="73"/>
      <c r="BG1774" s="73"/>
      <c r="BH1774" s="73"/>
      <c r="BI1774" s="73"/>
      <c r="BJ1774" s="73"/>
      <c r="BK1774" s="73"/>
      <c r="BL1774" s="73"/>
      <c r="BM1774" s="73"/>
      <c r="BN1774" s="73"/>
      <c r="BO1774" s="73"/>
      <c r="BP1774" s="73"/>
      <c r="BQ1774" s="73"/>
      <c r="BR1774" s="73"/>
      <c r="BS1774" s="73"/>
      <c r="BT1774" s="73"/>
      <c r="BU1774" s="73"/>
      <c r="BV1774" s="73"/>
      <c r="BW1774" s="73"/>
      <c r="BX1774" s="73"/>
      <c r="BY1774" s="73"/>
      <c r="BZ1774" s="73"/>
      <c r="CA1774" s="73"/>
      <c r="CB1774" s="73"/>
      <c r="CC1774" s="73"/>
      <c r="CD1774" s="73"/>
      <c r="CE1774" s="73"/>
      <c r="CF1774" s="73"/>
      <c r="CG1774" s="73"/>
      <c r="CH1774" s="73"/>
      <c r="CI1774" s="73"/>
      <c r="CJ1774" s="73"/>
      <c r="CK1774" s="73"/>
      <c r="CL1774" s="73"/>
      <c r="CM1774" s="73"/>
      <c r="CN1774" s="73"/>
      <c r="CO1774" s="73"/>
      <c r="CP1774" s="73"/>
      <c r="CQ1774" s="73"/>
      <c r="CR1774" s="73"/>
      <c r="CS1774" s="73"/>
      <c r="CT1774" s="73"/>
      <c r="CU1774" s="73"/>
      <c r="CV1774" s="73"/>
      <c r="CW1774" s="73"/>
      <c r="CX1774" s="73"/>
      <c r="CY1774" s="73"/>
      <c r="CZ1774" s="73"/>
      <c r="DA1774" s="73"/>
      <c r="DB1774" s="73"/>
      <c r="DC1774" s="73"/>
      <c r="DD1774" s="73"/>
      <c r="DE1774" s="73"/>
      <c r="DF1774" s="73"/>
      <c r="DG1774" s="73"/>
      <c r="DH1774" s="73"/>
      <c r="DI1774" s="73"/>
      <c r="DJ1774" s="73"/>
      <c r="DK1774" s="73"/>
      <c r="DL1774" s="73"/>
      <c r="DM1774" s="73"/>
    </row>
    <row r="1775" spans="1:117" s="48" customFormat="1">
      <c r="A1775" s="73"/>
      <c r="T1775" s="73"/>
      <c r="U1775" s="73"/>
      <c r="V1775" s="73"/>
      <c r="W1775" s="73"/>
      <c r="X1775" s="73"/>
      <c r="Y1775" s="73"/>
      <c r="Z1775" s="73"/>
      <c r="AA1775" s="73"/>
      <c r="AB1775" s="73"/>
      <c r="AC1775" s="73"/>
      <c r="AD1775" s="73"/>
      <c r="AE1775" s="73"/>
      <c r="AF1775" s="73"/>
      <c r="AG1775" s="73"/>
      <c r="AH1775" s="73"/>
      <c r="AI1775" s="73"/>
      <c r="AJ1775" s="73"/>
      <c r="AK1775" s="73"/>
      <c r="AL1775" s="73"/>
      <c r="AM1775" s="73"/>
      <c r="AN1775" s="73"/>
      <c r="AO1775" s="73"/>
      <c r="AP1775" s="73"/>
      <c r="AQ1775" s="73"/>
      <c r="AR1775" s="73"/>
      <c r="AS1775" s="73"/>
      <c r="AT1775" s="73"/>
      <c r="AU1775" s="73"/>
      <c r="AV1775" s="73"/>
      <c r="AW1775" s="73"/>
      <c r="AX1775" s="73"/>
      <c r="AY1775" s="73"/>
      <c r="AZ1775" s="73"/>
      <c r="BA1775" s="73"/>
      <c r="BB1775" s="73"/>
      <c r="BC1775" s="73"/>
      <c r="BD1775" s="73"/>
      <c r="BE1775" s="73"/>
      <c r="BF1775" s="73"/>
      <c r="BG1775" s="73"/>
      <c r="BH1775" s="73"/>
      <c r="BI1775" s="73"/>
      <c r="BJ1775" s="73"/>
      <c r="BK1775" s="73"/>
      <c r="BL1775" s="73"/>
      <c r="BM1775" s="73"/>
      <c r="BN1775" s="73"/>
      <c r="BO1775" s="73"/>
      <c r="BP1775" s="73"/>
      <c r="BQ1775" s="73"/>
      <c r="BR1775" s="73"/>
      <c r="BS1775" s="73"/>
      <c r="BT1775" s="73"/>
      <c r="BU1775" s="73"/>
      <c r="BV1775" s="73"/>
      <c r="BW1775" s="73"/>
      <c r="BX1775" s="73"/>
      <c r="BY1775" s="73"/>
      <c r="BZ1775" s="73"/>
      <c r="CA1775" s="73"/>
      <c r="CB1775" s="73"/>
      <c r="CC1775" s="73"/>
      <c r="CD1775" s="73"/>
      <c r="CE1775" s="73"/>
      <c r="CF1775" s="73"/>
      <c r="CG1775" s="73"/>
      <c r="CH1775" s="73"/>
      <c r="CI1775" s="73"/>
      <c r="CJ1775" s="73"/>
      <c r="CK1775" s="73"/>
      <c r="CL1775" s="73"/>
      <c r="CM1775" s="73"/>
      <c r="CN1775" s="73"/>
      <c r="CO1775" s="73"/>
      <c r="CP1775" s="73"/>
      <c r="CQ1775" s="73"/>
      <c r="CR1775" s="73"/>
      <c r="CS1775" s="73"/>
      <c r="CT1775" s="73"/>
      <c r="CU1775" s="73"/>
      <c r="CV1775" s="73"/>
      <c r="CW1775" s="73"/>
      <c r="CX1775" s="73"/>
      <c r="CY1775" s="73"/>
      <c r="CZ1775" s="73"/>
      <c r="DA1775" s="73"/>
      <c r="DB1775" s="73"/>
      <c r="DC1775" s="73"/>
      <c r="DD1775" s="73"/>
      <c r="DE1775" s="73"/>
      <c r="DF1775" s="73"/>
      <c r="DG1775" s="73"/>
      <c r="DH1775" s="73"/>
      <c r="DI1775" s="73"/>
      <c r="DJ1775" s="73"/>
      <c r="DK1775" s="73"/>
      <c r="DL1775" s="73"/>
      <c r="DM1775" s="73"/>
    </row>
    <row r="1776" spans="1:117" s="48" customFormat="1">
      <c r="A1776" s="73"/>
      <c r="T1776" s="73"/>
      <c r="U1776" s="73"/>
      <c r="V1776" s="73"/>
      <c r="W1776" s="73"/>
      <c r="X1776" s="73"/>
      <c r="Y1776" s="73"/>
      <c r="Z1776" s="73"/>
      <c r="AA1776" s="73"/>
      <c r="AB1776" s="73"/>
      <c r="AC1776" s="73"/>
      <c r="AD1776" s="73"/>
      <c r="AE1776" s="73"/>
      <c r="AF1776" s="73"/>
      <c r="AG1776" s="73"/>
      <c r="AH1776" s="73"/>
      <c r="AI1776" s="73"/>
      <c r="AJ1776" s="73"/>
      <c r="AK1776" s="73"/>
      <c r="AL1776" s="73"/>
      <c r="AM1776" s="73"/>
      <c r="AN1776" s="73"/>
      <c r="AO1776" s="73"/>
      <c r="AP1776" s="73"/>
      <c r="AQ1776" s="73"/>
      <c r="AR1776" s="73"/>
      <c r="AS1776" s="73"/>
      <c r="AT1776" s="73"/>
      <c r="AU1776" s="73"/>
      <c r="AV1776" s="73"/>
      <c r="AW1776" s="73"/>
      <c r="AX1776" s="73"/>
      <c r="AY1776" s="73"/>
      <c r="AZ1776" s="73"/>
      <c r="BA1776" s="73"/>
      <c r="BB1776" s="73"/>
      <c r="BC1776" s="73"/>
      <c r="BD1776" s="73"/>
      <c r="BE1776" s="73"/>
      <c r="BF1776" s="73"/>
      <c r="BG1776" s="73"/>
      <c r="BH1776" s="73"/>
      <c r="BI1776" s="73"/>
      <c r="BJ1776" s="73"/>
      <c r="BK1776" s="73"/>
      <c r="BL1776" s="73"/>
      <c r="BM1776" s="73"/>
      <c r="BN1776" s="73"/>
      <c r="BO1776" s="73"/>
      <c r="BP1776" s="73"/>
      <c r="BQ1776" s="73"/>
      <c r="BR1776" s="73"/>
      <c r="BS1776" s="73"/>
      <c r="BT1776" s="73"/>
      <c r="BU1776" s="73"/>
      <c r="BV1776" s="73"/>
      <c r="BW1776" s="73"/>
      <c r="BX1776" s="73"/>
      <c r="BY1776" s="73"/>
      <c r="BZ1776" s="73"/>
      <c r="CA1776" s="73"/>
      <c r="CB1776" s="73"/>
      <c r="CC1776" s="73"/>
      <c r="CD1776" s="73"/>
      <c r="CE1776" s="73"/>
      <c r="CF1776" s="73"/>
      <c r="CG1776" s="73"/>
      <c r="CH1776" s="73"/>
      <c r="CI1776" s="73"/>
      <c r="CJ1776" s="73"/>
      <c r="CK1776" s="73"/>
      <c r="CL1776" s="73"/>
      <c r="CM1776" s="73"/>
      <c r="CN1776" s="73"/>
      <c r="CO1776" s="73"/>
      <c r="CP1776" s="73"/>
      <c r="CQ1776" s="73"/>
      <c r="CR1776" s="73"/>
      <c r="CS1776" s="73"/>
      <c r="CT1776" s="73"/>
      <c r="CU1776" s="73"/>
      <c r="CV1776" s="73"/>
      <c r="CW1776" s="73"/>
      <c r="CX1776" s="73"/>
      <c r="CY1776" s="73"/>
      <c r="CZ1776" s="73"/>
      <c r="DA1776" s="73"/>
      <c r="DB1776" s="73"/>
      <c r="DC1776" s="73"/>
      <c r="DD1776" s="73"/>
      <c r="DE1776" s="73"/>
      <c r="DF1776" s="73"/>
      <c r="DG1776" s="73"/>
      <c r="DH1776" s="73"/>
      <c r="DI1776" s="73"/>
      <c r="DJ1776" s="73"/>
      <c r="DK1776" s="73"/>
      <c r="DL1776" s="73"/>
      <c r="DM1776" s="73"/>
    </row>
    <row r="1777" spans="1:117" s="48" customFormat="1">
      <c r="A1777" s="73"/>
      <c r="T1777" s="73"/>
      <c r="U1777" s="73"/>
      <c r="V1777" s="73"/>
      <c r="W1777" s="73"/>
      <c r="X1777" s="73"/>
      <c r="Y1777" s="73"/>
      <c r="Z1777" s="73"/>
      <c r="AA1777" s="73"/>
      <c r="AB1777" s="73"/>
      <c r="AC1777" s="73"/>
      <c r="AD1777" s="73"/>
      <c r="AE1777" s="73"/>
      <c r="AF1777" s="73"/>
      <c r="AG1777" s="73"/>
      <c r="AH1777" s="73"/>
      <c r="AI1777" s="73"/>
      <c r="AJ1777" s="73"/>
      <c r="AK1777" s="73"/>
      <c r="AL1777" s="73"/>
      <c r="AM1777" s="73"/>
      <c r="AN1777" s="73"/>
      <c r="AO1777" s="73"/>
      <c r="AP1777" s="73"/>
      <c r="AQ1777" s="73"/>
      <c r="AR1777" s="73"/>
      <c r="AS1777" s="73"/>
      <c r="AT1777" s="73"/>
      <c r="AU1777" s="73"/>
      <c r="AV1777" s="73"/>
      <c r="AW1777" s="73"/>
      <c r="AX1777" s="73"/>
      <c r="AY1777" s="73"/>
      <c r="AZ1777" s="73"/>
      <c r="BA1777" s="73"/>
      <c r="BB1777" s="73"/>
      <c r="BC1777" s="73"/>
      <c r="BD1777" s="73"/>
      <c r="BE1777" s="73"/>
      <c r="BF1777" s="73"/>
      <c r="BG1777" s="73"/>
      <c r="BH1777" s="73"/>
      <c r="BI1777" s="73"/>
      <c r="BJ1777" s="73"/>
      <c r="BK1777" s="73"/>
      <c r="BL1777" s="73"/>
      <c r="BM1777" s="73"/>
      <c r="BN1777" s="73"/>
      <c r="BO1777" s="73"/>
      <c r="BP1777" s="73"/>
      <c r="BQ1777" s="73"/>
      <c r="BR1777" s="73"/>
      <c r="BS1777" s="73"/>
      <c r="BT1777" s="73"/>
      <c r="BU1777" s="73"/>
      <c r="BV1777" s="73"/>
      <c r="BW1777" s="73"/>
      <c r="BX1777" s="73"/>
      <c r="BY1777" s="73"/>
      <c r="BZ1777" s="73"/>
      <c r="CA1777" s="73"/>
      <c r="CB1777" s="73"/>
      <c r="CC1777" s="73"/>
      <c r="CD1777" s="73"/>
      <c r="CE1777" s="73"/>
      <c r="CF1777" s="73"/>
      <c r="CG1777" s="73"/>
      <c r="CH1777" s="73"/>
      <c r="CI1777" s="73"/>
      <c r="CJ1777" s="73"/>
      <c r="CK1777" s="73"/>
      <c r="CL1777" s="73"/>
      <c r="CM1777" s="73"/>
      <c r="CN1777" s="73"/>
      <c r="CO1777" s="73"/>
      <c r="CP1777" s="73"/>
      <c r="CQ1777" s="73"/>
      <c r="CR1777" s="73"/>
      <c r="CS1777" s="73"/>
      <c r="CT1777" s="73"/>
      <c r="CU1777" s="73"/>
      <c r="CV1777" s="73"/>
      <c r="CW1777" s="73"/>
      <c r="CX1777" s="73"/>
      <c r="CY1777" s="73"/>
      <c r="CZ1777" s="73"/>
      <c r="DA1777" s="73"/>
      <c r="DB1777" s="73"/>
      <c r="DC1777" s="73"/>
      <c r="DD1777" s="73"/>
      <c r="DE1777" s="73"/>
      <c r="DF1777" s="73"/>
      <c r="DG1777" s="73"/>
      <c r="DH1777" s="73"/>
      <c r="DI1777" s="73"/>
      <c r="DJ1777" s="73"/>
      <c r="DK1777" s="73"/>
      <c r="DL1777" s="73"/>
      <c r="DM1777" s="73"/>
    </row>
    <row r="1778" spans="1:117" s="48" customFormat="1">
      <c r="A1778" s="73"/>
      <c r="T1778" s="73"/>
      <c r="U1778" s="73"/>
      <c r="V1778" s="73"/>
      <c r="W1778" s="73"/>
      <c r="X1778" s="73"/>
      <c r="Y1778" s="73"/>
      <c r="Z1778" s="73"/>
      <c r="AA1778" s="73"/>
      <c r="AB1778" s="73"/>
      <c r="AC1778" s="73"/>
      <c r="AD1778" s="73"/>
      <c r="AE1778" s="73"/>
      <c r="AF1778" s="73"/>
      <c r="AG1778" s="73"/>
      <c r="AH1778" s="73"/>
      <c r="AI1778" s="73"/>
      <c r="AJ1778" s="73"/>
      <c r="AK1778" s="73"/>
      <c r="AL1778" s="73"/>
      <c r="AM1778" s="73"/>
      <c r="AN1778" s="73"/>
      <c r="AO1778" s="73"/>
      <c r="AP1778" s="73"/>
      <c r="AQ1778" s="73"/>
      <c r="AR1778" s="73"/>
      <c r="AS1778" s="73"/>
      <c r="AT1778" s="73"/>
      <c r="AU1778" s="73"/>
      <c r="AV1778" s="73"/>
      <c r="AW1778" s="73"/>
      <c r="AX1778" s="73"/>
      <c r="AY1778" s="73"/>
      <c r="AZ1778" s="73"/>
      <c r="BA1778" s="73"/>
      <c r="BB1778" s="73"/>
      <c r="BC1778" s="73"/>
      <c r="BD1778" s="73"/>
      <c r="BE1778" s="73"/>
      <c r="BF1778" s="73"/>
      <c r="BG1778" s="73"/>
      <c r="BH1778" s="73"/>
      <c r="BI1778" s="73"/>
      <c r="BJ1778" s="73"/>
      <c r="BK1778" s="73"/>
      <c r="BL1778" s="73"/>
      <c r="BM1778" s="73"/>
      <c r="BN1778" s="73"/>
      <c r="BO1778" s="73"/>
      <c r="BP1778" s="73"/>
      <c r="BQ1778" s="73"/>
      <c r="BR1778" s="73"/>
      <c r="BS1778" s="73"/>
      <c r="BT1778" s="73"/>
      <c r="BU1778" s="73"/>
      <c r="BV1778" s="73"/>
      <c r="BW1778" s="73"/>
      <c r="BX1778" s="73"/>
      <c r="BY1778" s="73"/>
      <c r="BZ1778" s="73"/>
      <c r="CA1778" s="73"/>
      <c r="CB1778" s="73"/>
      <c r="CC1778" s="73"/>
      <c r="CD1778" s="73"/>
      <c r="CE1778" s="73"/>
      <c r="CF1778" s="73"/>
      <c r="CG1778" s="73"/>
      <c r="CH1778" s="73"/>
      <c r="CI1778" s="73"/>
      <c r="CJ1778" s="73"/>
      <c r="CK1778" s="73"/>
      <c r="CL1778" s="73"/>
      <c r="CM1778" s="73"/>
      <c r="CN1778" s="73"/>
      <c r="CO1778" s="73"/>
      <c r="CP1778" s="73"/>
      <c r="CQ1778" s="73"/>
      <c r="CR1778" s="73"/>
      <c r="CS1778" s="73"/>
      <c r="CT1778" s="73"/>
      <c r="CU1778" s="73"/>
      <c r="CV1778" s="73"/>
      <c r="CW1778" s="73"/>
      <c r="CX1778" s="73"/>
      <c r="CY1778" s="73"/>
      <c r="CZ1778" s="73"/>
      <c r="DA1778" s="73"/>
      <c r="DB1778" s="73"/>
      <c r="DC1778" s="73"/>
      <c r="DD1778" s="73"/>
      <c r="DE1778" s="73"/>
      <c r="DF1778" s="73"/>
      <c r="DG1778" s="73"/>
      <c r="DH1778" s="73"/>
      <c r="DI1778" s="73"/>
      <c r="DJ1778" s="73"/>
      <c r="DK1778" s="73"/>
      <c r="DL1778" s="73"/>
      <c r="DM1778" s="73"/>
    </row>
    <row r="1779" spans="1:117" s="48" customFormat="1">
      <c r="A1779" s="73"/>
      <c r="T1779" s="73"/>
      <c r="U1779" s="73"/>
      <c r="V1779" s="73"/>
      <c r="W1779" s="73"/>
      <c r="X1779" s="73"/>
      <c r="Y1779" s="73"/>
      <c r="Z1779" s="73"/>
      <c r="AA1779" s="73"/>
      <c r="AB1779" s="73"/>
      <c r="AC1779" s="73"/>
      <c r="AD1779" s="73"/>
      <c r="AE1779" s="73"/>
      <c r="AF1779" s="73"/>
      <c r="AG1779" s="73"/>
      <c r="AH1779" s="73"/>
      <c r="AI1779" s="73"/>
      <c r="AJ1779" s="73"/>
      <c r="AK1779" s="73"/>
      <c r="AL1779" s="73"/>
      <c r="AM1779" s="73"/>
      <c r="AN1779" s="73"/>
      <c r="AO1779" s="73"/>
      <c r="AP1779" s="73"/>
      <c r="AQ1779" s="73"/>
      <c r="AR1779" s="73"/>
      <c r="AS1779" s="73"/>
      <c r="AT1779" s="73"/>
      <c r="AU1779" s="73"/>
      <c r="AV1779" s="73"/>
      <c r="AW1779" s="73"/>
      <c r="AX1779" s="73"/>
      <c r="AY1779" s="73"/>
      <c r="AZ1779" s="73"/>
      <c r="BA1779" s="73"/>
      <c r="BB1779" s="73"/>
      <c r="BC1779" s="73"/>
      <c r="BD1779" s="73"/>
      <c r="BE1779" s="73"/>
      <c r="BF1779" s="73"/>
      <c r="BG1779" s="73"/>
      <c r="BH1779" s="73"/>
      <c r="BI1779" s="73"/>
      <c r="BJ1779" s="73"/>
      <c r="BK1779" s="73"/>
      <c r="BL1779" s="73"/>
      <c r="BM1779" s="73"/>
      <c r="BN1779" s="73"/>
      <c r="BO1779" s="73"/>
      <c r="BP1779" s="73"/>
      <c r="BQ1779" s="73"/>
      <c r="BR1779" s="73"/>
      <c r="BS1779" s="73"/>
      <c r="BT1779" s="73"/>
      <c r="BU1779" s="73"/>
      <c r="BV1779" s="73"/>
      <c r="BW1779" s="73"/>
      <c r="BX1779" s="73"/>
      <c r="BY1779" s="73"/>
      <c r="BZ1779" s="73"/>
      <c r="CA1779" s="73"/>
      <c r="CB1779" s="73"/>
      <c r="CC1779" s="73"/>
      <c r="CD1779" s="73"/>
      <c r="CE1779" s="73"/>
      <c r="CF1779" s="73"/>
      <c r="CG1779" s="73"/>
      <c r="CH1779" s="73"/>
      <c r="CI1779" s="73"/>
      <c r="CJ1779" s="73"/>
      <c r="CK1779" s="73"/>
      <c r="CL1779" s="73"/>
      <c r="CM1779" s="73"/>
      <c r="CN1779" s="73"/>
      <c r="CO1779" s="73"/>
      <c r="CP1779" s="73"/>
      <c r="CQ1779" s="73"/>
      <c r="CR1779" s="73"/>
      <c r="CS1779" s="73"/>
      <c r="CT1779" s="73"/>
      <c r="CU1779" s="73"/>
      <c r="CV1779" s="73"/>
      <c r="CW1779" s="73"/>
      <c r="CX1779" s="73"/>
      <c r="CY1779" s="73"/>
      <c r="CZ1779" s="73"/>
      <c r="DA1779" s="73"/>
      <c r="DB1779" s="73"/>
      <c r="DC1779" s="73"/>
      <c r="DD1779" s="73"/>
      <c r="DE1779" s="73"/>
      <c r="DF1779" s="73"/>
      <c r="DG1779" s="73"/>
      <c r="DH1779" s="73"/>
      <c r="DI1779" s="73"/>
      <c r="DJ1779" s="73"/>
      <c r="DK1779" s="73"/>
      <c r="DL1779" s="73"/>
      <c r="DM1779" s="73"/>
    </row>
    <row r="1780" spans="1:117" s="48" customFormat="1">
      <c r="A1780" s="73"/>
      <c r="T1780" s="73"/>
      <c r="U1780" s="73"/>
      <c r="V1780" s="73"/>
      <c r="W1780" s="73"/>
      <c r="X1780" s="73"/>
      <c r="Y1780" s="73"/>
      <c r="Z1780" s="73"/>
      <c r="AA1780" s="73"/>
      <c r="AB1780" s="73"/>
      <c r="AC1780" s="73"/>
      <c r="AD1780" s="73"/>
      <c r="AE1780" s="73"/>
      <c r="AF1780" s="73"/>
      <c r="AG1780" s="73"/>
      <c r="AH1780" s="73"/>
      <c r="AI1780" s="73"/>
      <c r="AJ1780" s="73"/>
      <c r="AK1780" s="73"/>
      <c r="AL1780" s="73"/>
      <c r="AM1780" s="73"/>
      <c r="AN1780" s="73"/>
      <c r="AO1780" s="73"/>
      <c r="AP1780" s="73"/>
      <c r="AQ1780" s="73"/>
      <c r="AR1780" s="73"/>
      <c r="AS1780" s="73"/>
      <c r="AT1780" s="73"/>
      <c r="AU1780" s="73"/>
      <c r="AV1780" s="73"/>
      <c r="AW1780" s="73"/>
      <c r="AX1780" s="73"/>
      <c r="AY1780" s="73"/>
      <c r="AZ1780" s="73"/>
      <c r="BA1780" s="73"/>
      <c r="BB1780" s="73"/>
      <c r="BC1780" s="73"/>
      <c r="BD1780" s="73"/>
      <c r="BE1780" s="73"/>
      <c r="BF1780" s="73"/>
      <c r="BG1780" s="73"/>
      <c r="BH1780" s="73"/>
      <c r="BI1780" s="73"/>
      <c r="BJ1780" s="73"/>
      <c r="BK1780" s="73"/>
      <c r="BL1780" s="73"/>
      <c r="BM1780" s="73"/>
      <c r="BN1780" s="73"/>
      <c r="BO1780" s="73"/>
      <c r="BP1780" s="73"/>
      <c r="BQ1780" s="73"/>
      <c r="BR1780" s="73"/>
      <c r="BS1780" s="73"/>
      <c r="BT1780" s="73"/>
      <c r="BU1780" s="73"/>
      <c r="BV1780" s="73"/>
      <c r="BW1780" s="73"/>
      <c r="BX1780" s="73"/>
      <c r="BY1780" s="73"/>
      <c r="BZ1780" s="73"/>
      <c r="CA1780" s="73"/>
      <c r="CB1780" s="73"/>
      <c r="CC1780" s="73"/>
      <c r="CD1780" s="73"/>
      <c r="CE1780" s="73"/>
      <c r="CF1780" s="73"/>
      <c r="CG1780" s="73"/>
      <c r="CH1780" s="73"/>
      <c r="CI1780" s="73"/>
      <c r="CJ1780" s="73"/>
      <c r="CK1780" s="73"/>
      <c r="CL1780" s="73"/>
      <c r="CM1780" s="73"/>
      <c r="CN1780" s="73"/>
      <c r="CO1780" s="73"/>
      <c r="CP1780" s="73"/>
      <c r="CQ1780" s="73"/>
      <c r="CR1780" s="73"/>
      <c r="CS1780" s="73"/>
      <c r="CT1780" s="73"/>
      <c r="CU1780" s="73"/>
      <c r="CV1780" s="73"/>
      <c r="CW1780" s="73"/>
      <c r="CX1780" s="73"/>
      <c r="CY1780" s="73"/>
      <c r="CZ1780" s="73"/>
      <c r="DA1780" s="73"/>
      <c r="DB1780" s="73"/>
      <c r="DC1780" s="73"/>
      <c r="DD1780" s="73"/>
      <c r="DE1780" s="73"/>
      <c r="DF1780" s="73"/>
      <c r="DG1780" s="73"/>
      <c r="DH1780" s="73"/>
      <c r="DI1780" s="73"/>
      <c r="DJ1780" s="73"/>
      <c r="DK1780" s="73"/>
      <c r="DL1780" s="73"/>
      <c r="DM1780" s="73"/>
    </row>
    <row r="1781" spans="1:117" s="48" customFormat="1">
      <c r="A1781" s="73"/>
      <c r="T1781" s="73"/>
      <c r="U1781" s="73"/>
      <c r="V1781" s="73"/>
      <c r="W1781" s="73"/>
      <c r="X1781" s="73"/>
      <c r="Y1781" s="73"/>
      <c r="Z1781" s="73"/>
      <c r="AA1781" s="73"/>
      <c r="AB1781" s="73"/>
      <c r="AC1781" s="73"/>
      <c r="AD1781" s="73"/>
      <c r="AE1781" s="73"/>
      <c r="AF1781" s="73"/>
      <c r="AG1781" s="73"/>
      <c r="AH1781" s="73"/>
      <c r="AI1781" s="73"/>
      <c r="AJ1781" s="73"/>
      <c r="AK1781" s="73"/>
      <c r="AL1781" s="73"/>
      <c r="AM1781" s="73"/>
      <c r="AN1781" s="73"/>
      <c r="AO1781" s="73"/>
      <c r="AP1781" s="73"/>
      <c r="AQ1781" s="73"/>
      <c r="AR1781" s="73"/>
      <c r="AS1781" s="73"/>
      <c r="AT1781" s="73"/>
      <c r="AU1781" s="73"/>
      <c r="AV1781" s="73"/>
      <c r="AW1781" s="73"/>
      <c r="AX1781" s="73"/>
      <c r="AY1781" s="73"/>
      <c r="AZ1781" s="73"/>
      <c r="BA1781" s="73"/>
      <c r="BB1781" s="73"/>
      <c r="BC1781" s="73"/>
      <c r="BD1781" s="73"/>
      <c r="BE1781" s="73"/>
      <c r="BF1781" s="73"/>
      <c r="BG1781" s="73"/>
      <c r="BH1781" s="73"/>
      <c r="BI1781" s="73"/>
      <c r="BJ1781" s="73"/>
      <c r="BK1781" s="73"/>
      <c r="BL1781" s="73"/>
      <c r="BM1781" s="73"/>
      <c r="BN1781" s="73"/>
      <c r="BO1781" s="73"/>
      <c r="BP1781" s="73"/>
      <c r="BQ1781" s="73"/>
      <c r="BR1781" s="73"/>
      <c r="BS1781" s="73"/>
      <c r="BT1781" s="73"/>
      <c r="BU1781" s="73"/>
      <c r="BV1781" s="73"/>
      <c r="BW1781" s="73"/>
      <c r="BX1781" s="73"/>
      <c r="BY1781" s="73"/>
      <c r="BZ1781" s="73"/>
      <c r="CA1781" s="73"/>
      <c r="CB1781" s="73"/>
      <c r="CC1781" s="73"/>
      <c r="CD1781" s="73"/>
      <c r="CE1781" s="73"/>
      <c r="CF1781" s="73"/>
      <c r="CG1781" s="73"/>
      <c r="CH1781" s="73"/>
      <c r="CI1781" s="73"/>
      <c r="CJ1781" s="73"/>
      <c r="CK1781" s="73"/>
      <c r="CL1781" s="73"/>
      <c r="CM1781" s="73"/>
      <c r="CN1781" s="73"/>
      <c r="CO1781" s="73"/>
      <c r="CP1781" s="73"/>
      <c r="CQ1781" s="73"/>
      <c r="CR1781" s="73"/>
      <c r="CS1781" s="73"/>
      <c r="CT1781" s="73"/>
      <c r="CU1781" s="73"/>
      <c r="CV1781" s="73"/>
      <c r="CW1781" s="73"/>
      <c r="CX1781" s="73"/>
      <c r="CY1781" s="73"/>
      <c r="CZ1781" s="73"/>
      <c r="DA1781" s="73"/>
      <c r="DB1781" s="73"/>
      <c r="DC1781" s="73"/>
      <c r="DD1781" s="73"/>
      <c r="DE1781" s="73"/>
      <c r="DF1781" s="73"/>
      <c r="DG1781" s="73"/>
      <c r="DH1781" s="73"/>
      <c r="DI1781" s="73"/>
      <c r="DJ1781" s="73"/>
      <c r="DK1781" s="73"/>
      <c r="DL1781" s="73"/>
      <c r="DM1781" s="73"/>
    </row>
    <row r="1782" spans="1:117" s="48" customFormat="1">
      <c r="A1782" s="73"/>
      <c r="T1782" s="73"/>
      <c r="U1782" s="73"/>
      <c r="V1782" s="73"/>
      <c r="W1782" s="73"/>
      <c r="X1782" s="73"/>
      <c r="Y1782" s="73"/>
      <c r="Z1782" s="73"/>
      <c r="AA1782" s="73"/>
      <c r="AB1782" s="73"/>
      <c r="AC1782" s="73"/>
      <c r="AD1782" s="73"/>
      <c r="AE1782" s="73"/>
      <c r="AF1782" s="73"/>
      <c r="AG1782" s="73"/>
      <c r="AH1782" s="73"/>
      <c r="AI1782" s="73"/>
      <c r="AJ1782" s="73"/>
      <c r="AK1782" s="73"/>
      <c r="AL1782" s="73"/>
      <c r="AM1782" s="73"/>
      <c r="AN1782" s="73"/>
      <c r="AO1782" s="73"/>
      <c r="AP1782" s="73"/>
      <c r="AQ1782" s="73"/>
      <c r="AR1782" s="73"/>
      <c r="AS1782" s="73"/>
      <c r="AT1782" s="73"/>
      <c r="AU1782" s="73"/>
      <c r="AV1782" s="73"/>
      <c r="AW1782" s="73"/>
      <c r="AX1782" s="73"/>
      <c r="AY1782" s="73"/>
      <c r="AZ1782" s="73"/>
      <c r="BA1782" s="73"/>
      <c r="BB1782" s="73"/>
      <c r="BC1782" s="73"/>
      <c r="BD1782" s="73"/>
      <c r="BE1782" s="73"/>
      <c r="BF1782" s="73"/>
      <c r="BG1782" s="73"/>
      <c r="BH1782" s="73"/>
      <c r="BI1782" s="73"/>
      <c r="BJ1782" s="73"/>
      <c r="BK1782" s="73"/>
      <c r="BL1782" s="73"/>
      <c r="BM1782" s="73"/>
      <c r="BN1782" s="73"/>
      <c r="BO1782" s="73"/>
      <c r="BP1782" s="73"/>
      <c r="BQ1782" s="73"/>
      <c r="BR1782" s="73"/>
      <c r="BS1782" s="73"/>
      <c r="BT1782" s="73"/>
      <c r="BU1782" s="73"/>
      <c r="BV1782" s="73"/>
      <c r="BW1782" s="73"/>
      <c r="BX1782" s="73"/>
      <c r="BY1782" s="73"/>
      <c r="BZ1782" s="73"/>
      <c r="CA1782" s="73"/>
      <c r="CB1782" s="73"/>
      <c r="CC1782" s="73"/>
      <c r="CD1782" s="73"/>
      <c r="CE1782" s="73"/>
      <c r="CF1782" s="73"/>
      <c r="CG1782" s="73"/>
      <c r="CH1782" s="73"/>
      <c r="CI1782" s="73"/>
      <c r="CJ1782" s="73"/>
      <c r="CK1782" s="73"/>
      <c r="CL1782" s="73"/>
      <c r="CM1782" s="73"/>
      <c r="CN1782" s="73"/>
      <c r="CO1782" s="73"/>
      <c r="CP1782" s="73"/>
      <c r="CQ1782" s="73"/>
      <c r="CR1782" s="73"/>
      <c r="CS1782" s="73"/>
      <c r="CT1782" s="73"/>
      <c r="CU1782" s="73"/>
      <c r="CV1782" s="73"/>
      <c r="CW1782" s="73"/>
      <c r="CX1782" s="73"/>
      <c r="CY1782" s="73"/>
      <c r="CZ1782" s="73"/>
      <c r="DA1782" s="73"/>
      <c r="DB1782" s="73"/>
      <c r="DC1782" s="73"/>
      <c r="DD1782" s="73"/>
      <c r="DE1782" s="73"/>
      <c r="DF1782" s="73"/>
      <c r="DG1782" s="73"/>
      <c r="DH1782" s="73"/>
      <c r="DI1782" s="73"/>
      <c r="DJ1782" s="73"/>
      <c r="DK1782" s="73"/>
      <c r="DL1782" s="73"/>
      <c r="DM1782" s="73"/>
    </row>
    <row r="1783" spans="1:117" s="48" customFormat="1">
      <c r="A1783" s="73"/>
      <c r="T1783" s="73"/>
      <c r="U1783" s="73"/>
      <c r="V1783" s="73"/>
      <c r="W1783" s="73"/>
      <c r="X1783" s="73"/>
      <c r="Y1783" s="73"/>
      <c r="Z1783" s="73"/>
      <c r="AA1783" s="73"/>
      <c r="AB1783" s="73"/>
      <c r="AC1783" s="73"/>
      <c r="AD1783" s="73"/>
      <c r="AE1783" s="73"/>
      <c r="AF1783" s="73"/>
      <c r="AG1783" s="73"/>
      <c r="AH1783" s="73"/>
      <c r="AI1783" s="73"/>
      <c r="AJ1783" s="73"/>
      <c r="AK1783" s="73"/>
      <c r="AL1783" s="73"/>
      <c r="AM1783" s="73"/>
      <c r="AN1783" s="73"/>
      <c r="AO1783" s="73"/>
      <c r="AP1783" s="73"/>
      <c r="AQ1783" s="73"/>
      <c r="AR1783" s="73"/>
      <c r="AS1783" s="73"/>
      <c r="AT1783" s="73"/>
      <c r="AU1783" s="73"/>
      <c r="AV1783" s="73"/>
      <c r="AW1783" s="73"/>
      <c r="AX1783" s="73"/>
      <c r="AY1783" s="73"/>
      <c r="AZ1783" s="73"/>
      <c r="BA1783" s="73"/>
      <c r="BB1783" s="73"/>
      <c r="BC1783" s="73"/>
      <c r="BD1783" s="73"/>
      <c r="BE1783" s="73"/>
      <c r="BF1783" s="73"/>
      <c r="BG1783" s="73"/>
      <c r="BH1783" s="73"/>
      <c r="BI1783" s="73"/>
      <c r="BJ1783" s="73"/>
      <c r="BK1783" s="73"/>
      <c r="BL1783" s="73"/>
      <c r="BM1783" s="73"/>
      <c r="BN1783" s="73"/>
      <c r="BO1783" s="73"/>
      <c r="BP1783" s="73"/>
      <c r="BQ1783" s="73"/>
      <c r="BR1783" s="73"/>
      <c r="BS1783" s="73"/>
      <c r="BT1783" s="73"/>
      <c r="BU1783" s="73"/>
      <c r="BV1783" s="73"/>
      <c r="BW1783" s="73"/>
      <c r="BX1783" s="73"/>
      <c r="BY1783" s="73"/>
      <c r="BZ1783" s="73"/>
      <c r="CA1783" s="73"/>
      <c r="CB1783" s="73"/>
      <c r="CC1783" s="73"/>
      <c r="CD1783" s="73"/>
      <c r="CE1783" s="73"/>
      <c r="CF1783" s="73"/>
      <c r="CG1783" s="73"/>
      <c r="CH1783" s="73"/>
      <c r="CI1783" s="73"/>
      <c r="CJ1783" s="73"/>
      <c r="CK1783" s="73"/>
      <c r="CL1783" s="73"/>
      <c r="CM1783" s="73"/>
      <c r="CN1783" s="73"/>
      <c r="CO1783" s="73"/>
      <c r="CP1783" s="73"/>
      <c r="CQ1783" s="73"/>
      <c r="CR1783" s="73"/>
      <c r="CS1783" s="73"/>
      <c r="CT1783" s="73"/>
      <c r="CU1783" s="73"/>
      <c r="CV1783" s="73"/>
      <c r="CW1783" s="73"/>
      <c r="CX1783" s="73"/>
      <c r="CY1783" s="73"/>
      <c r="CZ1783" s="73"/>
      <c r="DA1783" s="73"/>
      <c r="DB1783" s="73"/>
      <c r="DC1783" s="73"/>
      <c r="DD1783" s="73"/>
      <c r="DE1783" s="73"/>
      <c r="DF1783" s="73"/>
      <c r="DG1783" s="73"/>
      <c r="DH1783" s="73"/>
      <c r="DI1783" s="73"/>
      <c r="DJ1783" s="73"/>
      <c r="DK1783" s="73"/>
      <c r="DL1783" s="73"/>
      <c r="DM1783" s="73"/>
    </row>
    <row r="1784" spans="1:117" s="48" customFormat="1">
      <c r="A1784" s="73"/>
      <c r="T1784" s="73"/>
      <c r="U1784" s="73"/>
      <c r="V1784" s="73"/>
      <c r="W1784" s="73"/>
      <c r="X1784" s="73"/>
      <c r="Y1784" s="73"/>
      <c r="Z1784" s="73"/>
      <c r="AA1784" s="73"/>
      <c r="AB1784" s="73"/>
      <c r="AC1784" s="73"/>
      <c r="AD1784" s="73"/>
      <c r="AE1784" s="73"/>
      <c r="AF1784" s="73"/>
      <c r="AG1784" s="73"/>
      <c r="AH1784" s="73"/>
      <c r="AI1784" s="73"/>
      <c r="AJ1784" s="73"/>
      <c r="AK1784" s="73"/>
      <c r="AL1784" s="73"/>
      <c r="AM1784" s="73"/>
      <c r="AN1784" s="73"/>
      <c r="AO1784" s="73"/>
      <c r="AP1784" s="73"/>
      <c r="AQ1784" s="73"/>
      <c r="AR1784" s="73"/>
      <c r="AS1784" s="73"/>
      <c r="AT1784" s="73"/>
      <c r="AU1784" s="73"/>
      <c r="AV1784" s="73"/>
      <c r="AW1784" s="73"/>
      <c r="AX1784" s="73"/>
      <c r="AY1784" s="73"/>
      <c r="AZ1784" s="73"/>
      <c r="BA1784" s="73"/>
      <c r="BB1784" s="73"/>
      <c r="BC1784" s="73"/>
      <c r="BD1784" s="73"/>
      <c r="BE1784" s="73"/>
      <c r="BF1784" s="73"/>
      <c r="BG1784" s="73"/>
      <c r="BH1784" s="73"/>
      <c r="BI1784" s="73"/>
      <c r="BJ1784" s="73"/>
      <c r="BK1784" s="73"/>
      <c r="BL1784" s="73"/>
      <c r="BM1784" s="73"/>
      <c r="BN1784" s="73"/>
      <c r="BO1784" s="73"/>
      <c r="BP1784" s="73"/>
      <c r="BQ1784" s="73"/>
      <c r="BR1784" s="73"/>
      <c r="BS1784" s="73"/>
      <c r="BT1784" s="73"/>
      <c r="BU1784" s="73"/>
      <c r="BV1784" s="73"/>
      <c r="BW1784" s="73"/>
      <c r="BX1784" s="73"/>
      <c r="BY1784" s="73"/>
      <c r="BZ1784" s="73"/>
      <c r="CA1784" s="73"/>
      <c r="CB1784" s="73"/>
      <c r="CC1784" s="73"/>
      <c r="CD1784" s="73"/>
      <c r="CE1784" s="73"/>
      <c r="CF1784" s="73"/>
      <c r="CG1784" s="73"/>
      <c r="CH1784" s="73"/>
      <c r="CI1784" s="73"/>
      <c r="CJ1784" s="73"/>
      <c r="CK1784" s="73"/>
      <c r="CL1784" s="73"/>
      <c r="CM1784" s="73"/>
      <c r="CN1784" s="73"/>
      <c r="CO1784" s="73"/>
      <c r="CP1784" s="73"/>
      <c r="CQ1784" s="73"/>
      <c r="CR1784" s="73"/>
      <c r="CS1784" s="73"/>
      <c r="CT1784" s="73"/>
      <c r="CU1784" s="73"/>
      <c r="CV1784" s="73"/>
      <c r="CW1784" s="73"/>
      <c r="CX1784" s="73"/>
      <c r="CY1784" s="73"/>
      <c r="CZ1784" s="73"/>
      <c r="DA1784" s="73"/>
      <c r="DB1784" s="73"/>
      <c r="DC1784" s="73"/>
      <c r="DD1784" s="73"/>
      <c r="DE1784" s="73"/>
      <c r="DF1784" s="73"/>
      <c r="DG1784" s="73"/>
      <c r="DH1784" s="73"/>
      <c r="DI1784" s="73"/>
      <c r="DJ1784" s="73"/>
      <c r="DK1784" s="73"/>
      <c r="DL1784" s="73"/>
      <c r="DM1784" s="73"/>
    </row>
    <row r="1785" spans="1:117" s="48" customFormat="1">
      <c r="A1785" s="73"/>
      <c r="T1785" s="73"/>
      <c r="U1785" s="73"/>
      <c r="V1785" s="73"/>
      <c r="W1785" s="73"/>
      <c r="X1785" s="73"/>
      <c r="Y1785" s="73"/>
      <c r="Z1785" s="73"/>
      <c r="AA1785" s="73"/>
      <c r="AB1785" s="73"/>
      <c r="AC1785" s="73"/>
      <c r="AD1785" s="73"/>
      <c r="AE1785" s="73"/>
      <c r="AF1785" s="73"/>
      <c r="AG1785" s="73"/>
      <c r="AH1785" s="73"/>
      <c r="AI1785" s="73"/>
      <c r="AJ1785" s="73"/>
      <c r="AK1785" s="73"/>
      <c r="AL1785" s="73"/>
      <c r="AM1785" s="73"/>
      <c r="AN1785" s="73"/>
      <c r="AO1785" s="73"/>
      <c r="AP1785" s="73"/>
      <c r="AQ1785" s="73"/>
      <c r="AR1785" s="73"/>
      <c r="AS1785" s="73"/>
      <c r="AT1785" s="73"/>
      <c r="AU1785" s="73"/>
      <c r="AV1785" s="73"/>
      <c r="AW1785" s="73"/>
      <c r="AX1785" s="73"/>
      <c r="AY1785" s="73"/>
      <c r="AZ1785" s="73"/>
      <c r="BA1785" s="73"/>
      <c r="BB1785" s="73"/>
      <c r="BC1785" s="73"/>
      <c r="BD1785" s="73"/>
      <c r="BE1785" s="73"/>
      <c r="BF1785" s="73"/>
      <c r="BG1785" s="73"/>
      <c r="BH1785" s="73"/>
      <c r="BI1785" s="73"/>
      <c r="BJ1785" s="73"/>
      <c r="BK1785" s="73"/>
      <c r="BL1785" s="73"/>
      <c r="BM1785" s="73"/>
      <c r="BN1785" s="73"/>
      <c r="BO1785" s="73"/>
      <c r="BP1785" s="73"/>
      <c r="BQ1785" s="73"/>
      <c r="BR1785" s="73"/>
      <c r="BS1785" s="73"/>
      <c r="BT1785" s="73"/>
      <c r="BU1785" s="73"/>
      <c r="BV1785" s="73"/>
      <c r="BW1785" s="73"/>
      <c r="BX1785" s="73"/>
      <c r="BY1785" s="73"/>
      <c r="BZ1785" s="73"/>
      <c r="CA1785" s="73"/>
      <c r="CB1785" s="73"/>
      <c r="CC1785" s="73"/>
      <c r="CD1785" s="73"/>
      <c r="CE1785" s="73"/>
      <c r="CF1785" s="73"/>
      <c r="CG1785" s="73"/>
      <c r="CH1785" s="73"/>
      <c r="CI1785" s="73"/>
      <c r="CJ1785" s="73"/>
      <c r="CK1785" s="73"/>
      <c r="CL1785" s="73"/>
      <c r="CM1785" s="73"/>
      <c r="CN1785" s="73"/>
      <c r="CO1785" s="73"/>
      <c r="CP1785" s="73"/>
      <c r="CQ1785" s="73"/>
      <c r="CR1785" s="73"/>
      <c r="CS1785" s="73"/>
      <c r="CT1785" s="73"/>
      <c r="CU1785" s="73"/>
      <c r="CV1785" s="73"/>
      <c r="CW1785" s="73"/>
      <c r="CX1785" s="73"/>
      <c r="CY1785" s="73"/>
      <c r="CZ1785" s="73"/>
      <c r="DA1785" s="73"/>
      <c r="DB1785" s="73"/>
      <c r="DC1785" s="73"/>
      <c r="DD1785" s="73"/>
      <c r="DE1785" s="73"/>
      <c r="DF1785" s="73"/>
      <c r="DG1785" s="73"/>
      <c r="DH1785" s="73"/>
      <c r="DI1785" s="73"/>
      <c r="DJ1785" s="73"/>
      <c r="DK1785" s="73"/>
      <c r="DL1785" s="73"/>
      <c r="DM1785" s="73"/>
    </row>
    <row r="1786" spans="1:117" s="48" customFormat="1">
      <c r="A1786" s="73"/>
      <c r="T1786" s="73"/>
      <c r="U1786" s="73"/>
      <c r="V1786" s="73"/>
      <c r="W1786" s="73"/>
      <c r="X1786" s="73"/>
      <c r="Y1786" s="73"/>
      <c r="Z1786" s="73"/>
      <c r="AA1786" s="73"/>
      <c r="AB1786" s="73"/>
      <c r="AC1786" s="73"/>
      <c r="AD1786" s="73"/>
      <c r="AE1786" s="73"/>
      <c r="AF1786" s="73"/>
      <c r="AG1786" s="73"/>
      <c r="AH1786" s="73"/>
      <c r="AI1786" s="73"/>
      <c r="AJ1786" s="73"/>
      <c r="AK1786" s="73"/>
      <c r="AL1786" s="73"/>
      <c r="AM1786" s="73"/>
      <c r="AN1786" s="73"/>
      <c r="AO1786" s="73"/>
      <c r="AP1786" s="73"/>
      <c r="AQ1786" s="73"/>
      <c r="AR1786" s="73"/>
      <c r="AS1786" s="73"/>
      <c r="AT1786" s="73"/>
      <c r="AU1786" s="73"/>
      <c r="AV1786" s="73"/>
      <c r="AW1786" s="73"/>
      <c r="AX1786" s="73"/>
      <c r="AY1786" s="73"/>
      <c r="AZ1786" s="73"/>
      <c r="BA1786" s="73"/>
      <c r="BB1786" s="73"/>
      <c r="BC1786" s="73"/>
      <c r="BD1786" s="73"/>
      <c r="BE1786" s="73"/>
      <c r="BF1786" s="73"/>
      <c r="BG1786" s="73"/>
      <c r="BH1786" s="73"/>
      <c r="BI1786" s="73"/>
      <c r="BJ1786" s="73"/>
      <c r="BK1786" s="73"/>
      <c r="BL1786" s="73"/>
      <c r="BM1786" s="73"/>
      <c r="BN1786" s="73"/>
      <c r="BO1786" s="73"/>
      <c r="BP1786" s="73"/>
      <c r="BQ1786" s="73"/>
      <c r="BR1786" s="73"/>
      <c r="BS1786" s="73"/>
      <c r="BT1786" s="73"/>
      <c r="BU1786" s="73"/>
      <c r="BV1786" s="73"/>
      <c r="BW1786" s="73"/>
      <c r="BX1786" s="73"/>
      <c r="BY1786" s="73"/>
      <c r="BZ1786" s="73"/>
      <c r="CA1786" s="73"/>
      <c r="CB1786" s="73"/>
      <c r="CC1786" s="73"/>
      <c r="CD1786" s="73"/>
      <c r="CE1786" s="73"/>
      <c r="CF1786" s="73"/>
      <c r="CG1786" s="73"/>
      <c r="CH1786" s="73"/>
      <c r="CI1786" s="73"/>
      <c r="CJ1786" s="73"/>
      <c r="CK1786" s="73"/>
      <c r="CL1786" s="73"/>
      <c r="CM1786" s="73"/>
      <c r="CN1786" s="73"/>
      <c r="CO1786" s="73"/>
      <c r="CP1786" s="73"/>
      <c r="CQ1786" s="73"/>
      <c r="CR1786" s="73"/>
      <c r="CS1786" s="73"/>
      <c r="CT1786" s="73"/>
      <c r="CU1786" s="73"/>
      <c r="CV1786" s="73"/>
      <c r="CW1786" s="73"/>
      <c r="CX1786" s="73"/>
      <c r="CY1786" s="73"/>
      <c r="CZ1786" s="73"/>
      <c r="DA1786" s="73"/>
      <c r="DB1786" s="73"/>
      <c r="DC1786" s="73"/>
      <c r="DD1786" s="73"/>
      <c r="DE1786" s="73"/>
      <c r="DF1786" s="73"/>
      <c r="DG1786" s="73"/>
      <c r="DH1786" s="73"/>
      <c r="DI1786" s="73"/>
      <c r="DJ1786" s="73"/>
      <c r="DK1786" s="73"/>
      <c r="DL1786" s="73"/>
      <c r="DM1786" s="73"/>
    </row>
    <row r="1787" spans="1:117" s="48" customFormat="1">
      <c r="A1787" s="73"/>
      <c r="T1787" s="73"/>
      <c r="U1787" s="73"/>
      <c r="V1787" s="73"/>
      <c r="W1787" s="73"/>
      <c r="X1787" s="73"/>
      <c r="Y1787" s="73"/>
      <c r="Z1787" s="73"/>
      <c r="AA1787" s="73"/>
      <c r="AB1787" s="73"/>
      <c r="AC1787" s="73"/>
      <c r="AD1787" s="73"/>
      <c r="AE1787" s="73"/>
      <c r="AF1787" s="73"/>
      <c r="AG1787" s="73"/>
      <c r="AH1787" s="73"/>
      <c r="AI1787" s="73"/>
      <c r="AJ1787" s="73"/>
      <c r="AK1787" s="73"/>
      <c r="AL1787" s="73"/>
      <c r="AM1787" s="73"/>
      <c r="AN1787" s="73"/>
      <c r="AO1787" s="73"/>
      <c r="AP1787" s="73"/>
      <c r="AQ1787" s="73"/>
      <c r="AR1787" s="73"/>
      <c r="AS1787" s="73"/>
      <c r="AT1787" s="73"/>
      <c r="AU1787" s="73"/>
      <c r="AV1787" s="73"/>
      <c r="AW1787" s="73"/>
      <c r="AX1787" s="73"/>
      <c r="AY1787" s="73"/>
      <c r="AZ1787" s="73"/>
      <c r="BA1787" s="73"/>
      <c r="BB1787" s="73"/>
      <c r="BC1787" s="73"/>
      <c r="BD1787" s="73"/>
      <c r="BE1787" s="73"/>
      <c r="BF1787" s="73"/>
      <c r="BG1787" s="73"/>
      <c r="BH1787" s="73"/>
      <c r="BI1787" s="73"/>
      <c r="BJ1787" s="73"/>
      <c r="BK1787" s="73"/>
      <c r="BL1787" s="73"/>
      <c r="BM1787" s="73"/>
      <c r="BN1787" s="73"/>
      <c r="BO1787" s="73"/>
      <c r="BP1787" s="73"/>
      <c r="BQ1787" s="73"/>
      <c r="BR1787" s="73"/>
      <c r="BS1787" s="73"/>
      <c r="BT1787" s="73"/>
      <c r="BU1787" s="73"/>
      <c r="BV1787" s="73"/>
      <c r="BW1787" s="73"/>
      <c r="BX1787" s="73"/>
      <c r="BY1787" s="73"/>
      <c r="BZ1787" s="73"/>
      <c r="CA1787" s="73"/>
      <c r="CB1787" s="73"/>
      <c r="CC1787" s="73"/>
      <c r="CD1787" s="73"/>
      <c r="CE1787" s="73"/>
      <c r="CF1787" s="73"/>
      <c r="CG1787" s="73"/>
      <c r="CH1787" s="73"/>
      <c r="CI1787" s="73"/>
      <c r="CJ1787" s="73"/>
      <c r="CK1787" s="73"/>
      <c r="CL1787" s="73"/>
      <c r="CM1787" s="73"/>
      <c r="CN1787" s="73"/>
      <c r="CO1787" s="73"/>
      <c r="CP1787" s="73"/>
      <c r="CQ1787" s="73"/>
      <c r="CR1787" s="73"/>
      <c r="CS1787" s="73"/>
      <c r="CT1787" s="73"/>
      <c r="CU1787" s="73"/>
      <c r="CV1787" s="73"/>
      <c r="CW1787" s="73"/>
      <c r="CX1787" s="73"/>
      <c r="CY1787" s="73"/>
      <c r="CZ1787" s="73"/>
      <c r="DA1787" s="73"/>
      <c r="DB1787" s="73"/>
      <c r="DC1787" s="73"/>
      <c r="DD1787" s="73"/>
      <c r="DE1787" s="73"/>
      <c r="DF1787" s="73"/>
      <c r="DG1787" s="73"/>
      <c r="DH1787" s="73"/>
      <c r="DI1787" s="73"/>
      <c r="DJ1787" s="73"/>
      <c r="DK1787" s="73"/>
      <c r="DL1787" s="73"/>
      <c r="DM1787" s="73"/>
    </row>
    <row r="1788" spans="1:117" s="48" customFormat="1">
      <c r="A1788" s="73"/>
      <c r="T1788" s="73"/>
      <c r="U1788" s="73"/>
      <c r="V1788" s="73"/>
      <c r="W1788" s="73"/>
      <c r="X1788" s="73"/>
      <c r="Y1788" s="73"/>
      <c r="Z1788" s="73"/>
      <c r="AA1788" s="73"/>
      <c r="AB1788" s="73"/>
      <c r="AC1788" s="73"/>
      <c r="AD1788" s="73"/>
      <c r="AE1788" s="73"/>
      <c r="AF1788" s="73"/>
      <c r="AG1788" s="73"/>
      <c r="AH1788" s="73"/>
      <c r="AI1788" s="73"/>
      <c r="AJ1788" s="73"/>
      <c r="AK1788" s="73"/>
      <c r="AL1788" s="73"/>
      <c r="AM1788" s="73"/>
      <c r="AN1788" s="73"/>
      <c r="AO1788" s="73"/>
      <c r="AP1788" s="73"/>
      <c r="AQ1788" s="73"/>
      <c r="AR1788" s="73"/>
      <c r="AS1788" s="73"/>
      <c r="AT1788" s="73"/>
      <c r="AU1788" s="73"/>
      <c r="AV1788" s="73"/>
      <c r="AW1788" s="73"/>
      <c r="AX1788" s="73"/>
      <c r="AY1788" s="73"/>
      <c r="AZ1788" s="73"/>
      <c r="BA1788" s="73"/>
      <c r="BB1788" s="73"/>
      <c r="BC1788" s="73"/>
      <c r="BD1788" s="73"/>
      <c r="BE1788" s="73"/>
      <c r="BF1788" s="73"/>
      <c r="BG1788" s="73"/>
      <c r="BH1788" s="73"/>
      <c r="BI1788" s="73"/>
      <c r="BJ1788" s="73"/>
      <c r="BK1788" s="73"/>
      <c r="BL1788" s="73"/>
      <c r="BM1788" s="73"/>
      <c r="BN1788" s="73"/>
      <c r="BO1788" s="73"/>
      <c r="BP1788" s="73"/>
      <c r="BQ1788" s="73"/>
      <c r="BR1788" s="73"/>
      <c r="BS1788" s="73"/>
      <c r="BT1788" s="73"/>
      <c r="BU1788" s="73"/>
      <c r="BV1788" s="73"/>
      <c r="BW1788" s="73"/>
      <c r="BX1788" s="73"/>
      <c r="BY1788" s="73"/>
      <c r="BZ1788" s="73"/>
      <c r="CA1788" s="73"/>
      <c r="CB1788" s="73"/>
      <c r="CC1788" s="73"/>
      <c r="CD1788" s="73"/>
      <c r="CE1788" s="73"/>
      <c r="CF1788" s="73"/>
      <c r="CG1788" s="73"/>
      <c r="CH1788" s="73"/>
      <c r="CI1788" s="73"/>
      <c r="CJ1788" s="73"/>
      <c r="CK1788" s="73"/>
      <c r="CL1788" s="73"/>
      <c r="CM1788" s="73"/>
      <c r="CN1788" s="73"/>
      <c r="CO1788" s="73"/>
      <c r="CP1788" s="73"/>
      <c r="CQ1788" s="73"/>
      <c r="CR1788" s="73"/>
      <c r="CS1788" s="73"/>
      <c r="CT1788" s="73"/>
      <c r="CU1788" s="73"/>
      <c r="CV1788" s="73"/>
      <c r="CW1788" s="73"/>
      <c r="CX1788" s="73"/>
      <c r="CY1788" s="73"/>
      <c r="CZ1788" s="73"/>
      <c r="DA1788" s="73"/>
      <c r="DB1788" s="73"/>
      <c r="DC1788" s="73"/>
      <c r="DD1788" s="73"/>
      <c r="DE1788" s="73"/>
      <c r="DF1788" s="73"/>
      <c r="DG1788" s="73"/>
      <c r="DH1788" s="73"/>
      <c r="DI1788" s="73"/>
      <c r="DJ1788" s="73"/>
      <c r="DK1788" s="73"/>
      <c r="DL1788" s="73"/>
      <c r="DM1788" s="73"/>
    </row>
    <row r="1789" spans="1:117" s="48" customFormat="1">
      <c r="A1789" s="73"/>
      <c r="T1789" s="73"/>
      <c r="U1789" s="73"/>
      <c r="V1789" s="73"/>
      <c r="W1789" s="73"/>
      <c r="X1789" s="73"/>
      <c r="Y1789" s="73"/>
      <c r="Z1789" s="73"/>
      <c r="AA1789" s="73"/>
      <c r="AB1789" s="73"/>
      <c r="AC1789" s="73"/>
      <c r="AD1789" s="73"/>
      <c r="AE1789" s="73"/>
      <c r="AF1789" s="73"/>
      <c r="AG1789" s="73"/>
      <c r="AH1789" s="73"/>
      <c r="AI1789" s="73"/>
      <c r="AJ1789" s="73"/>
      <c r="AK1789" s="73"/>
      <c r="AL1789" s="73"/>
      <c r="AM1789" s="73"/>
      <c r="AN1789" s="73"/>
      <c r="AO1789" s="73"/>
      <c r="AP1789" s="73"/>
      <c r="AQ1789" s="73"/>
      <c r="AR1789" s="73"/>
      <c r="AS1789" s="73"/>
      <c r="AT1789" s="73"/>
      <c r="AU1789" s="73"/>
      <c r="AV1789" s="73"/>
      <c r="AW1789" s="73"/>
      <c r="AX1789" s="73"/>
      <c r="AY1789" s="73"/>
      <c r="AZ1789" s="73"/>
      <c r="BA1789" s="73"/>
      <c r="BB1789" s="73"/>
      <c r="BC1789" s="73"/>
      <c r="BD1789" s="73"/>
      <c r="BE1789" s="73"/>
      <c r="BF1789" s="73"/>
      <c r="BG1789" s="73"/>
      <c r="BH1789" s="73"/>
      <c r="BI1789" s="73"/>
      <c r="BJ1789" s="73"/>
      <c r="BK1789" s="73"/>
      <c r="BL1789" s="73"/>
      <c r="BM1789" s="73"/>
      <c r="BN1789" s="73"/>
      <c r="BO1789" s="73"/>
      <c r="BP1789" s="73"/>
      <c r="BQ1789" s="73"/>
      <c r="BR1789" s="73"/>
      <c r="BS1789" s="73"/>
      <c r="BT1789" s="73"/>
      <c r="BU1789" s="73"/>
      <c r="BV1789" s="73"/>
      <c r="BW1789" s="73"/>
      <c r="BX1789" s="73"/>
      <c r="BY1789" s="73"/>
      <c r="BZ1789" s="73"/>
      <c r="CA1789" s="73"/>
      <c r="CB1789" s="73"/>
      <c r="CC1789" s="73"/>
      <c r="CD1789" s="73"/>
      <c r="CE1789" s="73"/>
      <c r="CF1789" s="73"/>
      <c r="CG1789" s="73"/>
      <c r="CH1789" s="73"/>
      <c r="CI1789" s="73"/>
      <c r="CJ1789" s="73"/>
      <c r="CK1789" s="73"/>
      <c r="CL1789" s="73"/>
      <c r="CM1789" s="73"/>
      <c r="CN1789" s="73"/>
      <c r="CO1789" s="73"/>
      <c r="CP1789" s="73"/>
      <c r="CQ1789" s="73"/>
      <c r="CR1789" s="73"/>
      <c r="CS1789" s="73"/>
      <c r="CT1789" s="73"/>
      <c r="CU1789" s="73"/>
      <c r="CV1789" s="73"/>
      <c r="CW1789" s="73"/>
      <c r="CX1789" s="73"/>
      <c r="CY1789" s="73"/>
      <c r="CZ1789" s="73"/>
      <c r="DA1789" s="73"/>
      <c r="DB1789" s="73"/>
      <c r="DC1789" s="73"/>
      <c r="DD1789" s="73"/>
      <c r="DE1789" s="73"/>
      <c r="DF1789" s="73"/>
      <c r="DG1789" s="73"/>
      <c r="DH1789" s="73"/>
      <c r="DI1789" s="73"/>
      <c r="DJ1789" s="73"/>
      <c r="DK1789" s="73"/>
      <c r="DL1789" s="73"/>
      <c r="DM1789" s="73"/>
    </row>
    <row r="1790" spans="1:117" s="48" customFormat="1">
      <c r="A1790" s="73"/>
      <c r="T1790" s="73"/>
      <c r="U1790" s="73"/>
      <c r="V1790" s="73"/>
      <c r="W1790" s="73"/>
      <c r="X1790" s="73"/>
      <c r="Y1790" s="73"/>
      <c r="Z1790" s="73"/>
      <c r="AA1790" s="73"/>
      <c r="AB1790" s="73"/>
      <c r="AC1790" s="73"/>
      <c r="AD1790" s="73"/>
      <c r="AE1790" s="73"/>
      <c r="AF1790" s="73"/>
      <c r="AG1790" s="73"/>
      <c r="AH1790" s="73"/>
      <c r="AI1790" s="73"/>
      <c r="AJ1790" s="73"/>
      <c r="AK1790" s="73"/>
      <c r="AL1790" s="73"/>
      <c r="AM1790" s="73"/>
      <c r="AN1790" s="73"/>
      <c r="AO1790" s="73"/>
      <c r="AP1790" s="73"/>
      <c r="AQ1790" s="73"/>
      <c r="AR1790" s="73"/>
      <c r="AS1790" s="73"/>
      <c r="AT1790" s="73"/>
      <c r="AU1790" s="73"/>
      <c r="AV1790" s="73"/>
      <c r="AW1790" s="73"/>
      <c r="AX1790" s="73"/>
      <c r="AY1790" s="73"/>
      <c r="AZ1790" s="73"/>
      <c r="BA1790" s="73"/>
      <c r="BB1790" s="73"/>
      <c r="BC1790" s="73"/>
      <c r="BD1790" s="73"/>
      <c r="BE1790" s="73"/>
      <c r="BF1790" s="73"/>
      <c r="BG1790" s="73"/>
      <c r="BH1790" s="73"/>
      <c r="BI1790" s="73"/>
      <c r="BJ1790" s="73"/>
      <c r="BK1790" s="73"/>
      <c r="BL1790" s="73"/>
      <c r="BM1790" s="73"/>
      <c r="BN1790" s="73"/>
      <c r="BO1790" s="73"/>
      <c r="BP1790" s="73"/>
      <c r="BQ1790" s="73"/>
      <c r="BR1790" s="73"/>
      <c r="BS1790" s="73"/>
      <c r="BT1790" s="73"/>
      <c r="BU1790" s="73"/>
      <c r="BV1790" s="73"/>
      <c r="BW1790" s="73"/>
      <c r="BX1790" s="73"/>
      <c r="BY1790" s="73"/>
      <c r="BZ1790" s="73"/>
      <c r="CA1790" s="73"/>
      <c r="CB1790" s="73"/>
      <c r="CC1790" s="73"/>
      <c r="CD1790" s="73"/>
      <c r="CE1790" s="73"/>
      <c r="CF1790" s="73"/>
      <c r="CG1790" s="73"/>
      <c r="CH1790" s="73"/>
      <c r="CI1790" s="73"/>
      <c r="CJ1790" s="73"/>
      <c r="CK1790" s="73"/>
      <c r="CL1790" s="73"/>
      <c r="CM1790" s="73"/>
      <c r="CN1790" s="73"/>
      <c r="CO1790" s="73"/>
      <c r="CP1790" s="73"/>
      <c r="CQ1790" s="73"/>
      <c r="CR1790" s="73"/>
      <c r="CS1790" s="73"/>
      <c r="CT1790" s="73"/>
      <c r="CU1790" s="73"/>
      <c r="CV1790" s="73"/>
      <c r="CW1790" s="73"/>
      <c r="CX1790" s="73"/>
      <c r="CY1790" s="73"/>
      <c r="CZ1790" s="73"/>
      <c r="DA1790" s="73"/>
      <c r="DB1790" s="73"/>
      <c r="DC1790" s="73"/>
      <c r="DD1790" s="73"/>
      <c r="DE1790" s="73"/>
      <c r="DF1790" s="73"/>
      <c r="DG1790" s="73"/>
      <c r="DH1790" s="73"/>
      <c r="DI1790" s="73"/>
      <c r="DJ1790" s="73"/>
      <c r="DK1790" s="73"/>
      <c r="DL1790" s="73"/>
      <c r="DM1790" s="73"/>
    </row>
    <row r="1791" spans="1:117" s="48" customFormat="1">
      <c r="A1791" s="73"/>
      <c r="T1791" s="73"/>
      <c r="U1791" s="73"/>
      <c r="V1791" s="73"/>
      <c r="W1791" s="73"/>
      <c r="X1791" s="73"/>
      <c r="Y1791" s="73"/>
      <c r="Z1791" s="73"/>
      <c r="AA1791" s="73"/>
      <c r="AB1791" s="73"/>
      <c r="AC1791" s="73"/>
      <c r="AD1791" s="73"/>
      <c r="AE1791" s="73"/>
      <c r="AF1791" s="73"/>
      <c r="AG1791" s="73"/>
      <c r="AH1791" s="73"/>
      <c r="AI1791" s="73"/>
      <c r="AJ1791" s="73"/>
      <c r="AK1791" s="73"/>
      <c r="AL1791" s="73"/>
      <c r="AM1791" s="73"/>
      <c r="AN1791" s="73"/>
      <c r="AO1791" s="73"/>
      <c r="AP1791" s="73"/>
      <c r="AQ1791" s="73"/>
      <c r="AR1791" s="73"/>
      <c r="AS1791" s="73"/>
      <c r="AT1791" s="73"/>
      <c r="AU1791" s="73"/>
      <c r="AV1791" s="73"/>
      <c r="AW1791" s="73"/>
      <c r="AX1791" s="73"/>
      <c r="AY1791" s="73"/>
      <c r="AZ1791" s="73"/>
      <c r="BA1791" s="73"/>
      <c r="BB1791" s="73"/>
      <c r="BC1791" s="73"/>
      <c r="BD1791" s="73"/>
      <c r="BE1791" s="73"/>
      <c r="BF1791" s="73"/>
      <c r="BG1791" s="73"/>
      <c r="BH1791" s="73"/>
      <c r="BI1791" s="73"/>
      <c r="BJ1791" s="73"/>
      <c r="BK1791" s="73"/>
      <c r="BL1791" s="73"/>
      <c r="BM1791" s="73"/>
      <c r="BN1791" s="73"/>
      <c r="BO1791" s="73"/>
      <c r="BP1791" s="73"/>
      <c r="BQ1791" s="73"/>
      <c r="BR1791" s="73"/>
      <c r="BS1791" s="73"/>
      <c r="BT1791" s="73"/>
      <c r="BU1791" s="73"/>
      <c r="BV1791" s="73"/>
      <c r="BW1791" s="73"/>
      <c r="BX1791" s="73"/>
      <c r="BY1791" s="73"/>
      <c r="BZ1791" s="73"/>
      <c r="CA1791" s="73"/>
      <c r="CB1791" s="73"/>
      <c r="CC1791" s="73"/>
      <c r="CD1791" s="73"/>
      <c r="CE1791" s="73"/>
      <c r="CF1791" s="73"/>
      <c r="CG1791" s="73"/>
      <c r="CH1791" s="73"/>
      <c r="CI1791" s="73"/>
      <c r="CJ1791" s="73"/>
      <c r="CK1791" s="73"/>
      <c r="CL1791" s="73"/>
      <c r="CM1791" s="73"/>
      <c r="CN1791" s="73"/>
      <c r="CO1791" s="73"/>
      <c r="CP1791" s="73"/>
      <c r="CQ1791" s="73"/>
      <c r="CR1791" s="73"/>
      <c r="CS1791" s="73"/>
      <c r="CT1791" s="73"/>
      <c r="CU1791" s="73"/>
      <c r="CV1791" s="73"/>
      <c r="CW1791" s="73"/>
      <c r="CX1791" s="73"/>
      <c r="CY1791" s="73"/>
      <c r="CZ1791" s="73"/>
      <c r="DA1791" s="73"/>
      <c r="DB1791" s="73"/>
      <c r="DC1791" s="73"/>
      <c r="DD1791" s="73"/>
      <c r="DE1791" s="73"/>
      <c r="DF1791" s="73"/>
      <c r="DG1791" s="73"/>
      <c r="DH1791" s="73"/>
      <c r="DI1791" s="73"/>
      <c r="DJ1791" s="73"/>
      <c r="DK1791" s="73"/>
      <c r="DL1791" s="73"/>
      <c r="DM1791" s="73"/>
    </row>
    <row r="1792" spans="1:117" s="48" customFormat="1">
      <c r="A1792" s="73"/>
      <c r="T1792" s="73"/>
      <c r="U1792" s="73"/>
      <c r="V1792" s="73"/>
      <c r="W1792" s="73"/>
      <c r="X1792" s="73"/>
      <c r="Y1792" s="73"/>
      <c r="Z1792" s="73"/>
      <c r="AA1792" s="73"/>
      <c r="AB1792" s="73"/>
      <c r="AC1792" s="73"/>
      <c r="AD1792" s="73"/>
      <c r="AE1792" s="73"/>
      <c r="AF1792" s="73"/>
      <c r="AG1792" s="73"/>
      <c r="AH1792" s="73"/>
      <c r="AI1792" s="73"/>
      <c r="AJ1792" s="73"/>
      <c r="AK1792" s="73"/>
      <c r="AL1792" s="73"/>
      <c r="AM1792" s="73"/>
      <c r="AN1792" s="73"/>
      <c r="AO1792" s="73"/>
      <c r="AP1792" s="73"/>
      <c r="AQ1792" s="73"/>
      <c r="AR1792" s="73"/>
      <c r="AS1792" s="73"/>
      <c r="AT1792" s="73"/>
      <c r="AU1792" s="73"/>
      <c r="AV1792" s="73"/>
      <c r="AW1792" s="73"/>
      <c r="AX1792" s="73"/>
      <c r="AY1792" s="73"/>
      <c r="AZ1792" s="73"/>
      <c r="BA1792" s="73"/>
      <c r="BB1792" s="73"/>
      <c r="BC1792" s="73"/>
      <c r="BD1792" s="73"/>
      <c r="BE1792" s="73"/>
      <c r="BF1792" s="73"/>
      <c r="BG1792" s="73"/>
      <c r="BH1792" s="73"/>
      <c r="BI1792" s="73"/>
      <c r="BJ1792" s="73"/>
      <c r="BK1792" s="73"/>
      <c r="BL1792" s="73"/>
      <c r="BM1792" s="73"/>
      <c r="BN1792" s="73"/>
      <c r="BO1792" s="73"/>
      <c r="BP1792" s="73"/>
      <c r="BQ1792" s="73"/>
      <c r="BR1792" s="73"/>
      <c r="BS1792" s="73"/>
      <c r="BT1792" s="73"/>
      <c r="BU1792" s="73"/>
      <c r="BV1792" s="73"/>
      <c r="BW1792" s="73"/>
      <c r="BX1792" s="73"/>
      <c r="BY1792" s="73"/>
      <c r="BZ1792" s="73"/>
      <c r="CA1792" s="73"/>
      <c r="CB1792" s="73"/>
      <c r="CC1792" s="73"/>
      <c r="CD1792" s="73"/>
      <c r="CE1792" s="73"/>
      <c r="CF1792" s="73"/>
      <c r="CG1792" s="73"/>
      <c r="CH1792" s="73"/>
      <c r="CI1792" s="73"/>
      <c r="CJ1792" s="73"/>
      <c r="CK1792" s="73"/>
      <c r="CL1792" s="73"/>
      <c r="CM1792" s="73"/>
      <c r="CN1792" s="73"/>
      <c r="CO1792" s="73"/>
      <c r="CP1792" s="73"/>
      <c r="CQ1792" s="73"/>
      <c r="CR1792" s="73"/>
      <c r="CS1792" s="73"/>
      <c r="CT1792" s="73"/>
      <c r="CU1792" s="73"/>
      <c r="CV1792" s="73"/>
      <c r="CW1792" s="73"/>
      <c r="CX1792" s="73"/>
      <c r="CY1792" s="73"/>
      <c r="CZ1792" s="73"/>
      <c r="DA1792" s="73"/>
      <c r="DB1792" s="73"/>
      <c r="DC1792" s="73"/>
      <c r="DD1792" s="73"/>
      <c r="DE1792" s="73"/>
      <c r="DF1792" s="73"/>
      <c r="DG1792" s="73"/>
      <c r="DH1792" s="73"/>
      <c r="DI1792" s="73"/>
      <c r="DJ1792" s="73"/>
      <c r="DK1792" s="73"/>
      <c r="DL1792" s="73"/>
      <c r="DM1792" s="73"/>
    </row>
    <row r="1793" spans="1:117" s="48" customFormat="1">
      <c r="A1793" s="73"/>
      <c r="T1793" s="73"/>
      <c r="U1793" s="73"/>
      <c r="V1793" s="73"/>
      <c r="W1793" s="73"/>
      <c r="X1793" s="73"/>
      <c r="Y1793" s="73"/>
      <c r="Z1793" s="73"/>
      <c r="AA1793" s="73"/>
      <c r="AB1793" s="73"/>
      <c r="AC1793" s="73"/>
      <c r="AD1793" s="73"/>
      <c r="AE1793" s="73"/>
      <c r="AF1793" s="73"/>
      <c r="AG1793" s="73"/>
      <c r="AH1793" s="73"/>
      <c r="AI1793" s="73"/>
      <c r="AJ1793" s="73"/>
      <c r="AK1793" s="73"/>
      <c r="AL1793" s="73"/>
      <c r="AM1793" s="73"/>
      <c r="AN1793" s="73"/>
      <c r="AO1793" s="73"/>
      <c r="AP1793" s="73"/>
      <c r="AQ1793" s="73"/>
      <c r="AR1793" s="73"/>
      <c r="AS1793" s="73"/>
      <c r="AT1793" s="73"/>
      <c r="AU1793" s="73"/>
      <c r="AV1793" s="73"/>
      <c r="AW1793" s="73"/>
      <c r="AX1793" s="73"/>
      <c r="AY1793" s="73"/>
      <c r="AZ1793" s="73"/>
      <c r="BA1793" s="73"/>
      <c r="BB1793" s="73"/>
      <c r="BC1793" s="73"/>
      <c r="BD1793" s="73"/>
      <c r="BE1793" s="73"/>
      <c r="BF1793" s="73"/>
      <c r="BG1793" s="73"/>
      <c r="BH1793" s="73"/>
      <c r="BI1793" s="73"/>
      <c r="BJ1793" s="73"/>
      <c r="BK1793" s="73"/>
      <c r="BL1793" s="73"/>
      <c r="BM1793" s="73"/>
      <c r="BN1793" s="73"/>
      <c r="BO1793" s="73"/>
      <c r="BP1793" s="73"/>
      <c r="BQ1793" s="73"/>
      <c r="BR1793" s="73"/>
      <c r="BS1793" s="73"/>
      <c r="BT1793" s="73"/>
      <c r="BU1793" s="73"/>
      <c r="BV1793" s="73"/>
      <c r="BW1793" s="73"/>
      <c r="BX1793" s="73"/>
      <c r="BY1793" s="73"/>
      <c r="BZ1793" s="73"/>
      <c r="CA1793" s="73"/>
      <c r="CB1793" s="73"/>
      <c r="CC1793" s="73"/>
      <c r="CD1793" s="73"/>
      <c r="CE1793" s="73"/>
      <c r="CF1793" s="73"/>
      <c r="CG1793" s="73"/>
      <c r="CH1793" s="73"/>
      <c r="CI1793" s="73"/>
      <c r="CJ1793" s="73"/>
      <c r="CK1793" s="73"/>
      <c r="CL1793" s="73"/>
      <c r="CM1793" s="73"/>
      <c r="CN1793" s="73"/>
      <c r="CO1793" s="73"/>
      <c r="CP1793" s="73"/>
      <c r="CQ1793" s="73"/>
      <c r="CR1793" s="73"/>
      <c r="CS1793" s="73"/>
      <c r="CT1793" s="73"/>
      <c r="CU1793" s="73"/>
      <c r="CV1793" s="73"/>
      <c r="CW1793" s="73"/>
      <c r="CX1793" s="73"/>
      <c r="CY1793" s="73"/>
      <c r="CZ1793" s="73"/>
      <c r="DA1793" s="73"/>
      <c r="DB1793" s="73"/>
      <c r="DC1793" s="73"/>
      <c r="DD1793" s="73"/>
      <c r="DE1793" s="73"/>
      <c r="DF1793" s="73"/>
      <c r="DG1793" s="73"/>
      <c r="DH1793" s="73"/>
      <c r="DI1793" s="73"/>
      <c r="DJ1793" s="73"/>
      <c r="DK1793" s="73"/>
      <c r="DL1793" s="73"/>
      <c r="DM1793" s="73"/>
    </row>
    <row r="1794" spans="1:117" s="48" customFormat="1">
      <c r="A1794" s="73"/>
      <c r="T1794" s="73"/>
      <c r="U1794" s="73"/>
      <c r="V1794" s="73"/>
      <c r="W1794" s="73"/>
      <c r="X1794" s="73"/>
      <c r="Y1794" s="73"/>
      <c r="Z1794" s="73"/>
      <c r="AA1794" s="73"/>
      <c r="AB1794" s="73"/>
      <c r="AC1794" s="73"/>
      <c r="AD1794" s="73"/>
      <c r="AE1794" s="73"/>
      <c r="AF1794" s="73"/>
      <c r="AG1794" s="73"/>
      <c r="AH1794" s="73"/>
      <c r="AI1794" s="73"/>
      <c r="AJ1794" s="73"/>
      <c r="AK1794" s="73"/>
      <c r="AL1794" s="73"/>
      <c r="AM1794" s="73"/>
      <c r="AN1794" s="73"/>
      <c r="AO1794" s="73"/>
      <c r="AP1794" s="73"/>
      <c r="AQ1794" s="73"/>
      <c r="AR1794" s="73"/>
      <c r="AS1794" s="73"/>
      <c r="AT1794" s="73"/>
      <c r="AU1794" s="73"/>
      <c r="AV1794" s="73"/>
      <c r="AW1794" s="73"/>
      <c r="AX1794" s="73"/>
      <c r="AY1794" s="73"/>
      <c r="AZ1794" s="73"/>
      <c r="BA1794" s="73"/>
      <c r="BB1794" s="73"/>
      <c r="BC1794" s="73"/>
      <c r="BD1794" s="73"/>
      <c r="BE1794" s="73"/>
      <c r="BF1794" s="73"/>
      <c r="BG1794" s="73"/>
      <c r="BH1794" s="73"/>
      <c r="BI1794" s="73"/>
      <c r="BJ1794" s="73"/>
      <c r="BK1794" s="73"/>
      <c r="BL1794" s="73"/>
      <c r="BM1794" s="73"/>
      <c r="BN1794" s="73"/>
      <c r="BO1794" s="73"/>
      <c r="BP1794" s="73"/>
      <c r="BQ1794" s="73"/>
      <c r="BR1794" s="73"/>
      <c r="BS1794" s="73"/>
      <c r="BT1794" s="73"/>
      <c r="BU1794" s="73"/>
      <c r="BV1794" s="73"/>
      <c r="BW1794" s="73"/>
      <c r="BX1794" s="73"/>
      <c r="BY1794" s="73"/>
      <c r="BZ1794" s="73"/>
      <c r="CA1794" s="73"/>
      <c r="CB1794" s="73"/>
      <c r="CC1794" s="73"/>
      <c r="CD1794" s="73"/>
      <c r="CE1794" s="73"/>
      <c r="CF1794" s="73"/>
      <c r="CG1794" s="73"/>
      <c r="CH1794" s="73"/>
      <c r="CI1794" s="73"/>
      <c r="CJ1794" s="73"/>
      <c r="CK1794" s="73"/>
      <c r="CL1794" s="73"/>
      <c r="CM1794" s="73"/>
      <c r="CN1794" s="73"/>
      <c r="CO1794" s="73"/>
      <c r="CP1794" s="73"/>
      <c r="CQ1794" s="73"/>
      <c r="CR1794" s="73"/>
      <c r="CS1794" s="73"/>
      <c r="CT1794" s="73"/>
      <c r="CU1794" s="73"/>
      <c r="CV1794" s="73"/>
      <c r="CW1794" s="73"/>
      <c r="CX1794" s="73"/>
      <c r="CY1794" s="73"/>
      <c r="CZ1794" s="73"/>
      <c r="DA1794" s="73"/>
      <c r="DB1794" s="73"/>
      <c r="DC1794" s="73"/>
      <c r="DD1794" s="73"/>
      <c r="DE1794" s="73"/>
      <c r="DF1794" s="73"/>
      <c r="DG1794" s="73"/>
      <c r="DH1794" s="73"/>
      <c r="DI1794" s="73"/>
      <c r="DJ1794" s="73"/>
      <c r="DK1794" s="73"/>
      <c r="DL1794" s="73"/>
      <c r="DM1794" s="73"/>
    </row>
    <row r="1795" spans="1:117" s="48" customFormat="1">
      <c r="A1795" s="73"/>
      <c r="T1795" s="73"/>
      <c r="U1795" s="73"/>
      <c r="V1795" s="73"/>
      <c r="W1795" s="73"/>
      <c r="X1795" s="73"/>
      <c r="Y1795" s="73"/>
      <c r="Z1795" s="73"/>
      <c r="AA1795" s="73"/>
      <c r="AB1795" s="73"/>
      <c r="AC1795" s="73"/>
      <c r="AD1795" s="73"/>
      <c r="AE1795" s="73"/>
      <c r="AF1795" s="73"/>
      <c r="AG1795" s="73"/>
      <c r="AH1795" s="73"/>
      <c r="AI1795" s="73"/>
      <c r="AJ1795" s="73"/>
      <c r="AK1795" s="73"/>
      <c r="AL1795" s="73"/>
      <c r="AM1795" s="73"/>
      <c r="AN1795" s="73"/>
      <c r="AO1795" s="73"/>
      <c r="AP1795" s="73"/>
      <c r="AQ1795" s="73"/>
      <c r="AR1795" s="73"/>
      <c r="AS1795" s="73"/>
      <c r="AT1795" s="73"/>
      <c r="AU1795" s="73"/>
      <c r="AV1795" s="73"/>
      <c r="AW1795" s="73"/>
      <c r="AX1795" s="73"/>
      <c r="AY1795" s="73"/>
      <c r="AZ1795" s="73"/>
      <c r="BA1795" s="73"/>
      <c r="BB1795" s="73"/>
      <c r="BC1795" s="73"/>
      <c r="BD1795" s="73"/>
      <c r="BE1795" s="73"/>
      <c r="BF1795" s="73"/>
      <c r="BG1795" s="73"/>
      <c r="BH1795" s="73"/>
      <c r="BI1795" s="73"/>
      <c r="BJ1795" s="73"/>
      <c r="BK1795" s="73"/>
      <c r="BL1795" s="73"/>
      <c r="BM1795" s="73"/>
      <c r="BN1795" s="73"/>
      <c r="BO1795" s="73"/>
      <c r="BP1795" s="73"/>
      <c r="BQ1795" s="73"/>
      <c r="BR1795" s="73"/>
      <c r="BS1795" s="73"/>
      <c r="BT1795" s="73"/>
      <c r="BU1795" s="73"/>
      <c r="BV1795" s="73"/>
      <c r="BW1795" s="73"/>
      <c r="BX1795" s="73"/>
      <c r="BY1795" s="73"/>
      <c r="BZ1795" s="73"/>
      <c r="CA1795" s="73"/>
      <c r="CB1795" s="73"/>
      <c r="CC1795" s="73"/>
      <c r="CD1795" s="73"/>
      <c r="CE1795" s="73"/>
      <c r="CF1795" s="73"/>
      <c r="CG1795" s="73"/>
      <c r="CH1795" s="73"/>
      <c r="CI1795" s="73"/>
      <c r="CJ1795" s="73"/>
      <c r="CK1795" s="73"/>
      <c r="CL1795" s="73"/>
      <c r="CM1795" s="73"/>
      <c r="CN1795" s="73"/>
      <c r="CO1795" s="73"/>
      <c r="CP1795" s="73"/>
      <c r="CQ1795" s="73"/>
      <c r="CR1795" s="73"/>
      <c r="CS1795" s="73"/>
      <c r="CT1795" s="73"/>
      <c r="CU1795" s="73"/>
      <c r="CV1795" s="73"/>
      <c r="CW1795" s="73"/>
      <c r="CX1795" s="73"/>
      <c r="CY1795" s="73"/>
      <c r="CZ1795" s="73"/>
      <c r="DA1795" s="73"/>
      <c r="DB1795" s="73"/>
      <c r="DC1795" s="73"/>
      <c r="DD1795" s="73"/>
      <c r="DE1795" s="73"/>
      <c r="DF1795" s="73"/>
      <c r="DG1795" s="73"/>
      <c r="DH1795" s="73"/>
      <c r="DI1795" s="73"/>
      <c r="DJ1795" s="73"/>
      <c r="DK1795" s="73"/>
      <c r="DL1795" s="73"/>
      <c r="DM1795" s="73"/>
    </row>
    <row r="1796" spans="1:117" s="48" customFormat="1">
      <c r="A1796" s="73"/>
      <c r="T1796" s="73"/>
      <c r="U1796" s="73"/>
      <c r="V1796" s="73"/>
      <c r="W1796" s="73"/>
      <c r="X1796" s="73"/>
      <c r="Y1796" s="73"/>
      <c r="Z1796" s="73"/>
      <c r="AA1796" s="73"/>
      <c r="AB1796" s="73"/>
      <c r="AC1796" s="73"/>
      <c r="AD1796" s="73"/>
      <c r="AE1796" s="73"/>
      <c r="AF1796" s="73"/>
      <c r="AG1796" s="73"/>
      <c r="AH1796" s="73"/>
      <c r="AI1796" s="73"/>
      <c r="AJ1796" s="73"/>
      <c r="AK1796" s="73"/>
      <c r="AL1796" s="73"/>
      <c r="AM1796" s="73"/>
      <c r="AN1796" s="73"/>
      <c r="AO1796" s="73"/>
      <c r="AP1796" s="73"/>
      <c r="AQ1796" s="73"/>
      <c r="AR1796" s="73"/>
      <c r="AS1796" s="73"/>
      <c r="AT1796" s="73"/>
      <c r="AU1796" s="73"/>
      <c r="AV1796" s="73"/>
      <c r="AW1796" s="73"/>
      <c r="AX1796" s="73"/>
      <c r="AY1796" s="73"/>
      <c r="AZ1796" s="73"/>
      <c r="BA1796" s="73"/>
      <c r="BB1796" s="73"/>
      <c r="BC1796" s="73"/>
      <c r="BD1796" s="73"/>
      <c r="BE1796" s="73"/>
      <c r="BF1796" s="73"/>
      <c r="BG1796" s="73"/>
      <c r="BH1796" s="73"/>
      <c r="BI1796" s="73"/>
      <c r="BJ1796" s="73"/>
      <c r="BK1796" s="73"/>
      <c r="BL1796" s="73"/>
      <c r="BM1796" s="73"/>
      <c r="BN1796" s="73"/>
      <c r="BO1796" s="73"/>
      <c r="BP1796" s="73"/>
      <c r="BQ1796" s="73"/>
      <c r="BR1796" s="73"/>
      <c r="BS1796" s="73"/>
      <c r="BT1796" s="73"/>
      <c r="BU1796" s="73"/>
      <c r="BV1796" s="73"/>
      <c r="BW1796" s="73"/>
      <c r="BX1796" s="73"/>
      <c r="BY1796" s="73"/>
      <c r="BZ1796" s="73"/>
      <c r="CA1796" s="73"/>
      <c r="CB1796" s="73"/>
      <c r="CC1796" s="73"/>
      <c r="CD1796" s="73"/>
      <c r="CE1796" s="73"/>
      <c r="CF1796" s="73"/>
      <c r="CG1796" s="73"/>
      <c r="CH1796" s="73"/>
      <c r="CI1796" s="73"/>
      <c r="CJ1796" s="73"/>
      <c r="CK1796" s="73"/>
      <c r="CL1796" s="73"/>
      <c r="CM1796" s="73"/>
      <c r="CN1796" s="73"/>
      <c r="CO1796" s="73"/>
      <c r="CP1796" s="73"/>
      <c r="CQ1796" s="73"/>
      <c r="CR1796" s="73"/>
      <c r="CS1796" s="73"/>
      <c r="CT1796" s="73"/>
      <c r="CU1796" s="73"/>
      <c r="CV1796" s="73"/>
      <c r="CW1796" s="73"/>
      <c r="CX1796" s="73"/>
      <c r="CY1796" s="73"/>
      <c r="CZ1796" s="73"/>
      <c r="DA1796" s="73"/>
      <c r="DB1796" s="73"/>
      <c r="DC1796" s="73"/>
      <c r="DD1796" s="73"/>
      <c r="DE1796" s="73"/>
      <c r="DF1796" s="73"/>
      <c r="DG1796" s="73"/>
      <c r="DH1796" s="73"/>
      <c r="DI1796" s="73"/>
      <c r="DJ1796" s="73"/>
      <c r="DK1796" s="73"/>
      <c r="DL1796" s="73"/>
      <c r="DM1796" s="73"/>
    </row>
    <row r="1797" spans="1:117" s="48" customFormat="1">
      <c r="A1797" s="73"/>
      <c r="T1797" s="73"/>
      <c r="U1797" s="73"/>
      <c r="V1797" s="73"/>
      <c r="W1797" s="73"/>
      <c r="X1797" s="73"/>
      <c r="Y1797" s="73"/>
      <c r="Z1797" s="73"/>
      <c r="AA1797" s="73"/>
      <c r="AB1797" s="73"/>
      <c r="AC1797" s="73"/>
      <c r="AD1797" s="73"/>
      <c r="AE1797" s="73"/>
      <c r="AF1797" s="73"/>
      <c r="AG1797" s="73"/>
      <c r="AH1797" s="73"/>
      <c r="AI1797" s="73"/>
      <c r="AJ1797" s="73"/>
      <c r="AK1797" s="73"/>
      <c r="AL1797" s="73"/>
      <c r="AM1797" s="73"/>
      <c r="AN1797" s="73"/>
      <c r="AO1797" s="73"/>
      <c r="AP1797" s="73"/>
      <c r="AQ1797" s="73"/>
      <c r="AR1797" s="73"/>
      <c r="AS1797" s="73"/>
      <c r="AT1797" s="73"/>
      <c r="AU1797" s="73"/>
      <c r="AV1797" s="73"/>
      <c r="AW1797" s="73"/>
      <c r="AX1797" s="73"/>
      <c r="AY1797" s="73"/>
      <c r="AZ1797" s="73"/>
      <c r="BA1797" s="73"/>
      <c r="BB1797" s="73"/>
      <c r="BC1797" s="73"/>
      <c r="BD1797" s="73"/>
      <c r="BE1797" s="73"/>
      <c r="BF1797" s="73"/>
      <c r="BG1797" s="73"/>
      <c r="BH1797" s="73"/>
      <c r="BI1797" s="73"/>
      <c r="BJ1797" s="73"/>
      <c r="BK1797" s="73"/>
      <c r="BL1797" s="73"/>
      <c r="BM1797" s="73"/>
      <c r="BN1797" s="73"/>
      <c r="BO1797" s="73"/>
      <c r="BP1797" s="73"/>
      <c r="BQ1797" s="73"/>
      <c r="BR1797" s="73"/>
      <c r="BS1797" s="73"/>
      <c r="BT1797" s="73"/>
      <c r="BU1797" s="73"/>
      <c r="BV1797" s="73"/>
      <c r="BW1797" s="73"/>
      <c r="BX1797" s="73"/>
      <c r="BY1797" s="73"/>
      <c r="BZ1797" s="73"/>
      <c r="CA1797" s="73"/>
      <c r="CB1797" s="73"/>
      <c r="CC1797" s="73"/>
      <c r="CD1797" s="73"/>
      <c r="CE1797" s="73"/>
      <c r="CF1797" s="73"/>
      <c r="CG1797" s="73"/>
      <c r="CH1797" s="73"/>
      <c r="CI1797" s="73"/>
      <c r="CJ1797" s="73"/>
      <c r="CK1797" s="73"/>
      <c r="CL1797" s="73"/>
      <c r="CM1797" s="73"/>
      <c r="CN1797" s="73"/>
      <c r="CO1797" s="73"/>
      <c r="CP1797" s="73"/>
      <c r="CQ1797" s="73"/>
      <c r="CR1797" s="73"/>
      <c r="CS1797" s="73"/>
      <c r="CT1797" s="73"/>
      <c r="CU1797" s="73"/>
      <c r="CV1797" s="73"/>
      <c r="CW1797" s="73"/>
      <c r="CX1797" s="73"/>
      <c r="CY1797" s="73"/>
      <c r="CZ1797" s="73"/>
      <c r="DA1797" s="73"/>
      <c r="DB1797" s="73"/>
      <c r="DC1797" s="73"/>
      <c r="DD1797" s="73"/>
      <c r="DE1797" s="73"/>
      <c r="DF1797" s="73"/>
      <c r="DG1797" s="73"/>
      <c r="DH1797" s="73"/>
      <c r="DI1797" s="73"/>
      <c r="DJ1797" s="73"/>
      <c r="DK1797" s="73"/>
      <c r="DL1797" s="73"/>
      <c r="DM1797" s="73"/>
    </row>
    <row r="1798" spans="1:117" s="48" customFormat="1">
      <c r="A1798" s="73"/>
      <c r="T1798" s="73"/>
      <c r="U1798" s="73"/>
      <c r="V1798" s="73"/>
      <c r="W1798" s="73"/>
      <c r="X1798" s="73"/>
      <c r="Y1798" s="73"/>
      <c r="Z1798" s="73"/>
      <c r="AA1798" s="73"/>
      <c r="AB1798" s="73"/>
      <c r="AC1798" s="73"/>
      <c r="AD1798" s="73"/>
      <c r="AE1798" s="73"/>
      <c r="AF1798" s="73"/>
      <c r="AG1798" s="73"/>
      <c r="AH1798" s="73"/>
      <c r="AI1798" s="73"/>
      <c r="AJ1798" s="73"/>
      <c r="AK1798" s="73"/>
      <c r="AL1798" s="73"/>
      <c r="AM1798" s="73"/>
      <c r="AN1798" s="73"/>
      <c r="AO1798" s="73"/>
      <c r="AP1798" s="73"/>
      <c r="AQ1798" s="73"/>
      <c r="AR1798" s="73"/>
      <c r="AS1798" s="73"/>
      <c r="AT1798" s="73"/>
      <c r="AU1798" s="73"/>
      <c r="AV1798" s="73"/>
      <c r="AW1798" s="73"/>
      <c r="AX1798" s="73"/>
      <c r="AY1798" s="73"/>
      <c r="AZ1798" s="73"/>
      <c r="BA1798" s="73"/>
      <c r="BB1798" s="73"/>
      <c r="BC1798" s="73"/>
      <c r="BD1798" s="73"/>
      <c r="BE1798" s="73"/>
      <c r="BF1798" s="73"/>
      <c r="BG1798" s="73"/>
      <c r="BH1798" s="73"/>
      <c r="BI1798" s="73"/>
      <c r="BJ1798" s="73"/>
      <c r="BK1798" s="73"/>
      <c r="BL1798" s="73"/>
      <c r="BM1798" s="73"/>
      <c r="BN1798" s="73"/>
      <c r="BO1798" s="73"/>
      <c r="BP1798" s="73"/>
      <c r="BQ1798" s="73"/>
      <c r="BR1798" s="73"/>
      <c r="BS1798" s="73"/>
      <c r="BT1798" s="73"/>
      <c r="BU1798" s="73"/>
      <c r="BV1798" s="73"/>
      <c r="BW1798" s="73"/>
      <c r="BX1798" s="73"/>
      <c r="BY1798" s="73"/>
      <c r="BZ1798" s="73"/>
      <c r="CA1798" s="73"/>
      <c r="CB1798" s="73"/>
      <c r="CC1798" s="73"/>
      <c r="CD1798" s="73"/>
      <c r="CE1798" s="73"/>
      <c r="CF1798" s="73"/>
      <c r="CG1798" s="73"/>
      <c r="CH1798" s="73"/>
      <c r="CI1798" s="73"/>
      <c r="CJ1798" s="73"/>
      <c r="CK1798" s="73"/>
      <c r="CL1798" s="73"/>
      <c r="CM1798" s="73"/>
      <c r="CN1798" s="73"/>
      <c r="CO1798" s="73"/>
      <c r="CP1798" s="73"/>
      <c r="CQ1798" s="73"/>
      <c r="CR1798" s="73"/>
      <c r="CS1798" s="73"/>
      <c r="CT1798" s="73"/>
      <c r="CU1798" s="73"/>
      <c r="CV1798" s="73"/>
      <c r="CW1798" s="73"/>
      <c r="CX1798" s="73"/>
      <c r="CY1798" s="73"/>
      <c r="CZ1798" s="73"/>
      <c r="DA1798" s="73"/>
      <c r="DB1798" s="73"/>
      <c r="DC1798" s="73"/>
      <c r="DD1798" s="73"/>
      <c r="DE1798" s="73"/>
      <c r="DF1798" s="73"/>
      <c r="DG1798" s="73"/>
      <c r="DH1798" s="73"/>
      <c r="DI1798" s="73"/>
      <c r="DJ1798" s="73"/>
      <c r="DK1798" s="73"/>
      <c r="DL1798" s="73"/>
      <c r="DM1798" s="73"/>
    </row>
    <row r="1799" spans="1:117" s="48" customFormat="1">
      <c r="A1799" s="73"/>
      <c r="T1799" s="73"/>
      <c r="U1799" s="73"/>
      <c r="V1799" s="73"/>
      <c r="W1799" s="73"/>
      <c r="X1799" s="73"/>
      <c r="Y1799" s="73"/>
      <c r="Z1799" s="73"/>
      <c r="AA1799" s="73"/>
      <c r="AB1799" s="73"/>
      <c r="AC1799" s="73"/>
      <c r="AD1799" s="73"/>
      <c r="AE1799" s="73"/>
      <c r="AF1799" s="73"/>
      <c r="AG1799" s="73"/>
      <c r="AH1799" s="73"/>
      <c r="AI1799" s="73"/>
      <c r="AJ1799" s="73"/>
      <c r="AK1799" s="73"/>
      <c r="AL1799" s="73"/>
      <c r="AM1799" s="73"/>
      <c r="AN1799" s="73"/>
      <c r="AO1799" s="73"/>
      <c r="AP1799" s="73"/>
      <c r="AQ1799" s="73"/>
      <c r="AR1799" s="73"/>
      <c r="AS1799" s="73"/>
      <c r="AT1799" s="73"/>
      <c r="AU1799" s="73"/>
      <c r="AV1799" s="73"/>
      <c r="AW1799" s="73"/>
      <c r="AX1799" s="73"/>
      <c r="AY1799" s="73"/>
      <c r="AZ1799" s="73"/>
      <c r="BA1799" s="73"/>
      <c r="BB1799" s="73"/>
      <c r="BC1799" s="73"/>
      <c r="BD1799" s="73"/>
      <c r="BE1799" s="73"/>
      <c r="BF1799" s="73"/>
      <c r="BG1799" s="73"/>
      <c r="BH1799" s="73"/>
      <c r="BI1799" s="73"/>
      <c r="BJ1799" s="73"/>
      <c r="BK1799" s="73"/>
      <c r="BL1799" s="73"/>
      <c r="BM1799" s="73"/>
      <c r="BN1799" s="73"/>
      <c r="BO1799" s="73"/>
      <c r="BP1799" s="73"/>
      <c r="BQ1799" s="73"/>
      <c r="BR1799" s="73"/>
      <c r="BS1799" s="73"/>
      <c r="BT1799" s="73"/>
      <c r="BU1799" s="73"/>
      <c r="BV1799" s="73"/>
      <c r="BW1799" s="73"/>
      <c r="BX1799" s="73"/>
      <c r="BY1799" s="73"/>
      <c r="BZ1799" s="73"/>
      <c r="CA1799" s="73"/>
      <c r="CB1799" s="73"/>
      <c r="CC1799" s="73"/>
      <c r="CD1799" s="73"/>
      <c r="CE1799" s="73"/>
      <c r="CF1799" s="73"/>
      <c r="CG1799" s="73"/>
      <c r="CH1799" s="73"/>
      <c r="CI1799" s="73"/>
      <c r="CJ1799" s="73"/>
      <c r="CK1799" s="73"/>
      <c r="CL1799" s="73"/>
      <c r="CM1799" s="73"/>
      <c r="CN1799" s="73"/>
      <c r="CO1799" s="73"/>
      <c r="CP1799" s="73"/>
      <c r="CQ1799" s="73"/>
      <c r="CR1799" s="73"/>
      <c r="CS1799" s="73"/>
      <c r="CT1799" s="73"/>
      <c r="CU1799" s="73"/>
      <c r="CV1799" s="73"/>
      <c r="CW1799" s="73"/>
      <c r="CX1799" s="73"/>
      <c r="CY1799" s="73"/>
      <c r="CZ1799" s="73"/>
      <c r="DA1799" s="73"/>
      <c r="DB1799" s="73"/>
      <c r="DC1799" s="73"/>
      <c r="DD1799" s="73"/>
      <c r="DE1799" s="73"/>
      <c r="DF1799" s="73"/>
      <c r="DG1799" s="73"/>
      <c r="DH1799" s="73"/>
      <c r="DI1799" s="73"/>
      <c r="DJ1799" s="73"/>
      <c r="DK1799" s="73"/>
      <c r="DL1799" s="73"/>
      <c r="DM1799" s="73"/>
    </row>
    <row r="1800" spans="1:117" s="48" customFormat="1">
      <c r="A1800" s="73"/>
      <c r="T1800" s="73"/>
      <c r="U1800" s="73"/>
      <c r="V1800" s="73"/>
      <c r="W1800" s="73"/>
      <c r="X1800" s="73"/>
      <c r="Y1800" s="73"/>
      <c r="Z1800" s="73"/>
      <c r="AA1800" s="73"/>
      <c r="AB1800" s="73"/>
      <c r="AC1800" s="73"/>
      <c r="AD1800" s="73"/>
      <c r="AE1800" s="73"/>
      <c r="AF1800" s="73"/>
      <c r="AG1800" s="73"/>
      <c r="AH1800" s="73"/>
      <c r="AI1800" s="73"/>
      <c r="AJ1800" s="73"/>
      <c r="AK1800" s="73"/>
      <c r="AL1800" s="73"/>
      <c r="AM1800" s="73"/>
      <c r="AN1800" s="73"/>
      <c r="AO1800" s="73"/>
      <c r="AP1800" s="73"/>
      <c r="AQ1800" s="73"/>
      <c r="AR1800" s="73"/>
      <c r="AS1800" s="73"/>
      <c r="AT1800" s="73"/>
      <c r="AU1800" s="73"/>
      <c r="AV1800" s="73"/>
      <c r="AW1800" s="73"/>
      <c r="AX1800" s="73"/>
      <c r="AY1800" s="73"/>
      <c r="AZ1800" s="73"/>
      <c r="BA1800" s="73"/>
      <c r="BB1800" s="73"/>
      <c r="BC1800" s="73"/>
      <c r="BD1800" s="73"/>
      <c r="BE1800" s="73"/>
      <c r="BF1800" s="73"/>
      <c r="BG1800" s="73"/>
      <c r="BH1800" s="73"/>
      <c r="BI1800" s="73"/>
      <c r="BJ1800" s="73"/>
      <c r="BK1800" s="73"/>
      <c r="BL1800" s="73"/>
      <c r="BM1800" s="73"/>
      <c r="BN1800" s="73"/>
      <c r="BO1800" s="73"/>
      <c r="BP1800" s="73"/>
      <c r="BQ1800" s="73"/>
      <c r="BR1800" s="73"/>
      <c r="BS1800" s="73"/>
      <c r="BT1800" s="73"/>
      <c r="BU1800" s="73"/>
      <c r="BV1800" s="73"/>
      <c r="BW1800" s="73"/>
      <c r="BX1800" s="73"/>
      <c r="BY1800" s="73"/>
      <c r="BZ1800" s="73"/>
      <c r="CA1800" s="73"/>
      <c r="CB1800" s="73"/>
      <c r="CC1800" s="73"/>
      <c r="CD1800" s="73"/>
      <c r="CE1800" s="73"/>
      <c r="CF1800" s="73"/>
      <c r="CG1800" s="73"/>
      <c r="CH1800" s="73"/>
      <c r="CI1800" s="73"/>
      <c r="CJ1800" s="73"/>
      <c r="CK1800" s="73"/>
      <c r="CL1800" s="73"/>
      <c r="CM1800" s="73"/>
      <c r="CN1800" s="73"/>
      <c r="CO1800" s="73"/>
      <c r="CP1800" s="73"/>
      <c r="CQ1800" s="73"/>
      <c r="CR1800" s="73"/>
      <c r="CS1800" s="73"/>
      <c r="CT1800" s="73"/>
      <c r="CU1800" s="73"/>
      <c r="CV1800" s="73"/>
      <c r="CW1800" s="73"/>
      <c r="CX1800" s="73"/>
      <c r="CY1800" s="73"/>
      <c r="CZ1800" s="73"/>
      <c r="DA1800" s="73"/>
      <c r="DB1800" s="73"/>
      <c r="DC1800" s="73"/>
      <c r="DD1800" s="73"/>
      <c r="DE1800" s="73"/>
      <c r="DF1800" s="73"/>
      <c r="DG1800" s="73"/>
      <c r="DH1800" s="73"/>
      <c r="DI1800" s="73"/>
      <c r="DJ1800" s="73"/>
      <c r="DK1800" s="73"/>
      <c r="DL1800" s="73"/>
      <c r="DM1800" s="73"/>
    </row>
    <row r="1801" spans="1:117" s="48" customFormat="1">
      <c r="A1801" s="73"/>
      <c r="T1801" s="73"/>
      <c r="U1801" s="73"/>
      <c r="V1801" s="73"/>
      <c r="W1801" s="73"/>
      <c r="X1801" s="73"/>
      <c r="Y1801" s="73"/>
      <c r="Z1801" s="73"/>
      <c r="AA1801" s="73"/>
      <c r="AB1801" s="73"/>
      <c r="AC1801" s="73"/>
      <c r="AD1801" s="73"/>
      <c r="AE1801" s="73"/>
      <c r="AF1801" s="73"/>
      <c r="AG1801" s="73"/>
      <c r="AH1801" s="73"/>
      <c r="AI1801" s="73"/>
      <c r="AJ1801" s="73"/>
      <c r="AK1801" s="73"/>
      <c r="AL1801" s="73"/>
      <c r="AM1801" s="73"/>
      <c r="AN1801" s="73"/>
      <c r="AO1801" s="73"/>
      <c r="AP1801" s="73"/>
      <c r="AQ1801" s="73"/>
      <c r="AR1801" s="73"/>
      <c r="AS1801" s="73"/>
      <c r="AT1801" s="73"/>
      <c r="AU1801" s="73"/>
      <c r="AV1801" s="73"/>
      <c r="AW1801" s="73"/>
      <c r="AX1801" s="73"/>
      <c r="AY1801" s="73"/>
      <c r="AZ1801" s="73"/>
      <c r="BA1801" s="73"/>
      <c r="BB1801" s="73"/>
      <c r="BC1801" s="73"/>
      <c r="BD1801" s="73"/>
      <c r="BE1801" s="73"/>
      <c r="BF1801" s="73"/>
      <c r="BG1801" s="73"/>
      <c r="BH1801" s="73"/>
      <c r="BI1801" s="73"/>
      <c r="BJ1801" s="73"/>
      <c r="BK1801" s="73"/>
      <c r="BL1801" s="73"/>
      <c r="BM1801" s="73"/>
      <c r="BN1801" s="73"/>
      <c r="BO1801" s="73"/>
      <c r="BP1801" s="73"/>
      <c r="BQ1801" s="73"/>
      <c r="BR1801" s="73"/>
      <c r="BS1801" s="73"/>
      <c r="BT1801" s="73"/>
      <c r="BU1801" s="73"/>
      <c r="BV1801" s="73"/>
      <c r="BW1801" s="73"/>
      <c r="BX1801" s="73"/>
      <c r="BY1801" s="73"/>
      <c r="BZ1801" s="73"/>
      <c r="CA1801" s="73"/>
      <c r="CB1801" s="73"/>
      <c r="CC1801" s="73"/>
      <c r="CD1801" s="73"/>
      <c r="CE1801" s="73"/>
      <c r="CF1801" s="73"/>
      <c r="CG1801" s="73"/>
      <c r="CH1801" s="73"/>
      <c r="CI1801" s="73"/>
      <c r="CJ1801" s="73"/>
      <c r="CK1801" s="73"/>
      <c r="CL1801" s="73"/>
      <c r="CM1801" s="73"/>
      <c r="CN1801" s="73"/>
      <c r="CO1801" s="73"/>
      <c r="CP1801" s="73"/>
      <c r="CQ1801" s="73"/>
      <c r="CR1801" s="73"/>
      <c r="CS1801" s="73"/>
      <c r="CT1801" s="73"/>
      <c r="CU1801" s="73"/>
      <c r="CV1801" s="73"/>
      <c r="CW1801" s="73"/>
      <c r="CX1801" s="73"/>
      <c r="CY1801" s="73"/>
      <c r="CZ1801" s="73"/>
      <c r="DA1801" s="73"/>
      <c r="DB1801" s="73"/>
      <c r="DC1801" s="73"/>
      <c r="DD1801" s="73"/>
      <c r="DE1801" s="73"/>
      <c r="DF1801" s="73"/>
      <c r="DG1801" s="73"/>
      <c r="DH1801" s="73"/>
      <c r="DI1801" s="73"/>
      <c r="DJ1801" s="73"/>
      <c r="DK1801" s="73"/>
      <c r="DL1801" s="73"/>
      <c r="DM1801" s="73"/>
    </row>
    <row r="1802" spans="1:117" s="48" customFormat="1">
      <c r="A1802" s="73"/>
      <c r="T1802" s="73"/>
      <c r="U1802" s="73"/>
      <c r="V1802" s="73"/>
      <c r="W1802" s="73"/>
      <c r="X1802" s="73"/>
      <c r="Y1802" s="73"/>
      <c r="Z1802" s="73"/>
      <c r="AA1802" s="73"/>
      <c r="AB1802" s="73"/>
      <c r="AC1802" s="73"/>
      <c r="AD1802" s="73"/>
      <c r="AE1802" s="73"/>
      <c r="AF1802" s="73"/>
      <c r="AG1802" s="73"/>
      <c r="AH1802" s="73"/>
      <c r="AI1802" s="73"/>
      <c r="AJ1802" s="73"/>
      <c r="AK1802" s="73"/>
      <c r="AL1802" s="73"/>
      <c r="AM1802" s="73"/>
      <c r="AN1802" s="73"/>
      <c r="AO1802" s="73"/>
      <c r="AP1802" s="73"/>
      <c r="AQ1802" s="73"/>
      <c r="AR1802" s="73"/>
      <c r="AS1802" s="73"/>
      <c r="AT1802" s="73"/>
      <c r="AU1802" s="73"/>
      <c r="AV1802" s="73"/>
      <c r="AW1802" s="73"/>
      <c r="AX1802" s="73"/>
      <c r="AY1802" s="73"/>
      <c r="AZ1802" s="73"/>
      <c r="BA1802" s="73"/>
      <c r="BB1802" s="73"/>
      <c r="BC1802" s="73"/>
      <c r="BD1802" s="73"/>
      <c r="BE1802" s="73"/>
      <c r="BF1802" s="73"/>
      <c r="BG1802" s="73"/>
      <c r="BH1802" s="73"/>
      <c r="BI1802" s="73"/>
      <c r="BJ1802" s="73"/>
      <c r="BK1802" s="73"/>
      <c r="BL1802" s="73"/>
      <c r="BM1802" s="73"/>
      <c r="BN1802" s="73"/>
      <c r="BO1802" s="73"/>
      <c r="BP1802" s="73"/>
      <c r="BQ1802" s="73"/>
      <c r="BR1802" s="73"/>
      <c r="BS1802" s="73"/>
      <c r="BT1802" s="73"/>
      <c r="BU1802" s="73"/>
      <c r="BV1802" s="73"/>
      <c r="BW1802" s="73"/>
      <c r="BX1802" s="73"/>
      <c r="BY1802" s="73"/>
      <c r="BZ1802" s="73"/>
      <c r="CA1802" s="73"/>
      <c r="CB1802" s="73"/>
      <c r="CC1802" s="73"/>
      <c r="CD1802" s="73"/>
      <c r="CE1802" s="73"/>
      <c r="CF1802" s="73"/>
      <c r="CG1802" s="73"/>
      <c r="CH1802" s="73"/>
      <c r="CI1802" s="73"/>
      <c r="CJ1802" s="73"/>
      <c r="CK1802" s="73"/>
      <c r="CL1802" s="73"/>
      <c r="CM1802" s="73"/>
      <c r="CN1802" s="73"/>
      <c r="CO1802" s="73"/>
      <c r="CP1802" s="73"/>
      <c r="CQ1802" s="73"/>
      <c r="CR1802" s="73"/>
      <c r="CS1802" s="73"/>
      <c r="CT1802" s="73"/>
      <c r="CU1802" s="73"/>
      <c r="CV1802" s="73"/>
      <c r="CW1802" s="73"/>
      <c r="CX1802" s="73"/>
      <c r="CY1802" s="73"/>
      <c r="CZ1802" s="73"/>
      <c r="DA1802" s="73"/>
      <c r="DB1802" s="73"/>
      <c r="DC1802" s="73"/>
      <c r="DD1802" s="73"/>
      <c r="DE1802" s="73"/>
      <c r="DF1802" s="73"/>
      <c r="DG1802" s="73"/>
      <c r="DH1802" s="73"/>
      <c r="DI1802" s="73"/>
      <c r="DJ1802" s="73"/>
      <c r="DK1802" s="73"/>
      <c r="DL1802" s="73"/>
      <c r="DM1802" s="73"/>
    </row>
    <row r="1803" spans="1:117" s="48" customFormat="1">
      <c r="A1803" s="73"/>
      <c r="T1803" s="73"/>
      <c r="U1803" s="73"/>
      <c r="V1803" s="73"/>
      <c r="W1803" s="73"/>
      <c r="X1803" s="73"/>
      <c r="Y1803" s="73"/>
      <c r="Z1803" s="73"/>
      <c r="AA1803" s="73"/>
      <c r="AB1803" s="73"/>
      <c r="AC1803" s="73"/>
      <c r="AD1803" s="73"/>
      <c r="AE1803" s="73"/>
      <c r="AF1803" s="73"/>
      <c r="AG1803" s="73"/>
      <c r="AH1803" s="73"/>
      <c r="AI1803" s="73"/>
      <c r="AJ1803" s="73"/>
      <c r="AK1803" s="73"/>
      <c r="AL1803" s="73"/>
      <c r="AM1803" s="73"/>
      <c r="AN1803" s="73"/>
      <c r="AO1803" s="73"/>
      <c r="AP1803" s="73"/>
      <c r="AQ1803" s="73"/>
      <c r="AR1803" s="73"/>
      <c r="AS1803" s="73"/>
      <c r="AT1803" s="73"/>
      <c r="AU1803" s="73"/>
      <c r="AV1803" s="73"/>
      <c r="AW1803" s="73"/>
      <c r="AX1803" s="73"/>
      <c r="AY1803" s="73"/>
      <c r="AZ1803" s="73"/>
      <c r="BA1803" s="73"/>
      <c r="BB1803" s="73"/>
      <c r="BC1803" s="73"/>
      <c r="BD1803" s="73"/>
      <c r="BE1803" s="73"/>
      <c r="BF1803" s="73"/>
      <c r="BG1803" s="73"/>
      <c r="BH1803" s="73"/>
      <c r="BI1803" s="73"/>
      <c r="BJ1803" s="73"/>
      <c r="BK1803" s="73"/>
      <c r="BL1803" s="73"/>
      <c r="BM1803" s="73"/>
      <c r="BN1803" s="73"/>
      <c r="BO1803" s="73"/>
      <c r="BP1803" s="73"/>
      <c r="BQ1803" s="73"/>
      <c r="BR1803" s="73"/>
      <c r="BS1803" s="73"/>
      <c r="BT1803" s="73"/>
      <c r="BU1803" s="73"/>
      <c r="BV1803" s="73"/>
      <c r="BW1803" s="73"/>
      <c r="BX1803" s="73"/>
      <c r="BY1803" s="73"/>
      <c r="BZ1803" s="73"/>
      <c r="CA1803" s="73"/>
      <c r="CB1803" s="73"/>
      <c r="CC1803" s="73"/>
      <c r="CD1803" s="73"/>
      <c r="CE1803" s="73"/>
      <c r="CF1803" s="73"/>
      <c r="CG1803" s="73"/>
      <c r="CH1803" s="73"/>
      <c r="CI1803" s="73"/>
      <c r="CJ1803" s="73"/>
      <c r="CK1803" s="73"/>
      <c r="CL1803" s="73"/>
      <c r="CM1803" s="73"/>
      <c r="CN1803" s="73"/>
      <c r="CO1803" s="73"/>
      <c r="CP1803" s="73"/>
      <c r="CQ1803" s="73"/>
      <c r="CR1803" s="73"/>
      <c r="CS1803" s="73"/>
      <c r="CT1803" s="73"/>
      <c r="CU1803" s="73"/>
      <c r="CV1803" s="73"/>
      <c r="CW1803" s="73"/>
      <c r="CX1803" s="73"/>
      <c r="CY1803" s="73"/>
      <c r="CZ1803" s="73"/>
      <c r="DA1803" s="73"/>
      <c r="DB1803" s="73"/>
      <c r="DC1803" s="73"/>
      <c r="DD1803" s="73"/>
      <c r="DE1803" s="73"/>
      <c r="DF1803" s="73"/>
      <c r="DG1803" s="73"/>
      <c r="DH1803" s="73"/>
      <c r="DI1803" s="73"/>
      <c r="DJ1803" s="73"/>
      <c r="DK1803" s="73"/>
      <c r="DL1803" s="73"/>
      <c r="DM1803" s="73"/>
    </row>
    <row r="1804" spans="1:117" s="48" customFormat="1">
      <c r="A1804" s="73"/>
      <c r="T1804" s="73"/>
      <c r="U1804" s="73"/>
      <c r="V1804" s="73"/>
      <c r="W1804" s="73"/>
      <c r="X1804" s="73"/>
      <c r="Y1804" s="73"/>
      <c r="Z1804" s="73"/>
      <c r="AA1804" s="73"/>
      <c r="AB1804" s="73"/>
      <c r="AC1804" s="73"/>
      <c r="AD1804" s="73"/>
      <c r="AE1804" s="73"/>
      <c r="AF1804" s="73"/>
      <c r="AG1804" s="73"/>
      <c r="AH1804" s="73"/>
      <c r="AI1804" s="73"/>
      <c r="AJ1804" s="73"/>
      <c r="AK1804" s="73"/>
      <c r="AL1804" s="73"/>
      <c r="AM1804" s="73"/>
      <c r="AN1804" s="73"/>
      <c r="AO1804" s="73"/>
      <c r="AP1804" s="73"/>
      <c r="AQ1804" s="73"/>
      <c r="AR1804" s="73"/>
      <c r="AS1804" s="73"/>
      <c r="AT1804" s="73"/>
      <c r="AU1804" s="73"/>
      <c r="AV1804" s="73"/>
      <c r="AW1804" s="73"/>
      <c r="AX1804" s="73"/>
      <c r="AY1804" s="73"/>
      <c r="AZ1804" s="73"/>
      <c r="BA1804" s="73"/>
      <c r="BB1804" s="73"/>
      <c r="BC1804" s="73"/>
      <c r="BD1804" s="73"/>
      <c r="BE1804" s="73"/>
      <c r="BF1804" s="73"/>
      <c r="BG1804" s="73"/>
      <c r="BH1804" s="73"/>
      <c r="BI1804" s="73"/>
      <c r="BJ1804" s="73"/>
      <c r="BK1804" s="73"/>
      <c r="BL1804" s="73"/>
      <c r="BM1804" s="73"/>
      <c r="BN1804" s="73"/>
      <c r="BO1804" s="73"/>
      <c r="BP1804" s="73"/>
      <c r="BQ1804" s="73"/>
      <c r="BR1804" s="73"/>
      <c r="BS1804" s="73"/>
      <c r="BT1804" s="73"/>
      <c r="BU1804" s="73"/>
      <c r="BV1804" s="73"/>
      <c r="BW1804" s="73"/>
      <c r="BX1804" s="73"/>
      <c r="BY1804" s="73"/>
      <c r="BZ1804" s="73"/>
      <c r="CA1804" s="73"/>
      <c r="CB1804" s="73"/>
      <c r="CC1804" s="73"/>
      <c r="CD1804" s="73"/>
      <c r="CE1804" s="73"/>
      <c r="CF1804" s="73"/>
      <c r="CG1804" s="73"/>
      <c r="CH1804" s="73"/>
      <c r="CI1804" s="73"/>
      <c r="CJ1804" s="73"/>
      <c r="CK1804" s="73"/>
      <c r="CL1804" s="73"/>
      <c r="CM1804" s="73"/>
      <c r="CN1804" s="73"/>
      <c r="CO1804" s="73"/>
      <c r="CP1804" s="73"/>
      <c r="CQ1804" s="73"/>
      <c r="CR1804" s="73"/>
      <c r="CS1804" s="73"/>
      <c r="CT1804" s="73"/>
      <c r="CU1804" s="73"/>
      <c r="CV1804" s="73"/>
      <c r="CW1804" s="73"/>
      <c r="CX1804" s="73"/>
      <c r="CY1804" s="73"/>
      <c r="CZ1804" s="73"/>
      <c r="DA1804" s="73"/>
      <c r="DB1804" s="73"/>
      <c r="DC1804" s="73"/>
      <c r="DD1804" s="73"/>
      <c r="DE1804" s="73"/>
      <c r="DF1804" s="73"/>
      <c r="DG1804" s="73"/>
      <c r="DH1804" s="73"/>
      <c r="DI1804" s="73"/>
      <c r="DJ1804" s="73"/>
      <c r="DK1804" s="73"/>
      <c r="DL1804" s="73"/>
      <c r="DM1804" s="73"/>
    </row>
    <row r="1805" spans="1:117" s="48" customFormat="1">
      <c r="A1805" s="73"/>
      <c r="T1805" s="73"/>
      <c r="U1805" s="73"/>
      <c r="V1805" s="73"/>
      <c r="W1805" s="73"/>
      <c r="X1805" s="73"/>
      <c r="Y1805" s="73"/>
      <c r="Z1805" s="73"/>
      <c r="AA1805" s="73"/>
      <c r="AB1805" s="73"/>
      <c r="AC1805" s="73"/>
      <c r="AD1805" s="73"/>
      <c r="AE1805" s="73"/>
      <c r="AF1805" s="73"/>
      <c r="AG1805" s="73"/>
      <c r="AH1805" s="73"/>
      <c r="AI1805" s="73"/>
      <c r="AJ1805" s="73"/>
      <c r="AK1805" s="73"/>
      <c r="AL1805" s="73"/>
      <c r="AM1805" s="73"/>
      <c r="AN1805" s="73"/>
      <c r="AO1805" s="73"/>
      <c r="AP1805" s="73"/>
      <c r="AQ1805" s="73"/>
      <c r="AR1805" s="73"/>
      <c r="AS1805" s="73"/>
      <c r="AT1805" s="73"/>
      <c r="AU1805" s="73"/>
      <c r="AV1805" s="73"/>
      <c r="AW1805" s="73"/>
      <c r="AX1805" s="73"/>
      <c r="AY1805" s="73"/>
      <c r="AZ1805" s="73"/>
      <c r="BA1805" s="73"/>
      <c r="BB1805" s="73"/>
      <c r="BC1805" s="73"/>
      <c r="BD1805" s="73"/>
      <c r="BE1805" s="73"/>
      <c r="BF1805" s="73"/>
      <c r="BG1805" s="73"/>
      <c r="BH1805" s="73"/>
      <c r="BI1805" s="73"/>
      <c r="BJ1805" s="73"/>
      <c r="BK1805" s="73"/>
      <c r="BL1805" s="73"/>
      <c r="BM1805" s="73"/>
      <c r="BN1805" s="73"/>
      <c r="BO1805" s="73"/>
      <c r="BP1805" s="73"/>
      <c r="BQ1805" s="73"/>
      <c r="BR1805" s="73"/>
      <c r="BS1805" s="73"/>
      <c r="BT1805" s="73"/>
      <c r="BU1805" s="73"/>
      <c r="BV1805" s="73"/>
      <c r="BW1805" s="73"/>
      <c r="BX1805" s="73"/>
      <c r="BY1805" s="73"/>
      <c r="BZ1805" s="73"/>
      <c r="CA1805" s="73"/>
      <c r="CB1805" s="73"/>
      <c r="CC1805" s="73"/>
      <c r="CD1805" s="73"/>
      <c r="CE1805" s="73"/>
      <c r="CF1805" s="73"/>
      <c r="CG1805" s="73"/>
      <c r="CH1805" s="73"/>
      <c r="CI1805" s="73"/>
      <c r="CJ1805" s="73"/>
      <c r="CK1805" s="73"/>
      <c r="CL1805" s="73"/>
      <c r="CM1805" s="73"/>
      <c r="CN1805" s="73"/>
      <c r="CO1805" s="73"/>
      <c r="CP1805" s="73"/>
      <c r="CQ1805" s="73"/>
      <c r="CR1805" s="73"/>
      <c r="CS1805" s="73"/>
      <c r="CT1805" s="73"/>
      <c r="CU1805" s="73"/>
      <c r="CV1805" s="73"/>
      <c r="CW1805" s="73"/>
      <c r="CX1805" s="73"/>
      <c r="CY1805" s="73"/>
      <c r="CZ1805" s="73"/>
      <c r="DA1805" s="73"/>
      <c r="DB1805" s="73"/>
      <c r="DC1805" s="73"/>
      <c r="DD1805" s="73"/>
      <c r="DE1805" s="73"/>
      <c r="DF1805" s="73"/>
      <c r="DG1805" s="73"/>
      <c r="DH1805" s="73"/>
      <c r="DI1805" s="73"/>
      <c r="DJ1805" s="73"/>
      <c r="DK1805" s="73"/>
      <c r="DL1805" s="73"/>
      <c r="DM1805" s="73"/>
    </row>
    <row r="1806" spans="1:117" s="48" customFormat="1">
      <c r="A1806" s="73"/>
      <c r="T1806" s="73"/>
      <c r="U1806" s="73"/>
      <c r="V1806" s="73"/>
      <c r="W1806" s="73"/>
      <c r="X1806" s="73"/>
      <c r="Y1806" s="73"/>
      <c r="Z1806" s="73"/>
      <c r="AA1806" s="73"/>
      <c r="AB1806" s="73"/>
      <c r="AC1806" s="73"/>
      <c r="AD1806" s="73"/>
      <c r="AE1806" s="73"/>
      <c r="AF1806" s="73"/>
      <c r="AG1806" s="73"/>
      <c r="AH1806" s="73"/>
      <c r="AI1806" s="73"/>
      <c r="AJ1806" s="73"/>
      <c r="AK1806" s="73"/>
      <c r="AL1806" s="73"/>
      <c r="AM1806" s="73"/>
      <c r="AN1806" s="73"/>
      <c r="AO1806" s="73"/>
      <c r="AP1806" s="73"/>
      <c r="AQ1806" s="73"/>
      <c r="AR1806" s="73"/>
      <c r="AS1806" s="73"/>
      <c r="AT1806" s="73"/>
      <c r="AU1806" s="73"/>
      <c r="AV1806" s="73"/>
      <c r="AW1806" s="73"/>
      <c r="AX1806" s="73"/>
      <c r="AY1806" s="73"/>
      <c r="AZ1806" s="73"/>
      <c r="BA1806" s="73"/>
      <c r="BB1806" s="73"/>
      <c r="BC1806" s="73"/>
      <c r="BD1806" s="73"/>
      <c r="BE1806" s="73"/>
      <c r="BF1806" s="73"/>
      <c r="BG1806" s="73"/>
      <c r="BH1806" s="73"/>
      <c r="BI1806" s="73"/>
      <c r="BJ1806" s="73"/>
      <c r="BK1806" s="73"/>
      <c r="BL1806" s="73"/>
      <c r="BM1806" s="73"/>
      <c r="BN1806" s="73"/>
      <c r="BO1806" s="73"/>
      <c r="BP1806" s="73"/>
      <c r="BQ1806" s="73"/>
      <c r="BR1806" s="73"/>
      <c r="BS1806" s="73"/>
      <c r="BT1806" s="73"/>
      <c r="BU1806" s="73"/>
      <c r="BV1806" s="73"/>
      <c r="BW1806" s="73"/>
      <c r="BX1806" s="73"/>
      <c r="BY1806" s="73"/>
      <c r="BZ1806" s="73"/>
      <c r="CA1806" s="73"/>
      <c r="CB1806" s="73"/>
      <c r="CC1806" s="73"/>
      <c r="CD1806" s="73"/>
      <c r="CE1806" s="73"/>
      <c r="CF1806" s="73"/>
      <c r="CG1806" s="73"/>
      <c r="CH1806" s="73"/>
      <c r="CI1806" s="73"/>
      <c r="CJ1806" s="73"/>
      <c r="CK1806" s="73"/>
      <c r="CL1806" s="73"/>
      <c r="CM1806" s="73"/>
      <c r="CN1806" s="73"/>
      <c r="CO1806" s="73"/>
      <c r="CP1806" s="73"/>
      <c r="CQ1806" s="73"/>
      <c r="CR1806" s="73"/>
      <c r="CS1806" s="73"/>
      <c r="CT1806" s="73"/>
      <c r="CU1806" s="73"/>
      <c r="CV1806" s="73"/>
      <c r="CW1806" s="73"/>
      <c r="CX1806" s="73"/>
      <c r="CY1806" s="73"/>
      <c r="CZ1806" s="73"/>
      <c r="DA1806" s="73"/>
      <c r="DB1806" s="73"/>
      <c r="DC1806" s="73"/>
      <c r="DD1806" s="73"/>
      <c r="DE1806" s="73"/>
      <c r="DF1806" s="73"/>
      <c r="DG1806" s="73"/>
      <c r="DH1806" s="73"/>
      <c r="DI1806" s="73"/>
      <c r="DJ1806" s="73"/>
      <c r="DK1806" s="73"/>
      <c r="DL1806" s="73"/>
      <c r="DM1806" s="73"/>
    </row>
    <row r="1807" spans="1:117" s="48" customFormat="1">
      <c r="A1807" s="73"/>
      <c r="T1807" s="73"/>
      <c r="U1807" s="73"/>
      <c r="V1807" s="73"/>
      <c r="W1807" s="73"/>
      <c r="X1807" s="73"/>
      <c r="Y1807" s="73"/>
      <c r="Z1807" s="73"/>
      <c r="AA1807" s="73"/>
      <c r="AB1807" s="73"/>
      <c r="AC1807" s="73"/>
      <c r="AD1807" s="73"/>
      <c r="AE1807" s="73"/>
      <c r="AF1807" s="73"/>
      <c r="AG1807" s="73"/>
      <c r="AH1807" s="73"/>
      <c r="AI1807" s="73"/>
      <c r="AJ1807" s="73"/>
      <c r="AK1807" s="73"/>
      <c r="AL1807" s="73"/>
      <c r="AM1807" s="73"/>
      <c r="AN1807" s="73"/>
      <c r="AO1807" s="73"/>
      <c r="AP1807" s="73"/>
      <c r="AQ1807" s="73"/>
      <c r="AR1807" s="73"/>
      <c r="AS1807" s="73"/>
      <c r="AT1807" s="73"/>
      <c r="AU1807" s="73"/>
      <c r="AV1807" s="73"/>
      <c r="AW1807" s="73"/>
      <c r="AX1807" s="73"/>
      <c r="AY1807" s="73"/>
      <c r="AZ1807" s="73"/>
      <c r="BA1807" s="73"/>
      <c r="BB1807" s="73"/>
      <c r="BC1807" s="73"/>
      <c r="BD1807" s="73"/>
      <c r="BE1807" s="73"/>
      <c r="BF1807" s="73"/>
      <c r="BG1807" s="73"/>
      <c r="BH1807" s="73"/>
      <c r="BI1807" s="73"/>
      <c r="BJ1807" s="73"/>
      <c r="BK1807" s="73"/>
      <c r="BL1807" s="73"/>
      <c r="BM1807" s="73"/>
      <c r="BN1807" s="73"/>
      <c r="BO1807" s="73"/>
      <c r="BP1807" s="73"/>
      <c r="BQ1807" s="73"/>
      <c r="BR1807" s="73"/>
      <c r="BS1807" s="73"/>
      <c r="BT1807" s="73"/>
      <c r="BU1807" s="73"/>
      <c r="BV1807" s="73"/>
      <c r="BW1807" s="73"/>
      <c r="BX1807" s="73"/>
      <c r="BY1807" s="73"/>
      <c r="BZ1807" s="73"/>
      <c r="CA1807" s="73"/>
      <c r="CB1807" s="73"/>
      <c r="CC1807" s="73"/>
      <c r="CD1807" s="73"/>
      <c r="CE1807" s="73"/>
      <c r="CF1807" s="73"/>
      <c r="CG1807" s="73"/>
      <c r="CH1807" s="73"/>
      <c r="CI1807" s="73"/>
      <c r="CJ1807" s="73"/>
      <c r="CK1807" s="73"/>
      <c r="CL1807" s="73"/>
      <c r="CM1807" s="73"/>
      <c r="CN1807" s="73"/>
      <c r="CO1807" s="73"/>
      <c r="CP1807" s="73"/>
      <c r="CQ1807" s="73"/>
      <c r="CR1807" s="73"/>
      <c r="CS1807" s="73"/>
      <c r="CT1807" s="73"/>
      <c r="CU1807" s="73"/>
      <c r="CV1807" s="73"/>
      <c r="CW1807" s="73"/>
      <c r="CX1807" s="73"/>
      <c r="CY1807" s="73"/>
      <c r="CZ1807" s="73"/>
      <c r="DA1807" s="73"/>
      <c r="DB1807" s="73"/>
      <c r="DC1807" s="73"/>
      <c r="DD1807" s="73"/>
      <c r="DE1807" s="73"/>
      <c r="DF1807" s="73"/>
      <c r="DG1807" s="73"/>
      <c r="DH1807" s="73"/>
      <c r="DI1807" s="73"/>
      <c r="DJ1807" s="73"/>
      <c r="DK1807" s="73"/>
      <c r="DL1807" s="73"/>
      <c r="DM1807" s="73"/>
    </row>
    <row r="1808" spans="1:117" s="48" customFormat="1">
      <c r="A1808" s="73"/>
      <c r="T1808" s="73"/>
      <c r="U1808" s="73"/>
      <c r="V1808" s="73"/>
      <c r="W1808" s="73"/>
      <c r="X1808" s="73"/>
      <c r="Y1808" s="73"/>
      <c r="Z1808" s="73"/>
      <c r="AA1808" s="73"/>
      <c r="AB1808" s="73"/>
      <c r="AC1808" s="73"/>
      <c r="AD1808" s="73"/>
      <c r="AE1808" s="73"/>
      <c r="AF1808" s="73"/>
      <c r="AG1808" s="73"/>
      <c r="AH1808" s="73"/>
      <c r="AI1808" s="73"/>
      <c r="AJ1808" s="73"/>
      <c r="AK1808" s="73"/>
      <c r="AL1808" s="73"/>
      <c r="AM1808" s="73"/>
      <c r="AN1808" s="73"/>
      <c r="AO1808" s="73"/>
      <c r="AP1808" s="73"/>
      <c r="AQ1808" s="73"/>
      <c r="AR1808" s="73"/>
      <c r="AS1808" s="73"/>
      <c r="AT1808" s="73"/>
      <c r="AU1808" s="73"/>
      <c r="AV1808" s="73"/>
      <c r="AW1808" s="73"/>
      <c r="AX1808" s="73"/>
      <c r="AY1808" s="73"/>
      <c r="AZ1808" s="73"/>
      <c r="BA1808" s="73"/>
      <c r="BB1808" s="73"/>
      <c r="BC1808" s="73"/>
      <c r="BD1808" s="73"/>
      <c r="BE1808" s="73"/>
      <c r="BF1808" s="73"/>
      <c r="BG1808" s="73"/>
      <c r="BH1808" s="73"/>
      <c r="BI1808" s="73"/>
      <c r="BJ1808" s="73"/>
      <c r="BK1808" s="73"/>
      <c r="BL1808" s="73"/>
      <c r="BM1808" s="73"/>
      <c r="BN1808" s="73"/>
      <c r="BO1808" s="73"/>
      <c r="BP1808" s="73"/>
      <c r="BQ1808" s="73"/>
      <c r="BR1808" s="73"/>
      <c r="BS1808" s="73"/>
      <c r="BT1808" s="73"/>
      <c r="BU1808" s="73"/>
      <c r="BV1808" s="73"/>
      <c r="BW1808" s="73"/>
      <c r="BX1808" s="73"/>
      <c r="BY1808" s="73"/>
      <c r="BZ1808" s="73"/>
      <c r="CA1808" s="73"/>
      <c r="CB1808" s="73"/>
      <c r="CC1808" s="73"/>
      <c r="CD1808" s="73"/>
      <c r="CE1808" s="73"/>
      <c r="CF1808" s="73"/>
      <c r="CG1808" s="73"/>
      <c r="CH1808" s="73"/>
      <c r="CI1808" s="73"/>
      <c r="CJ1808" s="73"/>
      <c r="CK1808" s="73"/>
      <c r="CL1808" s="73"/>
      <c r="CM1808" s="73"/>
      <c r="CN1808" s="73"/>
      <c r="CO1808" s="73"/>
      <c r="CP1808" s="73"/>
      <c r="CQ1808" s="73"/>
      <c r="CR1808" s="73"/>
      <c r="CS1808" s="73"/>
      <c r="CT1808" s="73"/>
      <c r="CU1808" s="73"/>
      <c r="CV1808" s="73"/>
      <c r="CW1808" s="73"/>
      <c r="CX1808" s="73"/>
      <c r="CY1808" s="73"/>
      <c r="CZ1808" s="73"/>
      <c r="DA1808" s="73"/>
      <c r="DB1808" s="73"/>
      <c r="DC1808" s="73"/>
      <c r="DD1808" s="73"/>
      <c r="DE1808" s="73"/>
      <c r="DF1808" s="73"/>
      <c r="DG1808" s="73"/>
      <c r="DH1808" s="73"/>
      <c r="DI1808" s="73"/>
      <c r="DJ1808" s="73"/>
      <c r="DK1808" s="73"/>
      <c r="DL1808" s="73"/>
      <c r="DM1808" s="73"/>
    </row>
    <row r="1809" spans="1:117" s="48" customFormat="1">
      <c r="A1809" s="73"/>
      <c r="T1809" s="73"/>
      <c r="U1809" s="73"/>
      <c r="V1809" s="73"/>
      <c r="W1809" s="73"/>
      <c r="X1809" s="73"/>
      <c r="Y1809" s="73"/>
      <c r="Z1809" s="73"/>
      <c r="AA1809" s="73"/>
      <c r="AB1809" s="73"/>
      <c r="AC1809" s="73"/>
      <c r="AD1809" s="73"/>
      <c r="AE1809" s="73"/>
      <c r="AF1809" s="73"/>
      <c r="AG1809" s="73"/>
      <c r="AH1809" s="73"/>
      <c r="AI1809" s="73"/>
      <c r="AJ1809" s="73"/>
      <c r="AK1809" s="73"/>
      <c r="AL1809" s="73"/>
      <c r="AM1809" s="73"/>
      <c r="AN1809" s="73"/>
      <c r="AO1809" s="73"/>
      <c r="AP1809" s="73"/>
      <c r="AQ1809" s="73"/>
      <c r="AR1809" s="73"/>
      <c r="AS1809" s="73"/>
      <c r="AT1809" s="73"/>
      <c r="AU1809" s="73"/>
      <c r="AV1809" s="73"/>
      <c r="AW1809" s="73"/>
      <c r="AX1809" s="73"/>
      <c r="AY1809" s="73"/>
      <c r="AZ1809" s="73"/>
      <c r="BA1809" s="73"/>
      <c r="BB1809" s="73"/>
      <c r="BC1809" s="73"/>
      <c r="BD1809" s="73"/>
      <c r="BE1809" s="73"/>
      <c r="BF1809" s="73"/>
      <c r="BG1809" s="73"/>
      <c r="BH1809" s="73"/>
      <c r="BI1809" s="73"/>
      <c r="BJ1809" s="73"/>
      <c r="BK1809" s="73"/>
      <c r="BL1809" s="73"/>
      <c r="BM1809" s="73"/>
      <c r="BN1809" s="73"/>
      <c r="BO1809" s="73"/>
      <c r="BP1809" s="73"/>
      <c r="BQ1809" s="73"/>
      <c r="BR1809" s="73"/>
      <c r="BS1809" s="73"/>
      <c r="BT1809" s="73"/>
      <c r="BU1809" s="73"/>
      <c r="BV1809" s="73"/>
      <c r="BW1809" s="73"/>
      <c r="BX1809" s="73"/>
      <c r="BY1809" s="73"/>
      <c r="BZ1809" s="73"/>
      <c r="CA1809" s="73"/>
      <c r="CB1809" s="73"/>
      <c r="CC1809" s="73"/>
      <c r="CD1809" s="73"/>
      <c r="CE1809" s="73"/>
      <c r="CF1809" s="73"/>
      <c r="CG1809" s="73"/>
      <c r="CH1809" s="73"/>
      <c r="CI1809" s="73"/>
      <c r="CJ1809" s="73"/>
      <c r="CK1809" s="73"/>
      <c r="CL1809" s="73"/>
      <c r="CM1809" s="73"/>
      <c r="CN1809" s="73"/>
      <c r="CO1809" s="73"/>
      <c r="CP1809" s="73"/>
      <c r="CQ1809" s="73"/>
      <c r="CR1809" s="73"/>
      <c r="CS1809" s="73"/>
      <c r="CT1809" s="73"/>
      <c r="CU1809" s="73"/>
      <c r="CV1809" s="73"/>
      <c r="CW1809" s="73"/>
      <c r="CX1809" s="73"/>
      <c r="CY1809" s="73"/>
      <c r="CZ1809" s="73"/>
      <c r="DA1809" s="73"/>
      <c r="DB1809" s="73"/>
      <c r="DC1809" s="73"/>
      <c r="DD1809" s="73"/>
      <c r="DE1809" s="73"/>
      <c r="DF1809" s="73"/>
      <c r="DG1809" s="73"/>
      <c r="DH1809" s="73"/>
      <c r="DI1809" s="73"/>
      <c r="DJ1809" s="73"/>
      <c r="DK1809" s="73"/>
      <c r="DL1809" s="73"/>
      <c r="DM1809" s="73"/>
    </row>
    <row r="1810" spans="1:117" s="48" customFormat="1">
      <c r="A1810" s="73"/>
      <c r="T1810" s="73"/>
      <c r="U1810" s="73"/>
      <c r="V1810" s="73"/>
      <c r="W1810" s="73"/>
      <c r="X1810" s="73"/>
      <c r="Y1810" s="73"/>
      <c r="Z1810" s="73"/>
      <c r="AA1810" s="73"/>
      <c r="AB1810" s="73"/>
      <c r="AC1810" s="73"/>
      <c r="AD1810" s="73"/>
      <c r="AE1810" s="73"/>
      <c r="AF1810" s="73"/>
      <c r="AG1810" s="73"/>
      <c r="AH1810" s="73"/>
      <c r="AI1810" s="73"/>
      <c r="AJ1810" s="73"/>
      <c r="AK1810" s="73"/>
      <c r="AL1810" s="73"/>
      <c r="AM1810" s="73"/>
      <c r="AN1810" s="73"/>
      <c r="AO1810" s="73"/>
      <c r="AP1810" s="73"/>
      <c r="AQ1810" s="73"/>
      <c r="AR1810" s="73"/>
      <c r="AS1810" s="73"/>
      <c r="AT1810" s="73"/>
      <c r="AU1810" s="73"/>
      <c r="AV1810" s="73"/>
      <c r="AW1810" s="73"/>
      <c r="AX1810" s="73"/>
      <c r="AY1810" s="73"/>
      <c r="AZ1810" s="73"/>
      <c r="BA1810" s="73"/>
      <c r="BB1810" s="73"/>
      <c r="BC1810" s="73"/>
      <c r="BD1810" s="73"/>
      <c r="BE1810" s="73"/>
      <c r="BF1810" s="73"/>
      <c r="BG1810" s="73"/>
      <c r="BH1810" s="73"/>
      <c r="BI1810" s="73"/>
      <c r="BJ1810" s="73"/>
      <c r="BK1810" s="73"/>
      <c r="BL1810" s="73"/>
      <c r="BM1810" s="73"/>
      <c r="BN1810" s="73"/>
      <c r="BO1810" s="73"/>
      <c r="BP1810" s="73"/>
      <c r="BQ1810" s="73"/>
      <c r="BR1810" s="73"/>
      <c r="BS1810" s="73"/>
      <c r="BT1810" s="73"/>
      <c r="BU1810" s="73"/>
      <c r="BV1810" s="73"/>
      <c r="BW1810" s="73"/>
      <c r="BX1810" s="73"/>
      <c r="BY1810" s="73"/>
      <c r="BZ1810" s="73"/>
      <c r="CA1810" s="73"/>
      <c r="CB1810" s="73"/>
      <c r="CC1810" s="73"/>
      <c r="CD1810" s="73"/>
      <c r="CE1810" s="73"/>
      <c r="CF1810" s="73"/>
      <c r="CG1810" s="73"/>
      <c r="CH1810" s="73"/>
      <c r="CI1810" s="73"/>
      <c r="CJ1810" s="73"/>
      <c r="CK1810" s="73"/>
      <c r="CL1810" s="73"/>
      <c r="CM1810" s="73"/>
      <c r="CN1810" s="73"/>
      <c r="CO1810" s="73"/>
      <c r="CP1810" s="73"/>
      <c r="CQ1810" s="73"/>
      <c r="CR1810" s="73"/>
      <c r="CS1810" s="73"/>
      <c r="CT1810" s="73"/>
      <c r="CU1810" s="73"/>
      <c r="CV1810" s="73"/>
      <c r="CW1810" s="73"/>
      <c r="CX1810" s="73"/>
      <c r="CY1810" s="73"/>
      <c r="CZ1810" s="73"/>
      <c r="DA1810" s="73"/>
      <c r="DB1810" s="73"/>
      <c r="DC1810" s="73"/>
      <c r="DD1810" s="73"/>
      <c r="DE1810" s="73"/>
      <c r="DF1810" s="73"/>
      <c r="DG1810" s="73"/>
      <c r="DH1810" s="73"/>
      <c r="DI1810" s="73"/>
      <c r="DJ1810" s="73"/>
      <c r="DK1810" s="73"/>
      <c r="DL1810" s="73"/>
      <c r="DM1810" s="73"/>
    </row>
    <row r="1811" spans="1:117" s="48" customFormat="1">
      <c r="A1811" s="73"/>
      <c r="T1811" s="73"/>
      <c r="U1811" s="73"/>
      <c r="V1811" s="73"/>
      <c r="W1811" s="73"/>
      <c r="X1811" s="73"/>
      <c r="Y1811" s="73"/>
      <c r="Z1811" s="73"/>
      <c r="AA1811" s="73"/>
      <c r="AB1811" s="73"/>
      <c r="AC1811" s="73"/>
      <c r="AD1811" s="73"/>
      <c r="AE1811" s="73"/>
      <c r="AF1811" s="73"/>
      <c r="AG1811" s="73"/>
      <c r="AH1811" s="73"/>
      <c r="AI1811" s="73"/>
      <c r="AJ1811" s="73"/>
      <c r="AK1811" s="73"/>
      <c r="AL1811" s="73"/>
      <c r="AM1811" s="73"/>
      <c r="AN1811" s="73"/>
      <c r="AO1811" s="73"/>
      <c r="AP1811" s="73"/>
      <c r="AQ1811" s="73"/>
      <c r="AR1811" s="73"/>
      <c r="AS1811" s="73"/>
      <c r="AT1811" s="73"/>
      <c r="AU1811" s="73"/>
      <c r="AV1811" s="73"/>
      <c r="AW1811" s="73"/>
      <c r="AX1811" s="73"/>
      <c r="AY1811" s="73"/>
      <c r="AZ1811" s="73"/>
      <c r="BA1811" s="73"/>
      <c r="BB1811" s="73"/>
      <c r="BC1811" s="73"/>
      <c r="BD1811" s="73"/>
      <c r="BE1811" s="73"/>
      <c r="BF1811" s="73"/>
      <c r="BG1811" s="73"/>
      <c r="BH1811" s="73"/>
      <c r="BI1811" s="73"/>
      <c r="BJ1811" s="73"/>
      <c r="BK1811" s="73"/>
      <c r="BL1811" s="73"/>
      <c r="BM1811" s="73"/>
      <c r="BN1811" s="73"/>
      <c r="BO1811" s="73"/>
      <c r="BP1811" s="73"/>
      <c r="BQ1811" s="73"/>
      <c r="BR1811" s="73"/>
      <c r="BS1811" s="73"/>
      <c r="BT1811" s="73"/>
      <c r="BU1811" s="73"/>
      <c r="BV1811" s="73"/>
      <c r="BW1811" s="73"/>
      <c r="BX1811" s="73"/>
      <c r="BY1811" s="73"/>
      <c r="BZ1811" s="73"/>
      <c r="CA1811" s="73"/>
      <c r="CB1811" s="73"/>
      <c r="CC1811" s="73"/>
      <c r="CD1811" s="73"/>
      <c r="CE1811" s="73"/>
      <c r="CF1811" s="73"/>
      <c r="CG1811" s="73"/>
      <c r="CH1811" s="73"/>
      <c r="CI1811" s="73"/>
      <c r="CJ1811" s="73"/>
      <c r="CK1811" s="73"/>
      <c r="CL1811" s="73"/>
      <c r="CM1811" s="73"/>
      <c r="CN1811" s="73"/>
      <c r="CO1811" s="73"/>
      <c r="CP1811" s="73"/>
      <c r="CQ1811" s="73"/>
      <c r="CR1811" s="73"/>
      <c r="CS1811" s="73"/>
      <c r="CT1811" s="73"/>
      <c r="CU1811" s="73"/>
      <c r="CV1811" s="73"/>
      <c r="CW1811" s="73"/>
      <c r="CX1811" s="73"/>
      <c r="CY1811" s="73"/>
      <c r="CZ1811" s="73"/>
      <c r="DA1811" s="73"/>
      <c r="DB1811" s="73"/>
      <c r="DC1811" s="73"/>
      <c r="DD1811" s="73"/>
      <c r="DE1811" s="73"/>
      <c r="DF1811" s="73"/>
      <c r="DG1811" s="73"/>
      <c r="DH1811" s="73"/>
      <c r="DI1811" s="73"/>
      <c r="DJ1811" s="73"/>
      <c r="DK1811" s="73"/>
      <c r="DL1811" s="73"/>
      <c r="DM1811" s="73"/>
    </row>
    <row r="1812" spans="1:117" s="48" customFormat="1">
      <c r="A1812" s="73"/>
      <c r="T1812" s="73"/>
      <c r="U1812" s="73"/>
      <c r="V1812" s="73"/>
      <c r="W1812" s="73"/>
      <c r="X1812" s="73"/>
      <c r="Y1812" s="73"/>
      <c r="Z1812" s="73"/>
      <c r="AA1812" s="73"/>
      <c r="AB1812" s="73"/>
      <c r="AC1812" s="73"/>
      <c r="AD1812" s="73"/>
      <c r="AE1812" s="73"/>
      <c r="AF1812" s="73"/>
      <c r="AG1812" s="73"/>
      <c r="AH1812" s="73"/>
      <c r="AI1812" s="73"/>
      <c r="AJ1812" s="73"/>
      <c r="AK1812" s="73"/>
      <c r="AL1812" s="73"/>
      <c r="AM1812" s="73"/>
      <c r="AN1812" s="73"/>
      <c r="AO1812" s="73"/>
      <c r="AP1812" s="73"/>
      <c r="AQ1812" s="73"/>
      <c r="AR1812" s="73"/>
      <c r="AS1812" s="73"/>
      <c r="AT1812" s="73"/>
      <c r="AU1812" s="73"/>
      <c r="AV1812" s="73"/>
      <c r="AW1812" s="73"/>
      <c r="AX1812" s="73"/>
      <c r="AY1812" s="73"/>
      <c r="AZ1812" s="73"/>
      <c r="BA1812" s="73"/>
      <c r="BB1812" s="73"/>
      <c r="BC1812" s="73"/>
      <c r="BD1812" s="73"/>
      <c r="BE1812" s="73"/>
      <c r="BF1812" s="73"/>
      <c r="BG1812" s="73"/>
      <c r="BH1812" s="73"/>
      <c r="BI1812" s="73"/>
      <c r="BJ1812" s="73"/>
      <c r="BK1812" s="73"/>
      <c r="BL1812" s="73"/>
      <c r="BM1812" s="73"/>
      <c r="BN1812" s="73"/>
      <c r="BO1812" s="73"/>
      <c r="BP1812" s="73"/>
      <c r="BQ1812" s="73"/>
      <c r="BR1812" s="73"/>
      <c r="BS1812" s="73"/>
      <c r="BT1812" s="73"/>
      <c r="BU1812" s="73"/>
      <c r="BV1812" s="73"/>
      <c r="BW1812" s="73"/>
      <c r="BX1812" s="73"/>
      <c r="BY1812" s="73"/>
      <c r="BZ1812" s="73"/>
      <c r="CA1812" s="73"/>
      <c r="CB1812" s="73"/>
      <c r="CC1812" s="73"/>
      <c r="CD1812" s="73"/>
      <c r="CE1812" s="73"/>
      <c r="CF1812" s="73"/>
      <c r="CG1812" s="73"/>
      <c r="CH1812" s="73"/>
      <c r="CI1812" s="73"/>
      <c r="CJ1812" s="73"/>
      <c r="CK1812" s="73"/>
      <c r="CL1812" s="73"/>
      <c r="CM1812" s="73"/>
      <c r="CN1812" s="73"/>
      <c r="CO1812" s="73"/>
      <c r="CP1812" s="73"/>
      <c r="CQ1812" s="73"/>
      <c r="CR1812" s="73"/>
      <c r="CS1812" s="73"/>
      <c r="CT1812" s="73"/>
      <c r="CU1812" s="73"/>
      <c r="CV1812" s="73"/>
      <c r="CW1812" s="73"/>
      <c r="CX1812" s="73"/>
      <c r="CY1812" s="73"/>
      <c r="CZ1812" s="73"/>
      <c r="DA1812" s="73"/>
      <c r="DB1812" s="73"/>
      <c r="DC1812" s="73"/>
      <c r="DD1812" s="73"/>
      <c r="DE1812" s="73"/>
      <c r="DF1812" s="73"/>
      <c r="DG1812" s="73"/>
      <c r="DH1812" s="73"/>
      <c r="DI1812" s="73"/>
      <c r="DJ1812" s="73"/>
      <c r="DK1812" s="73"/>
      <c r="DL1812" s="73"/>
      <c r="DM1812" s="73"/>
    </row>
    <row r="1813" spans="1:117" s="48" customFormat="1">
      <c r="A1813" s="73"/>
      <c r="T1813" s="73"/>
      <c r="U1813" s="73"/>
      <c r="V1813" s="73"/>
      <c r="W1813" s="73"/>
      <c r="X1813" s="73"/>
      <c r="Y1813" s="73"/>
      <c r="Z1813" s="73"/>
      <c r="AA1813" s="73"/>
      <c r="AB1813" s="73"/>
      <c r="AC1813" s="73"/>
      <c r="AD1813" s="73"/>
      <c r="AE1813" s="73"/>
      <c r="AF1813" s="73"/>
      <c r="AG1813" s="73"/>
      <c r="AH1813" s="73"/>
      <c r="AI1813" s="73"/>
      <c r="AJ1813" s="73"/>
      <c r="AK1813" s="73"/>
      <c r="AL1813" s="73"/>
      <c r="AM1813" s="73"/>
      <c r="AN1813" s="73"/>
      <c r="AO1813" s="73"/>
      <c r="AP1813" s="73"/>
      <c r="AQ1813" s="73"/>
      <c r="AR1813" s="73"/>
      <c r="AS1813" s="73"/>
      <c r="AT1813" s="73"/>
      <c r="AU1813" s="73"/>
      <c r="AV1813" s="73"/>
      <c r="AW1813" s="73"/>
      <c r="AX1813" s="73"/>
      <c r="AY1813" s="73"/>
      <c r="AZ1813" s="73"/>
      <c r="BA1813" s="73"/>
      <c r="BB1813" s="73"/>
      <c r="BC1813" s="73"/>
      <c r="BD1813" s="73"/>
      <c r="BE1813" s="73"/>
      <c r="BF1813" s="73"/>
      <c r="BG1813" s="73"/>
      <c r="BH1813" s="73"/>
      <c r="BI1813" s="73"/>
      <c r="BJ1813" s="73"/>
      <c r="BK1813" s="73"/>
      <c r="BL1813" s="73"/>
      <c r="BM1813" s="73"/>
      <c r="BN1813" s="73"/>
      <c r="BO1813" s="73"/>
      <c r="BP1813" s="73"/>
      <c r="BQ1813" s="73"/>
      <c r="BR1813" s="73"/>
      <c r="BS1813" s="73"/>
      <c r="BT1813" s="73"/>
      <c r="BU1813" s="73"/>
      <c r="BV1813" s="73"/>
      <c r="BW1813" s="73"/>
      <c r="BX1813" s="73"/>
      <c r="BY1813" s="73"/>
      <c r="BZ1813" s="73"/>
      <c r="CA1813" s="73"/>
      <c r="CB1813" s="73"/>
      <c r="CC1813" s="73"/>
      <c r="CD1813" s="73"/>
      <c r="CE1813" s="73"/>
      <c r="CF1813" s="73"/>
      <c r="CG1813" s="73"/>
      <c r="CH1813" s="73"/>
      <c r="CI1813" s="73"/>
      <c r="CJ1813" s="73"/>
      <c r="CK1813" s="73"/>
      <c r="CL1813" s="73"/>
      <c r="CM1813" s="73"/>
      <c r="CN1813" s="73"/>
      <c r="CO1813" s="73"/>
      <c r="CP1813" s="73"/>
      <c r="CQ1813" s="73"/>
      <c r="CR1813" s="73"/>
      <c r="CS1813" s="73"/>
      <c r="CT1813" s="73"/>
      <c r="CU1813" s="73"/>
      <c r="CV1813" s="73"/>
      <c r="CW1813" s="73"/>
      <c r="CX1813" s="73"/>
      <c r="CY1813" s="73"/>
      <c r="CZ1813" s="73"/>
      <c r="DA1813" s="73"/>
      <c r="DB1813" s="73"/>
      <c r="DC1813" s="73"/>
      <c r="DD1813" s="73"/>
      <c r="DE1813" s="73"/>
      <c r="DF1813" s="73"/>
      <c r="DG1813" s="73"/>
      <c r="DH1813" s="73"/>
      <c r="DI1813" s="73"/>
      <c r="DJ1813" s="73"/>
      <c r="DK1813" s="73"/>
      <c r="DL1813" s="73"/>
      <c r="DM1813" s="73"/>
    </row>
    <row r="1814" spans="1:117" s="48" customFormat="1">
      <c r="A1814" s="73"/>
      <c r="T1814" s="73"/>
      <c r="U1814" s="73"/>
      <c r="V1814" s="73"/>
      <c r="W1814" s="73"/>
      <c r="X1814" s="73"/>
      <c r="Y1814" s="73"/>
      <c r="Z1814" s="73"/>
      <c r="AA1814" s="73"/>
      <c r="AB1814" s="73"/>
      <c r="AC1814" s="73"/>
      <c r="AD1814" s="73"/>
      <c r="AE1814" s="73"/>
      <c r="AF1814" s="73"/>
      <c r="AG1814" s="73"/>
      <c r="AH1814" s="73"/>
      <c r="AI1814" s="73"/>
      <c r="AJ1814" s="73"/>
      <c r="AK1814" s="73"/>
      <c r="AL1814" s="73"/>
      <c r="AM1814" s="73"/>
      <c r="AN1814" s="73"/>
      <c r="AO1814" s="73"/>
      <c r="AP1814" s="73"/>
      <c r="AQ1814" s="73"/>
      <c r="AR1814" s="73"/>
      <c r="AS1814" s="73"/>
      <c r="AT1814" s="73"/>
      <c r="AU1814" s="73"/>
      <c r="AV1814" s="73"/>
      <c r="AW1814" s="73"/>
      <c r="AX1814" s="73"/>
      <c r="AY1814" s="73"/>
      <c r="AZ1814" s="73"/>
      <c r="BA1814" s="73"/>
      <c r="BB1814" s="73"/>
      <c r="BC1814" s="73"/>
      <c r="BD1814" s="73"/>
      <c r="BE1814" s="73"/>
      <c r="BF1814" s="73"/>
      <c r="BG1814" s="73"/>
      <c r="BH1814" s="73"/>
      <c r="BI1814" s="73"/>
      <c r="BJ1814" s="73"/>
      <c r="BK1814" s="73"/>
      <c r="BL1814" s="73"/>
      <c r="BM1814" s="73"/>
      <c r="BN1814" s="73"/>
      <c r="BO1814" s="73"/>
      <c r="BP1814" s="73"/>
      <c r="BQ1814" s="73"/>
      <c r="BR1814" s="73"/>
      <c r="BS1814" s="73"/>
      <c r="BT1814" s="73"/>
      <c r="BU1814" s="73"/>
      <c r="BV1814" s="73"/>
      <c r="BW1814" s="73"/>
      <c r="BX1814" s="73"/>
      <c r="BY1814" s="73"/>
      <c r="BZ1814" s="73"/>
      <c r="CA1814" s="73"/>
      <c r="CB1814" s="73"/>
      <c r="CC1814" s="73"/>
      <c r="CD1814" s="73"/>
      <c r="CE1814" s="73"/>
      <c r="CF1814" s="73"/>
      <c r="CG1814" s="73"/>
      <c r="CH1814" s="73"/>
      <c r="CI1814" s="73"/>
      <c r="CJ1814" s="73"/>
      <c r="CK1814" s="73"/>
      <c r="CL1814" s="73"/>
      <c r="CM1814" s="73"/>
      <c r="CN1814" s="73"/>
      <c r="CO1814" s="73"/>
      <c r="CP1814" s="73"/>
      <c r="CQ1814" s="73"/>
      <c r="CR1814" s="73"/>
      <c r="CS1814" s="73"/>
      <c r="CT1814" s="73"/>
      <c r="CU1814" s="73"/>
      <c r="CV1814" s="73"/>
      <c r="CW1814" s="73"/>
      <c r="CX1814" s="73"/>
      <c r="CY1814" s="73"/>
      <c r="CZ1814" s="73"/>
      <c r="DA1814" s="73"/>
      <c r="DB1814" s="73"/>
      <c r="DC1814" s="73"/>
      <c r="DD1814" s="73"/>
      <c r="DE1814" s="73"/>
      <c r="DF1814" s="73"/>
      <c r="DG1814" s="73"/>
      <c r="DH1814" s="73"/>
      <c r="DI1814" s="73"/>
      <c r="DJ1814" s="73"/>
      <c r="DK1814" s="73"/>
      <c r="DL1814" s="73"/>
      <c r="DM1814" s="73"/>
    </row>
    <row r="1815" spans="1:117" s="48" customFormat="1">
      <c r="A1815" s="73"/>
      <c r="T1815" s="73"/>
      <c r="U1815" s="73"/>
      <c r="V1815" s="73"/>
      <c r="W1815" s="73"/>
      <c r="X1815" s="73"/>
      <c r="Y1815" s="73"/>
      <c r="Z1815" s="73"/>
      <c r="AA1815" s="73"/>
      <c r="AB1815" s="73"/>
      <c r="AC1815" s="73"/>
      <c r="AD1815" s="73"/>
      <c r="AE1815" s="73"/>
      <c r="AF1815" s="73"/>
      <c r="AG1815" s="73"/>
      <c r="AH1815" s="73"/>
      <c r="AI1815" s="73"/>
      <c r="AJ1815" s="73"/>
      <c r="AK1815" s="73"/>
      <c r="AL1815" s="73"/>
      <c r="AM1815" s="73"/>
      <c r="AN1815" s="73"/>
      <c r="AO1815" s="73"/>
      <c r="AP1815" s="73"/>
      <c r="AQ1815" s="73"/>
      <c r="AR1815" s="73"/>
      <c r="AS1815" s="73"/>
      <c r="AT1815" s="73"/>
      <c r="AU1815" s="73"/>
      <c r="AV1815" s="73"/>
      <c r="AW1815" s="73"/>
      <c r="AX1815" s="73"/>
      <c r="AY1815" s="73"/>
      <c r="AZ1815" s="73"/>
      <c r="BA1815" s="73"/>
      <c r="BB1815" s="73"/>
      <c r="BC1815" s="73"/>
      <c r="BD1815" s="73"/>
      <c r="BE1815" s="73"/>
      <c r="BF1815" s="73"/>
      <c r="BG1815" s="73"/>
      <c r="BH1815" s="73"/>
      <c r="BI1815" s="73"/>
      <c r="BJ1815" s="73"/>
      <c r="BK1815" s="73"/>
      <c r="BL1815" s="73"/>
      <c r="BM1815" s="73"/>
      <c r="BN1815" s="73"/>
      <c r="BO1815" s="73"/>
      <c r="BP1815" s="73"/>
      <c r="BQ1815" s="73"/>
      <c r="BR1815" s="73"/>
      <c r="BS1815" s="73"/>
      <c r="BT1815" s="73"/>
      <c r="BU1815" s="73"/>
      <c r="BV1815" s="73"/>
      <c r="BW1815" s="73"/>
      <c r="BX1815" s="73"/>
      <c r="BY1815" s="73"/>
      <c r="BZ1815" s="73"/>
      <c r="CA1815" s="73"/>
      <c r="CB1815" s="73"/>
      <c r="CC1815" s="73"/>
      <c r="CD1815" s="73"/>
      <c r="CE1815" s="73"/>
      <c r="CF1815" s="73"/>
      <c r="CG1815" s="73"/>
      <c r="CH1815" s="73"/>
      <c r="CI1815" s="73"/>
      <c r="CJ1815" s="73"/>
      <c r="CK1815" s="73"/>
      <c r="CL1815" s="73"/>
      <c r="CM1815" s="73"/>
      <c r="CN1815" s="73"/>
      <c r="CO1815" s="73"/>
      <c r="CP1815" s="73"/>
      <c r="CQ1815" s="73"/>
      <c r="CR1815" s="73"/>
      <c r="CS1815" s="73"/>
      <c r="CT1815" s="73"/>
      <c r="CU1815" s="73"/>
      <c r="CV1815" s="73"/>
      <c r="CW1815" s="73"/>
      <c r="CX1815" s="73"/>
      <c r="CY1815" s="73"/>
      <c r="CZ1815" s="73"/>
      <c r="DA1815" s="73"/>
      <c r="DB1815" s="73"/>
      <c r="DC1815" s="73"/>
      <c r="DD1815" s="73"/>
      <c r="DE1815" s="73"/>
      <c r="DF1815" s="73"/>
      <c r="DG1815" s="73"/>
      <c r="DH1815" s="73"/>
      <c r="DI1815" s="73"/>
      <c r="DJ1815" s="73"/>
      <c r="DK1815" s="73"/>
      <c r="DL1815" s="73"/>
      <c r="DM1815" s="73"/>
    </row>
    <row r="1816" spans="1:117" s="48" customFormat="1">
      <c r="A1816" s="73"/>
      <c r="T1816" s="73"/>
      <c r="U1816" s="73"/>
      <c r="V1816" s="73"/>
      <c r="W1816" s="73"/>
      <c r="X1816" s="73"/>
      <c r="Y1816" s="73"/>
      <c r="Z1816" s="73"/>
      <c r="AA1816" s="73"/>
      <c r="AB1816" s="73"/>
      <c r="AC1816" s="73"/>
      <c r="AD1816" s="73"/>
      <c r="AE1816" s="73"/>
      <c r="AF1816" s="73"/>
      <c r="AG1816" s="73"/>
      <c r="AH1816" s="73"/>
      <c r="AI1816" s="73"/>
      <c r="AJ1816" s="73"/>
      <c r="AK1816" s="73"/>
      <c r="AL1816" s="73"/>
      <c r="AM1816" s="73"/>
      <c r="AN1816" s="73"/>
      <c r="AO1816" s="73"/>
      <c r="AP1816" s="73"/>
      <c r="AQ1816" s="73"/>
      <c r="AR1816" s="73"/>
      <c r="AS1816" s="73"/>
      <c r="AT1816" s="73"/>
      <c r="AU1816" s="73"/>
      <c r="AV1816" s="73"/>
      <c r="AW1816" s="73"/>
      <c r="AX1816" s="73"/>
      <c r="AY1816" s="73"/>
      <c r="AZ1816" s="73"/>
      <c r="BA1816" s="73"/>
      <c r="BB1816" s="73"/>
      <c r="BC1816" s="73"/>
      <c r="BD1816" s="73"/>
      <c r="BE1816" s="73"/>
      <c r="BF1816" s="73"/>
      <c r="BG1816" s="73"/>
      <c r="BH1816" s="73"/>
      <c r="BI1816" s="73"/>
      <c r="BJ1816" s="73"/>
      <c r="BK1816" s="73"/>
      <c r="BL1816" s="73"/>
      <c r="BM1816" s="73"/>
      <c r="BN1816" s="73"/>
      <c r="BO1816" s="73"/>
      <c r="BP1816" s="73"/>
      <c r="BQ1816" s="73"/>
      <c r="BR1816" s="73"/>
      <c r="BS1816" s="73"/>
      <c r="BT1816" s="73"/>
      <c r="BU1816" s="73"/>
      <c r="BV1816" s="73"/>
      <c r="BW1816" s="73"/>
      <c r="BX1816" s="73"/>
      <c r="BY1816" s="73"/>
      <c r="BZ1816" s="73"/>
      <c r="CA1816" s="73"/>
      <c r="CB1816" s="73"/>
      <c r="CC1816" s="73"/>
      <c r="CD1816" s="73"/>
      <c r="CE1816" s="73"/>
      <c r="CF1816" s="73"/>
      <c r="CG1816" s="73"/>
      <c r="CH1816" s="73"/>
      <c r="CI1816" s="73"/>
      <c r="CJ1816" s="73"/>
      <c r="CK1816" s="73"/>
      <c r="CL1816" s="73"/>
      <c r="CM1816" s="73"/>
      <c r="CN1816" s="73"/>
      <c r="CO1816" s="73"/>
      <c r="CP1816" s="73"/>
      <c r="CQ1816" s="73"/>
      <c r="CR1816" s="73"/>
      <c r="CS1816" s="73"/>
      <c r="CT1816" s="73"/>
      <c r="CU1816" s="73"/>
      <c r="CV1816" s="73"/>
      <c r="CW1816" s="73"/>
      <c r="CX1816" s="73"/>
      <c r="CY1816" s="73"/>
      <c r="CZ1816" s="73"/>
      <c r="DA1816" s="73"/>
      <c r="DB1816" s="73"/>
      <c r="DC1816" s="73"/>
      <c r="DD1816" s="73"/>
      <c r="DE1816" s="73"/>
      <c r="DF1816" s="73"/>
      <c r="DG1816" s="73"/>
      <c r="DH1816" s="73"/>
      <c r="DI1816" s="73"/>
      <c r="DJ1816" s="73"/>
      <c r="DK1816" s="73"/>
      <c r="DL1816" s="73"/>
      <c r="DM1816" s="73"/>
    </row>
    <row r="1817" spans="1:117" s="48" customFormat="1">
      <c r="A1817" s="73"/>
      <c r="T1817" s="73"/>
      <c r="U1817" s="73"/>
      <c r="V1817" s="73"/>
      <c r="W1817" s="73"/>
      <c r="X1817" s="73"/>
      <c r="Y1817" s="73"/>
      <c r="Z1817" s="73"/>
      <c r="AA1817" s="73"/>
      <c r="AB1817" s="73"/>
      <c r="AC1817" s="73"/>
      <c r="AD1817" s="73"/>
      <c r="AE1817" s="73"/>
      <c r="AF1817" s="73"/>
      <c r="AG1817" s="73"/>
      <c r="AH1817" s="73"/>
      <c r="AI1817" s="73"/>
      <c r="AJ1817" s="73"/>
      <c r="AK1817" s="73"/>
      <c r="AL1817" s="73"/>
      <c r="AM1817" s="73"/>
      <c r="AN1817" s="73"/>
      <c r="AO1817" s="73"/>
      <c r="AP1817" s="73"/>
      <c r="AQ1817" s="73"/>
      <c r="AR1817" s="73"/>
      <c r="AS1817" s="73"/>
      <c r="AT1817" s="73"/>
      <c r="AU1817" s="73"/>
      <c r="AV1817" s="73"/>
      <c r="AW1817" s="73"/>
      <c r="AX1817" s="73"/>
      <c r="AY1817" s="73"/>
      <c r="AZ1817" s="73"/>
      <c r="BA1817" s="73"/>
      <c r="BB1817" s="73"/>
      <c r="BC1817" s="73"/>
      <c r="BD1817" s="73"/>
      <c r="BE1817" s="73"/>
      <c r="BF1817" s="73"/>
      <c r="BG1817" s="73"/>
      <c r="BH1817" s="73"/>
      <c r="BI1817" s="73"/>
      <c r="BJ1817" s="73"/>
      <c r="BK1817" s="73"/>
      <c r="BL1817" s="73"/>
      <c r="BM1817" s="73"/>
      <c r="BN1817" s="73"/>
      <c r="BO1817" s="73"/>
      <c r="BP1817" s="73"/>
      <c r="BQ1817" s="73"/>
      <c r="BR1817" s="73"/>
      <c r="BS1817" s="73"/>
      <c r="BT1817" s="73"/>
      <c r="BU1817" s="73"/>
      <c r="BV1817" s="73"/>
      <c r="BW1817" s="73"/>
      <c r="BX1817" s="73"/>
      <c r="BY1817" s="73"/>
      <c r="BZ1817" s="73"/>
      <c r="CA1817" s="73"/>
      <c r="CB1817" s="73"/>
      <c r="CC1817" s="73"/>
      <c r="CD1817" s="73"/>
      <c r="CE1817" s="73"/>
      <c r="CF1817" s="73"/>
      <c r="CG1817" s="73"/>
      <c r="CH1817" s="73"/>
      <c r="CI1817" s="73"/>
      <c r="CJ1817" s="73"/>
      <c r="CK1817" s="73"/>
      <c r="CL1817" s="73"/>
      <c r="CM1817" s="73"/>
      <c r="CN1817" s="73"/>
      <c r="CO1817" s="73"/>
      <c r="CP1817" s="73"/>
      <c r="CQ1817" s="73"/>
      <c r="CR1817" s="73"/>
      <c r="CS1817" s="73"/>
      <c r="CT1817" s="73"/>
      <c r="CU1817" s="73"/>
      <c r="CV1817" s="73"/>
      <c r="CW1817" s="73"/>
      <c r="CX1817" s="73"/>
      <c r="CY1817" s="73"/>
      <c r="CZ1817" s="73"/>
      <c r="DA1817" s="73"/>
      <c r="DB1817" s="73"/>
      <c r="DC1817" s="73"/>
      <c r="DD1817" s="73"/>
      <c r="DE1817" s="73"/>
      <c r="DF1817" s="73"/>
      <c r="DG1817" s="73"/>
      <c r="DH1817" s="73"/>
      <c r="DI1817" s="73"/>
      <c r="DJ1817" s="73"/>
      <c r="DK1817" s="73"/>
      <c r="DL1817" s="73"/>
      <c r="DM1817" s="73"/>
    </row>
    <row r="1818" spans="1:117" s="48" customFormat="1">
      <c r="A1818" s="73"/>
      <c r="T1818" s="73"/>
      <c r="U1818" s="73"/>
      <c r="V1818" s="73"/>
      <c r="W1818" s="73"/>
      <c r="X1818" s="73"/>
      <c r="Y1818" s="73"/>
      <c r="Z1818" s="73"/>
      <c r="AA1818" s="73"/>
      <c r="AB1818" s="73"/>
      <c r="AC1818" s="73"/>
      <c r="AD1818" s="73"/>
      <c r="AE1818" s="73"/>
      <c r="AF1818" s="73"/>
      <c r="AG1818" s="73"/>
      <c r="AH1818" s="73"/>
      <c r="AI1818" s="73"/>
      <c r="AJ1818" s="73"/>
      <c r="AK1818" s="73"/>
      <c r="AL1818" s="73"/>
      <c r="AM1818" s="73"/>
      <c r="AN1818" s="73"/>
      <c r="AO1818" s="73"/>
      <c r="AP1818" s="73"/>
      <c r="AQ1818" s="73"/>
      <c r="AR1818" s="73"/>
      <c r="AS1818" s="73"/>
      <c r="AT1818" s="73"/>
      <c r="AU1818" s="73"/>
      <c r="AV1818" s="73"/>
      <c r="AW1818" s="73"/>
      <c r="AX1818" s="73"/>
      <c r="AY1818" s="73"/>
      <c r="AZ1818" s="73"/>
      <c r="BA1818" s="73"/>
      <c r="BB1818" s="73"/>
      <c r="BC1818" s="73"/>
      <c r="BD1818" s="73"/>
      <c r="BE1818" s="73"/>
      <c r="BF1818" s="73"/>
      <c r="BG1818" s="73"/>
      <c r="BH1818" s="73"/>
      <c r="BI1818" s="73"/>
      <c r="BJ1818" s="73"/>
      <c r="BK1818" s="73"/>
      <c r="BL1818" s="73"/>
      <c r="BM1818" s="73"/>
      <c r="BN1818" s="73"/>
      <c r="BO1818" s="73"/>
      <c r="BP1818" s="73"/>
      <c r="BQ1818" s="73"/>
      <c r="BR1818" s="73"/>
      <c r="BS1818" s="73"/>
      <c r="BT1818" s="73"/>
      <c r="BU1818" s="73"/>
      <c r="BV1818" s="73"/>
      <c r="BW1818" s="73"/>
      <c r="BX1818" s="73"/>
      <c r="BY1818" s="73"/>
      <c r="BZ1818" s="73"/>
      <c r="CA1818" s="73"/>
      <c r="CB1818" s="73"/>
      <c r="CC1818" s="73"/>
      <c r="CD1818" s="73"/>
      <c r="CE1818" s="73"/>
      <c r="CF1818" s="73"/>
      <c r="CG1818" s="73"/>
      <c r="CH1818" s="73"/>
      <c r="CI1818" s="73"/>
      <c r="CJ1818" s="73"/>
      <c r="CK1818" s="73"/>
      <c r="CL1818" s="73"/>
      <c r="CM1818" s="73"/>
      <c r="CN1818" s="73"/>
      <c r="CO1818" s="73"/>
      <c r="CP1818" s="73"/>
      <c r="CQ1818" s="73"/>
      <c r="CR1818" s="73"/>
      <c r="CS1818" s="73"/>
      <c r="CT1818" s="73"/>
      <c r="CU1818" s="73"/>
      <c r="CV1818" s="73"/>
      <c r="CW1818" s="73"/>
      <c r="CX1818" s="73"/>
      <c r="CY1818" s="73"/>
      <c r="CZ1818" s="73"/>
      <c r="DA1818" s="73"/>
      <c r="DB1818" s="73"/>
      <c r="DC1818" s="73"/>
      <c r="DD1818" s="73"/>
      <c r="DE1818" s="73"/>
      <c r="DF1818" s="73"/>
      <c r="DG1818" s="73"/>
      <c r="DH1818" s="73"/>
      <c r="DI1818" s="73"/>
      <c r="DJ1818" s="73"/>
      <c r="DK1818" s="73"/>
      <c r="DL1818" s="73"/>
      <c r="DM1818" s="73"/>
    </row>
    <row r="1819" spans="1:117" s="48" customFormat="1">
      <c r="A1819" s="73"/>
      <c r="T1819" s="73"/>
      <c r="U1819" s="73"/>
      <c r="V1819" s="73"/>
      <c r="W1819" s="73"/>
      <c r="X1819" s="73"/>
      <c r="Y1819" s="73"/>
      <c r="Z1819" s="73"/>
      <c r="AA1819" s="73"/>
      <c r="AB1819" s="73"/>
      <c r="AC1819" s="73"/>
      <c r="AD1819" s="73"/>
      <c r="AE1819" s="73"/>
      <c r="AF1819" s="73"/>
      <c r="AG1819" s="73"/>
      <c r="AH1819" s="73"/>
      <c r="AI1819" s="73"/>
      <c r="AJ1819" s="73"/>
      <c r="AK1819" s="73"/>
      <c r="AL1819" s="73"/>
      <c r="AM1819" s="73"/>
      <c r="AN1819" s="73"/>
      <c r="AO1819" s="73"/>
      <c r="AP1819" s="73"/>
      <c r="AQ1819" s="73"/>
      <c r="AR1819" s="73"/>
      <c r="AS1819" s="73"/>
      <c r="AT1819" s="73"/>
      <c r="AU1819" s="73"/>
      <c r="AV1819" s="73"/>
      <c r="AW1819" s="73"/>
      <c r="AX1819" s="73"/>
      <c r="AY1819" s="73"/>
      <c r="AZ1819" s="73"/>
      <c r="BA1819" s="73"/>
      <c r="BB1819" s="73"/>
      <c r="BC1819" s="73"/>
      <c r="BD1819" s="73"/>
      <c r="BE1819" s="73"/>
      <c r="BF1819" s="73"/>
      <c r="BG1819" s="73"/>
      <c r="BH1819" s="73"/>
      <c r="BI1819" s="73"/>
      <c r="BJ1819" s="73"/>
      <c r="BK1819" s="73"/>
      <c r="BL1819" s="73"/>
      <c r="BM1819" s="73"/>
      <c r="BN1819" s="73"/>
      <c r="BO1819" s="73"/>
      <c r="BP1819" s="73"/>
      <c r="BQ1819" s="73"/>
      <c r="BR1819" s="73"/>
      <c r="BS1819" s="73"/>
      <c r="BT1819" s="73"/>
      <c r="BU1819" s="73"/>
      <c r="BV1819" s="73"/>
      <c r="BW1819" s="73"/>
      <c r="BX1819" s="73"/>
      <c r="BY1819" s="73"/>
      <c r="BZ1819" s="73"/>
      <c r="CA1819" s="73"/>
      <c r="CB1819" s="73"/>
      <c r="CC1819" s="73"/>
      <c r="CD1819" s="73"/>
      <c r="CE1819" s="73"/>
      <c r="CF1819" s="73"/>
      <c r="CG1819" s="73"/>
      <c r="CH1819" s="73"/>
      <c r="CI1819" s="73"/>
      <c r="CJ1819" s="73"/>
      <c r="CK1819" s="73"/>
      <c r="CL1819" s="73"/>
      <c r="CM1819" s="73"/>
      <c r="CN1819" s="73"/>
      <c r="CO1819" s="73"/>
      <c r="CP1819" s="73"/>
      <c r="CQ1819" s="73"/>
      <c r="CR1819" s="73"/>
      <c r="CS1819" s="73"/>
      <c r="CT1819" s="73"/>
      <c r="CU1819" s="73"/>
      <c r="CV1819" s="73"/>
      <c r="CW1819" s="73"/>
      <c r="CX1819" s="73"/>
      <c r="CY1819" s="73"/>
      <c r="CZ1819" s="73"/>
      <c r="DA1819" s="73"/>
      <c r="DB1819" s="73"/>
      <c r="DC1819" s="73"/>
      <c r="DD1819" s="73"/>
      <c r="DE1819" s="73"/>
      <c r="DF1819" s="73"/>
      <c r="DG1819" s="73"/>
      <c r="DH1819" s="73"/>
      <c r="DI1819" s="73"/>
      <c r="DJ1819" s="73"/>
      <c r="DK1819" s="73"/>
      <c r="DL1819" s="73"/>
      <c r="DM1819" s="73"/>
    </row>
    <row r="1820" spans="1:117" s="48" customFormat="1">
      <c r="A1820" s="73"/>
      <c r="T1820" s="73"/>
      <c r="U1820" s="73"/>
      <c r="V1820" s="73"/>
      <c r="W1820" s="73"/>
      <c r="X1820" s="73"/>
      <c r="Y1820" s="73"/>
      <c r="Z1820" s="73"/>
      <c r="AA1820" s="73"/>
      <c r="AB1820" s="73"/>
      <c r="AC1820" s="73"/>
      <c r="AD1820" s="73"/>
      <c r="AE1820" s="73"/>
      <c r="AF1820" s="73"/>
      <c r="AG1820" s="73"/>
      <c r="AH1820" s="73"/>
      <c r="AI1820" s="73"/>
      <c r="AJ1820" s="73"/>
      <c r="AK1820" s="73"/>
      <c r="AL1820" s="73"/>
      <c r="AM1820" s="73"/>
      <c r="AN1820" s="73"/>
      <c r="AO1820" s="73"/>
      <c r="AP1820" s="73"/>
      <c r="AQ1820" s="73"/>
      <c r="AR1820" s="73"/>
      <c r="AS1820" s="73"/>
      <c r="AT1820" s="73"/>
      <c r="AU1820" s="73"/>
      <c r="AV1820" s="73"/>
      <c r="AW1820" s="73"/>
      <c r="AX1820" s="73"/>
      <c r="AY1820" s="73"/>
      <c r="AZ1820" s="73"/>
      <c r="BA1820" s="73"/>
      <c r="BB1820" s="73"/>
      <c r="BC1820" s="73"/>
      <c r="BD1820" s="73"/>
      <c r="BE1820" s="73"/>
      <c r="BF1820" s="73"/>
      <c r="BG1820" s="73"/>
      <c r="BH1820" s="73"/>
      <c r="BI1820" s="73"/>
      <c r="BJ1820" s="73"/>
      <c r="BK1820" s="73"/>
      <c r="BL1820" s="73"/>
      <c r="BM1820" s="73"/>
      <c r="BN1820" s="73"/>
      <c r="BO1820" s="73"/>
      <c r="BP1820" s="73"/>
      <c r="BQ1820" s="73"/>
      <c r="BR1820" s="73"/>
      <c r="BS1820" s="73"/>
      <c r="BT1820" s="73"/>
      <c r="BU1820" s="73"/>
      <c r="BV1820" s="73"/>
      <c r="BW1820" s="73"/>
      <c r="BX1820" s="73"/>
      <c r="BY1820" s="73"/>
      <c r="BZ1820" s="73"/>
      <c r="CA1820" s="73"/>
      <c r="CB1820" s="73"/>
      <c r="CC1820" s="73"/>
      <c r="CD1820" s="73"/>
      <c r="CE1820" s="73"/>
      <c r="CF1820" s="73"/>
      <c r="CG1820" s="73"/>
      <c r="CH1820" s="73"/>
      <c r="CI1820" s="73"/>
      <c r="CJ1820" s="73"/>
      <c r="CK1820" s="73"/>
      <c r="CL1820" s="73"/>
      <c r="CM1820" s="73"/>
      <c r="CN1820" s="73"/>
      <c r="CO1820" s="73"/>
      <c r="CP1820" s="73"/>
      <c r="CQ1820" s="73"/>
      <c r="CR1820" s="73"/>
      <c r="CS1820" s="73"/>
      <c r="CT1820" s="73"/>
      <c r="CU1820" s="73"/>
      <c r="CV1820" s="73"/>
      <c r="CW1820" s="73"/>
      <c r="CX1820" s="73"/>
      <c r="CY1820" s="73"/>
      <c r="CZ1820" s="73"/>
      <c r="DA1820" s="73"/>
      <c r="DB1820" s="73"/>
      <c r="DC1820" s="73"/>
      <c r="DD1820" s="73"/>
      <c r="DE1820" s="73"/>
      <c r="DF1820" s="73"/>
      <c r="DG1820" s="73"/>
      <c r="DH1820" s="73"/>
      <c r="DI1820" s="73"/>
      <c r="DJ1820" s="73"/>
      <c r="DK1820" s="73"/>
      <c r="DL1820" s="73"/>
      <c r="DM1820" s="73"/>
    </row>
    <row r="1821" spans="1:117" s="48" customFormat="1">
      <c r="A1821" s="73"/>
      <c r="T1821" s="73"/>
      <c r="U1821" s="73"/>
      <c r="V1821" s="73"/>
      <c r="W1821" s="73"/>
      <c r="X1821" s="73"/>
      <c r="Y1821" s="73"/>
      <c r="Z1821" s="73"/>
      <c r="AA1821" s="73"/>
      <c r="AB1821" s="73"/>
      <c r="AC1821" s="73"/>
      <c r="AD1821" s="73"/>
      <c r="AE1821" s="73"/>
      <c r="AF1821" s="73"/>
      <c r="AG1821" s="73"/>
      <c r="AH1821" s="73"/>
      <c r="AI1821" s="73"/>
      <c r="AJ1821" s="73"/>
      <c r="AK1821" s="73"/>
      <c r="AL1821" s="73"/>
      <c r="AM1821" s="73"/>
      <c r="AN1821" s="73"/>
      <c r="AO1821" s="73"/>
      <c r="AP1821" s="73"/>
      <c r="AQ1821" s="73"/>
      <c r="AR1821" s="73"/>
      <c r="AS1821" s="73"/>
      <c r="AT1821" s="73"/>
      <c r="AU1821" s="73"/>
      <c r="AV1821" s="73"/>
      <c r="AW1821" s="73"/>
      <c r="AX1821" s="73"/>
      <c r="AY1821" s="73"/>
      <c r="AZ1821" s="73"/>
      <c r="BA1821" s="73"/>
      <c r="BB1821" s="73"/>
      <c r="BC1821" s="73"/>
      <c r="BD1821" s="73"/>
      <c r="BE1821" s="73"/>
      <c r="BF1821" s="73"/>
      <c r="BG1821" s="73"/>
      <c r="BH1821" s="73"/>
      <c r="BI1821" s="73"/>
      <c r="BJ1821" s="73"/>
      <c r="BK1821" s="73"/>
      <c r="BL1821" s="73"/>
      <c r="BM1821" s="73"/>
      <c r="BN1821" s="73"/>
      <c r="BO1821" s="73"/>
      <c r="BP1821" s="73"/>
      <c r="BQ1821" s="73"/>
      <c r="BR1821" s="73"/>
      <c r="BS1821" s="73"/>
      <c r="BT1821" s="73"/>
      <c r="BU1821" s="73"/>
      <c r="BV1821" s="73"/>
      <c r="BW1821" s="73"/>
      <c r="BX1821" s="73"/>
      <c r="BY1821" s="73"/>
      <c r="BZ1821" s="73"/>
      <c r="CA1821" s="73"/>
      <c r="CB1821" s="73"/>
      <c r="CC1821" s="73"/>
      <c r="CD1821" s="73"/>
      <c r="CE1821" s="73"/>
      <c r="CF1821" s="73"/>
      <c r="CG1821" s="73"/>
      <c r="CH1821" s="73"/>
      <c r="CI1821" s="73"/>
      <c r="CJ1821" s="73"/>
      <c r="CK1821" s="73"/>
      <c r="CL1821" s="73"/>
      <c r="CM1821" s="73"/>
      <c r="CN1821" s="73"/>
      <c r="CO1821" s="73"/>
      <c r="CP1821" s="73"/>
      <c r="CQ1821" s="73"/>
      <c r="CR1821" s="73"/>
      <c r="CS1821" s="73"/>
      <c r="CT1821" s="73"/>
      <c r="CU1821" s="73"/>
      <c r="CV1821" s="73"/>
      <c r="CW1821" s="73"/>
      <c r="CX1821" s="73"/>
      <c r="CY1821" s="73"/>
      <c r="CZ1821" s="73"/>
      <c r="DA1821" s="73"/>
      <c r="DB1821" s="73"/>
      <c r="DC1821" s="73"/>
      <c r="DD1821" s="73"/>
      <c r="DE1821" s="73"/>
      <c r="DF1821" s="73"/>
      <c r="DG1821" s="73"/>
      <c r="DH1821" s="73"/>
      <c r="DI1821" s="73"/>
      <c r="DJ1821" s="73"/>
      <c r="DK1821" s="73"/>
      <c r="DL1821" s="73"/>
      <c r="DM1821" s="73"/>
    </row>
    <row r="1822" spans="1:117" s="48" customFormat="1">
      <c r="A1822" s="73"/>
      <c r="T1822" s="73"/>
      <c r="U1822" s="73"/>
      <c r="V1822" s="73"/>
      <c r="W1822" s="73"/>
      <c r="X1822" s="73"/>
      <c r="Y1822" s="73"/>
      <c r="Z1822" s="73"/>
      <c r="AA1822" s="73"/>
      <c r="AB1822" s="73"/>
      <c r="AC1822" s="73"/>
      <c r="AD1822" s="73"/>
      <c r="AE1822" s="73"/>
      <c r="AF1822" s="73"/>
      <c r="AG1822" s="73"/>
      <c r="AH1822" s="73"/>
      <c r="AI1822" s="73"/>
      <c r="AJ1822" s="73"/>
      <c r="AK1822" s="73"/>
      <c r="AL1822" s="73"/>
      <c r="AM1822" s="73"/>
      <c r="AN1822" s="73"/>
      <c r="AO1822" s="73"/>
      <c r="AP1822" s="73"/>
      <c r="AQ1822" s="73"/>
      <c r="AR1822" s="73"/>
      <c r="AS1822" s="73"/>
      <c r="AT1822" s="73"/>
      <c r="AU1822" s="73"/>
      <c r="AV1822" s="73"/>
      <c r="AW1822" s="73"/>
      <c r="AX1822" s="73"/>
      <c r="AY1822" s="73"/>
      <c r="AZ1822" s="73"/>
      <c r="BA1822" s="73"/>
      <c r="BB1822" s="73"/>
      <c r="BC1822" s="73"/>
      <c r="BD1822" s="73"/>
      <c r="BE1822" s="73"/>
      <c r="BF1822" s="73"/>
      <c r="BG1822" s="73"/>
      <c r="BH1822" s="73"/>
      <c r="BI1822" s="73"/>
      <c r="BJ1822" s="73"/>
      <c r="BK1822" s="73"/>
      <c r="BL1822" s="73"/>
      <c r="BM1822" s="73"/>
      <c r="BN1822" s="73"/>
      <c r="BO1822" s="73"/>
      <c r="BP1822" s="73"/>
      <c r="BQ1822" s="73"/>
      <c r="BR1822" s="73"/>
      <c r="BS1822" s="73"/>
      <c r="BT1822" s="73"/>
      <c r="BU1822" s="73"/>
      <c r="BV1822" s="73"/>
      <c r="BW1822" s="73"/>
      <c r="BX1822" s="73"/>
      <c r="BY1822" s="73"/>
      <c r="BZ1822" s="73"/>
      <c r="CA1822" s="73"/>
      <c r="CB1822" s="73"/>
      <c r="CC1822" s="73"/>
      <c r="CD1822" s="73"/>
      <c r="CE1822" s="73"/>
      <c r="CF1822" s="73"/>
      <c r="CG1822" s="73"/>
      <c r="CH1822" s="73"/>
      <c r="CI1822" s="73"/>
      <c r="CJ1822" s="73"/>
      <c r="CK1822" s="73"/>
      <c r="CL1822" s="73"/>
      <c r="CM1822" s="73"/>
      <c r="CN1822" s="73"/>
      <c r="CO1822" s="73"/>
      <c r="CP1822" s="73"/>
      <c r="CQ1822" s="73"/>
      <c r="CR1822" s="73"/>
      <c r="CS1822" s="73"/>
      <c r="CT1822" s="73"/>
      <c r="CU1822" s="73"/>
      <c r="CV1822" s="73"/>
      <c r="CW1822" s="73"/>
      <c r="CX1822" s="73"/>
      <c r="CY1822" s="73"/>
      <c r="CZ1822" s="73"/>
      <c r="DA1822" s="73"/>
      <c r="DB1822" s="73"/>
      <c r="DC1822" s="73"/>
      <c r="DD1822" s="73"/>
      <c r="DE1822" s="73"/>
      <c r="DF1822" s="73"/>
      <c r="DG1822" s="73"/>
      <c r="DH1822" s="73"/>
      <c r="DI1822" s="73"/>
      <c r="DJ1822" s="73"/>
      <c r="DK1822" s="73"/>
      <c r="DL1822" s="73"/>
      <c r="DM1822" s="73"/>
    </row>
    <row r="1823" spans="1:117" s="48" customFormat="1">
      <c r="A1823" s="73"/>
      <c r="T1823" s="73"/>
      <c r="U1823" s="73"/>
      <c r="V1823" s="73"/>
      <c r="W1823" s="73"/>
      <c r="X1823" s="73"/>
      <c r="Y1823" s="73"/>
      <c r="Z1823" s="73"/>
      <c r="AA1823" s="73"/>
      <c r="AB1823" s="73"/>
      <c r="AC1823" s="73"/>
      <c r="AD1823" s="73"/>
      <c r="AE1823" s="73"/>
      <c r="AF1823" s="73"/>
      <c r="AG1823" s="73"/>
      <c r="AH1823" s="73"/>
      <c r="AI1823" s="73"/>
      <c r="AJ1823" s="73"/>
      <c r="AK1823" s="73"/>
      <c r="AL1823" s="73"/>
      <c r="AM1823" s="73"/>
      <c r="AN1823" s="73"/>
      <c r="AO1823" s="73"/>
      <c r="AP1823" s="73"/>
      <c r="AQ1823" s="73"/>
      <c r="AR1823" s="73"/>
      <c r="AS1823" s="73"/>
      <c r="AT1823" s="73"/>
      <c r="AU1823" s="73"/>
      <c r="AV1823" s="73"/>
      <c r="AW1823" s="73"/>
      <c r="AX1823" s="73"/>
      <c r="AY1823" s="73"/>
      <c r="AZ1823" s="73"/>
      <c r="BA1823" s="73"/>
      <c r="BB1823" s="73"/>
      <c r="BC1823" s="73"/>
      <c r="BD1823" s="73"/>
      <c r="BE1823" s="73"/>
      <c r="BF1823" s="73"/>
      <c r="BG1823" s="73"/>
      <c r="BH1823" s="73"/>
      <c r="BI1823" s="73"/>
      <c r="BJ1823" s="73"/>
      <c r="BK1823" s="73"/>
      <c r="BL1823" s="73"/>
      <c r="BM1823" s="73"/>
      <c r="BN1823" s="73"/>
      <c r="BO1823" s="73"/>
      <c r="BP1823" s="73"/>
      <c r="BQ1823" s="73"/>
      <c r="BR1823" s="73"/>
      <c r="BS1823" s="73"/>
      <c r="BT1823" s="73"/>
      <c r="BU1823" s="73"/>
      <c r="BV1823" s="73"/>
      <c r="BW1823" s="73"/>
      <c r="BX1823" s="73"/>
      <c r="BY1823" s="73"/>
      <c r="BZ1823" s="73"/>
      <c r="CA1823" s="73"/>
      <c r="CB1823" s="73"/>
      <c r="CC1823" s="73"/>
      <c r="CD1823" s="73"/>
      <c r="CE1823" s="73"/>
      <c r="CF1823" s="73"/>
      <c r="CG1823" s="73"/>
      <c r="CH1823" s="73"/>
      <c r="CI1823" s="73"/>
      <c r="CJ1823" s="73"/>
      <c r="CK1823" s="73"/>
      <c r="CL1823" s="73"/>
      <c r="CM1823" s="73"/>
      <c r="CN1823" s="73"/>
      <c r="CO1823" s="73"/>
      <c r="CP1823" s="73"/>
      <c r="CQ1823" s="73"/>
      <c r="CR1823" s="73"/>
      <c r="CS1823" s="73"/>
      <c r="CT1823" s="73"/>
      <c r="CU1823" s="73"/>
      <c r="CV1823" s="73"/>
      <c r="CW1823" s="73"/>
      <c r="CX1823" s="73"/>
      <c r="CY1823" s="73"/>
      <c r="CZ1823" s="73"/>
      <c r="DA1823" s="73"/>
      <c r="DB1823" s="73"/>
      <c r="DC1823" s="73"/>
      <c r="DD1823" s="73"/>
      <c r="DE1823" s="73"/>
      <c r="DF1823" s="73"/>
      <c r="DG1823" s="73"/>
      <c r="DH1823" s="73"/>
      <c r="DI1823" s="73"/>
      <c r="DJ1823" s="73"/>
      <c r="DK1823" s="73"/>
      <c r="DL1823" s="73"/>
      <c r="DM1823" s="73"/>
    </row>
    <row r="1824" spans="1:117" s="48" customFormat="1">
      <c r="A1824" s="73"/>
      <c r="T1824" s="73"/>
      <c r="U1824" s="73"/>
      <c r="V1824" s="73"/>
      <c r="W1824" s="73"/>
      <c r="X1824" s="73"/>
      <c r="Y1824" s="73"/>
      <c r="Z1824" s="73"/>
      <c r="AA1824" s="73"/>
      <c r="AB1824" s="73"/>
      <c r="AC1824" s="73"/>
      <c r="AD1824" s="73"/>
      <c r="AE1824" s="73"/>
      <c r="AF1824" s="73"/>
      <c r="AG1824" s="73"/>
      <c r="AH1824" s="73"/>
      <c r="AI1824" s="73"/>
      <c r="AJ1824" s="73"/>
      <c r="AK1824" s="73"/>
      <c r="AL1824" s="73"/>
      <c r="AM1824" s="73"/>
      <c r="AN1824" s="73"/>
      <c r="AO1824" s="73"/>
      <c r="AP1824" s="73"/>
      <c r="AQ1824" s="73"/>
      <c r="AR1824" s="73"/>
      <c r="AS1824" s="73"/>
      <c r="AT1824" s="73"/>
      <c r="AU1824" s="73"/>
      <c r="AV1824" s="73"/>
      <c r="AW1824" s="73"/>
      <c r="AX1824" s="73"/>
      <c r="AY1824" s="73"/>
      <c r="AZ1824" s="73"/>
      <c r="BA1824" s="73"/>
      <c r="BB1824" s="73"/>
      <c r="BC1824" s="73"/>
      <c r="BD1824" s="73"/>
      <c r="BE1824" s="73"/>
      <c r="BF1824" s="73"/>
      <c r="BG1824" s="73"/>
      <c r="BH1824" s="73"/>
      <c r="BI1824" s="73"/>
      <c r="BJ1824" s="73"/>
      <c r="BK1824" s="73"/>
      <c r="BL1824" s="73"/>
      <c r="BM1824" s="73"/>
      <c r="BN1824" s="73"/>
      <c r="BO1824" s="73"/>
      <c r="BP1824" s="73"/>
      <c r="BQ1824" s="73"/>
      <c r="BR1824" s="73"/>
      <c r="BS1824" s="73"/>
      <c r="BT1824" s="73"/>
      <c r="BU1824" s="73"/>
      <c r="BV1824" s="73"/>
      <c r="BW1824" s="73"/>
      <c r="BX1824" s="73"/>
      <c r="BY1824" s="73"/>
      <c r="BZ1824" s="73"/>
      <c r="CA1824" s="73"/>
      <c r="CB1824" s="73"/>
      <c r="CC1824" s="73"/>
      <c r="CD1824" s="73"/>
      <c r="CE1824" s="73"/>
      <c r="CF1824" s="73"/>
      <c r="CG1824" s="73"/>
      <c r="CH1824" s="73"/>
      <c r="CI1824" s="73"/>
      <c r="CJ1824" s="73"/>
      <c r="CK1824" s="73"/>
      <c r="CL1824" s="73"/>
      <c r="CM1824" s="73"/>
      <c r="CN1824" s="73"/>
      <c r="CO1824" s="73"/>
      <c r="CP1824" s="73"/>
      <c r="CQ1824" s="73"/>
      <c r="CR1824" s="73"/>
      <c r="CS1824" s="73"/>
      <c r="CT1824" s="73"/>
      <c r="CU1824" s="73"/>
      <c r="CV1824" s="73"/>
      <c r="CW1824" s="73"/>
      <c r="CX1824" s="73"/>
      <c r="CY1824" s="73"/>
      <c r="CZ1824" s="73"/>
      <c r="DA1824" s="73"/>
      <c r="DB1824" s="73"/>
      <c r="DC1824" s="73"/>
      <c r="DD1824" s="73"/>
      <c r="DE1824" s="73"/>
      <c r="DF1824" s="73"/>
      <c r="DG1824" s="73"/>
      <c r="DH1824" s="73"/>
      <c r="DI1824" s="73"/>
      <c r="DJ1824" s="73"/>
      <c r="DK1824" s="73"/>
      <c r="DL1824" s="73"/>
      <c r="DM1824" s="73"/>
    </row>
    <row r="1825" spans="1:117" s="48" customFormat="1">
      <c r="A1825" s="73"/>
      <c r="T1825" s="73"/>
      <c r="U1825" s="73"/>
      <c r="V1825" s="73"/>
      <c r="W1825" s="73"/>
      <c r="X1825" s="73"/>
      <c r="Y1825" s="73"/>
      <c r="Z1825" s="73"/>
      <c r="AA1825" s="73"/>
      <c r="AB1825" s="73"/>
      <c r="AC1825" s="73"/>
      <c r="AD1825" s="73"/>
      <c r="AE1825" s="73"/>
      <c r="AF1825" s="73"/>
      <c r="AG1825" s="73"/>
      <c r="AH1825" s="73"/>
      <c r="AI1825" s="73"/>
      <c r="AJ1825" s="73"/>
      <c r="AK1825" s="73"/>
      <c r="AL1825" s="73"/>
      <c r="AM1825" s="73"/>
      <c r="AN1825" s="73"/>
      <c r="AO1825" s="73"/>
      <c r="AP1825" s="73"/>
      <c r="AQ1825" s="73"/>
      <c r="AR1825" s="73"/>
      <c r="AS1825" s="73"/>
      <c r="AT1825" s="73"/>
      <c r="AU1825" s="73"/>
      <c r="AV1825" s="73"/>
      <c r="AW1825" s="73"/>
      <c r="AX1825" s="73"/>
      <c r="AY1825" s="73"/>
      <c r="AZ1825" s="73"/>
      <c r="BA1825" s="73"/>
      <c r="BB1825" s="73"/>
      <c r="BC1825" s="73"/>
      <c r="BD1825" s="73"/>
      <c r="BE1825" s="73"/>
      <c r="BF1825" s="73"/>
      <c r="BG1825" s="73"/>
      <c r="BH1825" s="73"/>
      <c r="BI1825" s="73"/>
      <c r="BJ1825" s="73"/>
      <c r="BK1825" s="73"/>
      <c r="BL1825" s="73"/>
      <c r="BM1825" s="73"/>
      <c r="BN1825" s="73"/>
      <c r="BO1825" s="73"/>
      <c r="BP1825" s="73"/>
      <c r="BQ1825" s="73"/>
      <c r="BR1825" s="73"/>
      <c r="BS1825" s="73"/>
      <c r="BT1825" s="73"/>
      <c r="BU1825" s="73"/>
      <c r="BV1825" s="73"/>
      <c r="BW1825" s="73"/>
      <c r="BX1825" s="73"/>
      <c r="BY1825" s="73"/>
      <c r="BZ1825" s="73"/>
      <c r="CA1825" s="73"/>
      <c r="CB1825" s="73"/>
      <c r="CC1825" s="73"/>
      <c r="CD1825" s="73"/>
      <c r="CE1825" s="73"/>
      <c r="CF1825" s="73"/>
      <c r="CG1825" s="73"/>
      <c r="CH1825" s="73"/>
      <c r="CI1825" s="73"/>
      <c r="CJ1825" s="73"/>
      <c r="CK1825" s="73"/>
      <c r="CL1825" s="73"/>
      <c r="CM1825" s="73"/>
      <c r="CN1825" s="73"/>
      <c r="CO1825" s="73"/>
      <c r="CP1825" s="73"/>
      <c r="CQ1825" s="73"/>
      <c r="CR1825" s="73"/>
      <c r="CS1825" s="73"/>
      <c r="CT1825" s="73"/>
      <c r="CU1825" s="73"/>
      <c r="CV1825" s="73"/>
      <c r="CW1825" s="73"/>
      <c r="CX1825" s="73"/>
      <c r="CY1825" s="73"/>
      <c r="CZ1825" s="73"/>
      <c r="DA1825" s="73"/>
      <c r="DB1825" s="73"/>
      <c r="DC1825" s="73"/>
      <c r="DD1825" s="73"/>
      <c r="DE1825" s="73"/>
      <c r="DF1825" s="73"/>
      <c r="DG1825" s="73"/>
      <c r="DH1825" s="73"/>
      <c r="DI1825" s="73"/>
      <c r="DJ1825" s="73"/>
      <c r="DK1825" s="73"/>
      <c r="DL1825" s="73"/>
      <c r="DM1825" s="73"/>
    </row>
    <row r="1826" spans="1:117" s="48" customFormat="1">
      <c r="A1826" s="73"/>
      <c r="T1826" s="73"/>
      <c r="U1826" s="73"/>
      <c r="V1826" s="73"/>
      <c r="W1826" s="73"/>
      <c r="X1826" s="73"/>
      <c r="Y1826" s="73"/>
      <c r="Z1826" s="73"/>
      <c r="AA1826" s="73"/>
      <c r="AB1826" s="73"/>
      <c r="AC1826" s="73"/>
      <c r="AD1826" s="73"/>
      <c r="AE1826" s="73"/>
      <c r="AF1826" s="73"/>
      <c r="AG1826" s="73"/>
      <c r="AH1826" s="73"/>
      <c r="AI1826" s="73"/>
      <c r="AJ1826" s="73"/>
      <c r="AK1826" s="73"/>
      <c r="AL1826" s="73"/>
      <c r="AM1826" s="73"/>
      <c r="AN1826" s="73"/>
      <c r="AO1826" s="73"/>
      <c r="AP1826" s="73"/>
      <c r="AQ1826" s="73"/>
      <c r="AR1826" s="73"/>
      <c r="AS1826" s="73"/>
      <c r="AT1826" s="73"/>
      <c r="AU1826" s="73"/>
      <c r="AV1826" s="73"/>
      <c r="AW1826" s="73"/>
      <c r="AX1826" s="73"/>
      <c r="AY1826" s="73"/>
      <c r="AZ1826" s="73"/>
      <c r="BA1826" s="73"/>
      <c r="BB1826" s="73"/>
      <c r="BC1826" s="73"/>
      <c r="BD1826" s="73"/>
      <c r="BE1826" s="73"/>
      <c r="BF1826" s="73"/>
      <c r="BG1826" s="73"/>
      <c r="BH1826" s="73"/>
      <c r="BI1826" s="73"/>
      <c r="BJ1826" s="73"/>
      <c r="BK1826" s="73"/>
      <c r="BL1826" s="73"/>
      <c r="BM1826" s="73"/>
      <c r="BN1826" s="73"/>
      <c r="BO1826" s="73"/>
      <c r="BP1826" s="73"/>
      <c r="BQ1826" s="73"/>
      <c r="BR1826" s="73"/>
      <c r="BS1826" s="73"/>
      <c r="BT1826" s="73"/>
      <c r="BU1826" s="73"/>
      <c r="BV1826" s="73"/>
      <c r="BW1826" s="73"/>
      <c r="BX1826" s="73"/>
      <c r="BY1826" s="73"/>
      <c r="BZ1826" s="73"/>
      <c r="CA1826" s="73"/>
      <c r="CB1826" s="73"/>
      <c r="CC1826" s="73"/>
      <c r="CD1826" s="73"/>
      <c r="CE1826" s="73"/>
      <c r="CF1826" s="73"/>
      <c r="CG1826" s="73"/>
      <c r="CH1826" s="73"/>
      <c r="CI1826" s="73"/>
      <c r="CJ1826" s="73"/>
      <c r="CK1826" s="73"/>
      <c r="CL1826" s="73"/>
      <c r="CM1826" s="73"/>
      <c r="CN1826" s="73"/>
      <c r="CO1826" s="73"/>
      <c r="CP1826" s="73"/>
      <c r="CQ1826" s="73"/>
      <c r="CR1826" s="73"/>
      <c r="CS1826" s="73"/>
      <c r="CT1826" s="73"/>
      <c r="CU1826" s="73"/>
      <c r="CV1826" s="73"/>
      <c r="CW1826" s="73"/>
      <c r="CX1826" s="73"/>
      <c r="CY1826" s="73"/>
      <c r="CZ1826" s="73"/>
      <c r="DA1826" s="73"/>
      <c r="DB1826" s="73"/>
      <c r="DC1826" s="73"/>
      <c r="DD1826" s="73"/>
      <c r="DE1826" s="73"/>
      <c r="DF1826" s="73"/>
      <c r="DG1826" s="73"/>
      <c r="DH1826" s="73"/>
      <c r="DI1826" s="73"/>
      <c r="DJ1826" s="73"/>
      <c r="DK1826" s="73"/>
      <c r="DL1826" s="73"/>
      <c r="DM1826" s="73"/>
    </row>
    <row r="1827" spans="1:117" s="48" customFormat="1">
      <c r="A1827" s="73"/>
      <c r="T1827" s="73"/>
      <c r="U1827" s="73"/>
      <c r="V1827" s="73"/>
      <c r="W1827" s="73"/>
      <c r="X1827" s="73"/>
      <c r="Y1827" s="73"/>
      <c r="Z1827" s="73"/>
      <c r="AA1827" s="73"/>
      <c r="AB1827" s="73"/>
      <c r="AC1827" s="73"/>
      <c r="AD1827" s="73"/>
      <c r="AE1827" s="73"/>
      <c r="AF1827" s="73"/>
      <c r="AG1827" s="73"/>
      <c r="AH1827" s="73"/>
      <c r="AI1827" s="73"/>
      <c r="AJ1827" s="73"/>
      <c r="AK1827" s="73"/>
      <c r="AL1827" s="73"/>
      <c r="AM1827" s="73"/>
      <c r="AN1827" s="73"/>
      <c r="AO1827" s="73"/>
      <c r="AP1827" s="73"/>
      <c r="AQ1827" s="73"/>
      <c r="AR1827" s="73"/>
      <c r="AS1827" s="73"/>
      <c r="AT1827" s="73"/>
      <c r="AU1827" s="73"/>
      <c r="AV1827" s="73"/>
      <c r="AW1827" s="73"/>
      <c r="AX1827" s="73"/>
      <c r="AY1827" s="73"/>
      <c r="AZ1827" s="73"/>
      <c r="BA1827" s="73"/>
      <c r="BB1827" s="73"/>
      <c r="BC1827" s="73"/>
      <c r="BD1827" s="73"/>
      <c r="BE1827" s="73"/>
      <c r="BF1827" s="73"/>
      <c r="BG1827" s="73"/>
      <c r="BH1827" s="73"/>
      <c r="BI1827" s="73"/>
      <c r="BJ1827" s="73"/>
      <c r="BK1827" s="73"/>
      <c r="BL1827" s="73"/>
      <c r="BM1827" s="73"/>
      <c r="BN1827" s="73"/>
      <c r="BO1827" s="73"/>
      <c r="BP1827" s="73"/>
      <c r="BQ1827" s="73"/>
      <c r="BR1827" s="73"/>
      <c r="BS1827" s="73"/>
      <c r="BT1827" s="73"/>
      <c r="BU1827" s="73"/>
      <c r="BV1827" s="73"/>
      <c r="BW1827" s="73"/>
      <c r="BX1827" s="73"/>
      <c r="BY1827" s="73"/>
      <c r="BZ1827" s="73"/>
      <c r="CA1827" s="73"/>
      <c r="CB1827" s="73"/>
      <c r="CC1827" s="73"/>
      <c r="CD1827" s="73"/>
      <c r="CE1827" s="73"/>
      <c r="CF1827" s="73"/>
      <c r="CG1827" s="73"/>
      <c r="CH1827" s="73"/>
      <c r="CI1827" s="73"/>
      <c r="CJ1827" s="73"/>
      <c r="CK1827" s="73"/>
      <c r="CL1827" s="73"/>
      <c r="CM1827" s="73"/>
      <c r="CN1827" s="73"/>
      <c r="CO1827" s="73"/>
      <c r="CP1827" s="73"/>
      <c r="CQ1827" s="73"/>
      <c r="CR1827" s="73"/>
      <c r="CS1827" s="73"/>
      <c r="CT1827" s="73"/>
      <c r="CU1827" s="73"/>
      <c r="CV1827" s="73"/>
      <c r="CW1827" s="73"/>
      <c r="CX1827" s="73"/>
      <c r="CY1827" s="73"/>
      <c r="CZ1827" s="73"/>
      <c r="DA1827" s="73"/>
      <c r="DB1827" s="73"/>
      <c r="DC1827" s="73"/>
      <c r="DD1827" s="73"/>
      <c r="DE1827" s="73"/>
      <c r="DF1827" s="73"/>
      <c r="DG1827" s="73"/>
      <c r="DH1827" s="73"/>
      <c r="DI1827" s="73"/>
      <c r="DJ1827" s="73"/>
      <c r="DK1827" s="73"/>
      <c r="DL1827" s="73"/>
      <c r="DM1827" s="73"/>
    </row>
    <row r="1828" spans="1:117" s="48" customFormat="1">
      <c r="A1828" s="73"/>
      <c r="T1828" s="73"/>
      <c r="U1828" s="73"/>
      <c r="V1828" s="73"/>
      <c r="W1828" s="73"/>
      <c r="X1828" s="73"/>
      <c r="Y1828" s="73"/>
      <c r="Z1828" s="73"/>
      <c r="AA1828" s="73"/>
      <c r="AB1828" s="73"/>
      <c r="AC1828" s="73"/>
      <c r="AD1828" s="73"/>
      <c r="AE1828" s="73"/>
      <c r="AF1828" s="73"/>
      <c r="AG1828" s="73"/>
      <c r="AH1828" s="73"/>
      <c r="AI1828" s="73"/>
      <c r="AJ1828" s="73"/>
      <c r="AK1828" s="73"/>
      <c r="AL1828" s="73"/>
      <c r="AM1828" s="73"/>
      <c r="AN1828" s="73"/>
      <c r="AO1828" s="73"/>
      <c r="AP1828" s="73"/>
      <c r="AQ1828" s="73"/>
      <c r="AR1828" s="73"/>
      <c r="AS1828" s="73"/>
      <c r="AT1828" s="73"/>
      <c r="AU1828" s="73"/>
      <c r="AV1828" s="73"/>
      <c r="AW1828" s="73"/>
      <c r="AX1828" s="73"/>
      <c r="AY1828" s="73"/>
      <c r="AZ1828" s="73"/>
      <c r="BA1828" s="73"/>
      <c r="BB1828" s="73"/>
      <c r="BC1828" s="73"/>
      <c r="BD1828" s="73"/>
      <c r="BE1828" s="73"/>
      <c r="BF1828" s="73"/>
      <c r="BG1828" s="73"/>
      <c r="BH1828" s="73"/>
      <c r="BI1828" s="73"/>
      <c r="BJ1828" s="73"/>
      <c r="BK1828" s="73"/>
      <c r="BL1828" s="73"/>
      <c r="BM1828" s="73"/>
      <c r="BN1828" s="73"/>
      <c r="BO1828" s="73"/>
      <c r="BP1828" s="73"/>
      <c r="BQ1828" s="73"/>
      <c r="BR1828" s="73"/>
      <c r="BS1828" s="73"/>
      <c r="BT1828" s="73"/>
      <c r="BU1828" s="73"/>
      <c r="BV1828" s="73"/>
      <c r="BW1828" s="73"/>
      <c r="BX1828" s="73"/>
      <c r="BY1828" s="73"/>
      <c r="BZ1828" s="73"/>
      <c r="CA1828" s="73"/>
      <c r="CB1828" s="73"/>
      <c r="CC1828" s="73"/>
      <c r="CD1828" s="73"/>
      <c r="CE1828" s="73"/>
      <c r="CF1828" s="73"/>
      <c r="CG1828" s="73"/>
      <c r="CH1828" s="73"/>
      <c r="CI1828" s="73"/>
      <c r="CJ1828" s="73"/>
      <c r="CK1828" s="73"/>
      <c r="CL1828" s="73"/>
      <c r="CM1828" s="73"/>
      <c r="CN1828" s="73"/>
      <c r="CO1828" s="73"/>
      <c r="CP1828" s="73"/>
      <c r="CQ1828" s="73"/>
      <c r="CR1828" s="73"/>
      <c r="CS1828" s="73"/>
      <c r="CT1828" s="73"/>
      <c r="CU1828" s="73"/>
      <c r="CV1828" s="73"/>
      <c r="CW1828" s="73"/>
      <c r="CX1828" s="73"/>
      <c r="CY1828" s="73"/>
      <c r="CZ1828" s="73"/>
      <c r="DA1828" s="73"/>
      <c r="DB1828" s="73"/>
      <c r="DC1828" s="73"/>
      <c r="DD1828" s="73"/>
      <c r="DE1828" s="73"/>
      <c r="DF1828" s="73"/>
      <c r="DG1828" s="73"/>
      <c r="DH1828" s="73"/>
      <c r="DI1828" s="73"/>
      <c r="DJ1828" s="73"/>
      <c r="DK1828" s="73"/>
      <c r="DL1828" s="73"/>
      <c r="DM1828" s="73"/>
    </row>
    <row r="1829" spans="1:117" s="48" customFormat="1">
      <c r="A1829" s="73"/>
      <c r="T1829" s="73"/>
      <c r="U1829" s="73"/>
      <c r="V1829" s="73"/>
      <c r="W1829" s="73"/>
      <c r="X1829" s="73"/>
      <c r="Y1829" s="73"/>
      <c r="Z1829" s="73"/>
      <c r="AA1829" s="73"/>
      <c r="AB1829" s="73"/>
      <c r="AC1829" s="73"/>
      <c r="AD1829" s="73"/>
      <c r="AE1829" s="73"/>
      <c r="AF1829" s="73"/>
      <c r="AG1829" s="73"/>
      <c r="AH1829" s="73"/>
      <c r="AI1829" s="73"/>
      <c r="AJ1829" s="73"/>
      <c r="AK1829" s="73"/>
      <c r="AL1829" s="73"/>
      <c r="AM1829" s="73"/>
      <c r="AN1829" s="73"/>
      <c r="AO1829" s="73"/>
      <c r="AP1829" s="73"/>
      <c r="AQ1829" s="73"/>
      <c r="AR1829" s="73"/>
      <c r="AS1829" s="73"/>
      <c r="AT1829" s="73"/>
      <c r="AU1829" s="73"/>
      <c r="AV1829" s="73"/>
      <c r="AW1829" s="73"/>
      <c r="AX1829" s="73"/>
      <c r="AY1829" s="73"/>
      <c r="AZ1829" s="73"/>
      <c r="BA1829" s="73"/>
      <c r="BB1829" s="73"/>
      <c r="BC1829" s="73"/>
      <c r="BD1829" s="73"/>
      <c r="BE1829" s="73"/>
      <c r="BF1829" s="73"/>
      <c r="BG1829" s="73"/>
      <c r="BH1829" s="73"/>
      <c r="BI1829" s="73"/>
      <c r="BJ1829" s="73"/>
      <c r="BK1829" s="73"/>
      <c r="BL1829" s="73"/>
      <c r="BM1829" s="73"/>
      <c r="BN1829" s="73"/>
      <c r="BO1829" s="73"/>
      <c r="BP1829" s="73"/>
      <c r="BQ1829" s="73"/>
      <c r="BR1829" s="73"/>
      <c r="BS1829" s="73"/>
      <c r="BT1829" s="73"/>
      <c r="BU1829" s="73"/>
      <c r="BV1829" s="73"/>
      <c r="BW1829" s="73"/>
      <c r="BX1829" s="73"/>
      <c r="BY1829" s="73"/>
      <c r="BZ1829" s="73"/>
      <c r="CA1829" s="73"/>
      <c r="CB1829" s="73"/>
      <c r="CC1829" s="73"/>
      <c r="CD1829" s="73"/>
      <c r="CE1829" s="73"/>
      <c r="CF1829" s="73"/>
      <c r="CG1829" s="73"/>
      <c r="CH1829" s="73"/>
      <c r="CI1829" s="73"/>
      <c r="CJ1829" s="73"/>
      <c r="CK1829" s="73"/>
      <c r="CL1829" s="73"/>
      <c r="CM1829" s="73"/>
      <c r="CN1829" s="73"/>
      <c r="CO1829" s="73"/>
      <c r="CP1829" s="73"/>
      <c r="CQ1829" s="73"/>
      <c r="CR1829" s="73"/>
      <c r="CS1829" s="73"/>
      <c r="CT1829" s="73"/>
      <c r="CU1829" s="73"/>
      <c r="CV1829" s="73"/>
      <c r="CW1829" s="73"/>
      <c r="CX1829" s="73"/>
      <c r="CY1829" s="73"/>
      <c r="CZ1829" s="73"/>
      <c r="DA1829" s="73"/>
      <c r="DB1829" s="73"/>
      <c r="DC1829" s="73"/>
      <c r="DD1829" s="73"/>
      <c r="DE1829" s="73"/>
      <c r="DF1829" s="73"/>
      <c r="DG1829" s="73"/>
      <c r="DH1829" s="73"/>
      <c r="DI1829" s="73"/>
      <c r="DJ1829" s="73"/>
      <c r="DK1829" s="73"/>
      <c r="DL1829" s="73"/>
      <c r="DM1829" s="73"/>
    </row>
    <row r="1830" spans="1:117" s="48" customFormat="1">
      <c r="A1830" s="73"/>
      <c r="T1830" s="73"/>
      <c r="U1830" s="73"/>
      <c r="V1830" s="73"/>
      <c r="W1830" s="73"/>
      <c r="X1830" s="73"/>
      <c r="Y1830" s="73"/>
      <c r="Z1830" s="73"/>
      <c r="AA1830" s="73"/>
      <c r="AB1830" s="73"/>
      <c r="AC1830" s="73"/>
      <c r="AD1830" s="73"/>
      <c r="AE1830" s="73"/>
      <c r="AF1830" s="73"/>
      <c r="AG1830" s="73"/>
      <c r="AH1830" s="73"/>
      <c r="AI1830" s="73"/>
      <c r="AJ1830" s="73"/>
      <c r="AK1830" s="73"/>
      <c r="AL1830" s="73"/>
      <c r="AM1830" s="73"/>
      <c r="AN1830" s="73"/>
      <c r="AO1830" s="73"/>
      <c r="AP1830" s="73"/>
      <c r="AQ1830" s="73"/>
      <c r="AR1830" s="73"/>
      <c r="AS1830" s="73"/>
      <c r="AT1830" s="73"/>
      <c r="AU1830" s="73"/>
      <c r="AV1830" s="73"/>
      <c r="AW1830" s="73"/>
      <c r="AX1830" s="73"/>
      <c r="AY1830" s="73"/>
      <c r="AZ1830" s="73"/>
      <c r="BA1830" s="73"/>
      <c r="BB1830" s="73"/>
      <c r="BC1830" s="73"/>
      <c r="BD1830" s="73"/>
      <c r="BE1830" s="73"/>
      <c r="BF1830" s="73"/>
      <c r="BG1830" s="73"/>
      <c r="BH1830" s="73"/>
      <c r="BI1830" s="73"/>
      <c r="BJ1830" s="73"/>
      <c r="BK1830" s="73"/>
      <c r="BL1830" s="73"/>
      <c r="BM1830" s="73"/>
      <c r="BN1830" s="73"/>
      <c r="BO1830" s="73"/>
      <c r="BP1830" s="73"/>
      <c r="BQ1830" s="73"/>
      <c r="BR1830" s="73"/>
      <c r="BS1830" s="73"/>
      <c r="BT1830" s="73"/>
      <c r="BU1830" s="73"/>
      <c r="BV1830" s="73"/>
      <c r="BW1830" s="73"/>
      <c r="BX1830" s="73"/>
      <c r="BY1830" s="73"/>
      <c r="BZ1830" s="73"/>
      <c r="CA1830" s="73"/>
      <c r="CB1830" s="73"/>
      <c r="CC1830" s="73"/>
      <c r="CD1830" s="73"/>
      <c r="CE1830" s="73"/>
      <c r="CF1830" s="73"/>
      <c r="CG1830" s="73"/>
      <c r="CH1830" s="73"/>
      <c r="CI1830" s="73"/>
      <c r="CJ1830" s="73"/>
      <c r="CK1830" s="73"/>
      <c r="CL1830" s="73"/>
      <c r="CM1830" s="73"/>
      <c r="CN1830" s="73"/>
      <c r="CO1830" s="73"/>
      <c r="CP1830" s="73"/>
      <c r="CQ1830" s="73"/>
      <c r="CR1830" s="73"/>
      <c r="CS1830" s="73"/>
      <c r="CT1830" s="73"/>
      <c r="CU1830" s="73"/>
      <c r="CV1830" s="73"/>
      <c r="CW1830" s="73"/>
      <c r="CX1830" s="73"/>
      <c r="CY1830" s="73"/>
      <c r="CZ1830" s="73"/>
      <c r="DA1830" s="73"/>
      <c r="DB1830" s="73"/>
      <c r="DC1830" s="73"/>
      <c r="DD1830" s="73"/>
      <c r="DE1830" s="73"/>
      <c r="DF1830" s="73"/>
      <c r="DG1830" s="73"/>
      <c r="DH1830" s="73"/>
      <c r="DI1830" s="73"/>
      <c r="DJ1830" s="73"/>
      <c r="DK1830" s="73"/>
      <c r="DL1830" s="73"/>
      <c r="DM1830" s="73"/>
    </row>
    <row r="1831" spans="1:117" s="48" customFormat="1">
      <c r="A1831" s="73"/>
      <c r="T1831" s="73"/>
      <c r="U1831" s="73"/>
      <c r="V1831" s="73"/>
      <c r="W1831" s="73"/>
      <c r="X1831" s="73"/>
      <c r="Y1831" s="73"/>
      <c r="Z1831" s="73"/>
      <c r="AA1831" s="73"/>
      <c r="AB1831" s="73"/>
      <c r="AC1831" s="73"/>
      <c r="AD1831" s="73"/>
      <c r="AE1831" s="73"/>
      <c r="AF1831" s="73"/>
      <c r="AG1831" s="73"/>
      <c r="AH1831" s="73"/>
      <c r="AI1831" s="73"/>
      <c r="AJ1831" s="73"/>
      <c r="AK1831" s="73"/>
      <c r="AL1831" s="73"/>
      <c r="AM1831" s="73"/>
      <c r="AN1831" s="73"/>
      <c r="AO1831" s="73"/>
      <c r="AP1831" s="73"/>
      <c r="AQ1831" s="73"/>
      <c r="AR1831" s="73"/>
      <c r="AS1831" s="73"/>
      <c r="AT1831" s="73"/>
      <c r="AU1831" s="73"/>
      <c r="AV1831" s="73"/>
      <c r="AW1831" s="73"/>
      <c r="AX1831" s="73"/>
      <c r="AY1831" s="73"/>
      <c r="AZ1831" s="73"/>
      <c r="BA1831" s="73"/>
      <c r="BB1831" s="73"/>
      <c r="BC1831" s="73"/>
      <c r="BD1831" s="73"/>
      <c r="BE1831" s="73"/>
      <c r="BF1831" s="73"/>
      <c r="BG1831" s="73"/>
      <c r="BH1831" s="73"/>
      <c r="BI1831" s="73"/>
      <c r="BJ1831" s="73"/>
      <c r="BK1831" s="73"/>
      <c r="BL1831" s="73"/>
      <c r="BM1831" s="73"/>
      <c r="BN1831" s="73"/>
      <c r="BO1831" s="73"/>
      <c r="BP1831" s="73"/>
      <c r="BQ1831" s="73"/>
      <c r="BR1831" s="73"/>
      <c r="BS1831" s="73"/>
      <c r="BT1831" s="73"/>
      <c r="BU1831" s="73"/>
      <c r="BV1831" s="73"/>
      <c r="BW1831" s="73"/>
      <c r="BX1831" s="73"/>
      <c r="BY1831" s="73"/>
      <c r="BZ1831" s="73"/>
      <c r="CA1831" s="73"/>
      <c r="CB1831" s="73"/>
      <c r="CC1831" s="73"/>
      <c r="CD1831" s="73"/>
      <c r="CE1831" s="73"/>
      <c r="CF1831" s="73"/>
      <c r="CG1831" s="73"/>
      <c r="CH1831" s="73"/>
      <c r="CI1831" s="73"/>
      <c r="CJ1831" s="73"/>
      <c r="CK1831" s="73"/>
      <c r="CL1831" s="73"/>
      <c r="CM1831" s="73"/>
      <c r="CN1831" s="73"/>
      <c r="CO1831" s="73"/>
      <c r="CP1831" s="73"/>
      <c r="CQ1831" s="73"/>
      <c r="CR1831" s="73"/>
      <c r="CS1831" s="73"/>
      <c r="CT1831" s="73"/>
      <c r="CU1831" s="73"/>
      <c r="CV1831" s="73"/>
      <c r="CW1831" s="73"/>
      <c r="CX1831" s="73"/>
      <c r="CY1831" s="73"/>
      <c r="CZ1831" s="73"/>
      <c r="DA1831" s="73"/>
      <c r="DB1831" s="73"/>
      <c r="DC1831" s="73"/>
      <c r="DD1831" s="73"/>
      <c r="DE1831" s="73"/>
      <c r="DF1831" s="73"/>
      <c r="DG1831" s="73"/>
      <c r="DH1831" s="73"/>
      <c r="DI1831" s="73"/>
      <c r="DJ1831" s="73"/>
      <c r="DK1831" s="73"/>
      <c r="DL1831" s="73"/>
      <c r="DM1831" s="73"/>
    </row>
    <row r="1832" spans="1:117" s="48" customFormat="1">
      <c r="A1832" s="73"/>
      <c r="T1832" s="73"/>
      <c r="U1832" s="73"/>
      <c r="V1832" s="73"/>
      <c r="W1832" s="73"/>
      <c r="X1832" s="73"/>
      <c r="Y1832" s="73"/>
      <c r="Z1832" s="73"/>
      <c r="AA1832" s="73"/>
      <c r="AB1832" s="73"/>
      <c r="AC1832" s="73"/>
      <c r="AD1832" s="73"/>
      <c r="AE1832" s="73"/>
      <c r="AF1832" s="73"/>
      <c r="AG1832" s="73"/>
      <c r="AH1832" s="73"/>
      <c r="AI1832" s="73"/>
      <c r="AJ1832" s="73"/>
      <c r="AK1832" s="73"/>
      <c r="AL1832" s="73"/>
      <c r="AM1832" s="73"/>
      <c r="AN1832" s="73"/>
      <c r="AO1832" s="73"/>
      <c r="AP1832" s="73"/>
      <c r="AQ1832" s="73"/>
      <c r="AR1832" s="73"/>
      <c r="AS1832" s="73"/>
      <c r="AT1832" s="73"/>
      <c r="AU1832" s="73"/>
      <c r="AV1832" s="73"/>
      <c r="AW1832" s="73"/>
      <c r="AX1832" s="73"/>
      <c r="AY1832" s="73"/>
      <c r="AZ1832" s="73"/>
      <c r="BA1832" s="73"/>
      <c r="BB1832" s="73"/>
      <c r="BC1832" s="73"/>
      <c r="BD1832" s="73"/>
      <c r="BE1832" s="73"/>
      <c r="BF1832" s="73"/>
      <c r="BG1832" s="73"/>
      <c r="BH1832" s="73"/>
      <c r="BI1832" s="73"/>
      <c r="BJ1832" s="73"/>
      <c r="BK1832" s="73"/>
      <c r="BL1832" s="73"/>
      <c r="BM1832" s="73"/>
      <c r="BN1832" s="73"/>
      <c r="BO1832" s="73"/>
      <c r="BP1832" s="73"/>
      <c r="BQ1832" s="73"/>
      <c r="BR1832" s="73"/>
      <c r="BS1832" s="73"/>
      <c r="BT1832" s="73"/>
      <c r="BU1832" s="73"/>
      <c r="BV1832" s="73"/>
      <c r="BW1832" s="73"/>
      <c r="BX1832" s="73"/>
      <c r="BY1832" s="73"/>
      <c r="BZ1832" s="73"/>
      <c r="CA1832" s="73"/>
      <c r="CB1832" s="73"/>
      <c r="CC1832" s="73"/>
      <c r="CD1832" s="73"/>
      <c r="CE1832" s="73"/>
      <c r="CF1832" s="73"/>
      <c r="CG1832" s="73"/>
      <c r="CH1832" s="73"/>
      <c r="CI1832" s="73"/>
      <c r="CJ1832" s="73"/>
      <c r="CK1832" s="73"/>
      <c r="CL1832" s="73"/>
      <c r="CM1832" s="73"/>
      <c r="CN1832" s="73"/>
      <c r="CO1832" s="73"/>
      <c r="CP1832" s="73"/>
      <c r="CQ1832" s="73"/>
      <c r="CR1832" s="73"/>
      <c r="CS1832" s="73"/>
      <c r="CT1832" s="73"/>
      <c r="CU1832" s="73"/>
      <c r="CV1832" s="73"/>
      <c r="CW1832" s="73"/>
      <c r="CX1832" s="73"/>
      <c r="CY1832" s="73"/>
      <c r="CZ1832" s="73"/>
      <c r="DA1832" s="73"/>
      <c r="DB1832" s="73"/>
      <c r="DC1832" s="73"/>
      <c r="DD1832" s="73"/>
      <c r="DE1832" s="73"/>
      <c r="DF1832" s="73"/>
      <c r="DG1832" s="73"/>
      <c r="DH1832" s="73"/>
      <c r="DI1832" s="73"/>
      <c r="DJ1832" s="73"/>
      <c r="DK1832" s="73"/>
      <c r="DL1832" s="73"/>
      <c r="DM1832" s="73"/>
    </row>
    <row r="1833" spans="1:117" s="48" customFormat="1">
      <c r="A1833" s="73"/>
      <c r="T1833" s="73"/>
      <c r="U1833" s="73"/>
      <c r="V1833" s="73"/>
      <c r="W1833" s="73"/>
      <c r="X1833" s="73"/>
      <c r="Y1833" s="73"/>
      <c r="Z1833" s="73"/>
      <c r="AA1833" s="73"/>
      <c r="AB1833" s="73"/>
      <c r="AC1833" s="73"/>
      <c r="AD1833" s="73"/>
      <c r="AE1833" s="73"/>
      <c r="AF1833" s="73"/>
      <c r="AG1833" s="73"/>
      <c r="AH1833" s="73"/>
      <c r="AI1833" s="73"/>
      <c r="AJ1833" s="73"/>
      <c r="AK1833" s="73"/>
      <c r="AL1833" s="73"/>
      <c r="AM1833" s="73"/>
      <c r="AN1833" s="73"/>
      <c r="AO1833" s="73"/>
      <c r="AP1833" s="73"/>
      <c r="AQ1833" s="73"/>
      <c r="AR1833" s="73"/>
      <c r="AS1833" s="73"/>
      <c r="AT1833" s="73"/>
      <c r="AU1833" s="73"/>
      <c r="AV1833" s="73"/>
      <c r="AW1833" s="73"/>
      <c r="AX1833" s="73"/>
      <c r="AY1833" s="73"/>
      <c r="AZ1833" s="73"/>
      <c r="BA1833" s="73"/>
      <c r="BB1833" s="73"/>
      <c r="BC1833" s="73"/>
      <c r="BD1833" s="73"/>
      <c r="BE1833" s="73"/>
      <c r="BF1833" s="73"/>
      <c r="BG1833" s="73"/>
      <c r="BH1833" s="73"/>
      <c r="BI1833" s="73"/>
      <c r="BJ1833" s="73"/>
      <c r="BK1833" s="73"/>
      <c r="BL1833" s="73"/>
      <c r="BM1833" s="73"/>
      <c r="BN1833" s="73"/>
      <c r="BO1833" s="73"/>
      <c r="BP1833" s="73"/>
      <c r="BQ1833" s="73"/>
      <c r="BR1833" s="73"/>
      <c r="BS1833" s="73"/>
      <c r="BT1833" s="73"/>
      <c r="BU1833" s="73"/>
      <c r="BV1833" s="73"/>
      <c r="BW1833" s="73"/>
      <c r="BX1833" s="73"/>
      <c r="BY1833" s="73"/>
      <c r="BZ1833" s="73"/>
      <c r="CA1833" s="73"/>
      <c r="CB1833" s="73"/>
      <c r="CC1833" s="73"/>
      <c r="CD1833" s="73"/>
      <c r="CE1833" s="73"/>
      <c r="CF1833" s="73"/>
      <c r="CG1833" s="73"/>
      <c r="CH1833" s="73"/>
      <c r="CI1833" s="73"/>
      <c r="CJ1833" s="73"/>
      <c r="CK1833" s="73"/>
      <c r="CL1833" s="73"/>
      <c r="CM1833" s="73"/>
      <c r="CN1833" s="73"/>
      <c r="CO1833" s="73"/>
      <c r="CP1833" s="73"/>
      <c r="CQ1833" s="73"/>
      <c r="CR1833" s="73"/>
      <c r="CS1833" s="73"/>
      <c r="CT1833" s="73"/>
      <c r="CU1833" s="73"/>
      <c r="CV1833" s="73"/>
      <c r="CW1833" s="73"/>
      <c r="CX1833" s="73"/>
      <c r="CY1833" s="73"/>
      <c r="CZ1833" s="73"/>
      <c r="DA1833" s="73"/>
      <c r="DB1833" s="73"/>
      <c r="DC1833" s="73"/>
      <c r="DD1833" s="73"/>
      <c r="DE1833" s="73"/>
      <c r="DF1833" s="73"/>
      <c r="DG1833" s="73"/>
      <c r="DH1833" s="73"/>
      <c r="DI1833" s="73"/>
      <c r="DJ1833" s="73"/>
      <c r="DK1833" s="73"/>
      <c r="DL1833" s="73"/>
      <c r="DM1833" s="73"/>
    </row>
    <row r="1834" spans="1:117" s="48" customFormat="1">
      <c r="A1834" s="73"/>
      <c r="T1834" s="73"/>
      <c r="U1834" s="73"/>
      <c r="V1834" s="73"/>
      <c r="W1834" s="73"/>
      <c r="X1834" s="73"/>
      <c r="Y1834" s="73"/>
      <c r="Z1834" s="73"/>
      <c r="AA1834" s="73"/>
      <c r="AB1834" s="73"/>
      <c r="AC1834" s="73"/>
      <c r="AD1834" s="73"/>
      <c r="AE1834" s="73"/>
      <c r="AF1834" s="73"/>
      <c r="AG1834" s="73"/>
      <c r="AH1834" s="73"/>
      <c r="AI1834" s="73"/>
      <c r="AJ1834" s="73"/>
      <c r="AK1834" s="73"/>
      <c r="AL1834" s="73"/>
      <c r="AM1834" s="73"/>
      <c r="AN1834" s="73"/>
      <c r="AO1834" s="73"/>
      <c r="AP1834" s="73"/>
      <c r="AQ1834" s="73"/>
      <c r="AR1834" s="73"/>
      <c r="AS1834" s="73"/>
      <c r="AT1834" s="73"/>
      <c r="AU1834" s="73"/>
      <c r="AV1834" s="73"/>
      <c r="AW1834" s="73"/>
      <c r="AX1834" s="73"/>
      <c r="AY1834" s="73"/>
      <c r="AZ1834" s="73"/>
      <c r="BA1834" s="73"/>
      <c r="BB1834" s="73"/>
      <c r="BC1834" s="73"/>
      <c r="BD1834" s="73"/>
      <c r="BE1834" s="73"/>
      <c r="BF1834" s="73"/>
      <c r="BG1834" s="73"/>
      <c r="BH1834" s="73"/>
      <c r="BI1834" s="73"/>
      <c r="BJ1834" s="73"/>
      <c r="BK1834" s="73"/>
      <c r="BL1834" s="73"/>
      <c r="BM1834" s="73"/>
      <c r="BN1834" s="73"/>
      <c r="BO1834" s="73"/>
      <c r="BP1834" s="73"/>
      <c r="BQ1834" s="73"/>
      <c r="BR1834" s="73"/>
      <c r="BS1834" s="73"/>
      <c r="BT1834" s="73"/>
      <c r="BU1834" s="73"/>
      <c r="BV1834" s="73"/>
      <c r="BW1834" s="73"/>
      <c r="BX1834" s="73"/>
      <c r="BY1834" s="73"/>
      <c r="BZ1834" s="73"/>
      <c r="CA1834" s="73"/>
      <c r="CB1834" s="73"/>
      <c r="CC1834" s="73"/>
      <c r="CD1834" s="73"/>
      <c r="CE1834" s="73"/>
      <c r="CF1834" s="73"/>
      <c r="CG1834" s="73"/>
      <c r="CH1834" s="73"/>
      <c r="CI1834" s="73"/>
      <c r="CJ1834" s="73"/>
      <c r="CK1834" s="73"/>
      <c r="CL1834" s="73"/>
      <c r="CM1834" s="73"/>
      <c r="CN1834" s="73"/>
      <c r="CO1834" s="73"/>
      <c r="CP1834" s="73"/>
      <c r="CQ1834" s="73"/>
      <c r="CR1834" s="73"/>
      <c r="CS1834" s="73"/>
      <c r="CT1834" s="73"/>
      <c r="CU1834" s="73"/>
      <c r="CV1834" s="73"/>
      <c r="CW1834" s="73"/>
      <c r="CX1834" s="73"/>
      <c r="CY1834" s="73"/>
      <c r="CZ1834" s="73"/>
      <c r="DA1834" s="73"/>
      <c r="DB1834" s="73"/>
      <c r="DC1834" s="73"/>
      <c r="DD1834" s="73"/>
      <c r="DE1834" s="73"/>
      <c r="DF1834" s="73"/>
      <c r="DG1834" s="73"/>
      <c r="DH1834" s="73"/>
      <c r="DI1834" s="73"/>
      <c r="DJ1834" s="73"/>
      <c r="DK1834" s="73"/>
      <c r="DL1834" s="73"/>
      <c r="DM1834" s="73"/>
    </row>
    <row r="1835" spans="1:117" s="48" customFormat="1">
      <c r="A1835" s="73"/>
      <c r="T1835" s="73"/>
      <c r="U1835" s="73"/>
      <c r="V1835" s="73"/>
      <c r="W1835" s="73"/>
      <c r="X1835" s="73"/>
      <c r="Y1835" s="73"/>
      <c r="Z1835" s="73"/>
      <c r="AA1835" s="73"/>
      <c r="AB1835" s="73"/>
      <c r="AC1835" s="73"/>
      <c r="AD1835" s="73"/>
      <c r="AE1835" s="73"/>
      <c r="AF1835" s="73"/>
      <c r="AG1835" s="73"/>
      <c r="AH1835" s="73"/>
      <c r="AI1835" s="73"/>
      <c r="AJ1835" s="73"/>
      <c r="AK1835" s="73"/>
      <c r="AL1835" s="73"/>
      <c r="AM1835" s="73"/>
      <c r="AN1835" s="73"/>
      <c r="AO1835" s="73"/>
      <c r="AP1835" s="73"/>
      <c r="AQ1835" s="73"/>
      <c r="AR1835" s="73"/>
      <c r="AS1835" s="73"/>
      <c r="AT1835" s="73"/>
      <c r="AU1835" s="73"/>
      <c r="AV1835" s="73"/>
      <c r="AW1835" s="73"/>
      <c r="AX1835" s="73"/>
      <c r="AY1835" s="73"/>
      <c r="AZ1835" s="73"/>
      <c r="BA1835" s="73"/>
      <c r="BB1835" s="73"/>
      <c r="BC1835" s="73"/>
      <c r="BD1835" s="73"/>
      <c r="BE1835" s="73"/>
      <c r="BF1835" s="73"/>
      <c r="BG1835" s="73"/>
      <c r="BH1835" s="73"/>
      <c r="BI1835" s="73"/>
      <c r="BJ1835" s="73"/>
      <c r="BK1835" s="73"/>
      <c r="BL1835" s="73"/>
      <c r="BM1835" s="73"/>
      <c r="BN1835" s="73"/>
      <c r="BO1835" s="73"/>
      <c r="BP1835" s="73"/>
      <c r="BQ1835" s="73"/>
      <c r="BR1835" s="73"/>
      <c r="BS1835" s="73"/>
      <c r="BT1835" s="73"/>
      <c r="BU1835" s="73"/>
      <c r="BV1835" s="73"/>
      <c r="BW1835" s="73"/>
      <c r="BX1835" s="73"/>
      <c r="BY1835" s="73"/>
      <c r="BZ1835" s="73"/>
      <c r="CA1835" s="73"/>
      <c r="CB1835" s="73"/>
      <c r="CC1835" s="73"/>
      <c r="CD1835" s="73"/>
      <c r="CE1835" s="73"/>
      <c r="CF1835" s="73"/>
      <c r="CG1835" s="73"/>
      <c r="CH1835" s="73"/>
      <c r="CI1835" s="73"/>
      <c r="CJ1835" s="73"/>
      <c r="CK1835" s="73"/>
      <c r="CL1835" s="73"/>
      <c r="CM1835" s="73"/>
      <c r="CN1835" s="73"/>
      <c r="CO1835" s="73"/>
      <c r="CP1835" s="73"/>
      <c r="CQ1835" s="73"/>
      <c r="CR1835" s="73"/>
      <c r="CS1835" s="73"/>
      <c r="CT1835" s="73"/>
      <c r="CU1835" s="73"/>
      <c r="CV1835" s="73"/>
      <c r="CW1835" s="73"/>
      <c r="CX1835" s="73"/>
      <c r="CY1835" s="73"/>
      <c r="CZ1835" s="73"/>
      <c r="DA1835" s="73"/>
      <c r="DB1835" s="73"/>
      <c r="DC1835" s="73"/>
      <c r="DD1835" s="73"/>
      <c r="DE1835" s="73"/>
      <c r="DF1835" s="73"/>
      <c r="DG1835" s="73"/>
      <c r="DH1835" s="73"/>
      <c r="DI1835" s="73"/>
      <c r="DJ1835" s="73"/>
      <c r="DK1835" s="73"/>
      <c r="DL1835" s="73"/>
      <c r="DM1835" s="73"/>
    </row>
    <row r="1836" spans="1:117" s="48" customFormat="1">
      <c r="A1836" s="73"/>
      <c r="T1836" s="73"/>
      <c r="U1836" s="73"/>
      <c r="V1836" s="73"/>
      <c r="W1836" s="73"/>
      <c r="X1836" s="73"/>
      <c r="Y1836" s="73"/>
      <c r="Z1836" s="73"/>
      <c r="AA1836" s="73"/>
      <c r="AB1836" s="73"/>
      <c r="AC1836" s="73"/>
      <c r="AD1836" s="73"/>
      <c r="AE1836" s="73"/>
      <c r="AF1836" s="73"/>
      <c r="AG1836" s="73"/>
      <c r="AH1836" s="73"/>
      <c r="AI1836" s="73"/>
      <c r="AJ1836" s="73"/>
      <c r="AK1836" s="73"/>
      <c r="AL1836" s="73"/>
      <c r="AM1836" s="73"/>
      <c r="AN1836" s="73"/>
      <c r="AO1836" s="73"/>
      <c r="AP1836" s="73"/>
      <c r="AQ1836" s="73"/>
      <c r="AR1836" s="73"/>
      <c r="AS1836" s="73"/>
      <c r="AT1836" s="73"/>
      <c r="AU1836" s="73"/>
      <c r="AV1836" s="73"/>
      <c r="AW1836" s="73"/>
      <c r="AX1836" s="73"/>
      <c r="AY1836" s="73"/>
      <c r="AZ1836" s="73"/>
      <c r="BA1836" s="73"/>
      <c r="BB1836" s="73"/>
      <c r="BC1836" s="73"/>
      <c r="BD1836" s="73"/>
      <c r="BE1836" s="73"/>
      <c r="BF1836" s="73"/>
      <c r="BG1836" s="73"/>
      <c r="BH1836" s="73"/>
      <c r="BI1836" s="73"/>
      <c r="BJ1836" s="73"/>
      <c r="BK1836" s="73"/>
      <c r="BL1836" s="73"/>
      <c r="BM1836" s="73"/>
      <c r="BN1836" s="73"/>
      <c r="BO1836" s="73"/>
      <c r="BP1836" s="73"/>
      <c r="BQ1836" s="73"/>
      <c r="BR1836" s="73"/>
      <c r="BS1836" s="73"/>
      <c r="BT1836" s="73"/>
      <c r="BU1836" s="73"/>
      <c r="BV1836" s="73"/>
      <c r="BW1836" s="73"/>
      <c r="BX1836" s="73"/>
      <c r="BY1836" s="73"/>
      <c r="BZ1836" s="73"/>
      <c r="CA1836" s="73"/>
      <c r="CB1836" s="73"/>
      <c r="CC1836" s="73"/>
      <c r="CD1836" s="73"/>
      <c r="CE1836" s="73"/>
      <c r="CF1836" s="73"/>
      <c r="CG1836" s="73"/>
      <c r="CH1836" s="73"/>
      <c r="CI1836" s="73"/>
      <c r="CJ1836" s="73"/>
      <c r="CK1836" s="73"/>
      <c r="CL1836" s="73"/>
      <c r="CM1836" s="73"/>
      <c r="CN1836" s="73"/>
      <c r="CO1836" s="73"/>
      <c r="CP1836" s="73"/>
      <c r="CQ1836" s="73"/>
      <c r="CR1836" s="73"/>
      <c r="CS1836" s="73"/>
      <c r="CT1836" s="73"/>
      <c r="CU1836" s="73"/>
      <c r="CV1836" s="73"/>
      <c r="CW1836" s="73"/>
      <c r="CX1836" s="73"/>
      <c r="CY1836" s="73"/>
      <c r="CZ1836" s="73"/>
      <c r="DA1836" s="73"/>
      <c r="DB1836" s="73"/>
      <c r="DC1836" s="73"/>
      <c r="DD1836" s="73"/>
      <c r="DE1836" s="73"/>
      <c r="DF1836" s="73"/>
      <c r="DG1836" s="73"/>
      <c r="DH1836" s="73"/>
      <c r="DI1836" s="73"/>
      <c r="DJ1836" s="73"/>
      <c r="DK1836" s="73"/>
      <c r="DL1836" s="73"/>
      <c r="DM1836" s="73"/>
    </row>
    <row r="1837" spans="1:117" s="48" customFormat="1">
      <c r="A1837" s="73"/>
      <c r="T1837" s="73"/>
      <c r="U1837" s="73"/>
      <c r="V1837" s="73"/>
      <c r="W1837" s="73"/>
      <c r="X1837" s="73"/>
      <c r="Y1837" s="73"/>
      <c r="Z1837" s="73"/>
      <c r="AA1837" s="73"/>
      <c r="AB1837" s="73"/>
      <c r="AC1837" s="73"/>
      <c r="AD1837" s="73"/>
      <c r="AE1837" s="73"/>
      <c r="AF1837" s="73"/>
      <c r="AG1837" s="73"/>
      <c r="AH1837" s="73"/>
      <c r="AI1837" s="73"/>
      <c r="AJ1837" s="73"/>
      <c r="AK1837" s="73"/>
      <c r="AL1837" s="73"/>
      <c r="AM1837" s="73"/>
      <c r="AN1837" s="73"/>
      <c r="AO1837" s="73"/>
      <c r="AP1837" s="73"/>
      <c r="AQ1837" s="73"/>
      <c r="AR1837" s="73"/>
      <c r="AS1837" s="73"/>
      <c r="AT1837" s="73"/>
      <c r="AU1837" s="73"/>
      <c r="AV1837" s="73"/>
      <c r="AW1837" s="73"/>
      <c r="AX1837" s="73"/>
      <c r="AY1837" s="73"/>
      <c r="AZ1837" s="73"/>
      <c r="BA1837" s="73"/>
      <c r="BB1837" s="73"/>
      <c r="BC1837" s="73"/>
      <c r="BD1837" s="73"/>
      <c r="BE1837" s="73"/>
      <c r="BF1837" s="73"/>
      <c r="BG1837" s="73"/>
      <c r="BH1837" s="73"/>
      <c r="BI1837" s="73"/>
      <c r="BJ1837" s="73"/>
      <c r="BK1837" s="73"/>
      <c r="BL1837" s="73"/>
      <c r="BM1837" s="73"/>
      <c r="BN1837" s="73"/>
      <c r="BO1837" s="73"/>
      <c r="BP1837" s="73"/>
      <c r="BQ1837" s="73"/>
      <c r="BR1837" s="73"/>
      <c r="BS1837" s="73"/>
      <c r="BT1837" s="73"/>
      <c r="BU1837" s="73"/>
      <c r="BV1837" s="73"/>
      <c r="BW1837" s="73"/>
      <c r="BX1837" s="73"/>
      <c r="BY1837" s="73"/>
      <c r="BZ1837" s="73"/>
      <c r="CA1837" s="73"/>
      <c r="CB1837" s="73"/>
      <c r="CC1837" s="73"/>
      <c r="CD1837" s="73"/>
      <c r="CE1837" s="73"/>
      <c r="CF1837" s="73"/>
      <c r="CG1837" s="73"/>
      <c r="CH1837" s="73"/>
      <c r="CI1837" s="73"/>
      <c r="CJ1837" s="73"/>
      <c r="CK1837" s="73"/>
      <c r="CL1837" s="73"/>
      <c r="CM1837" s="73"/>
      <c r="CN1837" s="73"/>
      <c r="CO1837" s="73"/>
      <c r="CP1837" s="73"/>
      <c r="CQ1837" s="73"/>
      <c r="CR1837" s="73"/>
      <c r="CS1837" s="73"/>
      <c r="CT1837" s="73"/>
      <c r="CU1837" s="73"/>
      <c r="CV1837" s="73"/>
      <c r="CW1837" s="73"/>
      <c r="CX1837" s="73"/>
      <c r="CY1837" s="73"/>
      <c r="CZ1837" s="73"/>
      <c r="DA1837" s="73"/>
      <c r="DB1837" s="73"/>
      <c r="DC1837" s="73"/>
      <c r="DD1837" s="73"/>
      <c r="DE1837" s="73"/>
      <c r="DF1837" s="73"/>
      <c r="DG1837" s="73"/>
      <c r="DH1837" s="73"/>
      <c r="DI1837" s="73"/>
      <c r="DJ1837" s="73"/>
      <c r="DK1837" s="73"/>
      <c r="DL1837" s="73"/>
      <c r="DM1837" s="73"/>
    </row>
    <row r="1838" spans="1:117" s="48" customFormat="1">
      <c r="A1838" s="73"/>
      <c r="T1838" s="73"/>
      <c r="U1838" s="73"/>
      <c r="V1838" s="73"/>
      <c r="W1838" s="73"/>
      <c r="X1838" s="73"/>
      <c r="Y1838" s="73"/>
      <c r="Z1838" s="73"/>
      <c r="AA1838" s="73"/>
      <c r="AB1838" s="73"/>
      <c r="AC1838" s="73"/>
      <c r="AD1838" s="73"/>
      <c r="AE1838" s="73"/>
      <c r="AF1838" s="73"/>
      <c r="AG1838" s="73"/>
      <c r="AH1838" s="73"/>
      <c r="AI1838" s="73"/>
      <c r="AJ1838" s="73"/>
      <c r="AK1838" s="73"/>
      <c r="AL1838" s="73"/>
      <c r="AM1838" s="73"/>
      <c r="AN1838" s="73"/>
      <c r="AO1838" s="73"/>
      <c r="AP1838" s="73"/>
      <c r="AQ1838" s="73"/>
      <c r="AR1838" s="73"/>
      <c r="AS1838" s="73"/>
      <c r="AT1838" s="73"/>
      <c r="AU1838" s="73"/>
      <c r="AV1838" s="73"/>
      <c r="AW1838" s="73"/>
      <c r="AX1838" s="73"/>
      <c r="AY1838" s="73"/>
      <c r="AZ1838" s="73"/>
      <c r="BA1838" s="73"/>
      <c r="BB1838" s="73"/>
      <c r="BC1838" s="73"/>
      <c r="BD1838" s="73"/>
      <c r="BE1838" s="73"/>
      <c r="BF1838" s="73"/>
      <c r="BG1838" s="73"/>
      <c r="BH1838" s="73"/>
      <c r="BI1838" s="73"/>
      <c r="BJ1838" s="73"/>
      <c r="BK1838" s="73"/>
      <c r="BL1838" s="73"/>
      <c r="BM1838" s="73"/>
      <c r="BN1838" s="73"/>
      <c r="BO1838" s="73"/>
      <c r="BP1838" s="73"/>
      <c r="BQ1838" s="73"/>
      <c r="BR1838" s="73"/>
      <c r="BS1838" s="73"/>
      <c r="BT1838" s="73"/>
      <c r="BU1838" s="73"/>
      <c r="BV1838" s="73"/>
      <c r="BW1838" s="73"/>
      <c r="BX1838" s="73"/>
      <c r="BY1838" s="73"/>
      <c r="BZ1838" s="73"/>
      <c r="CA1838" s="73"/>
      <c r="CB1838" s="73"/>
      <c r="CC1838" s="73"/>
      <c r="CD1838" s="73"/>
      <c r="CE1838" s="73"/>
      <c r="CF1838" s="73"/>
      <c r="CG1838" s="73"/>
      <c r="CH1838" s="73"/>
      <c r="CI1838" s="73"/>
      <c r="CJ1838" s="73"/>
      <c r="CK1838" s="73"/>
      <c r="CL1838" s="73"/>
      <c r="CM1838" s="73"/>
      <c r="CN1838" s="73"/>
      <c r="CO1838" s="73"/>
      <c r="CP1838" s="73"/>
      <c r="CQ1838" s="73"/>
      <c r="CR1838" s="73"/>
      <c r="CS1838" s="73"/>
      <c r="CT1838" s="73"/>
      <c r="CU1838" s="73"/>
      <c r="CV1838" s="73"/>
      <c r="CW1838" s="73"/>
      <c r="CX1838" s="73"/>
      <c r="CY1838" s="73"/>
      <c r="CZ1838" s="73"/>
      <c r="DA1838" s="73"/>
      <c r="DB1838" s="73"/>
      <c r="DC1838" s="73"/>
      <c r="DD1838" s="73"/>
      <c r="DE1838" s="73"/>
      <c r="DF1838" s="73"/>
      <c r="DG1838" s="73"/>
      <c r="DH1838" s="73"/>
      <c r="DI1838" s="73"/>
      <c r="DJ1838" s="73"/>
      <c r="DK1838" s="73"/>
      <c r="DL1838" s="73"/>
      <c r="DM1838" s="73"/>
    </row>
    <row r="1839" spans="1:117" s="48" customFormat="1">
      <c r="A1839" s="73"/>
      <c r="T1839" s="73"/>
      <c r="U1839" s="73"/>
      <c r="V1839" s="73"/>
      <c r="W1839" s="73"/>
      <c r="X1839" s="73"/>
      <c r="Y1839" s="73"/>
      <c r="Z1839" s="73"/>
      <c r="AA1839" s="73"/>
      <c r="AB1839" s="73"/>
      <c r="AC1839" s="73"/>
      <c r="AD1839" s="73"/>
      <c r="AE1839" s="73"/>
      <c r="AF1839" s="73"/>
      <c r="AG1839" s="73"/>
      <c r="AH1839" s="73"/>
      <c r="AI1839" s="73"/>
      <c r="AJ1839" s="73"/>
      <c r="AK1839" s="73"/>
      <c r="AL1839" s="73"/>
      <c r="AM1839" s="73"/>
      <c r="AN1839" s="73"/>
      <c r="AO1839" s="73"/>
      <c r="AP1839" s="73"/>
      <c r="AQ1839" s="73"/>
      <c r="AR1839" s="73"/>
      <c r="AS1839" s="73"/>
      <c r="AT1839" s="73"/>
      <c r="AU1839" s="73"/>
      <c r="AV1839" s="73"/>
      <c r="AW1839" s="73"/>
      <c r="AX1839" s="73"/>
      <c r="AY1839" s="73"/>
      <c r="AZ1839" s="73"/>
      <c r="BA1839" s="73"/>
      <c r="BB1839" s="73"/>
      <c r="BC1839" s="73"/>
      <c r="BD1839" s="73"/>
      <c r="BE1839" s="73"/>
      <c r="BF1839" s="73"/>
      <c r="BG1839" s="73"/>
      <c r="BH1839" s="73"/>
      <c r="BI1839" s="73"/>
      <c r="BJ1839" s="73"/>
      <c r="BK1839" s="73"/>
      <c r="BL1839" s="73"/>
      <c r="BM1839" s="73"/>
      <c r="BN1839" s="73"/>
      <c r="BO1839" s="73"/>
      <c r="BP1839" s="73"/>
      <c r="BQ1839" s="73"/>
      <c r="BR1839" s="73"/>
      <c r="BS1839" s="73"/>
      <c r="BT1839" s="73"/>
      <c r="BU1839" s="73"/>
      <c r="BV1839" s="73"/>
      <c r="BW1839" s="73"/>
      <c r="BX1839" s="73"/>
      <c r="BY1839" s="73"/>
      <c r="BZ1839" s="73"/>
      <c r="CA1839" s="73"/>
      <c r="CB1839" s="73"/>
      <c r="CC1839" s="73"/>
      <c r="CD1839" s="73"/>
      <c r="CE1839" s="73"/>
      <c r="CF1839" s="73"/>
      <c r="CG1839" s="73"/>
      <c r="CH1839" s="73"/>
      <c r="CI1839" s="73"/>
      <c r="CJ1839" s="73"/>
      <c r="CK1839" s="73"/>
      <c r="CL1839" s="73"/>
      <c r="CM1839" s="73"/>
      <c r="CN1839" s="73"/>
      <c r="CO1839" s="73"/>
      <c r="CP1839" s="73"/>
      <c r="CQ1839" s="73"/>
      <c r="CR1839" s="73"/>
      <c r="CS1839" s="73"/>
      <c r="CT1839" s="73"/>
      <c r="CU1839" s="73"/>
      <c r="CV1839" s="73"/>
      <c r="CW1839" s="73"/>
      <c r="CX1839" s="73"/>
      <c r="CY1839" s="73"/>
      <c r="CZ1839" s="73"/>
      <c r="DA1839" s="73"/>
      <c r="DB1839" s="73"/>
      <c r="DC1839" s="73"/>
      <c r="DD1839" s="73"/>
      <c r="DE1839" s="73"/>
      <c r="DF1839" s="73"/>
      <c r="DG1839" s="73"/>
      <c r="DH1839" s="73"/>
      <c r="DI1839" s="73"/>
      <c r="DJ1839" s="73"/>
      <c r="DK1839" s="73"/>
      <c r="DL1839" s="73"/>
      <c r="DM1839" s="73"/>
    </row>
    <row r="1840" spans="1:117" s="48" customFormat="1">
      <c r="A1840" s="73"/>
      <c r="T1840" s="73"/>
      <c r="U1840" s="73"/>
      <c r="V1840" s="73"/>
      <c r="W1840" s="73"/>
      <c r="X1840" s="73"/>
      <c r="Y1840" s="73"/>
      <c r="Z1840" s="73"/>
      <c r="AA1840" s="73"/>
      <c r="AB1840" s="73"/>
      <c r="AC1840" s="73"/>
      <c r="AD1840" s="73"/>
      <c r="AE1840" s="73"/>
      <c r="AF1840" s="73"/>
      <c r="AG1840" s="73"/>
      <c r="AH1840" s="73"/>
      <c r="AI1840" s="73"/>
      <c r="AJ1840" s="73"/>
      <c r="AK1840" s="73"/>
      <c r="AL1840" s="73"/>
      <c r="AM1840" s="73"/>
      <c r="AN1840" s="73"/>
      <c r="AO1840" s="73"/>
      <c r="AP1840" s="73"/>
      <c r="AQ1840" s="73"/>
      <c r="AR1840" s="73"/>
      <c r="AS1840" s="73"/>
      <c r="AT1840" s="73"/>
      <c r="AU1840" s="73"/>
      <c r="AV1840" s="73"/>
      <c r="AW1840" s="73"/>
      <c r="AX1840" s="73"/>
      <c r="AY1840" s="73"/>
      <c r="AZ1840" s="73"/>
      <c r="BA1840" s="73"/>
      <c r="BB1840" s="73"/>
      <c r="BC1840" s="73"/>
      <c r="BD1840" s="73"/>
      <c r="BE1840" s="73"/>
      <c r="BF1840" s="73"/>
      <c r="BG1840" s="73"/>
      <c r="BH1840" s="73"/>
      <c r="BI1840" s="73"/>
      <c r="BJ1840" s="73"/>
      <c r="BK1840" s="73"/>
      <c r="BL1840" s="73"/>
      <c r="BM1840" s="73"/>
      <c r="BN1840" s="73"/>
      <c r="BO1840" s="73"/>
      <c r="BP1840" s="73"/>
      <c r="BQ1840" s="73"/>
      <c r="BR1840" s="73"/>
      <c r="BS1840" s="73"/>
      <c r="BT1840" s="73"/>
      <c r="BU1840" s="73"/>
      <c r="BV1840" s="73"/>
      <c r="BW1840" s="73"/>
      <c r="BX1840" s="73"/>
      <c r="BY1840" s="73"/>
      <c r="BZ1840" s="73"/>
      <c r="CA1840" s="73"/>
      <c r="CB1840" s="73"/>
      <c r="CC1840" s="73"/>
      <c r="CD1840" s="73"/>
      <c r="CE1840" s="73"/>
      <c r="CF1840" s="73"/>
      <c r="CG1840" s="73"/>
      <c r="CH1840" s="73"/>
      <c r="CI1840" s="73"/>
      <c r="CJ1840" s="73"/>
      <c r="CK1840" s="73"/>
      <c r="CL1840" s="73"/>
      <c r="CM1840" s="73"/>
      <c r="CN1840" s="73"/>
      <c r="CO1840" s="73"/>
      <c r="CP1840" s="73"/>
      <c r="CQ1840" s="73"/>
      <c r="CR1840" s="73"/>
      <c r="CS1840" s="73"/>
      <c r="CT1840" s="73"/>
      <c r="CU1840" s="73"/>
      <c r="CV1840" s="73"/>
      <c r="CW1840" s="73"/>
      <c r="CX1840" s="73"/>
      <c r="CY1840" s="73"/>
      <c r="CZ1840" s="73"/>
      <c r="DA1840" s="73"/>
      <c r="DB1840" s="73"/>
      <c r="DC1840" s="73"/>
      <c r="DD1840" s="73"/>
      <c r="DE1840" s="73"/>
      <c r="DF1840" s="73"/>
      <c r="DG1840" s="73"/>
      <c r="DH1840" s="73"/>
      <c r="DI1840" s="73"/>
      <c r="DJ1840" s="73"/>
      <c r="DK1840" s="73"/>
      <c r="DL1840" s="73"/>
      <c r="DM1840" s="73"/>
    </row>
    <row r="1841" spans="1:117" s="48" customFormat="1">
      <c r="A1841" s="73"/>
      <c r="T1841" s="73"/>
      <c r="U1841" s="73"/>
      <c r="V1841" s="73"/>
      <c r="W1841" s="73"/>
      <c r="X1841" s="73"/>
      <c r="Y1841" s="73"/>
      <c r="Z1841" s="73"/>
      <c r="AA1841" s="73"/>
      <c r="AB1841" s="73"/>
      <c r="AC1841" s="73"/>
      <c r="AD1841" s="73"/>
      <c r="AE1841" s="73"/>
      <c r="AF1841" s="73"/>
      <c r="AG1841" s="73"/>
      <c r="AH1841" s="73"/>
      <c r="AI1841" s="73"/>
      <c r="AJ1841" s="73"/>
      <c r="AK1841" s="73"/>
      <c r="AL1841" s="73"/>
      <c r="AM1841" s="73"/>
      <c r="AN1841" s="73"/>
      <c r="AO1841" s="73"/>
      <c r="AP1841" s="73"/>
      <c r="AQ1841" s="73"/>
      <c r="AR1841" s="73"/>
      <c r="AS1841" s="73"/>
      <c r="AT1841" s="73"/>
      <c r="AU1841" s="73"/>
      <c r="AV1841" s="73"/>
      <c r="AW1841" s="73"/>
      <c r="AX1841" s="73"/>
      <c r="AY1841" s="73"/>
      <c r="AZ1841" s="73"/>
      <c r="BA1841" s="73"/>
      <c r="BB1841" s="73"/>
      <c r="BC1841" s="73"/>
      <c r="BD1841" s="73"/>
      <c r="BE1841" s="73"/>
      <c r="BF1841" s="73"/>
      <c r="BG1841" s="73"/>
      <c r="BH1841" s="73"/>
      <c r="BI1841" s="73"/>
      <c r="BJ1841" s="73"/>
      <c r="BK1841" s="73"/>
      <c r="BL1841" s="73"/>
      <c r="BM1841" s="73"/>
      <c r="BN1841" s="73"/>
      <c r="BO1841" s="73"/>
      <c r="BP1841" s="73"/>
      <c r="BQ1841" s="73"/>
      <c r="BR1841" s="73"/>
      <c r="BS1841" s="73"/>
      <c r="BT1841" s="73"/>
      <c r="BU1841" s="73"/>
      <c r="BV1841" s="73"/>
      <c r="BW1841" s="73"/>
      <c r="BX1841" s="73"/>
      <c r="BY1841" s="73"/>
      <c r="BZ1841" s="73"/>
      <c r="CA1841" s="73"/>
      <c r="CB1841" s="73"/>
      <c r="CC1841" s="73"/>
      <c r="CD1841" s="73"/>
      <c r="CE1841" s="73"/>
      <c r="CF1841" s="73"/>
      <c r="CG1841" s="73"/>
      <c r="CH1841" s="73"/>
      <c r="CI1841" s="73"/>
      <c r="CJ1841" s="73"/>
      <c r="CK1841" s="73"/>
      <c r="CL1841" s="73"/>
      <c r="CM1841" s="73"/>
      <c r="CN1841" s="73"/>
      <c r="CO1841" s="73"/>
      <c r="CP1841" s="73"/>
      <c r="CQ1841" s="73"/>
      <c r="CR1841" s="73"/>
      <c r="CS1841" s="73"/>
      <c r="CT1841" s="73"/>
      <c r="CU1841" s="73"/>
      <c r="CV1841" s="73"/>
      <c r="CW1841" s="73"/>
      <c r="CX1841" s="73"/>
      <c r="CY1841" s="73"/>
      <c r="CZ1841" s="73"/>
      <c r="DA1841" s="73"/>
      <c r="DB1841" s="73"/>
      <c r="DC1841" s="73"/>
      <c r="DD1841" s="73"/>
      <c r="DE1841" s="73"/>
      <c r="DF1841" s="73"/>
      <c r="DG1841" s="73"/>
      <c r="DH1841" s="73"/>
      <c r="DI1841" s="73"/>
      <c r="DJ1841" s="73"/>
      <c r="DK1841" s="73"/>
      <c r="DL1841" s="73"/>
      <c r="DM1841" s="73"/>
    </row>
    <row r="1842" spans="1:117" s="48" customFormat="1">
      <c r="A1842" s="73"/>
      <c r="T1842" s="73"/>
      <c r="U1842" s="73"/>
      <c r="V1842" s="73"/>
      <c r="W1842" s="73"/>
      <c r="X1842" s="73"/>
      <c r="Y1842" s="73"/>
      <c r="Z1842" s="73"/>
      <c r="AA1842" s="73"/>
      <c r="AB1842" s="73"/>
      <c r="AC1842" s="73"/>
      <c r="AD1842" s="73"/>
      <c r="AE1842" s="73"/>
      <c r="AF1842" s="73"/>
      <c r="AG1842" s="73"/>
      <c r="AH1842" s="73"/>
      <c r="AI1842" s="73"/>
      <c r="AJ1842" s="73"/>
      <c r="AK1842" s="73"/>
      <c r="AL1842" s="73"/>
      <c r="AM1842" s="73"/>
      <c r="AN1842" s="73"/>
      <c r="AO1842" s="73"/>
      <c r="AP1842" s="73"/>
      <c r="AQ1842" s="73"/>
      <c r="AR1842" s="73"/>
      <c r="AS1842" s="73"/>
      <c r="AT1842" s="73"/>
      <c r="AU1842" s="73"/>
      <c r="AV1842" s="73"/>
      <c r="AW1842" s="73"/>
      <c r="AX1842" s="73"/>
      <c r="AY1842" s="73"/>
      <c r="AZ1842" s="73"/>
      <c r="BA1842" s="73"/>
      <c r="BB1842" s="73"/>
      <c r="BC1842" s="73"/>
      <c r="BD1842" s="73"/>
      <c r="BE1842" s="73"/>
      <c r="BF1842" s="73"/>
      <c r="BG1842" s="73"/>
      <c r="BH1842" s="73"/>
      <c r="BI1842" s="73"/>
      <c r="BJ1842" s="73"/>
      <c r="BK1842" s="73"/>
      <c r="BL1842" s="73"/>
      <c r="BM1842" s="73"/>
      <c r="BN1842" s="73"/>
      <c r="BO1842" s="73"/>
      <c r="BP1842" s="73"/>
      <c r="BQ1842" s="73"/>
      <c r="BR1842" s="73"/>
      <c r="BS1842" s="73"/>
      <c r="BT1842" s="73"/>
      <c r="BU1842" s="73"/>
      <c r="BV1842" s="73"/>
      <c r="BW1842" s="73"/>
      <c r="BX1842" s="73"/>
      <c r="BY1842" s="73"/>
      <c r="BZ1842" s="73"/>
      <c r="CA1842" s="73"/>
      <c r="CB1842" s="73"/>
      <c r="CC1842" s="73"/>
      <c r="CD1842" s="73"/>
      <c r="CE1842" s="73"/>
      <c r="CF1842" s="73"/>
      <c r="CG1842" s="73"/>
      <c r="CH1842" s="73"/>
      <c r="CI1842" s="73"/>
      <c r="CJ1842" s="73"/>
      <c r="CK1842" s="73"/>
      <c r="CL1842" s="73"/>
      <c r="CM1842" s="73"/>
      <c r="CN1842" s="73"/>
      <c r="CO1842" s="73"/>
      <c r="CP1842" s="73"/>
      <c r="CQ1842" s="73"/>
      <c r="CR1842" s="73"/>
      <c r="CS1842" s="73"/>
      <c r="CT1842" s="73"/>
      <c r="CU1842" s="73"/>
      <c r="CV1842" s="73"/>
      <c r="CW1842" s="73"/>
      <c r="CX1842" s="73"/>
      <c r="CY1842" s="73"/>
      <c r="CZ1842" s="73"/>
      <c r="DA1842" s="73"/>
      <c r="DB1842" s="73"/>
      <c r="DC1842" s="73"/>
      <c r="DD1842" s="73"/>
      <c r="DE1842" s="73"/>
      <c r="DF1842" s="73"/>
      <c r="DG1842" s="73"/>
      <c r="DH1842" s="73"/>
      <c r="DI1842" s="73"/>
      <c r="DJ1842" s="73"/>
      <c r="DK1842" s="73"/>
      <c r="DL1842" s="73"/>
      <c r="DM1842" s="73"/>
    </row>
    <row r="1843" spans="1:117" s="48" customFormat="1">
      <c r="A1843" s="73"/>
      <c r="T1843" s="73"/>
      <c r="U1843" s="73"/>
      <c r="V1843" s="73"/>
      <c r="W1843" s="73"/>
      <c r="X1843" s="73"/>
      <c r="Y1843" s="73"/>
      <c r="Z1843" s="73"/>
      <c r="AA1843" s="73"/>
      <c r="AB1843" s="73"/>
      <c r="AC1843" s="73"/>
      <c r="AD1843" s="73"/>
      <c r="AE1843" s="73"/>
      <c r="AF1843" s="73"/>
      <c r="AG1843" s="73"/>
      <c r="AH1843" s="73"/>
      <c r="AI1843" s="73"/>
      <c r="AJ1843" s="73"/>
      <c r="AK1843" s="73"/>
      <c r="AL1843" s="73"/>
      <c r="AM1843" s="73"/>
      <c r="AN1843" s="73"/>
      <c r="AO1843" s="73"/>
      <c r="AP1843" s="73"/>
      <c r="AQ1843" s="73"/>
      <c r="AR1843" s="73"/>
      <c r="AS1843" s="73"/>
      <c r="AT1843" s="73"/>
      <c r="AU1843" s="73"/>
      <c r="AV1843" s="73"/>
      <c r="AW1843" s="73"/>
      <c r="AX1843" s="73"/>
      <c r="AY1843" s="73"/>
      <c r="AZ1843" s="73"/>
      <c r="BA1843" s="73"/>
      <c r="BB1843" s="73"/>
      <c r="BC1843" s="73"/>
      <c r="BD1843" s="73"/>
      <c r="BE1843" s="73"/>
      <c r="BF1843" s="73"/>
      <c r="BG1843" s="73"/>
      <c r="BH1843" s="73"/>
      <c r="BI1843" s="73"/>
      <c r="BJ1843" s="73"/>
      <c r="BK1843" s="73"/>
      <c r="BL1843" s="73"/>
      <c r="BM1843" s="73"/>
      <c r="BN1843" s="73"/>
      <c r="BO1843" s="73"/>
      <c r="BP1843" s="73"/>
      <c r="BQ1843" s="73"/>
      <c r="BR1843" s="73"/>
      <c r="BS1843" s="73"/>
      <c r="BT1843" s="73"/>
      <c r="BU1843" s="73"/>
      <c r="BV1843" s="73"/>
      <c r="BW1843" s="73"/>
      <c r="BX1843" s="73"/>
      <c r="BY1843" s="73"/>
      <c r="BZ1843" s="73"/>
      <c r="CA1843" s="73"/>
      <c r="CB1843" s="73"/>
      <c r="CC1843" s="73"/>
      <c r="CD1843" s="73"/>
      <c r="CE1843" s="73"/>
      <c r="CF1843" s="73"/>
      <c r="CG1843" s="73"/>
      <c r="CH1843" s="73"/>
      <c r="CI1843" s="73"/>
      <c r="CJ1843" s="73"/>
      <c r="CK1843" s="73"/>
      <c r="CL1843" s="73"/>
      <c r="CM1843" s="73"/>
      <c r="CN1843" s="73"/>
      <c r="CO1843" s="73"/>
      <c r="CP1843" s="73"/>
      <c r="CQ1843" s="73"/>
      <c r="CR1843" s="73"/>
      <c r="CS1843" s="73"/>
      <c r="CT1843" s="73"/>
      <c r="CU1843" s="73"/>
      <c r="CV1843" s="73"/>
      <c r="CW1843" s="73"/>
      <c r="CX1843" s="73"/>
      <c r="CY1843" s="73"/>
      <c r="CZ1843" s="73"/>
      <c r="DA1843" s="73"/>
      <c r="DB1843" s="73"/>
      <c r="DC1843" s="73"/>
      <c r="DD1843" s="73"/>
      <c r="DE1843" s="73"/>
      <c r="DF1843" s="73"/>
      <c r="DG1843" s="73"/>
      <c r="DH1843" s="73"/>
      <c r="DI1843" s="73"/>
      <c r="DJ1843" s="73"/>
      <c r="DK1843" s="73"/>
      <c r="DL1843" s="73"/>
      <c r="DM1843" s="73"/>
    </row>
    <row r="1844" spans="1:117" s="48" customFormat="1">
      <c r="A1844" s="73"/>
      <c r="T1844" s="73"/>
      <c r="U1844" s="73"/>
      <c r="V1844" s="73"/>
      <c r="W1844" s="73"/>
      <c r="X1844" s="73"/>
      <c r="Y1844" s="73"/>
      <c r="Z1844" s="73"/>
      <c r="AA1844" s="73"/>
      <c r="AB1844" s="73"/>
      <c r="AC1844" s="73"/>
      <c r="AD1844" s="73"/>
      <c r="AE1844" s="73"/>
      <c r="AF1844" s="73"/>
      <c r="AG1844" s="73"/>
      <c r="AH1844" s="73"/>
      <c r="AI1844" s="73"/>
      <c r="AJ1844" s="73"/>
      <c r="AK1844" s="73"/>
      <c r="AL1844" s="73"/>
      <c r="AM1844" s="73"/>
      <c r="AN1844" s="73"/>
      <c r="AO1844" s="73"/>
      <c r="AP1844" s="73"/>
      <c r="AQ1844" s="73"/>
      <c r="AR1844" s="73"/>
      <c r="AS1844" s="73"/>
      <c r="AT1844" s="73"/>
      <c r="AU1844" s="73"/>
      <c r="AV1844" s="73"/>
      <c r="AW1844" s="73"/>
      <c r="AX1844" s="73"/>
      <c r="AY1844" s="73"/>
      <c r="AZ1844" s="73"/>
      <c r="BA1844" s="73"/>
      <c r="BB1844" s="73"/>
      <c r="BC1844" s="73"/>
      <c r="BD1844" s="73"/>
      <c r="BE1844" s="73"/>
      <c r="BF1844" s="73"/>
      <c r="BG1844" s="73"/>
      <c r="BH1844" s="73"/>
      <c r="BI1844" s="73"/>
      <c r="BJ1844" s="73"/>
      <c r="BK1844" s="73"/>
      <c r="BL1844" s="73"/>
      <c r="BM1844" s="73"/>
      <c r="BN1844" s="73"/>
      <c r="BO1844" s="73"/>
      <c r="BP1844" s="73"/>
      <c r="BQ1844" s="73"/>
      <c r="BR1844" s="73"/>
      <c r="BS1844" s="73"/>
      <c r="BT1844" s="73"/>
      <c r="BU1844" s="73"/>
      <c r="BV1844" s="73"/>
      <c r="BW1844" s="73"/>
      <c r="BX1844" s="73"/>
      <c r="BY1844" s="73"/>
      <c r="BZ1844" s="73"/>
      <c r="CA1844" s="73"/>
      <c r="CB1844" s="73"/>
      <c r="CC1844" s="73"/>
      <c r="CD1844" s="73"/>
      <c r="CE1844" s="73"/>
      <c r="CF1844" s="73"/>
      <c r="CG1844" s="73"/>
      <c r="CH1844" s="73"/>
      <c r="CI1844" s="73"/>
      <c r="CJ1844" s="73"/>
      <c r="CK1844" s="73"/>
      <c r="CL1844" s="73"/>
      <c r="CM1844" s="73"/>
      <c r="CN1844" s="73"/>
      <c r="CO1844" s="73"/>
      <c r="CP1844" s="73"/>
      <c r="CQ1844" s="73"/>
      <c r="CR1844" s="73"/>
      <c r="CS1844" s="73"/>
      <c r="CT1844" s="73"/>
      <c r="CU1844" s="73"/>
      <c r="CV1844" s="73"/>
      <c r="CW1844" s="73"/>
      <c r="CX1844" s="73"/>
      <c r="CY1844" s="73"/>
      <c r="CZ1844" s="73"/>
      <c r="DA1844" s="73"/>
      <c r="DB1844" s="73"/>
      <c r="DC1844" s="73"/>
      <c r="DD1844" s="73"/>
      <c r="DE1844" s="73"/>
      <c r="DF1844" s="73"/>
      <c r="DG1844" s="73"/>
      <c r="DH1844" s="73"/>
      <c r="DI1844" s="73"/>
      <c r="DJ1844" s="73"/>
      <c r="DK1844" s="73"/>
      <c r="DL1844" s="73"/>
      <c r="DM1844" s="73"/>
    </row>
    <row r="1845" spans="1:117" s="48" customFormat="1">
      <c r="A1845" s="73"/>
      <c r="T1845" s="73"/>
      <c r="U1845" s="73"/>
      <c r="V1845" s="73"/>
      <c r="W1845" s="73"/>
      <c r="X1845" s="73"/>
      <c r="Y1845" s="73"/>
      <c r="Z1845" s="73"/>
      <c r="AA1845" s="73"/>
      <c r="AB1845" s="73"/>
      <c r="AC1845" s="73"/>
      <c r="AD1845" s="73"/>
      <c r="AE1845" s="73"/>
      <c r="AF1845" s="73"/>
      <c r="AG1845" s="73"/>
      <c r="AH1845" s="73"/>
      <c r="AI1845" s="73"/>
      <c r="AJ1845" s="73"/>
      <c r="AK1845" s="73"/>
      <c r="AL1845" s="73"/>
      <c r="AM1845" s="73"/>
      <c r="AN1845" s="73"/>
      <c r="AO1845" s="73"/>
      <c r="AP1845" s="73"/>
      <c r="AQ1845" s="73"/>
      <c r="AR1845" s="73"/>
      <c r="AS1845" s="73"/>
      <c r="AT1845" s="73"/>
      <c r="AU1845" s="73"/>
      <c r="AV1845" s="73"/>
      <c r="AW1845" s="73"/>
      <c r="AX1845" s="73"/>
      <c r="AY1845" s="73"/>
      <c r="AZ1845" s="73"/>
      <c r="BA1845" s="73"/>
      <c r="BB1845" s="73"/>
      <c r="BC1845" s="73"/>
      <c r="BD1845" s="73"/>
      <c r="BE1845" s="73"/>
      <c r="BF1845" s="73"/>
      <c r="BG1845" s="73"/>
      <c r="BH1845" s="73"/>
      <c r="BI1845" s="73"/>
      <c r="BJ1845" s="73"/>
      <c r="BK1845" s="73"/>
      <c r="BL1845" s="73"/>
      <c r="BM1845" s="73"/>
      <c r="BN1845" s="73"/>
      <c r="BO1845" s="73"/>
      <c r="BP1845" s="73"/>
      <c r="BQ1845" s="73"/>
      <c r="BR1845" s="73"/>
      <c r="BS1845" s="73"/>
      <c r="BT1845" s="73"/>
      <c r="BU1845" s="73"/>
      <c r="BV1845" s="73"/>
      <c r="BW1845" s="73"/>
      <c r="BX1845" s="73"/>
      <c r="BY1845" s="73"/>
      <c r="BZ1845" s="73"/>
      <c r="CA1845" s="73"/>
      <c r="CB1845" s="73"/>
      <c r="CC1845" s="73"/>
      <c r="CD1845" s="73"/>
      <c r="CE1845" s="73"/>
      <c r="CF1845" s="73"/>
      <c r="CG1845" s="73"/>
      <c r="CH1845" s="73"/>
      <c r="CI1845" s="73"/>
      <c r="CJ1845" s="73"/>
      <c r="CK1845" s="73"/>
      <c r="CL1845" s="73"/>
      <c r="CM1845" s="73"/>
      <c r="CN1845" s="73"/>
      <c r="CO1845" s="73"/>
      <c r="CP1845" s="73"/>
      <c r="CQ1845" s="73"/>
      <c r="CR1845" s="73"/>
      <c r="CS1845" s="73"/>
      <c r="CT1845" s="73"/>
      <c r="CU1845" s="73"/>
      <c r="CV1845" s="73"/>
      <c r="CW1845" s="73"/>
      <c r="CX1845" s="73"/>
      <c r="CY1845" s="73"/>
      <c r="CZ1845" s="73"/>
      <c r="DA1845" s="73"/>
      <c r="DB1845" s="73"/>
      <c r="DC1845" s="73"/>
      <c r="DD1845" s="73"/>
      <c r="DE1845" s="73"/>
      <c r="DF1845" s="73"/>
      <c r="DG1845" s="73"/>
      <c r="DH1845" s="73"/>
      <c r="DI1845" s="73"/>
      <c r="DJ1845" s="73"/>
      <c r="DK1845" s="73"/>
      <c r="DL1845" s="73"/>
      <c r="DM1845" s="73"/>
    </row>
    <row r="1846" spans="1:117" s="48" customFormat="1">
      <c r="A1846" s="73"/>
      <c r="T1846" s="73"/>
      <c r="U1846" s="73"/>
      <c r="V1846" s="73"/>
      <c r="W1846" s="73"/>
      <c r="X1846" s="73"/>
      <c r="Y1846" s="73"/>
      <c r="Z1846" s="73"/>
      <c r="AA1846" s="73"/>
      <c r="AB1846" s="73"/>
      <c r="AC1846" s="73"/>
      <c r="AD1846" s="73"/>
      <c r="AE1846" s="73"/>
      <c r="AF1846" s="73"/>
      <c r="AG1846" s="73"/>
      <c r="AH1846" s="73"/>
      <c r="AI1846" s="73"/>
      <c r="AJ1846" s="73"/>
      <c r="AK1846" s="73"/>
      <c r="AL1846" s="73"/>
      <c r="AM1846" s="73"/>
      <c r="AN1846" s="73"/>
      <c r="AO1846" s="73"/>
      <c r="AP1846" s="73"/>
      <c r="AQ1846" s="73"/>
      <c r="AR1846" s="73"/>
      <c r="AS1846" s="73"/>
      <c r="AT1846" s="73"/>
      <c r="AU1846" s="73"/>
      <c r="AV1846" s="73"/>
      <c r="AW1846" s="73"/>
      <c r="AX1846" s="73"/>
      <c r="AY1846" s="73"/>
      <c r="AZ1846" s="73"/>
      <c r="BA1846" s="73"/>
      <c r="BB1846" s="73"/>
      <c r="BC1846" s="73"/>
      <c r="BD1846" s="73"/>
      <c r="BE1846" s="73"/>
      <c r="BF1846" s="73"/>
      <c r="BG1846" s="73"/>
      <c r="BH1846" s="73"/>
      <c r="BI1846" s="73"/>
      <c r="BJ1846" s="73"/>
      <c r="BK1846" s="73"/>
      <c r="BL1846" s="73"/>
      <c r="BM1846" s="73"/>
      <c r="BN1846" s="73"/>
      <c r="BO1846" s="73"/>
      <c r="BP1846" s="73"/>
      <c r="BQ1846" s="73"/>
      <c r="BR1846" s="73"/>
      <c r="BS1846" s="73"/>
      <c r="BT1846" s="73"/>
      <c r="BU1846" s="73"/>
      <c r="BV1846" s="73"/>
      <c r="BW1846" s="73"/>
      <c r="BX1846" s="73"/>
      <c r="BY1846" s="73"/>
      <c r="BZ1846" s="73"/>
      <c r="CA1846" s="73"/>
      <c r="CB1846" s="73"/>
      <c r="CC1846" s="73"/>
      <c r="CD1846" s="73"/>
      <c r="CE1846" s="73"/>
      <c r="CF1846" s="73"/>
      <c r="CG1846" s="73"/>
      <c r="CH1846" s="73"/>
      <c r="CI1846" s="73"/>
      <c r="CJ1846" s="73"/>
      <c r="CK1846" s="73"/>
      <c r="CL1846" s="73"/>
      <c r="CM1846" s="73"/>
      <c r="CN1846" s="73"/>
      <c r="CO1846" s="73"/>
      <c r="CP1846" s="73"/>
      <c r="CQ1846" s="73"/>
      <c r="CR1846" s="73"/>
      <c r="CS1846" s="73"/>
      <c r="CT1846" s="73"/>
      <c r="CU1846" s="73"/>
      <c r="CV1846" s="73"/>
      <c r="CW1846" s="73"/>
      <c r="CX1846" s="73"/>
      <c r="CY1846" s="73"/>
      <c r="CZ1846" s="73"/>
      <c r="DA1846" s="73"/>
      <c r="DB1846" s="73"/>
      <c r="DC1846" s="73"/>
      <c r="DD1846" s="73"/>
      <c r="DE1846" s="73"/>
      <c r="DF1846" s="73"/>
      <c r="DG1846" s="73"/>
      <c r="DH1846" s="73"/>
      <c r="DI1846" s="73"/>
      <c r="DJ1846" s="73"/>
      <c r="DK1846" s="73"/>
      <c r="DL1846" s="73"/>
      <c r="DM1846" s="73"/>
    </row>
    <row r="1847" spans="1:117" s="48" customFormat="1">
      <c r="A1847" s="73"/>
      <c r="T1847" s="73"/>
      <c r="U1847" s="73"/>
      <c r="V1847" s="73"/>
      <c r="W1847" s="73"/>
      <c r="X1847" s="73"/>
      <c r="Y1847" s="73"/>
      <c r="Z1847" s="73"/>
      <c r="AA1847" s="73"/>
      <c r="AB1847" s="73"/>
      <c r="AC1847" s="73"/>
      <c r="AD1847" s="73"/>
      <c r="AE1847" s="73"/>
      <c r="AF1847" s="73"/>
      <c r="AG1847" s="73"/>
      <c r="AH1847" s="73"/>
      <c r="AI1847" s="73"/>
      <c r="AJ1847" s="73"/>
      <c r="AK1847" s="73"/>
      <c r="AL1847" s="73"/>
      <c r="AM1847" s="73"/>
      <c r="AN1847" s="73"/>
      <c r="AO1847" s="73"/>
      <c r="AP1847" s="73"/>
      <c r="AQ1847" s="73"/>
      <c r="AR1847" s="73"/>
      <c r="AS1847" s="73"/>
      <c r="AT1847" s="73"/>
      <c r="AU1847" s="73"/>
      <c r="AV1847" s="73"/>
      <c r="AW1847" s="73"/>
      <c r="AX1847" s="73"/>
      <c r="AY1847" s="73"/>
      <c r="AZ1847" s="73"/>
      <c r="BA1847" s="73"/>
      <c r="BB1847" s="73"/>
      <c r="BC1847" s="73"/>
      <c r="BD1847" s="73"/>
      <c r="BE1847" s="73"/>
      <c r="BF1847" s="73"/>
      <c r="BG1847" s="73"/>
      <c r="BH1847" s="73"/>
      <c r="BI1847" s="73"/>
      <c r="BJ1847" s="73"/>
      <c r="BK1847" s="73"/>
      <c r="BL1847" s="73"/>
      <c r="BM1847" s="73"/>
      <c r="BN1847" s="73"/>
      <c r="BO1847" s="73"/>
      <c r="BP1847" s="73"/>
      <c r="BQ1847" s="73"/>
      <c r="BR1847" s="73"/>
      <c r="BS1847" s="73"/>
      <c r="BT1847" s="73"/>
      <c r="BU1847" s="73"/>
      <c r="BV1847" s="73"/>
      <c r="BW1847" s="73"/>
      <c r="BX1847" s="73"/>
      <c r="BY1847" s="73"/>
      <c r="BZ1847" s="73"/>
      <c r="CA1847" s="73"/>
      <c r="CB1847" s="73"/>
      <c r="CC1847" s="73"/>
      <c r="CD1847" s="73"/>
      <c r="CE1847" s="73"/>
      <c r="CF1847" s="73"/>
      <c r="CG1847" s="73"/>
      <c r="CH1847" s="73"/>
      <c r="CI1847" s="73"/>
      <c r="CJ1847" s="73"/>
      <c r="CK1847" s="73"/>
      <c r="CL1847" s="73"/>
      <c r="CM1847" s="73"/>
      <c r="CN1847" s="73"/>
      <c r="CO1847" s="73"/>
      <c r="CP1847" s="73"/>
      <c r="CQ1847" s="73"/>
      <c r="CR1847" s="73"/>
      <c r="CS1847" s="73"/>
      <c r="CT1847" s="73"/>
      <c r="CU1847" s="73"/>
      <c r="CV1847" s="73"/>
      <c r="CW1847" s="73"/>
      <c r="CX1847" s="73"/>
      <c r="CY1847" s="73"/>
      <c r="CZ1847" s="73"/>
      <c r="DA1847" s="73"/>
      <c r="DB1847" s="73"/>
      <c r="DC1847" s="73"/>
      <c r="DD1847" s="73"/>
      <c r="DE1847" s="73"/>
      <c r="DF1847" s="73"/>
      <c r="DG1847" s="73"/>
      <c r="DH1847" s="73"/>
      <c r="DI1847" s="73"/>
      <c r="DJ1847" s="73"/>
      <c r="DK1847" s="73"/>
      <c r="DL1847" s="73"/>
      <c r="DM1847" s="73"/>
    </row>
    <row r="1848" spans="1:117" s="48" customFormat="1">
      <c r="A1848" s="73"/>
      <c r="T1848" s="73"/>
      <c r="U1848" s="73"/>
      <c r="V1848" s="73"/>
      <c r="W1848" s="73"/>
      <c r="X1848" s="73"/>
      <c r="Y1848" s="73"/>
      <c r="Z1848" s="73"/>
      <c r="AA1848" s="73"/>
      <c r="AB1848" s="73"/>
      <c r="AC1848" s="73"/>
      <c r="AD1848" s="73"/>
      <c r="AE1848" s="73"/>
      <c r="AF1848" s="73"/>
      <c r="AG1848" s="73"/>
      <c r="AH1848" s="73"/>
      <c r="AI1848" s="73"/>
      <c r="AJ1848" s="73"/>
      <c r="AK1848" s="73"/>
      <c r="AL1848" s="73"/>
      <c r="AM1848" s="73"/>
      <c r="AN1848" s="73"/>
      <c r="AO1848" s="73"/>
      <c r="AP1848" s="73"/>
      <c r="AQ1848" s="73"/>
      <c r="AR1848" s="73"/>
      <c r="AS1848" s="73"/>
      <c r="AT1848" s="73"/>
      <c r="AU1848" s="73"/>
      <c r="AV1848" s="73"/>
      <c r="AW1848" s="73"/>
      <c r="AX1848" s="73"/>
      <c r="AY1848" s="73"/>
      <c r="AZ1848" s="73"/>
      <c r="BA1848" s="73"/>
      <c r="BB1848" s="73"/>
      <c r="BC1848" s="73"/>
      <c r="BD1848" s="73"/>
      <c r="BE1848" s="73"/>
      <c r="BF1848" s="73"/>
      <c r="BG1848" s="73"/>
      <c r="BH1848" s="73"/>
      <c r="BI1848" s="73"/>
      <c r="BJ1848" s="73"/>
      <c r="BK1848" s="73"/>
      <c r="BL1848" s="73"/>
      <c r="BM1848" s="73"/>
      <c r="BN1848" s="73"/>
      <c r="BO1848" s="73"/>
      <c r="BP1848" s="73"/>
      <c r="BQ1848" s="73"/>
      <c r="BR1848" s="73"/>
      <c r="BS1848" s="73"/>
      <c r="BT1848" s="73"/>
      <c r="BU1848" s="73"/>
      <c r="BV1848" s="73"/>
      <c r="BW1848" s="73"/>
      <c r="BX1848" s="73"/>
      <c r="BY1848" s="73"/>
      <c r="BZ1848" s="73"/>
      <c r="CA1848" s="73"/>
      <c r="CB1848" s="73"/>
      <c r="CC1848" s="73"/>
      <c r="CD1848" s="73"/>
      <c r="CE1848" s="73"/>
      <c r="CF1848" s="73"/>
      <c r="CG1848" s="73"/>
      <c r="CH1848" s="73"/>
      <c r="CI1848" s="73"/>
      <c r="CJ1848" s="73"/>
      <c r="CK1848" s="73"/>
      <c r="CL1848" s="73"/>
      <c r="CM1848" s="73"/>
      <c r="CN1848" s="73"/>
      <c r="CO1848" s="73"/>
      <c r="CP1848" s="73"/>
      <c r="CQ1848" s="73"/>
      <c r="CR1848" s="73"/>
      <c r="CS1848" s="73"/>
      <c r="CT1848" s="73"/>
      <c r="CU1848" s="73"/>
      <c r="CV1848" s="73"/>
      <c r="CW1848" s="73"/>
      <c r="CX1848" s="73"/>
      <c r="CY1848" s="73"/>
      <c r="CZ1848" s="73"/>
      <c r="DA1848" s="73"/>
      <c r="DB1848" s="73"/>
      <c r="DC1848" s="73"/>
      <c r="DD1848" s="73"/>
      <c r="DE1848" s="73"/>
      <c r="DF1848" s="73"/>
      <c r="DG1848" s="73"/>
      <c r="DH1848" s="73"/>
      <c r="DI1848" s="73"/>
      <c r="DJ1848" s="73"/>
      <c r="DK1848" s="73"/>
      <c r="DL1848" s="73"/>
      <c r="DM1848" s="73"/>
    </row>
    <row r="1849" spans="1:117" s="48" customFormat="1">
      <c r="A1849" s="73"/>
      <c r="T1849" s="73"/>
      <c r="U1849" s="73"/>
      <c r="V1849" s="73"/>
      <c r="W1849" s="73"/>
      <c r="X1849" s="73"/>
      <c r="Y1849" s="73"/>
      <c r="Z1849" s="73"/>
      <c r="AA1849" s="73"/>
      <c r="AB1849" s="73"/>
      <c r="AC1849" s="73"/>
      <c r="AD1849" s="73"/>
      <c r="AE1849" s="73"/>
      <c r="AF1849" s="73"/>
      <c r="AG1849" s="73"/>
      <c r="AH1849" s="73"/>
      <c r="AI1849" s="73"/>
      <c r="AJ1849" s="73"/>
      <c r="AK1849" s="73"/>
      <c r="AL1849" s="73"/>
      <c r="AM1849" s="73"/>
      <c r="AN1849" s="73"/>
      <c r="AO1849" s="73"/>
      <c r="AP1849" s="73"/>
      <c r="AQ1849" s="73"/>
      <c r="AR1849" s="73"/>
      <c r="AS1849" s="73"/>
      <c r="AT1849" s="73"/>
      <c r="AU1849" s="73"/>
      <c r="AV1849" s="73"/>
      <c r="AW1849" s="73"/>
      <c r="AX1849" s="73"/>
      <c r="AY1849" s="73"/>
      <c r="AZ1849" s="73"/>
      <c r="BA1849" s="73"/>
      <c r="BB1849" s="73"/>
      <c r="BC1849" s="73"/>
      <c r="BD1849" s="73"/>
      <c r="BE1849" s="73"/>
      <c r="BF1849" s="73"/>
      <c r="BG1849" s="73"/>
      <c r="BH1849" s="73"/>
      <c r="BI1849" s="73"/>
      <c r="BJ1849" s="73"/>
      <c r="BK1849" s="73"/>
      <c r="BL1849" s="73"/>
      <c r="BM1849" s="73"/>
      <c r="BN1849" s="73"/>
      <c r="BO1849" s="73"/>
      <c r="BP1849" s="73"/>
      <c r="BQ1849" s="73"/>
      <c r="BR1849" s="73"/>
      <c r="BS1849" s="73"/>
      <c r="BT1849" s="73"/>
      <c r="BU1849" s="73"/>
      <c r="BV1849" s="73"/>
      <c r="BW1849" s="73"/>
      <c r="BX1849" s="73"/>
      <c r="BY1849" s="73"/>
      <c r="BZ1849" s="73"/>
      <c r="CA1849" s="73"/>
      <c r="CB1849" s="73"/>
      <c r="CC1849" s="73"/>
      <c r="CD1849" s="73"/>
      <c r="CE1849" s="73"/>
      <c r="CF1849" s="73"/>
      <c r="CG1849" s="73"/>
      <c r="CH1849" s="73"/>
      <c r="CI1849" s="73"/>
      <c r="CJ1849" s="73"/>
      <c r="CK1849" s="73"/>
      <c r="CL1849" s="73"/>
      <c r="CM1849" s="73"/>
      <c r="CN1849" s="73"/>
      <c r="CO1849" s="73"/>
      <c r="CP1849" s="73"/>
      <c r="CQ1849" s="73"/>
      <c r="CR1849" s="73"/>
      <c r="CS1849" s="73"/>
      <c r="CT1849" s="73"/>
      <c r="CU1849" s="73"/>
      <c r="CV1849" s="73"/>
      <c r="CW1849" s="73"/>
      <c r="CX1849" s="73"/>
      <c r="CY1849" s="73"/>
      <c r="CZ1849" s="73"/>
      <c r="DA1849" s="73"/>
      <c r="DB1849" s="73"/>
      <c r="DC1849" s="73"/>
      <c r="DD1849" s="73"/>
      <c r="DE1849" s="73"/>
      <c r="DF1849" s="73"/>
      <c r="DG1849" s="73"/>
      <c r="DH1849" s="73"/>
      <c r="DI1849" s="73"/>
      <c r="DJ1849" s="73"/>
      <c r="DK1849" s="73"/>
      <c r="DL1849" s="73"/>
      <c r="DM1849" s="73"/>
    </row>
    <row r="1850" spans="1:117" s="48" customFormat="1">
      <c r="A1850" s="73"/>
      <c r="T1850" s="73"/>
      <c r="U1850" s="73"/>
      <c r="V1850" s="73"/>
      <c r="W1850" s="73"/>
      <c r="X1850" s="73"/>
      <c r="Y1850" s="73"/>
      <c r="Z1850" s="73"/>
      <c r="AA1850" s="73"/>
      <c r="AB1850" s="73"/>
      <c r="AC1850" s="73"/>
      <c r="AD1850" s="73"/>
      <c r="AE1850" s="73"/>
      <c r="AF1850" s="73"/>
      <c r="AG1850" s="73"/>
      <c r="AH1850" s="73"/>
      <c r="AI1850" s="73"/>
      <c r="AJ1850" s="73"/>
      <c r="AK1850" s="73"/>
      <c r="AL1850" s="73"/>
      <c r="AM1850" s="73"/>
      <c r="AN1850" s="73"/>
      <c r="AO1850" s="73"/>
      <c r="AP1850" s="73"/>
      <c r="AQ1850" s="73"/>
      <c r="AR1850" s="73"/>
      <c r="AS1850" s="73"/>
      <c r="AT1850" s="73"/>
      <c r="AU1850" s="73"/>
      <c r="AV1850" s="73"/>
      <c r="AW1850" s="73"/>
      <c r="AX1850" s="73"/>
      <c r="AY1850" s="73"/>
      <c r="AZ1850" s="73"/>
      <c r="BA1850" s="73"/>
      <c r="BB1850" s="73"/>
      <c r="BC1850" s="73"/>
      <c r="BD1850" s="73"/>
      <c r="BE1850" s="73"/>
      <c r="BF1850" s="73"/>
      <c r="BG1850" s="73"/>
      <c r="BH1850" s="73"/>
      <c r="BI1850" s="73"/>
      <c r="BJ1850" s="73"/>
      <c r="BK1850" s="73"/>
      <c r="BL1850" s="73"/>
      <c r="BM1850" s="73"/>
      <c r="BN1850" s="73"/>
      <c r="BO1850" s="73"/>
      <c r="BP1850" s="73"/>
      <c r="BQ1850" s="73"/>
      <c r="BR1850" s="73"/>
      <c r="BS1850" s="73"/>
      <c r="BT1850" s="73"/>
      <c r="BU1850" s="73"/>
      <c r="BV1850" s="73"/>
      <c r="BW1850" s="73"/>
      <c r="BX1850" s="73"/>
      <c r="BY1850" s="73"/>
      <c r="BZ1850" s="73"/>
      <c r="CA1850" s="73"/>
      <c r="CB1850" s="73"/>
      <c r="CC1850" s="73"/>
      <c r="CD1850" s="73"/>
      <c r="CE1850" s="73"/>
      <c r="CF1850" s="73"/>
      <c r="CG1850" s="73"/>
      <c r="CH1850" s="73"/>
      <c r="CI1850" s="73"/>
      <c r="CJ1850" s="73"/>
      <c r="CK1850" s="73"/>
      <c r="CL1850" s="73"/>
      <c r="CM1850" s="73"/>
      <c r="CN1850" s="73"/>
      <c r="CO1850" s="73"/>
      <c r="CP1850" s="73"/>
      <c r="CQ1850" s="73"/>
      <c r="CR1850" s="73"/>
      <c r="CS1850" s="73"/>
      <c r="CT1850" s="73"/>
      <c r="CU1850" s="73"/>
      <c r="CV1850" s="73"/>
      <c r="CW1850" s="73"/>
      <c r="CX1850" s="73"/>
      <c r="CY1850" s="73"/>
      <c r="CZ1850" s="73"/>
      <c r="DA1850" s="73"/>
      <c r="DB1850" s="73"/>
      <c r="DC1850" s="73"/>
      <c r="DD1850" s="73"/>
      <c r="DE1850" s="73"/>
      <c r="DF1850" s="73"/>
      <c r="DG1850" s="73"/>
      <c r="DH1850" s="73"/>
      <c r="DI1850" s="73"/>
      <c r="DJ1850" s="73"/>
      <c r="DK1850" s="73"/>
      <c r="DL1850" s="73"/>
      <c r="DM1850" s="73"/>
    </row>
    <row r="1851" spans="1:117" s="48" customFormat="1">
      <c r="A1851" s="73"/>
      <c r="T1851" s="73"/>
      <c r="U1851" s="73"/>
      <c r="V1851" s="73"/>
      <c r="W1851" s="73"/>
      <c r="X1851" s="73"/>
      <c r="Y1851" s="73"/>
      <c r="Z1851" s="73"/>
      <c r="AA1851" s="73"/>
      <c r="AB1851" s="73"/>
      <c r="AC1851" s="73"/>
      <c r="AD1851" s="73"/>
      <c r="AE1851" s="73"/>
      <c r="AF1851" s="73"/>
      <c r="AG1851" s="73"/>
      <c r="AH1851" s="73"/>
      <c r="AI1851" s="73"/>
      <c r="AJ1851" s="73"/>
      <c r="AK1851" s="73"/>
      <c r="AL1851" s="73"/>
      <c r="AM1851" s="73"/>
      <c r="AN1851" s="73"/>
      <c r="AO1851" s="73"/>
      <c r="AP1851" s="73"/>
      <c r="AQ1851" s="73"/>
      <c r="AR1851" s="73"/>
      <c r="AS1851" s="73"/>
      <c r="AT1851" s="73"/>
      <c r="AU1851" s="73"/>
      <c r="AV1851" s="73"/>
      <c r="AW1851" s="73"/>
      <c r="AX1851" s="73"/>
      <c r="AY1851" s="73"/>
      <c r="AZ1851" s="73"/>
      <c r="BA1851" s="73"/>
      <c r="BB1851" s="73"/>
      <c r="BC1851" s="73"/>
      <c r="BD1851" s="73"/>
      <c r="BE1851" s="73"/>
      <c r="BF1851" s="73"/>
      <c r="BG1851" s="73"/>
      <c r="BH1851" s="73"/>
      <c r="BI1851" s="73"/>
      <c r="BJ1851" s="73"/>
      <c r="BK1851" s="73"/>
      <c r="BL1851" s="73"/>
      <c r="BM1851" s="73"/>
      <c r="BN1851" s="73"/>
      <c r="BO1851" s="73"/>
      <c r="BP1851" s="73"/>
      <c r="BQ1851" s="73"/>
      <c r="BR1851" s="73"/>
      <c r="BS1851" s="73"/>
      <c r="BT1851" s="73"/>
      <c r="BU1851" s="73"/>
      <c r="BV1851" s="73"/>
      <c r="BW1851" s="73"/>
      <c r="BX1851" s="73"/>
      <c r="BY1851" s="73"/>
      <c r="BZ1851" s="73"/>
      <c r="CA1851" s="73"/>
      <c r="CB1851" s="73"/>
      <c r="CC1851" s="73"/>
      <c r="CD1851" s="73"/>
      <c r="CE1851" s="73"/>
      <c r="CF1851" s="73"/>
      <c r="CG1851" s="73"/>
      <c r="CH1851" s="73"/>
      <c r="CI1851" s="73"/>
      <c r="CJ1851" s="73"/>
      <c r="CK1851" s="73"/>
      <c r="CL1851" s="73"/>
      <c r="CM1851" s="73"/>
      <c r="CN1851" s="73"/>
      <c r="CO1851" s="73"/>
      <c r="CP1851" s="73"/>
      <c r="CQ1851" s="73"/>
      <c r="CR1851" s="73"/>
      <c r="CS1851" s="73"/>
      <c r="CT1851" s="73"/>
      <c r="CU1851" s="73"/>
      <c r="CV1851" s="73"/>
      <c r="CW1851" s="73"/>
      <c r="CX1851" s="73"/>
      <c r="CY1851" s="73"/>
      <c r="CZ1851" s="73"/>
      <c r="DA1851" s="73"/>
      <c r="DB1851" s="73"/>
      <c r="DC1851" s="73"/>
      <c r="DD1851" s="73"/>
      <c r="DE1851" s="73"/>
      <c r="DF1851" s="73"/>
      <c r="DG1851" s="73"/>
      <c r="DH1851" s="73"/>
      <c r="DI1851" s="73"/>
      <c r="DJ1851" s="73"/>
      <c r="DK1851" s="73"/>
      <c r="DL1851" s="73"/>
      <c r="DM1851" s="73"/>
    </row>
    <row r="1852" spans="1:117" s="48" customFormat="1">
      <c r="A1852" s="73"/>
      <c r="T1852" s="73"/>
      <c r="U1852" s="73"/>
      <c r="V1852" s="73"/>
      <c r="W1852" s="73"/>
      <c r="X1852" s="73"/>
      <c r="Y1852" s="73"/>
      <c r="Z1852" s="73"/>
      <c r="AA1852" s="73"/>
      <c r="AB1852" s="73"/>
      <c r="AC1852" s="73"/>
      <c r="AD1852" s="73"/>
      <c r="AE1852" s="73"/>
      <c r="AF1852" s="73"/>
      <c r="AG1852" s="73"/>
      <c r="AH1852" s="73"/>
      <c r="AI1852" s="73"/>
      <c r="AJ1852" s="73"/>
      <c r="AK1852" s="73"/>
      <c r="AL1852" s="73"/>
      <c r="AM1852" s="73"/>
      <c r="AN1852" s="73"/>
      <c r="AO1852" s="73"/>
      <c r="AP1852" s="73"/>
      <c r="AQ1852" s="73"/>
      <c r="AR1852" s="73"/>
      <c r="AS1852" s="73"/>
      <c r="AT1852" s="73"/>
      <c r="AU1852" s="73"/>
      <c r="AV1852" s="73"/>
      <c r="AW1852" s="73"/>
      <c r="AX1852" s="73"/>
      <c r="AY1852" s="73"/>
      <c r="AZ1852" s="73"/>
      <c r="BA1852" s="73"/>
      <c r="BB1852" s="73"/>
      <c r="BC1852" s="73"/>
      <c r="BD1852" s="73"/>
      <c r="BE1852" s="73"/>
      <c r="BF1852" s="73"/>
      <c r="BG1852" s="73"/>
      <c r="BH1852" s="73"/>
      <c r="BI1852" s="73"/>
      <c r="BJ1852" s="73"/>
      <c r="BK1852" s="73"/>
      <c r="BL1852" s="73"/>
      <c r="BM1852" s="73"/>
      <c r="BN1852" s="73"/>
      <c r="BO1852" s="73"/>
      <c r="BP1852" s="73"/>
      <c r="BQ1852" s="73"/>
      <c r="BR1852" s="73"/>
      <c r="BS1852" s="73"/>
      <c r="BT1852" s="73"/>
      <c r="BU1852" s="73"/>
      <c r="BV1852" s="73"/>
      <c r="BW1852" s="73"/>
      <c r="BX1852" s="73"/>
      <c r="BY1852" s="73"/>
      <c r="BZ1852" s="73"/>
      <c r="CA1852" s="73"/>
      <c r="CB1852" s="73"/>
      <c r="CC1852" s="73"/>
      <c r="CD1852" s="73"/>
      <c r="CE1852" s="73"/>
      <c r="CF1852" s="73"/>
      <c r="CG1852" s="73"/>
      <c r="CH1852" s="73"/>
      <c r="CI1852" s="73"/>
      <c r="CJ1852" s="73"/>
      <c r="CK1852" s="73"/>
      <c r="CL1852" s="73"/>
      <c r="CM1852" s="73"/>
      <c r="CN1852" s="73"/>
      <c r="CO1852" s="73"/>
      <c r="CP1852" s="73"/>
      <c r="CQ1852" s="73"/>
      <c r="CR1852" s="73"/>
      <c r="CS1852" s="73"/>
      <c r="CT1852" s="73"/>
      <c r="CU1852" s="73"/>
      <c r="CV1852" s="73"/>
      <c r="CW1852" s="73"/>
      <c r="CX1852" s="73"/>
      <c r="CY1852" s="73"/>
      <c r="CZ1852" s="73"/>
      <c r="DA1852" s="73"/>
      <c r="DB1852" s="73"/>
      <c r="DC1852" s="73"/>
      <c r="DD1852" s="73"/>
      <c r="DE1852" s="73"/>
      <c r="DF1852" s="73"/>
      <c r="DG1852" s="73"/>
      <c r="DH1852" s="73"/>
      <c r="DI1852" s="73"/>
      <c r="DJ1852" s="73"/>
      <c r="DK1852" s="73"/>
      <c r="DL1852" s="73"/>
      <c r="DM1852" s="73"/>
    </row>
    <row r="1853" spans="1:117" s="48" customFormat="1">
      <c r="A1853" s="73"/>
      <c r="T1853" s="73"/>
      <c r="U1853" s="73"/>
      <c r="V1853" s="73"/>
      <c r="W1853" s="73"/>
      <c r="X1853" s="73"/>
      <c r="Y1853" s="73"/>
      <c r="Z1853" s="73"/>
      <c r="AA1853" s="73"/>
      <c r="AB1853" s="73"/>
      <c r="AC1853" s="73"/>
      <c r="AD1853" s="73"/>
      <c r="AE1853" s="73"/>
      <c r="AF1853" s="73"/>
      <c r="AG1853" s="73"/>
      <c r="AH1853" s="73"/>
      <c r="AI1853" s="73"/>
      <c r="AJ1853" s="73"/>
      <c r="AK1853" s="73"/>
      <c r="AL1853" s="73"/>
      <c r="AM1853" s="73"/>
      <c r="AN1853" s="73"/>
      <c r="AO1853" s="73"/>
      <c r="AP1853" s="73"/>
      <c r="AQ1853" s="73"/>
      <c r="AR1853" s="73"/>
      <c r="AS1853" s="73"/>
      <c r="AT1853" s="73"/>
      <c r="AU1853" s="73"/>
      <c r="AV1853" s="73"/>
      <c r="AW1853" s="73"/>
      <c r="AX1853" s="73"/>
      <c r="AY1853" s="73"/>
      <c r="AZ1853" s="73"/>
      <c r="BA1853" s="73"/>
      <c r="BB1853" s="73"/>
      <c r="BC1853" s="73"/>
      <c r="BD1853" s="73"/>
      <c r="BE1853" s="73"/>
      <c r="BF1853" s="73"/>
      <c r="BG1853" s="73"/>
      <c r="BH1853" s="73"/>
      <c r="BI1853" s="73"/>
      <c r="BJ1853" s="73"/>
      <c r="BK1853" s="73"/>
      <c r="BL1853" s="73"/>
      <c r="BM1853" s="73"/>
      <c r="BN1853" s="73"/>
      <c r="BO1853" s="73"/>
      <c r="BP1853" s="73"/>
      <c r="BQ1853" s="73"/>
      <c r="BR1853" s="73"/>
      <c r="BS1853" s="73"/>
      <c r="BT1853" s="73"/>
      <c r="BU1853" s="73"/>
      <c r="BV1853" s="73"/>
      <c r="BW1853" s="73"/>
      <c r="BX1853" s="73"/>
      <c r="BY1853" s="73"/>
      <c r="BZ1853" s="73"/>
      <c r="CA1853" s="73"/>
      <c r="CB1853" s="73"/>
      <c r="CC1853" s="73"/>
      <c r="CD1853" s="73"/>
      <c r="CE1853" s="73"/>
      <c r="CF1853" s="73"/>
      <c r="CG1853" s="73"/>
      <c r="CH1853" s="73"/>
      <c r="CI1853" s="73"/>
      <c r="CJ1853" s="73"/>
      <c r="CK1853" s="73"/>
      <c r="CL1853" s="73"/>
      <c r="CM1853" s="73"/>
      <c r="CN1853" s="73"/>
      <c r="CO1853" s="73"/>
      <c r="CP1853" s="73"/>
      <c r="CQ1853" s="73"/>
      <c r="CR1853" s="73"/>
      <c r="CS1853" s="73"/>
      <c r="CT1853" s="73"/>
      <c r="CU1853" s="73"/>
      <c r="CV1853" s="73"/>
      <c r="CW1853" s="73"/>
      <c r="CX1853" s="73"/>
      <c r="CY1853" s="73"/>
      <c r="CZ1853" s="73"/>
      <c r="DA1853" s="73"/>
      <c r="DB1853" s="73"/>
      <c r="DC1853" s="73"/>
      <c r="DD1853" s="73"/>
      <c r="DE1853" s="73"/>
      <c r="DF1853" s="73"/>
      <c r="DG1853" s="73"/>
      <c r="DH1853" s="73"/>
      <c r="DI1853" s="73"/>
      <c r="DJ1853" s="73"/>
      <c r="DK1853" s="73"/>
      <c r="DL1853" s="73"/>
      <c r="DM1853" s="73"/>
    </row>
    <row r="1854" spans="1:117" s="48" customFormat="1">
      <c r="A1854" s="73"/>
      <c r="T1854" s="73"/>
      <c r="U1854" s="73"/>
      <c r="V1854" s="73"/>
      <c r="W1854" s="73"/>
      <c r="X1854" s="73"/>
      <c r="Y1854" s="73"/>
      <c r="Z1854" s="73"/>
      <c r="AA1854" s="73"/>
      <c r="AB1854" s="73"/>
      <c r="AC1854" s="73"/>
      <c r="AD1854" s="73"/>
      <c r="AE1854" s="73"/>
      <c r="AF1854" s="73"/>
      <c r="AG1854" s="73"/>
      <c r="AH1854" s="73"/>
      <c r="AI1854" s="73"/>
      <c r="AJ1854" s="73"/>
      <c r="AK1854" s="73"/>
      <c r="AL1854" s="73"/>
      <c r="AM1854" s="73"/>
      <c r="AN1854" s="73"/>
      <c r="AO1854" s="73"/>
      <c r="AP1854" s="73"/>
      <c r="AQ1854" s="73"/>
      <c r="AR1854" s="73"/>
      <c r="AS1854" s="73"/>
      <c r="AT1854" s="73"/>
      <c r="AU1854" s="73"/>
      <c r="AV1854" s="73"/>
      <c r="AW1854" s="73"/>
      <c r="AX1854" s="73"/>
      <c r="AY1854" s="73"/>
      <c r="AZ1854" s="73"/>
      <c r="BA1854" s="73"/>
      <c r="BB1854" s="73"/>
      <c r="BC1854" s="73"/>
      <c r="BD1854" s="73"/>
      <c r="BE1854" s="73"/>
      <c r="BF1854" s="73"/>
      <c r="BG1854" s="73"/>
      <c r="BH1854" s="73"/>
      <c r="BI1854" s="73"/>
      <c r="BJ1854" s="73"/>
      <c r="BK1854" s="73"/>
      <c r="BL1854" s="73"/>
      <c r="BM1854" s="73"/>
      <c r="BN1854" s="73"/>
      <c r="BO1854" s="73"/>
      <c r="BP1854" s="73"/>
      <c r="BQ1854" s="73"/>
      <c r="BR1854" s="73"/>
      <c r="BS1854" s="73"/>
      <c r="BT1854" s="73"/>
      <c r="BU1854" s="73"/>
      <c r="BV1854" s="73"/>
      <c r="BW1854" s="73"/>
      <c r="BX1854" s="73"/>
      <c r="BY1854" s="73"/>
      <c r="BZ1854" s="73"/>
      <c r="CA1854" s="73"/>
      <c r="CB1854" s="73"/>
      <c r="CC1854" s="73"/>
      <c r="CD1854" s="73"/>
      <c r="CE1854" s="73"/>
      <c r="CF1854" s="73"/>
      <c r="CG1854" s="73"/>
      <c r="CH1854" s="73"/>
      <c r="CI1854" s="73"/>
      <c r="CJ1854" s="73"/>
      <c r="CK1854" s="73"/>
      <c r="CL1854" s="73"/>
      <c r="CM1854" s="73"/>
      <c r="CN1854" s="73"/>
      <c r="CO1854" s="73"/>
      <c r="CP1854" s="73"/>
      <c r="CQ1854" s="73"/>
      <c r="CR1854" s="73"/>
      <c r="CS1854" s="73"/>
      <c r="CT1854" s="73"/>
      <c r="CU1854" s="73"/>
      <c r="CV1854" s="73"/>
      <c r="CW1854" s="73"/>
      <c r="CX1854" s="73"/>
      <c r="CY1854" s="73"/>
      <c r="CZ1854" s="73"/>
      <c r="DA1854" s="73"/>
      <c r="DB1854" s="73"/>
      <c r="DC1854" s="73"/>
      <c r="DD1854" s="73"/>
      <c r="DE1854" s="73"/>
      <c r="DF1854" s="73"/>
      <c r="DG1854" s="73"/>
      <c r="DH1854" s="73"/>
      <c r="DI1854" s="73"/>
      <c r="DJ1854" s="73"/>
      <c r="DK1854" s="73"/>
      <c r="DL1854" s="73"/>
      <c r="DM1854" s="73"/>
    </row>
    <row r="1855" spans="1:117" s="48" customFormat="1">
      <c r="A1855" s="73"/>
      <c r="T1855" s="73"/>
      <c r="U1855" s="73"/>
      <c r="V1855" s="73"/>
      <c r="W1855" s="73"/>
      <c r="X1855" s="73"/>
      <c r="Y1855" s="73"/>
      <c r="Z1855" s="73"/>
      <c r="AA1855" s="73"/>
      <c r="AB1855" s="73"/>
      <c r="AC1855" s="73"/>
      <c r="AD1855" s="73"/>
      <c r="AE1855" s="73"/>
      <c r="AF1855" s="73"/>
      <c r="AG1855" s="73"/>
      <c r="AH1855" s="73"/>
      <c r="AI1855" s="73"/>
      <c r="AJ1855" s="73"/>
      <c r="AK1855" s="73"/>
      <c r="AL1855" s="73"/>
      <c r="AM1855" s="73"/>
      <c r="AN1855" s="73"/>
      <c r="AO1855" s="73"/>
      <c r="AP1855" s="73"/>
      <c r="AQ1855" s="73"/>
      <c r="AR1855" s="73"/>
      <c r="AS1855" s="73"/>
      <c r="AT1855" s="73"/>
      <c r="AU1855" s="73"/>
      <c r="AV1855" s="73"/>
      <c r="AW1855" s="73"/>
      <c r="AX1855" s="73"/>
      <c r="AY1855" s="73"/>
      <c r="AZ1855" s="73"/>
      <c r="BA1855" s="73"/>
      <c r="BB1855" s="73"/>
      <c r="BC1855" s="73"/>
      <c r="BD1855" s="73"/>
      <c r="BE1855" s="73"/>
      <c r="BF1855" s="73"/>
      <c r="BG1855" s="73"/>
      <c r="BH1855" s="73"/>
      <c r="BI1855" s="73"/>
      <c r="BJ1855" s="73"/>
      <c r="BK1855" s="73"/>
      <c r="BL1855" s="73"/>
      <c r="BM1855" s="73"/>
      <c r="BN1855" s="73"/>
      <c r="BO1855" s="73"/>
      <c r="BP1855" s="73"/>
      <c r="BQ1855" s="73"/>
      <c r="BR1855" s="73"/>
      <c r="BS1855" s="73"/>
      <c r="BT1855" s="73"/>
      <c r="BU1855" s="73"/>
      <c r="BV1855" s="73"/>
      <c r="BW1855" s="73"/>
      <c r="BX1855" s="73"/>
      <c r="BY1855" s="73"/>
      <c r="BZ1855" s="73"/>
      <c r="CA1855" s="73"/>
      <c r="CB1855" s="73"/>
      <c r="CC1855" s="73"/>
      <c r="CD1855" s="73"/>
      <c r="CE1855" s="73"/>
      <c r="CF1855" s="73"/>
      <c r="CG1855" s="73"/>
      <c r="CH1855" s="73"/>
      <c r="CI1855" s="73"/>
      <c r="CJ1855" s="73"/>
      <c r="CK1855" s="73"/>
      <c r="CL1855" s="73"/>
      <c r="CM1855" s="73"/>
      <c r="CN1855" s="73"/>
      <c r="CO1855" s="73"/>
      <c r="CP1855" s="73"/>
      <c r="CQ1855" s="73"/>
      <c r="CR1855" s="73"/>
      <c r="CS1855" s="73"/>
      <c r="CT1855" s="73"/>
      <c r="CU1855" s="73"/>
      <c r="CV1855" s="73"/>
      <c r="CW1855" s="73"/>
      <c r="CX1855" s="73"/>
      <c r="CY1855" s="73"/>
      <c r="CZ1855" s="73"/>
      <c r="DA1855" s="73"/>
      <c r="DB1855" s="73"/>
      <c r="DC1855" s="73"/>
      <c r="DD1855" s="73"/>
      <c r="DE1855" s="73"/>
      <c r="DF1855" s="73"/>
      <c r="DG1855" s="73"/>
      <c r="DH1855" s="73"/>
      <c r="DI1855" s="73"/>
      <c r="DJ1855" s="73"/>
      <c r="DK1855" s="73"/>
      <c r="DL1855" s="73"/>
      <c r="DM1855" s="73"/>
    </row>
    <row r="1856" spans="1:117" s="48" customFormat="1">
      <c r="A1856" s="73"/>
      <c r="T1856" s="73"/>
      <c r="U1856" s="73"/>
      <c r="V1856" s="73"/>
      <c r="W1856" s="73"/>
      <c r="X1856" s="73"/>
      <c r="Y1856" s="73"/>
      <c r="Z1856" s="73"/>
      <c r="AA1856" s="73"/>
      <c r="AB1856" s="73"/>
      <c r="AC1856" s="73"/>
      <c r="AD1856" s="73"/>
      <c r="AE1856" s="73"/>
      <c r="AF1856" s="73"/>
      <c r="AG1856" s="73"/>
      <c r="AH1856" s="73"/>
      <c r="AI1856" s="73"/>
      <c r="AJ1856" s="73"/>
      <c r="AK1856" s="73"/>
      <c r="AL1856" s="73"/>
      <c r="AM1856" s="73"/>
      <c r="AN1856" s="73"/>
      <c r="AO1856" s="73"/>
      <c r="AP1856" s="73"/>
      <c r="AQ1856" s="73"/>
      <c r="AR1856" s="73"/>
      <c r="AS1856" s="73"/>
      <c r="AT1856" s="73"/>
      <c r="AU1856" s="73"/>
      <c r="AV1856" s="73"/>
      <c r="AW1856" s="73"/>
      <c r="AX1856" s="73"/>
      <c r="AY1856" s="73"/>
      <c r="AZ1856" s="73"/>
      <c r="BA1856" s="73"/>
      <c r="BB1856" s="73"/>
      <c r="BC1856" s="73"/>
      <c r="BD1856" s="73"/>
      <c r="BE1856" s="73"/>
      <c r="BF1856" s="73"/>
      <c r="BG1856" s="73"/>
      <c r="BH1856" s="73"/>
      <c r="BI1856" s="73"/>
      <c r="BJ1856" s="73"/>
      <c r="BK1856" s="73"/>
      <c r="BL1856" s="73"/>
      <c r="BM1856" s="73"/>
      <c r="BN1856" s="73"/>
      <c r="BO1856" s="73"/>
      <c r="BP1856" s="73"/>
      <c r="BQ1856" s="73"/>
      <c r="BR1856" s="73"/>
      <c r="BS1856" s="73"/>
      <c r="BT1856" s="73"/>
      <c r="BU1856" s="73"/>
      <c r="BV1856" s="73"/>
      <c r="BW1856" s="73"/>
      <c r="BX1856" s="73"/>
      <c r="BY1856" s="73"/>
      <c r="BZ1856" s="73"/>
      <c r="CA1856" s="73"/>
      <c r="CB1856" s="73"/>
      <c r="CC1856" s="73"/>
      <c r="CD1856" s="73"/>
      <c r="CE1856" s="73"/>
      <c r="CF1856" s="73"/>
      <c r="CG1856" s="73"/>
      <c r="CH1856" s="73"/>
      <c r="CI1856" s="73"/>
      <c r="CJ1856" s="73"/>
      <c r="CK1856" s="73"/>
      <c r="CL1856" s="73"/>
      <c r="CM1856" s="73"/>
      <c r="CN1856" s="73"/>
      <c r="CO1856" s="73"/>
      <c r="CP1856" s="73"/>
      <c r="CQ1856" s="73"/>
      <c r="CR1856" s="73"/>
      <c r="CS1856" s="73"/>
      <c r="CT1856" s="73"/>
      <c r="CU1856" s="73"/>
      <c r="CV1856" s="73"/>
      <c r="CW1856" s="73"/>
      <c r="CX1856" s="73"/>
      <c r="CY1856" s="73"/>
      <c r="CZ1856" s="73"/>
      <c r="DA1856" s="73"/>
      <c r="DB1856" s="73"/>
      <c r="DC1856" s="73"/>
      <c r="DD1856" s="73"/>
      <c r="DE1856" s="73"/>
      <c r="DF1856" s="73"/>
      <c r="DG1856" s="73"/>
      <c r="DH1856" s="73"/>
      <c r="DI1856" s="73"/>
      <c r="DJ1856" s="73"/>
      <c r="DK1856" s="73"/>
      <c r="DL1856" s="73"/>
      <c r="DM1856" s="73"/>
    </row>
    <row r="1857" spans="1:117" s="48" customFormat="1">
      <c r="A1857" s="73"/>
      <c r="T1857" s="73"/>
      <c r="U1857" s="73"/>
      <c r="V1857" s="73"/>
      <c r="W1857" s="73"/>
      <c r="X1857" s="73"/>
      <c r="Y1857" s="73"/>
      <c r="Z1857" s="73"/>
      <c r="AA1857" s="73"/>
      <c r="AB1857" s="73"/>
      <c r="AC1857" s="73"/>
      <c r="AD1857" s="73"/>
      <c r="AE1857" s="73"/>
      <c r="AF1857" s="73"/>
      <c r="AG1857" s="73"/>
      <c r="AH1857" s="73"/>
      <c r="AI1857" s="73"/>
      <c r="AJ1857" s="73"/>
      <c r="AK1857" s="73"/>
      <c r="AL1857" s="73"/>
      <c r="AM1857" s="73"/>
      <c r="AN1857" s="73"/>
      <c r="AO1857" s="73"/>
      <c r="AP1857" s="73"/>
      <c r="AQ1857" s="73"/>
      <c r="AR1857" s="73"/>
      <c r="AS1857" s="73"/>
      <c r="AT1857" s="73"/>
      <c r="AU1857" s="73"/>
      <c r="AV1857" s="73"/>
      <c r="AW1857" s="73"/>
      <c r="AX1857" s="73"/>
      <c r="AY1857" s="73"/>
      <c r="AZ1857" s="73"/>
      <c r="BA1857" s="73"/>
      <c r="BB1857" s="73"/>
      <c r="BC1857" s="73"/>
      <c r="BD1857" s="73"/>
      <c r="BE1857" s="73"/>
      <c r="BF1857" s="73"/>
      <c r="BG1857" s="73"/>
      <c r="BH1857" s="73"/>
      <c r="BI1857" s="73"/>
      <c r="BJ1857" s="73"/>
      <c r="BK1857" s="73"/>
      <c r="BL1857" s="73"/>
      <c r="BM1857" s="73"/>
      <c r="BN1857" s="73"/>
      <c r="BO1857" s="73"/>
      <c r="BP1857" s="73"/>
      <c r="BQ1857" s="73"/>
      <c r="BR1857" s="73"/>
      <c r="BS1857" s="73"/>
      <c r="BT1857" s="73"/>
      <c r="BU1857" s="73"/>
      <c r="BV1857" s="73"/>
      <c r="BW1857" s="73"/>
      <c r="BX1857" s="73"/>
      <c r="BY1857" s="73"/>
      <c r="BZ1857" s="73"/>
      <c r="CA1857" s="73"/>
      <c r="CB1857" s="73"/>
      <c r="CC1857" s="73"/>
      <c r="CD1857" s="73"/>
      <c r="CE1857" s="73"/>
      <c r="CF1857" s="73"/>
      <c r="CG1857" s="73"/>
      <c r="CH1857" s="73"/>
      <c r="CI1857" s="73"/>
      <c r="CJ1857" s="73"/>
      <c r="CK1857" s="73"/>
      <c r="CL1857" s="73"/>
      <c r="CM1857" s="73"/>
      <c r="CN1857" s="73"/>
      <c r="CO1857" s="73"/>
      <c r="CP1857" s="73"/>
      <c r="CQ1857" s="73"/>
      <c r="CR1857" s="73"/>
      <c r="CS1857" s="73"/>
      <c r="CT1857" s="73"/>
      <c r="CU1857" s="73"/>
      <c r="CV1857" s="73"/>
      <c r="CW1857" s="73"/>
      <c r="CX1857" s="73"/>
      <c r="CY1857" s="73"/>
      <c r="CZ1857" s="73"/>
      <c r="DA1857" s="73"/>
      <c r="DB1857" s="73"/>
      <c r="DC1857" s="73"/>
      <c r="DD1857" s="73"/>
      <c r="DE1857" s="73"/>
      <c r="DF1857" s="73"/>
      <c r="DG1857" s="73"/>
      <c r="DH1857" s="73"/>
      <c r="DI1857" s="73"/>
      <c r="DJ1857" s="73"/>
      <c r="DK1857" s="73"/>
      <c r="DL1857" s="73"/>
      <c r="DM1857" s="73"/>
    </row>
    <row r="1858" spans="1:117" s="48" customFormat="1">
      <c r="A1858" s="73"/>
      <c r="T1858" s="73"/>
      <c r="U1858" s="73"/>
      <c r="V1858" s="73"/>
      <c r="W1858" s="73"/>
      <c r="X1858" s="73"/>
      <c r="Y1858" s="73"/>
      <c r="Z1858" s="73"/>
      <c r="AA1858" s="73"/>
      <c r="AB1858" s="73"/>
      <c r="AC1858" s="73"/>
      <c r="AD1858" s="73"/>
      <c r="AE1858" s="73"/>
      <c r="AF1858" s="73"/>
      <c r="AG1858" s="73"/>
      <c r="AH1858" s="73"/>
      <c r="AI1858" s="73"/>
      <c r="AJ1858" s="73"/>
      <c r="AK1858" s="73"/>
      <c r="AL1858" s="73"/>
      <c r="AM1858" s="73"/>
      <c r="AN1858" s="73"/>
      <c r="AO1858" s="73"/>
      <c r="AP1858" s="73"/>
      <c r="AQ1858" s="73"/>
      <c r="AR1858" s="73"/>
      <c r="AS1858" s="73"/>
      <c r="AT1858" s="73"/>
      <c r="AU1858" s="73"/>
      <c r="AV1858" s="73"/>
      <c r="AW1858" s="73"/>
      <c r="AX1858" s="73"/>
      <c r="AY1858" s="73"/>
      <c r="AZ1858" s="73"/>
      <c r="BA1858" s="73"/>
      <c r="BB1858" s="73"/>
      <c r="BC1858" s="73"/>
      <c r="BD1858" s="73"/>
      <c r="BE1858" s="73"/>
      <c r="BF1858" s="73"/>
      <c r="BG1858" s="73"/>
      <c r="BH1858" s="73"/>
      <c r="BI1858" s="73"/>
      <c r="BJ1858" s="73"/>
      <c r="BK1858" s="73"/>
      <c r="BL1858" s="73"/>
      <c r="BM1858" s="73"/>
      <c r="BN1858" s="73"/>
      <c r="BO1858" s="73"/>
      <c r="BP1858" s="73"/>
      <c r="BQ1858" s="73"/>
      <c r="BR1858" s="73"/>
      <c r="BS1858" s="73"/>
      <c r="BT1858" s="73"/>
      <c r="BU1858" s="73"/>
      <c r="BV1858" s="73"/>
      <c r="BW1858" s="73"/>
      <c r="BX1858" s="73"/>
      <c r="BY1858" s="73"/>
      <c r="BZ1858" s="73"/>
      <c r="CA1858" s="73"/>
      <c r="CB1858" s="73"/>
      <c r="CC1858" s="73"/>
      <c r="CD1858" s="73"/>
      <c r="CE1858" s="73"/>
      <c r="CF1858" s="73"/>
      <c r="CG1858" s="73"/>
      <c r="CH1858" s="73"/>
      <c r="CI1858" s="73"/>
      <c r="CJ1858" s="73"/>
      <c r="CK1858" s="73"/>
      <c r="CL1858" s="73"/>
      <c r="CM1858" s="73"/>
      <c r="CN1858" s="73"/>
      <c r="CO1858" s="73"/>
      <c r="CP1858" s="73"/>
      <c r="CQ1858" s="73"/>
      <c r="CR1858" s="73"/>
      <c r="CS1858" s="73"/>
      <c r="CT1858" s="73"/>
      <c r="CU1858" s="73"/>
      <c r="CV1858" s="73"/>
      <c r="CW1858" s="73"/>
      <c r="CX1858" s="73"/>
      <c r="CY1858" s="73"/>
      <c r="CZ1858" s="73"/>
      <c r="DA1858" s="73"/>
      <c r="DB1858" s="73"/>
      <c r="DC1858" s="73"/>
      <c r="DD1858" s="73"/>
      <c r="DE1858" s="73"/>
      <c r="DF1858" s="73"/>
      <c r="DG1858" s="73"/>
      <c r="DH1858" s="73"/>
      <c r="DI1858" s="73"/>
      <c r="DJ1858" s="73"/>
      <c r="DK1858" s="73"/>
      <c r="DL1858" s="73"/>
      <c r="DM1858" s="73"/>
    </row>
    <row r="1859" spans="1:117" s="48" customFormat="1">
      <c r="A1859" s="73"/>
      <c r="T1859" s="73"/>
      <c r="U1859" s="73"/>
      <c r="V1859" s="73"/>
      <c r="W1859" s="73"/>
      <c r="X1859" s="73"/>
      <c r="Y1859" s="73"/>
      <c r="Z1859" s="73"/>
      <c r="AA1859" s="73"/>
      <c r="AB1859" s="73"/>
      <c r="AC1859" s="73"/>
      <c r="AD1859" s="73"/>
      <c r="AE1859" s="73"/>
      <c r="AF1859" s="73"/>
      <c r="AG1859" s="73"/>
      <c r="AH1859" s="73"/>
      <c r="AI1859" s="73"/>
      <c r="AJ1859" s="73"/>
      <c r="AK1859" s="73"/>
      <c r="AL1859" s="73"/>
      <c r="AM1859" s="73"/>
      <c r="AN1859" s="73"/>
      <c r="AO1859" s="73"/>
      <c r="AP1859" s="73"/>
      <c r="AQ1859" s="73"/>
      <c r="AR1859" s="73"/>
      <c r="AS1859" s="73"/>
      <c r="AT1859" s="73"/>
      <c r="AU1859" s="73"/>
      <c r="AV1859" s="73"/>
      <c r="AW1859" s="73"/>
      <c r="AX1859" s="73"/>
      <c r="AY1859" s="73"/>
      <c r="AZ1859" s="73"/>
      <c r="BA1859" s="73"/>
      <c r="BB1859" s="73"/>
      <c r="BC1859" s="73"/>
      <c r="BD1859" s="73"/>
      <c r="BE1859" s="73"/>
      <c r="BF1859" s="73"/>
      <c r="BG1859" s="73"/>
      <c r="BH1859" s="73"/>
      <c r="BI1859" s="73"/>
      <c r="BJ1859" s="73"/>
      <c r="BK1859" s="73"/>
      <c r="BL1859" s="73"/>
      <c r="BM1859" s="73"/>
      <c r="BN1859" s="73"/>
      <c r="BO1859" s="73"/>
      <c r="BP1859" s="73"/>
      <c r="BQ1859" s="73"/>
      <c r="BR1859" s="73"/>
      <c r="BS1859" s="73"/>
      <c r="BT1859" s="73"/>
      <c r="BU1859" s="73"/>
      <c r="BV1859" s="73"/>
      <c r="BW1859" s="73"/>
      <c r="BX1859" s="73"/>
      <c r="BY1859" s="73"/>
      <c r="BZ1859" s="73"/>
      <c r="CA1859" s="73"/>
      <c r="CB1859" s="73"/>
      <c r="CC1859" s="73"/>
      <c r="CD1859" s="73"/>
      <c r="CE1859" s="73"/>
      <c r="CF1859" s="73"/>
      <c r="CG1859" s="73"/>
      <c r="CH1859" s="73"/>
      <c r="CI1859" s="73"/>
      <c r="CJ1859" s="73"/>
      <c r="CK1859" s="73"/>
      <c r="CL1859" s="73"/>
      <c r="CM1859" s="73"/>
      <c r="CN1859" s="73"/>
      <c r="CO1859" s="73"/>
      <c r="CP1859" s="73"/>
      <c r="CQ1859" s="73"/>
      <c r="CR1859" s="73"/>
      <c r="CS1859" s="73"/>
      <c r="CT1859" s="73"/>
      <c r="CU1859" s="73"/>
      <c r="CV1859" s="73"/>
      <c r="CW1859" s="73"/>
      <c r="CX1859" s="73"/>
      <c r="CY1859" s="73"/>
      <c r="CZ1859" s="73"/>
      <c r="DA1859" s="73"/>
      <c r="DB1859" s="73"/>
      <c r="DC1859" s="73"/>
      <c r="DD1859" s="73"/>
      <c r="DE1859" s="73"/>
      <c r="DF1859" s="73"/>
      <c r="DG1859" s="73"/>
      <c r="DH1859" s="73"/>
      <c r="DI1859" s="73"/>
      <c r="DJ1859" s="73"/>
      <c r="DK1859" s="73"/>
      <c r="DL1859" s="73"/>
      <c r="DM1859" s="73"/>
    </row>
    <row r="1860" spans="1:117" s="48" customFormat="1">
      <c r="A1860" s="73"/>
      <c r="T1860" s="73"/>
      <c r="U1860" s="73"/>
      <c r="V1860" s="73"/>
      <c r="W1860" s="73"/>
      <c r="X1860" s="73"/>
      <c r="Y1860" s="73"/>
      <c r="Z1860" s="73"/>
      <c r="AA1860" s="73"/>
      <c r="AB1860" s="73"/>
      <c r="AC1860" s="73"/>
      <c r="AD1860" s="73"/>
      <c r="AE1860" s="73"/>
      <c r="AF1860" s="73"/>
      <c r="AG1860" s="73"/>
      <c r="AH1860" s="73"/>
      <c r="AI1860" s="73"/>
      <c r="AJ1860" s="73"/>
      <c r="AK1860" s="73"/>
      <c r="AL1860" s="73"/>
      <c r="AM1860" s="73"/>
      <c r="AN1860" s="73"/>
      <c r="AO1860" s="73"/>
      <c r="AP1860" s="73"/>
      <c r="AQ1860" s="73"/>
      <c r="AR1860" s="73"/>
      <c r="AS1860" s="73"/>
      <c r="AT1860" s="73"/>
      <c r="AU1860" s="73"/>
      <c r="AV1860" s="73"/>
      <c r="AW1860" s="73"/>
      <c r="AX1860" s="73"/>
      <c r="AY1860" s="73"/>
      <c r="AZ1860" s="73"/>
      <c r="BA1860" s="73"/>
      <c r="BB1860" s="73"/>
      <c r="BC1860" s="73"/>
      <c r="BD1860" s="73"/>
      <c r="BE1860" s="73"/>
      <c r="BF1860" s="73"/>
      <c r="BG1860" s="73"/>
      <c r="BH1860" s="73"/>
      <c r="BI1860" s="73"/>
      <c r="BJ1860" s="73"/>
      <c r="BK1860" s="73"/>
      <c r="BL1860" s="73"/>
      <c r="BM1860" s="73"/>
      <c r="BN1860" s="73"/>
      <c r="BO1860" s="73"/>
      <c r="BP1860" s="73"/>
      <c r="BQ1860" s="73"/>
      <c r="BR1860" s="73"/>
      <c r="BS1860" s="73"/>
      <c r="BT1860" s="73"/>
      <c r="BU1860" s="73"/>
      <c r="BV1860" s="73"/>
      <c r="BW1860" s="73"/>
      <c r="BX1860" s="73"/>
      <c r="BY1860" s="73"/>
      <c r="BZ1860" s="73"/>
      <c r="CA1860" s="73"/>
      <c r="CB1860" s="73"/>
      <c r="CC1860" s="73"/>
      <c r="CD1860" s="73"/>
      <c r="CE1860" s="73"/>
      <c r="CF1860" s="73"/>
      <c r="CG1860" s="73"/>
      <c r="CH1860" s="73"/>
      <c r="CI1860" s="73"/>
      <c r="CJ1860" s="73"/>
      <c r="CK1860" s="73"/>
      <c r="CL1860" s="73"/>
      <c r="CM1860" s="73"/>
      <c r="CN1860" s="73"/>
      <c r="CO1860" s="73"/>
      <c r="CP1860" s="73"/>
      <c r="CQ1860" s="73"/>
      <c r="CR1860" s="73"/>
      <c r="CS1860" s="73"/>
      <c r="CT1860" s="73"/>
      <c r="CU1860" s="73"/>
      <c r="CV1860" s="73"/>
      <c r="CW1860" s="73"/>
      <c r="CX1860" s="73"/>
      <c r="CY1860" s="73"/>
      <c r="CZ1860" s="73"/>
      <c r="DA1860" s="73"/>
      <c r="DB1860" s="73"/>
      <c r="DC1860" s="73"/>
      <c r="DD1860" s="73"/>
      <c r="DE1860" s="73"/>
      <c r="DF1860" s="73"/>
      <c r="DG1860" s="73"/>
      <c r="DH1860" s="73"/>
      <c r="DI1860" s="73"/>
      <c r="DJ1860" s="73"/>
      <c r="DK1860" s="73"/>
      <c r="DL1860" s="73"/>
      <c r="DM1860" s="73"/>
    </row>
    <row r="1861" spans="1:117" s="48" customFormat="1">
      <c r="A1861" s="73"/>
      <c r="T1861" s="73"/>
      <c r="U1861" s="73"/>
      <c r="V1861" s="73"/>
      <c r="W1861" s="73"/>
      <c r="X1861" s="73"/>
      <c r="Y1861" s="73"/>
      <c r="Z1861" s="73"/>
      <c r="AA1861" s="73"/>
      <c r="AB1861" s="73"/>
      <c r="AC1861" s="73"/>
      <c r="AD1861" s="73"/>
      <c r="AE1861" s="73"/>
      <c r="AF1861" s="73"/>
      <c r="AG1861" s="73"/>
      <c r="AH1861" s="73"/>
      <c r="AI1861" s="73"/>
      <c r="AJ1861" s="73"/>
      <c r="AK1861" s="73"/>
      <c r="AL1861" s="73"/>
      <c r="AM1861" s="73"/>
      <c r="AN1861" s="73"/>
      <c r="AO1861" s="73"/>
      <c r="AP1861" s="73"/>
      <c r="AQ1861" s="73"/>
      <c r="AR1861" s="73"/>
      <c r="AS1861" s="73"/>
      <c r="AT1861" s="73"/>
      <c r="AU1861" s="73"/>
      <c r="AV1861" s="73"/>
      <c r="AW1861" s="73"/>
      <c r="AX1861" s="73"/>
      <c r="AY1861" s="73"/>
      <c r="AZ1861" s="73"/>
      <c r="BA1861" s="73"/>
      <c r="BB1861" s="73"/>
      <c r="BC1861" s="73"/>
      <c r="BD1861" s="73"/>
      <c r="BE1861" s="73"/>
      <c r="BF1861" s="73"/>
      <c r="BG1861" s="73"/>
      <c r="BH1861" s="73"/>
      <c r="BI1861" s="73"/>
      <c r="BJ1861" s="73"/>
      <c r="BK1861" s="73"/>
      <c r="BL1861" s="73"/>
      <c r="BM1861" s="73"/>
      <c r="BN1861" s="73"/>
      <c r="BO1861" s="73"/>
      <c r="BP1861" s="73"/>
      <c r="BQ1861" s="73"/>
      <c r="BR1861" s="73"/>
      <c r="BS1861" s="73"/>
      <c r="BT1861" s="73"/>
      <c r="BU1861" s="73"/>
      <c r="BV1861" s="73"/>
      <c r="BW1861" s="73"/>
      <c r="BX1861" s="73"/>
      <c r="BY1861" s="73"/>
      <c r="BZ1861" s="73"/>
      <c r="CA1861" s="73"/>
      <c r="CB1861" s="73"/>
      <c r="CC1861" s="73"/>
      <c r="CD1861" s="73"/>
      <c r="CE1861" s="73"/>
      <c r="CF1861" s="73"/>
      <c r="CG1861" s="73"/>
      <c r="CH1861" s="73"/>
      <c r="CI1861" s="73"/>
      <c r="CJ1861" s="73"/>
      <c r="CK1861" s="73"/>
      <c r="CL1861" s="73"/>
      <c r="CM1861" s="73"/>
      <c r="CN1861" s="73"/>
      <c r="CO1861" s="73"/>
      <c r="CP1861" s="73"/>
      <c r="CQ1861" s="73"/>
      <c r="CR1861" s="73"/>
      <c r="CS1861" s="73"/>
      <c r="CT1861" s="73"/>
      <c r="CU1861" s="73"/>
      <c r="CV1861" s="73"/>
      <c r="CW1861" s="73"/>
      <c r="CX1861" s="73"/>
      <c r="CY1861" s="73"/>
      <c r="CZ1861" s="73"/>
      <c r="DA1861" s="73"/>
      <c r="DB1861" s="73"/>
      <c r="DC1861" s="73"/>
      <c r="DD1861" s="73"/>
      <c r="DE1861" s="73"/>
      <c r="DF1861" s="73"/>
      <c r="DG1861" s="73"/>
      <c r="DH1861" s="73"/>
      <c r="DI1861" s="73"/>
      <c r="DJ1861" s="73"/>
      <c r="DK1861" s="73"/>
      <c r="DL1861" s="73"/>
      <c r="DM1861" s="73"/>
    </row>
    <row r="1862" spans="1:117" s="48" customFormat="1">
      <c r="A1862" s="73"/>
      <c r="T1862" s="73"/>
      <c r="U1862" s="73"/>
      <c r="V1862" s="73"/>
      <c r="W1862" s="73"/>
      <c r="X1862" s="73"/>
      <c r="Y1862" s="73"/>
      <c r="Z1862" s="73"/>
      <c r="AA1862" s="73"/>
      <c r="AB1862" s="73"/>
      <c r="AC1862" s="73"/>
      <c r="AD1862" s="73"/>
      <c r="AE1862" s="73"/>
      <c r="AF1862" s="73"/>
      <c r="AG1862" s="73"/>
      <c r="AH1862" s="73"/>
      <c r="AI1862" s="73"/>
      <c r="AJ1862" s="73"/>
      <c r="AK1862" s="73"/>
      <c r="AL1862" s="73"/>
      <c r="AM1862" s="73"/>
      <c r="AN1862" s="73"/>
      <c r="AO1862" s="73"/>
      <c r="AP1862" s="73"/>
      <c r="AQ1862" s="73"/>
      <c r="AR1862" s="73"/>
      <c r="AS1862" s="73"/>
      <c r="AT1862" s="73"/>
      <c r="AU1862" s="73"/>
      <c r="AV1862" s="73"/>
      <c r="AW1862" s="73"/>
      <c r="AX1862" s="73"/>
      <c r="AY1862" s="73"/>
      <c r="AZ1862" s="73"/>
      <c r="BA1862" s="73"/>
      <c r="BB1862" s="73"/>
      <c r="BC1862" s="73"/>
      <c r="BD1862" s="73"/>
      <c r="BE1862" s="73"/>
      <c r="BF1862" s="73"/>
      <c r="BG1862" s="73"/>
      <c r="BH1862" s="73"/>
      <c r="BI1862" s="73"/>
      <c r="BJ1862" s="73"/>
      <c r="BK1862" s="73"/>
      <c r="BL1862" s="73"/>
      <c r="BM1862" s="73"/>
      <c r="BN1862" s="73"/>
      <c r="BO1862" s="73"/>
      <c r="BP1862" s="73"/>
      <c r="BQ1862" s="73"/>
      <c r="BR1862" s="73"/>
      <c r="BS1862" s="73"/>
      <c r="BT1862" s="73"/>
      <c r="BU1862" s="73"/>
      <c r="BV1862" s="73"/>
      <c r="BW1862" s="73"/>
      <c r="BX1862" s="73"/>
      <c r="BY1862" s="73"/>
      <c r="BZ1862" s="73"/>
      <c r="CA1862" s="73"/>
      <c r="CB1862" s="73"/>
      <c r="CC1862" s="73"/>
      <c r="CD1862" s="73"/>
      <c r="CE1862" s="73"/>
      <c r="CF1862" s="73"/>
      <c r="CG1862" s="73"/>
      <c r="CH1862" s="73"/>
      <c r="CI1862" s="73"/>
      <c r="CJ1862" s="73"/>
      <c r="CK1862" s="73"/>
      <c r="CL1862" s="73"/>
      <c r="CM1862" s="73"/>
      <c r="CN1862" s="73"/>
      <c r="CO1862" s="73"/>
      <c r="CP1862" s="73"/>
      <c r="CQ1862" s="73"/>
      <c r="CR1862" s="73"/>
      <c r="CS1862" s="73"/>
      <c r="CT1862" s="73"/>
      <c r="CU1862" s="73"/>
      <c r="CV1862" s="73"/>
      <c r="CW1862" s="73"/>
      <c r="CX1862" s="73"/>
      <c r="CY1862" s="73"/>
      <c r="CZ1862" s="73"/>
      <c r="DA1862" s="73"/>
      <c r="DB1862" s="73"/>
      <c r="DC1862" s="73"/>
      <c r="DD1862" s="73"/>
      <c r="DE1862" s="73"/>
      <c r="DF1862" s="73"/>
      <c r="DG1862" s="73"/>
      <c r="DH1862" s="73"/>
      <c r="DI1862" s="73"/>
      <c r="DJ1862" s="73"/>
      <c r="DK1862" s="73"/>
      <c r="DL1862" s="73"/>
      <c r="DM1862" s="73"/>
    </row>
    <row r="1863" spans="1:117" s="48" customFormat="1">
      <c r="A1863" s="73"/>
      <c r="T1863" s="73"/>
      <c r="U1863" s="73"/>
      <c r="V1863" s="73"/>
      <c r="W1863" s="73"/>
      <c r="X1863" s="73"/>
      <c r="Y1863" s="73"/>
      <c r="Z1863" s="73"/>
      <c r="AA1863" s="73"/>
      <c r="AB1863" s="73"/>
      <c r="AC1863" s="73"/>
      <c r="AD1863" s="73"/>
      <c r="AE1863" s="73"/>
      <c r="AF1863" s="73"/>
      <c r="AG1863" s="73"/>
      <c r="AH1863" s="73"/>
      <c r="AI1863" s="73"/>
      <c r="AJ1863" s="73"/>
      <c r="AK1863" s="73"/>
      <c r="AL1863" s="73"/>
      <c r="AM1863" s="73"/>
      <c r="AN1863" s="73"/>
      <c r="AO1863" s="73"/>
      <c r="AP1863" s="73"/>
      <c r="AQ1863" s="73"/>
      <c r="AR1863" s="73"/>
      <c r="AS1863" s="73"/>
      <c r="AT1863" s="73"/>
      <c r="AU1863" s="73"/>
      <c r="AV1863" s="73"/>
      <c r="AW1863" s="73"/>
      <c r="AX1863" s="73"/>
      <c r="AY1863" s="73"/>
      <c r="AZ1863" s="73"/>
      <c r="BA1863" s="73"/>
      <c r="BB1863" s="73"/>
      <c r="BC1863" s="73"/>
      <c r="BD1863" s="73"/>
      <c r="BE1863" s="73"/>
      <c r="BF1863" s="73"/>
      <c r="BG1863" s="73"/>
      <c r="BH1863" s="73"/>
      <c r="BI1863" s="73"/>
      <c r="BJ1863" s="73"/>
      <c r="BK1863" s="73"/>
      <c r="BL1863" s="73"/>
      <c r="BM1863" s="73"/>
      <c r="BN1863" s="73"/>
      <c r="BO1863" s="73"/>
      <c r="BP1863" s="73"/>
      <c r="BQ1863" s="73"/>
      <c r="BR1863" s="73"/>
      <c r="BS1863" s="73"/>
      <c r="BT1863" s="73"/>
      <c r="BU1863" s="73"/>
      <c r="BV1863" s="73"/>
      <c r="BW1863" s="73"/>
      <c r="BX1863" s="73"/>
      <c r="BY1863" s="73"/>
      <c r="BZ1863" s="73"/>
      <c r="CA1863" s="73"/>
      <c r="CB1863" s="73"/>
      <c r="CC1863" s="73"/>
      <c r="CD1863" s="73"/>
      <c r="CE1863" s="73"/>
      <c r="CF1863" s="73"/>
      <c r="CG1863" s="73"/>
      <c r="CH1863" s="73"/>
      <c r="CI1863" s="73"/>
      <c r="CJ1863" s="73"/>
      <c r="CK1863" s="73"/>
      <c r="CL1863" s="73"/>
      <c r="CM1863" s="73"/>
      <c r="CN1863" s="73"/>
      <c r="CO1863" s="73"/>
      <c r="CP1863" s="73"/>
      <c r="CQ1863" s="73"/>
      <c r="CR1863" s="73"/>
      <c r="CS1863" s="73"/>
      <c r="CT1863" s="73"/>
      <c r="CU1863" s="73"/>
      <c r="CV1863" s="73"/>
      <c r="CW1863" s="73"/>
      <c r="CX1863" s="73"/>
      <c r="CY1863" s="73"/>
      <c r="CZ1863" s="73"/>
      <c r="DA1863" s="73"/>
      <c r="DB1863" s="73"/>
      <c r="DC1863" s="73"/>
      <c r="DD1863" s="73"/>
      <c r="DE1863" s="73"/>
      <c r="DF1863" s="73"/>
      <c r="DG1863" s="73"/>
      <c r="DH1863" s="73"/>
      <c r="DI1863" s="73"/>
      <c r="DJ1863" s="73"/>
      <c r="DK1863" s="73"/>
      <c r="DL1863" s="73"/>
      <c r="DM1863" s="73"/>
    </row>
    <row r="1864" spans="1:117" s="48" customFormat="1">
      <c r="A1864" s="73"/>
      <c r="T1864" s="73"/>
      <c r="U1864" s="73"/>
      <c r="V1864" s="73"/>
      <c r="W1864" s="73"/>
      <c r="X1864" s="73"/>
      <c r="Y1864" s="73"/>
      <c r="Z1864" s="73"/>
      <c r="AA1864" s="73"/>
      <c r="AB1864" s="73"/>
      <c r="AC1864" s="73"/>
      <c r="AD1864" s="73"/>
      <c r="AE1864" s="73"/>
      <c r="AF1864" s="73"/>
      <c r="AG1864" s="73"/>
      <c r="AH1864" s="73"/>
      <c r="AI1864" s="73"/>
      <c r="AJ1864" s="73"/>
      <c r="AK1864" s="73"/>
      <c r="AL1864" s="73"/>
      <c r="AM1864" s="73"/>
      <c r="AN1864" s="73"/>
      <c r="AO1864" s="73"/>
      <c r="AP1864" s="73"/>
      <c r="AQ1864" s="73"/>
      <c r="AR1864" s="73"/>
      <c r="AS1864" s="73"/>
      <c r="AT1864" s="73"/>
      <c r="AU1864" s="73"/>
      <c r="AV1864" s="73"/>
      <c r="AW1864" s="73"/>
      <c r="AX1864" s="73"/>
      <c r="AY1864" s="73"/>
      <c r="AZ1864" s="73"/>
      <c r="BA1864" s="73"/>
      <c r="BB1864" s="73"/>
      <c r="BC1864" s="73"/>
      <c r="BD1864" s="73"/>
      <c r="BE1864" s="73"/>
      <c r="BF1864" s="73"/>
      <c r="BG1864" s="73"/>
      <c r="BH1864" s="73"/>
      <c r="BI1864" s="73"/>
      <c r="BJ1864" s="73"/>
      <c r="BK1864" s="73"/>
      <c r="BL1864" s="73"/>
      <c r="BM1864" s="73"/>
      <c r="BN1864" s="73"/>
      <c r="BO1864" s="73"/>
      <c r="BP1864" s="73"/>
      <c r="BQ1864" s="73"/>
      <c r="BR1864" s="73"/>
      <c r="BS1864" s="73"/>
      <c r="BT1864" s="73"/>
      <c r="BU1864" s="73"/>
      <c r="BV1864" s="73"/>
      <c r="BW1864" s="73"/>
      <c r="BX1864" s="73"/>
      <c r="BY1864" s="73"/>
      <c r="BZ1864" s="73"/>
      <c r="CA1864" s="73"/>
      <c r="CB1864" s="73"/>
      <c r="CC1864" s="73"/>
      <c r="CD1864" s="73"/>
      <c r="CE1864" s="73"/>
      <c r="CF1864" s="73"/>
      <c r="CG1864" s="73"/>
      <c r="CH1864" s="73"/>
      <c r="CI1864" s="73"/>
      <c r="CJ1864" s="73"/>
      <c r="CK1864" s="73"/>
      <c r="CL1864" s="73"/>
      <c r="CM1864" s="73"/>
      <c r="CN1864" s="73"/>
      <c r="CO1864" s="73"/>
      <c r="CP1864" s="73"/>
      <c r="CQ1864" s="73"/>
      <c r="CR1864" s="73"/>
      <c r="CS1864" s="73"/>
      <c r="CT1864" s="73"/>
      <c r="CU1864" s="73"/>
      <c r="CV1864" s="73"/>
      <c r="CW1864" s="73"/>
      <c r="CX1864" s="73"/>
      <c r="CY1864" s="73"/>
      <c r="CZ1864" s="73"/>
      <c r="DA1864" s="73"/>
      <c r="DB1864" s="73"/>
      <c r="DC1864" s="73"/>
      <c r="DD1864" s="73"/>
      <c r="DE1864" s="73"/>
      <c r="DF1864" s="73"/>
      <c r="DG1864" s="73"/>
      <c r="DH1864" s="73"/>
      <c r="DI1864" s="73"/>
      <c r="DJ1864" s="73"/>
      <c r="DK1864" s="73"/>
      <c r="DL1864" s="73"/>
      <c r="DM1864" s="73"/>
    </row>
    <row r="1865" spans="1:117" s="48" customFormat="1">
      <c r="A1865" s="73"/>
      <c r="T1865" s="73"/>
      <c r="U1865" s="73"/>
      <c r="V1865" s="73"/>
      <c r="W1865" s="73"/>
      <c r="X1865" s="73"/>
      <c r="Y1865" s="73"/>
      <c r="Z1865" s="73"/>
      <c r="AA1865" s="73"/>
      <c r="AB1865" s="73"/>
      <c r="AC1865" s="73"/>
      <c r="AD1865" s="73"/>
      <c r="AE1865" s="73"/>
      <c r="AF1865" s="73"/>
      <c r="AG1865" s="73"/>
      <c r="AH1865" s="73"/>
      <c r="AI1865" s="73"/>
      <c r="AJ1865" s="73"/>
      <c r="AK1865" s="73"/>
      <c r="AL1865" s="73"/>
      <c r="AM1865" s="73"/>
      <c r="AN1865" s="73"/>
      <c r="AO1865" s="73"/>
      <c r="AP1865" s="73"/>
      <c r="AQ1865" s="73"/>
      <c r="AR1865" s="73"/>
      <c r="AS1865" s="73"/>
      <c r="AT1865" s="73"/>
      <c r="AU1865" s="73"/>
      <c r="AV1865" s="73"/>
      <c r="AW1865" s="73"/>
      <c r="AX1865" s="73"/>
      <c r="AY1865" s="73"/>
      <c r="AZ1865" s="73"/>
      <c r="BA1865" s="73"/>
      <c r="BB1865" s="73"/>
      <c r="BC1865" s="73"/>
      <c r="BD1865" s="73"/>
      <c r="BE1865" s="73"/>
      <c r="BF1865" s="73"/>
      <c r="BG1865" s="73"/>
      <c r="BH1865" s="73"/>
      <c r="BI1865" s="73"/>
      <c r="BJ1865" s="73"/>
      <c r="BK1865" s="73"/>
      <c r="BL1865" s="73"/>
      <c r="BM1865" s="73"/>
      <c r="BN1865" s="73"/>
      <c r="BO1865" s="73"/>
      <c r="BP1865" s="73"/>
      <c r="BQ1865" s="73"/>
      <c r="BR1865" s="73"/>
      <c r="BS1865" s="73"/>
      <c r="BT1865" s="73"/>
      <c r="BU1865" s="73"/>
      <c r="BV1865" s="73"/>
      <c r="BW1865" s="73"/>
      <c r="BX1865" s="73"/>
      <c r="BY1865" s="73"/>
      <c r="BZ1865" s="73"/>
      <c r="CA1865" s="73"/>
      <c r="CB1865" s="73"/>
      <c r="CC1865" s="73"/>
      <c r="CD1865" s="73"/>
      <c r="CE1865" s="73"/>
      <c r="CF1865" s="73"/>
      <c r="CG1865" s="73"/>
      <c r="CH1865" s="73"/>
      <c r="CI1865" s="73"/>
      <c r="CJ1865" s="73"/>
      <c r="CK1865" s="73"/>
      <c r="CL1865" s="73"/>
      <c r="CM1865" s="73"/>
      <c r="CN1865" s="73"/>
      <c r="CO1865" s="73"/>
      <c r="CP1865" s="73"/>
      <c r="CQ1865" s="73"/>
      <c r="CR1865" s="73"/>
      <c r="CS1865" s="73"/>
      <c r="CT1865" s="73"/>
      <c r="CU1865" s="73"/>
      <c r="CV1865" s="73"/>
      <c r="CW1865" s="73"/>
      <c r="CX1865" s="73"/>
      <c r="CY1865" s="73"/>
      <c r="CZ1865" s="73"/>
      <c r="DA1865" s="73"/>
      <c r="DB1865" s="73"/>
      <c r="DC1865" s="73"/>
      <c r="DD1865" s="73"/>
      <c r="DE1865" s="73"/>
      <c r="DF1865" s="73"/>
      <c r="DG1865" s="73"/>
      <c r="DH1865" s="73"/>
      <c r="DI1865" s="73"/>
      <c r="DJ1865" s="73"/>
      <c r="DK1865" s="73"/>
      <c r="DL1865" s="73"/>
      <c r="DM1865" s="73"/>
    </row>
    <row r="1866" spans="1:117" s="48" customFormat="1">
      <c r="A1866" s="73"/>
      <c r="T1866" s="73"/>
      <c r="U1866" s="73"/>
      <c r="V1866" s="73"/>
      <c r="W1866" s="73"/>
      <c r="X1866" s="73"/>
      <c r="Y1866" s="73"/>
      <c r="Z1866" s="73"/>
      <c r="AA1866" s="73"/>
      <c r="AB1866" s="73"/>
      <c r="AC1866" s="73"/>
      <c r="AD1866" s="73"/>
      <c r="AE1866" s="73"/>
      <c r="AF1866" s="73"/>
      <c r="AG1866" s="73"/>
      <c r="AH1866" s="73"/>
      <c r="AI1866" s="73"/>
      <c r="AJ1866" s="73"/>
      <c r="AK1866" s="73"/>
      <c r="AL1866" s="73"/>
      <c r="AM1866" s="73"/>
      <c r="AN1866" s="73"/>
      <c r="AO1866" s="73"/>
      <c r="AP1866" s="73"/>
      <c r="AQ1866" s="73"/>
      <c r="AR1866" s="73"/>
      <c r="AS1866" s="73"/>
      <c r="AT1866" s="73"/>
      <c r="AU1866" s="73"/>
      <c r="AV1866" s="73"/>
      <c r="AW1866" s="73"/>
      <c r="AX1866" s="73"/>
      <c r="AY1866" s="73"/>
      <c r="AZ1866" s="73"/>
      <c r="BA1866" s="73"/>
      <c r="BB1866" s="73"/>
      <c r="BC1866" s="73"/>
      <c r="BD1866" s="73"/>
      <c r="BE1866" s="73"/>
      <c r="BF1866" s="73"/>
      <c r="BG1866" s="73"/>
      <c r="BH1866" s="73"/>
      <c r="BI1866" s="73"/>
      <c r="BJ1866" s="73"/>
      <c r="BK1866" s="73"/>
      <c r="BL1866" s="73"/>
      <c r="BM1866" s="73"/>
      <c r="BN1866" s="73"/>
      <c r="BO1866" s="73"/>
      <c r="BP1866" s="73"/>
      <c r="BQ1866" s="73"/>
      <c r="BR1866" s="73"/>
      <c r="BS1866" s="73"/>
      <c r="BT1866" s="73"/>
      <c r="BU1866" s="73"/>
      <c r="BV1866" s="73"/>
      <c r="BW1866" s="73"/>
      <c r="BX1866" s="73"/>
      <c r="BY1866" s="73"/>
      <c r="BZ1866" s="73"/>
      <c r="CA1866" s="73"/>
      <c r="CB1866" s="73"/>
      <c r="CC1866" s="73"/>
      <c r="CD1866" s="73"/>
      <c r="CE1866" s="73"/>
      <c r="CF1866" s="73"/>
      <c r="CG1866" s="73"/>
      <c r="CH1866" s="73"/>
      <c r="CI1866" s="73"/>
      <c r="CJ1866" s="73"/>
      <c r="CK1866" s="73"/>
      <c r="CL1866" s="73"/>
      <c r="CM1866" s="73"/>
      <c r="CN1866" s="73"/>
      <c r="CO1866" s="73"/>
      <c r="CP1866" s="73"/>
      <c r="CQ1866" s="73"/>
      <c r="CR1866" s="73"/>
      <c r="CS1866" s="73"/>
      <c r="CT1866" s="73"/>
      <c r="CU1866" s="73"/>
      <c r="CV1866" s="73"/>
      <c r="CW1866" s="73"/>
      <c r="CX1866" s="73"/>
      <c r="CY1866" s="73"/>
      <c r="CZ1866" s="73"/>
      <c r="DA1866" s="73"/>
      <c r="DB1866" s="73"/>
      <c r="DC1866" s="73"/>
      <c r="DD1866" s="73"/>
      <c r="DE1866" s="73"/>
      <c r="DF1866" s="73"/>
      <c r="DG1866" s="73"/>
      <c r="DH1866" s="73"/>
      <c r="DI1866" s="73"/>
      <c r="DJ1866" s="73"/>
      <c r="DK1866" s="73"/>
      <c r="DL1866" s="73"/>
      <c r="DM1866" s="73"/>
    </row>
    <row r="1867" spans="1:117" s="48" customFormat="1">
      <c r="A1867" s="73"/>
      <c r="T1867" s="73"/>
      <c r="U1867" s="73"/>
      <c r="V1867" s="73"/>
      <c r="W1867" s="73"/>
      <c r="X1867" s="73"/>
      <c r="Y1867" s="73"/>
      <c r="Z1867" s="73"/>
      <c r="AA1867" s="73"/>
      <c r="AB1867" s="73"/>
      <c r="AC1867" s="73"/>
      <c r="AD1867" s="73"/>
      <c r="AE1867" s="73"/>
      <c r="AF1867" s="73"/>
      <c r="AG1867" s="73"/>
      <c r="AH1867" s="73"/>
      <c r="AI1867" s="73"/>
      <c r="AJ1867" s="73"/>
      <c r="AK1867" s="73"/>
      <c r="AL1867" s="73"/>
      <c r="AM1867" s="73"/>
      <c r="AN1867" s="73"/>
      <c r="AO1867" s="73"/>
      <c r="AP1867" s="73"/>
      <c r="AQ1867" s="73"/>
      <c r="AR1867" s="73"/>
      <c r="AS1867" s="73"/>
      <c r="AT1867" s="73"/>
      <c r="AU1867" s="73"/>
      <c r="AV1867" s="73"/>
      <c r="AW1867" s="73"/>
      <c r="AX1867" s="73"/>
      <c r="AY1867" s="73"/>
      <c r="AZ1867" s="73"/>
      <c r="BA1867" s="73"/>
      <c r="BB1867" s="73"/>
      <c r="BC1867" s="73"/>
      <c r="BD1867" s="73"/>
      <c r="BE1867" s="73"/>
      <c r="BF1867" s="73"/>
      <c r="BG1867" s="73"/>
      <c r="BH1867" s="73"/>
      <c r="BI1867" s="73"/>
      <c r="BJ1867" s="73"/>
      <c r="BK1867" s="73"/>
      <c r="BL1867" s="73"/>
      <c r="BM1867" s="73"/>
      <c r="BN1867" s="73"/>
      <c r="BO1867" s="73"/>
      <c r="BP1867" s="73"/>
      <c r="BQ1867" s="73"/>
      <c r="BR1867" s="73"/>
      <c r="BS1867" s="73"/>
      <c r="BT1867" s="73"/>
      <c r="BU1867" s="73"/>
      <c r="BV1867" s="73"/>
      <c r="BW1867" s="73"/>
      <c r="BX1867" s="73"/>
      <c r="BY1867" s="73"/>
      <c r="BZ1867" s="73"/>
      <c r="CA1867" s="73"/>
      <c r="CB1867" s="73"/>
      <c r="CC1867" s="73"/>
      <c r="CD1867" s="73"/>
      <c r="CE1867" s="73"/>
      <c r="CF1867" s="73"/>
      <c r="CG1867" s="73"/>
      <c r="CH1867" s="73"/>
      <c r="CI1867" s="73"/>
      <c r="CJ1867" s="73"/>
      <c r="CK1867" s="73"/>
      <c r="CL1867" s="73"/>
      <c r="CM1867" s="73"/>
      <c r="CN1867" s="73"/>
      <c r="CO1867" s="73"/>
      <c r="CP1867" s="73"/>
      <c r="CQ1867" s="73"/>
      <c r="CR1867" s="73"/>
      <c r="CS1867" s="73"/>
      <c r="CT1867" s="73"/>
      <c r="CU1867" s="73"/>
      <c r="CV1867" s="73"/>
      <c r="CW1867" s="73"/>
      <c r="CX1867" s="73"/>
      <c r="CY1867" s="73"/>
      <c r="CZ1867" s="73"/>
      <c r="DA1867" s="73"/>
      <c r="DB1867" s="73"/>
      <c r="DC1867" s="73"/>
      <c r="DD1867" s="73"/>
      <c r="DE1867" s="73"/>
      <c r="DF1867" s="73"/>
      <c r="DG1867" s="73"/>
      <c r="DH1867" s="73"/>
      <c r="DI1867" s="73"/>
      <c r="DJ1867" s="73"/>
      <c r="DK1867" s="73"/>
      <c r="DL1867" s="73"/>
      <c r="DM1867" s="73"/>
    </row>
    <row r="1868" spans="1:117" s="48" customFormat="1">
      <c r="A1868" s="73"/>
      <c r="T1868" s="73"/>
      <c r="U1868" s="73"/>
      <c r="V1868" s="73"/>
      <c r="W1868" s="73"/>
      <c r="X1868" s="73"/>
      <c r="Y1868" s="73"/>
      <c r="Z1868" s="73"/>
      <c r="AA1868" s="73"/>
      <c r="AB1868" s="73"/>
      <c r="AC1868" s="73"/>
      <c r="AD1868" s="73"/>
      <c r="AE1868" s="73"/>
      <c r="AF1868" s="73"/>
      <c r="AG1868" s="73"/>
      <c r="AH1868" s="73"/>
      <c r="AI1868" s="73"/>
      <c r="AJ1868" s="73"/>
      <c r="AK1868" s="73"/>
      <c r="AL1868" s="73"/>
      <c r="AM1868" s="73"/>
      <c r="AN1868" s="73"/>
      <c r="AO1868" s="73"/>
      <c r="AP1868" s="73"/>
      <c r="AQ1868" s="73"/>
      <c r="AR1868" s="73"/>
      <c r="AS1868" s="73"/>
      <c r="AT1868" s="73"/>
      <c r="AU1868" s="73"/>
      <c r="AV1868" s="73"/>
      <c r="AW1868" s="73"/>
      <c r="AX1868" s="73"/>
      <c r="AY1868" s="73"/>
      <c r="AZ1868" s="73"/>
      <c r="BA1868" s="73"/>
      <c r="BB1868" s="73"/>
      <c r="BC1868" s="73"/>
      <c r="BD1868" s="73"/>
      <c r="BE1868" s="73"/>
      <c r="BF1868" s="73"/>
      <c r="BG1868" s="73"/>
      <c r="BH1868" s="73"/>
      <c r="BI1868" s="73"/>
      <c r="BJ1868" s="73"/>
      <c r="BK1868" s="73"/>
      <c r="BL1868" s="73"/>
      <c r="BM1868" s="73"/>
      <c r="BN1868" s="73"/>
      <c r="BO1868" s="73"/>
      <c r="BP1868" s="73"/>
      <c r="BQ1868" s="73"/>
      <c r="BR1868" s="73"/>
      <c r="BS1868" s="73"/>
      <c r="BT1868" s="73"/>
      <c r="BU1868" s="73"/>
      <c r="BV1868" s="73"/>
      <c r="BW1868" s="73"/>
      <c r="BX1868" s="73"/>
      <c r="BY1868" s="73"/>
      <c r="BZ1868" s="73"/>
      <c r="CA1868" s="73"/>
      <c r="CB1868" s="73"/>
      <c r="CC1868" s="73"/>
      <c r="CD1868" s="73"/>
      <c r="CE1868" s="73"/>
      <c r="CF1868" s="73"/>
      <c r="CG1868" s="73"/>
      <c r="CH1868" s="73"/>
      <c r="CI1868" s="73"/>
      <c r="CJ1868" s="73"/>
      <c r="CK1868" s="73"/>
      <c r="CL1868" s="73"/>
      <c r="CM1868" s="73"/>
      <c r="CN1868" s="73"/>
      <c r="CO1868" s="73"/>
      <c r="CP1868" s="73"/>
      <c r="CQ1868" s="73"/>
      <c r="CR1868" s="73"/>
      <c r="CS1868" s="73"/>
      <c r="CT1868" s="73"/>
      <c r="CU1868" s="73"/>
      <c r="CV1868" s="73"/>
      <c r="CW1868" s="73"/>
      <c r="CX1868" s="73"/>
      <c r="CY1868" s="73"/>
      <c r="CZ1868" s="73"/>
      <c r="DA1868" s="73"/>
      <c r="DB1868" s="73"/>
      <c r="DC1868" s="73"/>
      <c r="DD1868" s="73"/>
      <c r="DE1868" s="73"/>
      <c r="DF1868" s="73"/>
      <c r="DG1868" s="73"/>
      <c r="DH1868" s="73"/>
      <c r="DI1868" s="73"/>
      <c r="DJ1868" s="73"/>
      <c r="DK1868" s="73"/>
      <c r="DL1868" s="73"/>
      <c r="DM1868" s="73"/>
    </row>
    <row r="1869" spans="1:117" s="48" customFormat="1">
      <c r="A1869" s="73"/>
      <c r="T1869" s="73"/>
      <c r="U1869" s="73"/>
      <c r="V1869" s="73"/>
      <c r="W1869" s="73"/>
      <c r="X1869" s="73"/>
      <c r="Y1869" s="73"/>
      <c r="Z1869" s="73"/>
      <c r="AA1869" s="73"/>
      <c r="AB1869" s="73"/>
      <c r="AC1869" s="73"/>
      <c r="AD1869" s="73"/>
      <c r="AE1869" s="73"/>
      <c r="AF1869" s="73"/>
      <c r="AG1869" s="73"/>
      <c r="AH1869" s="73"/>
      <c r="AI1869" s="73"/>
      <c r="AJ1869" s="73"/>
      <c r="AK1869" s="73"/>
      <c r="AL1869" s="73"/>
      <c r="AM1869" s="73"/>
      <c r="AN1869" s="73"/>
      <c r="AO1869" s="73"/>
      <c r="AP1869" s="73"/>
      <c r="AQ1869" s="73"/>
      <c r="AR1869" s="73"/>
      <c r="AS1869" s="73"/>
      <c r="AT1869" s="73"/>
      <c r="AU1869" s="73"/>
      <c r="AV1869" s="73"/>
      <c r="AW1869" s="73"/>
      <c r="AX1869" s="73"/>
      <c r="AY1869" s="73"/>
      <c r="AZ1869" s="73"/>
      <c r="BA1869" s="73"/>
      <c r="BB1869" s="73"/>
      <c r="BC1869" s="73"/>
      <c r="BD1869" s="73"/>
      <c r="BE1869" s="73"/>
      <c r="BF1869" s="73"/>
      <c r="BG1869" s="73"/>
      <c r="BH1869" s="73"/>
      <c r="BI1869" s="73"/>
      <c r="BJ1869" s="73"/>
      <c r="BK1869" s="73"/>
      <c r="BL1869" s="73"/>
      <c r="BM1869" s="73"/>
      <c r="BN1869" s="73"/>
      <c r="BO1869" s="73"/>
      <c r="BP1869" s="73"/>
      <c r="BQ1869" s="73"/>
      <c r="BR1869" s="73"/>
      <c r="BS1869" s="73"/>
      <c r="BT1869" s="73"/>
      <c r="BU1869" s="73"/>
      <c r="BV1869" s="73"/>
      <c r="BW1869" s="73"/>
      <c r="BX1869" s="73"/>
      <c r="BY1869" s="73"/>
      <c r="BZ1869" s="73"/>
      <c r="CA1869" s="73"/>
      <c r="CB1869" s="73"/>
      <c r="CC1869" s="73"/>
      <c r="CD1869" s="73"/>
      <c r="CE1869" s="73"/>
      <c r="CF1869" s="73"/>
      <c r="CG1869" s="73"/>
      <c r="CH1869" s="73"/>
      <c r="CI1869" s="73"/>
      <c r="CJ1869" s="73"/>
      <c r="CK1869" s="73"/>
      <c r="CL1869" s="73"/>
      <c r="CM1869" s="73"/>
      <c r="CN1869" s="73"/>
      <c r="CO1869" s="73"/>
      <c r="CP1869" s="73"/>
      <c r="CQ1869" s="73"/>
      <c r="CR1869" s="73"/>
      <c r="CS1869" s="73"/>
      <c r="CT1869" s="73"/>
      <c r="CU1869" s="73"/>
      <c r="CV1869" s="73"/>
      <c r="CW1869" s="73"/>
      <c r="CX1869" s="73"/>
      <c r="CY1869" s="73"/>
      <c r="CZ1869" s="73"/>
      <c r="DA1869" s="73"/>
      <c r="DB1869" s="73"/>
      <c r="DC1869" s="73"/>
      <c r="DD1869" s="73"/>
      <c r="DE1869" s="73"/>
      <c r="DF1869" s="73"/>
      <c r="DG1869" s="73"/>
      <c r="DH1869" s="73"/>
      <c r="DI1869" s="73"/>
      <c r="DJ1869" s="73"/>
      <c r="DK1869" s="73"/>
      <c r="DL1869" s="73"/>
      <c r="DM1869" s="73"/>
    </row>
    <row r="1870" spans="1:117" s="48" customFormat="1">
      <c r="A1870" s="73"/>
      <c r="T1870" s="73"/>
      <c r="U1870" s="73"/>
      <c r="V1870" s="73"/>
      <c r="W1870" s="73"/>
      <c r="X1870" s="73"/>
      <c r="Y1870" s="73"/>
      <c r="Z1870" s="73"/>
      <c r="AA1870" s="73"/>
      <c r="AB1870" s="73"/>
      <c r="AC1870" s="73"/>
      <c r="AD1870" s="73"/>
      <c r="AE1870" s="73"/>
      <c r="AF1870" s="73"/>
      <c r="AG1870" s="73"/>
      <c r="AH1870" s="73"/>
      <c r="AI1870" s="73"/>
      <c r="AJ1870" s="73"/>
      <c r="AK1870" s="73"/>
      <c r="AL1870" s="73"/>
      <c r="AM1870" s="73"/>
      <c r="AN1870" s="73"/>
      <c r="AO1870" s="73"/>
      <c r="AP1870" s="73"/>
      <c r="AQ1870" s="73"/>
      <c r="AR1870" s="73"/>
      <c r="AS1870" s="73"/>
      <c r="AT1870" s="73"/>
      <c r="AU1870" s="73"/>
      <c r="AV1870" s="73"/>
      <c r="AW1870" s="73"/>
      <c r="AX1870" s="73"/>
      <c r="AY1870" s="73"/>
      <c r="AZ1870" s="73"/>
      <c r="BA1870" s="73"/>
      <c r="BB1870" s="73"/>
      <c r="BC1870" s="73"/>
      <c r="BD1870" s="73"/>
      <c r="BE1870" s="73"/>
      <c r="BF1870" s="73"/>
      <c r="BG1870" s="73"/>
      <c r="BH1870" s="73"/>
      <c r="BI1870" s="73"/>
      <c r="BJ1870" s="73"/>
      <c r="BK1870" s="73"/>
      <c r="BL1870" s="73"/>
      <c r="BM1870" s="73"/>
      <c r="BN1870" s="73"/>
      <c r="BO1870" s="73"/>
      <c r="BP1870" s="73"/>
      <c r="BQ1870" s="73"/>
      <c r="BR1870" s="73"/>
      <c r="BS1870" s="73"/>
      <c r="BT1870" s="73"/>
      <c r="BU1870" s="73"/>
      <c r="BV1870" s="73"/>
      <c r="BW1870" s="73"/>
      <c r="BX1870" s="73"/>
      <c r="BY1870" s="73"/>
      <c r="BZ1870" s="73"/>
      <c r="CA1870" s="73"/>
      <c r="CB1870" s="73"/>
      <c r="CC1870" s="73"/>
      <c r="CD1870" s="73"/>
      <c r="CE1870" s="73"/>
      <c r="CF1870" s="73"/>
      <c r="CG1870" s="73"/>
      <c r="CH1870" s="73"/>
      <c r="CI1870" s="73"/>
      <c r="CJ1870" s="73"/>
      <c r="CK1870" s="73"/>
      <c r="CL1870" s="73"/>
      <c r="CM1870" s="73"/>
      <c r="CN1870" s="73"/>
      <c r="CO1870" s="73"/>
      <c r="CP1870" s="73"/>
      <c r="CQ1870" s="73"/>
      <c r="CR1870" s="73"/>
      <c r="CS1870" s="73"/>
      <c r="CT1870" s="73"/>
      <c r="CU1870" s="73"/>
      <c r="CV1870" s="73"/>
      <c r="CW1870" s="73"/>
      <c r="CX1870" s="73"/>
      <c r="CY1870" s="73"/>
      <c r="CZ1870" s="73"/>
      <c r="DA1870" s="73"/>
      <c r="DB1870" s="73"/>
      <c r="DC1870" s="73"/>
      <c r="DD1870" s="73"/>
      <c r="DE1870" s="73"/>
      <c r="DF1870" s="73"/>
      <c r="DG1870" s="73"/>
      <c r="DH1870" s="73"/>
      <c r="DI1870" s="73"/>
      <c r="DJ1870" s="73"/>
      <c r="DK1870" s="73"/>
      <c r="DL1870" s="73"/>
      <c r="DM1870" s="73"/>
    </row>
    <row r="1871" spans="1:117" s="48" customFormat="1">
      <c r="A1871" s="73"/>
      <c r="T1871" s="73"/>
      <c r="U1871" s="73"/>
      <c r="V1871" s="73"/>
      <c r="W1871" s="73"/>
      <c r="X1871" s="73"/>
      <c r="Y1871" s="73"/>
      <c r="Z1871" s="73"/>
      <c r="AA1871" s="73"/>
      <c r="AB1871" s="73"/>
      <c r="AC1871" s="73"/>
      <c r="AD1871" s="73"/>
      <c r="AE1871" s="73"/>
      <c r="AF1871" s="73"/>
      <c r="AG1871" s="73"/>
      <c r="AH1871" s="73"/>
      <c r="AI1871" s="73"/>
      <c r="AJ1871" s="73"/>
      <c r="AK1871" s="73"/>
      <c r="AL1871" s="73"/>
      <c r="AM1871" s="73"/>
      <c r="AN1871" s="73"/>
      <c r="AO1871" s="73"/>
      <c r="AP1871" s="73"/>
      <c r="AQ1871" s="73"/>
      <c r="AR1871" s="73"/>
      <c r="AS1871" s="73"/>
      <c r="AT1871" s="73"/>
      <c r="AU1871" s="73"/>
      <c r="AV1871" s="73"/>
      <c r="AW1871" s="73"/>
      <c r="AX1871" s="73"/>
      <c r="AY1871" s="73"/>
      <c r="AZ1871" s="73"/>
      <c r="BA1871" s="73"/>
      <c r="BB1871" s="73"/>
      <c r="BC1871" s="73"/>
      <c r="BD1871" s="73"/>
      <c r="BE1871" s="73"/>
      <c r="BF1871" s="73"/>
      <c r="BG1871" s="73"/>
      <c r="BH1871" s="73"/>
      <c r="BI1871" s="73"/>
      <c r="BJ1871" s="73"/>
      <c r="BK1871" s="73"/>
      <c r="BL1871" s="73"/>
      <c r="BM1871" s="73"/>
      <c r="BN1871" s="73"/>
      <c r="BO1871" s="73"/>
      <c r="BP1871" s="73"/>
      <c r="BQ1871" s="73"/>
      <c r="BR1871" s="73"/>
      <c r="BS1871" s="73"/>
      <c r="BT1871" s="73"/>
      <c r="BU1871" s="73"/>
      <c r="BV1871" s="73"/>
      <c r="BW1871" s="73"/>
      <c r="BX1871" s="73"/>
      <c r="BY1871" s="73"/>
      <c r="BZ1871" s="73"/>
      <c r="CA1871" s="73"/>
      <c r="CB1871" s="73"/>
      <c r="CC1871" s="73"/>
      <c r="CD1871" s="73"/>
      <c r="CE1871" s="73"/>
      <c r="CF1871" s="73"/>
      <c r="CG1871" s="73"/>
      <c r="CH1871" s="73"/>
      <c r="CI1871" s="73"/>
      <c r="CJ1871" s="73"/>
      <c r="CK1871" s="73"/>
      <c r="CL1871" s="73"/>
      <c r="CM1871" s="73"/>
      <c r="CN1871" s="73"/>
      <c r="CO1871" s="73"/>
      <c r="CP1871" s="73"/>
      <c r="CQ1871" s="73"/>
      <c r="CR1871" s="73"/>
      <c r="CS1871" s="73"/>
      <c r="CT1871" s="73"/>
      <c r="CU1871" s="73"/>
      <c r="CV1871" s="73"/>
      <c r="CW1871" s="73"/>
      <c r="CX1871" s="73"/>
      <c r="CY1871" s="73"/>
      <c r="CZ1871" s="73"/>
      <c r="DA1871" s="73"/>
      <c r="DB1871" s="73"/>
      <c r="DC1871" s="73"/>
      <c r="DD1871" s="73"/>
      <c r="DE1871" s="73"/>
      <c r="DF1871" s="73"/>
      <c r="DG1871" s="73"/>
      <c r="DH1871" s="73"/>
      <c r="DI1871" s="73"/>
      <c r="DJ1871" s="73"/>
      <c r="DK1871" s="73"/>
      <c r="DL1871" s="73"/>
      <c r="DM1871" s="73"/>
    </row>
    <row r="1872" spans="1:117" s="48" customFormat="1">
      <c r="A1872" s="73"/>
      <c r="T1872" s="73"/>
      <c r="U1872" s="73"/>
      <c r="V1872" s="73"/>
      <c r="W1872" s="73"/>
      <c r="X1872" s="73"/>
      <c r="Y1872" s="73"/>
      <c r="Z1872" s="73"/>
      <c r="AA1872" s="73"/>
      <c r="AB1872" s="73"/>
      <c r="AC1872" s="73"/>
      <c r="AD1872" s="73"/>
      <c r="AE1872" s="73"/>
      <c r="AF1872" s="73"/>
      <c r="AG1872" s="73"/>
      <c r="AH1872" s="73"/>
      <c r="AI1872" s="73"/>
      <c r="AJ1872" s="73"/>
      <c r="AK1872" s="73"/>
      <c r="AL1872" s="73"/>
      <c r="AM1872" s="73"/>
      <c r="AN1872" s="73"/>
      <c r="AO1872" s="73"/>
      <c r="AP1872" s="73"/>
      <c r="AQ1872" s="73"/>
      <c r="AR1872" s="73"/>
      <c r="AS1872" s="73"/>
      <c r="AT1872" s="73"/>
      <c r="AU1872" s="73"/>
      <c r="AV1872" s="73"/>
      <c r="AW1872" s="73"/>
      <c r="AX1872" s="73"/>
      <c r="AY1872" s="73"/>
      <c r="AZ1872" s="73"/>
      <c r="BA1872" s="73"/>
      <c r="BB1872" s="73"/>
      <c r="BC1872" s="73"/>
      <c r="BD1872" s="73"/>
      <c r="BE1872" s="73"/>
      <c r="BF1872" s="73"/>
      <c r="BG1872" s="73"/>
      <c r="BH1872" s="73"/>
      <c r="BI1872" s="73"/>
      <c r="BJ1872" s="73"/>
      <c r="BK1872" s="73"/>
      <c r="BL1872" s="73"/>
      <c r="BM1872" s="73"/>
      <c r="BN1872" s="73"/>
      <c r="BO1872" s="73"/>
      <c r="BP1872" s="73"/>
      <c r="BQ1872" s="73"/>
      <c r="BR1872" s="73"/>
      <c r="BS1872" s="73"/>
      <c r="BT1872" s="73"/>
      <c r="BU1872" s="73"/>
      <c r="BV1872" s="73"/>
      <c r="BW1872" s="73"/>
      <c r="BX1872" s="73"/>
      <c r="BY1872" s="73"/>
      <c r="BZ1872" s="73"/>
      <c r="CA1872" s="73"/>
      <c r="CB1872" s="73"/>
      <c r="CC1872" s="73"/>
      <c r="CD1872" s="73"/>
      <c r="CE1872" s="73"/>
      <c r="CF1872" s="73"/>
      <c r="CG1872" s="73"/>
      <c r="CH1872" s="73"/>
      <c r="CI1872" s="73"/>
      <c r="CJ1872" s="73"/>
      <c r="CK1872" s="73"/>
      <c r="CL1872" s="73"/>
      <c r="CM1872" s="73"/>
      <c r="CN1872" s="73"/>
      <c r="CO1872" s="73"/>
      <c r="CP1872" s="73"/>
      <c r="CQ1872" s="73"/>
      <c r="CR1872" s="73"/>
      <c r="CS1872" s="73"/>
      <c r="CT1872" s="73"/>
      <c r="CU1872" s="73"/>
      <c r="CV1872" s="73"/>
      <c r="CW1872" s="73"/>
      <c r="CX1872" s="73"/>
      <c r="CY1872" s="73"/>
      <c r="CZ1872" s="73"/>
      <c r="DA1872" s="73"/>
      <c r="DB1872" s="73"/>
      <c r="DC1872" s="73"/>
      <c r="DD1872" s="73"/>
      <c r="DE1872" s="73"/>
      <c r="DF1872" s="73"/>
      <c r="DG1872" s="73"/>
      <c r="DH1872" s="73"/>
      <c r="DI1872" s="73"/>
      <c r="DJ1872" s="73"/>
      <c r="DK1872" s="73"/>
      <c r="DL1872" s="73"/>
      <c r="DM1872" s="73"/>
    </row>
    <row r="1873" spans="1:117" s="48" customFormat="1">
      <c r="A1873" s="73"/>
      <c r="T1873" s="73"/>
      <c r="U1873" s="73"/>
      <c r="V1873" s="73"/>
      <c r="W1873" s="73"/>
      <c r="X1873" s="73"/>
      <c r="Y1873" s="73"/>
      <c r="Z1873" s="73"/>
      <c r="AA1873" s="73"/>
      <c r="AB1873" s="73"/>
      <c r="AC1873" s="73"/>
      <c r="AD1873" s="73"/>
      <c r="AE1873" s="73"/>
      <c r="AF1873" s="73"/>
      <c r="AG1873" s="73"/>
      <c r="AH1873" s="73"/>
      <c r="AI1873" s="73"/>
      <c r="AJ1873" s="73"/>
      <c r="AK1873" s="73"/>
      <c r="AL1873" s="73"/>
      <c r="AM1873" s="73"/>
      <c r="AN1873" s="73"/>
      <c r="AO1873" s="73"/>
      <c r="AP1873" s="73"/>
      <c r="AQ1873" s="73"/>
      <c r="AR1873" s="73"/>
      <c r="AS1873" s="73"/>
      <c r="AT1873" s="73"/>
      <c r="AU1873" s="73"/>
      <c r="AV1873" s="73"/>
      <c r="AW1873" s="73"/>
      <c r="AX1873" s="73"/>
      <c r="AY1873" s="73"/>
      <c r="AZ1873" s="73"/>
      <c r="BA1873" s="73"/>
      <c r="BB1873" s="73"/>
      <c r="BC1873" s="73"/>
      <c r="BD1873" s="73"/>
      <c r="BE1873" s="73"/>
      <c r="BF1873" s="73"/>
      <c r="BG1873" s="73"/>
      <c r="BH1873" s="73"/>
      <c r="BI1873" s="73"/>
      <c r="BJ1873" s="73"/>
      <c r="BK1873" s="73"/>
      <c r="BL1873" s="73"/>
      <c r="BM1873" s="73"/>
      <c r="BN1873" s="73"/>
      <c r="BO1873" s="73"/>
      <c r="BP1873" s="73"/>
      <c r="BQ1873" s="73"/>
      <c r="BR1873" s="73"/>
      <c r="BS1873" s="73"/>
      <c r="BT1873" s="73"/>
      <c r="BU1873" s="73"/>
      <c r="BV1873" s="73"/>
      <c r="BW1873" s="73"/>
      <c r="BX1873" s="73"/>
      <c r="BY1873" s="73"/>
      <c r="BZ1873" s="73"/>
      <c r="CA1873" s="73"/>
      <c r="CB1873" s="73"/>
      <c r="CC1873" s="73"/>
      <c r="CD1873" s="73"/>
      <c r="CE1873" s="73"/>
      <c r="CF1873" s="73"/>
      <c r="CG1873" s="73"/>
      <c r="CH1873" s="73"/>
      <c r="CI1873" s="73"/>
      <c r="CJ1873" s="73"/>
      <c r="CK1873" s="73"/>
      <c r="CL1873" s="73"/>
      <c r="CM1873" s="73"/>
      <c r="CN1873" s="73"/>
      <c r="CO1873" s="73"/>
      <c r="CP1873" s="73"/>
      <c r="CQ1873" s="73"/>
      <c r="CR1873" s="73"/>
      <c r="CS1873" s="73"/>
      <c r="CT1873" s="73"/>
      <c r="CU1873" s="73"/>
      <c r="CV1873" s="73"/>
      <c r="CW1873" s="73"/>
      <c r="CX1873" s="73"/>
      <c r="CY1873" s="73"/>
      <c r="CZ1873" s="73"/>
      <c r="DA1873" s="73"/>
      <c r="DB1873" s="73"/>
      <c r="DC1873" s="73"/>
      <c r="DD1873" s="73"/>
      <c r="DE1873" s="73"/>
      <c r="DF1873" s="73"/>
      <c r="DG1873" s="73"/>
      <c r="DH1873" s="73"/>
      <c r="DI1873" s="73"/>
      <c r="DJ1873" s="73"/>
      <c r="DK1873" s="73"/>
      <c r="DL1873" s="73"/>
      <c r="DM1873" s="73"/>
    </row>
    <row r="1874" spans="1:117" s="48" customFormat="1">
      <c r="A1874" s="73"/>
      <c r="T1874" s="73"/>
      <c r="U1874" s="73"/>
      <c r="V1874" s="73"/>
      <c r="W1874" s="73"/>
      <c r="X1874" s="73"/>
      <c r="Y1874" s="73"/>
      <c r="Z1874" s="73"/>
      <c r="AA1874" s="73"/>
      <c r="AB1874" s="73"/>
      <c r="AC1874" s="73"/>
      <c r="AD1874" s="73"/>
      <c r="AE1874" s="73"/>
      <c r="AF1874" s="73"/>
      <c r="AG1874" s="73"/>
      <c r="AH1874" s="73"/>
      <c r="AI1874" s="73"/>
      <c r="AJ1874" s="73"/>
      <c r="AK1874" s="73"/>
      <c r="AL1874" s="73"/>
      <c r="AM1874" s="73"/>
      <c r="AN1874" s="73"/>
      <c r="AO1874" s="73"/>
      <c r="AP1874" s="73"/>
      <c r="AQ1874" s="73"/>
      <c r="AR1874" s="73"/>
      <c r="AS1874" s="73"/>
      <c r="AT1874" s="73"/>
      <c r="AU1874" s="73"/>
      <c r="AV1874" s="73"/>
      <c r="AW1874" s="73"/>
      <c r="AX1874" s="73"/>
      <c r="AY1874" s="73"/>
      <c r="AZ1874" s="73"/>
      <c r="BA1874" s="73"/>
      <c r="BB1874" s="73"/>
      <c r="BC1874" s="73"/>
      <c r="BD1874" s="73"/>
      <c r="BE1874" s="73"/>
      <c r="BF1874" s="73"/>
      <c r="BG1874" s="73"/>
      <c r="BH1874" s="73"/>
      <c r="BI1874" s="73"/>
      <c r="BJ1874" s="73"/>
      <c r="BK1874" s="73"/>
      <c r="BL1874" s="73"/>
      <c r="BM1874" s="73"/>
      <c r="BN1874" s="73"/>
      <c r="BO1874" s="73"/>
      <c r="BP1874" s="73"/>
      <c r="BQ1874" s="73"/>
      <c r="BR1874" s="73"/>
      <c r="BS1874" s="73"/>
      <c r="BT1874" s="73"/>
      <c r="BU1874" s="73"/>
      <c r="BV1874" s="73"/>
      <c r="BW1874" s="73"/>
      <c r="BX1874" s="73"/>
      <c r="BY1874" s="73"/>
      <c r="BZ1874" s="73"/>
      <c r="CA1874" s="73"/>
      <c r="CB1874" s="73"/>
      <c r="CC1874" s="73"/>
      <c r="CD1874" s="73"/>
      <c r="CE1874" s="73"/>
      <c r="CF1874" s="73"/>
      <c r="CG1874" s="73"/>
      <c r="CH1874" s="73"/>
      <c r="CI1874" s="73"/>
      <c r="CJ1874" s="73"/>
      <c r="CK1874" s="73"/>
      <c r="CL1874" s="73"/>
      <c r="CM1874" s="73"/>
      <c r="CN1874" s="73"/>
      <c r="CO1874" s="73"/>
      <c r="CP1874" s="73"/>
      <c r="CQ1874" s="73"/>
      <c r="CR1874" s="73"/>
      <c r="CS1874" s="73"/>
      <c r="CT1874" s="73"/>
      <c r="CU1874" s="73"/>
      <c r="CV1874" s="73"/>
      <c r="CW1874" s="73"/>
      <c r="CX1874" s="73"/>
      <c r="CY1874" s="73"/>
      <c r="CZ1874" s="73"/>
      <c r="DA1874" s="73"/>
      <c r="DB1874" s="73"/>
      <c r="DC1874" s="73"/>
      <c r="DD1874" s="73"/>
      <c r="DE1874" s="73"/>
      <c r="DF1874" s="73"/>
      <c r="DG1874" s="73"/>
      <c r="DH1874" s="73"/>
      <c r="DI1874" s="73"/>
      <c r="DJ1874" s="73"/>
      <c r="DK1874" s="73"/>
      <c r="DL1874" s="73"/>
      <c r="DM1874" s="73"/>
    </row>
    <row r="1875" spans="1:117" s="48" customFormat="1">
      <c r="A1875" s="73"/>
      <c r="T1875" s="73"/>
      <c r="U1875" s="73"/>
      <c r="V1875" s="73"/>
      <c r="W1875" s="73"/>
      <c r="X1875" s="73"/>
      <c r="Y1875" s="73"/>
      <c r="Z1875" s="73"/>
      <c r="AA1875" s="73"/>
      <c r="AB1875" s="73"/>
      <c r="AC1875" s="73"/>
      <c r="AD1875" s="73"/>
      <c r="AE1875" s="73"/>
      <c r="AF1875" s="73"/>
      <c r="AG1875" s="73"/>
      <c r="AH1875" s="73"/>
      <c r="AI1875" s="73"/>
      <c r="AJ1875" s="73"/>
      <c r="AK1875" s="73"/>
      <c r="AL1875" s="73"/>
      <c r="AM1875" s="73"/>
      <c r="AN1875" s="73"/>
      <c r="AO1875" s="73"/>
      <c r="AP1875" s="73"/>
      <c r="AQ1875" s="73"/>
      <c r="AR1875" s="73"/>
      <c r="AS1875" s="73"/>
      <c r="AT1875" s="73"/>
      <c r="AU1875" s="73"/>
      <c r="AV1875" s="73"/>
      <c r="AW1875" s="73"/>
      <c r="AX1875" s="73"/>
      <c r="AY1875" s="73"/>
      <c r="AZ1875" s="73"/>
      <c r="BA1875" s="73"/>
      <c r="BB1875" s="73"/>
      <c r="BC1875" s="73"/>
      <c r="BD1875" s="73"/>
      <c r="BE1875" s="73"/>
      <c r="BF1875" s="73"/>
      <c r="BG1875" s="73"/>
      <c r="BH1875" s="73"/>
      <c r="BI1875" s="73"/>
      <c r="BJ1875" s="73"/>
      <c r="BK1875" s="73"/>
      <c r="BL1875" s="73"/>
      <c r="BM1875" s="73"/>
      <c r="BN1875" s="73"/>
      <c r="BO1875" s="73"/>
      <c r="BP1875" s="73"/>
      <c r="BQ1875" s="73"/>
      <c r="BR1875" s="73"/>
      <c r="BS1875" s="73"/>
      <c r="BT1875" s="73"/>
      <c r="BU1875" s="73"/>
      <c r="BV1875" s="73"/>
      <c r="BW1875" s="73"/>
      <c r="BX1875" s="73"/>
      <c r="BY1875" s="73"/>
      <c r="BZ1875" s="73"/>
      <c r="CA1875" s="73"/>
      <c r="CB1875" s="73"/>
      <c r="CC1875" s="73"/>
      <c r="CD1875" s="73"/>
      <c r="CE1875" s="73"/>
      <c r="CF1875" s="73"/>
      <c r="CG1875" s="73"/>
      <c r="CH1875" s="73"/>
      <c r="CI1875" s="73"/>
      <c r="CJ1875" s="73"/>
      <c r="CK1875" s="73"/>
      <c r="CL1875" s="73"/>
      <c r="CM1875" s="73"/>
      <c r="CN1875" s="73"/>
      <c r="CO1875" s="73"/>
      <c r="CP1875" s="73"/>
      <c r="CQ1875" s="73"/>
      <c r="CR1875" s="73"/>
      <c r="CS1875" s="73"/>
      <c r="CT1875" s="73"/>
      <c r="CU1875" s="73"/>
      <c r="CV1875" s="73"/>
      <c r="CW1875" s="73"/>
      <c r="CX1875" s="73"/>
      <c r="CY1875" s="73"/>
      <c r="CZ1875" s="73"/>
      <c r="DA1875" s="73"/>
      <c r="DB1875" s="73"/>
      <c r="DC1875" s="73"/>
      <c r="DD1875" s="73"/>
      <c r="DE1875" s="73"/>
      <c r="DF1875" s="73"/>
      <c r="DG1875" s="73"/>
      <c r="DH1875" s="73"/>
      <c r="DI1875" s="73"/>
      <c r="DJ1875" s="73"/>
      <c r="DK1875" s="73"/>
      <c r="DL1875" s="73"/>
      <c r="DM1875" s="73"/>
    </row>
    <row r="1876" spans="1:117" s="48" customFormat="1">
      <c r="A1876" s="73"/>
      <c r="T1876" s="73"/>
      <c r="U1876" s="73"/>
      <c r="V1876" s="73"/>
      <c r="W1876" s="73"/>
      <c r="X1876" s="73"/>
      <c r="Y1876" s="73"/>
      <c r="Z1876" s="73"/>
      <c r="AA1876" s="73"/>
      <c r="AB1876" s="73"/>
      <c r="AC1876" s="73"/>
      <c r="AD1876" s="73"/>
      <c r="AE1876" s="73"/>
      <c r="AF1876" s="73"/>
      <c r="AG1876" s="73"/>
      <c r="AH1876" s="73"/>
      <c r="AI1876" s="73"/>
      <c r="AJ1876" s="73"/>
      <c r="AK1876" s="73"/>
      <c r="AL1876" s="73"/>
      <c r="AM1876" s="73"/>
      <c r="AN1876" s="73"/>
      <c r="AO1876" s="73"/>
      <c r="AP1876" s="73"/>
      <c r="AQ1876" s="73"/>
      <c r="AR1876" s="73"/>
      <c r="AS1876" s="73"/>
      <c r="AT1876" s="73"/>
      <c r="AU1876" s="73"/>
      <c r="AV1876" s="73"/>
      <c r="AW1876" s="73"/>
      <c r="AX1876" s="73"/>
      <c r="AY1876" s="73"/>
      <c r="AZ1876" s="73"/>
      <c r="BA1876" s="73"/>
      <c r="BB1876" s="73"/>
      <c r="BC1876" s="73"/>
      <c r="BD1876" s="73"/>
      <c r="BE1876" s="73"/>
      <c r="BF1876" s="73"/>
      <c r="BG1876" s="73"/>
      <c r="BH1876" s="73"/>
      <c r="BI1876" s="73"/>
      <c r="BJ1876" s="73"/>
      <c r="BK1876" s="73"/>
      <c r="BL1876" s="73"/>
      <c r="BM1876" s="73"/>
      <c r="BN1876" s="73"/>
      <c r="BO1876" s="73"/>
      <c r="BP1876" s="73"/>
      <c r="BQ1876" s="73"/>
      <c r="BR1876" s="73"/>
      <c r="BS1876" s="73"/>
      <c r="BT1876" s="73"/>
      <c r="BU1876" s="73"/>
      <c r="BV1876" s="73"/>
      <c r="BW1876" s="73"/>
      <c r="BX1876" s="73"/>
      <c r="BY1876" s="73"/>
      <c r="BZ1876" s="73"/>
      <c r="CA1876" s="73"/>
      <c r="CB1876" s="73"/>
      <c r="CC1876" s="73"/>
      <c r="CD1876" s="73"/>
      <c r="CE1876" s="73"/>
      <c r="CF1876" s="73"/>
      <c r="CG1876" s="73"/>
      <c r="CH1876" s="73"/>
      <c r="CI1876" s="73"/>
      <c r="CJ1876" s="73"/>
      <c r="CK1876" s="73"/>
      <c r="CL1876" s="73"/>
      <c r="CM1876" s="73"/>
      <c r="CN1876" s="73"/>
      <c r="CO1876" s="73"/>
      <c r="CP1876" s="73"/>
      <c r="CQ1876" s="73"/>
      <c r="CR1876" s="73"/>
      <c r="CS1876" s="73"/>
      <c r="CT1876" s="73"/>
      <c r="CU1876" s="73"/>
      <c r="CV1876" s="73"/>
      <c r="CW1876" s="73"/>
      <c r="CX1876" s="73"/>
      <c r="CY1876" s="73"/>
      <c r="CZ1876" s="73"/>
      <c r="DA1876" s="73"/>
      <c r="DB1876" s="73"/>
      <c r="DC1876" s="73"/>
      <c r="DD1876" s="73"/>
      <c r="DE1876" s="73"/>
      <c r="DF1876" s="73"/>
      <c r="DG1876" s="73"/>
      <c r="DH1876" s="73"/>
      <c r="DI1876" s="73"/>
      <c r="DJ1876" s="73"/>
      <c r="DK1876" s="73"/>
      <c r="DL1876" s="73"/>
      <c r="DM1876" s="73"/>
    </row>
    <row r="1877" spans="1:117" s="48" customFormat="1">
      <c r="A1877" s="73"/>
      <c r="T1877" s="73"/>
      <c r="U1877" s="73"/>
      <c r="V1877" s="73"/>
      <c r="W1877" s="73"/>
      <c r="X1877" s="73"/>
      <c r="Y1877" s="73"/>
      <c r="Z1877" s="73"/>
      <c r="AA1877" s="73"/>
      <c r="AB1877" s="73"/>
      <c r="AC1877" s="73"/>
      <c r="AD1877" s="73"/>
      <c r="AE1877" s="73"/>
      <c r="AF1877" s="73"/>
      <c r="AG1877" s="73"/>
      <c r="AH1877" s="73"/>
      <c r="AI1877" s="73"/>
      <c r="AJ1877" s="73"/>
      <c r="AK1877" s="73"/>
      <c r="AL1877" s="73"/>
      <c r="AM1877" s="73"/>
      <c r="AN1877" s="73"/>
      <c r="AO1877" s="73"/>
      <c r="AP1877" s="73"/>
      <c r="AQ1877" s="73"/>
      <c r="AR1877" s="73"/>
      <c r="AS1877" s="73"/>
      <c r="AT1877" s="73"/>
      <c r="AU1877" s="73"/>
      <c r="AV1877" s="73"/>
      <c r="AW1877" s="73"/>
      <c r="AX1877" s="73"/>
      <c r="AY1877" s="73"/>
      <c r="AZ1877" s="73"/>
      <c r="BA1877" s="73"/>
      <c r="BB1877" s="73"/>
      <c r="BC1877" s="73"/>
      <c r="BD1877" s="73"/>
      <c r="BE1877" s="73"/>
      <c r="BF1877" s="73"/>
      <c r="BG1877" s="73"/>
      <c r="BH1877" s="73"/>
      <c r="BI1877" s="73"/>
      <c r="BJ1877" s="73"/>
      <c r="BK1877" s="73"/>
      <c r="BL1877" s="73"/>
      <c r="BM1877" s="73"/>
      <c r="BN1877" s="73"/>
      <c r="BO1877" s="73"/>
      <c r="BP1877" s="73"/>
      <c r="BQ1877" s="73"/>
      <c r="BR1877" s="73"/>
      <c r="BS1877" s="73"/>
      <c r="BT1877" s="73"/>
      <c r="BU1877" s="73"/>
      <c r="BV1877" s="73"/>
      <c r="BW1877" s="73"/>
      <c r="BX1877" s="73"/>
      <c r="BY1877" s="73"/>
      <c r="BZ1877" s="73"/>
      <c r="CA1877" s="73"/>
      <c r="CB1877" s="73"/>
      <c r="CC1877" s="73"/>
      <c r="CD1877" s="73"/>
      <c r="CE1877" s="73"/>
      <c r="CF1877" s="73"/>
      <c r="CG1877" s="73"/>
      <c r="CH1877" s="73"/>
      <c r="CI1877" s="73"/>
      <c r="CJ1877" s="73"/>
      <c r="CK1877" s="73"/>
      <c r="CL1877" s="73"/>
      <c r="CM1877" s="73"/>
      <c r="CN1877" s="73"/>
      <c r="CO1877" s="73"/>
      <c r="CP1877" s="73"/>
      <c r="CQ1877" s="73"/>
      <c r="CR1877" s="73"/>
      <c r="CS1877" s="73"/>
      <c r="CT1877" s="73"/>
      <c r="CU1877" s="73"/>
      <c r="CV1877" s="73"/>
      <c r="CW1877" s="73"/>
      <c r="CX1877" s="73"/>
      <c r="CY1877" s="73"/>
      <c r="CZ1877" s="73"/>
      <c r="DA1877" s="73"/>
      <c r="DB1877" s="73"/>
      <c r="DC1877" s="73"/>
      <c r="DD1877" s="73"/>
      <c r="DE1877" s="73"/>
      <c r="DF1877" s="73"/>
      <c r="DG1877" s="73"/>
      <c r="DH1877" s="73"/>
      <c r="DI1877" s="73"/>
      <c r="DJ1877" s="73"/>
      <c r="DK1877" s="73"/>
      <c r="DL1877" s="73"/>
      <c r="DM1877" s="73"/>
    </row>
    <row r="1878" spans="1:117" s="48" customFormat="1">
      <c r="A1878" s="73"/>
      <c r="T1878" s="73"/>
      <c r="U1878" s="73"/>
      <c r="V1878" s="73"/>
      <c r="W1878" s="73"/>
      <c r="X1878" s="73"/>
      <c r="Y1878" s="73"/>
      <c r="Z1878" s="73"/>
      <c r="AA1878" s="73"/>
      <c r="AB1878" s="73"/>
      <c r="AC1878" s="73"/>
      <c r="AD1878" s="73"/>
      <c r="AE1878" s="73"/>
      <c r="AF1878" s="73"/>
      <c r="AG1878" s="73"/>
      <c r="AH1878" s="73"/>
      <c r="AI1878" s="73"/>
      <c r="AJ1878" s="73"/>
      <c r="AK1878" s="73"/>
      <c r="AL1878" s="73"/>
      <c r="AM1878" s="73"/>
      <c r="AN1878" s="73"/>
      <c r="AO1878" s="73"/>
      <c r="AP1878" s="73"/>
      <c r="AQ1878" s="73"/>
      <c r="AR1878" s="73"/>
      <c r="AS1878" s="73"/>
      <c r="AT1878" s="73"/>
      <c r="AU1878" s="73"/>
      <c r="AV1878" s="73"/>
      <c r="AW1878" s="73"/>
      <c r="AX1878" s="73"/>
      <c r="AY1878" s="73"/>
      <c r="AZ1878" s="73"/>
      <c r="BA1878" s="73"/>
      <c r="BB1878" s="73"/>
      <c r="BC1878" s="73"/>
      <c r="BD1878" s="73"/>
      <c r="BE1878" s="73"/>
      <c r="BF1878" s="73"/>
      <c r="BG1878" s="73"/>
      <c r="BH1878" s="73"/>
      <c r="BI1878" s="73"/>
      <c r="BJ1878" s="73"/>
      <c r="BK1878" s="73"/>
      <c r="BL1878" s="73"/>
      <c r="BM1878" s="73"/>
      <c r="BN1878" s="73"/>
      <c r="BO1878" s="73"/>
      <c r="BP1878" s="73"/>
      <c r="BQ1878" s="73"/>
      <c r="BR1878" s="73"/>
      <c r="BS1878" s="73"/>
      <c r="BT1878" s="73"/>
      <c r="BU1878" s="73"/>
      <c r="BV1878" s="73"/>
      <c r="BW1878" s="73"/>
      <c r="BX1878" s="73"/>
      <c r="BY1878" s="73"/>
      <c r="BZ1878" s="73"/>
      <c r="CA1878" s="73"/>
      <c r="CB1878" s="73"/>
      <c r="CC1878" s="73"/>
      <c r="CD1878" s="73"/>
      <c r="CE1878" s="73"/>
      <c r="CF1878" s="73"/>
      <c r="CG1878" s="73"/>
      <c r="CH1878" s="73"/>
      <c r="CI1878" s="73"/>
      <c r="CJ1878" s="73"/>
      <c r="CK1878" s="73"/>
      <c r="CL1878" s="73"/>
      <c r="CM1878" s="73"/>
      <c r="CN1878" s="73"/>
      <c r="CO1878" s="73"/>
      <c r="CP1878" s="73"/>
      <c r="CQ1878" s="73"/>
      <c r="CR1878" s="73"/>
      <c r="CS1878" s="73"/>
      <c r="CT1878" s="73"/>
      <c r="CU1878" s="73"/>
      <c r="CV1878" s="73"/>
      <c r="CW1878" s="73"/>
      <c r="CX1878" s="73"/>
      <c r="CY1878" s="73"/>
      <c r="CZ1878" s="73"/>
      <c r="DA1878" s="73"/>
      <c r="DB1878" s="73"/>
      <c r="DC1878" s="73"/>
      <c r="DD1878" s="73"/>
      <c r="DE1878" s="73"/>
      <c r="DF1878" s="73"/>
      <c r="DG1878" s="73"/>
      <c r="DH1878" s="73"/>
      <c r="DI1878" s="73"/>
      <c r="DJ1878" s="73"/>
      <c r="DK1878" s="73"/>
      <c r="DL1878" s="73"/>
      <c r="DM1878" s="73"/>
    </row>
    <row r="1879" spans="1:117" s="48" customFormat="1">
      <c r="A1879" s="73"/>
      <c r="T1879" s="73"/>
      <c r="U1879" s="73"/>
      <c r="V1879" s="73"/>
      <c r="W1879" s="73"/>
      <c r="X1879" s="73"/>
      <c r="Y1879" s="73"/>
      <c r="Z1879" s="73"/>
      <c r="AA1879" s="73"/>
      <c r="AB1879" s="73"/>
      <c r="AC1879" s="73"/>
      <c r="AD1879" s="73"/>
      <c r="AE1879" s="73"/>
      <c r="AF1879" s="73"/>
      <c r="AG1879" s="73"/>
      <c r="AH1879" s="73"/>
      <c r="AI1879" s="73"/>
      <c r="AJ1879" s="73"/>
      <c r="AK1879" s="73"/>
      <c r="AL1879" s="73"/>
      <c r="AM1879" s="73"/>
      <c r="AN1879" s="73"/>
      <c r="AO1879" s="73"/>
      <c r="AP1879" s="73"/>
      <c r="AQ1879" s="73"/>
      <c r="AR1879" s="73"/>
      <c r="AS1879" s="73"/>
      <c r="AT1879" s="73"/>
      <c r="AU1879" s="73"/>
      <c r="AV1879" s="73"/>
      <c r="AW1879" s="73"/>
      <c r="AX1879" s="73"/>
      <c r="AY1879" s="73"/>
      <c r="AZ1879" s="73"/>
      <c r="BA1879" s="73"/>
      <c r="BB1879" s="73"/>
      <c r="BC1879" s="73"/>
      <c r="BD1879" s="73"/>
      <c r="BE1879" s="73"/>
      <c r="BF1879" s="73"/>
      <c r="BG1879" s="73"/>
      <c r="BH1879" s="73"/>
      <c r="BI1879" s="73"/>
      <c r="BJ1879" s="73"/>
      <c r="BK1879" s="73"/>
      <c r="BL1879" s="73"/>
      <c r="BM1879" s="73"/>
      <c r="BN1879" s="73"/>
      <c r="BO1879" s="73"/>
      <c r="BP1879" s="73"/>
      <c r="BQ1879" s="73"/>
      <c r="BR1879" s="73"/>
      <c r="BS1879" s="73"/>
      <c r="BT1879" s="73"/>
      <c r="BU1879" s="73"/>
      <c r="BV1879" s="73"/>
      <c r="BW1879" s="73"/>
      <c r="BX1879" s="73"/>
      <c r="BY1879" s="73"/>
      <c r="BZ1879" s="73"/>
      <c r="CA1879" s="73"/>
      <c r="CB1879" s="73"/>
      <c r="CC1879" s="73"/>
      <c r="CD1879" s="73"/>
      <c r="CE1879" s="73"/>
      <c r="CF1879" s="73"/>
      <c r="CG1879" s="73"/>
      <c r="CH1879" s="73"/>
      <c r="CI1879" s="73"/>
      <c r="CJ1879" s="73"/>
      <c r="CK1879" s="73"/>
      <c r="CL1879" s="73"/>
      <c r="CM1879" s="73"/>
      <c r="CN1879" s="73"/>
      <c r="CO1879" s="73"/>
      <c r="CP1879" s="73"/>
      <c r="CQ1879" s="73"/>
      <c r="CR1879" s="73"/>
      <c r="CS1879" s="73"/>
      <c r="CT1879" s="73"/>
      <c r="CU1879" s="73"/>
      <c r="CV1879" s="73"/>
      <c r="CW1879" s="73"/>
      <c r="CX1879" s="73"/>
      <c r="CY1879" s="73"/>
      <c r="CZ1879" s="73"/>
      <c r="DA1879" s="73"/>
      <c r="DB1879" s="73"/>
      <c r="DC1879" s="73"/>
      <c r="DD1879" s="73"/>
      <c r="DE1879" s="73"/>
      <c r="DF1879" s="73"/>
      <c r="DG1879" s="73"/>
      <c r="DH1879" s="73"/>
      <c r="DI1879" s="73"/>
      <c r="DJ1879" s="73"/>
      <c r="DK1879" s="73"/>
      <c r="DL1879" s="73"/>
      <c r="DM1879" s="73"/>
    </row>
    <row r="1880" spans="1:117" s="48" customFormat="1">
      <c r="A1880" s="73"/>
      <c r="T1880" s="73"/>
      <c r="U1880" s="73"/>
      <c r="V1880" s="73"/>
      <c r="W1880" s="73"/>
      <c r="X1880" s="73"/>
      <c r="Y1880" s="73"/>
      <c r="Z1880" s="73"/>
      <c r="AA1880" s="73"/>
      <c r="AB1880" s="73"/>
      <c r="AC1880" s="73"/>
      <c r="AD1880" s="73"/>
      <c r="AE1880" s="73"/>
      <c r="AF1880" s="73"/>
      <c r="AG1880" s="73"/>
      <c r="AH1880" s="73"/>
      <c r="AI1880" s="73"/>
      <c r="AJ1880" s="73"/>
      <c r="AK1880" s="73"/>
      <c r="AL1880" s="73"/>
      <c r="AM1880" s="73"/>
      <c r="AN1880" s="73"/>
      <c r="AO1880" s="73"/>
      <c r="AP1880" s="73"/>
      <c r="AQ1880" s="73"/>
      <c r="AR1880" s="73"/>
      <c r="AS1880" s="73"/>
      <c r="AT1880" s="73"/>
      <c r="AU1880" s="73"/>
      <c r="AV1880" s="73"/>
      <c r="AW1880" s="73"/>
      <c r="AX1880" s="73"/>
      <c r="AY1880" s="73"/>
      <c r="AZ1880" s="73"/>
      <c r="BA1880" s="73"/>
      <c r="BB1880" s="73"/>
      <c r="BC1880" s="73"/>
      <c r="BD1880" s="73"/>
      <c r="BE1880" s="73"/>
      <c r="BF1880" s="73"/>
      <c r="BG1880" s="73"/>
      <c r="BH1880" s="73"/>
      <c r="BI1880" s="73"/>
      <c r="BJ1880" s="73"/>
      <c r="BK1880" s="73"/>
      <c r="BL1880" s="73"/>
      <c r="BM1880" s="73"/>
      <c r="BN1880" s="73"/>
      <c r="BO1880" s="73"/>
      <c r="BP1880" s="73"/>
      <c r="BQ1880" s="73"/>
      <c r="BR1880" s="73"/>
      <c r="BS1880" s="73"/>
      <c r="BT1880" s="73"/>
      <c r="BU1880" s="73"/>
      <c r="BV1880" s="73"/>
      <c r="BW1880" s="73"/>
      <c r="BX1880" s="73"/>
      <c r="BY1880" s="73"/>
      <c r="BZ1880" s="73"/>
      <c r="CA1880" s="73"/>
      <c r="CB1880" s="73"/>
      <c r="CC1880" s="73"/>
      <c r="CD1880" s="73"/>
      <c r="CE1880" s="73"/>
      <c r="CF1880" s="73"/>
      <c r="CG1880" s="73"/>
      <c r="CH1880" s="73"/>
      <c r="CI1880" s="73"/>
      <c r="CJ1880" s="73"/>
      <c r="CK1880" s="73"/>
      <c r="CL1880" s="73"/>
      <c r="CM1880" s="73"/>
      <c r="CN1880" s="73"/>
      <c r="CO1880" s="73"/>
      <c r="CP1880" s="73"/>
      <c r="CQ1880" s="73"/>
      <c r="CR1880" s="73"/>
      <c r="CS1880" s="73"/>
      <c r="CT1880" s="73"/>
      <c r="CU1880" s="73"/>
      <c r="CV1880" s="73"/>
      <c r="CW1880" s="73"/>
      <c r="CX1880" s="73"/>
      <c r="CY1880" s="73"/>
      <c r="CZ1880" s="73"/>
      <c r="DA1880" s="73"/>
      <c r="DB1880" s="73"/>
      <c r="DC1880" s="73"/>
      <c r="DD1880" s="73"/>
      <c r="DE1880" s="73"/>
      <c r="DF1880" s="73"/>
      <c r="DG1880" s="73"/>
      <c r="DH1880" s="73"/>
      <c r="DI1880" s="73"/>
      <c r="DJ1880" s="73"/>
      <c r="DK1880" s="73"/>
      <c r="DL1880" s="73"/>
      <c r="DM1880" s="73"/>
    </row>
    <row r="1881" spans="1:117" s="48" customFormat="1">
      <c r="A1881" s="73"/>
      <c r="T1881" s="73"/>
      <c r="U1881" s="73"/>
      <c r="V1881" s="73"/>
      <c r="W1881" s="73"/>
      <c r="X1881" s="73"/>
      <c r="Y1881" s="73"/>
      <c r="Z1881" s="73"/>
      <c r="AA1881" s="73"/>
      <c r="AB1881" s="73"/>
      <c r="AC1881" s="73"/>
      <c r="AD1881" s="73"/>
      <c r="AE1881" s="73"/>
      <c r="AF1881" s="73"/>
      <c r="AG1881" s="73"/>
      <c r="AH1881" s="73"/>
      <c r="AI1881" s="73"/>
      <c r="AJ1881" s="73"/>
      <c r="AK1881" s="73"/>
      <c r="AL1881" s="73"/>
      <c r="AM1881" s="73"/>
      <c r="AN1881" s="73"/>
      <c r="AO1881" s="73"/>
      <c r="AP1881" s="73"/>
      <c r="AQ1881" s="73"/>
      <c r="AR1881" s="73"/>
      <c r="AS1881" s="73"/>
      <c r="AT1881" s="73"/>
      <c r="AU1881" s="73"/>
      <c r="AV1881" s="73"/>
      <c r="AW1881" s="73"/>
      <c r="AX1881" s="73"/>
      <c r="AY1881" s="73"/>
      <c r="AZ1881" s="73"/>
      <c r="BA1881" s="73"/>
      <c r="BB1881" s="73"/>
      <c r="BC1881" s="73"/>
      <c r="BD1881" s="73"/>
      <c r="BE1881" s="73"/>
      <c r="BF1881" s="73"/>
      <c r="BG1881" s="73"/>
      <c r="BH1881" s="73"/>
      <c r="BI1881" s="73"/>
      <c r="BJ1881" s="73"/>
      <c r="BK1881" s="73"/>
      <c r="BL1881" s="73"/>
      <c r="BM1881" s="73"/>
      <c r="BN1881" s="73"/>
      <c r="BO1881" s="73"/>
      <c r="BP1881" s="73"/>
      <c r="BQ1881" s="73"/>
      <c r="BR1881" s="73"/>
      <c r="BS1881" s="73"/>
      <c r="BT1881" s="73"/>
      <c r="BU1881" s="73"/>
      <c r="BV1881" s="73"/>
      <c r="BW1881" s="73"/>
      <c r="BX1881" s="73"/>
      <c r="BY1881" s="73"/>
      <c r="BZ1881" s="73"/>
      <c r="CA1881" s="73"/>
      <c r="CB1881" s="73"/>
      <c r="CC1881" s="73"/>
      <c r="CD1881" s="73"/>
      <c r="CE1881" s="73"/>
      <c r="CF1881" s="73"/>
      <c r="CG1881" s="73"/>
      <c r="CH1881" s="73"/>
      <c r="CI1881" s="73"/>
      <c r="CJ1881" s="73"/>
      <c r="CK1881" s="73"/>
      <c r="CL1881" s="73"/>
      <c r="CM1881" s="73"/>
      <c r="CN1881" s="73"/>
      <c r="CO1881" s="73"/>
      <c r="CP1881" s="73"/>
      <c r="CQ1881" s="73"/>
      <c r="CR1881" s="73"/>
      <c r="CS1881" s="73"/>
      <c r="CT1881" s="73"/>
      <c r="CU1881" s="73"/>
      <c r="CV1881" s="73"/>
      <c r="CW1881" s="73"/>
      <c r="CX1881" s="73"/>
      <c r="CY1881" s="73"/>
      <c r="CZ1881" s="73"/>
      <c r="DA1881" s="73"/>
      <c r="DB1881" s="73"/>
      <c r="DC1881" s="73"/>
      <c r="DD1881" s="73"/>
      <c r="DE1881" s="73"/>
      <c r="DF1881" s="73"/>
      <c r="DG1881" s="73"/>
      <c r="DH1881" s="73"/>
      <c r="DI1881" s="73"/>
      <c r="DJ1881" s="73"/>
      <c r="DK1881" s="73"/>
      <c r="DL1881" s="73"/>
      <c r="DM1881" s="73"/>
    </row>
    <row r="1882" spans="1:117" s="48" customFormat="1">
      <c r="A1882" s="73"/>
      <c r="T1882" s="73"/>
      <c r="U1882" s="73"/>
      <c r="V1882" s="73"/>
      <c r="W1882" s="73"/>
      <c r="X1882" s="73"/>
      <c r="Y1882" s="73"/>
      <c r="Z1882" s="73"/>
      <c r="AA1882" s="73"/>
      <c r="AB1882" s="73"/>
      <c r="AC1882" s="73"/>
      <c r="AD1882" s="73"/>
      <c r="AE1882" s="73"/>
      <c r="AF1882" s="73"/>
      <c r="AG1882" s="73"/>
      <c r="AH1882" s="73"/>
      <c r="AI1882" s="73"/>
      <c r="AJ1882" s="73"/>
      <c r="AK1882" s="73"/>
      <c r="AL1882" s="73"/>
      <c r="AM1882" s="73"/>
      <c r="AN1882" s="73"/>
      <c r="AO1882" s="73"/>
      <c r="AP1882" s="73"/>
      <c r="AQ1882" s="73"/>
      <c r="AR1882" s="73"/>
      <c r="AS1882" s="73"/>
      <c r="AT1882" s="73"/>
      <c r="AU1882" s="73"/>
      <c r="AV1882" s="73"/>
      <c r="AW1882" s="73"/>
      <c r="AX1882" s="73"/>
      <c r="AY1882" s="73"/>
      <c r="AZ1882" s="73"/>
      <c r="BA1882" s="73"/>
      <c r="BB1882" s="73"/>
      <c r="BC1882" s="73"/>
      <c r="BD1882" s="73"/>
      <c r="BE1882" s="73"/>
      <c r="BF1882" s="73"/>
      <c r="BG1882" s="73"/>
      <c r="BH1882" s="73"/>
      <c r="BI1882" s="73"/>
      <c r="BJ1882" s="73"/>
      <c r="BK1882" s="73"/>
      <c r="BL1882" s="73"/>
      <c r="BM1882" s="73"/>
      <c r="BN1882" s="73"/>
      <c r="BO1882" s="73"/>
      <c r="BP1882" s="73"/>
      <c r="BQ1882" s="73"/>
      <c r="BR1882" s="73"/>
      <c r="BS1882" s="73"/>
      <c r="BT1882" s="73"/>
      <c r="BU1882" s="73"/>
      <c r="BV1882" s="73"/>
      <c r="BW1882" s="73"/>
      <c r="BX1882" s="73"/>
      <c r="BY1882" s="73"/>
      <c r="BZ1882" s="73"/>
      <c r="CA1882" s="73"/>
      <c r="CB1882" s="73"/>
      <c r="CC1882" s="73"/>
      <c r="CD1882" s="73"/>
      <c r="CE1882" s="73"/>
      <c r="CF1882" s="73"/>
      <c r="CG1882" s="73"/>
      <c r="CH1882" s="73"/>
      <c r="CI1882" s="73"/>
      <c r="CJ1882" s="73"/>
      <c r="CK1882" s="73"/>
      <c r="CL1882" s="73"/>
      <c r="CM1882" s="73"/>
      <c r="CN1882" s="73"/>
      <c r="CO1882" s="73"/>
      <c r="CP1882" s="73"/>
      <c r="CQ1882" s="73"/>
      <c r="CR1882" s="73"/>
      <c r="CS1882" s="73"/>
      <c r="CT1882" s="73"/>
      <c r="CU1882" s="73"/>
      <c r="CV1882" s="73"/>
      <c r="CW1882" s="73"/>
      <c r="CX1882" s="73"/>
      <c r="CY1882" s="73"/>
      <c r="CZ1882" s="73"/>
      <c r="DA1882" s="73"/>
      <c r="DB1882" s="73"/>
      <c r="DC1882" s="73"/>
      <c r="DD1882" s="73"/>
      <c r="DE1882" s="73"/>
      <c r="DF1882" s="73"/>
      <c r="DG1882" s="73"/>
      <c r="DH1882" s="73"/>
      <c r="DI1882" s="73"/>
      <c r="DJ1882" s="73"/>
      <c r="DK1882" s="73"/>
      <c r="DL1882" s="73"/>
      <c r="DM1882" s="73"/>
    </row>
    <row r="1883" spans="1:117" s="48" customFormat="1">
      <c r="A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M1883" s="73"/>
      <c r="CN1883" s="73"/>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c r="DM1883" s="73"/>
    </row>
    <row r="1884" spans="1:117" s="48" customFormat="1">
      <c r="A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M1884" s="73"/>
      <c r="CN1884" s="73"/>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c r="DM1884" s="73"/>
    </row>
    <row r="1885" spans="1:117" s="48" customFormat="1">
      <c r="A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M1885" s="73"/>
      <c r="CN1885" s="73"/>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c r="DM1885" s="73"/>
    </row>
    <row r="1886" spans="1:117" s="48" customFormat="1">
      <c r="A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M1886" s="73"/>
      <c r="CN1886" s="73"/>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c r="DM1886" s="73"/>
    </row>
    <row r="1887" spans="1:117" s="48" customFormat="1">
      <c r="A1887" s="73"/>
      <c r="T1887" s="73"/>
      <c r="U1887" s="73"/>
      <c r="V1887" s="73"/>
      <c r="W1887" s="73"/>
      <c r="X1887" s="73"/>
      <c r="Y1887" s="73"/>
      <c r="Z1887" s="73"/>
      <c r="AA1887" s="73"/>
      <c r="AB1887" s="73"/>
      <c r="AC1887" s="73"/>
      <c r="AD1887" s="73"/>
      <c r="AE1887" s="73"/>
      <c r="AF1887" s="73"/>
      <c r="AG1887" s="73"/>
      <c r="AH1887" s="73"/>
      <c r="AI1887" s="73"/>
      <c r="AJ1887" s="73"/>
      <c r="AK1887" s="73"/>
      <c r="AL1887" s="73"/>
      <c r="AM1887" s="73"/>
      <c r="AN1887" s="73"/>
      <c r="AO1887" s="73"/>
      <c r="AP1887" s="73"/>
      <c r="AQ1887" s="73"/>
      <c r="AR1887" s="73"/>
      <c r="AS1887" s="73"/>
      <c r="AT1887" s="73"/>
      <c r="AU1887" s="73"/>
      <c r="AV1887" s="73"/>
      <c r="AW1887" s="73"/>
      <c r="AX1887" s="73"/>
      <c r="AY1887" s="73"/>
      <c r="AZ1887" s="73"/>
      <c r="BA1887" s="73"/>
      <c r="BB1887" s="73"/>
      <c r="BC1887" s="73"/>
      <c r="BD1887" s="73"/>
      <c r="BE1887" s="73"/>
      <c r="BF1887" s="73"/>
      <c r="BG1887" s="73"/>
      <c r="BH1887" s="73"/>
      <c r="BI1887" s="73"/>
      <c r="BJ1887" s="73"/>
      <c r="BK1887" s="73"/>
      <c r="BL1887" s="73"/>
      <c r="BM1887" s="73"/>
      <c r="BN1887" s="73"/>
      <c r="BO1887" s="73"/>
      <c r="BP1887" s="73"/>
      <c r="BQ1887" s="73"/>
      <c r="BR1887" s="73"/>
      <c r="BS1887" s="73"/>
      <c r="BT1887" s="73"/>
      <c r="BU1887" s="73"/>
      <c r="BV1887" s="73"/>
      <c r="BW1887" s="73"/>
      <c r="BX1887" s="73"/>
      <c r="BY1887" s="73"/>
      <c r="BZ1887" s="73"/>
      <c r="CA1887" s="73"/>
      <c r="CB1887" s="73"/>
      <c r="CC1887" s="73"/>
      <c r="CD1887" s="73"/>
      <c r="CE1887" s="73"/>
      <c r="CF1887" s="73"/>
      <c r="CG1887" s="73"/>
      <c r="CH1887" s="73"/>
      <c r="CI1887" s="73"/>
      <c r="CJ1887" s="73"/>
      <c r="CK1887" s="73"/>
      <c r="CL1887" s="73"/>
      <c r="CM1887" s="73"/>
      <c r="CN1887" s="73"/>
      <c r="CO1887" s="73"/>
      <c r="CP1887" s="73"/>
      <c r="CQ1887" s="73"/>
      <c r="CR1887" s="73"/>
      <c r="CS1887" s="73"/>
      <c r="CT1887" s="73"/>
      <c r="CU1887" s="73"/>
      <c r="CV1887" s="73"/>
      <c r="CW1887" s="73"/>
      <c r="CX1887" s="73"/>
      <c r="CY1887" s="73"/>
      <c r="CZ1887" s="73"/>
      <c r="DA1887" s="73"/>
      <c r="DB1887" s="73"/>
      <c r="DC1887" s="73"/>
      <c r="DD1887" s="73"/>
      <c r="DE1887" s="73"/>
      <c r="DF1887" s="73"/>
      <c r="DG1887" s="73"/>
      <c r="DH1887" s="73"/>
      <c r="DI1887" s="73"/>
      <c r="DJ1887" s="73"/>
      <c r="DK1887" s="73"/>
      <c r="DL1887" s="73"/>
      <c r="DM1887" s="73"/>
    </row>
    <row r="1888" spans="1:117" s="48" customFormat="1">
      <c r="A1888" s="73"/>
      <c r="T1888" s="73"/>
      <c r="U1888" s="73"/>
      <c r="V1888" s="73"/>
      <c r="W1888" s="73"/>
      <c r="X1888" s="73"/>
      <c r="Y1888" s="73"/>
      <c r="Z1888" s="73"/>
      <c r="AA1888" s="73"/>
      <c r="AB1888" s="73"/>
      <c r="AC1888" s="73"/>
      <c r="AD1888" s="73"/>
      <c r="AE1888" s="73"/>
      <c r="AF1888" s="73"/>
      <c r="AG1888" s="73"/>
      <c r="AH1888" s="73"/>
      <c r="AI1888" s="73"/>
      <c r="AJ1888" s="73"/>
      <c r="AK1888" s="73"/>
      <c r="AL1888" s="73"/>
      <c r="AM1888" s="73"/>
      <c r="AN1888" s="73"/>
      <c r="AO1888" s="73"/>
      <c r="AP1888" s="73"/>
      <c r="AQ1888" s="73"/>
      <c r="AR1888" s="73"/>
      <c r="AS1888" s="73"/>
      <c r="AT1888" s="73"/>
      <c r="AU1888" s="73"/>
      <c r="AV1888" s="73"/>
      <c r="AW1888" s="73"/>
      <c r="AX1888" s="73"/>
      <c r="AY1888" s="73"/>
      <c r="AZ1888" s="73"/>
      <c r="BA1888" s="73"/>
      <c r="BB1888" s="73"/>
      <c r="BC1888" s="73"/>
      <c r="BD1888" s="73"/>
      <c r="BE1888" s="73"/>
      <c r="BF1888" s="73"/>
      <c r="BG1888" s="73"/>
      <c r="BH1888" s="73"/>
      <c r="BI1888" s="73"/>
      <c r="BJ1888" s="73"/>
      <c r="BK1888" s="73"/>
      <c r="BL1888" s="73"/>
      <c r="BM1888" s="73"/>
      <c r="BN1888" s="73"/>
      <c r="BO1888" s="73"/>
      <c r="BP1888" s="73"/>
      <c r="BQ1888" s="73"/>
      <c r="BR1888" s="73"/>
      <c r="BS1888" s="73"/>
      <c r="BT1888" s="73"/>
      <c r="BU1888" s="73"/>
      <c r="BV1888" s="73"/>
      <c r="BW1888" s="73"/>
      <c r="BX1888" s="73"/>
      <c r="BY1888" s="73"/>
      <c r="BZ1888" s="73"/>
      <c r="CA1888" s="73"/>
      <c r="CB1888" s="73"/>
      <c r="CC1888" s="73"/>
      <c r="CD1888" s="73"/>
      <c r="CE1888" s="73"/>
      <c r="CF1888" s="73"/>
      <c r="CG1888" s="73"/>
      <c r="CH1888" s="73"/>
      <c r="CI1888" s="73"/>
      <c r="CJ1888" s="73"/>
      <c r="CK1888" s="73"/>
      <c r="CL1888" s="73"/>
      <c r="CM1888" s="73"/>
      <c r="CN1888" s="73"/>
      <c r="CO1888" s="73"/>
      <c r="CP1888" s="73"/>
      <c r="CQ1888" s="73"/>
      <c r="CR1888" s="73"/>
      <c r="CS1888" s="73"/>
      <c r="CT1888" s="73"/>
      <c r="CU1888" s="73"/>
      <c r="CV1888" s="73"/>
      <c r="CW1888" s="73"/>
      <c r="CX1888" s="73"/>
      <c r="CY1888" s="73"/>
      <c r="CZ1888" s="73"/>
      <c r="DA1888" s="73"/>
      <c r="DB1888" s="73"/>
      <c r="DC1888" s="73"/>
      <c r="DD1888" s="73"/>
      <c r="DE1888" s="73"/>
      <c r="DF1888" s="73"/>
      <c r="DG1888" s="73"/>
      <c r="DH1888" s="73"/>
      <c r="DI1888" s="73"/>
      <c r="DJ1888" s="73"/>
      <c r="DK1888" s="73"/>
      <c r="DL1888" s="73"/>
      <c r="DM1888" s="73"/>
    </row>
    <row r="1889" spans="1:117" s="48" customFormat="1">
      <c r="A1889" s="73"/>
      <c r="T1889" s="73"/>
      <c r="U1889" s="73"/>
      <c r="V1889" s="73"/>
      <c r="W1889" s="73"/>
      <c r="X1889" s="73"/>
      <c r="Y1889" s="73"/>
      <c r="Z1889" s="73"/>
      <c r="AA1889" s="73"/>
      <c r="AB1889" s="73"/>
      <c r="AC1889" s="73"/>
      <c r="AD1889" s="73"/>
      <c r="AE1889" s="73"/>
      <c r="AF1889" s="73"/>
      <c r="AG1889" s="73"/>
      <c r="AH1889" s="73"/>
      <c r="AI1889" s="73"/>
      <c r="AJ1889" s="73"/>
      <c r="AK1889" s="73"/>
      <c r="AL1889" s="73"/>
      <c r="AM1889" s="73"/>
      <c r="AN1889" s="73"/>
      <c r="AO1889" s="73"/>
      <c r="AP1889" s="73"/>
      <c r="AQ1889" s="73"/>
      <c r="AR1889" s="73"/>
      <c r="AS1889" s="73"/>
      <c r="AT1889" s="73"/>
      <c r="AU1889" s="73"/>
      <c r="AV1889" s="73"/>
      <c r="AW1889" s="73"/>
      <c r="AX1889" s="73"/>
      <c r="AY1889" s="73"/>
      <c r="AZ1889" s="73"/>
      <c r="BA1889" s="73"/>
      <c r="BB1889" s="73"/>
      <c r="BC1889" s="73"/>
      <c r="BD1889" s="73"/>
      <c r="BE1889" s="73"/>
      <c r="BF1889" s="73"/>
      <c r="BG1889" s="73"/>
      <c r="BH1889" s="73"/>
      <c r="BI1889" s="73"/>
      <c r="BJ1889" s="73"/>
      <c r="BK1889" s="73"/>
      <c r="BL1889" s="73"/>
      <c r="BM1889" s="73"/>
      <c r="BN1889" s="73"/>
      <c r="BO1889" s="73"/>
      <c r="BP1889" s="73"/>
      <c r="BQ1889" s="73"/>
      <c r="BR1889" s="73"/>
      <c r="BS1889" s="73"/>
      <c r="BT1889" s="73"/>
      <c r="BU1889" s="73"/>
      <c r="BV1889" s="73"/>
      <c r="BW1889" s="73"/>
      <c r="BX1889" s="73"/>
      <c r="BY1889" s="73"/>
      <c r="BZ1889" s="73"/>
      <c r="CA1889" s="73"/>
      <c r="CB1889" s="73"/>
      <c r="CC1889" s="73"/>
      <c r="CD1889" s="73"/>
      <c r="CE1889" s="73"/>
      <c r="CF1889" s="73"/>
      <c r="CG1889" s="73"/>
      <c r="CH1889" s="73"/>
      <c r="CI1889" s="73"/>
      <c r="CJ1889" s="73"/>
      <c r="CK1889" s="73"/>
      <c r="CL1889" s="73"/>
      <c r="CM1889" s="73"/>
      <c r="CN1889" s="73"/>
      <c r="CO1889" s="73"/>
      <c r="CP1889" s="73"/>
      <c r="CQ1889" s="73"/>
      <c r="CR1889" s="73"/>
      <c r="CS1889" s="73"/>
      <c r="CT1889" s="73"/>
      <c r="CU1889" s="73"/>
      <c r="CV1889" s="73"/>
      <c r="CW1889" s="73"/>
      <c r="CX1889" s="73"/>
      <c r="CY1889" s="73"/>
      <c r="CZ1889" s="73"/>
      <c r="DA1889" s="73"/>
      <c r="DB1889" s="73"/>
      <c r="DC1889" s="73"/>
      <c r="DD1889" s="73"/>
      <c r="DE1889" s="73"/>
      <c r="DF1889" s="73"/>
      <c r="DG1889" s="73"/>
      <c r="DH1889" s="73"/>
      <c r="DI1889" s="73"/>
      <c r="DJ1889" s="73"/>
      <c r="DK1889" s="73"/>
      <c r="DL1889" s="73"/>
      <c r="DM1889" s="73"/>
    </row>
    <row r="1890" spans="1:117" s="48" customFormat="1">
      <c r="A1890" s="73"/>
      <c r="T1890" s="73"/>
      <c r="U1890" s="73"/>
      <c r="V1890" s="73"/>
      <c r="W1890" s="73"/>
      <c r="X1890" s="73"/>
      <c r="Y1890" s="73"/>
      <c r="Z1890" s="73"/>
      <c r="AA1890" s="73"/>
      <c r="AB1890" s="73"/>
      <c r="AC1890" s="73"/>
      <c r="AD1890" s="73"/>
      <c r="AE1890" s="73"/>
      <c r="AF1890" s="73"/>
      <c r="AG1890" s="73"/>
      <c r="AH1890" s="73"/>
      <c r="AI1890" s="73"/>
      <c r="AJ1890" s="73"/>
      <c r="AK1890" s="73"/>
      <c r="AL1890" s="73"/>
      <c r="AM1890" s="73"/>
      <c r="AN1890" s="73"/>
      <c r="AO1890" s="73"/>
      <c r="AP1890" s="73"/>
      <c r="AQ1890" s="73"/>
      <c r="AR1890" s="73"/>
      <c r="AS1890" s="73"/>
      <c r="AT1890" s="73"/>
      <c r="AU1890" s="73"/>
      <c r="AV1890" s="73"/>
      <c r="AW1890" s="73"/>
      <c r="AX1890" s="73"/>
      <c r="AY1890" s="73"/>
      <c r="AZ1890" s="73"/>
      <c r="BA1890" s="73"/>
      <c r="BB1890" s="73"/>
      <c r="BC1890" s="73"/>
      <c r="BD1890" s="73"/>
      <c r="BE1890" s="73"/>
      <c r="BF1890" s="73"/>
      <c r="BG1890" s="73"/>
      <c r="BH1890" s="73"/>
      <c r="BI1890" s="73"/>
      <c r="BJ1890" s="73"/>
      <c r="BK1890" s="73"/>
      <c r="BL1890" s="73"/>
      <c r="BM1890" s="73"/>
      <c r="BN1890" s="73"/>
      <c r="BO1890" s="73"/>
      <c r="BP1890" s="73"/>
      <c r="BQ1890" s="73"/>
      <c r="BR1890" s="73"/>
      <c r="BS1890" s="73"/>
      <c r="BT1890" s="73"/>
      <c r="BU1890" s="73"/>
      <c r="BV1890" s="73"/>
      <c r="BW1890" s="73"/>
      <c r="BX1890" s="73"/>
      <c r="BY1890" s="73"/>
      <c r="BZ1890" s="73"/>
      <c r="CA1890" s="73"/>
      <c r="CB1890" s="73"/>
      <c r="CC1890" s="73"/>
      <c r="CD1890" s="73"/>
      <c r="CE1890" s="73"/>
      <c r="CF1890" s="73"/>
      <c r="CG1890" s="73"/>
      <c r="CH1890" s="73"/>
      <c r="CI1890" s="73"/>
      <c r="CJ1890" s="73"/>
      <c r="CK1890" s="73"/>
      <c r="CL1890" s="73"/>
      <c r="CM1890" s="73"/>
      <c r="CN1890" s="73"/>
      <c r="CO1890" s="73"/>
      <c r="CP1890" s="73"/>
      <c r="CQ1890" s="73"/>
      <c r="CR1890" s="73"/>
      <c r="CS1890" s="73"/>
      <c r="CT1890" s="73"/>
      <c r="CU1890" s="73"/>
      <c r="CV1890" s="73"/>
      <c r="CW1890" s="73"/>
      <c r="CX1890" s="73"/>
      <c r="CY1890" s="73"/>
      <c r="CZ1890" s="73"/>
      <c r="DA1890" s="73"/>
      <c r="DB1890" s="73"/>
      <c r="DC1890" s="73"/>
      <c r="DD1890" s="73"/>
      <c r="DE1890" s="73"/>
      <c r="DF1890" s="73"/>
      <c r="DG1890" s="73"/>
      <c r="DH1890" s="73"/>
      <c r="DI1890" s="73"/>
      <c r="DJ1890" s="73"/>
      <c r="DK1890" s="73"/>
      <c r="DL1890" s="73"/>
      <c r="DM1890" s="73"/>
    </row>
    <row r="1891" spans="1:117" s="48" customFormat="1">
      <c r="A1891" s="73"/>
      <c r="T1891" s="73"/>
      <c r="U1891" s="73"/>
      <c r="V1891" s="73"/>
      <c r="W1891" s="73"/>
      <c r="X1891" s="73"/>
      <c r="Y1891" s="73"/>
      <c r="Z1891" s="73"/>
      <c r="AA1891" s="73"/>
      <c r="AB1891" s="73"/>
      <c r="AC1891" s="73"/>
      <c r="AD1891" s="73"/>
      <c r="AE1891" s="73"/>
      <c r="AF1891" s="73"/>
      <c r="AG1891" s="73"/>
      <c r="AH1891" s="73"/>
      <c r="AI1891" s="73"/>
      <c r="AJ1891" s="73"/>
      <c r="AK1891" s="73"/>
      <c r="AL1891" s="73"/>
      <c r="AM1891" s="73"/>
      <c r="AN1891" s="73"/>
      <c r="AO1891" s="73"/>
      <c r="AP1891" s="73"/>
      <c r="AQ1891" s="73"/>
      <c r="AR1891" s="73"/>
      <c r="AS1891" s="73"/>
      <c r="AT1891" s="73"/>
      <c r="AU1891" s="73"/>
      <c r="AV1891" s="73"/>
      <c r="AW1891" s="73"/>
      <c r="AX1891" s="73"/>
      <c r="AY1891" s="73"/>
      <c r="AZ1891" s="73"/>
      <c r="BA1891" s="73"/>
      <c r="BB1891" s="73"/>
      <c r="BC1891" s="73"/>
      <c r="BD1891" s="73"/>
      <c r="BE1891" s="73"/>
      <c r="BF1891" s="73"/>
      <c r="BG1891" s="73"/>
      <c r="BH1891" s="73"/>
      <c r="BI1891" s="73"/>
      <c r="BJ1891" s="73"/>
      <c r="BK1891" s="73"/>
      <c r="BL1891" s="73"/>
      <c r="BM1891" s="73"/>
      <c r="BN1891" s="73"/>
      <c r="BO1891" s="73"/>
      <c r="BP1891" s="73"/>
      <c r="BQ1891" s="73"/>
      <c r="BR1891" s="73"/>
      <c r="BS1891" s="73"/>
      <c r="BT1891" s="73"/>
      <c r="BU1891" s="73"/>
      <c r="BV1891" s="73"/>
      <c r="BW1891" s="73"/>
      <c r="BX1891" s="73"/>
      <c r="BY1891" s="73"/>
      <c r="BZ1891" s="73"/>
      <c r="CA1891" s="73"/>
      <c r="CB1891" s="73"/>
      <c r="CC1891" s="73"/>
      <c r="CD1891" s="73"/>
      <c r="CE1891" s="73"/>
      <c r="CF1891" s="73"/>
      <c r="CG1891" s="73"/>
      <c r="CH1891" s="73"/>
      <c r="CI1891" s="73"/>
      <c r="CJ1891" s="73"/>
      <c r="CK1891" s="73"/>
      <c r="CL1891" s="73"/>
      <c r="CM1891" s="73"/>
      <c r="CN1891" s="73"/>
      <c r="CO1891" s="73"/>
      <c r="CP1891" s="73"/>
      <c r="CQ1891" s="73"/>
      <c r="CR1891" s="73"/>
      <c r="CS1891" s="73"/>
      <c r="CT1891" s="73"/>
      <c r="CU1891" s="73"/>
      <c r="CV1891" s="73"/>
      <c r="CW1891" s="73"/>
      <c r="CX1891" s="73"/>
      <c r="CY1891" s="73"/>
      <c r="CZ1891" s="73"/>
      <c r="DA1891" s="73"/>
      <c r="DB1891" s="73"/>
      <c r="DC1891" s="73"/>
      <c r="DD1891" s="73"/>
      <c r="DE1891" s="73"/>
      <c r="DF1891" s="73"/>
      <c r="DG1891" s="73"/>
      <c r="DH1891" s="73"/>
      <c r="DI1891" s="73"/>
      <c r="DJ1891" s="73"/>
      <c r="DK1891" s="73"/>
      <c r="DL1891" s="73"/>
      <c r="DM1891" s="73"/>
    </row>
    <row r="1892" spans="1:117" s="48" customFormat="1">
      <c r="A1892" s="73"/>
      <c r="T1892" s="73"/>
      <c r="U1892" s="73"/>
      <c r="V1892" s="73"/>
      <c r="W1892" s="73"/>
      <c r="X1892" s="73"/>
      <c r="Y1892" s="73"/>
      <c r="Z1892" s="73"/>
      <c r="AA1892" s="73"/>
      <c r="AB1892" s="73"/>
      <c r="AC1892" s="73"/>
      <c r="AD1892" s="73"/>
      <c r="AE1892" s="73"/>
      <c r="AF1892" s="73"/>
      <c r="AG1892" s="73"/>
      <c r="AH1892" s="73"/>
      <c r="AI1892" s="73"/>
      <c r="AJ1892" s="73"/>
      <c r="AK1892" s="73"/>
      <c r="AL1892" s="73"/>
      <c r="AM1892" s="73"/>
      <c r="AN1892" s="73"/>
      <c r="AO1892" s="73"/>
      <c r="AP1892" s="73"/>
      <c r="AQ1892" s="73"/>
      <c r="AR1892" s="73"/>
      <c r="AS1892" s="73"/>
      <c r="AT1892" s="73"/>
      <c r="AU1892" s="73"/>
      <c r="AV1892" s="73"/>
      <c r="AW1892" s="73"/>
      <c r="AX1892" s="73"/>
      <c r="AY1892" s="73"/>
      <c r="AZ1892" s="73"/>
      <c r="BA1892" s="73"/>
      <c r="BB1892" s="73"/>
      <c r="BC1892" s="73"/>
      <c r="BD1892" s="73"/>
      <c r="BE1892" s="73"/>
      <c r="BF1892" s="73"/>
      <c r="BG1892" s="73"/>
      <c r="BH1892" s="73"/>
      <c r="BI1892" s="73"/>
      <c r="BJ1892" s="73"/>
      <c r="BK1892" s="73"/>
      <c r="BL1892" s="73"/>
      <c r="BM1892" s="73"/>
      <c r="BN1892" s="73"/>
      <c r="BO1892" s="73"/>
      <c r="BP1892" s="73"/>
      <c r="BQ1892" s="73"/>
      <c r="BR1892" s="73"/>
      <c r="BS1892" s="73"/>
      <c r="BT1892" s="73"/>
      <c r="BU1892" s="73"/>
      <c r="BV1892" s="73"/>
      <c r="BW1892" s="73"/>
      <c r="BX1892" s="73"/>
      <c r="BY1892" s="73"/>
      <c r="BZ1892" s="73"/>
      <c r="CA1892" s="73"/>
      <c r="CB1892" s="73"/>
      <c r="CC1892" s="73"/>
      <c r="CD1892" s="73"/>
      <c r="CE1892" s="73"/>
      <c r="CF1892" s="73"/>
      <c r="CG1892" s="73"/>
      <c r="CH1892" s="73"/>
      <c r="CI1892" s="73"/>
      <c r="CJ1892" s="73"/>
      <c r="CK1892" s="73"/>
      <c r="CL1892" s="73"/>
      <c r="CM1892" s="73"/>
      <c r="CN1892" s="73"/>
      <c r="CO1892" s="73"/>
      <c r="CP1892" s="73"/>
      <c r="CQ1892" s="73"/>
      <c r="CR1892" s="73"/>
      <c r="CS1892" s="73"/>
      <c r="CT1892" s="73"/>
      <c r="CU1892" s="73"/>
      <c r="CV1892" s="73"/>
      <c r="CW1892" s="73"/>
      <c r="CX1892" s="73"/>
      <c r="CY1892" s="73"/>
      <c r="CZ1892" s="73"/>
      <c r="DA1892" s="73"/>
      <c r="DB1892" s="73"/>
      <c r="DC1892" s="73"/>
      <c r="DD1892" s="73"/>
      <c r="DE1892" s="73"/>
      <c r="DF1892" s="73"/>
      <c r="DG1892" s="73"/>
      <c r="DH1892" s="73"/>
      <c r="DI1892" s="73"/>
      <c r="DJ1892" s="73"/>
      <c r="DK1892" s="73"/>
      <c r="DL1892" s="73"/>
      <c r="DM1892" s="73"/>
    </row>
    <row r="1893" spans="1:117" s="48" customFormat="1">
      <c r="A1893" s="73"/>
      <c r="T1893" s="73"/>
      <c r="U1893" s="73"/>
      <c r="V1893" s="73"/>
      <c r="W1893" s="73"/>
      <c r="X1893" s="73"/>
      <c r="Y1893" s="73"/>
      <c r="Z1893" s="73"/>
      <c r="AA1893" s="73"/>
      <c r="AB1893" s="73"/>
      <c r="AC1893" s="73"/>
      <c r="AD1893" s="73"/>
      <c r="AE1893" s="73"/>
      <c r="AF1893" s="73"/>
      <c r="AG1893" s="73"/>
      <c r="AH1893" s="73"/>
      <c r="AI1893" s="73"/>
      <c r="AJ1893" s="73"/>
      <c r="AK1893" s="73"/>
      <c r="AL1893" s="73"/>
      <c r="AM1893" s="73"/>
      <c r="AN1893" s="73"/>
      <c r="AO1893" s="73"/>
      <c r="AP1893" s="73"/>
      <c r="AQ1893" s="73"/>
      <c r="AR1893" s="73"/>
      <c r="AS1893" s="73"/>
      <c r="AT1893" s="73"/>
      <c r="AU1893" s="73"/>
      <c r="AV1893" s="73"/>
      <c r="AW1893" s="73"/>
      <c r="AX1893" s="73"/>
      <c r="AY1893" s="73"/>
      <c r="AZ1893" s="73"/>
      <c r="BA1893" s="73"/>
      <c r="BB1893" s="73"/>
      <c r="BC1893" s="73"/>
      <c r="BD1893" s="73"/>
      <c r="BE1893" s="73"/>
      <c r="BF1893" s="73"/>
      <c r="BG1893" s="73"/>
      <c r="BH1893" s="73"/>
      <c r="BI1893" s="73"/>
      <c r="BJ1893" s="73"/>
      <c r="BK1893" s="73"/>
      <c r="BL1893" s="73"/>
      <c r="BM1893" s="73"/>
      <c r="BN1893" s="73"/>
      <c r="BO1893" s="73"/>
      <c r="BP1893" s="73"/>
      <c r="BQ1893" s="73"/>
      <c r="BR1893" s="73"/>
      <c r="BS1893" s="73"/>
      <c r="BT1893" s="73"/>
      <c r="BU1893" s="73"/>
      <c r="BV1893" s="73"/>
      <c r="BW1893" s="73"/>
      <c r="BX1893" s="73"/>
      <c r="BY1893" s="73"/>
      <c r="BZ1893" s="73"/>
      <c r="CA1893" s="73"/>
      <c r="CB1893" s="73"/>
      <c r="CC1893" s="73"/>
      <c r="CD1893" s="73"/>
      <c r="CE1893" s="73"/>
      <c r="CF1893" s="73"/>
      <c r="CG1893" s="73"/>
      <c r="CH1893" s="73"/>
      <c r="CI1893" s="73"/>
      <c r="CJ1893" s="73"/>
      <c r="CK1893" s="73"/>
      <c r="CL1893" s="73"/>
      <c r="CM1893" s="73"/>
      <c r="CN1893" s="73"/>
      <c r="CO1893" s="73"/>
      <c r="CP1893" s="73"/>
      <c r="CQ1893" s="73"/>
      <c r="CR1893" s="73"/>
      <c r="CS1893" s="73"/>
      <c r="CT1893" s="73"/>
      <c r="CU1893" s="73"/>
      <c r="CV1893" s="73"/>
      <c r="CW1893" s="73"/>
      <c r="CX1893" s="73"/>
      <c r="CY1893" s="73"/>
      <c r="CZ1893" s="73"/>
      <c r="DA1893" s="73"/>
      <c r="DB1893" s="73"/>
      <c r="DC1893" s="73"/>
      <c r="DD1893" s="73"/>
      <c r="DE1893" s="73"/>
      <c r="DF1893" s="73"/>
      <c r="DG1893" s="73"/>
      <c r="DH1893" s="73"/>
      <c r="DI1893" s="73"/>
      <c r="DJ1893" s="73"/>
      <c r="DK1893" s="73"/>
      <c r="DL1893" s="73"/>
      <c r="DM1893" s="73"/>
    </row>
    <row r="1894" spans="1:117" s="48" customFormat="1">
      <c r="A1894" s="73"/>
      <c r="T1894" s="73"/>
      <c r="U1894" s="73"/>
      <c r="V1894" s="73"/>
      <c r="W1894" s="73"/>
      <c r="X1894" s="73"/>
      <c r="Y1894" s="73"/>
      <c r="Z1894" s="73"/>
      <c r="AA1894" s="73"/>
      <c r="AB1894" s="73"/>
      <c r="AC1894" s="73"/>
      <c r="AD1894" s="73"/>
      <c r="AE1894" s="73"/>
      <c r="AF1894" s="73"/>
      <c r="AG1894" s="73"/>
      <c r="AH1894" s="73"/>
      <c r="AI1894" s="73"/>
      <c r="AJ1894" s="73"/>
      <c r="AK1894" s="73"/>
      <c r="AL1894" s="73"/>
      <c r="AM1894" s="73"/>
      <c r="AN1894" s="73"/>
      <c r="AO1894" s="73"/>
      <c r="AP1894" s="73"/>
      <c r="AQ1894" s="73"/>
      <c r="AR1894" s="73"/>
      <c r="AS1894" s="73"/>
      <c r="AT1894" s="73"/>
      <c r="AU1894" s="73"/>
      <c r="AV1894" s="73"/>
      <c r="AW1894" s="73"/>
      <c r="AX1894" s="73"/>
      <c r="AY1894" s="73"/>
      <c r="AZ1894" s="73"/>
      <c r="BA1894" s="73"/>
      <c r="BB1894" s="73"/>
      <c r="BC1894" s="73"/>
      <c r="BD1894" s="73"/>
      <c r="BE1894" s="73"/>
      <c r="BF1894" s="73"/>
      <c r="BG1894" s="73"/>
      <c r="BH1894" s="73"/>
      <c r="BI1894" s="73"/>
      <c r="BJ1894" s="73"/>
      <c r="BK1894" s="73"/>
      <c r="BL1894" s="73"/>
      <c r="BM1894" s="73"/>
      <c r="BN1894" s="73"/>
      <c r="BO1894" s="73"/>
      <c r="BP1894" s="73"/>
      <c r="BQ1894" s="73"/>
      <c r="BR1894" s="73"/>
      <c r="BS1894" s="73"/>
      <c r="BT1894" s="73"/>
      <c r="BU1894" s="73"/>
      <c r="BV1894" s="73"/>
      <c r="BW1894" s="73"/>
      <c r="BX1894" s="73"/>
      <c r="BY1894" s="73"/>
      <c r="BZ1894" s="73"/>
      <c r="CA1894" s="73"/>
      <c r="CB1894" s="73"/>
      <c r="CC1894" s="73"/>
      <c r="CD1894" s="73"/>
      <c r="CE1894" s="73"/>
      <c r="CF1894" s="73"/>
      <c r="CG1894" s="73"/>
      <c r="CH1894" s="73"/>
      <c r="CI1894" s="73"/>
      <c r="CJ1894" s="73"/>
      <c r="CK1894" s="73"/>
      <c r="CL1894" s="73"/>
      <c r="CM1894" s="73"/>
      <c r="CN1894" s="73"/>
      <c r="CO1894" s="73"/>
      <c r="CP1894" s="73"/>
      <c r="CQ1894" s="73"/>
      <c r="CR1894" s="73"/>
      <c r="CS1894" s="73"/>
      <c r="CT1894" s="73"/>
      <c r="CU1894" s="73"/>
      <c r="CV1894" s="73"/>
      <c r="CW1894" s="73"/>
      <c r="CX1894" s="73"/>
      <c r="CY1894" s="73"/>
      <c r="CZ1894" s="73"/>
      <c r="DA1894" s="73"/>
      <c r="DB1894" s="73"/>
      <c r="DC1894" s="73"/>
      <c r="DD1894" s="73"/>
      <c r="DE1894" s="73"/>
      <c r="DF1894" s="73"/>
      <c r="DG1894" s="73"/>
      <c r="DH1894" s="73"/>
      <c r="DI1894" s="73"/>
      <c r="DJ1894" s="73"/>
      <c r="DK1894" s="73"/>
      <c r="DL1894" s="73"/>
      <c r="DM1894" s="73"/>
    </row>
    <row r="1895" spans="1:117" s="48" customFormat="1">
      <c r="A1895" s="73"/>
      <c r="T1895" s="73"/>
      <c r="U1895" s="73"/>
      <c r="V1895" s="73"/>
      <c r="W1895" s="73"/>
      <c r="X1895" s="73"/>
      <c r="Y1895" s="73"/>
      <c r="Z1895" s="73"/>
      <c r="AA1895" s="73"/>
      <c r="AB1895" s="73"/>
      <c r="AC1895" s="73"/>
      <c r="AD1895" s="73"/>
      <c r="AE1895" s="73"/>
      <c r="AF1895" s="73"/>
      <c r="AG1895" s="73"/>
      <c r="AH1895" s="73"/>
      <c r="AI1895" s="73"/>
      <c r="AJ1895" s="73"/>
      <c r="AK1895" s="73"/>
      <c r="AL1895" s="73"/>
      <c r="AM1895" s="73"/>
      <c r="AN1895" s="73"/>
      <c r="AO1895" s="73"/>
      <c r="AP1895" s="73"/>
      <c r="AQ1895" s="73"/>
      <c r="AR1895" s="73"/>
      <c r="AS1895" s="73"/>
      <c r="AT1895" s="73"/>
      <c r="AU1895" s="73"/>
      <c r="AV1895" s="73"/>
      <c r="AW1895" s="73"/>
      <c r="AX1895" s="73"/>
      <c r="AY1895" s="73"/>
      <c r="AZ1895" s="73"/>
      <c r="BA1895" s="73"/>
      <c r="BB1895" s="73"/>
      <c r="BC1895" s="73"/>
      <c r="BD1895" s="73"/>
      <c r="BE1895" s="73"/>
      <c r="BF1895" s="73"/>
      <c r="BG1895" s="73"/>
      <c r="BH1895" s="73"/>
      <c r="BI1895" s="73"/>
      <c r="BJ1895" s="73"/>
      <c r="BK1895" s="73"/>
      <c r="BL1895" s="73"/>
      <c r="BM1895" s="73"/>
      <c r="BN1895" s="73"/>
      <c r="BO1895" s="73"/>
      <c r="BP1895" s="73"/>
      <c r="BQ1895" s="73"/>
      <c r="BR1895" s="73"/>
      <c r="BS1895" s="73"/>
      <c r="BT1895" s="73"/>
      <c r="BU1895" s="73"/>
      <c r="BV1895" s="73"/>
      <c r="BW1895" s="73"/>
      <c r="BX1895" s="73"/>
      <c r="BY1895" s="73"/>
      <c r="BZ1895" s="73"/>
      <c r="CA1895" s="73"/>
      <c r="CB1895" s="73"/>
      <c r="CC1895" s="73"/>
      <c r="CD1895" s="73"/>
      <c r="CE1895" s="73"/>
      <c r="CF1895" s="73"/>
      <c r="CG1895" s="73"/>
      <c r="CH1895" s="73"/>
      <c r="CI1895" s="73"/>
      <c r="CJ1895" s="73"/>
      <c r="CK1895" s="73"/>
      <c r="CL1895" s="73"/>
      <c r="CM1895" s="73"/>
      <c r="CN1895" s="73"/>
      <c r="CO1895" s="73"/>
      <c r="CP1895" s="73"/>
      <c r="CQ1895" s="73"/>
      <c r="CR1895" s="73"/>
      <c r="CS1895" s="73"/>
      <c r="CT1895" s="73"/>
      <c r="CU1895" s="73"/>
      <c r="CV1895" s="73"/>
      <c r="CW1895" s="73"/>
      <c r="CX1895" s="73"/>
      <c r="CY1895" s="73"/>
      <c r="CZ1895" s="73"/>
      <c r="DA1895" s="73"/>
      <c r="DB1895" s="73"/>
      <c r="DC1895" s="73"/>
      <c r="DD1895" s="73"/>
      <c r="DE1895" s="73"/>
      <c r="DF1895" s="73"/>
      <c r="DG1895" s="73"/>
      <c r="DH1895" s="73"/>
      <c r="DI1895" s="73"/>
      <c r="DJ1895" s="73"/>
      <c r="DK1895" s="73"/>
      <c r="DL1895" s="73"/>
      <c r="DM1895" s="73"/>
    </row>
    <row r="1896" spans="1:117" s="48" customFormat="1">
      <c r="A1896" s="73"/>
      <c r="T1896" s="73"/>
      <c r="U1896" s="73"/>
      <c r="V1896" s="73"/>
      <c r="W1896" s="73"/>
      <c r="X1896" s="73"/>
      <c r="Y1896" s="73"/>
      <c r="Z1896" s="73"/>
      <c r="AA1896" s="73"/>
      <c r="AB1896" s="73"/>
      <c r="AC1896" s="73"/>
      <c r="AD1896" s="73"/>
      <c r="AE1896" s="73"/>
      <c r="AF1896" s="73"/>
      <c r="AG1896" s="73"/>
      <c r="AH1896" s="73"/>
      <c r="AI1896" s="73"/>
      <c r="AJ1896" s="73"/>
      <c r="AK1896" s="73"/>
      <c r="AL1896" s="73"/>
      <c r="AM1896" s="73"/>
      <c r="AN1896" s="73"/>
      <c r="AO1896" s="73"/>
      <c r="AP1896" s="73"/>
      <c r="AQ1896" s="73"/>
      <c r="AR1896" s="73"/>
      <c r="AS1896" s="73"/>
      <c r="AT1896" s="73"/>
      <c r="AU1896" s="73"/>
      <c r="AV1896" s="73"/>
      <c r="AW1896" s="73"/>
      <c r="AX1896" s="73"/>
      <c r="AY1896" s="73"/>
      <c r="AZ1896" s="73"/>
      <c r="BA1896" s="73"/>
      <c r="BB1896" s="73"/>
      <c r="BC1896" s="73"/>
      <c r="BD1896" s="73"/>
      <c r="BE1896" s="73"/>
      <c r="BF1896" s="73"/>
      <c r="BG1896" s="73"/>
      <c r="BH1896" s="73"/>
      <c r="BI1896" s="73"/>
      <c r="BJ1896" s="73"/>
      <c r="BK1896" s="73"/>
      <c r="BL1896" s="73"/>
      <c r="BM1896" s="73"/>
      <c r="BN1896" s="73"/>
      <c r="BO1896" s="73"/>
      <c r="BP1896" s="73"/>
      <c r="BQ1896" s="73"/>
      <c r="BR1896" s="73"/>
      <c r="BS1896" s="73"/>
      <c r="BT1896" s="73"/>
      <c r="BU1896" s="73"/>
      <c r="BV1896" s="73"/>
      <c r="BW1896" s="73"/>
      <c r="BX1896" s="73"/>
      <c r="BY1896" s="73"/>
      <c r="BZ1896" s="73"/>
      <c r="CA1896" s="73"/>
      <c r="CB1896" s="73"/>
      <c r="CC1896" s="73"/>
      <c r="CD1896" s="73"/>
      <c r="CE1896" s="73"/>
      <c r="CF1896" s="73"/>
      <c r="CG1896" s="73"/>
      <c r="CH1896" s="73"/>
      <c r="CI1896" s="73"/>
      <c r="CJ1896" s="73"/>
      <c r="CK1896" s="73"/>
      <c r="CL1896" s="73"/>
      <c r="CM1896" s="73"/>
      <c r="CN1896" s="73"/>
      <c r="CO1896" s="73"/>
      <c r="CP1896" s="73"/>
      <c r="CQ1896" s="73"/>
      <c r="CR1896" s="73"/>
      <c r="CS1896" s="73"/>
      <c r="CT1896" s="73"/>
      <c r="CU1896" s="73"/>
      <c r="CV1896" s="73"/>
      <c r="CW1896" s="73"/>
      <c r="CX1896" s="73"/>
      <c r="CY1896" s="73"/>
      <c r="CZ1896" s="73"/>
      <c r="DA1896" s="73"/>
      <c r="DB1896" s="73"/>
      <c r="DC1896" s="73"/>
      <c r="DD1896" s="73"/>
      <c r="DE1896" s="73"/>
      <c r="DF1896" s="73"/>
      <c r="DG1896" s="73"/>
      <c r="DH1896" s="73"/>
      <c r="DI1896" s="73"/>
      <c r="DJ1896" s="73"/>
      <c r="DK1896" s="73"/>
      <c r="DL1896" s="73"/>
      <c r="DM1896" s="73"/>
    </row>
    <row r="1897" spans="1:117" s="48" customFormat="1">
      <c r="A1897" s="73"/>
      <c r="T1897" s="73"/>
      <c r="U1897" s="73"/>
      <c r="V1897" s="73"/>
      <c r="W1897" s="73"/>
      <c r="X1897" s="73"/>
      <c r="Y1897" s="73"/>
      <c r="Z1897" s="73"/>
      <c r="AA1897" s="73"/>
      <c r="AB1897" s="73"/>
      <c r="AC1897" s="73"/>
      <c r="AD1897" s="73"/>
      <c r="AE1897" s="73"/>
      <c r="AF1897" s="73"/>
      <c r="AG1897" s="73"/>
      <c r="AH1897" s="73"/>
      <c r="AI1897" s="73"/>
      <c r="AJ1897" s="73"/>
      <c r="AK1897" s="73"/>
      <c r="AL1897" s="73"/>
      <c r="AM1897" s="73"/>
      <c r="AN1897" s="73"/>
      <c r="AO1897" s="73"/>
      <c r="AP1897" s="73"/>
      <c r="AQ1897" s="73"/>
      <c r="AR1897" s="73"/>
      <c r="AS1897" s="73"/>
      <c r="AT1897" s="73"/>
      <c r="AU1897" s="73"/>
      <c r="AV1897" s="73"/>
      <c r="AW1897" s="73"/>
      <c r="AX1897" s="73"/>
      <c r="AY1897" s="73"/>
      <c r="AZ1897" s="73"/>
      <c r="BA1897" s="73"/>
      <c r="BB1897" s="73"/>
      <c r="BC1897" s="73"/>
      <c r="BD1897" s="73"/>
      <c r="BE1897" s="73"/>
      <c r="BF1897" s="73"/>
      <c r="BG1897" s="73"/>
      <c r="BH1897" s="73"/>
      <c r="BI1897" s="73"/>
      <c r="BJ1897" s="73"/>
      <c r="BK1897" s="73"/>
      <c r="BL1897" s="73"/>
      <c r="BM1897" s="73"/>
      <c r="BN1897" s="73"/>
      <c r="BO1897" s="73"/>
      <c r="BP1897" s="73"/>
      <c r="BQ1897" s="73"/>
      <c r="BR1897" s="73"/>
      <c r="BS1897" s="73"/>
      <c r="BT1897" s="73"/>
      <c r="BU1897" s="73"/>
      <c r="BV1897" s="73"/>
      <c r="BW1897" s="73"/>
      <c r="BX1897" s="73"/>
      <c r="BY1897" s="73"/>
      <c r="BZ1897" s="73"/>
      <c r="CA1897" s="73"/>
      <c r="CB1897" s="73"/>
      <c r="CC1897" s="73"/>
      <c r="CD1897" s="73"/>
      <c r="CE1897" s="73"/>
      <c r="CF1897" s="73"/>
      <c r="CG1897" s="73"/>
      <c r="CH1897" s="73"/>
      <c r="CI1897" s="73"/>
      <c r="CJ1897" s="73"/>
      <c r="CK1897" s="73"/>
      <c r="CL1897" s="73"/>
      <c r="CM1897" s="73"/>
      <c r="CN1897" s="73"/>
      <c r="CO1897" s="73"/>
      <c r="CP1897" s="73"/>
      <c r="CQ1897" s="73"/>
      <c r="CR1897" s="73"/>
      <c r="CS1897" s="73"/>
      <c r="CT1897" s="73"/>
      <c r="CU1897" s="73"/>
      <c r="CV1897" s="73"/>
      <c r="CW1897" s="73"/>
      <c r="CX1897" s="73"/>
      <c r="CY1897" s="73"/>
      <c r="CZ1897" s="73"/>
      <c r="DA1897" s="73"/>
      <c r="DB1897" s="73"/>
      <c r="DC1897" s="73"/>
      <c r="DD1897" s="73"/>
      <c r="DE1897" s="73"/>
      <c r="DF1897" s="73"/>
      <c r="DG1897" s="73"/>
      <c r="DH1897" s="73"/>
      <c r="DI1897" s="73"/>
      <c r="DJ1897" s="73"/>
      <c r="DK1897" s="73"/>
      <c r="DL1897" s="73"/>
      <c r="DM1897" s="73"/>
    </row>
    <row r="1898" spans="1:117" s="48" customFormat="1">
      <c r="A1898" s="73"/>
      <c r="T1898" s="73"/>
      <c r="U1898" s="73"/>
      <c r="V1898" s="73"/>
      <c r="W1898" s="73"/>
      <c r="X1898" s="73"/>
      <c r="Y1898" s="73"/>
      <c r="Z1898" s="73"/>
      <c r="AA1898" s="73"/>
      <c r="AB1898" s="73"/>
      <c r="AC1898" s="73"/>
      <c r="AD1898" s="73"/>
      <c r="AE1898" s="73"/>
      <c r="AF1898" s="73"/>
      <c r="AG1898" s="73"/>
      <c r="AH1898" s="73"/>
      <c r="AI1898" s="73"/>
      <c r="AJ1898" s="73"/>
      <c r="AK1898" s="73"/>
      <c r="AL1898" s="73"/>
      <c r="AM1898" s="73"/>
      <c r="AN1898" s="73"/>
      <c r="AO1898" s="73"/>
      <c r="AP1898" s="73"/>
      <c r="AQ1898" s="73"/>
      <c r="AR1898" s="73"/>
      <c r="AS1898" s="73"/>
      <c r="AT1898" s="73"/>
      <c r="AU1898" s="73"/>
      <c r="AV1898" s="73"/>
      <c r="AW1898" s="73"/>
      <c r="AX1898" s="73"/>
      <c r="AY1898" s="73"/>
      <c r="AZ1898" s="73"/>
      <c r="BA1898" s="73"/>
      <c r="BB1898" s="73"/>
      <c r="BC1898" s="73"/>
      <c r="BD1898" s="73"/>
      <c r="BE1898" s="73"/>
      <c r="BF1898" s="73"/>
      <c r="BG1898" s="73"/>
      <c r="BH1898" s="73"/>
      <c r="BI1898" s="73"/>
      <c r="BJ1898" s="73"/>
      <c r="BK1898" s="73"/>
      <c r="BL1898" s="73"/>
      <c r="BM1898" s="73"/>
      <c r="BN1898" s="73"/>
      <c r="BO1898" s="73"/>
      <c r="BP1898" s="73"/>
      <c r="BQ1898" s="73"/>
      <c r="BR1898" s="73"/>
      <c r="BS1898" s="73"/>
      <c r="BT1898" s="73"/>
      <c r="BU1898" s="73"/>
      <c r="BV1898" s="73"/>
      <c r="BW1898" s="73"/>
      <c r="BX1898" s="73"/>
      <c r="BY1898" s="73"/>
      <c r="BZ1898" s="73"/>
      <c r="CA1898" s="73"/>
      <c r="CB1898" s="73"/>
      <c r="CC1898" s="73"/>
      <c r="CD1898" s="73"/>
      <c r="CE1898" s="73"/>
      <c r="CF1898" s="73"/>
      <c r="CG1898" s="73"/>
      <c r="CH1898" s="73"/>
      <c r="CI1898" s="73"/>
      <c r="CJ1898" s="73"/>
      <c r="CK1898" s="73"/>
      <c r="CL1898" s="73"/>
      <c r="CM1898" s="73"/>
      <c r="CN1898" s="73"/>
      <c r="CO1898" s="73"/>
      <c r="CP1898" s="73"/>
      <c r="CQ1898" s="73"/>
      <c r="CR1898" s="73"/>
      <c r="CS1898" s="73"/>
      <c r="CT1898" s="73"/>
      <c r="CU1898" s="73"/>
      <c r="CV1898" s="73"/>
      <c r="CW1898" s="73"/>
      <c r="CX1898" s="73"/>
      <c r="CY1898" s="73"/>
      <c r="CZ1898" s="73"/>
      <c r="DA1898" s="73"/>
      <c r="DB1898" s="73"/>
      <c r="DC1898" s="73"/>
      <c r="DD1898" s="73"/>
      <c r="DE1898" s="73"/>
      <c r="DF1898" s="73"/>
      <c r="DG1898" s="73"/>
      <c r="DH1898" s="73"/>
      <c r="DI1898" s="73"/>
      <c r="DJ1898" s="73"/>
      <c r="DK1898" s="73"/>
      <c r="DL1898" s="73"/>
      <c r="DM1898" s="73"/>
    </row>
    <row r="1899" spans="1:117" s="48" customFormat="1">
      <c r="A1899" s="73"/>
      <c r="T1899" s="73"/>
      <c r="U1899" s="73"/>
      <c r="V1899" s="73"/>
      <c r="W1899" s="73"/>
      <c r="X1899" s="73"/>
      <c r="Y1899" s="73"/>
      <c r="Z1899" s="73"/>
      <c r="AA1899" s="73"/>
      <c r="AB1899" s="73"/>
      <c r="AC1899" s="73"/>
      <c r="AD1899" s="73"/>
      <c r="AE1899" s="73"/>
      <c r="AF1899" s="73"/>
      <c r="AG1899" s="73"/>
      <c r="AH1899" s="73"/>
      <c r="AI1899" s="73"/>
      <c r="AJ1899" s="73"/>
      <c r="AK1899" s="73"/>
      <c r="AL1899" s="73"/>
      <c r="AM1899" s="73"/>
      <c r="AN1899" s="73"/>
      <c r="AO1899" s="73"/>
      <c r="AP1899" s="73"/>
      <c r="AQ1899" s="73"/>
      <c r="AR1899" s="73"/>
      <c r="AS1899" s="73"/>
      <c r="AT1899" s="73"/>
      <c r="AU1899" s="73"/>
      <c r="AV1899" s="73"/>
      <c r="AW1899" s="73"/>
      <c r="AX1899" s="73"/>
      <c r="AY1899" s="73"/>
      <c r="AZ1899" s="73"/>
      <c r="BA1899" s="73"/>
      <c r="BB1899" s="73"/>
      <c r="BC1899" s="73"/>
      <c r="BD1899" s="73"/>
      <c r="BE1899" s="73"/>
      <c r="BF1899" s="73"/>
      <c r="BG1899" s="73"/>
      <c r="BH1899" s="73"/>
      <c r="BI1899" s="73"/>
      <c r="BJ1899" s="73"/>
      <c r="BK1899" s="73"/>
      <c r="BL1899" s="73"/>
      <c r="BM1899" s="73"/>
      <c r="BN1899" s="73"/>
      <c r="BO1899" s="73"/>
      <c r="BP1899" s="73"/>
      <c r="BQ1899" s="73"/>
      <c r="BR1899" s="73"/>
      <c r="BS1899" s="73"/>
      <c r="BT1899" s="73"/>
      <c r="BU1899" s="73"/>
      <c r="BV1899" s="73"/>
      <c r="BW1899" s="73"/>
      <c r="BX1899" s="73"/>
      <c r="BY1899" s="73"/>
      <c r="BZ1899" s="73"/>
      <c r="CA1899" s="73"/>
      <c r="CB1899" s="73"/>
      <c r="CC1899" s="73"/>
      <c r="CD1899" s="73"/>
      <c r="CE1899" s="73"/>
      <c r="CF1899" s="73"/>
      <c r="CG1899" s="73"/>
      <c r="CH1899" s="73"/>
      <c r="CI1899" s="73"/>
      <c r="CJ1899" s="73"/>
      <c r="CK1899" s="73"/>
      <c r="CL1899" s="73"/>
      <c r="CM1899" s="73"/>
      <c r="CN1899" s="73"/>
      <c r="CO1899" s="73"/>
      <c r="CP1899" s="73"/>
      <c r="CQ1899" s="73"/>
      <c r="CR1899" s="73"/>
      <c r="CS1899" s="73"/>
      <c r="CT1899" s="73"/>
      <c r="CU1899" s="73"/>
      <c r="CV1899" s="73"/>
      <c r="CW1899" s="73"/>
      <c r="CX1899" s="73"/>
      <c r="CY1899" s="73"/>
      <c r="CZ1899" s="73"/>
      <c r="DA1899" s="73"/>
      <c r="DB1899" s="73"/>
      <c r="DC1899" s="73"/>
      <c r="DD1899" s="73"/>
      <c r="DE1899" s="73"/>
      <c r="DF1899" s="73"/>
      <c r="DG1899" s="73"/>
      <c r="DH1899" s="73"/>
      <c r="DI1899" s="73"/>
      <c r="DJ1899" s="73"/>
      <c r="DK1899" s="73"/>
      <c r="DL1899" s="73"/>
      <c r="DM1899" s="73"/>
    </row>
    <row r="1900" spans="1:117" s="48" customFormat="1">
      <c r="A1900" s="73"/>
      <c r="T1900" s="73"/>
      <c r="U1900" s="73"/>
      <c r="V1900" s="73"/>
      <c r="W1900" s="73"/>
      <c r="X1900" s="73"/>
      <c r="Y1900" s="73"/>
      <c r="Z1900" s="73"/>
      <c r="AA1900" s="73"/>
      <c r="AB1900" s="73"/>
      <c r="AC1900" s="73"/>
      <c r="AD1900" s="73"/>
      <c r="AE1900" s="73"/>
      <c r="AF1900" s="73"/>
      <c r="AG1900" s="73"/>
      <c r="AH1900" s="73"/>
      <c r="AI1900" s="73"/>
      <c r="AJ1900" s="73"/>
      <c r="AK1900" s="73"/>
      <c r="AL1900" s="73"/>
      <c r="AM1900" s="73"/>
      <c r="AN1900" s="73"/>
      <c r="AO1900" s="73"/>
      <c r="AP1900" s="73"/>
      <c r="AQ1900" s="73"/>
      <c r="AR1900" s="73"/>
      <c r="AS1900" s="73"/>
      <c r="AT1900" s="73"/>
      <c r="AU1900" s="73"/>
      <c r="AV1900" s="73"/>
      <c r="AW1900" s="73"/>
      <c r="AX1900" s="73"/>
      <c r="AY1900" s="73"/>
      <c r="AZ1900" s="73"/>
      <c r="BA1900" s="73"/>
      <c r="BB1900" s="73"/>
      <c r="BC1900" s="73"/>
      <c r="BD1900" s="73"/>
      <c r="BE1900" s="73"/>
      <c r="BF1900" s="73"/>
      <c r="BG1900" s="73"/>
      <c r="BH1900" s="73"/>
      <c r="BI1900" s="73"/>
      <c r="BJ1900" s="73"/>
      <c r="BK1900" s="73"/>
      <c r="BL1900" s="73"/>
      <c r="BM1900" s="73"/>
      <c r="BN1900" s="73"/>
      <c r="BO1900" s="73"/>
      <c r="BP1900" s="73"/>
      <c r="BQ1900" s="73"/>
      <c r="BR1900" s="73"/>
      <c r="BS1900" s="73"/>
      <c r="BT1900" s="73"/>
      <c r="BU1900" s="73"/>
      <c r="BV1900" s="73"/>
      <c r="BW1900" s="73"/>
      <c r="BX1900" s="73"/>
      <c r="BY1900" s="73"/>
      <c r="BZ1900" s="73"/>
      <c r="CA1900" s="73"/>
      <c r="CB1900" s="73"/>
      <c r="CC1900" s="73"/>
      <c r="CD1900" s="73"/>
      <c r="CE1900" s="73"/>
      <c r="CF1900" s="73"/>
      <c r="CG1900" s="73"/>
      <c r="CH1900" s="73"/>
      <c r="CI1900" s="73"/>
      <c r="CJ1900" s="73"/>
      <c r="CK1900" s="73"/>
      <c r="CL1900" s="73"/>
      <c r="CM1900" s="73"/>
      <c r="CN1900" s="73"/>
      <c r="CO1900" s="73"/>
      <c r="CP1900" s="73"/>
      <c r="CQ1900" s="73"/>
      <c r="CR1900" s="73"/>
      <c r="CS1900" s="73"/>
      <c r="CT1900" s="73"/>
      <c r="CU1900" s="73"/>
      <c r="CV1900" s="73"/>
      <c r="CW1900" s="73"/>
      <c r="CX1900" s="73"/>
      <c r="CY1900" s="73"/>
      <c r="CZ1900" s="73"/>
      <c r="DA1900" s="73"/>
      <c r="DB1900" s="73"/>
      <c r="DC1900" s="73"/>
      <c r="DD1900" s="73"/>
      <c r="DE1900" s="73"/>
      <c r="DF1900" s="73"/>
      <c r="DG1900" s="73"/>
      <c r="DH1900" s="73"/>
      <c r="DI1900" s="73"/>
      <c r="DJ1900" s="73"/>
      <c r="DK1900" s="73"/>
      <c r="DL1900" s="73"/>
      <c r="DM1900" s="73"/>
    </row>
    <row r="1901" spans="1:117" s="48" customFormat="1">
      <c r="A1901" s="73"/>
      <c r="T1901" s="73"/>
      <c r="U1901" s="73"/>
      <c r="V1901" s="73"/>
      <c r="W1901" s="73"/>
      <c r="X1901" s="73"/>
      <c r="Y1901" s="73"/>
      <c r="Z1901" s="73"/>
      <c r="AA1901" s="73"/>
      <c r="AB1901" s="73"/>
      <c r="AC1901" s="73"/>
      <c r="AD1901" s="73"/>
      <c r="AE1901" s="73"/>
      <c r="AF1901" s="73"/>
      <c r="AG1901" s="73"/>
      <c r="AH1901" s="73"/>
      <c r="AI1901" s="73"/>
      <c r="AJ1901" s="73"/>
      <c r="AK1901" s="73"/>
      <c r="AL1901" s="73"/>
      <c r="AM1901" s="73"/>
      <c r="AN1901" s="73"/>
      <c r="AO1901" s="73"/>
      <c r="AP1901" s="73"/>
      <c r="AQ1901" s="73"/>
      <c r="AR1901" s="73"/>
      <c r="AS1901" s="73"/>
      <c r="AT1901" s="73"/>
      <c r="AU1901" s="73"/>
      <c r="AV1901" s="73"/>
      <c r="AW1901" s="73"/>
      <c r="AX1901" s="73"/>
      <c r="AY1901" s="73"/>
      <c r="AZ1901" s="73"/>
      <c r="BA1901" s="73"/>
      <c r="BB1901" s="73"/>
      <c r="BC1901" s="73"/>
      <c r="BD1901" s="73"/>
      <c r="BE1901" s="73"/>
      <c r="BF1901" s="73"/>
      <c r="BG1901" s="73"/>
      <c r="BH1901" s="73"/>
      <c r="BI1901" s="73"/>
      <c r="BJ1901" s="73"/>
      <c r="BK1901" s="73"/>
      <c r="BL1901" s="73"/>
      <c r="BM1901" s="73"/>
      <c r="BN1901" s="73"/>
      <c r="BO1901" s="73"/>
      <c r="BP1901" s="73"/>
      <c r="BQ1901" s="73"/>
      <c r="BR1901" s="73"/>
      <c r="BS1901" s="73"/>
      <c r="BT1901" s="73"/>
      <c r="BU1901" s="73"/>
      <c r="BV1901" s="73"/>
      <c r="BW1901" s="73"/>
      <c r="BX1901" s="73"/>
      <c r="BY1901" s="73"/>
      <c r="BZ1901" s="73"/>
      <c r="CA1901" s="73"/>
      <c r="CB1901" s="73"/>
      <c r="CC1901" s="73"/>
      <c r="CD1901" s="73"/>
      <c r="CE1901" s="73"/>
      <c r="CF1901" s="73"/>
      <c r="CG1901" s="73"/>
      <c r="CH1901" s="73"/>
      <c r="CI1901" s="73"/>
      <c r="CJ1901" s="73"/>
      <c r="CK1901" s="73"/>
      <c r="CL1901" s="73"/>
      <c r="CM1901" s="73"/>
      <c r="CN1901" s="73"/>
      <c r="CO1901" s="73"/>
      <c r="CP1901" s="73"/>
      <c r="CQ1901" s="73"/>
      <c r="CR1901" s="73"/>
      <c r="CS1901" s="73"/>
      <c r="CT1901" s="73"/>
      <c r="CU1901" s="73"/>
      <c r="CV1901" s="73"/>
      <c r="CW1901" s="73"/>
      <c r="CX1901" s="73"/>
      <c r="CY1901" s="73"/>
      <c r="CZ1901" s="73"/>
      <c r="DA1901" s="73"/>
      <c r="DB1901" s="73"/>
      <c r="DC1901" s="73"/>
      <c r="DD1901" s="73"/>
      <c r="DE1901" s="73"/>
      <c r="DF1901" s="73"/>
      <c r="DG1901" s="73"/>
      <c r="DH1901" s="73"/>
      <c r="DI1901" s="73"/>
      <c r="DJ1901" s="73"/>
      <c r="DK1901" s="73"/>
      <c r="DL1901" s="73"/>
      <c r="DM1901" s="73"/>
    </row>
    <row r="1902" spans="1:117" s="48" customFormat="1">
      <c r="A1902" s="73"/>
      <c r="T1902" s="73"/>
      <c r="U1902" s="73"/>
      <c r="V1902" s="73"/>
      <c r="W1902" s="73"/>
      <c r="X1902" s="73"/>
      <c r="Y1902" s="73"/>
      <c r="Z1902" s="73"/>
      <c r="AA1902" s="73"/>
      <c r="AB1902" s="73"/>
      <c r="AC1902" s="73"/>
      <c r="AD1902" s="73"/>
      <c r="AE1902" s="73"/>
      <c r="AF1902" s="73"/>
      <c r="AG1902" s="73"/>
      <c r="AH1902" s="73"/>
      <c r="AI1902" s="73"/>
      <c r="AJ1902" s="73"/>
      <c r="AK1902" s="73"/>
      <c r="AL1902" s="73"/>
      <c r="AM1902" s="73"/>
      <c r="AN1902" s="73"/>
      <c r="AO1902" s="73"/>
      <c r="AP1902" s="73"/>
      <c r="AQ1902" s="73"/>
      <c r="AR1902" s="73"/>
      <c r="AS1902" s="73"/>
      <c r="AT1902" s="73"/>
      <c r="AU1902" s="73"/>
      <c r="AV1902" s="73"/>
      <c r="AW1902" s="73"/>
      <c r="AX1902" s="73"/>
      <c r="AY1902" s="73"/>
      <c r="AZ1902" s="73"/>
      <c r="BA1902" s="73"/>
      <c r="BB1902" s="73"/>
      <c r="BC1902" s="73"/>
      <c r="BD1902" s="73"/>
      <c r="BE1902" s="73"/>
      <c r="BF1902" s="73"/>
      <c r="BG1902" s="73"/>
      <c r="BH1902" s="73"/>
      <c r="BI1902" s="73"/>
      <c r="BJ1902" s="73"/>
      <c r="BK1902" s="73"/>
      <c r="BL1902" s="73"/>
      <c r="BM1902" s="73"/>
      <c r="BN1902" s="73"/>
      <c r="BO1902" s="73"/>
      <c r="BP1902" s="73"/>
      <c r="BQ1902" s="73"/>
      <c r="BR1902" s="73"/>
      <c r="BS1902" s="73"/>
      <c r="BT1902" s="73"/>
      <c r="BU1902" s="73"/>
      <c r="BV1902" s="73"/>
      <c r="BW1902" s="73"/>
      <c r="BX1902" s="73"/>
      <c r="BY1902" s="73"/>
      <c r="BZ1902" s="73"/>
      <c r="CA1902" s="73"/>
      <c r="CB1902" s="73"/>
      <c r="CC1902" s="73"/>
      <c r="CD1902" s="73"/>
      <c r="CE1902" s="73"/>
      <c r="CF1902" s="73"/>
      <c r="CG1902" s="73"/>
      <c r="CH1902" s="73"/>
      <c r="CI1902" s="73"/>
      <c r="CJ1902" s="73"/>
      <c r="CK1902" s="73"/>
      <c r="CL1902" s="73"/>
      <c r="CM1902" s="73"/>
      <c r="CN1902" s="73"/>
      <c r="CO1902" s="73"/>
      <c r="CP1902" s="73"/>
      <c r="CQ1902" s="73"/>
      <c r="CR1902" s="73"/>
      <c r="CS1902" s="73"/>
      <c r="CT1902" s="73"/>
      <c r="CU1902" s="73"/>
      <c r="CV1902" s="73"/>
      <c r="CW1902" s="73"/>
      <c r="CX1902" s="73"/>
      <c r="CY1902" s="73"/>
      <c r="CZ1902" s="73"/>
      <c r="DA1902" s="73"/>
      <c r="DB1902" s="73"/>
      <c r="DC1902" s="73"/>
      <c r="DD1902" s="73"/>
      <c r="DE1902" s="73"/>
      <c r="DF1902" s="73"/>
      <c r="DG1902" s="73"/>
      <c r="DH1902" s="73"/>
      <c r="DI1902" s="73"/>
      <c r="DJ1902" s="73"/>
      <c r="DK1902" s="73"/>
      <c r="DL1902" s="73"/>
      <c r="DM1902" s="73"/>
    </row>
    <row r="1903" spans="1:117" s="48" customFormat="1">
      <c r="A1903" s="73"/>
      <c r="T1903" s="73"/>
      <c r="U1903" s="73"/>
      <c r="V1903" s="73"/>
      <c r="W1903" s="73"/>
      <c r="X1903" s="73"/>
      <c r="Y1903" s="73"/>
      <c r="Z1903" s="73"/>
      <c r="AA1903" s="73"/>
      <c r="AB1903" s="73"/>
      <c r="AC1903" s="73"/>
      <c r="AD1903" s="73"/>
      <c r="AE1903" s="73"/>
      <c r="AF1903" s="73"/>
      <c r="AG1903" s="73"/>
      <c r="AH1903" s="73"/>
      <c r="AI1903" s="73"/>
      <c r="AJ1903" s="73"/>
      <c r="AK1903" s="73"/>
      <c r="AL1903" s="73"/>
      <c r="AM1903" s="73"/>
      <c r="AN1903" s="73"/>
      <c r="AO1903" s="73"/>
      <c r="AP1903" s="73"/>
      <c r="AQ1903" s="73"/>
      <c r="AR1903" s="73"/>
      <c r="AS1903" s="73"/>
      <c r="AT1903" s="73"/>
      <c r="AU1903" s="73"/>
      <c r="AV1903" s="73"/>
      <c r="AW1903" s="73"/>
      <c r="AX1903" s="73"/>
      <c r="AY1903" s="73"/>
      <c r="AZ1903" s="73"/>
      <c r="BA1903" s="73"/>
      <c r="BB1903" s="73"/>
      <c r="BC1903" s="73"/>
      <c r="BD1903" s="73"/>
      <c r="BE1903" s="73"/>
      <c r="BF1903" s="73"/>
      <c r="BG1903" s="73"/>
      <c r="BH1903" s="73"/>
      <c r="BI1903" s="73"/>
      <c r="BJ1903" s="73"/>
      <c r="BK1903" s="73"/>
      <c r="BL1903" s="73"/>
      <c r="BM1903" s="73"/>
      <c r="BN1903" s="73"/>
      <c r="BO1903" s="73"/>
      <c r="BP1903" s="73"/>
      <c r="BQ1903" s="73"/>
      <c r="BR1903" s="73"/>
      <c r="BS1903" s="73"/>
      <c r="BT1903" s="73"/>
      <c r="BU1903" s="73"/>
      <c r="BV1903" s="73"/>
      <c r="BW1903" s="73"/>
      <c r="BX1903" s="73"/>
      <c r="BY1903" s="73"/>
      <c r="BZ1903" s="73"/>
      <c r="CA1903" s="73"/>
      <c r="CB1903" s="73"/>
      <c r="CC1903" s="73"/>
      <c r="CD1903" s="73"/>
      <c r="CE1903" s="73"/>
      <c r="CF1903" s="73"/>
      <c r="CG1903" s="73"/>
      <c r="CH1903" s="73"/>
      <c r="CI1903" s="73"/>
      <c r="CJ1903" s="73"/>
      <c r="CK1903" s="73"/>
      <c r="CL1903" s="73"/>
      <c r="CM1903" s="73"/>
      <c r="CN1903" s="73"/>
      <c r="CO1903" s="73"/>
      <c r="CP1903" s="73"/>
      <c r="CQ1903" s="73"/>
      <c r="CR1903" s="73"/>
      <c r="CS1903" s="73"/>
      <c r="CT1903" s="73"/>
      <c r="CU1903" s="73"/>
      <c r="CV1903" s="73"/>
      <c r="CW1903" s="73"/>
      <c r="CX1903" s="73"/>
      <c r="CY1903" s="73"/>
      <c r="CZ1903" s="73"/>
      <c r="DA1903" s="73"/>
      <c r="DB1903" s="73"/>
      <c r="DC1903" s="73"/>
      <c r="DD1903" s="73"/>
      <c r="DE1903" s="73"/>
      <c r="DF1903" s="73"/>
      <c r="DG1903" s="73"/>
      <c r="DH1903" s="73"/>
      <c r="DI1903" s="73"/>
      <c r="DJ1903" s="73"/>
      <c r="DK1903" s="73"/>
      <c r="DL1903" s="73"/>
      <c r="DM1903" s="73"/>
    </row>
    <row r="1904" spans="1:117" s="48" customFormat="1">
      <c r="A1904" s="73"/>
      <c r="T1904" s="73"/>
      <c r="U1904" s="73"/>
      <c r="V1904" s="73"/>
      <c r="W1904" s="73"/>
      <c r="X1904" s="73"/>
      <c r="Y1904" s="73"/>
      <c r="Z1904" s="73"/>
      <c r="AA1904" s="73"/>
      <c r="AB1904" s="73"/>
      <c r="AC1904" s="73"/>
      <c r="AD1904" s="73"/>
      <c r="AE1904" s="73"/>
      <c r="AF1904" s="73"/>
      <c r="AG1904" s="73"/>
      <c r="AH1904" s="73"/>
      <c r="AI1904" s="73"/>
      <c r="AJ1904" s="73"/>
      <c r="AK1904" s="73"/>
      <c r="AL1904" s="73"/>
      <c r="AM1904" s="73"/>
      <c r="AN1904" s="73"/>
      <c r="AO1904" s="73"/>
      <c r="AP1904" s="73"/>
      <c r="AQ1904" s="73"/>
      <c r="AR1904" s="73"/>
      <c r="AS1904" s="73"/>
      <c r="AT1904" s="73"/>
      <c r="AU1904" s="73"/>
      <c r="AV1904" s="73"/>
      <c r="AW1904" s="73"/>
      <c r="AX1904" s="73"/>
      <c r="AY1904" s="73"/>
      <c r="AZ1904" s="73"/>
      <c r="BA1904" s="73"/>
      <c r="BB1904" s="73"/>
      <c r="BC1904" s="73"/>
      <c r="BD1904" s="73"/>
      <c r="BE1904" s="73"/>
      <c r="BF1904" s="73"/>
      <c r="BG1904" s="73"/>
      <c r="BH1904" s="73"/>
      <c r="BI1904" s="73"/>
      <c r="BJ1904" s="73"/>
      <c r="BK1904" s="73"/>
      <c r="BL1904" s="73"/>
      <c r="BM1904" s="73"/>
      <c r="BN1904" s="73"/>
      <c r="BO1904" s="73"/>
      <c r="BP1904" s="73"/>
      <c r="BQ1904" s="73"/>
      <c r="BR1904" s="73"/>
      <c r="BS1904" s="73"/>
      <c r="BT1904" s="73"/>
      <c r="BU1904" s="73"/>
      <c r="BV1904" s="73"/>
      <c r="BW1904" s="73"/>
      <c r="BX1904" s="73"/>
      <c r="BY1904" s="73"/>
      <c r="BZ1904" s="73"/>
      <c r="CA1904" s="73"/>
      <c r="CB1904" s="73"/>
      <c r="CC1904" s="73"/>
      <c r="CD1904" s="73"/>
      <c r="CE1904" s="73"/>
      <c r="CF1904" s="73"/>
      <c r="CG1904" s="73"/>
      <c r="CH1904" s="73"/>
      <c r="CI1904" s="73"/>
      <c r="CJ1904" s="73"/>
      <c r="CK1904" s="73"/>
      <c r="CL1904" s="73"/>
      <c r="CM1904" s="73"/>
      <c r="CN1904" s="73"/>
      <c r="CO1904" s="73"/>
      <c r="CP1904" s="73"/>
      <c r="CQ1904" s="73"/>
      <c r="CR1904" s="73"/>
      <c r="CS1904" s="73"/>
      <c r="CT1904" s="73"/>
      <c r="CU1904" s="73"/>
      <c r="CV1904" s="73"/>
      <c r="CW1904" s="73"/>
      <c r="CX1904" s="73"/>
      <c r="CY1904" s="73"/>
      <c r="CZ1904" s="73"/>
      <c r="DA1904" s="73"/>
      <c r="DB1904" s="73"/>
      <c r="DC1904" s="73"/>
      <c r="DD1904" s="73"/>
      <c r="DE1904" s="73"/>
      <c r="DF1904" s="73"/>
      <c r="DG1904" s="73"/>
      <c r="DH1904" s="73"/>
      <c r="DI1904" s="73"/>
      <c r="DJ1904" s="73"/>
      <c r="DK1904" s="73"/>
      <c r="DL1904" s="73"/>
      <c r="DM1904" s="73"/>
    </row>
    <row r="1905" spans="1:117" s="48" customFormat="1">
      <c r="A1905" s="73"/>
      <c r="T1905" s="73"/>
      <c r="U1905" s="73"/>
      <c r="V1905" s="73"/>
      <c r="W1905" s="73"/>
      <c r="X1905" s="73"/>
      <c r="Y1905" s="73"/>
      <c r="Z1905" s="73"/>
      <c r="AA1905" s="73"/>
      <c r="AB1905" s="73"/>
      <c r="AC1905" s="73"/>
      <c r="AD1905" s="73"/>
      <c r="AE1905" s="73"/>
      <c r="AF1905" s="73"/>
      <c r="AG1905" s="73"/>
      <c r="AH1905" s="73"/>
      <c r="AI1905" s="73"/>
      <c r="AJ1905" s="73"/>
      <c r="AK1905" s="73"/>
      <c r="AL1905" s="73"/>
      <c r="AM1905" s="73"/>
      <c r="AN1905" s="73"/>
      <c r="AO1905" s="73"/>
      <c r="AP1905" s="73"/>
      <c r="AQ1905" s="73"/>
      <c r="AR1905" s="73"/>
      <c r="AS1905" s="73"/>
      <c r="AT1905" s="73"/>
      <c r="AU1905" s="73"/>
      <c r="AV1905" s="73"/>
      <c r="AW1905" s="73"/>
      <c r="AX1905" s="73"/>
      <c r="AY1905" s="73"/>
      <c r="AZ1905" s="73"/>
      <c r="BA1905" s="73"/>
      <c r="BB1905" s="73"/>
      <c r="BC1905" s="73"/>
      <c r="BD1905" s="73"/>
      <c r="BE1905" s="73"/>
      <c r="BF1905" s="73"/>
      <c r="BG1905" s="73"/>
      <c r="BH1905" s="73"/>
      <c r="BI1905" s="73"/>
      <c r="BJ1905" s="73"/>
      <c r="BK1905" s="73"/>
      <c r="BL1905" s="73"/>
      <c r="BM1905" s="73"/>
      <c r="BN1905" s="73"/>
      <c r="BO1905" s="73"/>
      <c r="BP1905" s="73"/>
      <c r="BQ1905" s="73"/>
      <c r="BR1905" s="73"/>
      <c r="BS1905" s="73"/>
      <c r="BT1905" s="73"/>
      <c r="BU1905" s="73"/>
      <c r="BV1905" s="73"/>
      <c r="BW1905" s="73"/>
      <c r="BX1905" s="73"/>
      <c r="BY1905" s="73"/>
      <c r="BZ1905" s="73"/>
      <c r="CA1905" s="73"/>
      <c r="CB1905" s="73"/>
      <c r="CC1905" s="73"/>
      <c r="CD1905" s="73"/>
      <c r="CE1905" s="73"/>
      <c r="CF1905" s="73"/>
      <c r="CG1905" s="73"/>
      <c r="CH1905" s="73"/>
      <c r="CI1905" s="73"/>
      <c r="CJ1905" s="73"/>
      <c r="CK1905" s="73"/>
      <c r="CL1905" s="73"/>
      <c r="CM1905" s="73"/>
      <c r="CN1905" s="73"/>
      <c r="CO1905" s="73"/>
      <c r="CP1905" s="73"/>
      <c r="CQ1905" s="73"/>
      <c r="CR1905" s="73"/>
      <c r="CS1905" s="73"/>
      <c r="CT1905" s="73"/>
      <c r="CU1905" s="73"/>
      <c r="CV1905" s="73"/>
      <c r="CW1905" s="73"/>
      <c r="CX1905" s="73"/>
      <c r="CY1905" s="73"/>
      <c r="CZ1905" s="73"/>
      <c r="DA1905" s="73"/>
      <c r="DB1905" s="73"/>
      <c r="DC1905" s="73"/>
      <c r="DD1905" s="73"/>
      <c r="DE1905" s="73"/>
      <c r="DF1905" s="73"/>
      <c r="DG1905" s="73"/>
      <c r="DH1905" s="73"/>
      <c r="DI1905" s="73"/>
      <c r="DJ1905" s="73"/>
      <c r="DK1905" s="73"/>
      <c r="DL1905" s="73"/>
      <c r="DM1905" s="73"/>
    </row>
    <row r="1906" spans="1:117" s="48" customFormat="1">
      <c r="A1906" s="73"/>
      <c r="T1906" s="73"/>
      <c r="U1906" s="73"/>
      <c r="V1906" s="73"/>
      <c r="W1906" s="73"/>
      <c r="X1906" s="73"/>
      <c r="Y1906" s="73"/>
      <c r="Z1906" s="73"/>
      <c r="AA1906" s="73"/>
      <c r="AB1906" s="73"/>
      <c r="AC1906" s="73"/>
      <c r="AD1906" s="73"/>
      <c r="AE1906" s="73"/>
      <c r="AF1906" s="73"/>
      <c r="AG1906" s="73"/>
      <c r="AH1906" s="73"/>
      <c r="AI1906" s="73"/>
      <c r="AJ1906" s="73"/>
      <c r="AK1906" s="73"/>
      <c r="AL1906" s="73"/>
      <c r="AM1906" s="73"/>
      <c r="AN1906" s="73"/>
      <c r="AO1906" s="73"/>
      <c r="AP1906" s="73"/>
      <c r="AQ1906" s="73"/>
      <c r="AR1906" s="73"/>
      <c r="AS1906" s="73"/>
      <c r="AT1906" s="73"/>
      <c r="AU1906" s="73"/>
      <c r="AV1906" s="73"/>
      <c r="AW1906" s="73"/>
      <c r="AX1906" s="73"/>
      <c r="AY1906" s="73"/>
      <c r="AZ1906" s="73"/>
      <c r="BA1906" s="73"/>
      <c r="BB1906" s="73"/>
      <c r="BC1906" s="73"/>
      <c r="BD1906" s="73"/>
      <c r="BE1906" s="73"/>
      <c r="BF1906" s="73"/>
      <c r="BG1906" s="73"/>
      <c r="BH1906" s="73"/>
      <c r="BI1906" s="73"/>
      <c r="BJ1906" s="73"/>
      <c r="BK1906" s="73"/>
      <c r="BL1906" s="73"/>
      <c r="BM1906" s="73"/>
      <c r="BN1906" s="73"/>
      <c r="BO1906" s="73"/>
      <c r="BP1906" s="73"/>
      <c r="BQ1906" s="73"/>
      <c r="BR1906" s="73"/>
      <c r="BS1906" s="73"/>
      <c r="BT1906" s="73"/>
      <c r="BU1906" s="73"/>
      <c r="BV1906" s="73"/>
      <c r="BW1906" s="73"/>
      <c r="BX1906" s="73"/>
      <c r="BY1906" s="73"/>
      <c r="BZ1906" s="73"/>
      <c r="CA1906" s="73"/>
      <c r="CB1906" s="73"/>
      <c r="CC1906" s="73"/>
      <c r="CD1906" s="73"/>
      <c r="CE1906" s="73"/>
      <c r="CF1906" s="73"/>
      <c r="CG1906" s="73"/>
      <c r="CH1906" s="73"/>
      <c r="CI1906" s="73"/>
      <c r="CJ1906" s="73"/>
      <c r="CK1906" s="73"/>
      <c r="CL1906" s="73"/>
      <c r="CM1906" s="73"/>
      <c r="CN1906" s="73"/>
      <c r="CO1906" s="73"/>
      <c r="CP1906" s="73"/>
      <c r="CQ1906" s="73"/>
      <c r="CR1906" s="73"/>
      <c r="CS1906" s="73"/>
      <c r="CT1906" s="73"/>
      <c r="CU1906" s="73"/>
      <c r="CV1906" s="73"/>
      <c r="CW1906" s="73"/>
      <c r="CX1906" s="73"/>
      <c r="CY1906" s="73"/>
      <c r="CZ1906" s="73"/>
      <c r="DA1906" s="73"/>
      <c r="DB1906" s="73"/>
      <c r="DC1906" s="73"/>
      <c r="DD1906" s="73"/>
      <c r="DE1906" s="73"/>
      <c r="DF1906" s="73"/>
      <c r="DG1906" s="73"/>
      <c r="DH1906" s="73"/>
      <c r="DI1906" s="73"/>
      <c r="DJ1906" s="73"/>
      <c r="DK1906" s="73"/>
      <c r="DL1906" s="73"/>
      <c r="DM1906" s="73"/>
    </row>
    <row r="1907" spans="1:117" s="48" customFormat="1">
      <c r="A1907" s="73"/>
      <c r="T1907" s="73"/>
      <c r="U1907" s="73"/>
      <c r="V1907" s="73"/>
      <c r="W1907" s="73"/>
      <c r="X1907" s="73"/>
      <c r="Y1907" s="73"/>
      <c r="Z1907" s="73"/>
      <c r="AA1907" s="73"/>
      <c r="AB1907" s="73"/>
      <c r="AC1907" s="73"/>
      <c r="AD1907" s="73"/>
      <c r="AE1907" s="73"/>
      <c r="AF1907" s="73"/>
      <c r="AG1907" s="73"/>
      <c r="AH1907" s="73"/>
      <c r="AI1907" s="73"/>
      <c r="AJ1907" s="73"/>
      <c r="AK1907" s="73"/>
      <c r="AL1907" s="73"/>
      <c r="AM1907" s="73"/>
      <c r="AN1907" s="73"/>
      <c r="AO1907" s="73"/>
      <c r="AP1907" s="73"/>
      <c r="AQ1907" s="73"/>
      <c r="AR1907" s="73"/>
      <c r="AS1907" s="73"/>
      <c r="AT1907" s="73"/>
      <c r="AU1907" s="73"/>
      <c r="AV1907" s="73"/>
      <c r="AW1907" s="73"/>
      <c r="AX1907" s="73"/>
      <c r="AY1907" s="73"/>
      <c r="AZ1907" s="73"/>
      <c r="BA1907" s="73"/>
      <c r="BB1907" s="73"/>
      <c r="BC1907" s="73"/>
      <c r="BD1907" s="73"/>
      <c r="BE1907" s="73"/>
      <c r="BF1907" s="73"/>
      <c r="BG1907" s="73"/>
      <c r="BH1907" s="73"/>
      <c r="BI1907" s="73"/>
      <c r="BJ1907" s="73"/>
      <c r="BK1907" s="73"/>
      <c r="BL1907" s="73"/>
      <c r="BM1907" s="73"/>
      <c r="BN1907" s="73"/>
      <c r="BO1907" s="73"/>
      <c r="BP1907" s="73"/>
      <c r="BQ1907" s="73"/>
      <c r="BR1907" s="73"/>
      <c r="BS1907" s="73"/>
      <c r="BT1907" s="73"/>
      <c r="BU1907" s="73"/>
      <c r="BV1907" s="73"/>
      <c r="BW1907" s="73"/>
      <c r="BX1907" s="73"/>
      <c r="BY1907" s="73"/>
      <c r="BZ1907" s="73"/>
      <c r="CA1907" s="73"/>
      <c r="CB1907" s="73"/>
      <c r="CC1907" s="73"/>
      <c r="CD1907" s="73"/>
      <c r="CE1907" s="73"/>
      <c r="CF1907" s="73"/>
      <c r="CG1907" s="73"/>
      <c r="CH1907" s="73"/>
      <c r="CI1907" s="73"/>
      <c r="CJ1907" s="73"/>
      <c r="CK1907" s="73"/>
      <c r="CL1907" s="73"/>
      <c r="CM1907" s="73"/>
      <c r="CN1907" s="73"/>
      <c r="CO1907" s="73"/>
      <c r="CP1907" s="73"/>
      <c r="CQ1907" s="73"/>
      <c r="CR1907" s="73"/>
      <c r="CS1907" s="73"/>
      <c r="CT1907" s="73"/>
      <c r="CU1907" s="73"/>
      <c r="CV1907" s="73"/>
      <c r="CW1907" s="73"/>
      <c r="CX1907" s="73"/>
      <c r="CY1907" s="73"/>
      <c r="CZ1907" s="73"/>
      <c r="DA1907" s="73"/>
      <c r="DB1907" s="73"/>
      <c r="DC1907" s="73"/>
      <c r="DD1907" s="73"/>
      <c r="DE1907" s="73"/>
      <c r="DF1907" s="73"/>
      <c r="DG1907" s="73"/>
      <c r="DH1907" s="73"/>
      <c r="DI1907" s="73"/>
      <c r="DJ1907" s="73"/>
      <c r="DK1907" s="73"/>
      <c r="DL1907" s="73"/>
      <c r="DM1907" s="73"/>
    </row>
    <row r="1908" spans="1:117" s="48" customFormat="1">
      <c r="A1908" s="73"/>
      <c r="T1908" s="73"/>
      <c r="U1908" s="73"/>
      <c r="V1908" s="73"/>
      <c r="W1908" s="73"/>
      <c r="X1908" s="73"/>
      <c r="Y1908" s="73"/>
      <c r="Z1908" s="73"/>
      <c r="AA1908" s="73"/>
      <c r="AB1908" s="73"/>
      <c r="AC1908" s="73"/>
      <c r="AD1908" s="73"/>
      <c r="AE1908" s="73"/>
      <c r="AF1908" s="73"/>
      <c r="AG1908" s="73"/>
      <c r="AH1908" s="73"/>
      <c r="AI1908" s="73"/>
      <c r="AJ1908" s="73"/>
      <c r="AK1908" s="73"/>
      <c r="AL1908" s="73"/>
      <c r="AM1908" s="73"/>
      <c r="AN1908" s="73"/>
      <c r="AO1908" s="73"/>
      <c r="AP1908" s="73"/>
      <c r="AQ1908" s="73"/>
      <c r="AR1908" s="73"/>
      <c r="AS1908" s="73"/>
      <c r="AT1908" s="73"/>
      <c r="AU1908" s="73"/>
      <c r="AV1908" s="73"/>
      <c r="AW1908" s="73"/>
      <c r="AX1908" s="73"/>
      <c r="AY1908" s="73"/>
      <c r="AZ1908" s="73"/>
      <c r="BA1908" s="73"/>
      <c r="BB1908" s="73"/>
      <c r="BC1908" s="73"/>
      <c r="BD1908" s="73"/>
      <c r="BE1908" s="73"/>
      <c r="BF1908" s="73"/>
      <c r="BG1908" s="73"/>
      <c r="BH1908" s="73"/>
      <c r="BI1908" s="73"/>
      <c r="BJ1908" s="73"/>
      <c r="BK1908" s="73"/>
      <c r="BL1908" s="73"/>
      <c r="BM1908" s="73"/>
      <c r="BN1908" s="73"/>
      <c r="BO1908" s="73"/>
      <c r="BP1908" s="73"/>
      <c r="BQ1908" s="73"/>
      <c r="BR1908" s="73"/>
      <c r="BS1908" s="73"/>
      <c r="BT1908" s="73"/>
      <c r="BU1908" s="73"/>
      <c r="BV1908" s="73"/>
      <c r="BW1908" s="73"/>
      <c r="BX1908" s="73"/>
      <c r="BY1908" s="73"/>
      <c r="BZ1908" s="73"/>
      <c r="CA1908" s="73"/>
      <c r="CB1908" s="73"/>
      <c r="CC1908" s="73"/>
      <c r="CD1908" s="73"/>
      <c r="CE1908" s="73"/>
      <c r="CF1908" s="73"/>
      <c r="CG1908" s="73"/>
      <c r="CH1908" s="73"/>
      <c r="CI1908" s="73"/>
      <c r="CJ1908" s="73"/>
      <c r="CK1908" s="73"/>
      <c r="CL1908" s="73"/>
      <c r="CM1908" s="73"/>
      <c r="CN1908" s="73"/>
      <c r="CO1908" s="73"/>
      <c r="CP1908" s="73"/>
      <c r="CQ1908" s="73"/>
      <c r="CR1908" s="73"/>
      <c r="CS1908" s="73"/>
      <c r="CT1908" s="73"/>
      <c r="CU1908" s="73"/>
      <c r="CV1908" s="73"/>
      <c r="CW1908" s="73"/>
      <c r="CX1908" s="73"/>
      <c r="CY1908" s="73"/>
      <c r="CZ1908" s="73"/>
      <c r="DA1908" s="73"/>
      <c r="DB1908" s="73"/>
      <c r="DC1908" s="73"/>
      <c r="DD1908" s="73"/>
      <c r="DE1908" s="73"/>
      <c r="DF1908" s="73"/>
      <c r="DG1908" s="73"/>
      <c r="DH1908" s="73"/>
      <c r="DI1908" s="73"/>
      <c r="DJ1908" s="73"/>
      <c r="DK1908" s="73"/>
      <c r="DL1908" s="73"/>
      <c r="DM1908" s="73"/>
    </row>
    <row r="1909" spans="1:117" s="48" customFormat="1">
      <c r="A1909" s="73"/>
      <c r="T1909" s="73"/>
      <c r="U1909" s="73"/>
      <c r="V1909" s="73"/>
      <c r="W1909" s="73"/>
      <c r="X1909" s="73"/>
      <c r="Y1909" s="73"/>
      <c r="Z1909" s="73"/>
      <c r="AA1909" s="73"/>
      <c r="AB1909" s="73"/>
      <c r="AC1909" s="73"/>
      <c r="AD1909" s="73"/>
      <c r="AE1909" s="73"/>
      <c r="AF1909" s="73"/>
      <c r="AG1909" s="73"/>
      <c r="AH1909" s="73"/>
      <c r="AI1909" s="73"/>
      <c r="AJ1909" s="73"/>
      <c r="AK1909" s="73"/>
      <c r="AL1909" s="73"/>
      <c r="AM1909" s="73"/>
      <c r="AN1909" s="73"/>
      <c r="AO1909" s="73"/>
      <c r="AP1909" s="73"/>
      <c r="AQ1909" s="73"/>
      <c r="AR1909" s="73"/>
      <c r="AS1909" s="73"/>
      <c r="AT1909" s="73"/>
      <c r="AU1909" s="73"/>
      <c r="AV1909" s="73"/>
      <c r="AW1909" s="73"/>
      <c r="AX1909" s="73"/>
      <c r="AY1909" s="73"/>
      <c r="AZ1909" s="73"/>
      <c r="BA1909" s="73"/>
      <c r="BB1909" s="73"/>
      <c r="BC1909" s="73"/>
      <c r="BD1909" s="73"/>
      <c r="BE1909" s="73"/>
      <c r="BF1909" s="73"/>
      <c r="BG1909" s="73"/>
      <c r="BH1909" s="73"/>
      <c r="BI1909" s="73"/>
      <c r="BJ1909" s="73"/>
      <c r="BK1909" s="73"/>
      <c r="BL1909" s="73"/>
      <c r="BM1909" s="73"/>
      <c r="BN1909" s="73"/>
      <c r="BO1909" s="73"/>
      <c r="BP1909" s="73"/>
      <c r="BQ1909" s="73"/>
      <c r="BR1909" s="73"/>
      <c r="BS1909" s="73"/>
      <c r="BT1909" s="73"/>
      <c r="BU1909" s="73"/>
      <c r="BV1909" s="73"/>
      <c r="BW1909" s="73"/>
      <c r="BX1909" s="73"/>
      <c r="BY1909" s="73"/>
      <c r="BZ1909" s="73"/>
      <c r="CA1909" s="73"/>
      <c r="CB1909" s="73"/>
      <c r="CC1909" s="73"/>
      <c r="CD1909" s="73"/>
      <c r="CE1909" s="73"/>
      <c r="CF1909" s="73"/>
      <c r="CG1909" s="73"/>
      <c r="CH1909" s="73"/>
      <c r="CI1909" s="73"/>
      <c r="CJ1909" s="73"/>
      <c r="CK1909" s="73"/>
      <c r="CL1909" s="73"/>
      <c r="CM1909" s="73"/>
      <c r="CN1909" s="73"/>
      <c r="CO1909" s="73"/>
      <c r="CP1909" s="73"/>
      <c r="CQ1909" s="73"/>
      <c r="CR1909" s="73"/>
      <c r="CS1909" s="73"/>
      <c r="CT1909" s="73"/>
      <c r="CU1909" s="73"/>
      <c r="CV1909" s="73"/>
      <c r="CW1909" s="73"/>
      <c r="CX1909" s="73"/>
      <c r="CY1909" s="73"/>
      <c r="CZ1909" s="73"/>
      <c r="DA1909" s="73"/>
      <c r="DB1909" s="73"/>
      <c r="DC1909" s="73"/>
      <c r="DD1909" s="73"/>
      <c r="DE1909" s="73"/>
      <c r="DF1909" s="73"/>
      <c r="DG1909" s="73"/>
      <c r="DH1909" s="73"/>
      <c r="DI1909" s="73"/>
      <c r="DJ1909" s="73"/>
      <c r="DK1909" s="73"/>
      <c r="DL1909" s="73"/>
      <c r="DM1909" s="73"/>
    </row>
    <row r="1910" spans="1:117" s="48" customFormat="1">
      <c r="A1910" s="73"/>
      <c r="T1910" s="73"/>
      <c r="U1910" s="73"/>
      <c r="V1910" s="73"/>
      <c r="W1910" s="73"/>
      <c r="X1910" s="73"/>
      <c r="Y1910" s="73"/>
      <c r="Z1910" s="73"/>
      <c r="AA1910" s="73"/>
      <c r="AB1910" s="73"/>
      <c r="AC1910" s="73"/>
      <c r="AD1910" s="73"/>
      <c r="AE1910" s="73"/>
      <c r="AF1910" s="73"/>
      <c r="AG1910" s="73"/>
      <c r="AH1910" s="73"/>
      <c r="AI1910" s="73"/>
      <c r="AJ1910" s="73"/>
      <c r="AK1910" s="73"/>
      <c r="AL1910" s="73"/>
      <c r="AM1910" s="73"/>
      <c r="AN1910" s="73"/>
      <c r="AO1910" s="73"/>
      <c r="AP1910" s="73"/>
      <c r="AQ1910" s="73"/>
      <c r="AR1910" s="73"/>
      <c r="AS1910" s="73"/>
      <c r="AT1910" s="73"/>
      <c r="AU1910" s="73"/>
      <c r="AV1910" s="73"/>
      <c r="AW1910" s="73"/>
      <c r="AX1910" s="73"/>
      <c r="AY1910" s="73"/>
      <c r="AZ1910" s="73"/>
      <c r="BA1910" s="73"/>
      <c r="BB1910" s="73"/>
      <c r="BC1910" s="73"/>
      <c r="BD1910" s="73"/>
      <c r="BE1910" s="73"/>
      <c r="BF1910" s="73"/>
      <c r="BG1910" s="73"/>
      <c r="BH1910" s="73"/>
      <c r="BI1910" s="73"/>
      <c r="BJ1910" s="73"/>
      <c r="BK1910" s="73"/>
      <c r="BL1910" s="73"/>
      <c r="BM1910" s="73"/>
      <c r="BN1910" s="73"/>
      <c r="BO1910" s="73"/>
      <c r="BP1910" s="73"/>
      <c r="BQ1910" s="73"/>
      <c r="BR1910" s="73"/>
      <c r="BS1910" s="73"/>
      <c r="BT1910" s="73"/>
      <c r="BU1910" s="73"/>
      <c r="BV1910" s="73"/>
      <c r="BW1910" s="73"/>
      <c r="BX1910" s="73"/>
      <c r="BY1910" s="73"/>
      <c r="BZ1910" s="73"/>
      <c r="CA1910" s="73"/>
      <c r="CB1910" s="73"/>
      <c r="CC1910" s="73"/>
      <c r="CD1910" s="73"/>
      <c r="CE1910" s="73"/>
      <c r="CF1910" s="73"/>
      <c r="CG1910" s="73"/>
      <c r="CH1910" s="73"/>
      <c r="CI1910" s="73"/>
      <c r="CJ1910" s="73"/>
      <c r="CK1910" s="73"/>
      <c r="CL1910" s="73"/>
      <c r="CM1910" s="73"/>
      <c r="CN1910" s="73"/>
      <c r="CO1910" s="73"/>
      <c r="CP1910" s="73"/>
      <c r="CQ1910" s="73"/>
      <c r="CR1910" s="73"/>
      <c r="CS1910" s="73"/>
      <c r="CT1910" s="73"/>
      <c r="CU1910" s="73"/>
      <c r="CV1910" s="73"/>
      <c r="CW1910" s="73"/>
      <c r="CX1910" s="73"/>
      <c r="CY1910" s="73"/>
      <c r="CZ1910" s="73"/>
      <c r="DA1910" s="73"/>
      <c r="DB1910" s="73"/>
      <c r="DC1910" s="73"/>
      <c r="DD1910" s="73"/>
      <c r="DE1910" s="73"/>
      <c r="DF1910" s="73"/>
      <c r="DG1910" s="73"/>
      <c r="DH1910" s="73"/>
      <c r="DI1910" s="73"/>
      <c r="DJ1910" s="73"/>
      <c r="DK1910" s="73"/>
      <c r="DL1910" s="73"/>
      <c r="DM1910" s="73"/>
    </row>
    <row r="1911" spans="1:117" s="48" customFormat="1">
      <c r="A1911" s="73"/>
      <c r="T1911" s="73"/>
      <c r="U1911" s="73"/>
      <c r="V1911" s="73"/>
      <c r="W1911" s="73"/>
      <c r="X1911" s="73"/>
      <c r="Y1911" s="73"/>
      <c r="Z1911" s="73"/>
      <c r="AA1911" s="73"/>
      <c r="AB1911" s="73"/>
      <c r="AC1911" s="73"/>
      <c r="AD1911" s="73"/>
      <c r="AE1911" s="73"/>
      <c r="AF1911" s="73"/>
      <c r="AG1911" s="73"/>
      <c r="AH1911" s="73"/>
      <c r="AI1911" s="73"/>
      <c r="AJ1911" s="73"/>
      <c r="AK1911" s="73"/>
      <c r="AL1911" s="73"/>
      <c r="AM1911" s="73"/>
      <c r="AN1911" s="73"/>
      <c r="AO1911" s="73"/>
      <c r="AP1911" s="73"/>
      <c r="AQ1911" s="73"/>
      <c r="AR1911" s="73"/>
      <c r="AS1911" s="73"/>
      <c r="AT1911" s="73"/>
      <c r="AU1911" s="73"/>
      <c r="AV1911" s="73"/>
      <c r="AW1911" s="73"/>
      <c r="AX1911" s="73"/>
      <c r="AY1911" s="73"/>
      <c r="AZ1911" s="73"/>
      <c r="BA1911" s="73"/>
      <c r="BB1911" s="73"/>
      <c r="BC1911" s="73"/>
      <c r="BD1911" s="73"/>
      <c r="BE1911" s="73"/>
      <c r="BF1911" s="73"/>
      <c r="BG1911" s="73"/>
      <c r="BH1911" s="73"/>
      <c r="BI1911" s="73"/>
      <c r="BJ1911" s="73"/>
      <c r="BK1911" s="73"/>
      <c r="BL1911" s="73"/>
      <c r="BM1911" s="73"/>
      <c r="BN1911" s="73"/>
      <c r="BO1911" s="73"/>
      <c r="BP1911" s="73"/>
      <c r="BQ1911" s="73"/>
      <c r="BR1911" s="73"/>
      <c r="BS1911" s="73"/>
      <c r="BT1911" s="73"/>
      <c r="BU1911" s="73"/>
      <c r="BV1911" s="73"/>
      <c r="BW1911" s="73"/>
      <c r="BX1911" s="73"/>
      <c r="BY1911" s="73"/>
      <c r="BZ1911" s="73"/>
      <c r="CA1911" s="73"/>
      <c r="CB1911" s="73"/>
      <c r="CC1911" s="73"/>
      <c r="CD1911" s="73"/>
      <c r="CE1911" s="73"/>
      <c r="CF1911" s="73"/>
      <c r="CG1911" s="73"/>
      <c r="CH1911" s="73"/>
      <c r="CI1911" s="73"/>
      <c r="CJ1911" s="73"/>
      <c r="CK1911" s="73"/>
      <c r="CL1911" s="73"/>
      <c r="CM1911" s="73"/>
      <c r="CN1911" s="73"/>
      <c r="CO1911" s="73"/>
      <c r="CP1911" s="73"/>
      <c r="CQ1911" s="73"/>
      <c r="CR1911" s="73"/>
      <c r="CS1911" s="73"/>
      <c r="CT1911" s="73"/>
      <c r="CU1911" s="73"/>
      <c r="CV1911" s="73"/>
      <c r="CW1911" s="73"/>
      <c r="CX1911" s="73"/>
      <c r="CY1911" s="73"/>
      <c r="CZ1911" s="73"/>
      <c r="DA1911" s="73"/>
      <c r="DB1911" s="73"/>
      <c r="DC1911" s="73"/>
      <c r="DD1911" s="73"/>
      <c r="DE1911" s="73"/>
      <c r="DF1911" s="73"/>
      <c r="DG1911" s="73"/>
      <c r="DH1911" s="73"/>
      <c r="DI1911" s="73"/>
      <c r="DJ1911" s="73"/>
      <c r="DK1911" s="73"/>
      <c r="DL1911" s="73"/>
      <c r="DM1911" s="73"/>
    </row>
    <row r="1912" spans="1:117" s="48" customFormat="1">
      <c r="A1912" s="73"/>
      <c r="T1912" s="73"/>
      <c r="U1912" s="73"/>
      <c r="V1912" s="73"/>
      <c r="W1912" s="73"/>
      <c r="X1912" s="73"/>
      <c r="Y1912" s="73"/>
      <c r="Z1912" s="73"/>
      <c r="AA1912" s="73"/>
      <c r="AB1912" s="73"/>
      <c r="AC1912" s="73"/>
      <c r="AD1912" s="73"/>
      <c r="AE1912" s="73"/>
      <c r="AF1912" s="73"/>
      <c r="AG1912" s="73"/>
      <c r="AH1912" s="73"/>
      <c r="AI1912" s="73"/>
      <c r="AJ1912" s="73"/>
      <c r="AK1912" s="73"/>
      <c r="AL1912" s="73"/>
      <c r="AM1912" s="73"/>
      <c r="AN1912" s="73"/>
      <c r="AO1912" s="73"/>
      <c r="AP1912" s="73"/>
      <c r="AQ1912" s="73"/>
      <c r="AR1912" s="73"/>
      <c r="AS1912" s="73"/>
      <c r="AT1912" s="73"/>
      <c r="AU1912" s="73"/>
      <c r="AV1912" s="73"/>
      <c r="AW1912" s="73"/>
      <c r="AX1912" s="73"/>
      <c r="AY1912" s="73"/>
      <c r="AZ1912" s="73"/>
      <c r="BA1912" s="73"/>
      <c r="BB1912" s="73"/>
      <c r="BC1912" s="73"/>
      <c r="BD1912" s="73"/>
      <c r="BE1912" s="73"/>
      <c r="BF1912" s="73"/>
      <c r="BG1912" s="73"/>
      <c r="BH1912" s="73"/>
      <c r="BI1912" s="73"/>
      <c r="BJ1912" s="73"/>
      <c r="BK1912" s="73"/>
      <c r="BL1912" s="73"/>
      <c r="BM1912" s="73"/>
      <c r="BN1912" s="73"/>
      <c r="BO1912" s="73"/>
      <c r="BP1912" s="73"/>
      <c r="BQ1912" s="73"/>
      <c r="BR1912" s="73"/>
      <c r="BS1912" s="73"/>
      <c r="BT1912" s="73"/>
      <c r="BU1912" s="73"/>
      <c r="BV1912" s="73"/>
      <c r="BW1912" s="73"/>
      <c r="BX1912" s="73"/>
      <c r="BY1912" s="73"/>
      <c r="BZ1912" s="73"/>
      <c r="CA1912" s="73"/>
      <c r="CB1912" s="73"/>
      <c r="CC1912" s="73"/>
      <c r="CD1912" s="73"/>
      <c r="CE1912" s="73"/>
      <c r="CF1912" s="73"/>
      <c r="CG1912" s="73"/>
      <c r="CH1912" s="73"/>
      <c r="CI1912" s="73"/>
      <c r="CJ1912" s="73"/>
      <c r="CK1912" s="73"/>
      <c r="CL1912" s="73"/>
      <c r="CM1912" s="73"/>
      <c r="CN1912" s="73"/>
      <c r="CO1912" s="73"/>
      <c r="CP1912" s="73"/>
      <c r="CQ1912" s="73"/>
      <c r="CR1912" s="73"/>
      <c r="CS1912" s="73"/>
      <c r="CT1912" s="73"/>
      <c r="CU1912" s="73"/>
      <c r="CV1912" s="73"/>
      <c r="CW1912" s="73"/>
      <c r="CX1912" s="73"/>
      <c r="CY1912" s="73"/>
      <c r="CZ1912" s="73"/>
      <c r="DA1912" s="73"/>
      <c r="DB1912" s="73"/>
      <c r="DC1912" s="73"/>
      <c r="DD1912" s="73"/>
      <c r="DE1912" s="73"/>
      <c r="DF1912" s="73"/>
      <c r="DG1912" s="73"/>
      <c r="DH1912" s="73"/>
      <c r="DI1912" s="73"/>
      <c r="DJ1912" s="73"/>
      <c r="DK1912" s="73"/>
      <c r="DL1912" s="73"/>
      <c r="DM1912" s="73"/>
    </row>
    <row r="1913" spans="1:117" s="48" customFormat="1">
      <c r="A1913" s="73"/>
      <c r="T1913" s="73"/>
      <c r="U1913" s="73"/>
      <c r="V1913" s="73"/>
      <c r="W1913" s="73"/>
      <c r="X1913" s="73"/>
      <c r="Y1913" s="73"/>
      <c r="Z1913" s="73"/>
      <c r="AA1913" s="73"/>
      <c r="AB1913" s="73"/>
      <c r="AC1913" s="73"/>
      <c r="AD1913" s="73"/>
      <c r="AE1913" s="73"/>
      <c r="AF1913" s="73"/>
      <c r="AG1913" s="73"/>
      <c r="AH1913" s="73"/>
      <c r="AI1913" s="73"/>
      <c r="AJ1913" s="73"/>
      <c r="AK1913" s="73"/>
      <c r="AL1913" s="73"/>
      <c r="AM1913" s="73"/>
      <c r="AN1913" s="73"/>
      <c r="AO1913" s="73"/>
      <c r="AP1913" s="73"/>
      <c r="AQ1913" s="73"/>
      <c r="AR1913" s="73"/>
      <c r="AS1913" s="73"/>
      <c r="AT1913" s="73"/>
      <c r="AU1913" s="73"/>
      <c r="AV1913" s="73"/>
      <c r="AW1913" s="73"/>
      <c r="AX1913" s="73"/>
      <c r="AY1913" s="73"/>
      <c r="AZ1913" s="73"/>
      <c r="BA1913" s="73"/>
      <c r="BB1913" s="73"/>
      <c r="BC1913" s="73"/>
      <c r="BD1913" s="73"/>
      <c r="BE1913" s="73"/>
      <c r="BF1913" s="73"/>
      <c r="BG1913" s="73"/>
      <c r="BH1913" s="73"/>
      <c r="BI1913" s="73"/>
      <c r="BJ1913" s="73"/>
      <c r="BK1913" s="73"/>
      <c r="BL1913" s="73"/>
      <c r="BM1913" s="73"/>
      <c r="BN1913" s="73"/>
      <c r="BO1913" s="73"/>
      <c r="BP1913" s="73"/>
      <c r="BQ1913" s="73"/>
      <c r="BR1913" s="73"/>
      <c r="BS1913" s="73"/>
      <c r="BT1913" s="73"/>
      <c r="BU1913" s="73"/>
      <c r="BV1913" s="73"/>
      <c r="BW1913" s="73"/>
      <c r="BX1913" s="73"/>
      <c r="BY1913" s="73"/>
      <c r="BZ1913" s="73"/>
      <c r="CA1913" s="73"/>
      <c r="CB1913" s="73"/>
      <c r="CC1913" s="73"/>
      <c r="CD1913" s="73"/>
      <c r="CE1913" s="73"/>
      <c r="CF1913" s="73"/>
      <c r="CG1913" s="73"/>
      <c r="CH1913" s="73"/>
      <c r="CI1913" s="73"/>
      <c r="CJ1913" s="73"/>
      <c r="CK1913" s="73"/>
      <c r="CL1913" s="73"/>
      <c r="CM1913" s="73"/>
      <c r="CN1913" s="73"/>
      <c r="CO1913" s="73"/>
      <c r="CP1913" s="73"/>
      <c r="CQ1913" s="73"/>
      <c r="CR1913" s="73"/>
      <c r="CS1913" s="73"/>
      <c r="CT1913" s="73"/>
      <c r="CU1913" s="73"/>
      <c r="CV1913" s="73"/>
      <c r="CW1913" s="73"/>
      <c r="CX1913" s="73"/>
      <c r="CY1913" s="73"/>
      <c r="CZ1913" s="73"/>
      <c r="DA1913" s="73"/>
      <c r="DB1913" s="73"/>
      <c r="DC1913" s="73"/>
      <c r="DD1913" s="73"/>
      <c r="DE1913" s="73"/>
      <c r="DF1913" s="73"/>
      <c r="DG1913" s="73"/>
      <c r="DH1913" s="73"/>
      <c r="DI1913" s="73"/>
      <c r="DJ1913" s="73"/>
      <c r="DK1913" s="73"/>
      <c r="DL1913" s="73"/>
      <c r="DM1913" s="73"/>
    </row>
    <row r="1914" spans="1:117" s="48" customFormat="1">
      <c r="A1914" s="73"/>
      <c r="T1914" s="73"/>
      <c r="U1914" s="73"/>
      <c r="V1914" s="73"/>
      <c r="W1914" s="73"/>
      <c r="X1914" s="73"/>
      <c r="Y1914" s="73"/>
      <c r="Z1914" s="73"/>
      <c r="AA1914" s="73"/>
      <c r="AB1914" s="73"/>
      <c r="AC1914" s="73"/>
      <c r="AD1914" s="73"/>
      <c r="AE1914" s="73"/>
      <c r="AF1914" s="73"/>
      <c r="AG1914" s="73"/>
      <c r="AH1914" s="73"/>
      <c r="AI1914" s="73"/>
      <c r="AJ1914" s="73"/>
      <c r="AK1914" s="73"/>
      <c r="AL1914" s="73"/>
      <c r="AM1914" s="73"/>
      <c r="AN1914" s="73"/>
      <c r="AO1914" s="73"/>
      <c r="AP1914" s="73"/>
      <c r="AQ1914" s="73"/>
      <c r="AR1914" s="73"/>
      <c r="AS1914" s="73"/>
      <c r="AT1914" s="73"/>
      <c r="AU1914" s="73"/>
      <c r="AV1914" s="73"/>
      <c r="AW1914" s="73"/>
      <c r="AX1914" s="73"/>
      <c r="AY1914" s="73"/>
      <c r="AZ1914" s="73"/>
      <c r="BA1914" s="73"/>
      <c r="BB1914" s="73"/>
      <c r="BC1914" s="73"/>
      <c r="BD1914" s="73"/>
      <c r="BE1914" s="73"/>
      <c r="BF1914" s="73"/>
      <c r="BG1914" s="73"/>
      <c r="BH1914" s="73"/>
      <c r="BI1914" s="73"/>
      <c r="BJ1914" s="73"/>
      <c r="BK1914" s="73"/>
      <c r="BL1914" s="73"/>
      <c r="BM1914" s="73"/>
      <c r="BN1914" s="73"/>
      <c r="BO1914" s="73"/>
      <c r="BP1914" s="73"/>
      <c r="BQ1914" s="73"/>
      <c r="BR1914" s="73"/>
      <c r="BS1914" s="73"/>
      <c r="BT1914" s="73"/>
      <c r="BU1914" s="73"/>
      <c r="BV1914" s="73"/>
      <c r="BW1914" s="73"/>
      <c r="BX1914" s="73"/>
      <c r="BY1914" s="73"/>
      <c r="BZ1914" s="73"/>
      <c r="CA1914" s="73"/>
      <c r="CB1914" s="73"/>
      <c r="CC1914" s="73"/>
      <c r="CD1914" s="73"/>
      <c r="CE1914" s="73"/>
      <c r="CF1914" s="73"/>
      <c r="CG1914" s="73"/>
      <c r="CH1914" s="73"/>
      <c r="CI1914" s="73"/>
      <c r="CJ1914" s="73"/>
      <c r="CK1914" s="73"/>
      <c r="CL1914" s="73"/>
      <c r="CM1914" s="73"/>
      <c r="CN1914" s="73"/>
      <c r="CO1914" s="73"/>
      <c r="CP1914" s="73"/>
      <c r="CQ1914" s="73"/>
      <c r="CR1914" s="73"/>
      <c r="CS1914" s="73"/>
      <c r="CT1914" s="73"/>
      <c r="CU1914" s="73"/>
      <c r="CV1914" s="73"/>
      <c r="CW1914" s="73"/>
      <c r="CX1914" s="73"/>
      <c r="CY1914" s="73"/>
      <c r="CZ1914" s="73"/>
      <c r="DA1914" s="73"/>
      <c r="DB1914" s="73"/>
      <c r="DC1914" s="73"/>
      <c r="DD1914" s="73"/>
      <c r="DE1914" s="73"/>
      <c r="DF1914" s="73"/>
      <c r="DG1914" s="73"/>
      <c r="DH1914" s="73"/>
      <c r="DI1914" s="73"/>
      <c r="DJ1914" s="73"/>
      <c r="DK1914" s="73"/>
      <c r="DL1914" s="73"/>
      <c r="DM1914" s="73"/>
    </row>
    <row r="1915" spans="1:117" s="48" customFormat="1">
      <c r="A1915" s="73"/>
      <c r="T1915" s="73"/>
      <c r="U1915" s="73"/>
      <c r="V1915" s="73"/>
      <c r="W1915" s="73"/>
      <c r="X1915" s="73"/>
      <c r="Y1915" s="73"/>
      <c r="Z1915" s="73"/>
      <c r="AA1915" s="73"/>
      <c r="AB1915" s="73"/>
      <c r="AC1915" s="73"/>
      <c r="AD1915" s="73"/>
      <c r="AE1915" s="73"/>
      <c r="AF1915" s="73"/>
      <c r="AG1915" s="73"/>
      <c r="AH1915" s="73"/>
      <c r="AI1915" s="73"/>
      <c r="AJ1915" s="73"/>
      <c r="AK1915" s="73"/>
      <c r="AL1915" s="73"/>
      <c r="AM1915" s="73"/>
      <c r="AN1915" s="73"/>
      <c r="AO1915" s="73"/>
      <c r="AP1915" s="73"/>
      <c r="AQ1915" s="73"/>
      <c r="AR1915" s="73"/>
      <c r="AS1915" s="73"/>
      <c r="AT1915" s="73"/>
      <c r="AU1915" s="73"/>
      <c r="AV1915" s="73"/>
      <c r="AW1915" s="73"/>
      <c r="AX1915" s="73"/>
      <c r="AY1915" s="73"/>
      <c r="AZ1915" s="73"/>
      <c r="BA1915" s="73"/>
      <c r="BB1915" s="73"/>
      <c r="BC1915" s="73"/>
      <c r="BD1915" s="73"/>
      <c r="BE1915" s="73"/>
      <c r="BF1915" s="73"/>
      <c r="BG1915" s="73"/>
      <c r="BH1915" s="73"/>
      <c r="BI1915" s="73"/>
      <c r="BJ1915" s="73"/>
      <c r="BK1915" s="73"/>
      <c r="BL1915" s="73"/>
      <c r="BM1915" s="73"/>
      <c r="BN1915" s="73"/>
      <c r="BO1915" s="73"/>
      <c r="BP1915" s="73"/>
      <c r="BQ1915" s="73"/>
      <c r="BR1915" s="73"/>
      <c r="BS1915" s="73"/>
      <c r="BT1915" s="73"/>
      <c r="BU1915" s="73"/>
      <c r="BV1915" s="73"/>
      <c r="BW1915" s="73"/>
      <c r="BX1915" s="73"/>
      <c r="BY1915" s="73"/>
      <c r="BZ1915" s="73"/>
      <c r="CA1915" s="73"/>
      <c r="CB1915" s="73"/>
      <c r="CC1915" s="73"/>
      <c r="CD1915" s="73"/>
      <c r="CE1915" s="73"/>
      <c r="CF1915" s="73"/>
      <c r="CG1915" s="73"/>
      <c r="CH1915" s="73"/>
      <c r="CI1915" s="73"/>
      <c r="CJ1915" s="73"/>
      <c r="CK1915" s="73"/>
      <c r="CL1915" s="73"/>
      <c r="CM1915" s="73"/>
      <c r="CN1915" s="73"/>
      <c r="CO1915" s="73"/>
      <c r="CP1915" s="73"/>
      <c r="CQ1915" s="73"/>
      <c r="CR1915" s="73"/>
      <c r="CS1915" s="73"/>
      <c r="CT1915" s="73"/>
      <c r="CU1915" s="73"/>
      <c r="CV1915" s="73"/>
      <c r="CW1915" s="73"/>
      <c r="CX1915" s="73"/>
      <c r="CY1915" s="73"/>
      <c r="CZ1915" s="73"/>
      <c r="DA1915" s="73"/>
      <c r="DB1915" s="73"/>
      <c r="DC1915" s="73"/>
      <c r="DD1915" s="73"/>
      <c r="DE1915" s="73"/>
      <c r="DF1915" s="73"/>
      <c r="DG1915" s="73"/>
      <c r="DH1915" s="73"/>
      <c r="DI1915" s="73"/>
      <c r="DJ1915" s="73"/>
      <c r="DK1915" s="73"/>
      <c r="DL1915" s="73"/>
      <c r="DM1915" s="73"/>
    </row>
    <row r="1916" spans="1:117" s="48" customFormat="1">
      <c r="A1916" s="73"/>
      <c r="T1916" s="73"/>
      <c r="U1916" s="73"/>
      <c r="V1916" s="73"/>
      <c r="W1916" s="73"/>
      <c r="X1916" s="73"/>
      <c r="Y1916" s="73"/>
      <c r="Z1916" s="73"/>
      <c r="AA1916" s="73"/>
      <c r="AB1916" s="73"/>
      <c r="AC1916" s="73"/>
      <c r="AD1916" s="73"/>
      <c r="AE1916" s="73"/>
      <c r="AF1916" s="73"/>
      <c r="AG1916" s="73"/>
      <c r="AH1916" s="73"/>
      <c r="AI1916" s="73"/>
      <c r="AJ1916" s="73"/>
      <c r="AK1916" s="73"/>
      <c r="AL1916" s="73"/>
      <c r="AM1916" s="73"/>
      <c r="AN1916" s="73"/>
      <c r="AO1916" s="73"/>
      <c r="AP1916" s="73"/>
      <c r="AQ1916" s="73"/>
      <c r="AR1916" s="73"/>
      <c r="AS1916" s="73"/>
      <c r="AT1916" s="73"/>
      <c r="AU1916" s="73"/>
      <c r="AV1916" s="73"/>
      <c r="AW1916" s="73"/>
      <c r="AX1916" s="73"/>
      <c r="AY1916" s="73"/>
      <c r="AZ1916" s="73"/>
      <c r="BA1916" s="73"/>
      <c r="BB1916" s="73"/>
      <c r="BC1916" s="73"/>
      <c r="BD1916" s="73"/>
      <c r="BE1916" s="73"/>
      <c r="BF1916" s="73"/>
      <c r="BG1916" s="73"/>
      <c r="BH1916" s="73"/>
      <c r="BI1916" s="73"/>
      <c r="BJ1916" s="73"/>
      <c r="BK1916" s="73"/>
      <c r="BL1916" s="73"/>
      <c r="BM1916" s="73"/>
      <c r="BN1916" s="73"/>
      <c r="BO1916" s="73"/>
      <c r="BP1916" s="73"/>
      <c r="BQ1916" s="73"/>
      <c r="BR1916" s="73"/>
      <c r="BS1916" s="73"/>
      <c r="BT1916" s="73"/>
      <c r="BU1916" s="73"/>
      <c r="BV1916" s="73"/>
      <c r="BW1916" s="73"/>
      <c r="BX1916" s="73"/>
      <c r="BY1916" s="73"/>
      <c r="BZ1916" s="73"/>
      <c r="CA1916" s="73"/>
      <c r="CB1916" s="73"/>
      <c r="CC1916" s="73"/>
      <c r="CD1916" s="73"/>
      <c r="CE1916" s="73"/>
      <c r="CF1916" s="73"/>
      <c r="CG1916" s="73"/>
      <c r="CH1916" s="73"/>
      <c r="CI1916" s="73"/>
      <c r="CJ1916" s="73"/>
      <c r="CK1916" s="73"/>
      <c r="CL1916" s="73"/>
      <c r="CM1916" s="73"/>
      <c r="CN1916" s="73"/>
      <c r="CO1916" s="73"/>
      <c r="CP1916" s="73"/>
      <c r="CQ1916" s="73"/>
      <c r="CR1916" s="73"/>
      <c r="CS1916" s="73"/>
      <c r="CT1916" s="73"/>
      <c r="CU1916" s="73"/>
      <c r="CV1916" s="73"/>
      <c r="CW1916" s="73"/>
      <c r="CX1916" s="73"/>
      <c r="CY1916" s="73"/>
      <c r="CZ1916" s="73"/>
      <c r="DA1916" s="73"/>
      <c r="DB1916" s="73"/>
      <c r="DC1916" s="73"/>
      <c r="DD1916" s="73"/>
      <c r="DE1916" s="73"/>
      <c r="DF1916" s="73"/>
      <c r="DG1916" s="73"/>
      <c r="DH1916" s="73"/>
      <c r="DI1916" s="73"/>
      <c r="DJ1916" s="73"/>
      <c r="DK1916" s="73"/>
      <c r="DL1916" s="73"/>
      <c r="DM1916" s="73"/>
    </row>
    <row r="1917" spans="1:117" s="48" customFormat="1">
      <c r="A1917" s="73"/>
      <c r="T1917" s="73"/>
      <c r="U1917" s="73"/>
      <c r="V1917" s="73"/>
      <c r="W1917" s="73"/>
      <c r="X1917" s="73"/>
      <c r="Y1917" s="73"/>
      <c r="Z1917" s="73"/>
      <c r="AA1917" s="73"/>
      <c r="AB1917" s="73"/>
      <c r="AC1917" s="73"/>
      <c r="AD1917" s="73"/>
      <c r="AE1917" s="73"/>
      <c r="AF1917" s="73"/>
      <c r="AG1917" s="73"/>
      <c r="AH1917" s="73"/>
      <c r="AI1917" s="73"/>
      <c r="AJ1917" s="73"/>
      <c r="AK1917" s="73"/>
      <c r="AL1917" s="73"/>
      <c r="AM1917" s="73"/>
      <c r="AN1917" s="73"/>
      <c r="AO1917" s="73"/>
      <c r="AP1917" s="73"/>
      <c r="AQ1917" s="73"/>
      <c r="AR1917" s="73"/>
      <c r="AS1917" s="73"/>
      <c r="AT1917" s="73"/>
      <c r="AU1917" s="73"/>
      <c r="AV1917" s="73"/>
      <c r="AW1917" s="73"/>
      <c r="AX1917" s="73"/>
      <c r="AY1917" s="73"/>
      <c r="AZ1917" s="73"/>
      <c r="BA1917" s="73"/>
      <c r="BB1917" s="73"/>
      <c r="BC1917" s="73"/>
      <c r="BD1917" s="73"/>
      <c r="BE1917" s="73"/>
      <c r="BF1917" s="73"/>
      <c r="BG1917" s="73"/>
      <c r="BH1917" s="73"/>
      <c r="BI1917" s="73"/>
      <c r="BJ1917" s="73"/>
      <c r="BK1917" s="73"/>
      <c r="BL1917" s="73"/>
      <c r="BM1917" s="73"/>
      <c r="BN1917" s="73"/>
      <c r="BO1917" s="73"/>
      <c r="BP1917" s="73"/>
      <c r="BQ1917" s="73"/>
      <c r="BR1917" s="73"/>
      <c r="BS1917" s="73"/>
      <c r="BT1917" s="73"/>
      <c r="BU1917" s="73"/>
      <c r="BV1917" s="73"/>
      <c r="BW1917" s="73"/>
      <c r="BX1917" s="73"/>
      <c r="BY1917" s="73"/>
      <c r="BZ1917" s="73"/>
      <c r="CA1917" s="73"/>
      <c r="CB1917" s="73"/>
      <c r="CC1917" s="73"/>
      <c r="CD1917" s="73"/>
      <c r="CE1917" s="73"/>
      <c r="CF1917" s="73"/>
      <c r="CG1917" s="73"/>
      <c r="CH1917" s="73"/>
      <c r="CI1917" s="73"/>
      <c r="CJ1917" s="73"/>
      <c r="CK1917" s="73"/>
      <c r="CL1917" s="73"/>
      <c r="CM1917" s="73"/>
      <c r="CN1917" s="73"/>
      <c r="CO1917" s="73"/>
      <c r="CP1917" s="73"/>
      <c r="CQ1917" s="73"/>
      <c r="CR1917" s="73"/>
      <c r="CS1917" s="73"/>
      <c r="CT1917" s="73"/>
      <c r="CU1917" s="73"/>
      <c r="CV1917" s="73"/>
      <c r="CW1917" s="73"/>
      <c r="CX1917" s="73"/>
      <c r="CY1917" s="73"/>
      <c r="CZ1917" s="73"/>
      <c r="DA1917" s="73"/>
      <c r="DB1917" s="73"/>
      <c r="DC1917" s="73"/>
      <c r="DD1917" s="73"/>
      <c r="DE1917" s="73"/>
      <c r="DF1917" s="73"/>
      <c r="DG1917" s="73"/>
      <c r="DH1917" s="73"/>
      <c r="DI1917" s="73"/>
      <c r="DJ1917" s="73"/>
      <c r="DK1917" s="73"/>
      <c r="DL1917" s="73"/>
      <c r="DM1917" s="73"/>
    </row>
    <row r="1918" spans="1:117" s="48" customFormat="1">
      <c r="A1918" s="73"/>
      <c r="T1918" s="73"/>
      <c r="U1918" s="73"/>
      <c r="V1918" s="73"/>
      <c r="W1918" s="73"/>
      <c r="X1918" s="73"/>
      <c r="Y1918" s="73"/>
      <c r="Z1918" s="73"/>
      <c r="AA1918" s="73"/>
      <c r="AB1918" s="73"/>
      <c r="AC1918" s="73"/>
      <c r="AD1918" s="73"/>
      <c r="AE1918" s="73"/>
      <c r="AF1918" s="73"/>
      <c r="AG1918" s="73"/>
      <c r="AH1918" s="73"/>
      <c r="AI1918" s="73"/>
      <c r="AJ1918" s="73"/>
      <c r="AK1918" s="73"/>
      <c r="AL1918" s="73"/>
      <c r="AM1918" s="73"/>
      <c r="AN1918" s="73"/>
      <c r="AO1918" s="73"/>
      <c r="AP1918" s="73"/>
      <c r="AQ1918" s="73"/>
      <c r="AR1918" s="73"/>
      <c r="AS1918" s="73"/>
      <c r="AT1918" s="73"/>
      <c r="AU1918" s="73"/>
      <c r="AV1918" s="73"/>
      <c r="AW1918" s="73"/>
      <c r="AX1918" s="73"/>
      <c r="AY1918" s="73"/>
      <c r="AZ1918" s="73"/>
      <c r="BA1918" s="73"/>
      <c r="BB1918" s="73"/>
      <c r="BC1918" s="73"/>
      <c r="BD1918" s="73"/>
      <c r="BE1918" s="73"/>
      <c r="BF1918" s="73"/>
      <c r="BG1918" s="73"/>
      <c r="BH1918" s="73"/>
      <c r="BI1918" s="73"/>
      <c r="BJ1918" s="73"/>
      <c r="BK1918" s="73"/>
      <c r="BL1918" s="73"/>
      <c r="BM1918" s="73"/>
      <c r="BN1918" s="73"/>
      <c r="BO1918" s="73"/>
      <c r="BP1918" s="73"/>
      <c r="BQ1918" s="73"/>
      <c r="BR1918" s="73"/>
      <c r="BS1918" s="73"/>
      <c r="BT1918" s="73"/>
      <c r="BU1918" s="73"/>
      <c r="BV1918" s="73"/>
      <c r="BW1918" s="73"/>
      <c r="BX1918" s="73"/>
      <c r="BY1918" s="73"/>
      <c r="BZ1918" s="73"/>
      <c r="CA1918" s="73"/>
      <c r="CB1918" s="73"/>
      <c r="CC1918" s="73"/>
      <c r="CD1918" s="73"/>
      <c r="CE1918" s="73"/>
      <c r="CF1918" s="73"/>
      <c r="CG1918" s="73"/>
      <c r="CH1918" s="73"/>
      <c r="CI1918" s="73"/>
      <c r="CJ1918" s="73"/>
      <c r="CK1918" s="73"/>
      <c r="CL1918" s="73"/>
      <c r="CM1918" s="73"/>
      <c r="CN1918" s="73"/>
      <c r="CO1918" s="73"/>
      <c r="CP1918" s="73"/>
      <c r="CQ1918" s="73"/>
      <c r="CR1918" s="73"/>
      <c r="CS1918" s="73"/>
      <c r="CT1918" s="73"/>
      <c r="CU1918" s="73"/>
      <c r="CV1918" s="73"/>
      <c r="CW1918" s="73"/>
      <c r="CX1918" s="73"/>
      <c r="CY1918" s="73"/>
      <c r="CZ1918" s="73"/>
      <c r="DA1918" s="73"/>
      <c r="DB1918" s="73"/>
      <c r="DC1918" s="73"/>
      <c r="DD1918" s="73"/>
      <c r="DE1918" s="73"/>
      <c r="DF1918" s="73"/>
      <c r="DG1918" s="73"/>
      <c r="DH1918" s="73"/>
      <c r="DI1918" s="73"/>
      <c r="DJ1918" s="73"/>
      <c r="DK1918" s="73"/>
      <c r="DL1918" s="73"/>
      <c r="DM1918" s="73"/>
    </row>
    <row r="1919" spans="1:117" s="48" customFormat="1">
      <c r="A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M1919" s="73"/>
      <c r="CN1919" s="73"/>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c r="DM1919" s="73"/>
    </row>
    <row r="1920" spans="1:117" s="48" customFormat="1">
      <c r="A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M1920" s="73"/>
      <c r="CN1920" s="73"/>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c r="DM1920" s="73"/>
    </row>
    <row r="1921" spans="1:117" s="48" customFormat="1">
      <c r="A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M1921" s="73"/>
      <c r="CN1921" s="73"/>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c r="DM1921" s="73"/>
    </row>
    <row r="1922" spans="1:117" s="48" customFormat="1">
      <c r="A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M1922" s="73"/>
      <c r="CN1922" s="73"/>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c r="DM1922" s="73"/>
    </row>
    <row r="1923" spans="1:117" s="48" customFormat="1">
      <c r="A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M1923" s="73"/>
      <c r="CN1923" s="73"/>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c r="DM1923" s="73"/>
    </row>
    <row r="1924" spans="1:117" s="48" customFormat="1">
      <c r="A1924" s="73"/>
      <c r="T1924" s="73"/>
      <c r="U1924" s="73"/>
      <c r="V1924" s="73"/>
      <c r="W1924" s="73"/>
      <c r="X1924" s="73"/>
      <c r="Y1924" s="73"/>
      <c r="Z1924" s="73"/>
      <c r="AA1924" s="73"/>
      <c r="AB1924" s="73"/>
      <c r="AC1924" s="73"/>
      <c r="AD1924" s="73"/>
      <c r="AE1924" s="73"/>
      <c r="AF1924" s="73"/>
      <c r="AG1924" s="73"/>
      <c r="AH1924" s="73"/>
      <c r="AI1924" s="73"/>
      <c r="AJ1924" s="73"/>
      <c r="AK1924" s="73"/>
      <c r="AL1924" s="73"/>
      <c r="AM1924" s="73"/>
      <c r="AN1924" s="73"/>
      <c r="AO1924" s="73"/>
      <c r="AP1924" s="73"/>
      <c r="AQ1924" s="73"/>
      <c r="AR1924" s="73"/>
      <c r="AS1924" s="73"/>
      <c r="AT1924" s="73"/>
      <c r="AU1924" s="73"/>
      <c r="AV1924" s="73"/>
      <c r="AW1924" s="73"/>
      <c r="AX1924" s="73"/>
      <c r="AY1924" s="73"/>
      <c r="AZ1924" s="73"/>
      <c r="BA1924" s="73"/>
      <c r="BB1924" s="73"/>
      <c r="BC1924" s="73"/>
      <c r="BD1924" s="73"/>
      <c r="BE1924" s="73"/>
      <c r="BF1924" s="73"/>
      <c r="BG1924" s="73"/>
      <c r="BH1924" s="73"/>
      <c r="BI1924" s="73"/>
      <c r="BJ1924" s="73"/>
      <c r="BK1924" s="73"/>
      <c r="BL1924" s="73"/>
      <c r="BM1924" s="73"/>
      <c r="BN1924" s="73"/>
      <c r="BO1924" s="73"/>
      <c r="BP1924" s="73"/>
      <c r="BQ1924" s="73"/>
      <c r="BR1924" s="73"/>
      <c r="BS1924" s="73"/>
      <c r="BT1924" s="73"/>
      <c r="BU1924" s="73"/>
      <c r="BV1924" s="73"/>
      <c r="BW1924" s="73"/>
      <c r="BX1924" s="73"/>
      <c r="BY1924" s="73"/>
      <c r="BZ1924" s="73"/>
      <c r="CA1924" s="73"/>
      <c r="CB1924" s="73"/>
      <c r="CC1924" s="73"/>
      <c r="CD1924" s="73"/>
      <c r="CE1924" s="73"/>
      <c r="CF1924" s="73"/>
      <c r="CG1924" s="73"/>
      <c r="CH1924" s="73"/>
      <c r="CI1924" s="73"/>
      <c r="CJ1924" s="73"/>
      <c r="CK1924" s="73"/>
      <c r="CL1924" s="73"/>
      <c r="CM1924" s="73"/>
      <c r="CN1924" s="73"/>
      <c r="CO1924" s="73"/>
      <c r="CP1924" s="73"/>
      <c r="CQ1924" s="73"/>
      <c r="CR1924" s="73"/>
      <c r="CS1924" s="73"/>
      <c r="CT1924" s="73"/>
      <c r="CU1924" s="73"/>
      <c r="CV1924" s="73"/>
      <c r="CW1924" s="73"/>
      <c r="CX1924" s="73"/>
      <c r="CY1924" s="73"/>
      <c r="CZ1924" s="73"/>
      <c r="DA1924" s="73"/>
      <c r="DB1924" s="73"/>
      <c r="DC1924" s="73"/>
      <c r="DD1924" s="73"/>
      <c r="DE1924" s="73"/>
      <c r="DF1924" s="73"/>
      <c r="DG1924" s="73"/>
      <c r="DH1924" s="73"/>
      <c r="DI1924" s="73"/>
      <c r="DJ1924" s="73"/>
      <c r="DK1924" s="73"/>
      <c r="DL1924" s="73"/>
      <c r="DM1924" s="73"/>
    </row>
    <row r="1925" spans="1:117" s="48" customFormat="1">
      <c r="A1925" s="73"/>
      <c r="T1925" s="73"/>
      <c r="U1925" s="73"/>
      <c r="V1925" s="73"/>
      <c r="W1925" s="73"/>
      <c r="X1925" s="73"/>
      <c r="Y1925" s="73"/>
      <c r="Z1925" s="73"/>
      <c r="AA1925" s="73"/>
      <c r="AB1925" s="73"/>
      <c r="AC1925" s="73"/>
      <c r="AD1925" s="73"/>
      <c r="AE1925" s="73"/>
      <c r="AF1925" s="73"/>
      <c r="AG1925" s="73"/>
      <c r="AH1925" s="73"/>
      <c r="AI1925" s="73"/>
      <c r="AJ1925" s="73"/>
      <c r="AK1925" s="73"/>
      <c r="AL1925" s="73"/>
      <c r="AM1925" s="73"/>
      <c r="AN1925" s="73"/>
      <c r="AO1925" s="73"/>
      <c r="AP1925" s="73"/>
      <c r="AQ1925" s="73"/>
      <c r="AR1925" s="73"/>
      <c r="AS1925" s="73"/>
      <c r="AT1925" s="73"/>
      <c r="AU1925" s="73"/>
      <c r="AV1925" s="73"/>
      <c r="AW1925" s="73"/>
      <c r="AX1925" s="73"/>
      <c r="AY1925" s="73"/>
      <c r="AZ1925" s="73"/>
      <c r="BA1925" s="73"/>
      <c r="BB1925" s="73"/>
      <c r="BC1925" s="73"/>
      <c r="BD1925" s="73"/>
      <c r="BE1925" s="73"/>
      <c r="BF1925" s="73"/>
      <c r="BG1925" s="73"/>
      <c r="BH1925" s="73"/>
      <c r="BI1925" s="73"/>
      <c r="BJ1925" s="73"/>
      <c r="BK1925" s="73"/>
      <c r="BL1925" s="73"/>
      <c r="BM1925" s="73"/>
      <c r="BN1925" s="73"/>
      <c r="BO1925" s="73"/>
      <c r="BP1925" s="73"/>
      <c r="BQ1925" s="73"/>
      <c r="BR1925" s="73"/>
      <c r="BS1925" s="73"/>
      <c r="BT1925" s="73"/>
      <c r="BU1925" s="73"/>
      <c r="BV1925" s="73"/>
      <c r="BW1925" s="73"/>
      <c r="BX1925" s="73"/>
      <c r="BY1925" s="73"/>
      <c r="BZ1925" s="73"/>
      <c r="CA1925" s="73"/>
      <c r="CB1925" s="73"/>
      <c r="CC1925" s="73"/>
      <c r="CD1925" s="73"/>
      <c r="CE1925" s="73"/>
      <c r="CF1925" s="73"/>
      <c r="CG1925" s="73"/>
      <c r="CH1925" s="73"/>
      <c r="CI1925" s="73"/>
      <c r="CJ1925" s="73"/>
      <c r="CK1925" s="73"/>
      <c r="CL1925" s="73"/>
      <c r="CM1925" s="73"/>
      <c r="CN1925" s="73"/>
      <c r="CO1925" s="73"/>
      <c r="CP1925" s="73"/>
      <c r="CQ1925" s="73"/>
      <c r="CR1925" s="73"/>
      <c r="CS1925" s="73"/>
      <c r="CT1925" s="73"/>
      <c r="CU1925" s="73"/>
      <c r="CV1925" s="73"/>
      <c r="CW1925" s="73"/>
      <c r="CX1925" s="73"/>
      <c r="CY1925" s="73"/>
      <c r="CZ1925" s="73"/>
      <c r="DA1925" s="73"/>
      <c r="DB1925" s="73"/>
      <c r="DC1925" s="73"/>
      <c r="DD1925" s="73"/>
      <c r="DE1925" s="73"/>
      <c r="DF1925" s="73"/>
      <c r="DG1925" s="73"/>
      <c r="DH1925" s="73"/>
      <c r="DI1925" s="73"/>
      <c r="DJ1925" s="73"/>
      <c r="DK1925" s="73"/>
      <c r="DL1925" s="73"/>
      <c r="DM1925" s="73"/>
    </row>
    <row r="1926" spans="1:117" s="48" customFormat="1">
      <c r="A1926" s="73"/>
      <c r="T1926" s="73"/>
      <c r="U1926" s="73"/>
      <c r="V1926" s="73"/>
      <c r="W1926" s="73"/>
      <c r="X1926" s="73"/>
      <c r="Y1926" s="73"/>
      <c r="Z1926" s="73"/>
      <c r="AA1926" s="73"/>
      <c r="AB1926" s="73"/>
      <c r="AC1926" s="73"/>
      <c r="AD1926" s="73"/>
      <c r="AE1926" s="73"/>
      <c r="AF1926" s="73"/>
      <c r="AG1926" s="73"/>
      <c r="AH1926" s="73"/>
      <c r="AI1926" s="73"/>
      <c r="AJ1926" s="73"/>
      <c r="AK1926" s="73"/>
      <c r="AL1926" s="73"/>
      <c r="AM1926" s="73"/>
      <c r="AN1926" s="73"/>
      <c r="AO1926" s="73"/>
      <c r="AP1926" s="73"/>
      <c r="AQ1926" s="73"/>
      <c r="AR1926" s="73"/>
      <c r="AS1926" s="73"/>
      <c r="AT1926" s="73"/>
      <c r="AU1926" s="73"/>
      <c r="AV1926" s="73"/>
      <c r="AW1926" s="73"/>
      <c r="AX1926" s="73"/>
      <c r="AY1926" s="73"/>
      <c r="AZ1926" s="73"/>
      <c r="BA1926" s="73"/>
      <c r="BB1926" s="73"/>
      <c r="BC1926" s="73"/>
      <c r="BD1926" s="73"/>
      <c r="BE1926" s="73"/>
      <c r="BF1926" s="73"/>
      <c r="BG1926" s="73"/>
      <c r="BH1926" s="73"/>
      <c r="BI1926" s="73"/>
      <c r="BJ1926" s="73"/>
      <c r="BK1926" s="73"/>
      <c r="BL1926" s="73"/>
      <c r="BM1926" s="73"/>
      <c r="BN1926" s="73"/>
      <c r="BO1926" s="73"/>
      <c r="BP1926" s="73"/>
      <c r="BQ1926" s="73"/>
      <c r="BR1926" s="73"/>
      <c r="BS1926" s="73"/>
      <c r="BT1926" s="73"/>
      <c r="BU1926" s="73"/>
      <c r="BV1926" s="73"/>
      <c r="BW1926" s="73"/>
      <c r="BX1926" s="73"/>
      <c r="BY1926" s="73"/>
      <c r="BZ1926" s="73"/>
      <c r="CA1926" s="73"/>
      <c r="CB1926" s="73"/>
      <c r="CC1926" s="73"/>
      <c r="CD1926" s="73"/>
      <c r="CE1926" s="73"/>
      <c r="CF1926" s="73"/>
      <c r="CG1926" s="73"/>
      <c r="CH1926" s="73"/>
      <c r="CI1926" s="73"/>
      <c r="CJ1926" s="73"/>
      <c r="CK1926" s="73"/>
      <c r="CL1926" s="73"/>
      <c r="CM1926" s="73"/>
      <c r="CN1926" s="73"/>
      <c r="CO1926" s="73"/>
      <c r="CP1926" s="73"/>
      <c r="CQ1926" s="73"/>
      <c r="CR1926" s="73"/>
      <c r="CS1926" s="73"/>
      <c r="CT1926" s="73"/>
      <c r="CU1926" s="73"/>
      <c r="CV1926" s="73"/>
      <c r="CW1926" s="73"/>
      <c r="CX1926" s="73"/>
      <c r="CY1926" s="73"/>
      <c r="CZ1926" s="73"/>
      <c r="DA1926" s="73"/>
      <c r="DB1926" s="73"/>
      <c r="DC1926" s="73"/>
      <c r="DD1926" s="73"/>
      <c r="DE1926" s="73"/>
      <c r="DF1926" s="73"/>
      <c r="DG1926" s="73"/>
      <c r="DH1926" s="73"/>
      <c r="DI1926" s="73"/>
      <c r="DJ1926" s="73"/>
      <c r="DK1926" s="73"/>
      <c r="DL1926" s="73"/>
      <c r="DM1926" s="73"/>
    </row>
    <row r="1927" spans="1:117" s="48" customFormat="1">
      <c r="A1927" s="73"/>
      <c r="T1927" s="73"/>
      <c r="U1927" s="73"/>
      <c r="V1927" s="73"/>
      <c r="W1927" s="73"/>
      <c r="X1927" s="73"/>
      <c r="Y1927" s="73"/>
      <c r="Z1927" s="73"/>
      <c r="AA1927" s="73"/>
      <c r="AB1927" s="73"/>
      <c r="AC1927" s="73"/>
      <c r="AD1927" s="73"/>
      <c r="AE1927" s="73"/>
      <c r="AF1927" s="73"/>
      <c r="AG1927" s="73"/>
      <c r="AH1927" s="73"/>
      <c r="AI1927" s="73"/>
      <c r="AJ1927" s="73"/>
      <c r="AK1927" s="73"/>
      <c r="AL1927" s="73"/>
      <c r="AM1927" s="73"/>
      <c r="AN1927" s="73"/>
      <c r="AO1927" s="73"/>
      <c r="AP1927" s="73"/>
      <c r="AQ1927" s="73"/>
      <c r="AR1927" s="73"/>
      <c r="AS1927" s="73"/>
      <c r="AT1927" s="73"/>
      <c r="AU1927" s="73"/>
      <c r="AV1927" s="73"/>
      <c r="AW1927" s="73"/>
      <c r="AX1927" s="73"/>
      <c r="AY1927" s="73"/>
      <c r="AZ1927" s="73"/>
      <c r="BA1927" s="73"/>
      <c r="BB1927" s="73"/>
      <c r="BC1927" s="73"/>
      <c r="BD1927" s="73"/>
      <c r="BE1927" s="73"/>
      <c r="BF1927" s="73"/>
      <c r="BG1927" s="73"/>
      <c r="BH1927" s="73"/>
      <c r="BI1927" s="73"/>
      <c r="BJ1927" s="73"/>
      <c r="BK1927" s="73"/>
      <c r="BL1927" s="73"/>
      <c r="BM1927" s="73"/>
      <c r="BN1927" s="73"/>
      <c r="BO1927" s="73"/>
      <c r="BP1927" s="73"/>
      <c r="BQ1927" s="73"/>
      <c r="BR1927" s="73"/>
      <c r="BS1927" s="73"/>
      <c r="BT1927" s="73"/>
      <c r="BU1927" s="73"/>
      <c r="BV1927" s="73"/>
      <c r="BW1927" s="73"/>
      <c r="BX1927" s="73"/>
      <c r="BY1927" s="73"/>
      <c r="BZ1927" s="73"/>
      <c r="CA1927" s="73"/>
      <c r="CB1927" s="73"/>
      <c r="CC1927" s="73"/>
      <c r="CD1927" s="73"/>
      <c r="CE1927" s="73"/>
      <c r="CF1927" s="73"/>
      <c r="CG1927" s="73"/>
      <c r="CH1927" s="73"/>
      <c r="CI1927" s="73"/>
      <c r="CJ1927" s="73"/>
      <c r="CK1927" s="73"/>
      <c r="CL1927" s="73"/>
      <c r="CM1927" s="73"/>
      <c r="CN1927" s="73"/>
      <c r="CO1927" s="73"/>
      <c r="CP1927" s="73"/>
      <c r="CQ1927" s="73"/>
      <c r="CR1927" s="73"/>
      <c r="CS1927" s="73"/>
      <c r="CT1927" s="73"/>
      <c r="CU1927" s="73"/>
      <c r="CV1927" s="73"/>
      <c r="CW1927" s="73"/>
      <c r="CX1927" s="73"/>
      <c r="CY1927" s="73"/>
      <c r="CZ1927" s="73"/>
      <c r="DA1927" s="73"/>
      <c r="DB1927" s="73"/>
      <c r="DC1927" s="73"/>
      <c r="DD1927" s="73"/>
      <c r="DE1927" s="73"/>
      <c r="DF1927" s="73"/>
      <c r="DG1927" s="73"/>
      <c r="DH1927" s="73"/>
      <c r="DI1927" s="73"/>
      <c r="DJ1927" s="73"/>
      <c r="DK1927" s="73"/>
      <c r="DL1927" s="73"/>
      <c r="DM1927" s="73"/>
    </row>
    <row r="1928" spans="1:117" s="48" customFormat="1">
      <c r="A1928" s="73"/>
      <c r="T1928" s="73"/>
      <c r="U1928" s="73"/>
      <c r="V1928" s="73"/>
      <c r="W1928" s="73"/>
      <c r="X1928" s="73"/>
      <c r="Y1928" s="73"/>
      <c r="Z1928" s="73"/>
      <c r="AA1928" s="73"/>
      <c r="AB1928" s="73"/>
      <c r="AC1928" s="73"/>
      <c r="AD1928" s="73"/>
      <c r="AE1928" s="73"/>
      <c r="AF1928" s="73"/>
      <c r="AG1928" s="73"/>
      <c r="AH1928" s="73"/>
      <c r="AI1928" s="73"/>
      <c r="AJ1928" s="73"/>
      <c r="AK1928" s="73"/>
      <c r="AL1928" s="73"/>
      <c r="AM1928" s="73"/>
      <c r="AN1928" s="73"/>
      <c r="AO1928" s="73"/>
      <c r="AP1928" s="73"/>
      <c r="AQ1928" s="73"/>
      <c r="AR1928" s="73"/>
      <c r="AS1928" s="73"/>
      <c r="AT1928" s="73"/>
      <c r="AU1928" s="73"/>
      <c r="AV1928" s="73"/>
      <c r="AW1928" s="73"/>
      <c r="AX1928" s="73"/>
      <c r="AY1928" s="73"/>
      <c r="AZ1928" s="73"/>
      <c r="BA1928" s="73"/>
      <c r="BB1928" s="73"/>
      <c r="BC1928" s="73"/>
      <c r="BD1928" s="73"/>
      <c r="BE1928" s="73"/>
      <c r="BF1928" s="73"/>
      <c r="BG1928" s="73"/>
      <c r="BH1928" s="73"/>
      <c r="BI1928" s="73"/>
      <c r="BJ1928" s="73"/>
      <c r="BK1928" s="73"/>
      <c r="BL1928" s="73"/>
      <c r="BM1928" s="73"/>
      <c r="BN1928" s="73"/>
      <c r="BO1928" s="73"/>
      <c r="BP1928" s="73"/>
      <c r="BQ1928" s="73"/>
      <c r="BR1928" s="73"/>
      <c r="BS1928" s="73"/>
      <c r="BT1928" s="73"/>
      <c r="BU1928" s="73"/>
      <c r="BV1928" s="73"/>
      <c r="BW1928" s="73"/>
      <c r="BX1928" s="73"/>
      <c r="BY1928" s="73"/>
      <c r="BZ1928" s="73"/>
      <c r="CA1928" s="73"/>
      <c r="CB1928" s="73"/>
      <c r="CC1928" s="73"/>
      <c r="CD1928" s="73"/>
      <c r="CE1928" s="73"/>
      <c r="CF1928" s="73"/>
      <c r="CG1928" s="73"/>
      <c r="CH1928" s="73"/>
      <c r="CI1928" s="73"/>
      <c r="CJ1928" s="73"/>
      <c r="CK1928" s="73"/>
      <c r="CL1928" s="73"/>
      <c r="CM1928" s="73"/>
      <c r="CN1928" s="73"/>
      <c r="CO1928" s="73"/>
      <c r="CP1928" s="73"/>
      <c r="CQ1928" s="73"/>
      <c r="CR1928" s="73"/>
      <c r="CS1928" s="73"/>
      <c r="CT1928" s="73"/>
      <c r="CU1928" s="73"/>
      <c r="CV1928" s="73"/>
      <c r="CW1928" s="73"/>
      <c r="CX1928" s="73"/>
      <c r="CY1928" s="73"/>
      <c r="CZ1928" s="73"/>
      <c r="DA1928" s="73"/>
      <c r="DB1928" s="73"/>
      <c r="DC1928" s="73"/>
      <c r="DD1928" s="73"/>
      <c r="DE1928" s="73"/>
      <c r="DF1928" s="73"/>
      <c r="DG1928" s="73"/>
      <c r="DH1928" s="73"/>
      <c r="DI1928" s="73"/>
      <c r="DJ1928" s="73"/>
      <c r="DK1928" s="73"/>
      <c r="DL1928" s="73"/>
      <c r="DM1928" s="73"/>
    </row>
    <row r="1929" spans="1:117" s="48" customFormat="1">
      <c r="A1929" s="73"/>
      <c r="T1929" s="73"/>
      <c r="U1929" s="73"/>
      <c r="V1929" s="73"/>
      <c r="W1929" s="73"/>
      <c r="X1929" s="73"/>
      <c r="Y1929" s="73"/>
      <c r="Z1929" s="73"/>
      <c r="AA1929" s="73"/>
      <c r="AB1929" s="73"/>
      <c r="AC1929" s="73"/>
      <c r="AD1929" s="73"/>
      <c r="AE1929" s="73"/>
      <c r="AF1929" s="73"/>
      <c r="AG1929" s="73"/>
      <c r="AH1929" s="73"/>
      <c r="AI1929" s="73"/>
      <c r="AJ1929" s="73"/>
      <c r="AK1929" s="73"/>
      <c r="AL1929" s="73"/>
      <c r="AM1929" s="73"/>
      <c r="AN1929" s="73"/>
      <c r="AO1929" s="73"/>
      <c r="AP1929" s="73"/>
      <c r="AQ1929" s="73"/>
      <c r="AR1929" s="73"/>
      <c r="AS1929" s="73"/>
      <c r="AT1929" s="73"/>
      <c r="AU1929" s="73"/>
      <c r="AV1929" s="73"/>
      <c r="AW1929" s="73"/>
      <c r="AX1929" s="73"/>
      <c r="AY1929" s="73"/>
      <c r="AZ1929" s="73"/>
      <c r="BA1929" s="73"/>
      <c r="BB1929" s="73"/>
      <c r="BC1929" s="73"/>
      <c r="BD1929" s="73"/>
      <c r="BE1929" s="73"/>
      <c r="BF1929" s="73"/>
      <c r="BG1929" s="73"/>
      <c r="BH1929" s="73"/>
      <c r="BI1929" s="73"/>
      <c r="BJ1929" s="73"/>
      <c r="BK1929" s="73"/>
      <c r="BL1929" s="73"/>
      <c r="BM1929" s="73"/>
      <c r="BN1929" s="73"/>
      <c r="BO1929" s="73"/>
      <c r="BP1929" s="73"/>
      <c r="BQ1929" s="73"/>
      <c r="BR1929" s="73"/>
      <c r="BS1929" s="73"/>
      <c r="BT1929" s="73"/>
      <c r="BU1929" s="73"/>
      <c r="BV1929" s="73"/>
      <c r="BW1929" s="73"/>
      <c r="BX1929" s="73"/>
      <c r="BY1929" s="73"/>
      <c r="BZ1929" s="73"/>
      <c r="CA1929" s="73"/>
      <c r="CB1929" s="73"/>
      <c r="CC1929" s="73"/>
      <c r="CD1929" s="73"/>
      <c r="CE1929" s="73"/>
      <c r="CF1929" s="73"/>
      <c r="CG1929" s="73"/>
      <c r="CH1929" s="73"/>
      <c r="CI1929" s="73"/>
      <c r="CJ1929" s="73"/>
      <c r="CK1929" s="73"/>
      <c r="CL1929" s="73"/>
      <c r="CM1929" s="73"/>
      <c r="CN1929" s="73"/>
      <c r="CO1929" s="73"/>
      <c r="CP1929" s="73"/>
      <c r="CQ1929" s="73"/>
      <c r="CR1929" s="73"/>
      <c r="CS1929" s="73"/>
      <c r="CT1929" s="73"/>
      <c r="CU1929" s="73"/>
      <c r="CV1929" s="73"/>
      <c r="CW1929" s="73"/>
      <c r="CX1929" s="73"/>
      <c r="CY1929" s="73"/>
      <c r="CZ1929" s="73"/>
      <c r="DA1929" s="73"/>
      <c r="DB1929" s="73"/>
      <c r="DC1929" s="73"/>
      <c r="DD1929" s="73"/>
      <c r="DE1929" s="73"/>
      <c r="DF1929" s="73"/>
      <c r="DG1929" s="73"/>
      <c r="DH1929" s="73"/>
      <c r="DI1929" s="73"/>
      <c r="DJ1929" s="73"/>
      <c r="DK1929" s="73"/>
      <c r="DL1929" s="73"/>
      <c r="DM1929" s="73"/>
    </row>
    <row r="1930" spans="1:117" s="48" customFormat="1">
      <c r="A1930" s="73"/>
      <c r="T1930" s="73"/>
      <c r="U1930" s="73"/>
      <c r="V1930" s="73"/>
      <c r="W1930" s="73"/>
      <c r="X1930" s="73"/>
      <c r="Y1930" s="73"/>
      <c r="Z1930" s="73"/>
      <c r="AA1930" s="73"/>
      <c r="AB1930" s="73"/>
      <c r="AC1930" s="73"/>
      <c r="AD1930" s="73"/>
      <c r="AE1930" s="73"/>
      <c r="AF1930" s="73"/>
      <c r="AG1930" s="73"/>
      <c r="AH1930" s="73"/>
      <c r="AI1930" s="73"/>
      <c r="AJ1930" s="73"/>
      <c r="AK1930" s="73"/>
      <c r="AL1930" s="73"/>
      <c r="AM1930" s="73"/>
      <c r="AN1930" s="73"/>
      <c r="AO1930" s="73"/>
      <c r="AP1930" s="73"/>
      <c r="AQ1930" s="73"/>
      <c r="AR1930" s="73"/>
      <c r="AS1930" s="73"/>
      <c r="AT1930" s="73"/>
      <c r="AU1930" s="73"/>
      <c r="AV1930" s="73"/>
      <c r="AW1930" s="73"/>
      <c r="AX1930" s="73"/>
      <c r="AY1930" s="73"/>
      <c r="AZ1930" s="73"/>
      <c r="BA1930" s="73"/>
      <c r="BB1930" s="73"/>
      <c r="BC1930" s="73"/>
      <c r="BD1930" s="73"/>
      <c r="BE1930" s="73"/>
      <c r="BF1930" s="73"/>
      <c r="BG1930" s="73"/>
      <c r="BH1930" s="73"/>
      <c r="BI1930" s="73"/>
      <c r="BJ1930" s="73"/>
      <c r="BK1930" s="73"/>
      <c r="BL1930" s="73"/>
      <c r="BM1930" s="73"/>
      <c r="BN1930" s="73"/>
      <c r="BO1930" s="73"/>
      <c r="BP1930" s="73"/>
      <c r="BQ1930" s="73"/>
      <c r="BR1930" s="73"/>
      <c r="BS1930" s="73"/>
      <c r="BT1930" s="73"/>
      <c r="BU1930" s="73"/>
      <c r="BV1930" s="73"/>
      <c r="BW1930" s="73"/>
      <c r="BX1930" s="73"/>
      <c r="BY1930" s="73"/>
      <c r="BZ1930" s="73"/>
      <c r="CA1930" s="73"/>
      <c r="CB1930" s="73"/>
      <c r="CC1930" s="73"/>
      <c r="CD1930" s="73"/>
      <c r="CE1930" s="73"/>
      <c r="CF1930" s="73"/>
      <c r="CG1930" s="73"/>
      <c r="CH1930" s="73"/>
      <c r="CI1930" s="73"/>
      <c r="CJ1930" s="73"/>
      <c r="CK1930" s="73"/>
      <c r="CL1930" s="73"/>
      <c r="CM1930" s="73"/>
      <c r="CN1930" s="73"/>
      <c r="CO1930" s="73"/>
      <c r="CP1930" s="73"/>
      <c r="CQ1930" s="73"/>
      <c r="CR1930" s="73"/>
      <c r="CS1930" s="73"/>
      <c r="CT1930" s="73"/>
      <c r="CU1930" s="73"/>
      <c r="CV1930" s="73"/>
      <c r="CW1930" s="73"/>
      <c r="CX1930" s="73"/>
      <c r="CY1930" s="73"/>
      <c r="CZ1930" s="73"/>
      <c r="DA1930" s="73"/>
      <c r="DB1930" s="73"/>
      <c r="DC1930" s="73"/>
      <c r="DD1930" s="73"/>
      <c r="DE1930" s="73"/>
      <c r="DF1930" s="73"/>
      <c r="DG1930" s="73"/>
      <c r="DH1930" s="73"/>
      <c r="DI1930" s="73"/>
      <c r="DJ1930" s="73"/>
      <c r="DK1930" s="73"/>
      <c r="DL1930" s="73"/>
      <c r="DM1930" s="73"/>
    </row>
    <row r="1931" spans="1:117" s="48" customFormat="1">
      <c r="A1931" s="73"/>
      <c r="T1931" s="73"/>
      <c r="U1931" s="73"/>
      <c r="V1931" s="73"/>
      <c r="W1931" s="73"/>
      <c r="X1931" s="73"/>
      <c r="Y1931" s="73"/>
      <c r="Z1931" s="73"/>
      <c r="AA1931" s="73"/>
      <c r="AB1931" s="73"/>
      <c r="AC1931" s="73"/>
      <c r="AD1931" s="73"/>
      <c r="AE1931" s="73"/>
      <c r="AF1931" s="73"/>
      <c r="AG1931" s="73"/>
      <c r="AH1931" s="73"/>
      <c r="AI1931" s="73"/>
      <c r="AJ1931" s="73"/>
      <c r="AK1931" s="73"/>
      <c r="AL1931" s="73"/>
      <c r="AM1931" s="73"/>
      <c r="AN1931" s="73"/>
      <c r="AO1931" s="73"/>
      <c r="AP1931" s="73"/>
      <c r="AQ1931" s="73"/>
      <c r="AR1931" s="73"/>
      <c r="AS1931" s="73"/>
      <c r="AT1931" s="73"/>
      <c r="AU1931" s="73"/>
      <c r="AV1931" s="73"/>
      <c r="AW1931" s="73"/>
      <c r="AX1931" s="73"/>
      <c r="AY1931" s="73"/>
      <c r="AZ1931" s="73"/>
      <c r="BA1931" s="73"/>
      <c r="BB1931" s="73"/>
      <c r="BC1931" s="73"/>
      <c r="BD1931" s="73"/>
      <c r="BE1931" s="73"/>
      <c r="BF1931" s="73"/>
      <c r="BG1931" s="73"/>
      <c r="BH1931" s="73"/>
      <c r="BI1931" s="73"/>
      <c r="BJ1931" s="73"/>
      <c r="BK1931" s="73"/>
      <c r="BL1931" s="73"/>
      <c r="BM1931" s="73"/>
      <c r="BN1931" s="73"/>
      <c r="BO1931" s="73"/>
      <c r="BP1931" s="73"/>
      <c r="BQ1931" s="73"/>
      <c r="BR1931" s="73"/>
      <c r="BS1931" s="73"/>
      <c r="BT1931" s="73"/>
      <c r="BU1931" s="73"/>
      <c r="BV1931" s="73"/>
      <c r="BW1931" s="73"/>
      <c r="BX1931" s="73"/>
      <c r="BY1931" s="73"/>
      <c r="BZ1931" s="73"/>
      <c r="CA1931" s="73"/>
      <c r="CB1931" s="73"/>
      <c r="CC1931" s="73"/>
      <c r="CD1931" s="73"/>
      <c r="CE1931" s="73"/>
      <c r="CF1931" s="73"/>
      <c r="CG1931" s="73"/>
      <c r="CH1931" s="73"/>
      <c r="CI1931" s="73"/>
      <c r="CJ1931" s="73"/>
      <c r="CK1931" s="73"/>
      <c r="CL1931" s="73"/>
      <c r="CM1931" s="73"/>
      <c r="CN1931" s="73"/>
      <c r="CO1931" s="73"/>
      <c r="CP1931" s="73"/>
      <c r="CQ1931" s="73"/>
      <c r="CR1931" s="73"/>
      <c r="CS1931" s="73"/>
      <c r="CT1931" s="73"/>
      <c r="CU1931" s="73"/>
      <c r="CV1931" s="73"/>
      <c r="CW1931" s="73"/>
      <c r="CX1931" s="73"/>
      <c r="CY1931" s="73"/>
      <c r="CZ1931" s="73"/>
      <c r="DA1931" s="73"/>
      <c r="DB1931" s="73"/>
      <c r="DC1931" s="73"/>
      <c r="DD1931" s="73"/>
      <c r="DE1931" s="73"/>
      <c r="DF1931" s="73"/>
      <c r="DG1931" s="73"/>
      <c r="DH1931" s="73"/>
      <c r="DI1931" s="73"/>
      <c r="DJ1931" s="73"/>
      <c r="DK1931" s="73"/>
      <c r="DL1931" s="73"/>
      <c r="DM1931" s="73"/>
    </row>
    <row r="1932" spans="1:117" s="48" customFormat="1">
      <c r="A1932" s="73"/>
      <c r="T1932" s="73"/>
      <c r="U1932" s="73"/>
      <c r="V1932" s="73"/>
      <c r="W1932" s="73"/>
      <c r="X1932" s="73"/>
      <c r="Y1932" s="73"/>
      <c r="Z1932" s="73"/>
      <c r="AA1932" s="73"/>
      <c r="AB1932" s="73"/>
      <c r="AC1932" s="73"/>
      <c r="AD1932" s="73"/>
      <c r="AE1932" s="73"/>
      <c r="AF1932" s="73"/>
      <c r="AG1932" s="73"/>
      <c r="AH1932" s="73"/>
      <c r="AI1932" s="73"/>
      <c r="AJ1932" s="73"/>
      <c r="AK1932" s="73"/>
      <c r="AL1932" s="73"/>
      <c r="AM1932" s="73"/>
      <c r="AN1932" s="73"/>
      <c r="AO1932" s="73"/>
      <c r="AP1932" s="73"/>
      <c r="AQ1932" s="73"/>
      <c r="AR1932" s="73"/>
      <c r="AS1932" s="73"/>
      <c r="AT1932" s="73"/>
      <c r="AU1932" s="73"/>
      <c r="AV1932" s="73"/>
      <c r="AW1932" s="73"/>
      <c r="AX1932" s="73"/>
      <c r="AY1932" s="73"/>
      <c r="AZ1932" s="73"/>
      <c r="BA1932" s="73"/>
      <c r="BB1932" s="73"/>
      <c r="BC1932" s="73"/>
      <c r="BD1932" s="73"/>
      <c r="BE1932" s="73"/>
      <c r="BF1932" s="73"/>
      <c r="BG1932" s="73"/>
      <c r="BH1932" s="73"/>
      <c r="BI1932" s="73"/>
      <c r="BJ1932" s="73"/>
      <c r="BK1932" s="73"/>
      <c r="BL1932" s="73"/>
      <c r="BM1932" s="73"/>
      <c r="BN1932" s="73"/>
      <c r="BO1932" s="73"/>
      <c r="BP1932" s="73"/>
      <c r="BQ1932" s="73"/>
      <c r="BR1932" s="73"/>
      <c r="BS1932" s="73"/>
      <c r="BT1932" s="73"/>
      <c r="BU1932" s="73"/>
      <c r="BV1932" s="73"/>
      <c r="BW1932" s="73"/>
      <c r="BX1932" s="73"/>
      <c r="BY1932" s="73"/>
      <c r="BZ1932" s="73"/>
      <c r="CA1932" s="73"/>
      <c r="CB1932" s="73"/>
      <c r="CC1932" s="73"/>
      <c r="CD1932" s="73"/>
      <c r="CE1932" s="73"/>
      <c r="CF1932" s="73"/>
      <c r="CG1932" s="73"/>
      <c r="CH1932" s="73"/>
      <c r="CI1932" s="73"/>
      <c r="CJ1932" s="73"/>
      <c r="CK1932" s="73"/>
      <c r="CL1932" s="73"/>
      <c r="CM1932" s="73"/>
      <c r="CN1932" s="73"/>
      <c r="CO1932" s="73"/>
      <c r="CP1932" s="73"/>
      <c r="CQ1932" s="73"/>
      <c r="CR1932" s="73"/>
      <c r="CS1932" s="73"/>
      <c r="CT1932" s="73"/>
      <c r="CU1932" s="73"/>
      <c r="CV1932" s="73"/>
      <c r="CW1932" s="73"/>
      <c r="CX1932" s="73"/>
      <c r="CY1932" s="73"/>
      <c r="CZ1932" s="73"/>
      <c r="DA1932" s="73"/>
      <c r="DB1932" s="73"/>
      <c r="DC1932" s="73"/>
      <c r="DD1932" s="73"/>
      <c r="DE1932" s="73"/>
      <c r="DF1932" s="73"/>
      <c r="DG1932" s="73"/>
      <c r="DH1932" s="73"/>
      <c r="DI1932" s="73"/>
      <c r="DJ1932" s="73"/>
      <c r="DK1932" s="73"/>
      <c r="DL1932" s="73"/>
      <c r="DM1932" s="73"/>
    </row>
    <row r="1933" spans="1:117" s="48" customFormat="1">
      <c r="A1933" s="73"/>
      <c r="T1933" s="73"/>
      <c r="U1933" s="73"/>
      <c r="V1933" s="73"/>
      <c r="W1933" s="73"/>
      <c r="X1933" s="73"/>
      <c r="Y1933" s="73"/>
      <c r="Z1933" s="73"/>
      <c r="AA1933" s="73"/>
      <c r="AB1933" s="73"/>
      <c r="AC1933" s="73"/>
      <c r="AD1933" s="73"/>
      <c r="AE1933" s="73"/>
      <c r="AF1933" s="73"/>
      <c r="AG1933" s="73"/>
      <c r="AH1933" s="73"/>
      <c r="AI1933" s="73"/>
      <c r="AJ1933" s="73"/>
      <c r="AK1933" s="73"/>
      <c r="AL1933" s="73"/>
      <c r="AM1933" s="73"/>
      <c r="AN1933" s="73"/>
      <c r="AO1933" s="73"/>
      <c r="AP1933" s="73"/>
      <c r="AQ1933" s="73"/>
      <c r="AR1933" s="73"/>
      <c r="AS1933" s="73"/>
      <c r="AT1933" s="73"/>
      <c r="AU1933" s="73"/>
      <c r="AV1933" s="73"/>
      <c r="AW1933" s="73"/>
      <c r="AX1933" s="73"/>
      <c r="AY1933" s="73"/>
      <c r="AZ1933" s="73"/>
      <c r="BA1933" s="73"/>
      <c r="BB1933" s="73"/>
      <c r="BC1933" s="73"/>
      <c r="BD1933" s="73"/>
      <c r="BE1933" s="73"/>
      <c r="BF1933" s="73"/>
      <c r="BG1933" s="73"/>
      <c r="BH1933" s="73"/>
      <c r="BI1933" s="73"/>
      <c r="BJ1933" s="73"/>
      <c r="BK1933" s="73"/>
      <c r="BL1933" s="73"/>
      <c r="BM1933" s="73"/>
      <c r="BN1933" s="73"/>
      <c r="BO1933" s="73"/>
      <c r="BP1933" s="73"/>
      <c r="BQ1933" s="73"/>
      <c r="BR1933" s="73"/>
      <c r="BS1933" s="73"/>
      <c r="BT1933" s="73"/>
      <c r="BU1933" s="73"/>
      <c r="BV1933" s="73"/>
      <c r="BW1933" s="73"/>
      <c r="BX1933" s="73"/>
      <c r="BY1933" s="73"/>
      <c r="BZ1933" s="73"/>
      <c r="CA1933" s="73"/>
      <c r="CB1933" s="73"/>
      <c r="CC1933" s="73"/>
      <c r="CD1933" s="73"/>
      <c r="CE1933" s="73"/>
      <c r="CF1933" s="73"/>
      <c r="CG1933" s="73"/>
      <c r="CH1933" s="73"/>
      <c r="CI1933" s="73"/>
      <c r="CJ1933" s="73"/>
      <c r="CK1933" s="73"/>
      <c r="CL1933" s="73"/>
      <c r="CM1933" s="73"/>
      <c r="CN1933" s="73"/>
      <c r="CO1933" s="73"/>
      <c r="CP1933" s="73"/>
      <c r="CQ1933" s="73"/>
      <c r="CR1933" s="73"/>
      <c r="CS1933" s="73"/>
      <c r="CT1933" s="73"/>
      <c r="CU1933" s="73"/>
      <c r="CV1933" s="73"/>
      <c r="CW1933" s="73"/>
      <c r="CX1933" s="73"/>
      <c r="CY1933" s="73"/>
      <c r="CZ1933" s="73"/>
      <c r="DA1933" s="73"/>
      <c r="DB1933" s="73"/>
      <c r="DC1933" s="73"/>
      <c r="DD1933" s="73"/>
      <c r="DE1933" s="73"/>
      <c r="DF1933" s="73"/>
      <c r="DG1933" s="73"/>
      <c r="DH1933" s="73"/>
      <c r="DI1933" s="73"/>
      <c r="DJ1933" s="73"/>
      <c r="DK1933" s="73"/>
      <c r="DL1933" s="73"/>
      <c r="DM1933" s="73"/>
    </row>
    <row r="1934" spans="1:117" s="48" customFormat="1">
      <c r="A1934" s="73"/>
      <c r="T1934" s="73"/>
      <c r="U1934" s="73"/>
      <c r="V1934" s="73"/>
      <c r="W1934" s="73"/>
      <c r="X1934" s="73"/>
      <c r="Y1934" s="73"/>
      <c r="Z1934" s="73"/>
      <c r="AA1934" s="73"/>
      <c r="AB1934" s="73"/>
      <c r="AC1934" s="73"/>
      <c r="AD1934" s="73"/>
      <c r="AE1934" s="73"/>
      <c r="AF1934" s="73"/>
      <c r="AG1934" s="73"/>
      <c r="AH1934" s="73"/>
      <c r="AI1934" s="73"/>
      <c r="AJ1934" s="73"/>
      <c r="AK1934" s="73"/>
      <c r="AL1934" s="73"/>
      <c r="AM1934" s="73"/>
      <c r="AN1934" s="73"/>
      <c r="AO1934" s="73"/>
      <c r="AP1934" s="73"/>
      <c r="AQ1934" s="73"/>
      <c r="AR1934" s="73"/>
      <c r="AS1934" s="73"/>
      <c r="AT1934" s="73"/>
      <c r="AU1934" s="73"/>
      <c r="AV1934" s="73"/>
      <c r="AW1934" s="73"/>
      <c r="AX1934" s="73"/>
      <c r="AY1934" s="73"/>
      <c r="AZ1934" s="73"/>
      <c r="BA1934" s="73"/>
      <c r="BB1934" s="73"/>
      <c r="BC1934" s="73"/>
      <c r="BD1934" s="73"/>
      <c r="BE1934" s="73"/>
      <c r="BF1934" s="73"/>
      <c r="BG1934" s="73"/>
      <c r="BH1934" s="73"/>
      <c r="BI1934" s="73"/>
      <c r="BJ1934" s="73"/>
      <c r="BK1934" s="73"/>
      <c r="BL1934" s="73"/>
      <c r="BM1934" s="73"/>
      <c r="BN1934" s="73"/>
      <c r="BO1934" s="73"/>
      <c r="BP1934" s="73"/>
      <c r="BQ1934" s="73"/>
      <c r="BR1934" s="73"/>
      <c r="BS1934" s="73"/>
      <c r="BT1934" s="73"/>
      <c r="BU1934" s="73"/>
      <c r="BV1934" s="73"/>
      <c r="BW1934" s="73"/>
      <c r="BX1934" s="73"/>
      <c r="BY1934" s="73"/>
      <c r="BZ1934" s="73"/>
      <c r="CA1934" s="73"/>
      <c r="CB1934" s="73"/>
      <c r="CC1934" s="73"/>
      <c r="CD1934" s="73"/>
      <c r="CE1934" s="73"/>
      <c r="CF1934" s="73"/>
      <c r="CG1934" s="73"/>
      <c r="CH1934" s="73"/>
      <c r="CI1934" s="73"/>
      <c r="CJ1934" s="73"/>
      <c r="CK1934" s="73"/>
      <c r="CL1934" s="73"/>
      <c r="CM1934" s="73"/>
      <c r="CN1934" s="73"/>
      <c r="CO1934" s="73"/>
      <c r="CP1934" s="73"/>
      <c r="CQ1934" s="73"/>
      <c r="CR1934" s="73"/>
      <c r="CS1934" s="73"/>
      <c r="CT1934" s="73"/>
      <c r="CU1934" s="73"/>
      <c r="CV1934" s="73"/>
      <c r="CW1934" s="73"/>
      <c r="CX1934" s="73"/>
      <c r="CY1934" s="73"/>
      <c r="CZ1934" s="73"/>
      <c r="DA1934" s="73"/>
      <c r="DB1934" s="73"/>
      <c r="DC1934" s="73"/>
      <c r="DD1934" s="73"/>
      <c r="DE1934" s="73"/>
      <c r="DF1934" s="73"/>
      <c r="DG1934" s="73"/>
      <c r="DH1934" s="73"/>
      <c r="DI1934" s="73"/>
      <c r="DJ1934" s="73"/>
      <c r="DK1934" s="73"/>
      <c r="DL1934" s="73"/>
      <c r="DM1934" s="73"/>
    </row>
    <row r="1935" spans="1:117" s="48" customFormat="1">
      <c r="A1935" s="73"/>
      <c r="T1935" s="73"/>
      <c r="U1935" s="73"/>
      <c r="V1935" s="73"/>
      <c r="W1935" s="73"/>
      <c r="X1935" s="73"/>
      <c r="Y1935" s="73"/>
      <c r="Z1935" s="73"/>
      <c r="AA1935" s="73"/>
      <c r="AB1935" s="73"/>
      <c r="AC1935" s="73"/>
      <c r="AD1935" s="73"/>
      <c r="AE1935" s="73"/>
      <c r="AF1935" s="73"/>
      <c r="AG1935" s="73"/>
      <c r="AH1935" s="73"/>
      <c r="AI1935" s="73"/>
      <c r="AJ1935" s="73"/>
      <c r="AK1935" s="73"/>
      <c r="AL1935" s="73"/>
      <c r="AM1935" s="73"/>
      <c r="AN1935" s="73"/>
      <c r="AO1935" s="73"/>
      <c r="AP1935" s="73"/>
      <c r="AQ1935" s="73"/>
      <c r="AR1935" s="73"/>
      <c r="AS1935" s="73"/>
      <c r="AT1935" s="73"/>
      <c r="AU1935" s="73"/>
      <c r="AV1935" s="73"/>
      <c r="AW1935" s="73"/>
      <c r="AX1935" s="73"/>
      <c r="AY1935" s="73"/>
      <c r="AZ1935" s="73"/>
      <c r="BA1935" s="73"/>
      <c r="BB1935" s="73"/>
      <c r="BC1935" s="73"/>
      <c r="BD1935" s="73"/>
      <c r="BE1935" s="73"/>
      <c r="BF1935" s="73"/>
      <c r="BG1935" s="73"/>
      <c r="BH1935" s="73"/>
      <c r="BI1935" s="73"/>
      <c r="BJ1935" s="73"/>
      <c r="BK1935" s="73"/>
      <c r="BL1935" s="73"/>
      <c r="BM1935" s="73"/>
      <c r="BN1935" s="73"/>
      <c r="BO1935" s="73"/>
      <c r="BP1935" s="73"/>
      <c r="BQ1935" s="73"/>
      <c r="BR1935" s="73"/>
      <c r="BS1935" s="73"/>
      <c r="BT1935" s="73"/>
      <c r="BU1935" s="73"/>
      <c r="BV1935" s="73"/>
      <c r="BW1935" s="73"/>
      <c r="BX1935" s="73"/>
      <c r="BY1935" s="73"/>
      <c r="BZ1935" s="73"/>
      <c r="CA1935" s="73"/>
      <c r="CB1935" s="73"/>
      <c r="CC1935" s="73"/>
      <c r="CD1935" s="73"/>
      <c r="CE1935" s="73"/>
      <c r="CF1935" s="73"/>
      <c r="CG1935" s="73"/>
      <c r="CH1935" s="73"/>
      <c r="CI1935" s="73"/>
      <c r="CJ1935" s="73"/>
      <c r="CK1935" s="73"/>
      <c r="CL1935" s="73"/>
      <c r="CM1935" s="73"/>
      <c r="CN1935" s="73"/>
      <c r="CO1935" s="73"/>
      <c r="CP1935" s="73"/>
      <c r="CQ1935" s="73"/>
      <c r="CR1935" s="73"/>
      <c r="CS1935" s="73"/>
      <c r="CT1935" s="73"/>
      <c r="CU1935" s="73"/>
      <c r="CV1935" s="73"/>
      <c r="CW1935" s="73"/>
      <c r="CX1935" s="73"/>
      <c r="CY1935" s="73"/>
      <c r="CZ1935" s="73"/>
      <c r="DA1935" s="73"/>
      <c r="DB1935" s="73"/>
      <c r="DC1935" s="73"/>
      <c r="DD1935" s="73"/>
      <c r="DE1935" s="73"/>
      <c r="DF1935" s="73"/>
      <c r="DG1935" s="73"/>
      <c r="DH1935" s="73"/>
      <c r="DI1935" s="73"/>
      <c r="DJ1935" s="73"/>
      <c r="DK1935" s="73"/>
      <c r="DL1935" s="73"/>
      <c r="DM1935" s="73"/>
    </row>
    <row r="1936" spans="1:117" s="48" customFormat="1">
      <c r="A1936" s="73"/>
      <c r="T1936" s="73"/>
      <c r="U1936" s="73"/>
      <c r="V1936" s="73"/>
      <c r="W1936" s="73"/>
      <c r="X1936" s="73"/>
      <c r="Y1936" s="73"/>
      <c r="Z1936" s="73"/>
      <c r="AA1936" s="73"/>
      <c r="AB1936" s="73"/>
      <c r="AC1936" s="73"/>
      <c r="AD1936" s="73"/>
      <c r="AE1936" s="73"/>
      <c r="AF1936" s="73"/>
      <c r="AG1936" s="73"/>
      <c r="AH1936" s="73"/>
      <c r="AI1936" s="73"/>
      <c r="AJ1936" s="73"/>
      <c r="AK1936" s="73"/>
      <c r="AL1936" s="73"/>
      <c r="AM1936" s="73"/>
      <c r="AN1936" s="73"/>
      <c r="AO1936" s="73"/>
      <c r="AP1936" s="73"/>
      <c r="AQ1936" s="73"/>
      <c r="AR1936" s="73"/>
      <c r="AS1936" s="73"/>
      <c r="AT1936" s="73"/>
      <c r="AU1936" s="73"/>
      <c r="AV1936" s="73"/>
      <c r="AW1936" s="73"/>
      <c r="AX1936" s="73"/>
      <c r="AY1936" s="73"/>
      <c r="AZ1936" s="73"/>
      <c r="BA1936" s="73"/>
      <c r="BB1936" s="73"/>
      <c r="BC1936" s="73"/>
      <c r="BD1936" s="73"/>
      <c r="BE1936" s="73"/>
      <c r="BF1936" s="73"/>
      <c r="BG1936" s="73"/>
      <c r="BH1936" s="73"/>
      <c r="BI1936" s="73"/>
      <c r="BJ1936" s="73"/>
      <c r="BK1936" s="73"/>
      <c r="BL1936" s="73"/>
      <c r="BM1936" s="73"/>
      <c r="BN1936" s="73"/>
      <c r="BO1936" s="73"/>
      <c r="BP1936" s="73"/>
      <c r="BQ1936" s="73"/>
      <c r="BR1936" s="73"/>
      <c r="BS1936" s="73"/>
      <c r="BT1936" s="73"/>
      <c r="BU1936" s="73"/>
      <c r="BV1936" s="73"/>
      <c r="BW1936" s="73"/>
      <c r="BX1936" s="73"/>
      <c r="BY1936" s="73"/>
      <c r="BZ1936" s="73"/>
      <c r="CA1936" s="73"/>
      <c r="CB1936" s="73"/>
      <c r="CC1936" s="73"/>
      <c r="CD1936" s="73"/>
      <c r="CE1936" s="73"/>
      <c r="CF1936" s="73"/>
      <c r="CG1936" s="73"/>
      <c r="CH1936" s="73"/>
      <c r="CI1936" s="73"/>
      <c r="CJ1936" s="73"/>
      <c r="CK1936" s="73"/>
      <c r="CL1936" s="73"/>
      <c r="CM1936" s="73"/>
      <c r="CN1936" s="73"/>
      <c r="CO1936" s="73"/>
      <c r="CP1936" s="73"/>
      <c r="CQ1936" s="73"/>
      <c r="CR1936" s="73"/>
      <c r="CS1936" s="73"/>
      <c r="CT1936" s="73"/>
      <c r="CU1936" s="73"/>
      <c r="CV1936" s="73"/>
      <c r="CW1936" s="73"/>
      <c r="CX1936" s="73"/>
      <c r="CY1936" s="73"/>
      <c r="CZ1936" s="73"/>
      <c r="DA1936" s="73"/>
      <c r="DB1936" s="73"/>
      <c r="DC1936" s="73"/>
      <c r="DD1936" s="73"/>
      <c r="DE1936" s="73"/>
      <c r="DF1936" s="73"/>
      <c r="DG1936" s="73"/>
      <c r="DH1936" s="73"/>
      <c r="DI1936" s="73"/>
      <c r="DJ1936" s="73"/>
      <c r="DK1936" s="73"/>
      <c r="DL1936" s="73"/>
      <c r="DM1936" s="73"/>
    </row>
    <row r="1937" spans="1:117" s="48" customFormat="1">
      <c r="A1937" s="73"/>
      <c r="T1937" s="73"/>
      <c r="U1937" s="73"/>
      <c r="V1937" s="73"/>
      <c r="W1937" s="73"/>
      <c r="X1937" s="73"/>
      <c r="Y1937" s="73"/>
      <c r="Z1937" s="73"/>
      <c r="AA1937" s="73"/>
      <c r="AB1937" s="73"/>
      <c r="AC1937" s="73"/>
      <c r="AD1937" s="73"/>
      <c r="AE1937" s="73"/>
      <c r="AF1937" s="73"/>
      <c r="AG1937" s="73"/>
      <c r="AH1937" s="73"/>
      <c r="AI1937" s="73"/>
      <c r="AJ1937" s="73"/>
      <c r="AK1937" s="73"/>
      <c r="AL1937" s="73"/>
      <c r="AM1937" s="73"/>
      <c r="AN1937" s="73"/>
      <c r="AO1937" s="73"/>
      <c r="AP1937" s="73"/>
      <c r="AQ1937" s="73"/>
      <c r="AR1937" s="73"/>
      <c r="AS1937" s="73"/>
      <c r="AT1937" s="73"/>
      <c r="AU1937" s="73"/>
      <c r="AV1937" s="73"/>
      <c r="AW1937" s="73"/>
      <c r="AX1937" s="73"/>
      <c r="AY1937" s="73"/>
      <c r="AZ1937" s="73"/>
      <c r="BA1937" s="73"/>
      <c r="BB1937" s="73"/>
      <c r="BC1937" s="73"/>
      <c r="BD1937" s="73"/>
      <c r="BE1937" s="73"/>
      <c r="BF1937" s="73"/>
      <c r="BG1937" s="73"/>
      <c r="BH1937" s="73"/>
      <c r="BI1937" s="73"/>
      <c r="BJ1937" s="73"/>
      <c r="BK1937" s="73"/>
      <c r="BL1937" s="73"/>
      <c r="BM1937" s="73"/>
      <c r="BN1937" s="73"/>
      <c r="BO1937" s="73"/>
      <c r="BP1937" s="73"/>
      <c r="BQ1937" s="73"/>
      <c r="BR1937" s="73"/>
      <c r="BS1937" s="73"/>
      <c r="BT1937" s="73"/>
      <c r="BU1937" s="73"/>
      <c r="BV1937" s="73"/>
      <c r="BW1937" s="73"/>
      <c r="BX1937" s="73"/>
      <c r="BY1937" s="73"/>
      <c r="BZ1937" s="73"/>
      <c r="CA1937" s="73"/>
      <c r="CB1937" s="73"/>
      <c r="CC1937" s="73"/>
      <c r="CD1937" s="73"/>
      <c r="CE1937" s="73"/>
      <c r="CF1937" s="73"/>
      <c r="CG1937" s="73"/>
      <c r="CH1937" s="73"/>
      <c r="CI1937" s="73"/>
      <c r="CJ1937" s="73"/>
      <c r="CK1937" s="73"/>
      <c r="CL1937" s="73"/>
      <c r="CM1937" s="73"/>
      <c r="CN1937" s="73"/>
      <c r="CO1937" s="73"/>
      <c r="CP1937" s="73"/>
      <c r="CQ1937" s="73"/>
      <c r="CR1937" s="73"/>
      <c r="CS1937" s="73"/>
      <c r="CT1937" s="73"/>
      <c r="CU1937" s="73"/>
      <c r="CV1937" s="73"/>
      <c r="CW1937" s="73"/>
      <c r="CX1937" s="73"/>
      <c r="CY1937" s="73"/>
      <c r="CZ1937" s="73"/>
      <c r="DA1937" s="73"/>
      <c r="DB1937" s="73"/>
      <c r="DC1937" s="73"/>
      <c r="DD1937" s="73"/>
      <c r="DE1937" s="73"/>
      <c r="DF1937" s="73"/>
      <c r="DG1937" s="73"/>
      <c r="DH1937" s="73"/>
      <c r="DI1937" s="73"/>
      <c r="DJ1937" s="73"/>
      <c r="DK1937" s="73"/>
      <c r="DL1937" s="73"/>
      <c r="DM1937" s="73"/>
    </row>
    <row r="1938" spans="1:117" s="48" customFormat="1">
      <c r="A1938" s="73"/>
      <c r="T1938" s="73"/>
      <c r="U1938" s="73"/>
      <c r="V1938" s="73"/>
      <c r="W1938" s="73"/>
      <c r="X1938" s="73"/>
      <c r="Y1938" s="73"/>
      <c r="Z1938" s="73"/>
      <c r="AA1938" s="73"/>
      <c r="AB1938" s="73"/>
      <c r="AC1938" s="73"/>
      <c r="AD1938" s="73"/>
      <c r="AE1938" s="73"/>
      <c r="AF1938" s="73"/>
      <c r="AG1938" s="73"/>
      <c r="AH1938" s="73"/>
      <c r="AI1938" s="73"/>
      <c r="AJ1938" s="73"/>
      <c r="AK1938" s="73"/>
      <c r="AL1938" s="73"/>
      <c r="AM1938" s="73"/>
      <c r="AN1938" s="73"/>
      <c r="AO1938" s="73"/>
      <c r="AP1938" s="73"/>
      <c r="AQ1938" s="73"/>
      <c r="AR1938" s="73"/>
      <c r="AS1938" s="73"/>
      <c r="AT1938" s="73"/>
      <c r="AU1938" s="73"/>
      <c r="AV1938" s="73"/>
      <c r="AW1938" s="73"/>
      <c r="AX1938" s="73"/>
      <c r="AY1938" s="73"/>
      <c r="AZ1938" s="73"/>
      <c r="BA1938" s="73"/>
      <c r="BB1938" s="73"/>
      <c r="BC1938" s="73"/>
      <c r="BD1938" s="73"/>
      <c r="BE1938" s="73"/>
      <c r="BF1938" s="73"/>
      <c r="BG1938" s="73"/>
      <c r="BH1938" s="73"/>
      <c r="BI1938" s="73"/>
      <c r="BJ1938" s="73"/>
      <c r="BK1938" s="73"/>
      <c r="BL1938" s="73"/>
      <c r="BM1938" s="73"/>
      <c r="BN1938" s="73"/>
      <c r="BO1938" s="73"/>
      <c r="BP1938" s="73"/>
      <c r="BQ1938" s="73"/>
      <c r="BR1938" s="73"/>
      <c r="BS1938" s="73"/>
      <c r="BT1938" s="73"/>
      <c r="BU1938" s="73"/>
      <c r="BV1938" s="73"/>
      <c r="BW1938" s="73"/>
      <c r="BX1938" s="73"/>
      <c r="BY1938" s="73"/>
      <c r="BZ1938" s="73"/>
      <c r="CA1938" s="73"/>
      <c r="CB1938" s="73"/>
      <c r="CC1938" s="73"/>
      <c r="CD1938" s="73"/>
      <c r="CE1938" s="73"/>
      <c r="CF1938" s="73"/>
      <c r="CG1938" s="73"/>
      <c r="CH1938" s="73"/>
      <c r="CI1938" s="73"/>
      <c r="CJ1938" s="73"/>
      <c r="CK1938" s="73"/>
      <c r="CL1938" s="73"/>
      <c r="CM1938" s="73"/>
      <c r="CN1938" s="73"/>
      <c r="CO1938" s="73"/>
      <c r="CP1938" s="73"/>
      <c r="CQ1938" s="73"/>
      <c r="CR1938" s="73"/>
      <c r="CS1938" s="73"/>
      <c r="CT1938" s="73"/>
      <c r="CU1938" s="73"/>
      <c r="CV1938" s="73"/>
      <c r="CW1938" s="73"/>
      <c r="CX1938" s="73"/>
      <c r="CY1938" s="73"/>
      <c r="CZ1938" s="73"/>
      <c r="DA1938" s="73"/>
      <c r="DB1938" s="73"/>
      <c r="DC1938" s="73"/>
      <c r="DD1938" s="73"/>
      <c r="DE1938" s="73"/>
      <c r="DF1938" s="73"/>
      <c r="DG1938" s="73"/>
      <c r="DH1938" s="73"/>
      <c r="DI1938" s="73"/>
      <c r="DJ1938" s="73"/>
      <c r="DK1938" s="73"/>
      <c r="DL1938" s="73"/>
      <c r="DM1938" s="73"/>
    </row>
    <row r="1939" spans="1:117" s="48" customFormat="1">
      <c r="A1939" s="73"/>
      <c r="T1939" s="73"/>
      <c r="U1939" s="73"/>
      <c r="V1939" s="73"/>
      <c r="W1939" s="73"/>
      <c r="X1939" s="73"/>
      <c r="Y1939" s="73"/>
      <c r="Z1939" s="73"/>
      <c r="AA1939" s="73"/>
      <c r="AB1939" s="73"/>
      <c r="AC1939" s="73"/>
      <c r="AD1939" s="73"/>
      <c r="AE1939" s="73"/>
      <c r="AF1939" s="73"/>
      <c r="AG1939" s="73"/>
      <c r="AH1939" s="73"/>
      <c r="AI1939" s="73"/>
      <c r="AJ1939" s="73"/>
      <c r="AK1939" s="73"/>
      <c r="AL1939" s="73"/>
      <c r="AM1939" s="73"/>
      <c r="AN1939" s="73"/>
      <c r="AO1939" s="73"/>
      <c r="AP1939" s="73"/>
      <c r="AQ1939" s="73"/>
      <c r="AR1939" s="73"/>
      <c r="AS1939" s="73"/>
      <c r="AT1939" s="73"/>
      <c r="AU1939" s="73"/>
      <c r="AV1939" s="73"/>
      <c r="AW1939" s="73"/>
      <c r="AX1939" s="73"/>
      <c r="AY1939" s="73"/>
      <c r="AZ1939" s="73"/>
      <c r="BA1939" s="73"/>
      <c r="BB1939" s="73"/>
      <c r="BC1939" s="73"/>
      <c r="BD1939" s="73"/>
      <c r="BE1939" s="73"/>
      <c r="BF1939" s="73"/>
      <c r="BG1939" s="73"/>
      <c r="BH1939" s="73"/>
      <c r="BI1939" s="73"/>
      <c r="BJ1939" s="73"/>
      <c r="BK1939" s="73"/>
      <c r="BL1939" s="73"/>
      <c r="BM1939" s="73"/>
      <c r="BN1939" s="73"/>
      <c r="BO1939" s="73"/>
      <c r="BP1939" s="73"/>
      <c r="BQ1939" s="73"/>
      <c r="BR1939" s="73"/>
      <c r="BS1939" s="73"/>
      <c r="BT1939" s="73"/>
      <c r="BU1939" s="73"/>
      <c r="BV1939" s="73"/>
      <c r="BW1939" s="73"/>
      <c r="BX1939" s="73"/>
      <c r="BY1939" s="73"/>
      <c r="BZ1939" s="73"/>
      <c r="CA1939" s="73"/>
      <c r="CB1939" s="73"/>
      <c r="CC1939" s="73"/>
      <c r="CD1939" s="73"/>
      <c r="CE1939" s="73"/>
      <c r="CF1939" s="73"/>
      <c r="CG1939" s="73"/>
      <c r="CH1939" s="73"/>
      <c r="CI1939" s="73"/>
      <c r="CJ1939" s="73"/>
      <c r="CK1939" s="73"/>
      <c r="CL1939" s="73"/>
      <c r="CM1939" s="73"/>
      <c r="CN1939" s="73"/>
      <c r="CO1939" s="73"/>
      <c r="CP1939" s="73"/>
      <c r="CQ1939" s="73"/>
      <c r="CR1939" s="73"/>
      <c r="CS1939" s="73"/>
      <c r="CT1939" s="73"/>
      <c r="CU1939" s="73"/>
      <c r="CV1939" s="73"/>
      <c r="CW1939" s="73"/>
      <c r="CX1939" s="73"/>
      <c r="CY1939" s="73"/>
      <c r="CZ1939" s="73"/>
      <c r="DA1939" s="73"/>
      <c r="DB1939" s="73"/>
      <c r="DC1939" s="73"/>
      <c r="DD1939" s="73"/>
      <c r="DE1939" s="73"/>
      <c r="DF1939" s="73"/>
      <c r="DG1939" s="73"/>
      <c r="DH1939" s="73"/>
      <c r="DI1939" s="73"/>
      <c r="DJ1939" s="73"/>
      <c r="DK1939" s="73"/>
      <c r="DL1939" s="73"/>
      <c r="DM1939" s="73"/>
    </row>
    <row r="1940" spans="1:117" s="48" customFormat="1">
      <c r="A1940" s="73"/>
      <c r="T1940" s="73"/>
      <c r="U1940" s="73"/>
      <c r="V1940" s="73"/>
      <c r="W1940" s="73"/>
      <c r="X1940" s="73"/>
      <c r="Y1940" s="73"/>
      <c r="Z1940" s="73"/>
      <c r="AA1940" s="73"/>
      <c r="AB1940" s="73"/>
      <c r="AC1940" s="73"/>
      <c r="AD1940" s="73"/>
      <c r="AE1940" s="73"/>
      <c r="AF1940" s="73"/>
      <c r="AG1940" s="73"/>
      <c r="AH1940" s="73"/>
      <c r="AI1940" s="73"/>
      <c r="AJ1940" s="73"/>
      <c r="AK1940" s="73"/>
      <c r="AL1940" s="73"/>
      <c r="AM1940" s="73"/>
      <c r="AN1940" s="73"/>
      <c r="AO1940" s="73"/>
      <c r="AP1940" s="73"/>
      <c r="AQ1940" s="73"/>
      <c r="AR1940" s="73"/>
      <c r="AS1940" s="73"/>
      <c r="AT1940" s="73"/>
      <c r="AU1940" s="73"/>
      <c r="AV1940" s="73"/>
      <c r="AW1940" s="73"/>
      <c r="AX1940" s="73"/>
      <c r="AY1940" s="73"/>
      <c r="AZ1940" s="73"/>
      <c r="BA1940" s="73"/>
      <c r="BB1940" s="73"/>
      <c r="BC1940" s="73"/>
      <c r="BD1940" s="73"/>
      <c r="BE1940" s="73"/>
      <c r="BF1940" s="73"/>
      <c r="BG1940" s="73"/>
      <c r="BH1940" s="73"/>
      <c r="BI1940" s="73"/>
      <c r="BJ1940" s="73"/>
      <c r="BK1940" s="73"/>
      <c r="BL1940" s="73"/>
      <c r="BM1940" s="73"/>
      <c r="BN1940" s="73"/>
      <c r="BO1940" s="73"/>
      <c r="BP1940" s="73"/>
      <c r="BQ1940" s="73"/>
      <c r="BR1940" s="73"/>
      <c r="BS1940" s="73"/>
      <c r="BT1940" s="73"/>
      <c r="BU1940" s="73"/>
      <c r="BV1940" s="73"/>
      <c r="BW1940" s="73"/>
      <c r="BX1940" s="73"/>
      <c r="BY1940" s="73"/>
      <c r="BZ1940" s="73"/>
      <c r="CA1940" s="73"/>
      <c r="CB1940" s="73"/>
      <c r="CC1940" s="73"/>
      <c r="CD1940" s="73"/>
      <c r="CE1940" s="73"/>
      <c r="CF1940" s="73"/>
      <c r="CG1940" s="73"/>
      <c r="CH1940" s="73"/>
      <c r="CI1940" s="73"/>
      <c r="CJ1940" s="73"/>
      <c r="CK1940" s="73"/>
      <c r="CL1940" s="73"/>
      <c r="CM1940" s="73"/>
      <c r="CN1940" s="73"/>
      <c r="CO1940" s="73"/>
      <c r="CP1940" s="73"/>
      <c r="CQ1940" s="73"/>
      <c r="CR1940" s="73"/>
      <c r="CS1940" s="73"/>
      <c r="CT1940" s="73"/>
      <c r="CU1940" s="73"/>
      <c r="CV1940" s="73"/>
      <c r="CW1940" s="73"/>
      <c r="CX1940" s="73"/>
      <c r="CY1940" s="73"/>
      <c r="CZ1940" s="73"/>
      <c r="DA1940" s="73"/>
      <c r="DB1940" s="73"/>
      <c r="DC1940" s="73"/>
      <c r="DD1940" s="73"/>
      <c r="DE1940" s="73"/>
      <c r="DF1940" s="73"/>
      <c r="DG1940" s="73"/>
      <c r="DH1940" s="73"/>
      <c r="DI1940" s="73"/>
      <c r="DJ1940" s="73"/>
      <c r="DK1940" s="73"/>
      <c r="DL1940" s="73"/>
      <c r="DM1940" s="73"/>
    </row>
    <row r="1941" spans="1:117" s="48" customFormat="1">
      <c r="A1941" s="73"/>
      <c r="T1941" s="73"/>
      <c r="U1941" s="73"/>
      <c r="V1941" s="73"/>
      <c r="W1941" s="73"/>
      <c r="X1941" s="73"/>
      <c r="Y1941" s="73"/>
      <c r="Z1941" s="73"/>
      <c r="AA1941" s="73"/>
      <c r="AB1941" s="73"/>
      <c r="AC1941" s="73"/>
      <c r="AD1941" s="73"/>
      <c r="AE1941" s="73"/>
      <c r="AF1941" s="73"/>
      <c r="AG1941" s="73"/>
      <c r="AH1941" s="73"/>
      <c r="AI1941" s="73"/>
      <c r="AJ1941" s="73"/>
      <c r="AK1941" s="73"/>
      <c r="AL1941" s="73"/>
      <c r="AM1941" s="73"/>
      <c r="AN1941" s="73"/>
      <c r="AO1941" s="73"/>
      <c r="AP1941" s="73"/>
      <c r="AQ1941" s="73"/>
      <c r="AR1941" s="73"/>
      <c r="AS1941" s="73"/>
      <c r="AT1941" s="73"/>
      <c r="AU1941" s="73"/>
      <c r="AV1941" s="73"/>
      <c r="AW1941" s="73"/>
      <c r="AX1941" s="73"/>
      <c r="AY1941" s="73"/>
      <c r="AZ1941" s="73"/>
      <c r="BA1941" s="73"/>
      <c r="BB1941" s="73"/>
      <c r="BC1941" s="73"/>
      <c r="BD1941" s="73"/>
      <c r="BE1941" s="73"/>
      <c r="BF1941" s="73"/>
      <c r="BG1941" s="73"/>
      <c r="BH1941" s="73"/>
      <c r="BI1941" s="73"/>
      <c r="BJ1941" s="73"/>
      <c r="BK1941" s="73"/>
      <c r="BL1941" s="73"/>
      <c r="BM1941" s="73"/>
      <c r="BN1941" s="73"/>
      <c r="BO1941" s="73"/>
      <c r="BP1941" s="73"/>
      <c r="BQ1941" s="73"/>
      <c r="BR1941" s="73"/>
      <c r="BS1941" s="73"/>
      <c r="BT1941" s="73"/>
      <c r="BU1941" s="73"/>
      <c r="BV1941" s="73"/>
      <c r="BW1941" s="73"/>
      <c r="BX1941" s="73"/>
      <c r="BY1941" s="73"/>
      <c r="BZ1941" s="73"/>
      <c r="CA1941" s="73"/>
      <c r="CB1941" s="73"/>
      <c r="CC1941" s="73"/>
      <c r="CD1941" s="73"/>
      <c r="CE1941" s="73"/>
      <c r="CF1941" s="73"/>
      <c r="CG1941" s="73"/>
      <c r="CH1941" s="73"/>
      <c r="CI1941" s="73"/>
      <c r="CJ1941" s="73"/>
      <c r="CK1941" s="73"/>
      <c r="CL1941" s="73"/>
      <c r="CM1941" s="73"/>
      <c r="CN1941" s="73"/>
      <c r="CO1941" s="73"/>
      <c r="CP1941" s="73"/>
      <c r="CQ1941" s="73"/>
      <c r="CR1941" s="73"/>
      <c r="CS1941" s="73"/>
      <c r="CT1941" s="73"/>
      <c r="CU1941" s="73"/>
      <c r="CV1941" s="73"/>
      <c r="CW1941" s="73"/>
      <c r="CX1941" s="73"/>
      <c r="CY1941" s="73"/>
      <c r="CZ1941" s="73"/>
      <c r="DA1941" s="73"/>
      <c r="DB1941" s="73"/>
      <c r="DC1941" s="73"/>
      <c r="DD1941" s="73"/>
      <c r="DE1941" s="73"/>
      <c r="DF1941" s="73"/>
      <c r="DG1941" s="73"/>
      <c r="DH1941" s="73"/>
      <c r="DI1941" s="73"/>
      <c r="DJ1941" s="73"/>
      <c r="DK1941" s="73"/>
      <c r="DL1941" s="73"/>
      <c r="DM1941" s="73"/>
    </row>
    <row r="1942" spans="1:117" s="48" customFormat="1">
      <c r="A1942" s="73"/>
      <c r="T1942" s="73"/>
      <c r="U1942" s="73"/>
      <c r="V1942" s="73"/>
      <c r="W1942" s="73"/>
      <c r="X1942" s="73"/>
      <c r="Y1942" s="73"/>
      <c r="Z1942" s="73"/>
      <c r="AA1942" s="73"/>
      <c r="AB1942" s="73"/>
      <c r="AC1942" s="73"/>
      <c r="AD1942" s="73"/>
      <c r="AE1942" s="73"/>
      <c r="AF1942" s="73"/>
      <c r="AG1942" s="73"/>
      <c r="AH1942" s="73"/>
      <c r="AI1942" s="73"/>
      <c r="AJ1942" s="73"/>
      <c r="AK1942" s="73"/>
      <c r="AL1942" s="73"/>
      <c r="AM1942" s="73"/>
      <c r="AN1942" s="73"/>
      <c r="AO1942" s="73"/>
      <c r="AP1942" s="73"/>
      <c r="AQ1942" s="73"/>
      <c r="AR1942" s="73"/>
      <c r="AS1942" s="73"/>
      <c r="AT1942" s="73"/>
      <c r="AU1942" s="73"/>
      <c r="AV1942" s="73"/>
      <c r="AW1942" s="73"/>
      <c r="AX1942" s="73"/>
      <c r="AY1942" s="73"/>
      <c r="AZ1942" s="73"/>
      <c r="BA1942" s="73"/>
      <c r="BB1942" s="73"/>
      <c r="BC1942" s="73"/>
      <c r="BD1942" s="73"/>
      <c r="BE1942" s="73"/>
      <c r="BF1942" s="73"/>
      <c r="BG1942" s="73"/>
      <c r="BH1942" s="73"/>
      <c r="BI1942" s="73"/>
      <c r="BJ1942" s="73"/>
      <c r="BK1942" s="73"/>
      <c r="BL1942" s="73"/>
      <c r="BM1942" s="73"/>
      <c r="BN1942" s="73"/>
      <c r="BO1942" s="73"/>
      <c r="BP1942" s="73"/>
      <c r="BQ1942" s="73"/>
      <c r="BR1942" s="73"/>
      <c r="BS1942" s="73"/>
      <c r="BT1942" s="73"/>
      <c r="BU1942" s="73"/>
      <c r="BV1942" s="73"/>
      <c r="BW1942" s="73"/>
      <c r="BX1942" s="73"/>
      <c r="BY1942" s="73"/>
      <c r="BZ1942" s="73"/>
      <c r="CA1942" s="73"/>
      <c r="CB1942" s="73"/>
      <c r="CC1942" s="73"/>
      <c r="CD1942" s="73"/>
      <c r="CE1942" s="73"/>
      <c r="CF1942" s="73"/>
      <c r="CG1942" s="73"/>
      <c r="CH1942" s="73"/>
      <c r="CI1942" s="73"/>
      <c r="CJ1942" s="73"/>
      <c r="CK1942" s="73"/>
      <c r="CL1942" s="73"/>
      <c r="CM1942" s="73"/>
      <c r="CN1942" s="73"/>
      <c r="CO1942" s="73"/>
      <c r="CP1942" s="73"/>
      <c r="CQ1942" s="73"/>
      <c r="CR1942" s="73"/>
      <c r="CS1942" s="73"/>
      <c r="CT1942" s="73"/>
      <c r="CU1942" s="73"/>
      <c r="CV1942" s="73"/>
      <c r="CW1942" s="73"/>
      <c r="CX1942" s="73"/>
      <c r="CY1942" s="73"/>
      <c r="CZ1942" s="73"/>
      <c r="DA1942" s="73"/>
      <c r="DB1942" s="73"/>
      <c r="DC1942" s="73"/>
      <c r="DD1942" s="73"/>
      <c r="DE1942" s="73"/>
      <c r="DF1942" s="73"/>
      <c r="DG1942" s="73"/>
      <c r="DH1942" s="73"/>
      <c r="DI1942" s="73"/>
      <c r="DJ1942" s="73"/>
      <c r="DK1942" s="73"/>
      <c r="DL1942" s="73"/>
      <c r="DM1942" s="73"/>
    </row>
    <row r="1943" spans="1:117" s="48" customFormat="1">
      <c r="A1943" s="73"/>
      <c r="T1943" s="73"/>
      <c r="U1943" s="73"/>
      <c r="V1943" s="73"/>
      <c r="W1943" s="73"/>
      <c r="X1943" s="73"/>
      <c r="Y1943" s="73"/>
      <c r="Z1943" s="73"/>
      <c r="AA1943" s="73"/>
      <c r="AB1943" s="73"/>
      <c r="AC1943" s="73"/>
      <c r="AD1943" s="73"/>
      <c r="AE1943" s="73"/>
      <c r="AF1943" s="73"/>
      <c r="AG1943" s="73"/>
      <c r="AH1943" s="73"/>
      <c r="AI1943" s="73"/>
      <c r="AJ1943" s="73"/>
      <c r="AK1943" s="73"/>
      <c r="AL1943" s="73"/>
      <c r="AM1943" s="73"/>
      <c r="AN1943" s="73"/>
      <c r="AO1943" s="73"/>
      <c r="AP1943" s="73"/>
      <c r="AQ1943" s="73"/>
      <c r="AR1943" s="73"/>
      <c r="AS1943" s="73"/>
      <c r="AT1943" s="73"/>
      <c r="AU1943" s="73"/>
      <c r="AV1943" s="73"/>
      <c r="AW1943" s="73"/>
      <c r="AX1943" s="73"/>
      <c r="AY1943" s="73"/>
      <c r="AZ1943" s="73"/>
      <c r="BA1943" s="73"/>
      <c r="BB1943" s="73"/>
      <c r="BC1943" s="73"/>
      <c r="BD1943" s="73"/>
      <c r="BE1943" s="73"/>
      <c r="BF1943" s="73"/>
      <c r="BG1943" s="73"/>
      <c r="BH1943" s="73"/>
      <c r="BI1943" s="73"/>
      <c r="BJ1943" s="73"/>
      <c r="BK1943" s="73"/>
      <c r="BL1943" s="73"/>
      <c r="BM1943" s="73"/>
      <c r="BN1943" s="73"/>
      <c r="BO1943" s="73"/>
      <c r="BP1943" s="73"/>
      <c r="BQ1943" s="73"/>
      <c r="BR1943" s="73"/>
      <c r="BS1943" s="73"/>
      <c r="BT1943" s="73"/>
      <c r="BU1943" s="73"/>
      <c r="BV1943" s="73"/>
      <c r="BW1943" s="73"/>
      <c r="BX1943" s="73"/>
      <c r="BY1943" s="73"/>
      <c r="BZ1943" s="73"/>
      <c r="CA1943" s="73"/>
      <c r="CB1943" s="73"/>
      <c r="CC1943" s="73"/>
      <c r="CD1943" s="73"/>
      <c r="CE1943" s="73"/>
      <c r="CF1943" s="73"/>
      <c r="CG1943" s="73"/>
      <c r="CH1943" s="73"/>
      <c r="CI1943" s="73"/>
      <c r="CJ1943" s="73"/>
      <c r="CK1943" s="73"/>
      <c r="CL1943" s="73"/>
      <c r="CM1943" s="73"/>
      <c r="CN1943" s="73"/>
      <c r="CO1943" s="73"/>
      <c r="CP1943" s="73"/>
      <c r="CQ1943" s="73"/>
      <c r="CR1943" s="73"/>
      <c r="CS1943" s="73"/>
      <c r="CT1943" s="73"/>
      <c r="CU1943" s="73"/>
      <c r="CV1943" s="73"/>
      <c r="CW1943" s="73"/>
      <c r="CX1943" s="73"/>
      <c r="CY1943" s="73"/>
      <c r="CZ1943" s="73"/>
      <c r="DA1943" s="73"/>
      <c r="DB1943" s="73"/>
      <c r="DC1943" s="73"/>
      <c r="DD1943" s="73"/>
      <c r="DE1943" s="73"/>
      <c r="DF1943" s="73"/>
      <c r="DG1943" s="73"/>
      <c r="DH1943" s="73"/>
      <c r="DI1943" s="73"/>
      <c r="DJ1943" s="73"/>
      <c r="DK1943" s="73"/>
      <c r="DL1943" s="73"/>
      <c r="DM1943" s="73"/>
    </row>
    <row r="1944" spans="1:117" s="48" customFormat="1">
      <c r="A1944" s="73"/>
      <c r="T1944" s="73"/>
      <c r="U1944" s="73"/>
      <c r="V1944" s="73"/>
      <c r="W1944" s="73"/>
      <c r="X1944" s="73"/>
      <c r="Y1944" s="73"/>
      <c r="Z1944" s="73"/>
      <c r="AA1944" s="73"/>
      <c r="AB1944" s="73"/>
      <c r="AC1944" s="73"/>
      <c r="AD1944" s="73"/>
      <c r="AE1944" s="73"/>
      <c r="AF1944" s="73"/>
      <c r="AG1944" s="73"/>
      <c r="AH1944" s="73"/>
      <c r="AI1944" s="73"/>
      <c r="AJ1944" s="73"/>
      <c r="AK1944" s="73"/>
      <c r="AL1944" s="73"/>
      <c r="AM1944" s="73"/>
      <c r="AN1944" s="73"/>
      <c r="AO1944" s="73"/>
      <c r="AP1944" s="73"/>
      <c r="AQ1944" s="73"/>
      <c r="AR1944" s="73"/>
      <c r="AS1944" s="73"/>
      <c r="AT1944" s="73"/>
      <c r="AU1944" s="73"/>
      <c r="AV1944" s="73"/>
      <c r="AW1944" s="73"/>
      <c r="AX1944" s="73"/>
      <c r="AY1944" s="73"/>
      <c r="AZ1944" s="73"/>
      <c r="BA1944" s="73"/>
      <c r="BB1944" s="73"/>
      <c r="BC1944" s="73"/>
      <c r="BD1944" s="73"/>
      <c r="BE1944" s="73"/>
      <c r="BF1944" s="73"/>
      <c r="BG1944" s="73"/>
      <c r="BH1944" s="73"/>
      <c r="BI1944" s="73"/>
      <c r="BJ1944" s="73"/>
      <c r="BK1944" s="73"/>
      <c r="BL1944" s="73"/>
      <c r="BM1944" s="73"/>
      <c r="BN1944" s="73"/>
      <c r="BO1944" s="73"/>
      <c r="BP1944" s="73"/>
      <c r="BQ1944" s="73"/>
      <c r="BR1944" s="73"/>
      <c r="BS1944" s="73"/>
      <c r="BT1944" s="73"/>
      <c r="BU1944" s="73"/>
      <c r="BV1944" s="73"/>
      <c r="BW1944" s="73"/>
      <c r="BX1944" s="73"/>
      <c r="BY1944" s="73"/>
      <c r="BZ1944" s="73"/>
      <c r="CA1944" s="73"/>
      <c r="CB1944" s="73"/>
      <c r="CC1944" s="73"/>
      <c r="CD1944" s="73"/>
      <c r="CE1944" s="73"/>
      <c r="CF1944" s="73"/>
      <c r="CG1944" s="73"/>
      <c r="CH1944" s="73"/>
      <c r="CI1944" s="73"/>
      <c r="CJ1944" s="73"/>
      <c r="CK1944" s="73"/>
      <c r="CL1944" s="73"/>
      <c r="CM1944" s="73"/>
      <c r="CN1944" s="73"/>
      <c r="CO1944" s="73"/>
      <c r="CP1944" s="73"/>
      <c r="CQ1944" s="73"/>
      <c r="CR1944" s="73"/>
      <c r="CS1944" s="73"/>
      <c r="CT1944" s="73"/>
      <c r="CU1944" s="73"/>
      <c r="CV1944" s="73"/>
      <c r="CW1944" s="73"/>
      <c r="CX1944" s="73"/>
      <c r="CY1944" s="73"/>
      <c r="CZ1944" s="73"/>
      <c r="DA1944" s="73"/>
      <c r="DB1944" s="73"/>
      <c r="DC1944" s="73"/>
      <c r="DD1944" s="73"/>
      <c r="DE1944" s="73"/>
      <c r="DF1944" s="73"/>
      <c r="DG1944" s="73"/>
      <c r="DH1944" s="73"/>
      <c r="DI1944" s="73"/>
      <c r="DJ1944" s="73"/>
      <c r="DK1944" s="73"/>
      <c r="DL1944" s="73"/>
      <c r="DM1944" s="73"/>
    </row>
    <row r="1945" spans="1:117" s="48" customFormat="1">
      <c r="A1945" s="73"/>
      <c r="T1945" s="73"/>
      <c r="U1945" s="73"/>
      <c r="V1945" s="73"/>
      <c r="W1945" s="73"/>
      <c r="X1945" s="73"/>
      <c r="Y1945" s="73"/>
      <c r="Z1945" s="73"/>
      <c r="AA1945" s="73"/>
      <c r="AB1945" s="73"/>
      <c r="AC1945" s="73"/>
      <c r="AD1945" s="73"/>
      <c r="AE1945" s="73"/>
      <c r="AF1945" s="73"/>
      <c r="AG1945" s="73"/>
      <c r="AH1945" s="73"/>
      <c r="AI1945" s="73"/>
      <c r="AJ1945" s="73"/>
      <c r="AK1945" s="73"/>
      <c r="AL1945" s="73"/>
      <c r="AM1945" s="73"/>
      <c r="AN1945" s="73"/>
      <c r="AO1945" s="73"/>
      <c r="AP1945" s="73"/>
      <c r="AQ1945" s="73"/>
      <c r="AR1945" s="73"/>
      <c r="AS1945" s="73"/>
      <c r="AT1945" s="73"/>
      <c r="AU1945" s="73"/>
      <c r="AV1945" s="73"/>
      <c r="AW1945" s="73"/>
      <c r="AX1945" s="73"/>
      <c r="AY1945" s="73"/>
      <c r="AZ1945" s="73"/>
      <c r="BA1945" s="73"/>
      <c r="BB1945" s="73"/>
      <c r="BC1945" s="73"/>
      <c r="BD1945" s="73"/>
      <c r="BE1945" s="73"/>
      <c r="BF1945" s="73"/>
      <c r="BG1945" s="73"/>
      <c r="BH1945" s="73"/>
      <c r="BI1945" s="73"/>
      <c r="BJ1945" s="73"/>
      <c r="BK1945" s="73"/>
      <c r="BL1945" s="73"/>
      <c r="BM1945" s="73"/>
      <c r="BN1945" s="73"/>
      <c r="BO1945" s="73"/>
      <c r="BP1945" s="73"/>
      <c r="BQ1945" s="73"/>
      <c r="BR1945" s="73"/>
      <c r="BS1945" s="73"/>
      <c r="BT1945" s="73"/>
      <c r="BU1945" s="73"/>
      <c r="BV1945" s="73"/>
      <c r="BW1945" s="73"/>
      <c r="BX1945" s="73"/>
      <c r="BY1945" s="73"/>
      <c r="BZ1945" s="73"/>
      <c r="CA1945" s="73"/>
      <c r="CB1945" s="73"/>
      <c r="CC1945" s="73"/>
      <c r="CD1945" s="73"/>
      <c r="CE1945" s="73"/>
      <c r="CF1945" s="73"/>
      <c r="CG1945" s="73"/>
      <c r="CH1945" s="73"/>
      <c r="CI1945" s="73"/>
      <c r="CJ1945" s="73"/>
      <c r="CK1945" s="73"/>
      <c r="CL1945" s="73"/>
      <c r="CM1945" s="73"/>
      <c r="CN1945" s="73"/>
      <c r="CO1945" s="73"/>
      <c r="CP1945" s="73"/>
      <c r="CQ1945" s="73"/>
      <c r="CR1945" s="73"/>
      <c r="CS1945" s="73"/>
      <c r="CT1945" s="73"/>
      <c r="CU1945" s="73"/>
      <c r="CV1945" s="73"/>
      <c r="CW1945" s="73"/>
      <c r="CX1945" s="73"/>
      <c r="CY1945" s="73"/>
      <c r="CZ1945" s="73"/>
      <c r="DA1945" s="73"/>
      <c r="DB1945" s="73"/>
      <c r="DC1945" s="73"/>
      <c r="DD1945" s="73"/>
      <c r="DE1945" s="73"/>
      <c r="DF1945" s="73"/>
      <c r="DG1945" s="73"/>
      <c r="DH1945" s="73"/>
      <c r="DI1945" s="73"/>
      <c r="DJ1945" s="73"/>
      <c r="DK1945" s="73"/>
      <c r="DL1945" s="73"/>
      <c r="DM1945" s="73"/>
    </row>
    <row r="1946" spans="1:117" s="48" customFormat="1">
      <c r="A1946" s="73"/>
      <c r="T1946" s="73"/>
      <c r="U1946" s="73"/>
      <c r="V1946" s="73"/>
      <c r="W1946" s="73"/>
      <c r="X1946" s="73"/>
      <c r="Y1946" s="73"/>
      <c r="Z1946" s="73"/>
      <c r="AA1946" s="73"/>
      <c r="AB1946" s="73"/>
      <c r="AC1946" s="73"/>
      <c r="AD1946" s="73"/>
      <c r="AE1946" s="73"/>
      <c r="AF1946" s="73"/>
      <c r="AG1946" s="73"/>
      <c r="AH1946" s="73"/>
      <c r="AI1946" s="73"/>
      <c r="AJ1946" s="73"/>
      <c r="AK1946" s="73"/>
      <c r="AL1946" s="73"/>
      <c r="AM1946" s="73"/>
      <c r="AN1946" s="73"/>
      <c r="AO1946" s="73"/>
      <c r="AP1946" s="73"/>
      <c r="AQ1946" s="73"/>
      <c r="AR1946" s="73"/>
      <c r="AS1946" s="73"/>
      <c r="AT1946" s="73"/>
      <c r="AU1946" s="73"/>
      <c r="AV1946" s="73"/>
      <c r="AW1946" s="73"/>
      <c r="AX1946" s="73"/>
      <c r="AY1946" s="73"/>
      <c r="AZ1946" s="73"/>
      <c r="BA1946" s="73"/>
      <c r="BB1946" s="73"/>
      <c r="BC1946" s="73"/>
      <c r="BD1946" s="73"/>
      <c r="BE1946" s="73"/>
      <c r="BF1946" s="73"/>
      <c r="BG1946" s="73"/>
      <c r="BH1946" s="73"/>
      <c r="BI1946" s="73"/>
      <c r="BJ1946" s="73"/>
      <c r="BK1946" s="73"/>
      <c r="BL1946" s="73"/>
      <c r="BM1946" s="73"/>
      <c r="BN1946" s="73"/>
      <c r="BO1946" s="73"/>
      <c r="BP1946" s="73"/>
      <c r="BQ1946" s="73"/>
      <c r="BR1946" s="73"/>
      <c r="BS1946" s="73"/>
      <c r="BT1946" s="73"/>
      <c r="BU1946" s="73"/>
      <c r="BV1946" s="73"/>
      <c r="BW1946" s="73"/>
      <c r="BX1946" s="73"/>
      <c r="BY1946" s="73"/>
      <c r="BZ1946" s="73"/>
      <c r="CA1946" s="73"/>
      <c r="CB1946" s="73"/>
      <c r="CC1946" s="73"/>
      <c r="CD1946" s="73"/>
      <c r="CE1946" s="73"/>
      <c r="CF1946" s="73"/>
      <c r="CG1946" s="73"/>
      <c r="CH1946" s="73"/>
      <c r="CI1946" s="73"/>
      <c r="CJ1946" s="73"/>
      <c r="CK1946" s="73"/>
      <c r="CL1946" s="73"/>
      <c r="CM1946" s="73"/>
      <c r="CN1946" s="73"/>
      <c r="CO1946" s="73"/>
      <c r="CP1946" s="73"/>
      <c r="CQ1946" s="73"/>
      <c r="CR1946" s="73"/>
      <c r="CS1946" s="73"/>
      <c r="CT1946" s="73"/>
      <c r="CU1946" s="73"/>
      <c r="CV1946" s="73"/>
      <c r="CW1946" s="73"/>
      <c r="CX1946" s="73"/>
      <c r="CY1946" s="73"/>
      <c r="CZ1946" s="73"/>
      <c r="DA1946" s="73"/>
      <c r="DB1946" s="73"/>
      <c r="DC1946" s="73"/>
      <c r="DD1946" s="73"/>
      <c r="DE1946" s="73"/>
      <c r="DF1946" s="73"/>
      <c r="DG1946" s="73"/>
      <c r="DH1946" s="73"/>
      <c r="DI1946" s="73"/>
      <c r="DJ1946" s="73"/>
      <c r="DK1946" s="73"/>
      <c r="DL1946" s="73"/>
      <c r="DM1946" s="73"/>
    </row>
    <row r="1947" spans="1:117" s="48" customFormat="1">
      <c r="A1947" s="73"/>
      <c r="T1947" s="73"/>
      <c r="U1947" s="73"/>
      <c r="V1947" s="73"/>
      <c r="W1947" s="73"/>
      <c r="X1947" s="73"/>
      <c r="Y1947" s="73"/>
      <c r="Z1947" s="73"/>
      <c r="AA1947" s="73"/>
      <c r="AB1947" s="73"/>
      <c r="AC1947" s="73"/>
      <c r="AD1947" s="73"/>
      <c r="AE1947" s="73"/>
      <c r="AF1947" s="73"/>
      <c r="AG1947" s="73"/>
      <c r="AH1947" s="73"/>
      <c r="AI1947" s="73"/>
      <c r="AJ1947" s="73"/>
      <c r="AK1947" s="73"/>
      <c r="AL1947" s="73"/>
      <c r="AM1947" s="73"/>
      <c r="AN1947" s="73"/>
      <c r="AO1947" s="73"/>
      <c r="AP1947" s="73"/>
      <c r="AQ1947" s="73"/>
      <c r="AR1947" s="73"/>
      <c r="AS1947" s="73"/>
      <c r="AT1947" s="73"/>
      <c r="AU1947" s="73"/>
      <c r="AV1947" s="73"/>
      <c r="AW1947" s="73"/>
      <c r="AX1947" s="73"/>
      <c r="AY1947" s="73"/>
      <c r="AZ1947" s="73"/>
      <c r="BA1947" s="73"/>
      <c r="BB1947" s="73"/>
      <c r="BC1947" s="73"/>
      <c r="BD1947" s="73"/>
      <c r="BE1947" s="73"/>
      <c r="BF1947" s="73"/>
      <c r="BG1947" s="73"/>
      <c r="BH1947" s="73"/>
      <c r="BI1947" s="73"/>
      <c r="BJ1947" s="73"/>
      <c r="BK1947" s="73"/>
      <c r="BL1947" s="73"/>
      <c r="BM1947" s="73"/>
      <c r="BN1947" s="73"/>
      <c r="BO1947" s="73"/>
      <c r="BP1947" s="73"/>
      <c r="BQ1947" s="73"/>
      <c r="BR1947" s="73"/>
      <c r="BS1947" s="73"/>
      <c r="BT1947" s="73"/>
      <c r="BU1947" s="73"/>
      <c r="BV1947" s="73"/>
      <c r="BW1947" s="73"/>
      <c r="BX1947" s="73"/>
      <c r="BY1947" s="73"/>
      <c r="BZ1947" s="73"/>
      <c r="CA1947" s="73"/>
      <c r="CB1947" s="73"/>
      <c r="CC1947" s="73"/>
      <c r="CD1947" s="73"/>
      <c r="CE1947" s="73"/>
      <c r="CF1947" s="73"/>
      <c r="CG1947" s="73"/>
      <c r="CH1947" s="73"/>
      <c r="CI1947" s="73"/>
      <c r="CJ1947" s="73"/>
      <c r="CK1947" s="73"/>
      <c r="CL1947" s="73"/>
      <c r="CM1947" s="73"/>
      <c r="CN1947" s="73"/>
      <c r="CO1947" s="73"/>
      <c r="CP1947" s="73"/>
      <c r="CQ1947" s="73"/>
      <c r="CR1947" s="73"/>
      <c r="CS1947" s="73"/>
      <c r="CT1947" s="73"/>
      <c r="CU1947" s="73"/>
      <c r="CV1947" s="73"/>
      <c r="CW1947" s="73"/>
      <c r="CX1947" s="73"/>
      <c r="CY1947" s="73"/>
      <c r="CZ1947" s="73"/>
      <c r="DA1947" s="73"/>
      <c r="DB1947" s="73"/>
      <c r="DC1947" s="73"/>
      <c r="DD1947" s="73"/>
      <c r="DE1947" s="73"/>
      <c r="DF1947" s="73"/>
      <c r="DG1947" s="73"/>
      <c r="DH1947" s="73"/>
      <c r="DI1947" s="73"/>
      <c r="DJ1947" s="73"/>
      <c r="DK1947" s="73"/>
      <c r="DL1947" s="73"/>
      <c r="DM1947" s="73"/>
    </row>
    <row r="1948" spans="1:117" s="48" customFormat="1">
      <c r="A1948" s="73"/>
      <c r="T1948" s="73"/>
      <c r="U1948" s="73"/>
      <c r="V1948" s="73"/>
      <c r="W1948" s="73"/>
      <c r="X1948" s="73"/>
      <c r="Y1948" s="73"/>
      <c r="Z1948" s="73"/>
      <c r="AA1948" s="73"/>
      <c r="AB1948" s="73"/>
      <c r="AC1948" s="73"/>
      <c r="AD1948" s="73"/>
      <c r="AE1948" s="73"/>
      <c r="AF1948" s="73"/>
      <c r="AG1948" s="73"/>
      <c r="AH1948" s="73"/>
      <c r="AI1948" s="73"/>
      <c r="AJ1948" s="73"/>
      <c r="AK1948" s="73"/>
      <c r="AL1948" s="73"/>
      <c r="AM1948" s="73"/>
      <c r="AN1948" s="73"/>
      <c r="AO1948" s="73"/>
      <c r="AP1948" s="73"/>
      <c r="AQ1948" s="73"/>
      <c r="AR1948" s="73"/>
      <c r="AS1948" s="73"/>
      <c r="AT1948" s="73"/>
      <c r="AU1948" s="73"/>
      <c r="AV1948" s="73"/>
      <c r="AW1948" s="73"/>
      <c r="AX1948" s="73"/>
      <c r="AY1948" s="73"/>
      <c r="AZ1948" s="73"/>
      <c r="BA1948" s="73"/>
      <c r="BB1948" s="73"/>
      <c r="BC1948" s="73"/>
      <c r="BD1948" s="73"/>
      <c r="BE1948" s="73"/>
      <c r="BF1948" s="73"/>
      <c r="BG1948" s="73"/>
      <c r="BH1948" s="73"/>
      <c r="BI1948" s="73"/>
      <c r="BJ1948" s="73"/>
      <c r="BK1948" s="73"/>
      <c r="BL1948" s="73"/>
      <c r="BM1948" s="73"/>
      <c r="BN1948" s="73"/>
      <c r="BO1948" s="73"/>
      <c r="BP1948" s="73"/>
      <c r="BQ1948" s="73"/>
      <c r="BR1948" s="73"/>
      <c r="BS1948" s="73"/>
      <c r="BT1948" s="73"/>
      <c r="BU1948" s="73"/>
      <c r="BV1948" s="73"/>
      <c r="BW1948" s="73"/>
      <c r="BX1948" s="73"/>
      <c r="BY1948" s="73"/>
      <c r="BZ1948" s="73"/>
      <c r="CA1948" s="73"/>
      <c r="CB1948" s="73"/>
      <c r="CC1948" s="73"/>
      <c r="CD1948" s="73"/>
      <c r="CE1948" s="73"/>
      <c r="CF1948" s="73"/>
      <c r="CG1948" s="73"/>
      <c r="CH1948" s="73"/>
      <c r="CI1948" s="73"/>
      <c r="CJ1948" s="73"/>
      <c r="CK1948" s="73"/>
      <c r="CL1948" s="73"/>
      <c r="CM1948" s="73"/>
      <c r="CN1948" s="73"/>
      <c r="CO1948" s="73"/>
      <c r="CP1948" s="73"/>
      <c r="CQ1948" s="73"/>
      <c r="CR1948" s="73"/>
      <c r="CS1948" s="73"/>
      <c r="CT1948" s="73"/>
      <c r="CU1948" s="73"/>
      <c r="CV1948" s="73"/>
      <c r="CW1948" s="73"/>
      <c r="CX1948" s="73"/>
      <c r="CY1948" s="73"/>
      <c r="CZ1948" s="73"/>
      <c r="DA1948" s="73"/>
      <c r="DB1948" s="73"/>
      <c r="DC1948" s="73"/>
      <c r="DD1948" s="73"/>
      <c r="DE1948" s="73"/>
      <c r="DF1948" s="73"/>
      <c r="DG1948" s="73"/>
      <c r="DH1948" s="73"/>
      <c r="DI1948" s="73"/>
      <c r="DJ1948" s="73"/>
      <c r="DK1948" s="73"/>
      <c r="DL1948" s="73"/>
      <c r="DM1948" s="73"/>
    </row>
    <row r="1949" spans="1:117" s="48" customFormat="1">
      <c r="A1949" s="73"/>
      <c r="T1949" s="73"/>
      <c r="U1949" s="73"/>
      <c r="V1949" s="73"/>
      <c r="W1949" s="73"/>
      <c r="X1949" s="73"/>
      <c r="Y1949" s="73"/>
      <c r="Z1949" s="73"/>
      <c r="AA1949" s="73"/>
      <c r="AB1949" s="73"/>
      <c r="AC1949" s="73"/>
      <c r="AD1949" s="73"/>
      <c r="AE1949" s="73"/>
      <c r="AF1949" s="73"/>
      <c r="AG1949" s="73"/>
      <c r="AH1949" s="73"/>
      <c r="AI1949" s="73"/>
      <c r="AJ1949" s="73"/>
      <c r="AK1949" s="73"/>
      <c r="AL1949" s="73"/>
      <c r="AM1949" s="73"/>
      <c r="AN1949" s="73"/>
      <c r="AO1949" s="73"/>
      <c r="AP1949" s="73"/>
      <c r="AQ1949" s="73"/>
      <c r="AR1949" s="73"/>
      <c r="AS1949" s="73"/>
      <c r="AT1949" s="73"/>
      <c r="AU1949" s="73"/>
      <c r="AV1949" s="73"/>
      <c r="AW1949" s="73"/>
      <c r="AX1949" s="73"/>
      <c r="AY1949" s="73"/>
      <c r="AZ1949" s="73"/>
      <c r="BA1949" s="73"/>
      <c r="BB1949" s="73"/>
      <c r="BC1949" s="73"/>
      <c r="BD1949" s="73"/>
      <c r="BE1949" s="73"/>
      <c r="BF1949" s="73"/>
      <c r="BG1949" s="73"/>
      <c r="BH1949" s="73"/>
      <c r="BI1949" s="73"/>
      <c r="BJ1949" s="73"/>
      <c r="BK1949" s="73"/>
      <c r="BL1949" s="73"/>
      <c r="BM1949" s="73"/>
      <c r="BN1949" s="73"/>
      <c r="BO1949" s="73"/>
      <c r="BP1949" s="73"/>
      <c r="BQ1949" s="73"/>
      <c r="BR1949" s="73"/>
      <c r="BS1949" s="73"/>
      <c r="BT1949" s="73"/>
      <c r="BU1949" s="73"/>
      <c r="BV1949" s="73"/>
      <c r="BW1949" s="73"/>
      <c r="BX1949" s="73"/>
      <c r="BY1949" s="73"/>
      <c r="BZ1949" s="73"/>
      <c r="CA1949" s="73"/>
      <c r="CB1949" s="73"/>
      <c r="CC1949" s="73"/>
      <c r="CD1949" s="73"/>
      <c r="CE1949" s="73"/>
      <c r="CF1949" s="73"/>
      <c r="CG1949" s="73"/>
      <c r="CH1949" s="73"/>
      <c r="CI1949" s="73"/>
      <c r="CJ1949" s="73"/>
      <c r="CK1949" s="73"/>
      <c r="CL1949" s="73"/>
      <c r="CM1949" s="73"/>
      <c r="CN1949" s="73"/>
      <c r="CO1949" s="73"/>
      <c r="CP1949" s="73"/>
      <c r="CQ1949" s="73"/>
      <c r="CR1949" s="73"/>
      <c r="CS1949" s="73"/>
      <c r="CT1949" s="73"/>
      <c r="CU1949" s="73"/>
      <c r="CV1949" s="73"/>
      <c r="CW1949" s="73"/>
      <c r="CX1949" s="73"/>
      <c r="CY1949" s="73"/>
      <c r="CZ1949" s="73"/>
      <c r="DA1949" s="73"/>
      <c r="DB1949" s="73"/>
      <c r="DC1949" s="73"/>
      <c r="DD1949" s="73"/>
      <c r="DE1949" s="73"/>
      <c r="DF1949" s="73"/>
      <c r="DG1949" s="73"/>
      <c r="DH1949" s="73"/>
      <c r="DI1949" s="73"/>
      <c r="DJ1949" s="73"/>
      <c r="DK1949" s="73"/>
      <c r="DL1949" s="73"/>
      <c r="DM1949" s="73"/>
    </row>
    <row r="1950" spans="1:117" s="48" customFormat="1">
      <c r="A1950" s="73"/>
      <c r="T1950" s="73"/>
      <c r="U1950" s="73"/>
      <c r="V1950" s="73"/>
      <c r="W1950" s="73"/>
      <c r="X1950" s="73"/>
      <c r="Y1950" s="73"/>
      <c r="Z1950" s="73"/>
      <c r="AA1950" s="73"/>
      <c r="AB1950" s="73"/>
      <c r="AC1950" s="73"/>
      <c r="AD1950" s="73"/>
      <c r="AE1950" s="73"/>
      <c r="AF1950" s="73"/>
      <c r="AG1950" s="73"/>
      <c r="AH1950" s="73"/>
      <c r="AI1950" s="73"/>
      <c r="AJ1950" s="73"/>
      <c r="AK1950" s="73"/>
      <c r="AL1950" s="73"/>
      <c r="AM1950" s="73"/>
      <c r="AN1950" s="73"/>
      <c r="AO1950" s="73"/>
      <c r="AP1950" s="73"/>
      <c r="AQ1950" s="73"/>
      <c r="AR1950" s="73"/>
      <c r="AS1950" s="73"/>
      <c r="AT1950" s="73"/>
      <c r="AU1950" s="73"/>
      <c r="AV1950" s="73"/>
      <c r="AW1950" s="73"/>
      <c r="AX1950" s="73"/>
      <c r="AY1950" s="73"/>
      <c r="AZ1950" s="73"/>
      <c r="BA1950" s="73"/>
      <c r="BB1950" s="73"/>
      <c r="BC1950" s="73"/>
      <c r="BD1950" s="73"/>
      <c r="BE1950" s="73"/>
      <c r="BF1950" s="73"/>
      <c r="BG1950" s="73"/>
      <c r="BH1950" s="73"/>
      <c r="BI1950" s="73"/>
      <c r="BJ1950" s="73"/>
      <c r="BK1950" s="73"/>
      <c r="BL1950" s="73"/>
      <c r="BM1950" s="73"/>
      <c r="BN1950" s="73"/>
      <c r="BO1950" s="73"/>
      <c r="BP1950" s="73"/>
      <c r="BQ1950" s="73"/>
      <c r="BR1950" s="73"/>
      <c r="BS1950" s="73"/>
      <c r="BT1950" s="73"/>
      <c r="BU1950" s="73"/>
      <c r="BV1950" s="73"/>
      <c r="BW1950" s="73"/>
      <c r="BX1950" s="73"/>
      <c r="BY1950" s="73"/>
      <c r="BZ1950" s="73"/>
      <c r="CA1950" s="73"/>
      <c r="CB1950" s="73"/>
      <c r="CC1950" s="73"/>
      <c r="CD1950" s="73"/>
      <c r="CE1950" s="73"/>
      <c r="CF1950" s="73"/>
      <c r="CG1950" s="73"/>
      <c r="CH1950" s="73"/>
      <c r="CI1950" s="73"/>
      <c r="CJ1950" s="73"/>
      <c r="CK1950" s="73"/>
      <c r="CL1950" s="73"/>
      <c r="CM1950" s="73"/>
      <c r="CN1950" s="73"/>
      <c r="CO1950" s="73"/>
      <c r="CP1950" s="73"/>
      <c r="CQ1950" s="73"/>
      <c r="CR1950" s="73"/>
      <c r="CS1950" s="73"/>
      <c r="CT1950" s="73"/>
      <c r="CU1950" s="73"/>
      <c r="CV1950" s="73"/>
      <c r="CW1950" s="73"/>
      <c r="CX1950" s="73"/>
      <c r="CY1950" s="73"/>
      <c r="CZ1950" s="73"/>
      <c r="DA1950" s="73"/>
      <c r="DB1950" s="73"/>
      <c r="DC1950" s="73"/>
      <c r="DD1950" s="73"/>
      <c r="DE1950" s="73"/>
      <c r="DF1950" s="73"/>
      <c r="DG1950" s="73"/>
      <c r="DH1950" s="73"/>
      <c r="DI1950" s="73"/>
      <c r="DJ1950" s="73"/>
      <c r="DK1950" s="73"/>
      <c r="DL1950" s="73"/>
      <c r="DM1950" s="73"/>
    </row>
    <row r="1951" spans="1:117" s="48" customFormat="1">
      <c r="A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M1951" s="73"/>
      <c r="CN1951" s="73"/>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c r="DM1951" s="73"/>
    </row>
    <row r="1952" spans="1:117" s="48" customFormat="1">
      <c r="A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M1952" s="73"/>
      <c r="CN1952" s="73"/>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c r="DM1952" s="73"/>
    </row>
    <row r="1953" spans="1:117" s="48" customFormat="1">
      <c r="A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M1953" s="73"/>
      <c r="CN1953" s="73"/>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c r="DM1953" s="73"/>
    </row>
    <row r="1954" spans="1:117" s="48" customFormat="1">
      <c r="A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M1954" s="73"/>
      <c r="CN1954" s="73"/>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c r="DM1954" s="73"/>
    </row>
    <row r="1955" spans="1:117" s="48" customFormat="1">
      <c r="A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M1955" s="73"/>
      <c r="CN1955" s="73"/>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c r="DM1955" s="73"/>
    </row>
    <row r="1956" spans="1:117" s="48" customFormat="1">
      <c r="A1956" s="73"/>
      <c r="T1956" s="73"/>
      <c r="U1956" s="73"/>
      <c r="V1956" s="73"/>
      <c r="W1956" s="73"/>
      <c r="X1956" s="73"/>
      <c r="Y1956" s="73"/>
      <c r="Z1956" s="73"/>
      <c r="AA1956" s="73"/>
      <c r="AB1956" s="73"/>
      <c r="AC1956" s="73"/>
      <c r="AD1956" s="73"/>
      <c r="AE1956" s="73"/>
      <c r="AF1956" s="73"/>
      <c r="AG1956" s="73"/>
      <c r="AH1956" s="73"/>
      <c r="AI1956" s="73"/>
      <c r="AJ1956" s="73"/>
      <c r="AK1956" s="73"/>
      <c r="AL1956" s="73"/>
      <c r="AM1956" s="73"/>
      <c r="AN1956" s="73"/>
      <c r="AO1956" s="73"/>
      <c r="AP1956" s="73"/>
      <c r="AQ1956" s="73"/>
      <c r="AR1956" s="73"/>
      <c r="AS1956" s="73"/>
      <c r="AT1956" s="73"/>
      <c r="AU1956" s="73"/>
      <c r="AV1956" s="73"/>
      <c r="AW1956" s="73"/>
      <c r="AX1956" s="73"/>
      <c r="AY1956" s="73"/>
      <c r="AZ1956" s="73"/>
      <c r="BA1956" s="73"/>
      <c r="BB1956" s="73"/>
      <c r="BC1956" s="73"/>
      <c r="BD1956" s="73"/>
      <c r="BE1956" s="73"/>
      <c r="BF1956" s="73"/>
      <c r="BG1956" s="73"/>
      <c r="BH1956" s="73"/>
      <c r="BI1956" s="73"/>
      <c r="BJ1956" s="73"/>
      <c r="BK1956" s="73"/>
      <c r="BL1956" s="73"/>
      <c r="BM1956" s="73"/>
      <c r="BN1956" s="73"/>
      <c r="BO1956" s="73"/>
      <c r="BP1956" s="73"/>
      <c r="BQ1956" s="73"/>
      <c r="BR1956" s="73"/>
      <c r="BS1956" s="73"/>
      <c r="BT1956" s="73"/>
      <c r="BU1956" s="73"/>
      <c r="BV1956" s="73"/>
      <c r="BW1956" s="73"/>
      <c r="BX1956" s="73"/>
      <c r="BY1956" s="73"/>
      <c r="BZ1956" s="73"/>
      <c r="CA1956" s="73"/>
      <c r="CB1956" s="73"/>
      <c r="CC1956" s="73"/>
      <c r="CD1956" s="73"/>
      <c r="CE1956" s="73"/>
      <c r="CF1956" s="73"/>
      <c r="CG1956" s="73"/>
      <c r="CH1956" s="73"/>
      <c r="CI1956" s="73"/>
      <c r="CJ1956" s="73"/>
      <c r="CK1956" s="73"/>
      <c r="CL1956" s="73"/>
      <c r="CM1956" s="73"/>
      <c r="CN1956" s="73"/>
      <c r="CO1956" s="73"/>
      <c r="CP1956" s="73"/>
      <c r="CQ1956" s="73"/>
      <c r="CR1956" s="73"/>
      <c r="CS1956" s="73"/>
      <c r="CT1956" s="73"/>
      <c r="CU1956" s="73"/>
      <c r="CV1956" s="73"/>
      <c r="CW1956" s="73"/>
      <c r="CX1956" s="73"/>
      <c r="CY1956" s="73"/>
      <c r="CZ1956" s="73"/>
      <c r="DA1956" s="73"/>
      <c r="DB1956" s="73"/>
      <c r="DC1956" s="73"/>
      <c r="DD1956" s="73"/>
      <c r="DE1956" s="73"/>
      <c r="DF1956" s="73"/>
      <c r="DG1956" s="73"/>
      <c r="DH1956" s="73"/>
      <c r="DI1956" s="73"/>
      <c r="DJ1956" s="73"/>
      <c r="DK1956" s="73"/>
      <c r="DL1956" s="73"/>
      <c r="DM1956" s="73"/>
    </row>
    <row r="1957" spans="1:117" s="48" customFormat="1">
      <c r="A1957" s="73"/>
      <c r="T1957" s="73"/>
      <c r="U1957" s="73"/>
      <c r="V1957" s="73"/>
      <c r="W1957" s="73"/>
      <c r="X1957" s="73"/>
      <c r="Y1957" s="73"/>
      <c r="Z1957" s="73"/>
      <c r="AA1957" s="73"/>
      <c r="AB1957" s="73"/>
      <c r="AC1957" s="73"/>
      <c r="AD1957" s="73"/>
      <c r="AE1957" s="73"/>
      <c r="AF1957" s="73"/>
      <c r="AG1957" s="73"/>
      <c r="AH1957" s="73"/>
      <c r="AI1957" s="73"/>
      <c r="AJ1957" s="73"/>
      <c r="AK1957" s="73"/>
      <c r="AL1957" s="73"/>
      <c r="AM1957" s="73"/>
      <c r="AN1957" s="73"/>
      <c r="AO1957" s="73"/>
      <c r="AP1957" s="73"/>
      <c r="AQ1957" s="73"/>
      <c r="AR1957" s="73"/>
      <c r="AS1957" s="73"/>
      <c r="AT1957" s="73"/>
      <c r="AU1957" s="73"/>
      <c r="AV1957" s="73"/>
      <c r="AW1957" s="73"/>
      <c r="AX1957" s="73"/>
      <c r="AY1957" s="73"/>
      <c r="AZ1957" s="73"/>
      <c r="BA1957" s="73"/>
      <c r="BB1957" s="73"/>
      <c r="BC1957" s="73"/>
      <c r="BD1957" s="73"/>
      <c r="BE1957" s="73"/>
      <c r="BF1957" s="73"/>
      <c r="BG1957" s="73"/>
      <c r="BH1957" s="73"/>
      <c r="BI1957" s="73"/>
      <c r="BJ1957" s="73"/>
      <c r="BK1957" s="73"/>
      <c r="BL1957" s="73"/>
      <c r="BM1957" s="73"/>
      <c r="BN1957" s="73"/>
      <c r="BO1957" s="73"/>
      <c r="BP1957" s="73"/>
      <c r="BQ1957" s="73"/>
      <c r="BR1957" s="73"/>
      <c r="BS1957" s="73"/>
      <c r="BT1957" s="73"/>
      <c r="BU1957" s="73"/>
      <c r="BV1957" s="73"/>
      <c r="BW1957" s="73"/>
      <c r="BX1957" s="73"/>
      <c r="BY1957" s="73"/>
      <c r="BZ1957" s="73"/>
      <c r="CA1957" s="73"/>
      <c r="CB1957" s="73"/>
      <c r="CC1957" s="73"/>
      <c r="CD1957" s="73"/>
      <c r="CE1957" s="73"/>
      <c r="CF1957" s="73"/>
      <c r="CG1957" s="73"/>
      <c r="CH1957" s="73"/>
      <c r="CI1957" s="73"/>
      <c r="CJ1957" s="73"/>
      <c r="CK1957" s="73"/>
      <c r="CL1957" s="73"/>
      <c r="CM1957" s="73"/>
      <c r="CN1957" s="73"/>
      <c r="CO1957" s="73"/>
      <c r="CP1957" s="73"/>
      <c r="CQ1957" s="73"/>
      <c r="CR1957" s="73"/>
      <c r="CS1957" s="73"/>
      <c r="CT1957" s="73"/>
      <c r="CU1957" s="73"/>
      <c r="CV1957" s="73"/>
      <c r="CW1957" s="73"/>
      <c r="CX1957" s="73"/>
      <c r="CY1957" s="73"/>
      <c r="CZ1957" s="73"/>
      <c r="DA1957" s="73"/>
      <c r="DB1957" s="73"/>
      <c r="DC1957" s="73"/>
      <c r="DD1957" s="73"/>
      <c r="DE1957" s="73"/>
      <c r="DF1957" s="73"/>
      <c r="DG1957" s="73"/>
      <c r="DH1957" s="73"/>
      <c r="DI1957" s="73"/>
      <c r="DJ1957" s="73"/>
      <c r="DK1957" s="73"/>
      <c r="DL1957" s="73"/>
      <c r="DM1957" s="73"/>
    </row>
    <row r="1958" spans="1:117" s="48" customFormat="1">
      <c r="A1958" s="73"/>
      <c r="T1958" s="73"/>
      <c r="U1958" s="73"/>
      <c r="V1958" s="73"/>
      <c r="W1958" s="73"/>
      <c r="X1958" s="73"/>
      <c r="Y1958" s="73"/>
      <c r="Z1958" s="73"/>
      <c r="AA1958" s="73"/>
      <c r="AB1958" s="73"/>
      <c r="AC1958" s="73"/>
      <c r="AD1958" s="73"/>
      <c r="AE1958" s="73"/>
      <c r="AF1958" s="73"/>
      <c r="AG1958" s="73"/>
      <c r="AH1958" s="73"/>
      <c r="AI1958" s="73"/>
      <c r="AJ1958" s="73"/>
      <c r="AK1958" s="73"/>
      <c r="AL1958" s="73"/>
      <c r="AM1958" s="73"/>
      <c r="AN1958" s="73"/>
      <c r="AO1958" s="73"/>
      <c r="AP1958" s="73"/>
      <c r="AQ1958" s="73"/>
      <c r="AR1958" s="73"/>
      <c r="AS1958" s="73"/>
      <c r="AT1958" s="73"/>
      <c r="AU1958" s="73"/>
      <c r="AV1958" s="73"/>
      <c r="AW1958" s="73"/>
      <c r="AX1958" s="73"/>
      <c r="AY1958" s="73"/>
      <c r="AZ1958" s="73"/>
      <c r="BA1958" s="73"/>
      <c r="BB1958" s="73"/>
      <c r="BC1958" s="73"/>
      <c r="BD1958" s="73"/>
      <c r="BE1958" s="73"/>
      <c r="BF1958" s="73"/>
      <c r="BG1958" s="73"/>
      <c r="BH1958" s="73"/>
      <c r="BI1958" s="73"/>
      <c r="BJ1958" s="73"/>
      <c r="BK1958" s="73"/>
      <c r="BL1958" s="73"/>
      <c r="BM1958" s="73"/>
      <c r="BN1958" s="73"/>
      <c r="BO1958" s="73"/>
      <c r="BP1958" s="73"/>
      <c r="BQ1958" s="73"/>
      <c r="BR1958" s="73"/>
      <c r="BS1958" s="73"/>
      <c r="BT1958" s="73"/>
      <c r="BU1958" s="73"/>
      <c r="BV1958" s="73"/>
      <c r="BW1958" s="73"/>
      <c r="BX1958" s="73"/>
      <c r="BY1958" s="73"/>
      <c r="BZ1958" s="73"/>
      <c r="CA1958" s="73"/>
      <c r="CB1958" s="73"/>
      <c r="CC1958" s="73"/>
      <c r="CD1958" s="73"/>
      <c r="CE1958" s="73"/>
      <c r="CF1958" s="73"/>
      <c r="CG1958" s="73"/>
      <c r="CH1958" s="73"/>
      <c r="CI1958" s="73"/>
      <c r="CJ1958" s="73"/>
      <c r="CK1958" s="73"/>
      <c r="CL1958" s="73"/>
      <c r="CM1958" s="73"/>
      <c r="CN1958" s="73"/>
      <c r="CO1958" s="73"/>
      <c r="CP1958" s="73"/>
      <c r="CQ1958" s="73"/>
      <c r="CR1958" s="73"/>
      <c r="CS1958" s="73"/>
      <c r="CT1958" s="73"/>
      <c r="CU1958" s="73"/>
      <c r="CV1958" s="73"/>
      <c r="CW1958" s="73"/>
      <c r="CX1958" s="73"/>
      <c r="CY1958" s="73"/>
      <c r="CZ1958" s="73"/>
      <c r="DA1958" s="73"/>
      <c r="DB1958" s="73"/>
      <c r="DC1958" s="73"/>
      <c r="DD1958" s="73"/>
      <c r="DE1958" s="73"/>
      <c r="DF1958" s="73"/>
      <c r="DG1958" s="73"/>
      <c r="DH1958" s="73"/>
      <c r="DI1958" s="73"/>
      <c r="DJ1958" s="73"/>
      <c r="DK1958" s="73"/>
      <c r="DL1958" s="73"/>
      <c r="DM1958" s="73"/>
    </row>
    <row r="1959" spans="1:117" s="48" customFormat="1">
      <c r="A1959" s="73"/>
      <c r="T1959" s="73"/>
      <c r="U1959" s="73"/>
      <c r="V1959" s="73"/>
      <c r="W1959" s="73"/>
      <c r="X1959" s="73"/>
      <c r="Y1959" s="73"/>
      <c r="Z1959" s="73"/>
      <c r="AA1959" s="73"/>
      <c r="AB1959" s="73"/>
      <c r="AC1959" s="73"/>
      <c r="AD1959" s="73"/>
      <c r="AE1959" s="73"/>
      <c r="AF1959" s="73"/>
      <c r="AG1959" s="73"/>
      <c r="AH1959" s="73"/>
      <c r="AI1959" s="73"/>
      <c r="AJ1959" s="73"/>
      <c r="AK1959" s="73"/>
      <c r="AL1959" s="73"/>
      <c r="AM1959" s="73"/>
      <c r="AN1959" s="73"/>
      <c r="AO1959" s="73"/>
      <c r="AP1959" s="73"/>
      <c r="AQ1959" s="73"/>
      <c r="AR1959" s="73"/>
      <c r="AS1959" s="73"/>
      <c r="AT1959" s="73"/>
      <c r="AU1959" s="73"/>
      <c r="AV1959" s="73"/>
      <c r="AW1959" s="73"/>
      <c r="AX1959" s="73"/>
      <c r="AY1959" s="73"/>
      <c r="AZ1959" s="73"/>
      <c r="BA1959" s="73"/>
      <c r="BB1959" s="73"/>
      <c r="BC1959" s="73"/>
      <c r="BD1959" s="73"/>
      <c r="BE1959" s="73"/>
      <c r="BF1959" s="73"/>
      <c r="BG1959" s="73"/>
      <c r="BH1959" s="73"/>
      <c r="BI1959" s="73"/>
      <c r="BJ1959" s="73"/>
      <c r="BK1959" s="73"/>
      <c r="BL1959" s="73"/>
      <c r="BM1959" s="73"/>
      <c r="BN1959" s="73"/>
      <c r="BO1959" s="73"/>
      <c r="BP1959" s="73"/>
      <c r="BQ1959" s="73"/>
      <c r="BR1959" s="73"/>
      <c r="BS1959" s="73"/>
      <c r="BT1959" s="73"/>
      <c r="BU1959" s="73"/>
      <c r="BV1959" s="73"/>
      <c r="BW1959" s="73"/>
      <c r="BX1959" s="73"/>
      <c r="BY1959" s="73"/>
      <c r="BZ1959" s="73"/>
      <c r="CA1959" s="73"/>
      <c r="CB1959" s="73"/>
      <c r="CC1959" s="73"/>
      <c r="CD1959" s="73"/>
      <c r="CE1959" s="73"/>
      <c r="CF1959" s="73"/>
      <c r="CG1959" s="73"/>
      <c r="CH1959" s="73"/>
      <c r="CI1959" s="73"/>
      <c r="CJ1959" s="73"/>
      <c r="CK1959" s="73"/>
      <c r="CL1959" s="73"/>
      <c r="CM1959" s="73"/>
      <c r="CN1959" s="73"/>
      <c r="CO1959" s="73"/>
      <c r="CP1959" s="73"/>
      <c r="CQ1959" s="73"/>
      <c r="CR1959" s="73"/>
      <c r="CS1959" s="73"/>
      <c r="CT1959" s="73"/>
      <c r="CU1959" s="73"/>
      <c r="CV1959" s="73"/>
      <c r="CW1959" s="73"/>
      <c r="CX1959" s="73"/>
      <c r="CY1959" s="73"/>
      <c r="CZ1959" s="73"/>
      <c r="DA1959" s="73"/>
      <c r="DB1959" s="73"/>
      <c r="DC1959" s="73"/>
      <c r="DD1959" s="73"/>
      <c r="DE1959" s="73"/>
      <c r="DF1959" s="73"/>
      <c r="DG1959" s="73"/>
      <c r="DH1959" s="73"/>
      <c r="DI1959" s="73"/>
      <c r="DJ1959" s="73"/>
      <c r="DK1959" s="73"/>
      <c r="DL1959" s="73"/>
      <c r="DM1959" s="73"/>
    </row>
    <row r="1960" spans="1:117" s="48" customFormat="1">
      <c r="A1960" s="73"/>
      <c r="T1960" s="73"/>
      <c r="U1960" s="73"/>
      <c r="V1960" s="73"/>
      <c r="W1960" s="73"/>
      <c r="X1960" s="73"/>
      <c r="Y1960" s="73"/>
      <c r="Z1960" s="73"/>
      <c r="AA1960" s="73"/>
      <c r="AB1960" s="73"/>
      <c r="AC1960" s="73"/>
      <c r="AD1960" s="73"/>
      <c r="AE1960" s="73"/>
      <c r="AF1960" s="73"/>
      <c r="AG1960" s="73"/>
      <c r="AH1960" s="73"/>
      <c r="AI1960" s="73"/>
      <c r="AJ1960" s="73"/>
      <c r="AK1960" s="73"/>
      <c r="AL1960" s="73"/>
      <c r="AM1960" s="73"/>
      <c r="AN1960" s="73"/>
      <c r="AO1960" s="73"/>
      <c r="AP1960" s="73"/>
      <c r="AQ1960" s="73"/>
      <c r="AR1960" s="73"/>
      <c r="AS1960" s="73"/>
      <c r="AT1960" s="73"/>
      <c r="AU1960" s="73"/>
      <c r="AV1960" s="73"/>
      <c r="AW1960" s="73"/>
      <c r="AX1960" s="73"/>
      <c r="AY1960" s="73"/>
      <c r="AZ1960" s="73"/>
      <c r="BA1960" s="73"/>
      <c r="BB1960" s="73"/>
      <c r="BC1960" s="73"/>
      <c r="BD1960" s="73"/>
      <c r="BE1960" s="73"/>
      <c r="BF1960" s="73"/>
      <c r="BG1960" s="73"/>
      <c r="BH1960" s="73"/>
      <c r="BI1960" s="73"/>
      <c r="BJ1960" s="73"/>
      <c r="BK1960" s="73"/>
      <c r="BL1960" s="73"/>
      <c r="BM1960" s="73"/>
      <c r="BN1960" s="73"/>
      <c r="BO1960" s="73"/>
      <c r="BP1960" s="73"/>
      <c r="BQ1960" s="73"/>
      <c r="BR1960" s="73"/>
      <c r="BS1960" s="73"/>
      <c r="BT1960" s="73"/>
      <c r="BU1960" s="73"/>
      <c r="BV1960" s="73"/>
      <c r="BW1960" s="73"/>
      <c r="BX1960" s="73"/>
      <c r="BY1960" s="73"/>
      <c r="BZ1960" s="73"/>
      <c r="CA1960" s="73"/>
      <c r="CB1960" s="73"/>
      <c r="CC1960" s="73"/>
      <c r="CD1960" s="73"/>
      <c r="CE1960" s="73"/>
      <c r="CF1960" s="73"/>
      <c r="CG1960" s="73"/>
      <c r="CH1960" s="73"/>
      <c r="CI1960" s="73"/>
      <c r="CJ1960" s="73"/>
      <c r="CK1960" s="73"/>
      <c r="CL1960" s="73"/>
      <c r="CM1960" s="73"/>
      <c r="CN1960" s="73"/>
      <c r="CO1960" s="73"/>
      <c r="CP1960" s="73"/>
      <c r="CQ1960" s="73"/>
      <c r="CR1960" s="73"/>
      <c r="CS1960" s="73"/>
      <c r="CT1960" s="73"/>
      <c r="CU1960" s="73"/>
      <c r="CV1960" s="73"/>
      <c r="CW1960" s="73"/>
      <c r="CX1960" s="73"/>
      <c r="CY1960" s="73"/>
      <c r="CZ1960" s="73"/>
      <c r="DA1960" s="73"/>
      <c r="DB1960" s="73"/>
      <c r="DC1960" s="73"/>
      <c r="DD1960" s="73"/>
      <c r="DE1960" s="73"/>
      <c r="DF1960" s="73"/>
      <c r="DG1960" s="73"/>
      <c r="DH1960" s="73"/>
      <c r="DI1960" s="73"/>
      <c r="DJ1960" s="73"/>
      <c r="DK1960" s="73"/>
      <c r="DL1960" s="73"/>
      <c r="DM1960" s="73"/>
    </row>
    <row r="1961" spans="1:117" s="48" customFormat="1">
      <c r="A1961" s="73"/>
      <c r="T1961" s="73"/>
      <c r="U1961" s="73"/>
      <c r="V1961" s="73"/>
      <c r="W1961" s="73"/>
      <c r="X1961" s="73"/>
      <c r="Y1961" s="73"/>
      <c r="Z1961" s="73"/>
      <c r="AA1961" s="73"/>
      <c r="AB1961" s="73"/>
      <c r="AC1961" s="73"/>
      <c r="AD1961" s="73"/>
      <c r="AE1961" s="73"/>
      <c r="AF1961" s="73"/>
      <c r="AG1961" s="73"/>
      <c r="AH1961" s="73"/>
      <c r="AI1961" s="73"/>
      <c r="AJ1961" s="73"/>
      <c r="AK1961" s="73"/>
      <c r="AL1961" s="73"/>
      <c r="AM1961" s="73"/>
      <c r="AN1961" s="73"/>
      <c r="AO1961" s="73"/>
      <c r="AP1961" s="73"/>
      <c r="AQ1961" s="73"/>
      <c r="AR1961" s="73"/>
      <c r="AS1961" s="73"/>
      <c r="AT1961" s="73"/>
      <c r="AU1961" s="73"/>
      <c r="AV1961" s="73"/>
      <c r="AW1961" s="73"/>
      <c r="AX1961" s="73"/>
      <c r="AY1961" s="73"/>
      <c r="AZ1961" s="73"/>
      <c r="BA1961" s="73"/>
      <c r="BB1961" s="73"/>
      <c r="BC1961" s="73"/>
      <c r="BD1961" s="73"/>
      <c r="BE1961" s="73"/>
      <c r="BF1961" s="73"/>
      <c r="BG1961" s="73"/>
      <c r="BH1961" s="73"/>
      <c r="BI1961" s="73"/>
      <c r="BJ1961" s="73"/>
      <c r="BK1961" s="73"/>
      <c r="BL1961" s="73"/>
      <c r="BM1961" s="73"/>
      <c r="BN1961" s="73"/>
      <c r="BO1961" s="73"/>
      <c r="BP1961" s="73"/>
      <c r="BQ1961" s="73"/>
      <c r="BR1961" s="73"/>
      <c r="BS1961" s="73"/>
      <c r="BT1961" s="73"/>
      <c r="BU1961" s="73"/>
      <c r="BV1961" s="73"/>
      <c r="BW1961" s="73"/>
      <c r="BX1961" s="73"/>
      <c r="BY1961" s="73"/>
      <c r="BZ1961" s="73"/>
      <c r="CA1961" s="73"/>
      <c r="CB1961" s="73"/>
      <c r="CC1961" s="73"/>
      <c r="CD1961" s="73"/>
      <c r="CE1961" s="73"/>
      <c r="CF1961" s="73"/>
      <c r="CG1961" s="73"/>
      <c r="CH1961" s="73"/>
      <c r="CI1961" s="73"/>
      <c r="CJ1961" s="73"/>
      <c r="CK1961" s="73"/>
      <c r="CL1961" s="73"/>
      <c r="CM1961" s="73"/>
      <c r="CN1961" s="73"/>
      <c r="CO1961" s="73"/>
      <c r="CP1961" s="73"/>
      <c r="CQ1961" s="73"/>
      <c r="CR1961" s="73"/>
      <c r="CS1961" s="73"/>
      <c r="CT1961" s="73"/>
      <c r="CU1961" s="73"/>
      <c r="CV1961" s="73"/>
      <c r="CW1961" s="73"/>
      <c r="CX1961" s="73"/>
      <c r="CY1961" s="73"/>
      <c r="CZ1961" s="73"/>
      <c r="DA1961" s="73"/>
      <c r="DB1961" s="73"/>
      <c r="DC1961" s="73"/>
      <c r="DD1961" s="73"/>
      <c r="DE1961" s="73"/>
      <c r="DF1961" s="73"/>
      <c r="DG1961" s="73"/>
      <c r="DH1961" s="73"/>
      <c r="DI1961" s="73"/>
      <c r="DJ1961" s="73"/>
      <c r="DK1961" s="73"/>
      <c r="DL1961" s="73"/>
      <c r="DM1961" s="73"/>
    </row>
    <row r="1962" spans="1:117" s="48" customFormat="1">
      <c r="A1962" s="73"/>
      <c r="T1962" s="73"/>
      <c r="U1962" s="73"/>
      <c r="V1962" s="73"/>
      <c r="W1962" s="73"/>
      <c r="X1962" s="73"/>
      <c r="Y1962" s="73"/>
      <c r="Z1962" s="73"/>
      <c r="AA1962" s="73"/>
      <c r="AB1962" s="73"/>
      <c r="AC1962" s="73"/>
      <c r="AD1962" s="73"/>
      <c r="AE1962" s="73"/>
      <c r="AF1962" s="73"/>
      <c r="AG1962" s="73"/>
      <c r="AH1962" s="73"/>
      <c r="AI1962" s="73"/>
      <c r="AJ1962" s="73"/>
      <c r="AK1962" s="73"/>
      <c r="AL1962" s="73"/>
      <c r="AM1962" s="73"/>
      <c r="AN1962" s="73"/>
      <c r="AO1962" s="73"/>
      <c r="AP1962" s="73"/>
      <c r="AQ1962" s="73"/>
      <c r="AR1962" s="73"/>
      <c r="AS1962" s="73"/>
      <c r="AT1962" s="73"/>
      <c r="AU1962" s="73"/>
      <c r="AV1962" s="73"/>
      <c r="AW1962" s="73"/>
      <c r="AX1962" s="73"/>
      <c r="AY1962" s="73"/>
      <c r="AZ1962" s="73"/>
      <c r="BA1962" s="73"/>
      <c r="BB1962" s="73"/>
      <c r="BC1962" s="73"/>
      <c r="BD1962" s="73"/>
      <c r="BE1962" s="73"/>
      <c r="BF1962" s="73"/>
      <c r="BG1962" s="73"/>
      <c r="BH1962" s="73"/>
      <c r="BI1962" s="73"/>
      <c r="BJ1962" s="73"/>
      <c r="BK1962" s="73"/>
      <c r="BL1962" s="73"/>
      <c r="BM1962" s="73"/>
      <c r="BN1962" s="73"/>
      <c r="BO1962" s="73"/>
      <c r="BP1962" s="73"/>
      <c r="BQ1962" s="73"/>
      <c r="BR1962" s="73"/>
      <c r="BS1962" s="73"/>
      <c r="BT1962" s="73"/>
      <c r="BU1962" s="73"/>
      <c r="BV1962" s="73"/>
      <c r="BW1962" s="73"/>
      <c r="BX1962" s="73"/>
      <c r="BY1962" s="73"/>
      <c r="BZ1962" s="73"/>
      <c r="CA1962" s="73"/>
      <c r="CB1962" s="73"/>
      <c r="CC1962" s="73"/>
      <c r="CD1962" s="73"/>
      <c r="CE1962" s="73"/>
      <c r="CF1962" s="73"/>
      <c r="CG1962" s="73"/>
      <c r="CH1962" s="73"/>
      <c r="CI1962" s="73"/>
      <c r="CJ1962" s="73"/>
      <c r="CK1962" s="73"/>
      <c r="CL1962" s="73"/>
      <c r="CM1962" s="73"/>
      <c r="CN1962" s="73"/>
      <c r="CO1962" s="73"/>
      <c r="CP1962" s="73"/>
      <c r="CQ1962" s="73"/>
      <c r="CR1962" s="73"/>
      <c r="CS1962" s="73"/>
      <c r="CT1962" s="73"/>
      <c r="CU1962" s="73"/>
      <c r="CV1962" s="73"/>
      <c r="CW1962" s="73"/>
      <c r="CX1962" s="73"/>
      <c r="CY1962" s="73"/>
      <c r="CZ1962" s="73"/>
      <c r="DA1962" s="73"/>
      <c r="DB1962" s="73"/>
      <c r="DC1962" s="73"/>
      <c r="DD1962" s="73"/>
      <c r="DE1962" s="73"/>
      <c r="DF1962" s="73"/>
      <c r="DG1962" s="73"/>
      <c r="DH1962" s="73"/>
      <c r="DI1962" s="73"/>
      <c r="DJ1962" s="73"/>
      <c r="DK1962" s="73"/>
      <c r="DL1962" s="73"/>
      <c r="DM1962" s="73"/>
    </row>
    <row r="1963" spans="1:117" s="48" customFormat="1">
      <c r="A1963" s="73"/>
      <c r="T1963" s="73"/>
      <c r="U1963" s="73"/>
      <c r="V1963" s="73"/>
      <c r="W1963" s="73"/>
      <c r="X1963" s="73"/>
      <c r="Y1963" s="73"/>
      <c r="Z1963" s="73"/>
      <c r="AA1963" s="73"/>
      <c r="AB1963" s="73"/>
      <c r="AC1963" s="73"/>
      <c r="AD1963" s="73"/>
      <c r="AE1963" s="73"/>
      <c r="AF1963" s="73"/>
      <c r="AG1963" s="73"/>
      <c r="AH1963" s="73"/>
      <c r="AI1963" s="73"/>
      <c r="AJ1963" s="73"/>
      <c r="AK1963" s="73"/>
      <c r="AL1963" s="73"/>
      <c r="AM1963" s="73"/>
      <c r="AN1963" s="73"/>
      <c r="AO1963" s="73"/>
      <c r="AP1963" s="73"/>
      <c r="AQ1963" s="73"/>
      <c r="AR1963" s="73"/>
      <c r="AS1963" s="73"/>
      <c r="AT1963" s="73"/>
      <c r="AU1963" s="73"/>
      <c r="AV1963" s="73"/>
      <c r="AW1963" s="73"/>
      <c r="AX1963" s="73"/>
      <c r="AY1963" s="73"/>
      <c r="AZ1963" s="73"/>
      <c r="BA1963" s="73"/>
      <c r="BB1963" s="73"/>
      <c r="BC1963" s="73"/>
      <c r="BD1963" s="73"/>
      <c r="BE1963" s="73"/>
      <c r="BF1963" s="73"/>
      <c r="BG1963" s="73"/>
      <c r="BH1963" s="73"/>
      <c r="BI1963" s="73"/>
      <c r="BJ1963" s="73"/>
      <c r="BK1963" s="73"/>
      <c r="BL1963" s="73"/>
      <c r="BM1963" s="73"/>
      <c r="BN1963" s="73"/>
      <c r="BO1963" s="73"/>
      <c r="BP1963" s="73"/>
      <c r="BQ1963" s="73"/>
      <c r="BR1963" s="73"/>
      <c r="BS1963" s="73"/>
      <c r="BT1963" s="73"/>
      <c r="BU1963" s="73"/>
      <c r="BV1963" s="73"/>
      <c r="BW1963" s="73"/>
      <c r="BX1963" s="73"/>
      <c r="BY1963" s="73"/>
      <c r="BZ1963" s="73"/>
      <c r="CA1963" s="73"/>
      <c r="CB1963" s="73"/>
      <c r="CC1963" s="73"/>
      <c r="CD1963" s="73"/>
      <c r="CE1963" s="73"/>
      <c r="CF1963" s="73"/>
      <c r="CG1963" s="73"/>
      <c r="CH1963" s="73"/>
      <c r="CI1963" s="73"/>
      <c r="CJ1963" s="73"/>
      <c r="CK1963" s="73"/>
      <c r="CL1963" s="73"/>
      <c r="CM1963" s="73"/>
      <c r="CN1963" s="73"/>
      <c r="CO1963" s="73"/>
      <c r="CP1963" s="73"/>
      <c r="CQ1963" s="73"/>
      <c r="CR1963" s="73"/>
      <c r="CS1963" s="73"/>
      <c r="CT1963" s="73"/>
      <c r="CU1963" s="73"/>
      <c r="CV1963" s="73"/>
      <c r="CW1963" s="73"/>
      <c r="CX1963" s="73"/>
      <c r="CY1963" s="73"/>
      <c r="CZ1963" s="73"/>
      <c r="DA1963" s="73"/>
      <c r="DB1963" s="73"/>
      <c r="DC1963" s="73"/>
      <c r="DD1963" s="73"/>
      <c r="DE1963" s="73"/>
      <c r="DF1963" s="73"/>
      <c r="DG1963" s="73"/>
      <c r="DH1963" s="73"/>
      <c r="DI1963" s="73"/>
      <c r="DJ1963" s="73"/>
      <c r="DK1963" s="73"/>
      <c r="DL1963" s="73"/>
      <c r="DM1963" s="73"/>
    </row>
    <row r="1964" spans="1:117" s="48" customFormat="1">
      <c r="A1964" s="73"/>
      <c r="T1964" s="73"/>
      <c r="U1964" s="73"/>
      <c r="V1964" s="73"/>
      <c r="W1964" s="73"/>
      <c r="X1964" s="73"/>
      <c r="Y1964" s="73"/>
      <c r="Z1964" s="73"/>
      <c r="AA1964" s="73"/>
      <c r="AB1964" s="73"/>
      <c r="AC1964" s="73"/>
      <c r="AD1964" s="73"/>
      <c r="AE1964" s="73"/>
      <c r="AF1964" s="73"/>
      <c r="AG1964" s="73"/>
      <c r="AH1964" s="73"/>
      <c r="AI1964" s="73"/>
      <c r="AJ1964" s="73"/>
      <c r="AK1964" s="73"/>
      <c r="AL1964" s="73"/>
      <c r="AM1964" s="73"/>
      <c r="AN1964" s="73"/>
      <c r="AO1964" s="73"/>
      <c r="AP1964" s="73"/>
      <c r="AQ1964" s="73"/>
      <c r="AR1964" s="73"/>
      <c r="AS1964" s="73"/>
      <c r="AT1964" s="73"/>
      <c r="AU1964" s="73"/>
      <c r="AV1964" s="73"/>
      <c r="AW1964" s="73"/>
      <c r="AX1964" s="73"/>
      <c r="AY1964" s="73"/>
      <c r="AZ1964" s="73"/>
      <c r="BA1964" s="73"/>
      <c r="BB1964" s="73"/>
      <c r="BC1964" s="73"/>
      <c r="BD1964" s="73"/>
      <c r="BE1964" s="73"/>
      <c r="BF1964" s="73"/>
      <c r="BG1964" s="73"/>
      <c r="BH1964" s="73"/>
      <c r="BI1964" s="73"/>
      <c r="BJ1964" s="73"/>
      <c r="BK1964" s="73"/>
      <c r="BL1964" s="73"/>
      <c r="BM1964" s="73"/>
      <c r="BN1964" s="73"/>
      <c r="BO1964" s="73"/>
      <c r="BP1964" s="73"/>
      <c r="BQ1964" s="73"/>
      <c r="BR1964" s="73"/>
      <c r="BS1964" s="73"/>
      <c r="BT1964" s="73"/>
      <c r="BU1964" s="73"/>
      <c r="BV1964" s="73"/>
      <c r="BW1964" s="73"/>
      <c r="BX1964" s="73"/>
      <c r="BY1964" s="73"/>
      <c r="BZ1964" s="73"/>
      <c r="CA1964" s="73"/>
      <c r="CB1964" s="73"/>
      <c r="CC1964" s="73"/>
      <c r="CD1964" s="73"/>
      <c r="CE1964" s="73"/>
      <c r="CF1964" s="73"/>
      <c r="CG1964" s="73"/>
      <c r="CH1964" s="73"/>
      <c r="CI1964" s="73"/>
      <c r="CJ1964" s="73"/>
      <c r="CK1964" s="73"/>
      <c r="CL1964" s="73"/>
      <c r="CM1964" s="73"/>
      <c r="CN1964" s="73"/>
      <c r="CO1964" s="73"/>
      <c r="CP1964" s="73"/>
      <c r="CQ1964" s="73"/>
      <c r="CR1964" s="73"/>
      <c r="CS1964" s="73"/>
      <c r="CT1964" s="73"/>
      <c r="CU1964" s="73"/>
      <c r="CV1964" s="73"/>
      <c r="CW1964" s="73"/>
      <c r="CX1964" s="73"/>
      <c r="CY1964" s="73"/>
      <c r="CZ1964" s="73"/>
      <c r="DA1964" s="73"/>
      <c r="DB1964" s="73"/>
      <c r="DC1964" s="73"/>
      <c r="DD1964" s="73"/>
      <c r="DE1964" s="73"/>
      <c r="DF1964" s="73"/>
      <c r="DG1964" s="73"/>
      <c r="DH1964" s="73"/>
      <c r="DI1964" s="73"/>
      <c r="DJ1964" s="73"/>
      <c r="DK1964" s="73"/>
      <c r="DL1964" s="73"/>
      <c r="DM1964" s="73"/>
    </row>
    <row r="1965" spans="1:117" s="48" customFormat="1">
      <c r="A1965" s="73"/>
      <c r="T1965" s="73"/>
      <c r="U1965" s="73"/>
      <c r="V1965" s="73"/>
      <c r="W1965" s="73"/>
      <c r="X1965" s="73"/>
      <c r="Y1965" s="73"/>
      <c r="Z1965" s="73"/>
      <c r="AA1965" s="73"/>
      <c r="AB1965" s="73"/>
      <c r="AC1965" s="73"/>
      <c r="AD1965" s="73"/>
      <c r="AE1965" s="73"/>
      <c r="AF1965" s="73"/>
      <c r="AG1965" s="73"/>
      <c r="AH1965" s="73"/>
      <c r="AI1965" s="73"/>
      <c r="AJ1965" s="73"/>
      <c r="AK1965" s="73"/>
      <c r="AL1965" s="73"/>
      <c r="AM1965" s="73"/>
      <c r="AN1965" s="73"/>
      <c r="AO1965" s="73"/>
      <c r="AP1965" s="73"/>
      <c r="AQ1965" s="73"/>
      <c r="AR1965" s="73"/>
      <c r="AS1965" s="73"/>
      <c r="AT1965" s="73"/>
      <c r="AU1965" s="73"/>
      <c r="AV1965" s="73"/>
      <c r="AW1965" s="73"/>
      <c r="AX1965" s="73"/>
      <c r="AY1965" s="73"/>
      <c r="AZ1965" s="73"/>
      <c r="BA1965" s="73"/>
      <c r="BB1965" s="73"/>
      <c r="BC1965" s="73"/>
      <c r="BD1965" s="73"/>
      <c r="BE1965" s="73"/>
      <c r="BF1965" s="73"/>
      <c r="BG1965" s="73"/>
      <c r="BH1965" s="73"/>
      <c r="BI1965" s="73"/>
      <c r="BJ1965" s="73"/>
      <c r="BK1965" s="73"/>
      <c r="BL1965" s="73"/>
      <c r="BM1965" s="73"/>
      <c r="BN1965" s="73"/>
      <c r="BO1965" s="73"/>
      <c r="BP1965" s="73"/>
      <c r="BQ1965" s="73"/>
      <c r="BR1965" s="73"/>
      <c r="BS1965" s="73"/>
      <c r="BT1965" s="73"/>
      <c r="BU1965" s="73"/>
      <c r="BV1965" s="73"/>
      <c r="BW1965" s="73"/>
      <c r="BX1965" s="73"/>
      <c r="BY1965" s="73"/>
      <c r="BZ1965" s="73"/>
      <c r="CA1965" s="73"/>
      <c r="CB1965" s="73"/>
      <c r="CC1965" s="73"/>
      <c r="CD1965" s="73"/>
      <c r="CE1965" s="73"/>
      <c r="CF1965" s="73"/>
      <c r="CG1965" s="73"/>
      <c r="CH1965" s="73"/>
      <c r="CI1965" s="73"/>
      <c r="CJ1965" s="73"/>
      <c r="CK1965" s="73"/>
      <c r="CL1965" s="73"/>
      <c r="CM1965" s="73"/>
      <c r="CN1965" s="73"/>
      <c r="CO1965" s="73"/>
      <c r="CP1965" s="73"/>
      <c r="CQ1965" s="73"/>
      <c r="CR1965" s="73"/>
      <c r="CS1965" s="73"/>
      <c r="CT1965" s="73"/>
      <c r="CU1965" s="73"/>
      <c r="CV1965" s="73"/>
      <c r="CW1965" s="73"/>
      <c r="CX1965" s="73"/>
      <c r="CY1965" s="73"/>
      <c r="CZ1965" s="73"/>
      <c r="DA1965" s="73"/>
      <c r="DB1965" s="73"/>
      <c r="DC1965" s="73"/>
      <c r="DD1965" s="73"/>
      <c r="DE1965" s="73"/>
      <c r="DF1965" s="73"/>
      <c r="DG1965" s="73"/>
      <c r="DH1965" s="73"/>
      <c r="DI1965" s="73"/>
      <c r="DJ1965" s="73"/>
      <c r="DK1965" s="73"/>
      <c r="DL1965" s="73"/>
      <c r="DM1965" s="73"/>
    </row>
    <row r="1966" spans="1:117" s="48" customFormat="1">
      <c r="A1966" s="73"/>
      <c r="T1966" s="73"/>
      <c r="U1966" s="73"/>
      <c r="V1966" s="73"/>
      <c r="W1966" s="73"/>
      <c r="X1966" s="73"/>
      <c r="Y1966" s="73"/>
      <c r="Z1966" s="73"/>
      <c r="AA1966" s="73"/>
      <c r="AB1966" s="73"/>
      <c r="AC1966" s="73"/>
      <c r="AD1966" s="73"/>
      <c r="AE1966" s="73"/>
      <c r="AF1966" s="73"/>
      <c r="AG1966" s="73"/>
      <c r="AH1966" s="73"/>
      <c r="AI1966" s="73"/>
      <c r="AJ1966" s="73"/>
      <c r="AK1966" s="73"/>
      <c r="AL1966" s="73"/>
      <c r="AM1966" s="73"/>
      <c r="AN1966" s="73"/>
      <c r="AO1966" s="73"/>
      <c r="AP1966" s="73"/>
      <c r="AQ1966" s="73"/>
      <c r="AR1966" s="73"/>
      <c r="AS1966" s="73"/>
      <c r="AT1966" s="73"/>
      <c r="AU1966" s="73"/>
      <c r="AV1966" s="73"/>
      <c r="AW1966" s="73"/>
      <c r="AX1966" s="73"/>
      <c r="AY1966" s="73"/>
      <c r="AZ1966" s="73"/>
      <c r="BA1966" s="73"/>
      <c r="BB1966" s="73"/>
      <c r="BC1966" s="73"/>
      <c r="BD1966" s="73"/>
      <c r="BE1966" s="73"/>
      <c r="BF1966" s="73"/>
      <c r="BG1966" s="73"/>
      <c r="BH1966" s="73"/>
      <c r="BI1966" s="73"/>
      <c r="BJ1966" s="73"/>
      <c r="BK1966" s="73"/>
      <c r="BL1966" s="73"/>
      <c r="BM1966" s="73"/>
      <c r="BN1966" s="73"/>
      <c r="BO1966" s="73"/>
      <c r="BP1966" s="73"/>
      <c r="BQ1966" s="73"/>
      <c r="BR1966" s="73"/>
      <c r="BS1966" s="73"/>
      <c r="BT1966" s="73"/>
      <c r="BU1966" s="73"/>
      <c r="BV1966" s="73"/>
      <c r="BW1966" s="73"/>
      <c r="BX1966" s="73"/>
      <c r="BY1966" s="73"/>
      <c r="BZ1966" s="73"/>
      <c r="CA1966" s="73"/>
      <c r="CB1966" s="73"/>
      <c r="CC1966" s="73"/>
      <c r="CD1966" s="73"/>
      <c r="CE1966" s="73"/>
      <c r="CF1966" s="73"/>
      <c r="CG1966" s="73"/>
      <c r="CH1966" s="73"/>
      <c r="CI1966" s="73"/>
      <c r="CJ1966" s="73"/>
      <c r="CK1966" s="73"/>
      <c r="CL1966" s="73"/>
      <c r="CM1966" s="73"/>
      <c r="CN1966" s="73"/>
      <c r="CO1966" s="73"/>
      <c r="CP1966" s="73"/>
      <c r="CQ1966" s="73"/>
      <c r="CR1966" s="73"/>
      <c r="CS1966" s="73"/>
      <c r="CT1966" s="73"/>
      <c r="CU1966" s="73"/>
      <c r="CV1966" s="73"/>
      <c r="CW1966" s="73"/>
      <c r="CX1966" s="73"/>
      <c r="CY1966" s="73"/>
      <c r="CZ1966" s="73"/>
      <c r="DA1966" s="73"/>
      <c r="DB1966" s="73"/>
      <c r="DC1966" s="73"/>
      <c r="DD1966" s="73"/>
      <c r="DE1966" s="73"/>
      <c r="DF1966" s="73"/>
      <c r="DG1966" s="73"/>
      <c r="DH1966" s="73"/>
      <c r="DI1966" s="73"/>
      <c r="DJ1966" s="73"/>
      <c r="DK1966" s="73"/>
      <c r="DL1966" s="73"/>
      <c r="DM1966" s="73"/>
    </row>
    <row r="1967" spans="1:117" s="48" customFormat="1">
      <c r="A1967" s="73"/>
      <c r="T1967" s="73"/>
      <c r="U1967" s="73"/>
      <c r="V1967" s="73"/>
      <c r="W1967" s="73"/>
      <c r="X1967" s="73"/>
      <c r="Y1967" s="73"/>
      <c r="Z1967" s="73"/>
      <c r="AA1967" s="73"/>
      <c r="AB1967" s="73"/>
      <c r="AC1967" s="73"/>
      <c r="AD1967" s="73"/>
      <c r="AE1967" s="73"/>
      <c r="AF1967" s="73"/>
      <c r="AG1967" s="73"/>
      <c r="AH1967" s="73"/>
      <c r="AI1967" s="73"/>
      <c r="AJ1967" s="73"/>
      <c r="AK1967" s="73"/>
      <c r="AL1967" s="73"/>
      <c r="AM1967" s="73"/>
      <c r="AN1967" s="73"/>
      <c r="AO1967" s="73"/>
      <c r="AP1967" s="73"/>
      <c r="AQ1967" s="73"/>
      <c r="AR1967" s="73"/>
      <c r="AS1967" s="73"/>
      <c r="AT1967" s="73"/>
      <c r="AU1967" s="73"/>
      <c r="AV1967" s="73"/>
      <c r="AW1967" s="73"/>
      <c r="AX1967" s="73"/>
      <c r="AY1967" s="73"/>
      <c r="AZ1967" s="73"/>
      <c r="BA1967" s="73"/>
      <c r="BB1967" s="73"/>
      <c r="BC1967" s="73"/>
      <c r="BD1967" s="73"/>
      <c r="BE1967" s="73"/>
      <c r="BF1967" s="73"/>
      <c r="BG1967" s="73"/>
      <c r="BH1967" s="73"/>
      <c r="BI1967" s="73"/>
      <c r="BJ1967" s="73"/>
      <c r="BK1967" s="73"/>
      <c r="BL1967" s="73"/>
      <c r="BM1967" s="73"/>
      <c r="BN1967" s="73"/>
      <c r="BO1967" s="73"/>
      <c r="BP1967" s="73"/>
      <c r="BQ1967" s="73"/>
      <c r="BR1967" s="73"/>
      <c r="BS1967" s="73"/>
      <c r="BT1967" s="73"/>
      <c r="BU1967" s="73"/>
      <c r="BV1967" s="73"/>
      <c r="BW1967" s="73"/>
      <c r="BX1967" s="73"/>
      <c r="BY1967" s="73"/>
      <c r="BZ1967" s="73"/>
      <c r="CA1967" s="73"/>
      <c r="CB1967" s="73"/>
      <c r="CC1967" s="73"/>
      <c r="CD1967" s="73"/>
      <c r="CE1967" s="73"/>
      <c r="CF1967" s="73"/>
      <c r="CG1967" s="73"/>
      <c r="CH1967" s="73"/>
      <c r="CI1967" s="73"/>
      <c r="CJ1967" s="73"/>
      <c r="CK1967" s="73"/>
      <c r="CL1967" s="73"/>
      <c r="CM1967" s="73"/>
      <c r="CN1967" s="73"/>
      <c r="CO1967" s="73"/>
      <c r="CP1967" s="73"/>
      <c r="CQ1967" s="73"/>
      <c r="CR1967" s="73"/>
      <c r="CS1967" s="73"/>
      <c r="CT1967" s="73"/>
      <c r="CU1967" s="73"/>
      <c r="CV1967" s="73"/>
      <c r="CW1967" s="73"/>
      <c r="CX1967" s="73"/>
      <c r="CY1967" s="73"/>
      <c r="CZ1967" s="73"/>
      <c r="DA1967" s="73"/>
      <c r="DB1967" s="73"/>
      <c r="DC1967" s="73"/>
      <c r="DD1967" s="73"/>
      <c r="DE1967" s="73"/>
      <c r="DF1967" s="73"/>
      <c r="DG1967" s="73"/>
      <c r="DH1967" s="73"/>
      <c r="DI1967" s="73"/>
      <c r="DJ1967" s="73"/>
      <c r="DK1967" s="73"/>
      <c r="DL1967" s="73"/>
      <c r="DM1967" s="73"/>
    </row>
    <row r="1968" spans="1:117" s="48" customFormat="1">
      <c r="A1968" s="73"/>
      <c r="T1968" s="73"/>
      <c r="U1968" s="73"/>
      <c r="V1968" s="73"/>
      <c r="W1968" s="73"/>
      <c r="X1968" s="73"/>
      <c r="Y1968" s="73"/>
      <c r="Z1968" s="73"/>
      <c r="AA1968" s="73"/>
      <c r="AB1968" s="73"/>
      <c r="AC1968" s="73"/>
      <c r="AD1968" s="73"/>
      <c r="AE1968" s="73"/>
      <c r="AF1968" s="73"/>
      <c r="AG1968" s="73"/>
      <c r="AH1968" s="73"/>
      <c r="AI1968" s="73"/>
      <c r="AJ1968" s="73"/>
      <c r="AK1968" s="73"/>
      <c r="AL1968" s="73"/>
      <c r="AM1968" s="73"/>
      <c r="AN1968" s="73"/>
      <c r="AO1968" s="73"/>
      <c r="AP1968" s="73"/>
      <c r="AQ1968" s="73"/>
      <c r="AR1968" s="73"/>
      <c r="AS1968" s="73"/>
      <c r="AT1968" s="73"/>
      <c r="AU1968" s="73"/>
      <c r="AV1968" s="73"/>
      <c r="AW1968" s="73"/>
      <c r="AX1968" s="73"/>
      <c r="AY1968" s="73"/>
      <c r="AZ1968" s="73"/>
      <c r="BA1968" s="73"/>
      <c r="BB1968" s="73"/>
      <c r="BC1968" s="73"/>
      <c r="BD1968" s="73"/>
      <c r="BE1968" s="73"/>
      <c r="BF1968" s="73"/>
      <c r="BG1968" s="73"/>
      <c r="BH1968" s="73"/>
      <c r="BI1968" s="73"/>
      <c r="BJ1968" s="73"/>
      <c r="BK1968" s="73"/>
      <c r="BL1968" s="73"/>
      <c r="BM1968" s="73"/>
      <c r="BN1968" s="73"/>
      <c r="BO1968" s="73"/>
      <c r="BP1968" s="73"/>
      <c r="BQ1968" s="73"/>
      <c r="BR1968" s="73"/>
      <c r="BS1968" s="73"/>
      <c r="BT1968" s="73"/>
      <c r="BU1968" s="73"/>
      <c r="BV1968" s="73"/>
      <c r="BW1968" s="73"/>
      <c r="BX1968" s="73"/>
      <c r="BY1968" s="73"/>
      <c r="BZ1968" s="73"/>
      <c r="CA1968" s="73"/>
      <c r="CB1968" s="73"/>
      <c r="CC1968" s="73"/>
      <c r="CD1968" s="73"/>
      <c r="CE1968" s="73"/>
      <c r="CF1968" s="73"/>
      <c r="CG1968" s="73"/>
      <c r="CH1968" s="73"/>
      <c r="CI1968" s="73"/>
      <c r="CJ1968" s="73"/>
      <c r="CK1968" s="73"/>
      <c r="CL1968" s="73"/>
      <c r="CM1968" s="73"/>
      <c r="CN1968" s="73"/>
      <c r="CO1968" s="73"/>
      <c r="CP1968" s="73"/>
      <c r="CQ1968" s="73"/>
      <c r="CR1968" s="73"/>
      <c r="CS1968" s="73"/>
      <c r="CT1968" s="73"/>
      <c r="CU1968" s="73"/>
      <c r="CV1968" s="73"/>
      <c r="CW1968" s="73"/>
      <c r="CX1968" s="73"/>
      <c r="CY1968" s="73"/>
      <c r="CZ1968" s="73"/>
      <c r="DA1968" s="73"/>
      <c r="DB1968" s="73"/>
      <c r="DC1968" s="73"/>
      <c r="DD1968" s="73"/>
      <c r="DE1968" s="73"/>
      <c r="DF1968" s="73"/>
      <c r="DG1968" s="73"/>
      <c r="DH1968" s="73"/>
      <c r="DI1968" s="73"/>
      <c r="DJ1968" s="73"/>
      <c r="DK1968" s="73"/>
      <c r="DL1968" s="73"/>
      <c r="DM1968" s="73"/>
    </row>
    <row r="1969" spans="1:117" s="48" customFormat="1">
      <c r="A1969" s="73"/>
      <c r="T1969" s="73"/>
      <c r="U1969" s="73"/>
      <c r="V1969" s="73"/>
      <c r="W1969" s="73"/>
      <c r="X1969" s="73"/>
      <c r="Y1969" s="73"/>
      <c r="Z1969" s="73"/>
      <c r="AA1969" s="73"/>
      <c r="AB1969" s="73"/>
      <c r="AC1969" s="73"/>
      <c r="AD1969" s="73"/>
      <c r="AE1969" s="73"/>
      <c r="AF1969" s="73"/>
      <c r="AG1969" s="73"/>
      <c r="AH1969" s="73"/>
      <c r="AI1969" s="73"/>
      <c r="AJ1969" s="73"/>
      <c r="AK1969" s="73"/>
      <c r="AL1969" s="73"/>
      <c r="AM1969" s="73"/>
      <c r="AN1969" s="73"/>
      <c r="AO1969" s="73"/>
      <c r="AP1969" s="73"/>
      <c r="AQ1969" s="73"/>
      <c r="AR1969" s="73"/>
      <c r="AS1969" s="73"/>
      <c r="AT1969" s="73"/>
      <c r="AU1969" s="73"/>
      <c r="AV1969" s="73"/>
      <c r="AW1969" s="73"/>
      <c r="AX1969" s="73"/>
      <c r="AY1969" s="73"/>
      <c r="AZ1969" s="73"/>
      <c r="BA1969" s="73"/>
      <c r="BB1969" s="73"/>
      <c r="BC1969" s="73"/>
      <c r="BD1969" s="73"/>
      <c r="BE1969" s="73"/>
      <c r="BF1969" s="73"/>
      <c r="BG1969" s="73"/>
      <c r="BH1969" s="73"/>
      <c r="BI1969" s="73"/>
      <c r="BJ1969" s="73"/>
      <c r="BK1969" s="73"/>
      <c r="BL1969" s="73"/>
      <c r="BM1969" s="73"/>
      <c r="BN1969" s="73"/>
      <c r="BO1969" s="73"/>
      <c r="BP1969" s="73"/>
      <c r="BQ1969" s="73"/>
      <c r="BR1969" s="73"/>
      <c r="BS1969" s="73"/>
      <c r="BT1969" s="73"/>
      <c r="BU1969" s="73"/>
      <c r="BV1969" s="73"/>
      <c r="BW1969" s="73"/>
      <c r="BX1969" s="73"/>
      <c r="BY1969" s="73"/>
      <c r="BZ1969" s="73"/>
      <c r="CA1969" s="73"/>
      <c r="CB1969" s="73"/>
      <c r="CC1969" s="73"/>
      <c r="CD1969" s="73"/>
      <c r="CE1969" s="73"/>
      <c r="CF1969" s="73"/>
      <c r="CG1969" s="73"/>
      <c r="CH1969" s="73"/>
      <c r="CI1969" s="73"/>
      <c r="CJ1969" s="73"/>
      <c r="CK1969" s="73"/>
      <c r="CL1969" s="73"/>
      <c r="CM1969" s="73"/>
      <c r="CN1969" s="73"/>
      <c r="CO1969" s="73"/>
      <c r="CP1969" s="73"/>
      <c r="CQ1969" s="73"/>
      <c r="CR1969" s="73"/>
      <c r="CS1969" s="73"/>
      <c r="CT1969" s="73"/>
      <c r="CU1969" s="73"/>
      <c r="CV1969" s="73"/>
      <c r="CW1969" s="73"/>
      <c r="CX1969" s="73"/>
      <c r="CY1969" s="73"/>
      <c r="CZ1969" s="73"/>
      <c r="DA1969" s="73"/>
      <c r="DB1969" s="73"/>
      <c r="DC1969" s="73"/>
      <c r="DD1969" s="73"/>
      <c r="DE1969" s="73"/>
      <c r="DF1969" s="73"/>
      <c r="DG1969" s="73"/>
      <c r="DH1969" s="73"/>
      <c r="DI1969" s="73"/>
      <c r="DJ1969" s="73"/>
      <c r="DK1969" s="73"/>
      <c r="DL1969" s="73"/>
      <c r="DM1969" s="73"/>
    </row>
    <row r="1970" spans="1:117" s="48" customFormat="1">
      <c r="A1970" s="73"/>
      <c r="T1970" s="73"/>
      <c r="U1970" s="73"/>
      <c r="V1970" s="73"/>
      <c r="W1970" s="73"/>
      <c r="X1970" s="73"/>
      <c r="Y1970" s="73"/>
      <c r="Z1970" s="73"/>
      <c r="AA1970" s="73"/>
      <c r="AB1970" s="73"/>
      <c r="AC1970" s="73"/>
      <c r="AD1970" s="73"/>
      <c r="AE1970" s="73"/>
      <c r="AF1970" s="73"/>
      <c r="AG1970" s="73"/>
      <c r="AH1970" s="73"/>
      <c r="AI1970" s="73"/>
      <c r="AJ1970" s="73"/>
      <c r="AK1970" s="73"/>
      <c r="AL1970" s="73"/>
      <c r="AM1970" s="73"/>
      <c r="AN1970" s="73"/>
      <c r="AO1970" s="73"/>
      <c r="AP1970" s="73"/>
      <c r="AQ1970" s="73"/>
      <c r="AR1970" s="73"/>
      <c r="AS1970" s="73"/>
      <c r="AT1970" s="73"/>
      <c r="AU1970" s="73"/>
      <c r="AV1970" s="73"/>
      <c r="AW1970" s="73"/>
      <c r="AX1970" s="73"/>
      <c r="AY1970" s="73"/>
      <c r="AZ1970" s="73"/>
      <c r="BA1970" s="73"/>
      <c r="BB1970" s="73"/>
      <c r="BC1970" s="73"/>
      <c r="BD1970" s="73"/>
      <c r="BE1970" s="73"/>
      <c r="BF1970" s="73"/>
      <c r="BG1970" s="73"/>
      <c r="BH1970" s="73"/>
      <c r="BI1970" s="73"/>
      <c r="BJ1970" s="73"/>
      <c r="BK1970" s="73"/>
      <c r="BL1970" s="73"/>
      <c r="BM1970" s="73"/>
      <c r="BN1970" s="73"/>
      <c r="BO1970" s="73"/>
      <c r="BP1970" s="73"/>
      <c r="BQ1970" s="73"/>
      <c r="BR1970" s="73"/>
      <c r="BS1970" s="73"/>
      <c r="BT1970" s="73"/>
      <c r="BU1970" s="73"/>
      <c r="BV1970" s="73"/>
      <c r="BW1970" s="73"/>
      <c r="BX1970" s="73"/>
      <c r="BY1970" s="73"/>
      <c r="BZ1970" s="73"/>
      <c r="CA1970" s="73"/>
      <c r="CB1970" s="73"/>
      <c r="CC1970" s="73"/>
      <c r="CD1970" s="73"/>
      <c r="CE1970" s="73"/>
      <c r="CF1970" s="73"/>
      <c r="CG1970" s="73"/>
      <c r="CH1970" s="73"/>
      <c r="CI1970" s="73"/>
      <c r="CJ1970" s="73"/>
      <c r="CK1970" s="73"/>
      <c r="CL1970" s="73"/>
      <c r="CM1970" s="73"/>
      <c r="CN1970" s="73"/>
      <c r="CO1970" s="73"/>
      <c r="CP1970" s="73"/>
      <c r="CQ1970" s="73"/>
      <c r="CR1970" s="73"/>
      <c r="CS1970" s="73"/>
      <c r="CT1970" s="73"/>
      <c r="CU1970" s="73"/>
      <c r="CV1970" s="73"/>
      <c r="CW1970" s="73"/>
      <c r="CX1970" s="73"/>
      <c r="CY1970" s="73"/>
      <c r="CZ1970" s="73"/>
      <c r="DA1970" s="73"/>
      <c r="DB1970" s="73"/>
      <c r="DC1970" s="73"/>
      <c r="DD1970" s="73"/>
      <c r="DE1970" s="73"/>
      <c r="DF1970" s="73"/>
      <c r="DG1970" s="73"/>
      <c r="DH1970" s="73"/>
      <c r="DI1970" s="73"/>
      <c r="DJ1970" s="73"/>
      <c r="DK1970" s="73"/>
      <c r="DL1970" s="73"/>
      <c r="DM1970" s="73"/>
    </row>
    <row r="1971" spans="1:117" s="48" customFormat="1">
      <c r="A1971" s="73"/>
      <c r="T1971" s="73"/>
      <c r="U1971" s="73"/>
      <c r="V1971" s="73"/>
      <c r="W1971" s="73"/>
      <c r="X1971" s="73"/>
      <c r="Y1971" s="73"/>
      <c r="Z1971" s="73"/>
      <c r="AA1971" s="73"/>
      <c r="AB1971" s="73"/>
      <c r="AC1971" s="73"/>
      <c r="AD1971" s="73"/>
      <c r="AE1971" s="73"/>
      <c r="AF1971" s="73"/>
      <c r="AG1971" s="73"/>
      <c r="AH1971" s="73"/>
      <c r="AI1971" s="73"/>
      <c r="AJ1971" s="73"/>
      <c r="AK1971" s="73"/>
      <c r="AL1971" s="73"/>
      <c r="AM1971" s="73"/>
      <c r="AN1971" s="73"/>
      <c r="AO1971" s="73"/>
      <c r="AP1971" s="73"/>
      <c r="AQ1971" s="73"/>
      <c r="AR1971" s="73"/>
      <c r="AS1971" s="73"/>
      <c r="AT1971" s="73"/>
      <c r="AU1971" s="73"/>
      <c r="AV1971" s="73"/>
      <c r="AW1971" s="73"/>
      <c r="AX1971" s="73"/>
      <c r="AY1971" s="73"/>
      <c r="AZ1971" s="73"/>
      <c r="BA1971" s="73"/>
      <c r="BB1971" s="73"/>
      <c r="BC1971" s="73"/>
      <c r="BD1971" s="73"/>
      <c r="BE1971" s="73"/>
      <c r="BF1971" s="73"/>
      <c r="BG1971" s="73"/>
      <c r="BH1971" s="73"/>
      <c r="BI1971" s="73"/>
      <c r="BJ1971" s="73"/>
      <c r="BK1971" s="73"/>
      <c r="BL1971" s="73"/>
      <c r="BM1971" s="73"/>
      <c r="BN1971" s="73"/>
      <c r="BO1971" s="73"/>
      <c r="BP1971" s="73"/>
      <c r="BQ1971" s="73"/>
      <c r="BR1971" s="73"/>
      <c r="BS1971" s="73"/>
      <c r="BT1971" s="73"/>
      <c r="BU1971" s="73"/>
      <c r="BV1971" s="73"/>
      <c r="BW1971" s="73"/>
      <c r="BX1971" s="73"/>
      <c r="BY1971" s="73"/>
      <c r="BZ1971" s="73"/>
      <c r="CA1971" s="73"/>
      <c r="CB1971" s="73"/>
      <c r="CC1971" s="73"/>
      <c r="CD1971" s="73"/>
      <c r="CE1971" s="73"/>
      <c r="CF1971" s="73"/>
      <c r="CG1971" s="73"/>
      <c r="CH1971" s="73"/>
      <c r="CI1971" s="73"/>
      <c r="CJ1971" s="73"/>
      <c r="CK1971" s="73"/>
      <c r="CL1971" s="73"/>
      <c r="CM1971" s="73"/>
      <c r="CN1971" s="73"/>
      <c r="CO1971" s="73"/>
      <c r="CP1971" s="73"/>
      <c r="CQ1971" s="73"/>
      <c r="CR1971" s="73"/>
      <c r="CS1971" s="73"/>
      <c r="CT1971" s="73"/>
      <c r="CU1971" s="73"/>
      <c r="CV1971" s="73"/>
      <c r="CW1971" s="73"/>
      <c r="CX1971" s="73"/>
      <c r="CY1971" s="73"/>
      <c r="CZ1971" s="73"/>
      <c r="DA1971" s="73"/>
      <c r="DB1971" s="73"/>
      <c r="DC1971" s="73"/>
      <c r="DD1971" s="73"/>
      <c r="DE1971" s="73"/>
      <c r="DF1971" s="73"/>
      <c r="DG1971" s="73"/>
      <c r="DH1971" s="73"/>
      <c r="DI1971" s="73"/>
      <c r="DJ1971" s="73"/>
      <c r="DK1971" s="73"/>
      <c r="DL1971" s="73"/>
      <c r="DM1971" s="73"/>
    </row>
    <row r="1972" spans="1:117" s="48" customFormat="1">
      <c r="A1972" s="73"/>
      <c r="T1972" s="73"/>
      <c r="U1972" s="73"/>
      <c r="V1972" s="73"/>
      <c r="W1972" s="73"/>
      <c r="X1972" s="73"/>
      <c r="Y1972" s="73"/>
      <c r="Z1972" s="73"/>
      <c r="AA1972" s="73"/>
      <c r="AB1972" s="73"/>
      <c r="AC1972" s="73"/>
      <c r="AD1972" s="73"/>
      <c r="AE1972" s="73"/>
      <c r="AF1972" s="73"/>
      <c r="AG1972" s="73"/>
      <c r="AH1972" s="73"/>
      <c r="AI1972" s="73"/>
      <c r="AJ1972" s="73"/>
      <c r="AK1972" s="73"/>
      <c r="AL1972" s="73"/>
      <c r="AM1972" s="73"/>
      <c r="AN1972" s="73"/>
      <c r="AO1972" s="73"/>
      <c r="AP1972" s="73"/>
      <c r="AQ1972" s="73"/>
      <c r="AR1972" s="73"/>
      <c r="AS1972" s="73"/>
      <c r="AT1972" s="73"/>
      <c r="AU1972" s="73"/>
      <c r="AV1972" s="73"/>
      <c r="AW1972" s="73"/>
      <c r="AX1972" s="73"/>
      <c r="AY1972" s="73"/>
      <c r="AZ1972" s="73"/>
      <c r="BA1972" s="73"/>
      <c r="BB1972" s="73"/>
      <c r="BC1972" s="73"/>
      <c r="BD1972" s="73"/>
      <c r="BE1972" s="73"/>
      <c r="BF1972" s="73"/>
      <c r="BG1972" s="73"/>
      <c r="BH1972" s="73"/>
      <c r="BI1972" s="73"/>
      <c r="BJ1972" s="73"/>
      <c r="BK1972" s="73"/>
      <c r="BL1972" s="73"/>
      <c r="BM1972" s="73"/>
      <c r="BN1972" s="73"/>
      <c r="BO1972" s="73"/>
      <c r="BP1972" s="73"/>
      <c r="BQ1972" s="73"/>
      <c r="BR1972" s="73"/>
      <c r="BS1972" s="73"/>
      <c r="BT1972" s="73"/>
      <c r="BU1972" s="73"/>
      <c r="BV1972" s="73"/>
      <c r="BW1972" s="73"/>
      <c r="BX1972" s="73"/>
      <c r="BY1972" s="73"/>
      <c r="BZ1972" s="73"/>
      <c r="CA1972" s="73"/>
      <c r="CB1972" s="73"/>
      <c r="CC1972" s="73"/>
      <c r="CD1972" s="73"/>
      <c r="CE1972" s="73"/>
      <c r="CF1972" s="73"/>
      <c r="CG1972" s="73"/>
      <c r="CH1972" s="73"/>
      <c r="CI1972" s="73"/>
      <c r="CJ1972" s="73"/>
      <c r="CK1972" s="73"/>
      <c r="CL1972" s="73"/>
      <c r="CM1972" s="73"/>
      <c r="CN1972" s="73"/>
      <c r="CO1972" s="73"/>
      <c r="CP1972" s="73"/>
      <c r="CQ1972" s="73"/>
      <c r="CR1972" s="73"/>
      <c r="CS1972" s="73"/>
      <c r="CT1972" s="73"/>
      <c r="CU1972" s="73"/>
      <c r="CV1972" s="73"/>
      <c r="CW1972" s="73"/>
      <c r="CX1972" s="73"/>
      <c r="CY1972" s="73"/>
      <c r="CZ1972" s="73"/>
      <c r="DA1972" s="73"/>
      <c r="DB1972" s="73"/>
      <c r="DC1972" s="73"/>
      <c r="DD1972" s="73"/>
      <c r="DE1972" s="73"/>
      <c r="DF1972" s="73"/>
      <c r="DG1972" s="73"/>
      <c r="DH1972" s="73"/>
      <c r="DI1972" s="73"/>
      <c r="DJ1972" s="73"/>
      <c r="DK1972" s="73"/>
      <c r="DL1972" s="73"/>
      <c r="DM1972" s="73"/>
    </row>
    <row r="1973" spans="1:117" s="48" customFormat="1">
      <c r="A1973" s="73"/>
      <c r="T1973" s="73"/>
      <c r="U1973" s="73"/>
      <c r="V1973" s="73"/>
      <c r="W1973" s="73"/>
      <c r="X1973" s="73"/>
      <c r="Y1973" s="73"/>
      <c r="Z1973" s="73"/>
      <c r="AA1973" s="73"/>
      <c r="AB1973" s="73"/>
      <c r="AC1973" s="73"/>
      <c r="AD1973" s="73"/>
      <c r="AE1973" s="73"/>
      <c r="AF1973" s="73"/>
      <c r="AG1973" s="73"/>
      <c r="AH1973" s="73"/>
      <c r="AI1973" s="73"/>
      <c r="AJ1973" s="73"/>
      <c r="AK1973" s="73"/>
      <c r="AL1973" s="73"/>
      <c r="AM1973" s="73"/>
      <c r="AN1973" s="73"/>
      <c r="AO1973" s="73"/>
      <c r="AP1973" s="73"/>
      <c r="AQ1973" s="73"/>
      <c r="AR1973" s="73"/>
      <c r="AS1973" s="73"/>
      <c r="AT1973" s="73"/>
      <c r="AU1973" s="73"/>
      <c r="AV1973" s="73"/>
      <c r="AW1973" s="73"/>
      <c r="AX1973" s="73"/>
      <c r="AY1973" s="73"/>
      <c r="AZ1973" s="73"/>
      <c r="BA1973" s="73"/>
      <c r="BB1973" s="73"/>
      <c r="BC1973" s="73"/>
      <c r="BD1973" s="73"/>
      <c r="BE1973" s="73"/>
      <c r="BF1973" s="73"/>
      <c r="BG1973" s="73"/>
      <c r="BH1973" s="73"/>
      <c r="BI1973" s="73"/>
      <c r="BJ1973" s="73"/>
      <c r="BK1973" s="73"/>
      <c r="BL1973" s="73"/>
      <c r="BM1973" s="73"/>
      <c r="BN1973" s="73"/>
      <c r="BO1973" s="73"/>
      <c r="BP1973" s="73"/>
      <c r="BQ1973" s="73"/>
      <c r="BR1973" s="73"/>
      <c r="BS1973" s="73"/>
      <c r="BT1973" s="73"/>
      <c r="BU1973" s="73"/>
      <c r="BV1973" s="73"/>
      <c r="BW1973" s="73"/>
      <c r="BX1973" s="73"/>
      <c r="BY1973" s="73"/>
      <c r="BZ1973" s="73"/>
      <c r="CA1973" s="73"/>
      <c r="CB1973" s="73"/>
      <c r="CC1973" s="73"/>
      <c r="CD1973" s="73"/>
      <c r="CE1973" s="73"/>
      <c r="CF1973" s="73"/>
      <c r="CG1973" s="73"/>
      <c r="CH1973" s="73"/>
      <c r="CI1973" s="73"/>
      <c r="CJ1973" s="73"/>
      <c r="CK1973" s="73"/>
      <c r="CL1973" s="73"/>
      <c r="CM1973" s="73"/>
      <c r="CN1973" s="73"/>
      <c r="CO1973" s="73"/>
      <c r="CP1973" s="73"/>
      <c r="CQ1973" s="73"/>
      <c r="CR1973" s="73"/>
      <c r="CS1973" s="73"/>
      <c r="CT1973" s="73"/>
      <c r="CU1973" s="73"/>
      <c r="CV1973" s="73"/>
      <c r="CW1973" s="73"/>
      <c r="CX1973" s="73"/>
      <c r="CY1973" s="73"/>
      <c r="CZ1973" s="73"/>
      <c r="DA1973" s="73"/>
      <c r="DB1973" s="73"/>
      <c r="DC1973" s="73"/>
      <c r="DD1973" s="73"/>
      <c r="DE1973" s="73"/>
      <c r="DF1973" s="73"/>
      <c r="DG1973" s="73"/>
      <c r="DH1973" s="73"/>
      <c r="DI1973" s="73"/>
      <c r="DJ1973" s="73"/>
      <c r="DK1973" s="73"/>
      <c r="DL1973" s="73"/>
      <c r="DM1973" s="73"/>
    </row>
    <row r="1974" spans="1:117" s="48" customFormat="1">
      <c r="A1974" s="73"/>
      <c r="T1974" s="73"/>
      <c r="U1974" s="73"/>
      <c r="V1974" s="73"/>
      <c r="W1974" s="73"/>
      <c r="X1974" s="73"/>
      <c r="Y1974" s="73"/>
      <c r="Z1974" s="73"/>
      <c r="AA1974" s="73"/>
      <c r="AB1974" s="73"/>
      <c r="AC1974" s="73"/>
      <c r="AD1974" s="73"/>
      <c r="AE1974" s="73"/>
      <c r="AF1974" s="73"/>
      <c r="AG1974" s="73"/>
      <c r="AH1974" s="73"/>
      <c r="AI1974" s="73"/>
      <c r="AJ1974" s="73"/>
      <c r="AK1974" s="73"/>
      <c r="AL1974" s="73"/>
      <c r="AM1974" s="73"/>
      <c r="AN1974" s="73"/>
      <c r="AO1974" s="73"/>
      <c r="AP1974" s="73"/>
      <c r="AQ1974" s="73"/>
      <c r="AR1974" s="73"/>
      <c r="AS1974" s="73"/>
      <c r="AT1974" s="73"/>
      <c r="AU1974" s="73"/>
      <c r="AV1974" s="73"/>
      <c r="AW1974" s="73"/>
      <c r="AX1974" s="73"/>
      <c r="AY1974" s="73"/>
      <c r="AZ1974" s="73"/>
      <c r="BA1974" s="73"/>
      <c r="BB1974" s="73"/>
      <c r="BC1974" s="73"/>
      <c r="BD1974" s="73"/>
      <c r="BE1974" s="73"/>
      <c r="BF1974" s="73"/>
      <c r="BG1974" s="73"/>
      <c r="BH1974" s="73"/>
      <c r="BI1974" s="73"/>
      <c r="BJ1974" s="73"/>
      <c r="BK1974" s="73"/>
      <c r="BL1974" s="73"/>
      <c r="BM1974" s="73"/>
      <c r="BN1974" s="73"/>
      <c r="BO1974" s="73"/>
      <c r="BP1974" s="73"/>
      <c r="BQ1974" s="73"/>
      <c r="BR1974" s="73"/>
      <c r="BS1974" s="73"/>
      <c r="BT1974" s="73"/>
      <c r="BU1974" s="73"/>
      <c r="BV1974" s="73"/>
      <c r="BW1974" s="73"/>
      <c r="BX1974" s="73"/>
      <c r="BY1974" s="73"/>
      <c r="BZ1974" s="73"/>
      <c r="CA1974" s="73"/>
      <c r="CB1974" s="73"/>
      <c r="CC1974" s="73"/>
      <c r="CD1974" s="73"/>
      <c r="CE1974" s="73"/>
      <c r="CF1974" s="73"/>
      <c r="CG1974" s="73"/>
      <c r="CH1974" s="73"/>
      <c r="CI1974" s="73"/>
      <c r="CJ1974" s="73"/>
      <c r="CK1974" s="73"/>
      <c r="CL1974" s="73"/>
      <c r="CM1974" s="73"/>
      <c r="CN1974" s="73"/>
      <c r="CO1974" s="73"/>
      <c r="CP1974" s="73"/>
      <c r="CQ1974" s="73"/>
      <c r="CR1974" s="73"/>
      <c r="CS1974" s="73"/>
      <c r="CT1974" s="73"/>
      <c r="CU1974" s="73"/>
      <c r="CV1974" s="73"/>
      <c r="CW1974" s="73"/>
      <c r="CX1974" s="73"/>
      <c r="CY1974" s="73"/>
      <c r="CZ1974" s="73"/>
      <c r="DA1974" s="73"/>
      <c r="DB1974" s="73"/>
      <c r="DC1974" s="73"/>
      <c r="DD1974" s="73"/>
      <c r="DE1974" s="73"/>
      <c r="DF1974" s="73"/>
      <c r="DG1974" s="73"/>
      <c r="DH1974" s="73"/>
      <c r="DI1974" s="73"/>
      <c r="DJ1974" s="73"/>
      <c r="DK1974" s="73"/>
      <c r="DL1974" s="73"/>
      <c r="DM1974" s="73"/>
    </row>
    <row r="1975" spans="1:117" s="48" customFormat="1">
      <c r="A1975" s="73"/>
      <c r="T1975" s="73"/>
      <c r="U1975" s="73"/>
      <c r="V1975" s="73"/>
      <c r="W1975" s="73"/>
      <c r="X1975" s="73"/>
      <c r="Y1975" s="73"/>
      <c r="Z1975" s="73"/>
      <c r="AA1975" s="73"/>
      <c r="AB1975" s="73"/>
      <c r="AC1975" s="73"/>
      <c r="AD1975" s="73"/>
      <c r="AE1975" s="73"/>
      <c r="AF1975" s="73"/>
      <c r="AG1975" s="73"/>
      <c r="AH1975" s="73"/>
      <c r="AI1975" s="73"/>
      <c r="AJ1975" s="73"/>
      <c r="AK1975" s="73"/>
      <c r="AL1975" s="73"/>
      <c r="AM1975" s="73"/>
      <c r="AN1975" s="73"/>
      <c r="AO1975" s="73"/>
      <c r="AP1975" s="73"/>
      <c r="AQ1975" s="73"/>
      <c r="AR1975" s="73"/>
      <c r="AS1975" s="73"/>
      <c r="AT1975" s="73"/>
      <c r="AU1975" s="73"/>
      <c r="AV1975" s="73"/>
      <c r="AW1975" s="73"/>
      <c r="AX1975" s="73"/>
      <c r="AY1975" s="73"/>
      <c r="AZ1975" s="73"/>
      <c r="BA1975" s="73"/>
      <c r="BB1975" s="73"/>
      <c r="BC1975" s="73"/>
      <c r="BD1975" s="73"/>
      <c r="BE1975" s="73"/>
      <c r="BF1975" s="73"/>
      <c r="BG1975" s="73"/>
      <c r="BH1975" s="73"/>
      <c r="BI1975" s="73"/>
      <c r="BJ1975" s="73"/>
      <c r="BK1975" s="73"/>
      <c r="BL1975" s="73"/>
      <c r="BM1975" s="73"/>
      <c r="BN1975" s="73"/>
      <c r="BO1975" s="73"/>
      <c r="BP1975" s="73"/>
      <c r="BQ1975" s="73"/>
      <c r="BR1975" s="73"/>
      <c r="BS1975" s="73"/>
      <c r="BT1975" s="73"/>
      <c r="BU1975" s="73"/>
      <c r="BV1975" s="73"/>
      <c r="BW1975" s="73"/>
      <c r="BX1975" s="73"/>
      <c r="BY1975" s="73"/>
      <c r="BZ1975" s="73"/>
      <c r="CA1975" s="73"/>
      <c r="CB1975" s="73"/>
      <c r="CC1975" s="73"/>
      <c r="CD1975" s="73"/>
      <c r="CE1975" s="73"/>
      <c r="CF1975" s="73"/>
      <c r="CG1975" s="73"/>
      <c r="CH1975" s="73"/>
      <c r="CI1975" s="73"/>
      <c r="CJ1975" s="73"/>
      <c r="CK1975" s="73"/>
      <c r="CL1975" s="73"/>
      <c r="CM1975" s="73"/>
      <c r="CN1975" s="73"/>
      <c r="CO1975" s="73"/>
      <c r="CP1975" s="73"/>
      <c r="CQ1975" s="73"/>
      <c r="CR1975" s="73"/>
      <c r="CS1975" s="73"/>
      <c r="CT1975" s="73"/>
      <c r="CU1975" s="73"/>
      <c r="CV1975" s="73"/>
      <c r="CW1975" s="73"/>
      <c r="CX1975" s="73"/>
      <c r="CY1975" s="73"/>
      <c r="CZ1975" s="73"/>
      <c r="DA1975" s="73"/>
      <c r="DB1975" s="73"/>
      <c r="DC1975" s="73"/>
      <c r="DD1975" s="73"/>
      <c r="DE1975" s="73"/>
      <c r="DF1975" s="73"/>
      <c r="DG1975" s="73"/>
      <c r="DH1975" s="73"/>
      <c r="DI1975" s="73"/>
      <c r="DJ1975" s="73"/>
      <c r="DK1975" s="73"/>
      <c r="DL1975" s="73"/>
      <c r="DM1975" s="73"/>
    </row>
    <row r="1976" spans="1:117" s="48" customFormat="1">
      <c r="A1976" s="73"/>
      <c r="T1976" s="73"/>
      <c r="U1976" s="73"/>
      <c r="V1976" s="73"/>
      <c r="W1976" s="73"/>
      <c r="X1976" s="73"/>
      <c r="Y1976" s="73"/>
      <c r="Z1976" s="73"/>
      <c r="AA1976" s="73"/>
      <c r="AB1976" s="73"/>
      <c r="AC1976" s="73"/>
      <c r="AD1976" s="73"/>
      <c r="AE1976" s="73"/>
      <c r="AF1976" s="73"/>
      <c r="AG1976" s="73"/>
      <c r="AH1976" s="73"/>
      <c r="AI1976" s="73"/>
      <c r="AJ1976" s="73"/>
      <c r="AK1976" s="73"/>
      <c r="AL1976" s="73"/>
      <c r="AM1976" s="73"/>
      <c r="AN1976" s="73"/>
      <c r="AO1976" s="73"/>
      <c r="AP1976" s="73"/>
      <c r="AQ1976" s="73"/>
      <c r="AR1976" s="73"/>
      <c r="AS1976" s="73"/>
      <c r="AT1976" s="73"/>
      <c r="AU1976" s="73"/>
      <c r="AV1976" s="73"/>
      <c r="AW1976" s="73"/>
      <c r="AX1976" s="73"/>
      <c r="AY1976" s="73"/>
      <c r="AZ1976" s="73"/>
      <c r="BA1976" s="73"/>
      <c r="BB1976" s="73"/>
      <c r="BC1976" s="73"/>
      <c r="BD1976" s="73"/>
      <c r="BE1976" s="73"/>
      <c r="BF1976" s="73"/>
      <c r="BG1976" s="73"/>
      <c r="BH1976" s="73"/>
      <c r="BI1976" s="73"/>
      <c r="BJ1976" s="73"/>
      <c r="BK1976" s="73"/>
      <c r="BL1976" s="73"/>
      <c r="BM1976" s="73"/>
      <c r="BN1976" s="73"/>
      <c r="BO1976" s="73"/>
      <c r="BP1976" s="73"/>
      <c r="BQ1976" s="73"/>
      <c r="BR1976" s="73"/>
      <c r="BS1976" s="73"/>
      <c r="BT1976" s="73"/>
      <c r="BU1976" s="73"/>
      <c r="BV1976" s="73"/>
      <c r="BW1976" s="73"/>
      <c r="BX1976" s="73"/>
      <c r="BY1976" s="73"/>
      <c r="BZ1976" s="73"/>
      <c r="CA1976" s="73"/>
      <c r="CB1976" s="73"/>
      <c r="CC1976" s="73"/>
      <c r="CD1976" s="73"/>
      <c r="CE1976" s="73"/>
      <c r="CF1976" s="73"/>
      <c r="CG1976" s="73"/>
      <c r="CH1976" s="73"/>
      <c r="CI1976" s="73"/>
      <c r="CJ1976" s="73"/>
      <c r="CK1976" s="73"/>
      <c r="CL1976" s="73"/>
      <c r="CM1976" s="73"/>
      <c r="CN1976" s="73"/>
      <c r="CO1976" s="73"/>
      <c r="CP1976" s="73"/>
      <c r="CQ1976" s="73"/>
      <c r="CR1976" s="73"/>
      <c r="CS1976" s="73"/>
      <c r="CT1976" s="73"/>
      <c r="CU1976" s="73"/>
      <c r="CV1976" s="73"/>
      <c r="CW1976" s="73"/>
      <c r="CX1976" s="73"/>
      <c r="CY1976" s="73"/>
      <c r="CZ1976" s="73"/>
      <c r="DA1976" s="73"/>
      <c r="DB1976" s="73"/>
      <c r="DC1976" s="73"/>
      <c r="DD1976" s="73"/>
      <c r="DE1976" s="73"/>
      <c r="DF1976" s="73"/>
      <c r="DG1976" s="73"/>
      <c r="DH1976" s="73"/>
      <c r="DI1976" s="73"/>
      <c r="DJ1976" s="73"/>
      <c r="DK1976" s="73"/>
      <c r="DL1976" s="73"/>
      <c r="DM1976" s="73"/>
    </row>
    <row r="1977" spans="1:117" s="48" customFormat="1">
      <c r="A1977" s="73"/>
      <c r="T1977" s="73"/>
      <c r="U1977" s="73"/>
      <c r="V1977" s="73"/>
      <c r="W1977" s="73"/>
      <c r="X1977" s="73"/>
      <c r="Y1977" s="73"/>
      <c r="Z1977" s="73"/>
      <c r="AA1977" s="73"/>
      <c r="AB1977" s="73"/>
      <c r="AC1977" s="73"/>
      <c r="AD1977" s="73"/>
      <c r="AE1977" s="73"/>
      <c r="AF1977" s="73"/>
      <c r="AG1977" s="73"/>
      <c r="AH1977" s="73"/>
      <c r="AI1977" s="73"/>
      <c r="AJ1977" s="73"/>
      <c r="AK1977" s="73"/>
      <c r="AL1977" s="73"/>
      <c r="AM1977" s="73"/>
      <c r="AN1977" s="73"/>
      <c r="AO1977" s="73"/>
      <c r="AP1977" s="73"/>
      <c r="AQ1977" s="73"/>
      <c r="AR1977" s="73"/>
      <c r="AS1977" s="73"/>
      <c r="AT1977" s="73"/>
      <c r="AU1977" s="73"/>
      <c r="AV1977" s="73"/>
      <c r="AW1977" s="73"/>
      <c r="AX1977" s="73"/>
      <c r="AY1977" s="73"/>
      <c r="AZ1977" s="73"/>
      <c r="BA1977" s="73"/>
      <c r="BB1977" s="73"/>
      <c r="BC1977" s="73"/>
      <c r="BD1977" s="73"/>
      <c r="BE1977" s="73"/>
      <c r="BF1977" s="73"/>
      <c r="BG1977" s="73"/>
      <c r="BH1977" s="73"/>
      <c r="BI1977" s="73"/>
      <c r="BJ1977" s="73"/>
      <c r="BK1977" s="73"/>
      <c r="BL1977" s="73"/>
      <c r="BM1977" s="73"/>
      <c r="BN1977" s="73"/>
      <c r="BO1977" s="73"/>
      <c r="BP1977" s="73"/>
      <c r="BQ1977" s="73"/>
      <c r="BR1977" s="73"/>
      <c r="BS1977" s="73"/>
      <c r="BT1977" s="73"/>
      <c r="BU1977" s="73"/>
      <c r="BV1977" s="73"/>
      <c r="BW1977" s="73"/>
      <c r="BX1977" s="73"/>
      <c r="BY1977" s="73"/>
      <c r="BZ1977" s="73"/>
      <c r="CA1977" s="73"/>
      <c r="CB1977" s="73"/>
      <c r="CC1977" s="73"/>
      <c r="CD1977" s="73"/>
      <c r="CE1977" s="73"/>
      <c r="CF1977" s="73"/>
      <c r="CG1977" s="73"/>
      <c r="CH1977" s="73"/>
      <c r="CI1977" s="73"/>
      <c r="CJ1977" s="73"/>
      <c r="CK1977" s="73"/>
      <c r="CL1977" s="73"/>
      <c r="CM1977" s="73"/>
      <c r="CN1977" s="73"/>
      <c r="CO1977" s="73"/>
      <c r="CP1977" s="73"/>
      <c r="CQ1977" s="73"/>
      <c r="CR1977" s="73"/>
      <c r="CS1977" s="73"/>
      <c r="CT1977" s="73"/>
      <c r="CU1977" s="73"/>
      <c r="CV1977" s="73"/>
      <c r="CW1977" s="73"/>
      <c r="CX1977" s="73"/>
      <c r="CY1977" s="73"/>
      <c r="CZ1977" s="73"/>
      <c r="DA1977" s="73"/>
      <c r="DB1977" s="73"/>
      <c r="DC1977" s="73"/>
      <c r="DD1977" s="73"/>
      <c r="DE1977" s="73"/>
      <c r="DF1977" s="73"/>
      <c r="DG1977" s="73"/>
      <c r="DH1977" s="73"/>
      <c r="DI1977" s="73"/>
      <c r="DJ1977" s="73"/>
      <c r="DK1977" s="73"/>
      <c r="DL1977" s="73"/>
      <c r="DM1977" s="73"/>
    </row>
    <row r="1978" spans="1:117" s="48" customFormat="1">
      <c r="A1978" s="73"/>
      <c r="T1978" s="73"/>
      <c r="U1978" s="73"/>
      <c r="V1978" s="73"/>
      <c r="W1978" s="73"/>
      <c r="X1978" s="73"/>
      <c r="Y1978" s="73"/>
      <c r="Z1978" s="73"/>
      <c r="AA1978" s="73"/>
      <c r="AB1978" s="73"/>
      <c r="AC1978" s="73"/>
      <c r="AD1978" s="73"/>
      <c r="AE1978" s="73"/>
      <c r="AF1978" s="73"/>
      <c r="AG1978" s="73"/>
      <c r="AH1978" s="73"/>
      <c r="AI1978" s="73"/>
      <c r="AJ1978" s="73"/>
      <c r="AK1978" s="73"/>
      <c r="AL1978" s="73"/>
      <c r="AM1978" s="73"/>
      <c r="AN1978" s="73"/>
      <c r="AO1978" s="73"/>
      <c r="AP1978" s="73"/>
      <c r="AQ1978" s="73"/>
      <c r="AR1978" s="73"/>
      <c r="AS1978" s="73"/>
      <c r="AT1978" s="73"/>
      <c r="AU1978" s="73"/>
      <c r="AV1978" s="73"/>
      <c r="AW1978" s="73"/>
      <c r="AX1978" s="73"/>
      <c r="AY1978" s="73"/>
      <c r="AZ1978" s="73"/>
      <c r="BA1978" s="73"/>
      <c r="BB1978" s="73"/>
      <c r="BC1978" s="73"/>
      <c r="BD1978" s="73"/>
      <c r="BE1978" s="73"/>
      <c r="BF1978" s="73"/>
      <c r="BG1978" s="73"/>
      <c r="BH1978" s="73"/>
      <c r="BI1978" s="73"/>
      <c r="BJ1978" s="73"/>
      <c r="BK1978" s="73"/>
      <c r="BL1978" s="73"/>
      <c r="BM1978" s="73"/>
      <c r="BN1978" s="73"/>
      <c r="BO1978" s="73"/>
      <c r="BP1978" s="73"/>
      <c r="BQ1978" s="73"/>
      <c r="BR1978" s="73"/>
      <c r="BS1978" s="73"/>
      <c r="BT1978" s="73"/>
      <c r="BU1978" s="73"/>
      <c r="BV1978" s="73"/>
      <c r="BW1978" s="73"/>
      <c r="BX1978" s="73"/>
      <c r="BY1978" s="73"/>
      <c r="BZ1978" s="73"/>
      <c r="CA1978" s="73"/>
      <c r="CB1978" s="73"/>
      <c r="CC1978" s="73"/>
      <c r="CD1978" s="73"/>
      <c r="CE1978" s="73"/>
      <c r="CF1978" s="73"/>
      <c r="CG1978" s="73"/>
      <c r="CH1978" s="73"/>
      <c r="CI1978" s="73"/>
      <c r="CJ1978" s="73"/>
      <c r="CK1978" s="73"/>
      <c r="CL1978" s="73"/>
      <c r="CM1978" s="73"/>
      <c r="CN1978" s="73"/>
      <c r="CO1978" s="73"/>
      <c r="CP1978" s="73"/>
      <c r="CQ1978" s="73"/>
      <c r="CR1978" s="73"/>
      <c r="CS1978" s="73"/>
      <c r="CT1978" s="73"/>
      <c r="CU1978" s="73"/>
      <c r="CV1978" s="73"/>
      <c r="CW1978" s="73"/>
      <c r="CX1978" s="73"/>
      <c r="CY1978" s="73"/>
      <c r="CZ1978" s="73"/>
      <c r="DA1978" s="73"/>
      <c r="DB1978" s="73"/>
      <c r="DC1978" s="73"/>
      <c r="DD1978" s="73"/>
      <c r="DE1978" s="73"/>
      <c r="DF1978" s="73"/>
      <c r="DG1978" s="73"/>
      <c r="DH1978" s="73"/>
      <c r="DI1978" s="73"/>
      <c r="DJ1978" s="73"/>
      <c r="DK1978" s="73"/>
      <c r="DL1978" s="73"/>
      <c r="DM1978" s="73"/>
    </row>
    <row r="1979" spans="1:117" s="48" customFormat="1">
      <c r="A1979" s="73"/>
      <c r="T1979" s="73"/>
      <c r="U1979" s="73"/>
      <c r="V1979" s="73"/>
      <c r="W1979" s="73"/>
      <c r="X1979" s="73"/>
      <c r="Y1979" s="73"/>
      <c r="Z1979" s="73"/>
      <c r="AA1979" s="73"/>
      <c r="AB1979" s="73"/>
      <c r="AC1979" s="73"/>
      <c r="AD1979" s="73"/>
      <c r="AE1979" s="73"/>
      <c r="AF1979" s="73"/>
      <c r="AG1979" s="73"/>
      <c r="AH1979" s="73"/>
      <c r="AI1979" s="73"/>
      <c r="AJ1979" s="73"/>
      <c r="AK1979" s="73"/>
      <c r="AL1979" s="73"/>
      <c r="AM1979" s="73"/>
      <c r="AN1979" s="73"/>
      <c r="AO1979" s="73"/>
      <c r="AP1979" s="73"/>
      <c r="AQ1979" s="73"/>
      <c r="AR1979" s="73"/>
      <c r="AS1979" s="73"/>
      <c r="AT1979" s="73"/>
      <c r="AU1979" s="73"/>
      <c r="AV1979" s="73"/>
      <c r="AW1979" s="73"/>
      <c r="AX1979" s="73"/>
      <c r="AY1979" s="73"/>
      <c r="AZ1979" s="73"/>
      <c r="BA1979" s="73"/>
      <c r="BB1979" s="73"/>
      <c r="BC1979" s="73"/>
      <c r="BD1979" s="73"/>
      <c r="BE1979" s="73"/>
      <c r="BF1979" s="73"/>
      <c r="BG1979" s="73"/>
      <c r="BH1979" s="73"/>
      <c r="BI1979" s="73"/>
      <c r="BJ1979" s="73"/>
      <c r="BK1979" s="73"/>
      <c r="BL1979" s="73"/>
      <c r="BM1979" s="73"/>
      <c r="BN1979" s="73"/>
      <c r="BO1979" s="73"/>
      <c r="BP1979" s="73"/>
      <c r="BQ1979" s="73"/>
      <c r="BR1979" s="73"/>
      <c r="BS1979" s="73"/>
      <c r="BT1979" s="73"/>
      <c r="BU1979" s="73"/>
      <c r="BV1979" s="73"/>
      <c r="BW1979" s="73"/>
      <c r="BX1979" s="73"/>
      <c r="BY1979" s="73"/>
      <c r="BZ1979" s="73"/>
      <c r="CA1979" s="73"/>
      <c r="CB1979" s="73"/>
      <c r="CC1979" s="73"/>
      <c r="CD1979" s="73"/>
      <c r="CE1979" s="73"/>
      <c r="CF1979" s="73"/>
      <c r="CG1979" s="73"/>
      <c r="CH1979" s="73"/>
      <c r="CI1979" s="73"/>
      <c r="CJ1979" s="73"/>
      <c r="CK1979" s="73"/>
      <c r="CL1979" s="73"/>
      <c r="CM1979" s="73"/>
      <c r="CN1979" s="73"/>
      <c r="CO1979" s="73"/>
      <c r="CP1979" s="73"/>
      <c r="CQ1979" s="73"/>
      <c r="CR1979" s="73"/>
      <c r="CS1979" s="73"/>
      <c r="CT1979" s="73"/>
      <c r="CU1979" s="73"/>
      <c r="CV1979" s="73"/>
      <c r="CW1979" s="73"/>
      <c r="CX1979" s="73"/>
      <c r="CY1979" s="73"/>
      <c r="CZ1979" s="73"/>
      <c r="DA1979" s="73"/>
      <c r="DB1979" s="73"/>
      <c r="DC1979" s="73"/>
      <c r="DD1979" s="73"/>
      <c r="DE1979" s="73"/>
      <c r="DF1979" s="73"/>
      <c r="DG1979" s="73"/>
      <c r="DH1979" s="73"/>
      <c r="DI1979" s="73"/>
      <c r="DJ1979" s="73"/>
      <c r="DK1979" s="73"/>
      <c r="DL1979" s="73"/>
      <c r="DM1979" s="73"/>
    </row>
    <row r="1980" spans="1:117" s="48" customFormat="1">
      <c r="A1980" s="73"/>
      <c r="T1980" s="73"/>
      <c r="U1980" s="73"/>
      <c r="V1980" s="73"/>
      <c r="W1980" s="73"/>
      <c r="X1980" s="73"/>
      <c r="Y1980" s="73"/>
      <c r="Z1980" s="73"/>
      <c r="AA1980" s="73"/>
      <c r="AB1980" s="73"/>
      <c r="AC1980" s="73"/>
      <c r="AD1980" s="73"/>
      <c r="AE1980" s="73"/>
      <c r="AF1980" s="73"/>
      <c r="AG1980" s="73"/>
      <c r="AH1980" s="73"/>
      <c r="AI1980" s="73"/>
      <c r="AJ1980" s="73"/>
      <c r="AK1980" s="73"/>
      <c r="AL1980" s="73"/>
      <c r="AM1980" s="73"/>
      <c r="AN1980" s="73"/>
      <c r="AO1980" s="73"/>
      <c r="AP1980" s="73"/>
      <c r="AQ1980" s="73"/>
      <c r="AR1980" s="73"/>
      <c r="AS1980" s="73"/>
      <c r="AT1980" s="73"/>
      <c r="AU1980" s="73"/>
      <c r="AV1980" s="73"/>
      <c r="AW1980" s="73"/>
      <c r="AX1980" s="73"/>
      <c r="AY1980" s="73"/>
      <c r="AZ1980" s="73"/>
      <c r="BA1980" s="73"/>
      <c r="BB1980" s="73"/>
      <c r="BC1980" s="73"/>
      <c r="BD1980" s="73"/>
      <c r="BE1980" s="73"/>
      <c r="BF1980" s="73"/>
      <c r="BG1980" s="73"/>
      <c r="BH1980" s="73"/>
      <c r="BI1980" s="73"/>
      <c r="BJ1980" s="73"/>
      <c r="BK1980" s="73"/>
      <c r="BL1980" s="73"/>
      <c r="BM1980" s="73"/>
      <c r="BN1980" s="73"/>
      <c r="BO1980" s="73"/>
      <c r="BP1980" s="73"/>
      <c r="BQ1980" s="73"/>
      <c r="BR1980" s="73"/>
      <c r="BS1980" s="73"/>
      <c r="BT1980" s="73"/>
      <c r="BU1980" s="73"/>
      <c r="BV1980" s="73"/>
      <c r="BW1980" s="73"/>
      <c r="BX1980" s="73"/>
      <c r="BY1980" s="73"/>
      <c r="BZ1980" s="73"/>
      <c r="CA1980" s="73"/>
      <c r="CB1980" s="73"/>
      <c r="CC1980" s="73"/>
      <c r="CD1980" s="73"/>
      <c r="CE1980" s="73"/>
      <c r="CF1980" s="73"/>
      <c r="CG1980" s="73"/>
      <c r="CH1980" s="73"/>
      <c r="CI1980" s="73"/>
      <c r="CJ1980" s="73"/>
      <c r="CK1980" s="73"/>
      <c r="CL1980" s="73"/>
      <c r="CM1980" s="73"/>
      <c r="CN1980" s="73"/>
      <c r="CO1980" s="73"/>
      <c r="CP1980" s="73"/>
      <c r="CQ1980" s="73"/>
      <c r="CR1980" s="73"/>
      <c r="CS1980" s="73"/>
      <c r="CT1980" s="73"/>
      <c r="CU1980" s="73"/>
      <c r="CV1980" s="73"/>
      <c r="CW1980" s="73"/>
      <c r="CX1980" s="73"/>
      <c r="CY1980" s="73"/>
      <c r="CZ1980" s="73"/>
      <c r="DA1980" s="73"/>
      <c r="DB1980" s="73"/>
      <c r="DC1980" s="73"/>
      <c r="DD1980" s="73"/>
      <c r="DE1980" s="73"/>
      <c r="DF1980" s="73"/>
      <c r="DG1980" s="73"/>
      <c r="DH1980" s="73"/>
      <c r="DI1980" s="73"/>
      <c r="DJ1980" s="73"/>
      <c r="DK1980" s="73"/>
      <c r="DL1980" s="73"/>
      <c r="DM1980" s="73"/>
    </row>
    <row r="1981" spans="1:117" s="48" customFormat="1">
      <c r="A1981" s="73"/>
      <c r="T1981" s="73"/>
      <c r="U1981" s="73"/>
      <c r="V1981" s="73"/>
      <c r="W1981" s="73"/>
      <c r="X1981" s="73"/>
      <c r="Y1981" s="73"/>
      <c r="Z1981" s="73"/>
      <c r="AA1981" s="73"/>
      <c r="AB1981" s="73"/>
      <c r="AC1981" s="73"/>
      <c r="AD1981" s="73"/>
      <c r="AE1981" s="73"/>
      <c r="AF1981" s="73"/>
      <c r="AG1981" s="73"/>
      <c r="AH1981" s="73"/>
      <c r="AI1981" s="73"/>
      <c r="AJ1981" s="73"/>
      <c r="AK1981" s="73"/>
      <c r="AL1981" s="73"/>
      <c r="AM1981" s="73"/>
      <c r="AN1981" s="73"/>
      <c r="AO1981" s="73"/>
      <c r="AP1981" s="73"/>
      <c r="AQ1981" s="73"/>
      <c r="AR1981" s="73"/>
      <c r="AS1981" s="73"/>
      <c r="AT1981" s="73"/>
      <c r="AU1981" s="73"/>
      <c r="AV1981" s="73"/>
      <c r="AW1981" s="73"/>
      <c r="AX1981" s="73"/>
      <c r="AY1981" s="73"/>
      <c r="AZ1981" s="73"/>
      <c r="BA1981" s="73"/>
      <c r="BB1981" s="73"/>
      <c r="BC1981" s="73"/>
      <c r="BD1981" s="73"/>
      <c r="BE1981" s="73"/>
      <c r="BF1981" s="73"/>
      <c r="BG1981" s="73"/>
      <c r="BH1981" s="73"/>
      <c r="BI1981" s="73"/>
      <c r="BJ1981" s="73"/>
      <c r="BK1981" s="73"/>
      <c r="BL1981" s="73"/>
      <c r="BM1981" s="73"/>
      <c r="BN1981" s="73"/>
      <c r="BO1981" s="73"/>
      <c r="BP1981" s="73"/>
      <c r="BQ1981" s="73"/>
      <c r="BR1981" s="73"/>
      <c r="BS1981" s="73"/>
      <c r="BT1981" s="73"/>
      <c r="BU1981" s="73"/>
      <c r="BV1981" s="73"/>
      <c r="BW1981" s="73"/>
      <c r="BX1981" s="73"/>
      <c r="BY1981" s="73"/>
      <c r="BZ1981" s="73"/>
      <c r="CA1981" s="73"/>
      <c r="CB1981" s="73"/>
      <c r="CC1981" s="73"/>
      <c r="CD1981" s="73"/>
      <c r="CE1981" s="73"/>
      <c r="CF1981" s="73"/>
      <c r="CG1981" s="73"/>
      <c r="CH1981" s="73"/>
      <c r="CI1981" s="73"/>
      <c r="CJ1981" s="73"/>
      <c r="CK1981" s="73"/>
      <c r="CL1981" s="73"/>
      <c r="CM1981" s="73"/>
      <c r="CN1981" s="73"/>
      <c r="CO1981" s="73"/>
      <c r="CP1981" s="73"/>
      <c r="CQ1981" s="73"/>
      <c r="CR1981" s="73"/>
      <c r="CS1981" s="73"/>
      <c r="CT1981" s="73"/>
      <c r="CU1981" s="73"/>
      <c r="CV1981" s="73"/>
      <c r="CW1981" s="73"/>
      <c r="CX1981" s="73"/>
      <c r="CY1981" s="73"/>
      <c r="CZ1981" s="73"/>
      <c r="DA1981" s="73"/>
      <c r="DB1981" s="73"/>
      <c r="DC1981" s="73"/>
      <c r="DD1981" s="73"/>
      <c r="DE1981" s="73"/>
      <c r="DF1981" s="73"/>
      <c r="DG1981" s="73"/>
      <c r="DH1981" s="73"/>
      <c r="DI1981" s="73"/>
      <c r="DJ1981" s="73"/>
      <c r="DK1981" s="73"/>
      <c r="DL1981" s="73"/>
      <c r="DM1981" s="73"/>
    </row>
    <row r="1982" spans="1:117" s="48" customFormat="1">
      <c r="A1982" s="73"/>
      <c r="T1982" s="73"/>
      <c r="U1982" s="73"/>
      <c r="V1982" s="73"/>
      <c r="W1982" s="73"/>
      <c r="X1982" s="73"/>
      <c r="Y1982" s="73"/>
      <c r="Z1982" s="73"/>
      <c r="AA1982" s="73"/>
      <c r="AB1982" s="73"/>
      <c r="AC1982" s="73"/>
      <c r="AD1982" s="73"/>
      <c r="AE1982" s="73"/>
      <c r="AF1982" s="73"/>
      <c r="AG1982" s="73"/>
      <c r="AH1982" s="73"/>
      <c r="AI1982" s="73"/>
      <c r="AJ1982" s="73"/>
      <c r="AK1982" s="73"/>
      <c r="AL1982" s="73"/>
      <c r="AM1982" s="73"/>
      <c r="AN1982" s="73"/>
      <c r="AO1982" s="73"/>
      <c r="AP1982" s="73"/>
      <c r="AQ1982" s="73"/>
      <c r="AR1982" s="73"/>
      <c r="AS1982" s="73"/>
      <c r="AT1982" s="73"/>
      <c r="AU1982" s="73"/>
      <c r="AV1982" s="73"/>
      <c r="AW1982" s="73"/>
      <c r="AX1982" s="73"/>
      <c r="AY1982" s="73"/>
      <c r="AZ1982" s="73"/>
      <c r="BA1982" s="73"/>
      <c r="BB1982" s="73"/>
      <c r="BC1982" s="73"/>
      <c r="BD1982" s="73"/>
      <c r="BE1982" s="73"/>
      <c r="BF1982" s="73"/>
      <c r="BG1982" s="73"/>
      <c r="BH1982" s="73"/>
      <c r="BI1982" s="73"/>
      <c r="BJ1982" s="73"/>
      <c r="BK1982" s="73"/>
      <c r="BL1982" s="73"/>
      <c r="BM1982" s="73"/>
      <c r="BN1982" s="73"/>
      <c r="BO1982" s="73"/>
      <c r="BP1982" s="73"/>
      <c r="BQ1982" s="73"/>
      <c r="BR1982" s="73"/>
      <c r="BS1982" s="73"/>
      <c r="BT1982" s="73"/>
      <c r="BU1982" s="73"/>
      <c r="BV1982" s="73"/>
      <c r="BW1982" s="73"/>
      <c r="BX1982" s="73"/>
      <c r="BY1982" s="73"/>
      <c r="BZ1982" s="73"/>
      <c r="CA1982" s="73"/>
      <c r="CB1982" s="73"/>
      <c r="CC1982" s="73"/>
      <c r="CD1982" s="73"/>
      <c r="CE1982" s="73"/>
      <c r="CF1982" s="73"/>
      <c r="CG1982" s="73"/>
      <c r="CH1982" s="73"/>
      <c r="CI1982" s="73"/>
      <c r="CJ1982" s="73"/>
      <c r="CK1982" s="73"/>
      <c r="CL1982" s="73"/>
      <c r="CM1982" s="73"/>
      <c r="CN1982" s="73"/>
      <c r="CO1982" s="73"/>
      <c r="CP1982" s="73"/>
      <c r="CQ1982" s="73"/>
      <c r="CR1982" s="73"/>
      <c r="CS1982" s="73"/>
      <c r="CT1982" s="73"/>
      <c r="CU1982" s="73"/>
      <c r="CV1982" s="73"/>
      <c r="CW1982" s="73"/>
      <c r="CX1982" s="73"/>
      <c r="CY1982" s="73"/>
      <c r="CZ1982" s="73"/>
      <c r="DA1982" s="73"/>
      <c r="DB1982" s="73"/>
      <c r="DC1982" s="73"/>
      <c r="DD1982" s="73"/>
      <c r="DE1982" s="73"/>
      <c r="DF1982" s="73"/>
      <c r="DG1982" s="73"/>
      <c r="DH1982" s="73"/>
      <c r="DI1982" s="73"/>
      <c r="DJ1982" s="73"/>
      <c r="DK1982" s="73"/>
      <c r="DL1982" s="73"/>
      <c r="DM1982" s="73"/>
    </row>
    <row r="1983" spans="1:117" s="48" customFormat="1">
      <c r="A1983" s="73"/>
      <c r="T1983" s="73"/>
      <c r="U1983" s="73"/>
      <c r="V1983" s="73"/>
      <c r="W1983" s="73"/>
      <c r="X1983" s="73"/>
      <c r="Y1983" s="73"/>
      <c r="Z1983" s="73"/>
      <c r="AA1983" s="73"/>
      <c r="AB1983" s="73"/>
      <c r="AC1983" s="73"/>
      <c r="AD1983" s="73"/>
      <c r="AE1983" s="73"/>
      <c r="AF1983" s="73"/>
      <c r="AG1983" s="73"/>
      <c r="AH1983" s="73"/>
      <c r="AI1983" s="73"/>
      <c r="AJ1983" s="73"/>
      <c r="AK1983" s="73"/>
      <c r="AL1983" s="73"/>
      <c r="AM1983" s="73"/>
      <c r="AN1983" s="73"/>
      <c r="AO1983" s="73"/>
      <c r="AP1983" s="73"/>
      <c r="AQ1983" s="73"/>
      <c r="AR1983" s="73"/>
      <c r="AS1983" s="73"/>
      <c r="AT1983" s="73"/>
      <c r="AU1983" s="73"/>
      <c r="AV1983" s="73"/>
      <c r="AW1983" s="73"/>
      <c r="AX1983" s="73"/>
      <c r="AY1983" s="73"/>
      <c r="AZ1983" s="73"/>
      <c r="BA1983" s="73"/>
      <c r="BB1983" s="73"/>
      <c r="BC1983" s="73"/>
      <c r="BD1983" s="73"/>
      <c r="BE1983" s="73"/>
      <c r="BF1983" s="73"/>
      <c r="BG1983" s="73"/>
      <c r="BH1983" s="73"/>
      <c r="BI1983" s="73"/>
      <c r="BJ1983" s="73"/>
      <c r="BK1983" s="73"/>
      <c r="BL1983" s="73"/>
      <c r="BM1983" s="73"/>
      <c r="BN1983" s="73"/>
      <c r="BO1983" s="73"/>
      <c r="BP1983" s="73"/>
      <c r="BQ1983" s="73"/>
      <c r="BR1983" s="73"/>
      <c r="BS1983" s="73"/>
      <c r="BT1983" s="73"/>
      <c r="BU1983" s="73"/>
      <c r="BV1983" s="73"/>
      <c r="BW1983" s="73"/>
      <c r="BX1983" s="73"/>
      <c r="BY1983" s="73"/>
      <c r="BZ1983" s="73"/>
      <c r="CA1983" s="73"/>
      <c r="CB1983" s="73"/>
      <c r="CC1983" s="73"/>
      <c r="CD1983" s="73"/>
      <c r="CE1983" s="73"/>
      <c r="CF1983" s="73"/>
      <c r="CG1983" s="73"/>
      <c r="CH1983" s="73"/>
      <c r="CI1983" s="73"/>
      <c r="CJ1983" s="73"/>
      <c r="CK1983" s="73"/>
      <c r="CL1983" s="73"/>
      <c r="CM1983" s="73"/>
      <c r="CN1983" s="73"/>
      <c r="CO1983" s="73"/>
      <c r="CP1983" s="73"/>
      <c r="CQ1983" s="73"/>
      <c r="CR1983" s="73"/>
      <c r="CS1983" s="73"/>
      <c r="CT1983" s="73"/>
      <c r="CU1983" s="73"/>
      <c r="CV1983" s="73"/>
      <c r="CW1983" s="73"/>
      <c r="CX1983" s="73"/>
      <c r="CY1983" s="73"/>
      <c r="CZ1983" s="73"/>
      <c r="DA1983" s="73"/>
      <c r="DB1983" s="73"/>
      <c r="DC1983" s="73"/>
      <c r="DD1983" s="73"/>
      <c r="DE1983" s="73"/>
      <c r="DF1983" s="73"/>
      <c r="DG1983" s="73"/>
      <c r="DH1983" s="73"/>
      <c r="DI1983" s="73"/>
      <c r="DJ1983" s="73"/>
      <c r="DK1983" s="73"/>
      <c r="DL1983" s="73"/>
      <c r="DM1983" s="73"/>
    </row>
    <row r="1984" spans="1:117" s="48" customFormat="1">
      <c r="A1984" s="73"/>
      <c r="T1984" s="73"/>
      <c r="U1984" s="73"/>
      <c r="V1984" s="73"/>
      <c r="W1984" s="73"/>
      <c r="X1984" s="73"/>
      <c r="Y1984" s="73"/>
      <c r="Z1984" s="73"/>
      <c r="AA1984" s="73"/>
      <c r="AB1984" s="73"/>
      <c r="AC1984" s="73"/>
      <c r="AD1984" s="73"/>
      <c r="AE1984" s="73"/>
      <c r="AF1984" s="73"/>
      <c r="AG1984" s="73"/>
      <c r="AH1984" s="73"/>
      <c r="AI1984" s="73"/>
      <c r="AJ1984" s="73"/>
      <c r="AK1984" s="73"/>
      <c r="AL1984" s="73"/>
      <c r="AM1984" s="73"/>
      <c r="AN1984" s="73"/>
      <c r="AO1984" s="73"/>
      <c r="AP1984" s="73"/>
      <c r="AQ1984" s="73"/>
      <c r="AR1984" s="73"/>
      <c r="AS1984" s="73"/>
      <c r="AT1984" s="73"/>
      <c r="AU1984" s="73"/>
      <c r="AV1984" s="73"/>
      <c r="AW1984" s="73"/>
      <c r="AX1984" s="73"/>
      <c r="AY1984" s="73"/>
      <c r="AZ1984" s="73"/>
      <c r="BA1984" s="73"/>
      <c r="BB1984" s="73"/>
      <c r="BC1984" s="73"/>
      <c r="BD1984" s="73"/>
      <c r="BE1984" s="73"/>
      <c r="BF1984" s="73"/>
      <c r="BG1984" s="73"/>
      <c r="BH1984" s="73"/>
      <c r="BI1984" s="73"/>
      <c r="BJ1984" s="73"/>
      <c r="BK1984" s="73"/>
      <c r="BL1984" s="73"/>
      <c r="BM1984" s="73"/>
      <c r="BN1984" s="73"/>
      <c r="BO1984" s="73"/>
      <c r="BP1984" s="73"/>
      <c r="BQ1984" s="73"/>
      <c r="BR1984" s="73"/>
      <c r="BS1984" s="73"/>
      <c r="BT1984" s="73"/>
      <c r="BU1984" s="73"/>
      <c r="BV1984" s="73"/>
      <c r="BW1984" s="73"/>
      <c r="BX1984" s="73"/>
      <c r="BY1984" s="73"/>
      <c r="BZ1984" s="73"/>
      <c r="CA1984" s="73"/>
      <c r="CB1984" s="73"/>
      <c r="CC1984" s="73"/>
      <c r="CD1984" s="73"/>
      <c r="CE1984" s="73"/>
      <c r="CF1984" s="73"/>
      <c r="CG1984" s="73"/>
      <c r="CH1984" s="73"/>
      <c r="CI1984" s="73"/>
      <c r="CJ1984" s="73"/>
      <c r="CK1984" s="73"/>
      <c r="CL1984" s="73"/>
      <c r="CM1984" s="73"/>
      <c r="CN1984" s="73"/>
      <c r="CO1984" s="73"/>
      <c r="CP1984" s="73"/>
      <c r="CQ1984" s="73"/>
      <c r="CR1984" s="73"/>
      <c r="CS1984" s="73"/>
      <c r="CT1984" s="73"/>
      <c r="CU1984" s="73"/>
      <c r="CV1984" s="73"/>
      <c r="CW1984" s="73"/>
      <c r="CX1984" s="73"/>
      <c r="CY1984" s="73"/>
      <c r="CZ1984" s="73"/>
      <c r="DA1984" s="73"/>
      <c r="DB1984" s="73"/>
      <c r="DC1984" s="73"/>
      <c r="DD1984" s="73"/>
      <c r="DE1984" s="73"/>
      <c r="DF1984" s="73"/>
      <c r="DG1984" s="73"/>
      <c r="DH1984" s="73"/>
      <c r="DI1984" s="73"/>
      <c r="DJ1984" s="73"/>
      <c r="DK1984" s="73"/>
      <c r="DL1984" s="73"/>
      <c r="DM1984" s="73"/>
    </row>
    <row r="1985" spans="1:117" s="48" customFormat="1">
      <c r="A1985" s="73"/>
      <c r="T1985" s="73"/>
      <c r="U1985" s="73"/>
      <c r="V1985" s="73"/>
      <c r="W1985" s="73"/>
      <c r="X1985" s="73"/>
      <c r="Y1985" s="73"/>
      <c r="Z1985" s="73"/>
      <c r="AA1985" s="73"/>
      <c r="AB1985" s="73"/>
      <c r="AC1985" s="73"/>
      <c r="AD1985" s="73"/>
      <c r="AE1985" s="73"/>
      <c r="AF1985" s="73"/>
      <c r="AG1985" s="73"/>
      <c r="AH1985" s="73"/>
      <c r="AI1985" s="73"/>
      <c r="AJ1985" s="73"/>
      <c r="AK1985" s="73"/>
      <c r="AL1985" s="73"/>
      <c r="AM1985" s="73"/>
      <c r="AN1985" s="73"/>
      <c r="AO1985" s="73"/>
      <c r="AP1985" s="73"/>
      <c r="AQ1985" s="73"/>
      <c r="AR1985" s="73"/>
      <c r="AS1985" s="73"/>
      <c r="AT1985" s="73"/>
      <c r="AU1985" s="73"/>
      <c r="AV1985" s="73"/>
      <c r="AW1985" s="73"/>
      <c r="AX1985" s="73"/>
      <c r="AY1985" s="73"/>
      <c r="AZ1985" s="73"/>
      <c r="BA1985" s="73"/>
      <c r="BB1985" s="73"/>
      <c r="BC1985" s="73"/>
      <c r="BD1985" s="73"/>
      <c r="BE1985" s="73"/>
      <c r="BF1985" s="73"/>
      <c r="BG1985" s="73"/>
      <c r="BH1985" s="73"/>
      <c r="BI1985" s="73"/>
      <c r="BJ1985" s="73"/>
      <c r="BK1985" s="73"/>
      <c r="BL1985" s="73"/>
      <c r="BM1985" s="73"/>
      <c r="BN1985" s="73"/>
      <c r="BO1985" s="73"/>
      <c r="BP1985" s="73"/>
      <c r="BQ1985" s="73"/>
      <c r="BR1985" s="73"/>
      <c r="BS1985" s="73"/>
      <c r="BT1985" s="73"/>
      <c r="BU1985" s="73"/>
      <c r="BV1985" s="73"/>
      <c r="BW1985" s="73"/>
      <c r="BX1985" s="73"/>
      <c r="BY1985" s="73"/>
      <c r="BZ1985" s="73"/>
      <c r="CA1985" s="73"/>
      <c r="CB1985" s="73"/>
      <c r="CC1985" s="73"/>
      <c r="CD1985" s="73"/>
      <c r="CE1985" s="73"/>
      <c r="CF1985" s="73"/>
      <c r="CG1985" s="73"/>
      <c r="CH1985" s="73"/>
      <c r="CI1985" s="73"/>
      <c r="CJ1985" s="73"/>
      <c r="CK1985" s="73"/>
      <c r="CL1985" s="73"/>
      <c r="CM1985" s="73"/>
      <c r="CN1985" s="73"/>
      <c r="CO1985" s="73"/>
      <c r="CP1985" s="73"/>
      <c r="CQ1985" s="73"/>
      <c r="CR1985" s="73"/>
      <c r="CS1985" s="73"/>
      <c r="CT1985" s="73"/>
      <c r="CU1985" s="73"/>
      <c r="CV1985" s="73"/>
      <c r="CW1985" s="73"/>
      <c r="CX1985" s="73"/>
      <c r="CY1985" s="73"/>
      <c r="CZ1985" s="73"/>
      <c r="DA1985" s="73"/>
      <c r="DB1985" s="73"/>
      <c r="DC1985" s="73"/>
      <c r="DD1985" s="73"/>
      <c r="DE1985" s="73"/>
      <c r="DF1985" s="73"/>
      <c r="DG1985" s="73"/>
      <c r="DH1985" s="73"/>
      <c r="DI1985" s="73"/>
      <c r="DJ1985" s="73"/>
      <c r="DK1985" s="73"/>
      <c r="DL1985" s="73"/>
      <c r="DM1985" s="73"/>
    </row>
    <row r="1986" spans="1:117" s="48" customFormat="1">
      <c r="A1986" s="73"/>
      <c r="T1986" s="73"/>
      <c r="U1986" s="73"/>
      <c r="V1986" s="73"/>
      <c r="W1986" s="73"/>
      <c r="X1986" s="73"/>
      <c r="Y1986" s="73"/>
      <c r="Z1986" s="73"/>
      <c r="AA1986" s="73"/>
      <c r="AB1986" s="73"/>
      <c r="AC1986" s="73"/>
      <c r="AD1986" s="73"/>
      <c r="AE1986" s="73"/>
      <c r="AF1986" s="73"/>
      <c r="AG1986" s="73"/>
      <c r="AH1986" s="73"/>
      <c r="AI1986" s="73"/>
      <c r="AJ1986" s="73"/>
      <c r="AK1986" s="73"/>
      <c r="AL1986" s="73"/>
      <c r="AM1986" s="73"/>
      <c r="AN1986" s="73"/>
      <c r="AO1986" s="73"/>
      <c r="AP1986" s="73"/>
      <c r="AQ1986" s="73"/>
      <c r="AR1986" s="73"/>
      <c r="AS1986" s="73"/>
      <c r="AT1986" s="73"/>
      <c r="AU1986" s="73"/>
      <c r="AV1986" s="73"/>
      <c r="AW1986" s="73"/>
      <c r="AX1986" s="73"/>
      <c r="AY1986" s="73"/>
      <c r="AZ1986" s="73"/>
      <c r="BA1986" s="73"/>
      <c r="BB1986" s="73"/>
      <c r="BC1986" s="73"/>
      <c r="BD1986" s="73"/>
      <c r="BE1986" s="73"/>
      <c r="BF1986" s="73"/>
      <c r="BG1986" s="73"/>
      <c r="BH1986" s="73"/>
      <c r="BI1986" s="73"/>
      <c r="BJ1986" s="73"/>
      <c r="BK1986" s="73"/>
      <c r="BL1986" s="73"/>
      <c r="BM1986" s="73"/>
      <c r="BN1986" s="73"/>
      <c r="BO1986" s="73"/>
      <c r="BP1986" s="73"/>
      <c r="BQ1986" s="73"/>
      <c r="BR1986" s="73"/>
      <c r="BS1986" s="73"/>
      <c r="BT1986" s="73"/>
      <c r="BU1986" s="73"/>
      <c r="BV1986" s="73"/>
      <c r="BW1986" s="73"/>
      <c r="BX1986" s="73"/>
      <c r="BY1986" s="73"/>
      <c r="BZ1986" s="73"/>
      <c r="CA1986" s="73"/>
      <c r="CB1986" s="73"/>
      <c r="CC1986" s="73"/>
      <c r="CD1986" s="73"/>
      <c r="CE1986" s="73"/>
      <c r="CF1986" s="73"/>
      <c r="CG1986" s="73"/>
      <c r="CH1986" s="73"/>
      <c r="CI1986" s="73"/>
      <c r="CJ1986" s="73"/>
      <c r="CK1986" s="73"/>
      <c r="CL1986" s="73"/>
      <c r="CM1986" s="73"/>
      <c r="CN1986" s="73"/>
      <c r="CO1986" s="73"/>
      <c r="CP1986" s="73"/>
      <c r="CQ1986" s="73"/>
      <c r="CR1986" s="73"/>
      <c r="CS1986" s="73"/>
      <c r="CT1986" s="73"/>
      <c r="CU1986" s="73"/>
      <c r="CV1986" s="73"/>
      <c r="CW1986" s="73"/>
      <c r="CX1986" s="73"/>
      <c r="CY1986" s="73"/>
      <c r="CZ1986" s="73"/>
      <c r="DA1986" s="73"/>
      <c r="DB1986" s="73"/>
      <c r="DC1986" s="73"/>
      <c r="DD1986" s="73"/>
      <c r="DE1986" s="73"/>
      <c r="DF1986" s="73"/>
      <c r="DG1986" s="73"/>
      <c r="DH1986" s="73"/>
      <c r="DI1986" s="73"/>
      <c r="DJ1986" s="73"/>
      <c r="DK1986" s="73"/>
      <c r="DL1986" s="73"/>
      <c r="DM1986" s="73"/>
    </row>
    <row r="1987" spans="1:117" s="48" customFormat="1">
      <c r="A1987" s="73"/>
      <c r="T1987" s="73"/>
      <c r="U1987" s="73"/>
      <c r="V1987" s="73"/>
      <c r="W1987" s="73"/>
      <c r="X1987" s="73"/>
      <c r="Y1987" s="73"/>
      <c r="Z1987" s="73"/>
      <c r="AA1987" s="73"/>
      <c r="AB1987" s="73"/>
      <c r="AC1987" s="73"/>
      <c r="AD1987" s="73"/>
      <c r="AE1987" s="73"/>
      <c r="AF1987" s="73"/>
      <c r="AG1987" s="73"/>
      <c r="AH1987" s="73"/>
      <c r="AI1987" s="73"/>
      <c r="AJ1987" s="73"/>
      <c r="AK1987" s="73"/>
      <c r="AL1987" s="73"/>
      <c r="AM1987" s="73"/>
      <c r="AN1987" s="73"/>
      <c r="AO1987" s="73"/>
      <c r="AP1987" s="73"/>
      <c r="AQ1987" s="73"/>
      <c r="AR1987" s="73"/>
      <c r="AS1987" s="73"/>
      <c r="AT1987" s="73"/>
      <c r="AU1987" s="73"/>
      <c r="AV1987" s="73"/>
      <c r="AW1987" s="73"/>
      <c r="AX1987" s="73"/>
      <c r="AY1987" s="73"/>
      <c r="AZ1987" s="73"/>
      <c r="BA1987" s="73"/>
      <c r="BB1987" s="73"/>
      <c r="BC1987" s="73"/>
      <c r="BD1987" s="73"/>
      <c r="BE1987" s="73"/>
      <c r="BF1987" s="73"/>
      <c r="BG1987" s="73"/>
      <c r="BH1987" s="73"/>
      <c r="BI1987" s="73"/>
      <c r="BJ1987" s="73"/>
      <c r="BK1987" s="73"/>
      <c r="BL1987" s="73"/>
      <c r="BM1987" s="73"/>
      <c r="BN1987" s="73"/>
      <c r="BO1987" s="73"/>
      <c r="BP1987" s="73"/>
      <c r="BQ1987" s="73"/>
      <c r="BR1987" s="73"/>
      <c r="BS1987" s="73"/>
      <c r="BT1987" s="73"/>
      <c r="BU1987" s="73"/>
      <c r="BV1987" s="73"/>
      <c r="BW1987" s="73"/>
      <c r="BX1987" s="73"/>
      <c r="BY1987" s="73"/>
      <c r="BZ1987" s="73"/>
      <c r="CA1987" s="73"/>
      <c r="CB1987" s="73"/>
      <c r="CC1987" s="73"/>
      <c r="CD1987" s="73"/>
      <c r="CE1987" s="73"/>
      <c r="CF1987" s="73"/>
      <c r="CG1987" s="73"/>
      <c r="CH1987" s="73"/>
      <c r="CI1987" s="73"/>
      <c r="CJ1987" s="73"/>
      <c r="CK1987" s="73"/>
      <c r="CL1987" s="73"/>
      <c r="CM1987" s="73"/>
      <c r="CN1987" s="73"/>
      <c r="CO1987" s="73"/>
      <c r="CP1987" s="73"/>
      <c r="CQ1987" s="73"/>
      <c r="CR1987" s="73"/>
      <c r="CS1987" s="73"/>
      <c r="CT1987" s="73"/>
      <c r="CU1987" s="73"/>
      <c r="CV1987" s="73"/>
      <c r="CW1987" s="73"/>
      <c r="CX1987" s="73"/>
      <c r="CY1987" s="73"/>
      <c r="CZ1987" s="73"/>
      <c r="DA1987" s="73"/>
      <c r="DB1987" s="73"/>
      <c r="DC1987" s="73"/>
      <c r="DD1987" s="73"/>
      <c r="DE1987" s="73"/>
      <c r="DF1987" s="73"/>
      <c r="DG1987" s="73"/>
      <c r="DH1987" s="73"/>
      <c r="DI1987" s="73"/>
      <c r="DJ1987" s="73"/>
      <c r="DK1987" s="73"/>
      <c r="DL1987" s="73"/>
      <c r="DM1987" s="73"/>
    </row>
    <row r="1988" spans="1:117" s="48" customFormat="1">
      <c r="A1988" s="73"/>
      <c r="T1988" s="73"/>
      <c r="U1988" s="73"/>
      <c r="V1988" s="73"/>
      <c r="W1988" s="73"/>
      <c r="X1988" s="73"/>
      <c r="Y1988" s="73"/>
      <c r="Z1988" s="73"/>
      <c r="AA1988" s="73"/>
      <c r="AB1988" s="73"/>
      <c r="AC1988" s="73"/>
      <c r="AD1988" s="73"/>
      <c r="AE1988" s="73"/>
      <c r="AF1988" s="73"/>
      <c r="AG1988" s="73"/>
      <c r="AH1988" s="73"/>
      <c r="AI1988" s="73"/>
      <c r="AJ1988" s="73"/>
      <c r="AK1988" s="73"/>
      <c r="AL1988" s="73"/>
      <c r="AM1988" s="73"/>
      <c r="AN1988" s="73"/>
      <c r="AO1988" s="73"/>
      <c r="AP1988" s="73"/>
      <c r="AQ1988" s="73"/>
      <c r="AR1988" s="73"/>
      <c r="AS1988" s="73"/>
      <c r="AT1988" s="73"/>
      <c r="AU1988" s="73"/>
      <c r="AV1988" s="73"/>
      <c r="AW1988" s="73"/>
      <c r="AX1988" s="73"/>
      <c r="AY1988" s="73"/>
      <c r="AZ1988" s="73"/>
      <c r="BA1988" s="73"/>
      <c r="BB1988" s="73"/>
      <c r="BC1988" s="73"/>
      <c r="BD1988" s="73"/>
      <c r="BE1988" s="73"/>
      <c r="BF1988" s="73"/>
      <c r="BG1988" s="73"/>
      <c r="BH1988" s="73"/>
      <c r="BI1988" s="73"/>
      <c r="BJ1988" s="73"/>
      <c r="BK1988" s="73"/>
      <c r="BL1988" s="73"/>
      <c r="BM1988" s="73"/>
      <c r="BN1988" s="73"/>
      <c r="BO1988" s="73"/>
      <c r="BP1988" s="73"/>
      <c r="BQ1988" s="73"/>
      <c r="BR1988" s="73"/>
      <c r="BS1988" s="73"/>
      <c r="BT1988" s="73"/>
      <c r="BU1988" s="73"/>
      <c r="BV1988" s="73"/>
      <c r="BW1988" s="73"/>
      <c r="BX1988" s="73"/>
      <c r="BY1988" s="73"/>
      <c r="BZ1988" s="73"/>
      <c r="CA1988" s="73"/>
      <c r="CB1988" s="73"/>
      <c r="CC1988" s="73"/>
      <c r="CD1988" s="73"/>
      <c r="CE1988" s="73"/>
      <c r="CF1988" s="73"/>
      <c r="CG1988" s="73"/>
      <c r="CH1988" s="73"/>
      <c r="CI1988" s="73"/>
      <c r="CJ1988" s="73"/>
      <c r="CK1988" s="73"/>
      <c r="CL1988" s="73"/>
      <c r="CM1988" s="73"/>
      <c r="CN1988" s="73"/>
      <c r="CO1988" s="73"/>
      <c r="CP1988" s="73"/>
      <c r="CQ1988" s="73"/>
      <c r="CR1988" s="73"/>
      <c r="CS1988" s="73"/>
      <c r="CT1988" s="73"/>
      <c r="CU1988" s="73"/>
      <c r="CV1988" s="73"/>
      <c r="CW1988" s="73"/>
      <c r="CX1988" s="73"/>
      <c r="CY1988" s="73"/>
      <c r="CZ1988" s="73"/>
      <c r="DA1988" s="73"/>
      <c r="DB1988" s="73"/>
      <c r="DC1988" s="73"/>
      <c r="DD1988" s="73"/>
      <c r="DE1988" s="73"/>
      <c r="DF1988" s="73"/>
      <c r="DG1988" s="73"/>
      <c r="DH1988" s="73"/>
      <c r="DI1988" s="73"/>
      <c r="DJ1988" s="73"/>
      <c r="DK1988" s="73"/>
      <c r="DL1988" s="73"/>
      <c r="DM1988" s="73"/>
    </row>
    <row r="1989" spans="1:117" s="48" customFormat="1">
      <c r="A1989" s="73"/>
      <c r="T1989" s="73"/>
      <c r="U1989" s="73"/>
      <c r="V1989" s="73"/>
      <c r="W1989" s="73"/>
      <c r="X1989" s="73"/>
      <c r="Y1989" s="73"/>
      <c r="Z1989" s="73"/>
      <c r="AA1989" s="73"/>
      <c r="AB1989" s="73"/>
      <c r="AC1989" s="73"/>
      <c r="AD1989" s="73"/>
      <c r="AE1989" s="73"/>
      <c r="AF1989" s="73"/>
      <c r="AG1989" s="73"/>
      <c r="AH1989" s="73"/>
      <c r="AI1989" s="73"/>
      <c r="AJ1989" s="73"/>
      <c r="AK1989" s="73"/>
      <c r="AL1989" s="73"/>
      <c r="AM1989" s="73"/>
      <c r="AN1989" s="73"/>
      <c r="AO1989" s="73"/>
      <c r="AP1989" s="73"/>
      <c r="AQ1989" s="73"/>
      <c r="AR1989" s="73"/>
      <c r="AS1989" s="73"/>
      <c r="AT1989" s="73"/>
      <c r="AU1989" s="73"/>
      <c r="AV1989" s="73"/>
      <c r="AW1989" s="73"/>
      <c r="AX1989" s="73"/>
      <c r="AY1989" s="73"/>
      <c r="AZ1989" s="73"/>
      <c r="BA1989" s="73"/>
      <c r="BB1989" s="73"/>
      <c r="BC1989" s="73"/>
      <c r="BD1989" s="73"/>
      <c r="BE1989" s="73"/>
      <c r="BF1989" s="73"/>
      <c r="BG1989" s="73"/>
      <c r="BH1989" s="73"/>
      <c r="BI1989" s="73"/>
      <c r="BJ1989" s="73"/>
      <c r="BK1989" s="73"/>
      <c r="BL1989" s="73"/>
      <c r="BM1989" s="73"/>
      <c r="BN1989" s="73"/>
      <c r="BO1989" s="73"/>
      <c r="BP1989" s="73"/>
      <c r="BQ1989" s="73"/>
      <c r="BR1989" s="73"/>
      <c r="BS1989" s="73"/>
      <c r="BT1989" s="73"/>
      <c r="BU1989" s="73"/>
      <c r="BV1989" s="73"/>
      <c r="BW1989" s="73"/>
      <c r="BX1989" s="73"/>
      <c r="BY1989" s="73"/>
      <c r="BZ1989" s="73"/>
      <c r="CA1989" s="73"/>
      <c r="CB1989" s="73"/>
      <c r="CC1989" s="73"/>
      <c r="CD1989" s="73"/>
      <c r="CE1989" s="73"/>
      <c r="CF1989" s="73"/>
      <c r="CG1989" s="73"/>
      <c r="CH1989" s="73"/>
      <c r="CI1989" s="73"/>
      <c r="CJ1989" s="73"/>
      <c r="CK1989" s="73"/>
      <c r="CL1989" s="73"/>
      <c r="CM1989" s="73"/>
      <c r="CN1989" s="73"/>
      <c r="CO1989" s="73"/>
      <c r="CP1989" s="73"/>
      <c r="CQ1989" s="73"/>
      <c r="CR1989" s="73"/>
      <c r="CS1989" s="73"/>
      <c r="CT1989" s="73"/>
      <c r="CU1989" s="73"/>
      <c r="CV1989" s="73"/>
      <c r="CW1989" s="73"/>
      <c r="CX1989" s="73"/>
      <c r="CY1989" s="73"/>
      <c r="CZ1989" s="73"/>
      <c r="DA1989" s="73"/>
      <c r="DB1989" s="73"/>
      <c r="DC1989" s="73"/>
      <c r="DD1989" s="73"/>
      <c r="DE1989" s="73"/>
      <c r="DF1989" s="73"/>
      <c r="DG1989" s="73"/>
      <c r="DH1989" s="73"/>
      <c r="DI1989" s="73"/>
      <c r="DJ1989" s="73"/>
      <c r="DK1989" s="73"/>
      <c r="DL1989" s="73"/>
      <c r="DM1989" s="73"/>
    </row>
    <row r="1990" spans="1:117" s="48" customFormat="1">
      <c r="A1990" s="73"/>
      <c r="T1990" s="73"/>
      <c r="U1990" s="73"/>
      <c r="V1990" s="73"/>
      <c r="W1990" s="73"/>
      <c r="X1990" s="73"/>
      <c r="Y1990" s="73"/>
      <c r="Z1990" s="73"/>
      <c r="AA1990" s="73"/>
      <c r="AB1990" s="73"/>
      <c r="AC1990" s="73"/>
      <c r="AD1990" s="73"/>
      <c r="AE1990" s="73"/>
      <c r="AF1990" s="73"/>
      <c r="AG1990" s="73"/>
      <c r="AH1990" s="73"/>
      <c r="AI1990" s="73"/>
      <c r="AJ1990" s="73"/>
      <c r="AK1990" s="73"/>
      <c r="AL1990" s="73"/>
      <c r="AM1990" s="73"/>
      <c r="AN1990" s="73"/>
      <c r="AO1990" s="73"/>
      <c r="AP1990" s="73"/>
      <c r="AQ1990" s="73"/>
      <c r="AR1990" s="73"/>
      <c r="AS1990" s="73"/>
      <c r="AT1990" s="73"/>
      <c r="AU1990" s="73"/>
      <c r="AV1990" s="73"/>
      <c r="AW1990" s="73"/>
      <c r="AX1990" s="73"/>
      <c r="AY1990" s="73"/>
      <c r="AZ1990" s="73"/>
      <c r="BA1990" s="73"/>
      <c r="BB1990" s="73"/>
      <c r="BC1990" s="73"/>
      <c r="BD1990" s="73"/>
      <c r="BE1990" s="73"/>
      <c r="BF1990" s="73"/>
      <c r="BG1990" s="73"/>
      <c r="BH1990" s="73"/>
      <c r="BI1990" s="73"/>
      <c r="BJ1990" s="73"/>
      <c r="BK1990" s="73"/>
      <c r="BL1990" s="73"/>
      <c r="BM1990" s="73"/>
      <c r="BN1990" s="73"/>
      <c r="BO1990" s="73"/>
      <c r="BP1990" s="73"/>
      <c r="BQ1990" s="73"/>
      <c r="BR1990" s="73"/>
      <c r="BS1990" s="73"/>
      <c r="BT1990" s="73"/>
      <c r="BU1990" s="73"/>
      <c r="BV1990" s="73"/>
      <c r="BW1990" s="73"/>
      <c r="BX1990" s="73"/>
      <c r="BY1990" s="73"/>
      <c r="BZ1990" s="73"/>
      <c r="CA1990" s="73"/>
      <c r="CB1990" s="73"/>
      <c r="CC1990" s="73"/>
      <c r="CD1990" s="73"/>
      <c r="CE1990" s="73"/>
      <c r="CF1990" s="73"/>
      <c r="CG1990" s="73"/>
      <c r="CH1990" s="73"/>
      <c r="CI1990" s="73"/>
      <c r="CJ1990" s="73"/>
      <c r="CK1990" s="73"/>
      <c r="CL1990" s="73"/>
      <c r="CM1990" s="73"/>
      <c r="CN1990" s="73"/>
      <c r="CO1990" s="73"/>
      <c r="CP1990" s="73"/>
      <c r="CQ1990" s="73"/>
      <c r="CR1990" s="73"/>
      <c r="CS1990" s="73"/>
      <c r="CT1990" s="73"/>
      <c r="CU1990" s="73"/>
      <c r="CV1990" s="73"/>
      <c r="CW1990" s="73"/>
      <c r="CX1990" s="73"/>
      <c r="CY1990" s="73"/>
      <c r="CZ1990" s="73"/>
      <c r="DA1990" s="73"/>
      <c r="DB1990" s="73"/>
      <c r="DC1990" s="73"/>
      <c r="DD1990" s="73"/>
      <c r="DE1990" s="73"/>
      <c r="DF1990" s="73"/>
      <c r="DG1990" s="73"/>
      <c r="DH1990" s="73"/>
      <c r="DI1990" s="73"/>
      <c r="DJ1990" s="73"/>
      <c r="DK1990" s="73"/>
      <c r="DL1990" s="73"/>
      <c r="DM1990" s="73"/>
    </row>
    <row r="1991" spans="1:117" s="48" customFormat="1">
      <c r="A1991" s="73"/>
      <c r="T1991" s="73"/>
      <c r="U1991" s="73"/>
      <c r="V1991" s="73"/>
      <c r="W1991" s="73"/>
      <c r="X1991" s="73"/>
      <c r="Y1991" s="73"/>
      <c r="Z1991" s="73"/>
      <c r="AA1991" s="73"/>
      <c r="AB1991" s="73"/>
      <c r="AC1991" s="73"/>
      <c r="AD1991" s="73"/>
      <c r="AE1991" s="73"/>
      <c r="AF1991" s="73"/>
      <c r="AG1991" s="73"/>
      <c r="AH1991" s="73"/>
      <c r="AI1991" s="73"/>
      <c r="AJ1991" s="73"/>
      <c r="AK1991" s="73"/>
      <c r="AL1991" s="73"/>
      <c r="AM1991" s="73"/>
      <c r="AN1991" s="73"/>
      <c r="AO1991" s="73"/>
      <c r="AP1991" s="73"/>
      <c r="AQ1991" s="73"/>
      <c r="AR1991" s="73"/>
      <c r="AS1991" s="73"/>
      <c r="AT1991" s="73"/>
      <c r="AU1991" s="73"/>
      <c r="AV1991" s="73"/>
      <c r="AW1991" s="73"/>
      <c r="AX1991" s="73"/>
      <c r="AY1991" s="73"/>
      <c r="AZ1991" s="73"/>
      <c r="BA1991" s="73"/>
      <c r="BB1991" s="73"/>
      <c r="BC1991" s="73"/>
      <c r="BD1991" s="73"/>
      <c r="BE1991" s="73"/>
      <c r="BF1991" s="73"/>
      <c r="BG1991" s="73"/>
      <c r="BH1991" s="73"/>
      <c r="BI1991" s="73"/>
      <c r="BJ1991" s="73"/>
      <c r="BK1991" s="73"/>
      <c r="BL1991" s="73"/>
      <c r="BM1991" s="73"/>
      <c r="BN1991" s="73"/>
      <c r="BO1991" s="73"/>
      <c r="BP1991" s="73"/>
      <c r="BQ1991" s="73"/>
      <c r="BR1991" s="73"/>
      <c r="BS1991" s="73"/>
      <c r="BT1991" s="73"/>
      <c r="BU1991" s="73"/>
      <c r="BV1991" s="73"/>
      <c r="BW1991" s="73"/>
      <c r="BX1991" s="73"/>
      <c r="BY1991" s="73"/>
      <c r="BZ1991" s="73"/>
      <c r="CA1991" s="73"/>
      <c r="CB1991" s="73"/>
      <c r="CC1991" s="73"/>
      <c r="CD1991" s="73"/>
      <c r="CE1991" s="73"/>
      <c r="CF1991" s="73"/>
      <c r="CG1991" s="73"/>
      <c r="CH1991" s="73"/>
      <c r="CI1991" s="73"/>
      <c r="CJ1991" s="73"/>
      <c r="CK1991" s="73"/>
      <c r="CL1991" s="73"/>
      <c r="CM1991" s="73"/>
      <c r="CN1991" s="73"/>
      <c r="CO1991" s="73"/>
      <c r="CP1991" s="73"/>
      <c r="CQ1991" s="73"/>
      <c r="CR1991" s="73"/>
      <c r="CS1991" s="73"/>
      <c r="CT1991" s="73"/>
      <c r="CU1991" s="73"/>
      <c r="CV1991" s="73"/>
      <c r="CW1991" s="73"/>
      <c r="CX1991" s="73"/>
      <c r="CY1991" s="73"/>
      <c r="CZ1991" s="73"/>
      <c r="DA1991" s="73"/>
      <c r="DB1991" s="73"/>
      <c r="DC1991" s="73"/>
      <c r="DD1991" s="73"/>
      <c r="DE1991" s="73"/>
      <c r="DF1991" s="73"/>
      <c r="DG1991" s="73"/>
      <c r="DH1991" s="73"/>
      <c r="DI1991" s="73"/>
      <c r="DJ1991" s="73"/>
      <c r="DK1991" s="73"/>
      <c r="DL1991" s="73"/>
      <c r="DM1991" s="73"/>
    </row>
    <row r="1992" spans="1:117" s="48" customFormat="1">
      <c r="A1992" s="73"/>
      <c r="T1992" s="73"/>
      <c r="U1992" s="73"/>
      <c r="V1992" s="73"/>
      <c r="W1992" s="73"/>
      <c r="X1992" s="73"/>
      <c r="Y1992" s="73"/>
      <c r="Z1992" s="73"/>
      <c r="AA1992" s="73"/>
      <c r="AB1992" s="73"/>
      <c r="AC1992" s="73"/>
      <c r="AD1992" s="73"/>
      <c r="AE1992" s="73"/>
      <c r="AF1992" s="73"/>
      <c r="AG1992" s="73"/>
      <c r="AH1992" s="73"/>
      <c r="AI1992" s="73"/>
      <c r="AJ1992" s="73"/>
      <c r="AK1992" s="73"/>
      <c r="AL1992" s="73"/>
      <c r="AM1992" s="73"/>
      <c r="AN1992" s="73"/>
      <c r="AO1992" s="73"/>
      <c r="AP1992" s="73"/>
      <c r="AQ1992" s="73"/>
      <c r="AR1992" s="73"/>
      <c r="AS1992" s="73"/>
      <c r="AT1992" s="73"/>
      <c r="AU1992" s="73"/>
      <c r="AV1992" s="73"/>
      <c r="AW1992" s="73"/>
      <c r="AX1992" s="73"/>
      <c r="AY1992" s="73"/>
      <c r="AZ1992" s="73"/>
      <c r="BA1992" s="73"/>
      <c r="BB1992" s="73"/>
      <c r="BC1992" s="73"/>
      <c r="BD1992" s="73"/>
      <c r="BE1992" s="73"/>
      <c r="BF1992" s="73"/>
      <c r="BG1992" s="73"/>
      <c r="BH1992" s="73"/>
      <c r="BI1992" s="73"/>
      <c r="BJ1992" s="73"/>
      <c r="BK1992" s="73"/>
      <c r="BL1992" s="73"/>
      <c r="BM1992" s="73"/>
      <c r="BN1992" s="73"/>
      <c r="BO1992" s="73"/>
      <c r="BP1992" s="73"/>
      <c r="BQ1992" s="73"/>
      <c r="BR1992" s="73"/>
      <c r="BS1992" s="73"/>
      <c r="BT1992" s="73"/>
      <c r="BU1992" s="73"/>
      <c r="BV1992" s="73"/>
      <c r="BW1992" s="73"/>
      <c r="BX1992" s="73"/>
      <c r="BY1992" s="73"/>
      <c r="BZ1992" s="73"/>
      <c r="CA1992" s="73"/>
      <c r="CB1992" s="73"/>
      <c r="CC1992" s="73"/>
      <c r="CD1992" s="73"/>
      <c r="CE1992" s="73"/>
      <c r="CF1992" s="73"/>
      <c r="CG1992" s="73"/>
      <c r="CH1992" s="73"/>
      <c r="CI1992" s="73"/>
      <c r="CJ1992" s="73"/>
      <c r="CK1992" s="73"/>
      <c r="CL1992" s="73"/>
      <c r="CM1992" s="73"/>
      <c r="CN1992" s="73"/>
      <c r="CO1992" s="73"/>
      <c r="CP1992" s="73"/>
      <c r="CQ1992" s="73"/>
      <c r="CR1992" s="73"/>
      <c r="CS1992" s="73"/>
      <c r="CT1992" s="73"/>
      <c r="CU1992" s="73"/>
      <c r="CV1992" s="73"/>
      <c r="CW1992" s="73"/>
      <c r="CX1992" s="73"/>
      <c r="CY1992" s="73"/>
      <c r="CZ1992" s="73"/>
      <c r="DA1992" s="73"/>
      <c r="DB1992" s="73"/>
      <c r="DC1992" s="73"/>
      <c r="DD1992" s="73"/>
      <c r="DE1992" s="73"/>
      <c r="DF1992" s="73"/>
      <c r="DG1992" s="73"/>
      <c r="DH1992" s="73"/>
      <c r="DI1992" s="73"/>
      <c r="DJ1992" s="73"/>
      <c r="DK1992" s="73"/>
      <c r="DL1992" s="73"/>
      <c r="DM1992" s="73"/>
    </row>
    <row r="1993" spans="1:117" s="48" customFormat="1">
      <c r="A1993" s="73"/>
      <c r="T1993" s="73"/>
      <c r="U1993" s="73"/>
      <c r="V1993" s="73"/>
      <c r="W1993" s="73"/>
      <c r="X1993" s="73"/>
      <c r="Y1993" s="73"/>
      <c r="Z1993" s="73"/>
      <c r="AA1993" s="73"/>
      <c r="AB1993" s="73"/>
      <c r="AC1993" s="73"/>
      <c r="AD1993" s="73"/>
      <c r="AE1993" s="73"/>
      <c r="AF1993" s="73"/>
      <c r="AG1993" s="73"/>
      <c r="AH1993" s="73"/>
      <c r="AI1993" s="73"/>
      <c r="AJ1993" s="73"/>
      <c r="AK1993" s="73"/>
      <c r="AL1993" s="73"/>
      <c r="AM1993" s="73"/>
      <c r="AN1993" s="73"/>
      <c r="AO1993" s="73"/>
      <c r="AP1993" s="73"/>
      <c r="AQ1993" s="73"/>
      <c r="AR1993" s="73"/>
      <c r="AS1993" s="73"/>
      <c r="AT1993" s="73"/>
      <c r="AU1993" s="73"/>
      <c r="AV1993" s="73"/>
      <c r="AW1993" s="73"/>
      <c r="AX1993" s="73"/>
      <c r="AY1993" s="73"/>
      <c r="AZ1993" s="73"/>
      <c r="BA1993" s="73"/>
      <c r="BB1993" s="73"/>
      <c r="BC1993" s="73"/>
      <c r="BD1993" s="73"/>
      <c r="BE1993" s="73"/>
      <c r="BF1993" s="73"/>
      <c r="BG1993" s="73"/>
      <c r="BH1993" s="73"/>
      <c r="BI1993" s="73"/>
      <c r="BJ1993" s="73"/>
      <c r="BK1993" s="73"/>
      <c r="BL1993" s="73"/>
      <c r="BM1993" s="73"/>
      <c r="BN1993" s="73"/>
      <c r="BO1993" s="73"/>
      <c r="BP1993" s="73"/>
      <c r="BQ1993" s="73"/>
      <c r="BR1993" s="73"/>
      <c r="BS1993" s="73"/>
      <c r="BT1993" s="73"/>
      <c r="BU1993" s="73"/>
      <c r="BV1993" s="73"/>
      <c r="BW1993" s="73"/>
      <c r="BX1993" s="73"/>
      <c r="BY1993" s="73"/>
      <c r="BZ1993" s="73"/>
      <c r="CA1993" s="73"/>
      <c r="CB1993" s="73"/>
      <c r="CC1993" s="73"/>
      <c r="CD1993" s="73"/>
      <c r="CE1993" s="73"/>
      <c r="CF1993" s="73"/>
      <c r="CG1993" s="73"/>
      <c r="CH1993" s="73"/>
      <c r="CI1993" s="73"/>
      <c r="CJ1993" s="73"/>
      <c r="CK1993" s="73"/>
      <c r="CL1993" s="73"/>
      <c r="CM1993" s="73"/>
      <c r="CN1993" s="73"/>
      <c r="CO1993" s="73"/>
      <c r="CP1993" s="73"/>
      <c r="CQ1993" s="73"/>
      <c r="CR1993" s="73"/>
      <c r="CS1993" s="73"/>
      <c r="CT1993" s="73"/>
      <c r="CU1993" s="73"/>
      <c r="CV1993" s="73"/>
      <c r="CW1993" s="73"/>
      <c r="CX1993" s="73"/>
      <c r="CY1993" s="73"/>
      <c r="CZ1993" s="73"/>
      <c r="DA1993" s="73"/>
      <c r="DB1993" s="73"/>
      <c r="DC1993" s="73"/>
      <c r="DD1993" s="73"/>
      <c r="DE1993" s="73"/>
      <c r="DF1993" s="73"/>
      <c r="DG1993" s="73"/>
      <c r="DH1993" s="73"/>
      <c r="DI1993" s="73"/>
      <c r="DJ1993" s="73"/>
      <c r="DK1993" s="73"/>
      <c r="DL1993" s="73"/>
      <c r="DM1993" s="73"/>
    </row>
    <row r="1994" spans="1:117" s="48" customFormat="1">
      <c r="A1994" s="73"/>
      <c r="T1994" s="73"/>
      <c r="U1994" s="73"/>
      <c r="V1994" s="73"/>
      <c r="W1994" s="73"/>
      <c r="X1994" s="73"/>
      <c r="Y1994" s="73"/>
      <c r="Z1994" s="73"/>
      <c r="AA1994" s="73"/>
      <c r="AB1994" s="73"/>
      <c r="AC1994" s="73"/>
      <c r="AD1994" s="73"/>
      <c r="AE1994" s="73"/>
      <c r="AF1994" s="73"/>
      <c r="AG1994" s="73"/>
      <c r="AH1994" s="73"/>
      <c r="AI1994" s="73"/>
      <c r="AJ1994" s="73"/>
      <c r="AK1994" s="73"/>
      <c r="AL1994" s="73"/>
      <c r="AM1994" s="73"/>
      <c r="AN1994" s="73"/>
      <c r="AO1994" s="73"/>
      <c r="AP1994" s="73"/>
      <c r="AQ1994" s="73"/>
      <c r="AR1994" s="73"/>
      <c r="AS1994" s="73"/>
      <c r="AT1994" s="73"/>
      <c r="AU1994" s="73"/>
      <c r="AV1994" s="73"/>
      <c r="AW1994" s="73"/>
      <c r="AX1994" s="73"/>
      <c r="AY1994" s="73"/>
      <c r="AZ1994" s="73"/>
      <c r="BA1994" s="73"/>
      <c r="BB1994" s="73"/>
      <c r="BC1994" s="73"/>
      <c r="BD1994" s="73"/>
      <c r="BE1994" s="73"/>
      <c r="BF1994" s="73"/>
      <c r="BG1994" s="73"/>
      <c r="BH1994" s="73"/>
      <c r="BI1994" s="73"/>
      <c r="BJ1994" s="73"/>
      <c r="BK1994" s="73"/>
      <c r="BL1994" s="73"/>
      <c r="BM1994" s="73"/>
      <c r="BN1994" s="73"/>
      <c r="BO1994" s="73"/>
      <c r="BP1994" s="73"/>
      <c r="BQ1994" s="73"/>
      <c r="BR1994" s="73"/>
      <c r="BS1994" s="73"/>
      <c r="BT1994" s="73"/>
      <c r="BU1994" s="73"/>
      <c r="BV1994" s="73"/>
      <c r="BW1994" s="73"/>
      <c r="BX1994" s="73"/>
      <c r="BY1994" s="73"/>
      <c r="BZ1994" s="73"/>
      <c r="CA1994" s="73"/>
      <c r="CB1994" s="73"/>
      <c r="CC1994" s="73"/>
      <c r="CD1994" s="73"/>
      <c r="CE1994" s="73"/>
      <c r="CF1994" s="73"/>
      <c r="CG1994" s="73"/>
      <c r="CH1994" s="73"/>
      <c r="CI1994" s="73"/>
      <c r="CJ1994" s="73"/>
      <c r="CK1994" s="73"/>
      <c r="CL1994" s="73"/>
      <c r="CM1994" s="73"/>
      <c r="CN1994" s="73"/>
      <c r="CO1994" s="73"/>
      <c r="CP1994" s="73"/>
      <c r="CQ1994" s="73"/>
      <c r="CR1994" s="73"/>
      <c r="CS1994" s="73"/>
      <c r="CT1994" s="73"/>
      <c r="CU1994" s="73"/>
      <c r="CV1994" s="73"/>
      <c r="CW1994" s="73"/>
      <c r="CX1994" s="73"/>
      <c r="CY1994" s="73"/>
      <c r="CZ1994" s="73"/>
      <c r="DA1994" s="73"/>
      <c r="DB1994" s="73"/>
      <c r="DC1994" s="73"/>
      <c r="DD1994" s="73"/>
      <c r="DE1994" s="73"/>
      <c r="DF1994" s="73"/>
      <c r="DG1994" s="73"/>
      <c r="DH1994" s="73"/>
      <c r="DI1994" s="73"/>
      <c r="DJ1994" s="73"/>
      <c r="DK1994" s="73"/>
      <c r="DL1994" s="73"/>
      <c r="DM1994" s="73"/>
    </row>
    <row r="1995" spans="1:117" s="48" customFormat="1">
      <c r="A1995" s="73"/>
      <c r="T1995" s="73"/>
      <c r="U1995" s="73"/>
      <c r="V1995" s="73"/>
      <c r="W1995" s="73"/>
      <c r="X1995" s="73"/>
      <c r="Y1995" s="73"/>
      <c r="Z1995" s="73"/>
      <c r="AA1995" s="73"/>
      <c r="AB1995" s="73"/>
      <c r="AC1995" s="73"/>
      <c r="AD1995" s="73"/>
      <c r="AE1995" s="73"/>
      <c r="AF1995" s="73"/>
      <c r="AG1995" s="73"/>
      <c r="AH1995" s="73"/>
      <c r="AI1995" s="73"/>
      <c r="AJ1995" s="73"/>
      <c r="AK1995" s="73"/>
      <c r="AL1995" s="73"/>
      <c r="AM1995" s="73"/>
      <c r="AN1995" s="73"/>
      <c r="AO1995" s="73"/>
      <c r="AP1995" s="73"/>
      <c r="AQ1995" s="73"/>
      <c r="AR1995" s="73"/>
      <c r="AS1995" s="73"/>
      <c r="AT1995" s="73"/>
      <c r="AU1995" s="73"/>
      <c r="AV1995" s="73"/>
      <c r="AW1995" s="73"/>
      <c r="AX1995" s="73"/>
      <c r="AY1995" s="73"/>
      <c r="AZ1995" s="73"/>
      <c r="BA1995" s="73"/>
      <c r="BB1995" s="73"/>
      <c r="BC1995" s="73"/>
      <c r="BD1995" s="73"/>
      <c r="BE1995" s="73"/>
      <c r="BF1995" s="73"/>
      <c r="BG1995" s="73"/>
      <c r="BH1995" s="73"/>
      <c r="BI1995" s="73"/>
      <c r="BJ1995" s="73"/>
      <c r="BK1995" s="73"/>
      <c r="BL1995" s="73"/>
      <c r="BM1995" s="73"/>
      <c r="BN1995" s="73"/>
      <c r="BO1995" s="73"/>
      <c r="BP1995" s="73"/>
      <c r="BQ1995" s="73"/>
      <c r="BR1995" s="73"/>
      <c r="BS1995" s="73"/>
      <c r="BT1995" s="73"/>
      <c r="BU1995" s="73"/>
      <c r="BV1995" s="73"/>
      <c r="BW1995" s="73"/>
      <c r="BX1995" s="73"/>
      <c r="BY1995" s="73"/>
      <c r="BZ1995" s="73"/>
      <c r="CA1995" s="73"/>
      <c r="CB1995" s="73"/>
      <c r="CC1995" s="73"/>
      <c r="CD1995" s="73"/>
      <c r="CE1995" s="73"/>
      <c r="CF1995" s="73"/>
      <c r="CG1995" s="73"/>
      <c r="CH1995" s="73"/>
      <c r="CI1995" s="73"/>
      <c r="CJ1995" s="73"/>
      <c r="CK1995" s="73"/>
      <c r="CL1995" s="73"/>
      <c r="CM1995" s="73"/>
      <c r="CN1995" s="73"/>
      <c r="CO1995" s="73"/>
      <c r="CP1995" s="73"/>
      <c r="CQ1995" s="73"/>
      <c r="CR1995" s="73"/>
      <c r="CS1995" s="73"/>
      <c r="CT1995" s="73"/>
      <c r="CU1995" s="73"/>
      <c r="CV1995" s="73"/>
      <c r="CW1995" s="73"/>
      <c r="CX1995" s="73"/>
      <c r="CY1995" s="73"/>
      <c r="CZ1995" s="73"/>
      <c r="DA1995" s="73"/>
      <c r="DB1995" s="73"/>
      <c r="DC1995" s="73"/>
      <c r="DD1995" s="73"/>
      <c r="DE1995" s="73"/>
      <c r="DF1995" s="73"/>
      <c r="DG1995" s="73"/>
      <c r="DH1995" s="73"/>
      <c r="DI1995" s="73"/>
      <c r="DJ1995" s="73"/>
      <c r="DK1995" s="73"/>
      <c r="DL1995" s="73"/>
      <c r="DM1995" s="73"/>
    </row>
    <row r="1996" spans="1:117" s="48" customFormat="1">
      <c r="A1996" s="73"/>
      <c r="T1996" s="73"/>
      <c r="U1996" s="73"/>
      <c r="V1996" s="73"/>
      <c r="W1996" s="73"/>
      <c r="X1996" s="73"/>
      <c r="Y1996" s="73"/>
      <c r="Z1996" s="73"/>
      <c r="AA1996" s="73"/>
      <c r="AB1996" s="73"/>
      <c r="AC1996" s="73"/>
      <c r="AD1996" s="73"/>
      <c r="AE1996" s="73"/>
      <c r="AF1996" s="73"/>
      <c r="AG1996" s="73"/>
      <c r="AH1996" s="73"/>
      <c r="AI1996" s="73"/>
      <c r="AJ1996" s="73"/>
      <c r="AK1996" s="73"/>
      <c r="AL1996" s="73"/>
      <c r="AM1996" s="73"/>
      <c r="AN1996" s="73"/>
      <c r="AO1996" s="73"/>
      <c r="AP1996" s="73"/>
      <c r="AQ1996" s="73"/>
      <c r="AR1996" s="73"/>
      <c r="AS1996" s="73"/>
      <c r="AT1996" s="73"/>
      <c r="AU1996" s="73"/>
      <c r="AV1996" s="73"/>
      <c r="AW1996" s="73"/>
      <c r="AX1996" s="73"/>
      <c r="AY1996" s="73"/>
      <c r="AZ1996" s="73"/>
      <c r="BA1996" s="73"/>
      <c r="BB1996" s="73"/>
      <c r="BC1996" s="73"/>
      <c r="BD1996" s="73"/>
      <c r="BE1996" s="73"/>
      <c r="BF1996" s="73"/>
      <c r="BG1996" s="73"/>
      <c r="BH1996" s="73"/>
      <c r="BI1996" s="73"/>
      <c r="BJ1996" s="73"/>
      <c r="BK1996" s="73"/>
      <c r="BL1996" s="73"/>
      <c r="BM1996" s="73"/>
      <c r="BN1996" s="73"/>
      <c r="BO1996" s="73"/>
      <c r="BP1996" s="73"/>
      <c r="BQ1996" s="73"/>
      <c r="BR1996" s="73"/>
      <c r="BS1996" s="73"/>
      <c r="BT1996" s="73"/>
      <c r="BU1996" s="73"/>
      <c r="BV1996" s="73"/>
      <c r="BW1996" s="73"/>
      <c r="BX1996" s="73"/>
      <c r="BY1996" s="73"/>
      <c r="BZ1996" s="73"/>
      <c r="CA1996" s="73"/>
      <c r="CB1996" s="73"/>
      <c r="CC1996" s="73"/>
      <c r="CD1996" s="73"/>
      <c r="CE1996" s="73"/>
      <c r="CF1996" s="73"/>
      <c r="CG1996" s="73"/>
      <c r="CH1996" s="73"/>
      <c r="CI1996" s="73"/>
      <c r="CJ1996" s="73"/>
      <c r="CK1996" s="73"/>
      <c r="CL1996" s="73"/>
      <c r="CM1996" s="73"/>
      <c r="CN1996" s="73"/>
      <c r="CO1996" s="73"/>
      <c r="CP1996" s="73"/>
      <c r="CQ1996" s="73"/>
      <c r="CR1996" s="73"/>
      <c r="CS1996" s="73"/>
      <c r="CT1996" s="73"/>
      <c r="CU1996" s="73"/>
      <c r="CV1996" s="73"/>
      <c r="CW1996" s="73"/>
      <c r="CX1996" s="73"/>
      <c r="CY1996" s="73"/>
      <c r="CZ1996" s="73"/>
      <c r="DA1996" s="73"/>
      <c r="DB1996" s="73"/>
      <c r="DC1996" s="73"/>
      <c r="DD1996" s="73"/>
      <c r="DE1996" s="73"/>
      <c r="DF1996" s="73"/>
      <c r="DG1996" s="73"/>
      <c r="DH1996" s="73"/>
      <c r="DI1996" s="73"/>
      <c r="DJ1996" s="73"/>
      <c r="DK1996" s="73"/>
      <c r="DL1996" s="73"/>
      <c r="DM1996" s="73"/>
    </row>
    <row r="1997" spans="1:117" s="48" customFormat="1">
      <c r="A1997" s="73"/>
      <c r="T1997" s="73"/>
      <c r="U1997" s="73"/>
      <c r="V1997" s="73"/>
      <c r="W1997" s="73"/>
      <c r="X1997" s="73"/>
      <c r="Y1997" s="73"/>
      <c r="Z1997" s="73"/>
      <c r="AA1997" s="73"/>
      <c r="AB1997" s="73"/>
      <c r="AC1997" s="73"/>
      <c r="AD1997" s="73"/>
      <c r="AE1997" s="73"/>
      <c r="AF1997" s="73"/>
      <c r="AG1997" s="73"/>
      <c r="AH1997" s="73"/>
      <c r="AI1997" s="73"/>
      <c r="AJ1997" s="73"/>
      <c r="AK1997" s="73"/>
      <c r="AL1997" s="73"/>
      <c r="AM1997" s="73"/>
      <c r="AN1997" s="73"/>
      <c r="AO1997" s="73"/>
      <c r="AP1997" s="73"/>
      <c r="AQ1997" s="73"/>
      <c r="AR1997" s="73"/>
      <c r="AS1997" s="73"/>
      <c r="AT1997" s="73"/>
      <c r="AU1997" s="73"/>
      <c r="AV1997" s="73"/>
      <c r="AW1997" s="73"/>
      <c r="AX1997" s="73"/>
      <c r="AY1997" s="73"/>
      <c r="AZ1997" s="73"/>
      <c r="BA1997" s="73"/>
      <c r="BB1997" s="73"/>
      <c r="BC1997" s="73"/>
      <c r="BD1997" s="73"/>
      <c r="BE1997" s="73"/>
      <c r="BF1997" s="73"/>
      <c r="BG1997" s="73"/>
      <c r="BH1997" s="73"/>
      <c r="BI1997" s="73"/>
      <c r="BJ1997" s="73"/>
      <c r="BK1997" s="73"/>
      <c r="BL1997" s="73"/>
      <c r="BM1997" s="73"/>
      <c r="BN1997" s="73"/>
      <c r="BO1997" s="73"/>
      <c r="BP1997" s="73"/>
      <c r="BQ1997" s="73"/>
      <c r="BR1997" s="73"/>
      <c r="BS1997" s="73"/>
      <c r="BT1997" s="73"/>
      <c r="BU1997" s="73"/>
      <c r="BV1997" s="73"/>
      <c r="BW1997" s="73"/>
      <c r="BX1997" s="73"/>
      <c r="BY1997" s="73"/>
      <c r="BZ1997" s="73"/>
      <c r="CA1997" s="73"/>
      <c r="CB1997" s="73"/>
      <c r="CC1997" s="73"/>
      <c r="CD1997" s="73"/>
      <c r="CE1997" s="73"/>
      <c r="CF1997" s="73"/>
      <c r="CG1997" s="73"/>
      <c r="CH1997" s="73"/>
      <c r="CI1997" s="73"/>
      <c r="CJ1997" s="73"/>
      <c r="CK1997" s="73"/>
      <c r="CL1997" s="73"/>
      <c r="CM1997" s="73"/>
      <c r="CN1997" s="73"/>
      <c r="CO1997" s="73"/>
      <c r="CP1997" s="73"/>
      <c r="CQ1997" s="73"/>
      <c r="CR1997" s="73"/>
      <c r="CS1997" s="73"/>
      <c r="CT1997" s="73"/>
      <c r="CU1997" s="73"/>
      <c r="CV1997" s="73"/>
      <c r="CW1997" s="73"/>
      <c r="CX1997" s="73"/>
      <c r="CY1997" s="73"/>
      <c r="CZ1997" s="73"/>
      <c r="DA1997" s="73"/>
      <c r="DB1997" s="73"/>
      <c r="DC1997" s="73"/>
      <c r="DD1997" s="73"/>
      <c r="DE1997" s="73"/>
      <c r="DF1997" s="73"/>
      <c r="DG1997" s="73"/>
      <c r="DH1997" s="73"/>
      <c r="DI1997" s="73"/>
      <c r="DJ1997" s="73"/>
      <c r="DK1997" s="73"/>
      <c r="DL1997" s="73"/>
      <c r="DM1997" s="73"/>
    </row>
    <row r="1998" spans="1:117" s="48" customFormat="1">
      <c r="A1998" s="73"/>
      <c r="T1998" s="73"/>
      <c r="U1998" s="73"/>
      <c r="V1998" s="73"/>
      <c r="W1998" s="73"/>
      <c r="X1998" s="73"/>
      <c r="Y1998" s="73"/>
      <c r="Z1998" s="73"/>
      <c r="AA1998" s="73"/>
      <c r="AB1998" s="73"/>
      <c r="AC1998" s="73"/>
      <c r="AD1998" s="73"/>
      <c r="AE1998" s="73"/>
      <c r="AF1998" s="73"/>
      <c r="AG1998" s="73"/>
      <c r="AH1998" s="73"/>
      <c r="AI1998" s="73"/>
      <c r="AJ1998" s="73"/>
      <c r="AK1998" s="73"/>
      <c r="AL1998" s="73"/>
      <c r="AM1998" s="73"/>
      <c r="AN1998" s="73"/>
      <c r="AO1998" s="73"/>
      <c r="AP1998" s="73"/>
      <c r="AQ1998" s="73"/>
      <c r="AR1998" s="73"/>
      <c r="AS1998" s="73"/>
      <c r="AT1998" s="73"/>
      <c r="AU1998" s="73"/>
      <c r="AV1998" s="73"/>
      <c r="AW1998" s="73"/>
      <c r="AX1998" s="73"/>
      <c r="AY1998" s="73"/>
      <c r="AZ1998" s="73"/>
      <c r="BA1998" s="73"/>
      <c r="BB1998" s="73"/>
      <c r="BC1998" s="73"/>
      <c r="BD1998" s="73"/>
      <c r="BE1998" s="73"/>
      <c r="BF1998" s="73"/>
      <c r="BG1998" s="73"/>
      <c r="BH1998" s="73"/>
      <c r="BI1998" s="73"/>
      <c r="BJ1998" s="73"/>
      <c r="BK1998" s="73"/>
      <c r="BL1998" s="73"/>
      <c r="BM1998" s="73"/>
      <c r="BN1998" s="73"/>
      <c r="BO1998" s="73"/>
      <c r="BP1998" s="73"/>
      <c r="BQ1998" s="73"/>
      <c r="BR1998" s="73"/>
      <c r="BS1998" s="73"/>
      <c r="BT1998" s="73"/>
      <c r="BU1998" s="73"/>
      <c r="BV1998" s="73"/>
      <c r="BW1998" s="73"/>
      <c r="BX1998" s="73"/>
      <c r="BY1998" s="73"/>
      <c r="BZ1998" s="73"/>
      <c r="CA1998" s="73"/>
      <c r="CB1998" s="73"/>
      <c r="CC1998" s="73"/>
      <c r="CD1998" s="73"/>
      <c r="CE1998" s="73"/>
      <c r="CF1998" s="73"/>
      <c r="CG1998" s="73"/>
      <c r="CH1998" s="73"/>
      <c r="CI1998" s="73"/>
      <c r="CJ1998" s="73"/>
      <c r="CK1998" s="73"/>
      <c r="CL1998" s="73"/>
      <c r="CM1998" s="73"/>
      <c r="CN1998" s="73"/>
      <c r="CO1998" s="73"/>
      <c r="CP1998" s="73"/>
      <c r="CQ1998" s="73"/>
      <c r="CR1998" s="73"/>
      <c r="CS1998" s="73"/>
      <c r="CT1998" s="73"/>
      <c r="CU1998" s="73"/>
      <c r="CV1998" s="73"/>
      <c r="CW1998" s="73"/>
      <c r="CX1998" s="73"/>
      <c r="CY1998" s="73"/>
      <c r="CZ1998" s="73"/>
      <c r="DA1998" s="73"/>
      <c r="DB1998" s="73"/>
      <c r="DC1998" s="73"/>
      <c r="DD1998" s="73"/>
      <c r="DE1998" s="73"/>
      <c r="DF1998" s="73"/>
      <c r="DG1998" s="73"/>
      <c r="DH1998" s="73"/>
      <c r="DI1998" s="73"/>
      <c r="DJ1998" s="73"/>
      <c r="DK1998" s="73"/>
      <c r="DL1998" s="73"/>
      <c r="DM1998" s="73"/>
    </row>
    <row r="1999" spans="1:117" s="48" customFormat="1">
      <c r="A1999" s="73"/>
      <c r="T1999" s="73"/>
      <c r="U1999" s="73"/>
      <c r="V1999" s="73"/>
      <c r="W1999" s="73"/>
      <c r="X1999" s="73"/>
      <c r="Y1999" s="73"/>
      <c r="Z1999" s="73"/>
      <c r="AA1999" s="73"/>
      <c r="AB1999" s="73"/>
      <c r="AC1999" s="73"/>
      <c r="AD1999" s="73"/>
      <c r="AE1999" s="73"/>
      <c r="AF1999" s="73"/>
      <c r="AG1999" s="73"/>
      <c r="AH1999" s="73"/>
      <c r="AI1999" s="73"/>
      <c r="AJ1999" s="73"/>
      <c r="AK1999" s="73"/>
      <c r="AL1999" s="73"/>
      <c r="AM1999" s="73"/>
      <c r="AN1999" s="73"/>
      <c r="AO1999" s="73"/>
      <c r="AP1999" s="73"/>
      <c r="AQ1999" s="73"/>
      <c r="AR1999" s="73"/>
      <c r="AS1999" s="73"/>
      <c r="AT1999" s="73"/>
      <c r="AU1999" s="73"/>
      <c r="AV1999" s="73"/>
      <c r="AW1999" s="73"/>
      <c r="AX1999" s="73"/>
      <c r="AY1999" s="73"/>
      <c r="AZ1999" s="73"/>
      <c r="BA1999" s="73"/>
      <c r="BB1999" s="73"/>
      <c r="BC1999" s="73"/>
      <c r="BD1999" s="73"/>
      <c r="BE1999" s="73"/>
      <c r="BF1999" s="73"/>
      <c r="BG1999" s="73"/>
      <c r="BH1999" s="73"/>
      <c r="BI1999" s="73"/>
      <c r="BJ1999" s="73"/>
      <c r="BK1999" s="73"/>
      <c r="BL1999" s="73"/>
      <c r="BM1999" s="73"/>
      <c r="BN1999" s="73"/>
      <c r="BO1999" s="73"/>
      <c r="BP1999" s="73"/>
      <c r="BQ1999" s="73"/>
      <c r="BR1999" s="73"/>
      <c r="BS1999" s="73"/>
      <c r="BT1999" s="73"/>
      <c r="BU1999" s="73"/>
      <c r="BV1999" s="73"/>
      <c r="BW1999" s="73"/>
      <c r="BX1999" s="73"/>
      <c r="BY1999" s="73"/>
      <c r="BZ1999" s="73"/>
      <c r="CA1999" s="73"/>
      <c r="CB1999" s="73"/>
      <c r="CC1999" s="73"/>
      <c r="CD1999" s="73"/>
      <c r="CE1999" s="73"/>
      <c r="CF1999" s="73"/>
      <c r="CG1999" s="73"/>
      <c r="CH1999" s="73"/>
      <c r="CI1999" s="73"/>
      <c r="CJ1999" s="73"/>
      <c r="CK1999" s="73"/>
      <c r="CL1999" s="73"/>
      <c r="CM1999" s="73"/>
      <c r="CN1999" s="73"/>
      <c r="CO1999" s="73"/>
      <c r="CP1999" s="73"/>
      <c r="CQ1999" s="73"/>
      <c r="CR1999" s="73"/>
      <c r="CS1999" s="73"/>
      <c r="CT1999" s="73"/>
      <c r="CU1999" s="73"/>
      <c r="CV1999" s="73"/>
      <c r="CW1999" s="73"/>
      <c r="CX1999" s="73"/>
      <c r="CY1999" s="73"/>
      <c r="CZ1999" s="73"/>
      <c r="DA1999" s="73"/>
      <c r="DB1999" s="73"/>
      <c r="DC1999" s="73"/>
      <c r="DD1999" s="73"/>
      <c r="DE1999" s="73"/>
      <c r="DF1999" s="73"/>
      <c r="DG1999" s="73"/>
      <c r="DH1999" s="73"/>
      <c r="DI1999" s="73"/>
      <c r="DJ1999" s="73"/>
      <c r="DK1999" s="73"/>
      <c r="DL1999" s="73"/>
      <c r="DM1999" s="73"/>
    </row>
    <row r="2000" spans="1:117" s="48" customFormat="1">
      <c r="A2000" s="73"/>
      <c r="T2000" s="73"/>
      <c r="U2000" s="73"/>
      <c r="V2000" s="73"/>
      <c r="W2000" s="73"/>
      <c r="X2000" s="73"/>
      <c r="Y2000" s="73"/>
      <c r="Z2000" s="73"/>
      <c r="AA2000" s="73"/>
      <c r="AB2000" s="73"/>
      <c r="AC2000" s="73"/>
      <c r="AD2000" s="73"/>
      <c r="AE2000" s="73"/>
      <c r="AF2000" s="73"/>
      <c r="AG2000" s="73"/>
      <c r="AH2000" s="73"/>
      <c r="AI2000" s="73"/>
      <c r="AJ2000" s="73"/>
      <c r="AK2000" s="73"/>
      <c r="AL2000" s="73"/>
      <c r="AM2000" s="73"/>
      <c r="AN2000" s="73"/>
      <c r="AO2000" s="73"/>
      <c r="AP2000" s="73"/>
      <c r="AQ2000" s="73"/>
      <c r="AR2000" s="73"/>
      <c r="AS2000" s="73"/>
      <c r="AT2000" s="73"/>
      <c r="AU2000" s="73"/>
      <c r="AV2000" s="73"/>
      <c r="AW2000" s="73"/>
      <c r="AX2000" s="73"/>
      <c r="AY2000" s="73"/>
      <c r="AZ2000" s="73"/>
      <c r="BA2000" s="73"/>
      <c r="BB2000" s="73"/>
      <c r="BC2000" s="73"/>
      <c r="BD2000" s="73"/>
      <c r="BE2000" s="73"/>
      <c r="BF2000" s="73"/>
      <c r="BG2000" s="73"/>
      <c r="BH2000" s="73"/>
      <c r="BI2000" s="73"/>
      <c r="BJ2000" s="73"/>
      <c r="BK2000" s="73"/>
      <c r="BL2000" s="73"/>
      <c r="BM2000" s="73"/>
      <c r="BN2000" s="73"/>
      <c r="BO2000" s="73"/>
      <c r="BP2000" s="73"/>
      <c r="BQ2000" s="73"/>
      <c r="BR2000" s="73"/>
      <c r="BS2000" s="73"/>
      <c r="BT2000" s="73"/>
      <c r="BU2000" s="73"/>
      <c r="BV2000" s="73"/>
      <c r="BW2000" s="73"/>
      <c r="BX2000" s="73"/>
      <c r="BY2000" s="73"/>
      <c r="BZ2000" s="73"/>
      <c r="CA2000" s="73"/>
      <c r="CB2000" s="73"/>
      <c r="CC2000" s="73"/>
      <c r="CD2000" s="73"/>
      <c r="CE2000" s="73"/>
      <c r="CF2000" s="73"/>
      <c r="CG2000" s="73"/>
      <c r="CH2000" s="73"/>
      <c r="CI2000" s="73"/>
      <c r="CJ2000" s="73"/>
      <c r="CK2000" s="73"/>
      <c r="CL2000" s="73"/>
      <c r="CM2000" s="73"/>
      <c r="CN2000" s="73"/>
      <c r="CO2000" s="73"/>
      <c r="CP2000" s="73"/>
      <c r="CQ2000" s="73"/>
      <c r="CR2000" s="73"/>
      <c r="CS2000" s="73"/>
      <c r="CT2000" s="73"/>
      <c r="CU2000" s="73"/>
      <c r="CV2000" s="73"/>
      <c r="CW2000" s="73"/>
      <c r="CX2000" s="73"/>
      <c r="CY2000" s="73"/>
      <c r="CZ2000" s="73"/>
      <c r="DA2000" s="73"/>
      <c r="DB2000" s="73"/>
      <c r="DC2000" s="73"/>
      <c r="DD2000" s="73"/>
      <c r="DE2000" s="73"/>
      <c r="DF2000" s="73"/>
      <c r="DG2000" s="73"/>
      <c r="DH2000" s="73"/>
      <c r="DI2000" s="73"/>
      <c r="DJ2000" s="73"/>
      <c r="DK2000" s="73"/>
      <c r="DL2000" s="73"/>
      <c r="DM2000" s="73"/>
    </row>
    <row r="2001" spans="1:117" s="48" customFormat="1">
      <c r="A2001" s="73"/>
      <c r="T2001" s="73"/>
      <c r="U2001" s="73"/>
      <c r="V2001" s="73"/>
      <c r="W2001" s="73"/>
      <c r="X2001" s="73"/>
      <c r="Y2001" s="73"/>
      <c r="Z2001" s="73"/>
      <c r="AA2001" s="73"/>
      <c r="AB2001" s="73"/>
      <c r="AC2001" s="73"/>
      <c r="AD2001" s="73"/>
      <c r="AE2001" s="73"/>
      <c r="AF2001" s="73"/>
      <c r="AG2001" s="73"/>
      <c r="AH2001" s="73"/>
      <c r="AI2001" s="73"/>
      <c r="AJ2001" s="73"/>
      <c r="AK2001" s="73"/>
      <c r="AL2001" s="73"/>
      <c r="AM2001" s="73"/>
      <c r="AN2001" s="73"/>
      <c r="AO2001" s="73"/>
      <c r="AP2001" s="73"/>
      <c r="AQ2001" s="73"/>
      <c r="AR2001" s="73"/>
      <c r="AS2001" s="73"/>
      <c r="AT2001" s="73"/>
      <c r="AU2001" s="73"/>
      <c r="AV2001" s="73"/>
      <c r="AW2001" s="73"/>
      <c r="AX2001" s="73"/>
      <c r="AY2001" s="73"/>
      <c r="AZ2001" s="73"/>
      <c r="BA2001" s="73"/>
      <c r="BB2001" s="73"/>
      <c r="BC2001" s="73"/>
      <c r="BD2001" s="73"/>
      <c r="BE2001" s="73"/>
      <c r="BF2001" s="73"/>
      <c r="BG2001" s="73"/>
      <c r="BH2001" s="73"/>
      <c r="BI2001" s="73"/>
      <c r="BJ2001" s="73"/>
      <c r="BK2001" s="73"/>
      <c r="BL2001" s="73"/>
      <c r="BM2001" s="73"/>
      <c r="BN2001" s="73"/>
      <c r="BO2001" s="73"/>
      <c r="BP2001" s="73"/>
      <c r="BQ2001" s="73"/>
      <c r="BR2001" s="73"/>
      <c r="BS2001" s="73"/>
      <c r="BT2001" s="73"/>
      <c r="BU2001" s="73"/>
      <c r="BV2001" s="73"/>
      <c r="BW2001" s="73"/>
      <c r="BX2001" s="73"/>
      <c r="BY2001" s="73"/>
      <c r="BZ2001" s="73"/>
      <c r="CA2001" s="73"/>
      <c r="CB2001" s="73"/>
      <c r="CC2001" s="73"/>
      <c r="CD2001" s="73"/>
      <c r="CE2001" s="73"/>
      <c r="CF2001" s="73"/>
      <c r="CG2001" s="73"/>
      <c r="CH2001" s="73"/>
      <c r="CI2001" s="73"/>
      <c r="CJ2001" s="73"/>
      <c r="CK2001" s="73"/>
      <c r="CL2001" s="73"/>
      <c r="CM2001" s="73"/>
      <c r="CN2001" s="73"/>
      <c r="CO2001" s="73"/>
      <c r="CP2001" s="73"/>
      <c r="CQ2001" s="73"/>
      <c r="CR2001" s="73"/>
      <c r="CS2001" s="73"/>
      <c r="CT2001" s="73"/>
      <c r="CU2001" s="73"/>
      <c r="CV2001" s="73"/>
      <c r="CW2001" s="73"/>
      <c r="CX2001" s="73"/>
      <c r="CY2001" s="73"/>
      <c r="CZ2001" s="73"/>
      <c r="DA2001" s="73"/>
      <c r="DB2001" s="73"/>
      <c r="DC2001" s="73"/>
      <c r="DD2001" s="73"/>
      <c r="DE2001" s="73"/>
      <c r="DF2001" s="73"/>
      <c r="DG2001" s="73"/>
      <c r="DH2001" s="73"/>
      <c r="DI2001" s="73"/>
      <c r="DJ2001" s="73"/>
      <c r="DK2001" s="73"/>
      <c r="DL2001" s="73"/>
      <c r="DM2001" s="73"/>
    </row>
    <row r="2002" spans="1:117" s="48" customFormat="1">
      <c r="A2002" s="73"/>
      <c r="T2002" s="73"/>
      <c r="U2002" s="73"/>
      <c r="V2002" s="73"/>
      <c r="W2002" s="73"/>
      <c r="X2002" s="73"/>
      <c r="Y2002" s="73"/>
      <c r="Z2002" s="73"/>
      <c r="AA2002" s="73"/>
      <c r="AB2002" s="73"/>
      <c r="AC2002" s="73"/>
      <c r="AD2002" s="73"/>
      <c r="AE2002" s="73"/>
      <c r="AF2002" s="73"/>
      <c r="AG2002" s="73"/>
      <c r="AH2002" s="73"/>
      <c r="AI2002" s="73"/>
      <c r="AJ2002" s="73"/>
      <c r="AK2002" s="73"/>
      <c r="AL2002" s="73"/>
      <c r="AM2002" s="73"/>
      <c r="AN2002" s="73"/>
      <c r="AO2002" s="73"/>
      <c r="AP2002" s="73"/>
      <c r="AQ2002" s="73"/>
      <c r="AR2002" s="73"/>
      <c r="AS2002" s="73"/>
      <c r="AT2002" s="73"/>
      <c r="AU2002" s="73"/>
      <c r="AV2002" s="73"/>
      <c r="AW2002" s="73"/>
      <c r="AX2002" s="73"/>
      <c r="AY2002" s="73"/>
      <c r="AZ2002" s="73"/>
      <c r="BA2002" s="73"/>
      <c r="BB2002" s="73"/>
      <c r="BC2002" s="73"/>
      <c r="BD2002" s="73"/>
      <c r="BE2002" s="73"/>
      <c r="BF2002" s="73"/>
      <c r="BG2002" s="73"/>
      <c r="BH2002" s="73"/>
      <c r="BI2002" s="73"/>
      <c r="BJ2002" s="73"/>
      <c r="BK2002" s="73"/>
      <c r="BL2002" s="73"/>
      <c r="BM2002" s="73"/>
      <c r="BN2002" s="73"/>
      <c r="BO2002" s="73"/>
      <c r="BP2002" s="73"/>
      <c r="BQ2002" s="73"/>
      <c r="BR2002" s="73"/>
      <c r="BS2002" s="73"/>
      <c r="BT2002" s="73"/>
      <c r="BU2002" s="73"/>
      <c r="BV2002" s="73"/>
      <c r="BW2002" s="73"/>
      <c r="BX2002" s="73"/>
      <c r="BY2002" s="73"/>
      <c r="BZ2002" s="73"/>
      <c r="CA2002" s="73"/>
      <c r="CB2002" s="73"/>
      <c r="CC2002" s="73"/>
      <c r="CD2002" s="73"/>
      <c r="CE2002" s="73"/>
      <c r="CF2002" s="73"/>
      <c r="CG2002" s="73"/>
      <c r="CH2002" s="73"/>
      <c r="CI2002" s="73"/>
      <c r="CJ2002" s="73"/>
      <c r="CK2002" s="73"/>
      <c r="CL2002" s="73"/>
      <c r="CM2002" s="73"/>
      <c r="CN2002" s="73"/>
      <c r="CO2002" s="73"/>
      <c r="CP2002" s="73"/>
      <c r="CQ2002" s="73"/>
      <c r="CR2002" s="73"/>
      <c r="CS2002" s="73"/>
      <c r="CT2002" s="73"/>
      <c r="CU2002" s="73"/>
      <c r="CV2002" s="73"/>
      <c r="CW2002" s="73"/>
      <c r="CX2002" s="73"/>
      <c r="CY2002" s="73"/>
      <c r="CZ2002" s="73"/>
      <c r="DA2002" s="73"/>
      <c r="DB2002" s="73"/>
      <c r="DC2002" s="73"/>
      <c r="DD2002" s="73"/>
      <c r="DE2002" s="73"/>
      <c r="DF2002" s="73"/>
      <c r="DG2002" s="73"/>
      <c r="DH2002" s="73"/>
      <c r="DI2002" s="73"/>
      <c r="DJ2002" s="73"/>
      <c r="DK2002" s="73"/>
      <c r="DL2002" s="73"/>
      <c r="DM2002" s="73"/>
    </row>
    <row r="2003" spans="1:117" s="48" customFormat="1">
      <c r="A2003" s="73"/>
      <c r="T2003" s="73"/>
      <c r="U2003" s="73"/>
      <c r="V2003" s="73"/>
      <c r="W2003" s="73"/>
      <c r="X2003" s="73"/>
      <c r="Y2003" s="73"/>
      <c r="Z2003" s="73"/>
      <c r="AA2003" s="73"/>
      <c r="AB2003" s="73"/>
      <c r="AC2003" s="73"/>
      <c r="AD2003" s="73"/>
      <c r="AE2003" s="73"/>
      <c r="AF2003" s="73"/>
      <c r="AG2003" s="73"/>
      <c r="AH2003" s="73"/>
      <c r="AI2003" s="73"/>
      <c r="AJ2003" s="73"/>
      <c r="AK2003" s="73"/>
      <c r="AL2003" s="73"/>
      <c r="AM2003" s="73"/>
      <c r="AN2003" s="73"/>
      <c r="AO2003" s="73"/>
      <c r="AP2003" s="73"/>
      <c r="AQ2003" s="73"/>
      <c r="AR2003" s="73"/>
      <c r="AS2003" s="73"/>
      <c r="AT2003" s="73"/>
      <c r="AU2003" s="73"/>
      <c r="AV2003" s="73"/>
      <c r="AW2003" s="73"/>
      <c r="AX2003" s="73"/>
      <c r="AY2003" s="73"/>
      <c r="AZ2003" s="73"/>
      <c r="BA2003" s="73"/>
      <c r="BB2003" s="73"/>
      <c r="BC2003" s="73"/>
      <c r="BD2003" s="73"/>
      <c r="BE2003" s="73"/>
      <c r="BF2003" s="73"/>
      <c r="BG2003" s="73"/>
      <c r="BH2003" s="73"/>
      <c r="BI2003" s="73"/>
      <c r="BJ2003" s="73"/>
      <c r="BK2003" s="73"/>
      <c r="BL2003" s="73"/>
      <c r="BM2003" s="73"/>
      <c r="BN2003" s="73"/>
      <c r="BO2003" s="73"/>
      <c r="BP2003" s="73"/>
      <c r="BQ2003" s="73"/>
      <c r="BR2003" s="73"/>
      <c r="BS2003" s="73"/>
      <c r="BT2003" s="73"/>
      <c r="BU2003" s="73"/>
      <c r="BV2003" s="73"/>
      <c r="BW2003" s="73"/>
      <c r="BX2003" s="73"/>
      <c r="BY2003" s="73"/>
      <c r="BZ2003" s="73"/>
      <c r="CA2003" s="73"/>
      <c r="CB2003" s="73"/>
      <c r="CC2003" s="73"/>
      <c r="CD2003" s="73"/>
      <c r="CE2003" s="73"/>
      <c r="CF2003" s="73"/>
      <c r="CG2003" s="73"/>
      <c r="CH2003" s="73"/>
      <c r="CI2003" s="73"/>
      <c r="CJ2003" s="73"/>
      <c r="CK2003" s="73"/>
      <c r="CL2003" s="73"/>
      <c r="CM2003" s="73"/>
      <c r="CN2003" s="73"/>
      <c r="CO2003" s="73"/>
      <c r="CP2003" s="73"/>
      <c r="CQ2003" s="73"/>
      <c r="CR2003" s="73"/>
      <c r="CS2003" s="73"/>
      <c r="CT2003" s="73"/>
      <c r="CU2003" s="73"/>
      <c r="CV2003" s="73"/>
      <c r="CW2003" s="73"/>
      <c r="CX2003" s="73"/>
      <c r="CY2003" s="73"/>
      <c r="CZ2003" s="73"/>
      <c r="DA2003" s="73"/>
      <c r="DB2003" s="73"/>
      <c r="DC2003" s="73"/>
      <c r="DD2003" s="73"/>
      <c r="DE2003" s="73"/>
      <c r="DF2003" s="73"/>
      <c r="DG2003" s="73"/>
      <c r="DH2003" s="73"/>
      <c r="DI2003" s="73"/>
      <c r="DJ2003" s="73"/>
      <c r="DK2003" s="73"/>
      <c r="DL2003" s="73"/>
      <c r="DM2003" s="73"/>
    </row>
    <row r="2004" spans="1:117" s="48" customFormat="1">
      <c r="A2004" s="73"/>
      <c r="T2004" s="73"/>
      <c r="U2004" s="73"/>
      <c r="V2004" s="73"/>
      <c r="W2004" s="73"/>
      <c r="X2004" s="73"/>
      <c r="Y2004" s="73"/>
      <c r="Z2004" s="73"/>
      <c r="AA2004" s="73"/>
      <c r="AB2004" s="73"/>
      <c r="AC2004" s="73"/>
      <c r="AD2004" s="73"/>
      <c r="AE2004" s="73"/>
      <c r="AF2004" s="73"/>
      <c r="AG2004" s="73"/>
      <c r="AH2004" s="73"/>
      <c r="AI2004" s="73"/>
      <c r="AJ2004" s="73"/>
      <c r="AK2004" s="73"/>
      <c r="AL2004" s="73"/>
      <c r="AM2004" s="73"/>
      <c r="AN2004" s="73"/>
      <c r="AO2004" s="73"/>
      <c r="AP2004" s="73"/>
      <c r="AQ2004" s="73"/>
      <c r="AR2004" s="73"/>
      <c r="AS2004" s="73"/>
      <c r="AT2004" s="73"/>
      <c r="AU2004" s="73"/>
      <c r="AV2004" s="73"/>
      <c r="AW2004" s="73"/>
      <c r="AX2004" s="73"/>
      <c r="AY2004" s="73"/>
      <c r="AZ2004" s="73"/>
      <c r="BA2004" s="73"/>
      <c r="BB2004" s="73"/>
      <c r="BC2004" s="73"/>
      <c r="BD2004" s="73"/>
      <c r="BE2004" s="73"/>
      <c r="BF2004" s="73"/>
      <c r="BG2004" s="73"/>
      <c r="BH2004" s="73"/>
      <c r="BI2004" s="73"/>
      <c r="BJ2004" s="73"/>
      <c r="BK2004" s="73"/>
      <c r="BL2004" s="73"/>
      <c r="BM2004" s="73"/>
      <c r="BN2004" s="73"/>
      <c r="BO2004" s="73"/>
      <c r="BP2004" s="73"/>
      <c r="BQ2004" s="73"/>
      <c r="BR2004" s="73"/>
      <c r="BS2004" s="73"/>
      <c r="BT2004" s="73"/>
      <c r="BU2004" s="73"/>
      <c r="BV2004" s="73"/>
      <c r="BW2004" s="73"/>
      <c r="BX2004" s="73"/>
      <c r="BY2004" s="73"/>
      <c r="BZ2004" s="73"/>
      <c r="CA2004" s="73"/>
      <c r="CB2004" s="73"/>
      <c r="CC2004" s="73"/>
      <c r="CD2004" s="73"/>
      <c r="CE2004" s="73"/>
      <c r="CF2004" s="73"/>
      <c r="CG2004" s="73"/>
      <c r="CH2004" s="73"/>
      <c r="CI2004" s="73"/>
      <c r="CJ2004" s="73"/>
      <c r="CK2004" s="73"/>
      <c r="CL2004" s="73"/>
      <c r="CM2004" s="73"/>
      <c r="CN2004" s="73"/>
      <c r="CO2004" s="73"/>
      <c r="CP2004" s="73"/>
      <c r="CQ2004" s="73"/>
      <c r="CR2004" s="73"/>
      <c r="CS2004" s="73"/>
      <c r="CT2004" s="73"/>
      <c r="CU2004" s="73"/>
      <c r="CV2004" s="73"/>
      <c r="CW2004" s="73"/>
      <c r="CX2004" s="73"/>
      <c r="CY2004" s="73"/>
      <c r="CZ2004" s="73"/>
      <c r="DA2004" s="73"/>
      <c r="DB2004" s="73"/>
      <c r="DC2004" s="73"/>
      <c r="DD2004" s="73"/>
      <c r="DE2004" s="73"/>
      <c r="DF2004" s="73"/>
      <c r="DG2004" s="73"/>
      <c r="DH2004" s="73"/>
      <c r="DI2004" s="73"/>
      <c r="DJ2004" s="73"/>
      <c r="DK2004" s="73"/>
      <c r="DL2004" s="73"/>
      <c r="DM2004" s="73"/>
    </row>
  </sheetData>
  <sheetProtection algorithmName="SHA-512" hashValue="cStzJIb/didq2txmhILEPkceyU2q+BZb15KWPUxnr2nDYpXcgKoNEiDBO/nE+aKlAk0RIx/jDrneOdxDERA2jw==" saltValue="qV0WTnCkyDjriWmdcSwN4A==" spinCount="100000" sheet="1" selectLockedCells="1"/>
  <protectedRanges>
    <protectedRange sqref="E48:F48 F52:F57 N59:O60 O63:O65" name="Todas"/>
  </protectedRanges>
  <mergeCells count="49">
    <mergeCell ref="C7:R7"/>
    <mergeCell ref="D51:E51"/>
    <mergeCell ref="C42:G43"/>
    <mergeCell ref="J42:R43"/>
    <mergeCell ref="D55:E55"/>
    <mergeCell ref="J10:K10"/>
    <mergeCell ref="K64:N64"/>
    <mergeCell ref="J40:R40"/>
    <mergeCell ref="D52:E52"/>
    <mergeCell ref="J44:R44"/>
    <mergeCell ref="K47:L47"/>
    <mergeCell ref="N47:O47"/>
    <mergeCell ref="K46:O46"/>
    <mergeCell ref="K63:N63"/>
    <mergeCell ref="K59:M59"/>
    <mergeCell ref="K60:M60"/>
    <mergeCell ref="K49:O49"/>
    <mergeCell ref="C5:R5"/>
    <mergeCell ref="G206:I206"/>
    <mergeCell ref="G207:I207"/>
    <mergeCell ref="G208:I208"/>
    <mergeCell ref="G200:I200"/>
    <mergeCell ref="G201:I201"/>
    <mergeCell ref="G202:I202"/>
    <mergeCell ref="G203:I203"/>
    <mergeCell ref="G204:I204"/>
    <mergeCell ref="G205:I205"/>
    <mergeCell ref="J12:K12"/>
    <mergeCell ref="J14:K14"/>
    <mergeCell ref="K65:N65"/>
    <mergeCell ref="K66:N66"/>
    <mergeCell ref="C40:G40"/>
    <mergeCell ref="J56:R56"/>
    <mergeCell ref="D198:E198"/>
    <mergeCell ref="G198:J198"/>
    <mergeCell ref="V24:AG24"/>
    <mergeCell ref="C100:E100"/>
    <mergeCell ref="C88:E88"/>
    <mergeCell ref="C71:E71"/>
    <mergeCell ref="C192:E192"/>
    <mergeCell ref="D78:E78"/>
    <mergeCell ref="C173:D173"/>
    <mergeCell ref="C183:D183"/>
    <mergeCell ref="D57:E57"/>
    <mergeCell ref="D58:E58"/>
    <mergeCell ref="K62:N62"/>
    <mergeCell ref="D56:E56"/>
    <mergeCell ref="D53:E53"/>
    <mergeCell ref="D54:E54"/>
  </mergeCells>
  <phoneticPr fontId="6" type="noConversion"/>
  <dataValidations disablePrompts="1" count="9">
    <dataValidation type="list" allowBlank="1" showInputMessage="1" showErrorMessage="1" sqref="N10">
      <formula1>"Sí,No"</formula1>
    </dataValidation>
    <dataValidation type="list" allowBlank="1" showInputMessage="1" showErrorMessage="1" sqref="E125 E8">
      <formula1>"Movistar,Vodafone,Orange,Yoigo"</formula1>
    </dataValidation>
    <dataValidation type="list" allowBlank="1" showInputMessage="1" showErrorMessage="1" sqref="E163">
      <formula1>"BT,Jazztel,Movistar,ONO,Vodafone"</formula1>
    </dataValidation>
    <dataValidation type="whole" allowBlank="1" showInputMessage="1" showErrorMessage="1" sqref="N12">
      <formula1>0</formula1>
      <formula2>E12</formula2>
    </dataValidation>
    <dataValidation type="decimal" allowBlank="1" showInputMessage="1" showErrorMessage="1" sqref="N14">
      <formula1>0</formula1>
      <formula2>1</formula2>
    </dataValidation>
    <dataValidation type="custom" allowBlank="1" showInputMessage="1" showErrorMessage="1" errorTitle="Dato incorrecto" error="No puede ser un número superior al total de líneas" sqref="F77">
      <formula1>F77&lt;=E31</formula1>
    </dataValidation>
    <dataValidation type="custom" allowBlank="1" showInputMessage="1" showErrorMessage="1" errorTitle="Dato incorrecto" error="Este número no puede ser mayor que el total de líneas" sqref="E196">
      <formula1>E196&lt;=E167</formula1>
    </dataValidation>
    <dataValidation type="custom" allowBlank="1" showInputMessage="1" showErrorMessage="1" errorTitle="Dato incorrecto" error="No puede ser un número superior al total de líneas" sqref="N78">
      <formula1>N78&lt;=K31</formula1>
    </dataValidation>
    <dataValidation type="custom" allowBlank="1" showInputMessage="1" showErrorMessage="1" errorTitle="Dato incorrecto" error="No puede ser un número superior al total de líneas" sqref="N77">
      <formula1>N77&lt;=K31</formula1>
    </dataValidation>
  </dataValidations>
  <pageMargins left="0.75" right="0.75" top="1" bottom="1" header="0" footer="0"/>
  <pageSetup paperSize="9" scale="37" orientation="portrait" r:id="rId1"/>
  <headerFooter alignWithMargins="0"/>
  <ignoredErrors>
    <ignoredError sqref="F85 O31:O34 O28:O29 F30 F36:F37 H176:H179" unlockedFormula="1"/>
    <ignoredError sqref="G88" formula="1"/>
    <ignoredError sqref="T85 H89 T87:T88 F117 T58:T59 T28:T34 S89:S92 Q84:S88 R89:R98 Q89:Q92 S56:S57 Q79:S81 Q36:T36 Q37:R37 T37" evalError="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rgb="FF00FF00"/>
    <pageSetUpPr autoPageBreaks="0"/>
  </sheetPr>
  <dimension ref="A1:HO1939"/>
  <sheetViews>
    <sheetView showRowColHeaders="0" tabSelected="1" showOutlineSymbols="0" topLeftCell="A9" zoomScale="50" zoomScaleNormal="50" workbookViewId="0">
      <selection activeCell="D72" sqref="D72"/>
    </sheetView>
  </sheetViews>
  <sheetFormatPr baseColWidth="10" defaultColWidth="11.42578125" defaultRowHeight="20.25"/>
  <cols>
    <col min="1" max="1" width="3.85546875" style="840" customWidth="1"/>
    <col min="2" max="2" width="46.140625" style="840" customWidth="1"/>
    <col min="3" max="3" width="4.140625" style="840" customWidth="1"/>
    <col min="4" max="4" width="50.7109375" style="840" customWidth="1"/>
    <col min="5" max="5" width="4.140625" style="840" customWidth="1"/>
    <col min="6" max="6" width="36.85546875" style="840" customWidth="1"/>
    <col min="7" max="7" width="4.140625" style="840" customWidth="1"/>
    <col min="8" max="8" width="33.7109375" style="840" customWidth="1"/>
    <col min="9" max="9" width="4.140625" style="840" customWidth="1"/>
    <col min="10" max="10" width="29.140625" style="840" customWidth="1"/>
    <col min="11" max="11" width="4.140625" style="840" customWidth="1"/>
    <col min="12" max="12" width="29.42578125" style="840" customWidth="1"/>
    <col min="13" max="13" width="4.140625" style="840" customWidth="1"/>
    <col min="14" max="14" width="27.5703125" style="840" customWidth="1"/>
    <col min="15" max="15" width="4.7109375" style="840" customWidth="1"/>
    <col min="16" max="16" width="21.140625" style="840" customWidth="1"/>
    <col min="17" max="17" width="4.140625" style="840" customWidth="1"/>
    <col min="18" max="18" width="22" style="840" customWidth="1"/>
    <col min="19" max="19" width="5.28515625" style="840" customWidth="1"/>
    <col min="20" max="20" width="28.28515625" style="840" customWidth="1"/>
    <col min="21" max="21" width="4.140625" style="840" customWidth="1"/>
    <col min="22" max="22" width="19.5703125" style="840" customWidth="1"/>
    <col min="23" max="23" width="3.85546875" style="840" customWidth="1"/>
    <col min="24" max="24" width="19.7109375" style="840" customWidth="1"/>
    <col min="25" max="25" width="3.85546875" style="840" customWidth="1"/>
    <col min="26" max="26" width="22.28515625" style="1212" customWidth="1"/>
    <col min="27" max="27" width="3.85546875" style="1212" customWidth="1"/>
    <col min="28" max="28" width="23.28515625" style="1212" customWidth="1"/>
    <col min="29" max="29" width="3.85546875" style="1212" customWidth="1"/>
    <col min="30" max="30" width="24.7109375" style="1212" customWidth="1"/>
    <col min="31" max="31" width="4.140625" style="1212" customWidth="1"/>
    <col min="32" max="32" width="22" style="1212" customWidth="1"/>
    <col min="33" max="33" width="4.140625" style="1212" customWidth="1"/>
    <col min="34" max="34" width="21.5703125" style="1212" customWidth="1"/>
    <col min="35" max="35" width="4.42578125" style="840" customWidth="1"/>
    <col min="36" max="36" width="24.7109375" style="840" customWidth="1"/>
    <col min="37" max="37" width="3.28515625" style="840" customWidth="1"/>
    <col min="38" max="38" width="14.42578125" style="840" customWidth="1"/>
    <col min="39" max="39" width="2.85546875" style="840" customWidth="1"/>
    <col min="40" max="40" width="21" style="840" customWidth="1"/>
    <col min="41" max="41" width="4" style="840" customWidth="1"/>
    <col min="42" max="42" width="17.5703125" style="840" customWidth="1"/>
    <col min="43" max="43" width="1.85546875" style="840" customWidth="1"/>
    <col min="44" max="44" width="23" style="840" customWidth="1"/>
    <col min="45" max="45" width="3.42578125" style="868" customWidth="1"/>
    <col min="46" max="72" width="14.42578125" style="842" customWidth="1"/>
    <col min="73" max="77" width="11.42578125" style="842" customWidth="1"/>
    <col min="78" max="81" width="42.28515625" style="841" customWidth="1"/>
    <col min="82" max="82" width="42.28515625" style="1489" customWidth="1"/>
    <col min="83" max="83" width="42.28515625" style="1490" customWidth="1"/>
    <col min="84" max="85" width="42.28515625" style="1489" customWidth="1"/>
    <col min="86" max="86" width="42.28515625" style="1501" customWidth="1"/>
    <col min="87" max="87" width="42.28515625" style="1489" customWidth="1"/>
    <col min="88" max="88" width="31.5703125" style="1489" customWidth="1"/>
    <col min="89" max="89" width="28" style="1489" customWidth="1"/>
    <col min="90" max="90" width="27.28515625" style="1489" customWidth="1"/>
    <col min="91" max="91" width="14.85546875" style="1489" customWidth="1"/>
    <col min="92" max="92" width="24.85546875" style="1489" customWidth="1"/>
    <col min="93" max="93" width="11.42578125" style="1489" customWidth="1"/>
    <col min="94" max="94" width="13.140625" style="1489" customWidth="1"/>
    <col min="95" max="95" width="11.42578125" style="1489" customWidth="1"/>
    <col min="96" max="97" width="11.42578125" style="1487" customWidth="1"/>
    <col min="98" max="108" width="11.42578125" style="1488" customWidth="1"/>
    <col min="109" max="122" width="11.42578125" style="842" customWidth="1"/>
    <col min="123" max="146" width="11.42578125" style="843" customWidth="1"/>
    <col min="147" max="16384" width="11.42578125" style="843"/>
  </cols>
  <sheetData>
    <row r="1" spans="1:223" ht="114" customHeight="1">
      <c r="Z1" s="840"/>
      <c r="AA1" s="840"/>
      <c r="AB1" s="840"/>
      <c r="AC1" s="840"/>
      <c r="AD1" s="840"/>
      <c r="AE1" s="840"/>
      <c r="AF1" s="840"/>
      <c r="AG1" s="840"/>
      <c r="AH1" s="840"/>
      <c r="AS1" s="840"/>
      <c r="AT1" s="841"/>
      <c r="AU1" s="841"/>
      <c r="AV1" s="841"/>
      <c r="AW1" s="841"/>
      <c r="AX1" s="841"/>
      <c r="AY1" s="841"/>
      <c r="AZ1" s="841"/>
      <c r="BA1" s="841"/>
      <c r="BB1" s="841"/>
      <c r="BC1" s="841"/>
      <c r="BD1" s="841"/>
      <c r="BE1" s="841"/>
      <c r="BF1" s="841"/>
      <c r="BG1" s="841"/>
      <c r="BH1" s="841"/>
      <c r="BI1" s="841"/>
      <c r="BJ1" s="841"/>
      <c r="BK1" s="841"/>
      <c r="BL1" s="841"/>
      <c r="BM1" s="841"/>
      <c r="BN1" s="841"/>
      <c r="BO1" s="841"/>
      <c r="BP1" s="841"/>
      <c r="BQ1" s="841"/>
      <c r="BR1" s="841"/>
      <c r="BS1" s="841"/>
      <c r="BT1" s="841"/>
      <c r="BU1" s="841"/>
      <c r="BV1" s="841"/>
      <c r="BW1" s="841"/>
      <c r="BX1" s="841"/>
      <c r="BY1" s="841"/>
      <c r="CD1" s="841"/>
      <c r="CE1" s="841"/>
      <c r="CF1" s="841"/>
      <c r="CG1" s="841"/>
      <c r="CH1" s="1128"/>
      <c r="CI1" s="841"/>
      <c r="CJ1" s="841"/>
      <c r="CK1" s="841"/>
      <c r="CL1" s="841"/>
      <c r="CM1" s="841"/>
      <c r="CN1" s="841"/>
      <c r="CO1" s="841"/>
      <c r="CP1" s="841"/>
      <c r="CQ1" s="841"/>
      <c r="DS1" s="841"/>
      <c r="DT1" s="841"/>
      <c r="DU1" s="841"/>
      <c r="DV1" s="841"/>
      <c r="DW1" s="841"/>
      <c r="DX1" s="841"/>
      <c r="DY1" s="841"/>
      <c r="DZ1" s="841"/>
      <c r="EA1" s="841"/>
      <c r="EB1" s="841"/>
      <c r="EC1" s="841"/>
      <c r="ED1" s="841"/>
      <c r="EE1" s="841"/>
      <c r="EF1" s="841"/>
      <c r="EG1" s="841"/>
      <c r="EH1" s="841"/>
      <c r="EI1" s="841"/>
      <c r="EJ1" s="841"/>
      <c r="EK1" s="841"/>
      <c r="EL1" s="841"/>
      <c r="EM1" s="841"/>
      <c r="EN1" s="841"/>
      <c r="EO1" s="841"/>
      <c r="EP1" s="841"/>
      <c r="EQ1" s="841"/>
      <c r="ER1" s="841"/>
      <c r="ES1" s="841"/>
      <c r="ET1" s="841"/>
      <c r="EU1" s="841"/>
      <c r="EV1" s="841"/>
      <c r="EW1" s="841"/>
      <c r="EX1" s="841"/>
      <c r="EY1" s="841"/>
      <c r="EZ1" s="841"/>
      <c r="FA1" s="841"/>
      <c r="FB1" s="841"/>
      <c r="FC1" s="841"/>
      <c r="FD1" s="841"/>
      <c r="FE1" s="841"/>
      <c r="FF1" s="841"/>
      <c r="FG1" s="841"/>
      <c r="FH1" s="841"/>
      <c r="FI1" s="841"/>
      <c r="FJ1" s="841"/>
      <c r="FK1" s="841"/>
      <c r="FL1" s="841"/>
      <c r="FM1" s="841"/>
      <c r="FN1" s="841"/>
      <c r="FO1" s="841"/>
      <c r="FP1" s="841"/>
      <c r="FQ1" s="841"/>
      <c r="FR1" s="841"/>
      <c r="FS1" s="841"/>
      <c r="FT1" s="841"/>
      <c r="FU1" s="841"/>
      <c r="FV1" s="841"/>
      <c r="FW1" s="841"/>
      <c r="FX1" s="841"/>
      <c r="FY1" s="841"/>
      <c r="FZ1" s="841"/>
      <c r="GA1" s="841"/>
      <c r="GB1" s="841"/>
      <c r="GC1" s="841"/>
      <c r="GD1" s="841"/>
      <c r="GE1" s="841"/>
      <c r="GF1" s="841"/>
      <c r="GG1" s="841"/>
      <c r="GH1" s="841"/>
      <c r="GI1" s="841"/>
      <c r="GJ1" s="841"/>
      <c r="GK1" s="841"/>
      <c r="GL1" s="841"/>
      <c r="GM1" s="841"/>
      <c r="GN1" s="841"/>
      <c r="GO1" s="841"/>
      <c r="GP1" s="841"/>
      <c r="GQ1" s="841"/>
      <c r="GR1" s="841"/>
      <c r="GS1" s="841"/>
      <c r="GT1" s="841"/>
      <c r="GU1" s="841"/>
      <c r="GV1" s="841"/>
      <c r="GW1" s="841"/>
      <c r="GX1" s="841"/>
      <c r="GY1" s="841"/>
      <c r="GZ1" s="841"/>
      <c r="HA1" s="841"/>
      <c r="HB1" s="841"/>
      <c r="HC1" s="841"/>
      <c r="HD1" s="841"/>
      <c r="HE1" s="841"/>
      <c r="HF1" s="841"/>
      <c r="HG1" s="841"/>
      <c r="HH1" s="841"/>
      <c r="HI1" s="841"/>
      <c r="HJ1" s="841"/>
      <c r="HK1" s="841"/>
      <c r="HL1" s="841"/>
      <c r="HM1" s="841"/>
      <c r="HN1" s="841"/>
      <c r="HO1" s="841"/>
    </row>
    <row r="2" spans="1:223" ht="7.5" customHeight="1" thickBot="1">
      <c r="AM2" s="868"/>
      <c r="AN2" s="868"/>
      <c r="AO2" s="868"/>
      <c r="AP2" s="868"/>
      <c r="AQ2" s="868"/>
      <c r="AR2" s="868"/>
      <c r="DS2" s="841"/>
      <c r="DT2" s="841"/>
      <c r="DU2" s="841"/>
      <c r="DV2" s="841"/>
      <c r="DW2" s="841"/>
      <c r="DX2" s="841"/>
      <c r="DY2" s="841"/>
      <c r="DZ2" s="841"/>
      <c r="EA2" s="841"/>
      <c r="EB2" s="841"/>
      <c r="EC2" s="841"/>
      <c r="ED2" s="841"/>
      <c r="EE2" s="841"/>
      <c r="EF2" s="841"/>
      <c r="EG2" s="841"/>
      <c r="EH2" s="841"/>
      <c r="EI2" s="841"/>
      <c r="EJ2" s="841"/>
      <c r="EK2" s="841"/>
      <c r="EL2" s="841"/>
      <c r="EM2" s="841"/>
      <c r="EN2" s="841"/>
      <c r="EO2" s="841"/>
      <c r="EP2" s="841"/>
      <c r="EQ2" s="841"/>
      <c r="ER2" s="841"/>
      <c r="ES2" s="841"/>
      <c r="ET2" s="841"/>
      <c r="EU2" s="841"/>
      <c r="EV2" s="841"/>
      <c r="EW2" s="841"/>
      <c r="EX2" s="841"/>
      <c r="EY2" s="841"/>
      <c r="EZ2" s="841"/>
      <c r="FA2" s="841"/>
      <c r="FB2" s="841"/>
      <c r="FC2" s="841"/>
      <c r="FD2" s="841"/>
      <c r="FE2" s="841"/>
      <c r="FF2" s="841"/>
      <c r="FG2" s="841"/>
      <c r="FH2" s="841"/>
      <c r="FI2" s="841"/>
      <c r="FJ2" s="841"/>
      <c r="FK2" s="841"/>
      <c r="FL2" s="841"/>
      <c r="FM2" s="841"/>
      <c r="FN2" s="841"/>
      <c r="FO2" s="841"/>
      <c r="FP2" s="841"/>
      <c r="FQ2" s="841"/>
      <c r="FR2" s="841"/>
      <c r="FS2" s="841"/>
      <c r="FT2" s="841"/>
      <c r="FU2" s="841"/>
      <c r="FV2" s="841"/>
      <c r="FW2" s="841"/>
      <c r="FX2" s="841"/>
      <c r="FY2" s="841"/>
      <c r="FZ2" s="841"/>
      <c r="GA2" s="841"/>
      <c r="GB2" s="841"/>
      <c r="GC2" s="841"/>
      <c r="GD2" s="841"/>
      <c r="GE2" s="841"/>
      <c r="GF2" s="841"/>
      <c r="GG2" s="841"/>
      <c r="GH2" s="841"/>
      <c r="GI2" s="841"/>
      <c r="GJ2" s="841"/>
      <c r="GK2" s="841"/>
      <c r="GL2" s="841"/>
      <c r="GM2" s="841"/>
      <c r="GN2" s="841"/>
      <c r="GO2" s="841"/>
      <c r="GP2" s="841"/>
      <c r="GQ2" s="841"/>
      <c r="GR2" s="841"/>
      <c r="GS2" s="841"/>
      <c r="GT2" s="841"/>
      <c r="GU2" s="841"/>
      <c r="GV2" s="841"/>
      <c r="GW2" s="841"/>
      <c r="GX2" s="841"/>
      <c r="GY2" s="841"/>
      <c r="GZ2" s="841"/>
      <c r="HA2" s="841"/>
      <c r="HB2" s="841"/>
      <c r="HC2" s="841"/>
      <c r="HD2" s="841"/>
      <c r="HE2" s="841"/>
      <c r="HF2" s="841"/>
      <c r="HG2" s="841"/>
      <c r="HH2" s="841"/>
      <c r="HI2" s="841"/>
      <c r="HJ2" s="841"/>
      <c r="HK2" s="841"/>
      <c r="HL2" s="841"/>
      <c r="HM2" s="841"/>
      <c r="HN2" s="841"/>
      <c r="HO2" s="841"/>
    </row>
    <row r="3" spans="1:223" ht="20.25" customHeight="1" thickBot="1">
      <c r="B3" s="2113" t="s">
        <v>725</v>
      </c>
      <c r="C3" s="2114"/>
      <c r="D3" s="2115"/>
      <c r="E3" s="2127" t="s">
        <v>1137</v>
      </c>
      <c r="F3" s="2128"/>
      <c r="G3" s="2128"/>
      <c r="H3" s="2129"/>
      <c r="AM3" s="868"/>
      <c r="AN3" s="868"/>
      <c r="AO3" s="868"/>
      <c r="AP3" s="868"/>
      <c r="AQ3" s="868"/>
      <c r="AR3" s="868"/>
      <c r="DS3" s="841"/>
      <c r="DT3" s="841"/>
      <c r="DU3" s="841"/>
      <c r="DV3" s="841"/>
      <c r="DW3" s="841"/>
      <c r="DX3" s="841"/>
      <c r="DY3" s="841"/>
      <c r="DZ3" s="841"/>
      <c r="EA3" s="841"/>
      <c r="EB3" s="841"/>
      <c r="EC3" s="841"/>
      <c r="ED3" s="841"/>
      <c r="EE3" s="841"/>
      <c r="EF3" s="841"/>
      <c r="EG3" s="841"/>
      <c r="EH3" s="841"/>
      <c r="EI3" s="841"/>
      <c r="EJ3" s="841"/>
      <c r="EK3" s="841"/>
      <c r="EL3" s="841"/>
      <c r="EM3" s="841"/>
      <c r="EN3" s="841"/>
      <c r="EO3" s="841"/>
      <c r="EP3" s="841"/>
      <c r="EQ3" s="841"/>
      <c r="ER3" s="841"/>
      <c r="ES3" s="841"/>
      <c r="ET3" s="841"/>
      <c r="EU3" s="841"/>
      <c r="EV3" s="841"/>
      <c r="EW3" s="841"/>
      <c r="EX3" s="841"/>
      <c r="EY3" s="841"/>
      <c r="EZ3" s="841"/>
      <c r="FA3" s="841"/>
      <c r="FB3" s="841"/>
      <c r="FC3" s="841"/>
      <c r="FD3" s="841"/>
      <c r="FE3" s="841"/>
      <c r="FF3" s="841"/>
      <c r="FG3" s="841"/>
      <c r="FH3" s="841"/>
      <c r="FI3" s="841"/>
      <c r="FJ3" s="841"/>
      <c r="FK3" s="841"/>
      <c r="FL3" s="841"/>
      <c r="FM3" s="841"/>
      <c r="FN3" s="841"/>
      <c r="FO3" s="841"/>
      <c r="FP3" s="841"/>
      <c r="FQ3" s="841"/>
      <c r="FR3" s="841"/>
      <c r="FS3" s="841"/>
      <c r="FT3" s="841"/>
      <c r="FU3" s="841"/>
      <c r="FV3" s="841"/>
      <c r="FW3" s="841"/>
      <c r="FX3" s="841"/>
      <c r="FY3" s="841"/>
      <c r="FZ3" s="841"/>
      <c r="GA3" s="841"/>
      <c r="GB3" s="841"/>
      <c r="GC3" s="841"/>
      <c r="GD3" s="841"/>
      <c r="GE3" s="841"/>
      <c r="GF3" s="841"/>
      <c r="GG3" s="841"/>
      <c r="GH3" s="841"/>
      <c r="GI3" s="841"/>
      <c r="GJ3" s="841"/>
      <c r="GK3" s="841"/>
      <c r="GL3" s="841"/>
      <c r="GM3" s="841"/>
      <c r="GN3" s="841"/>
      <c r="GO3" s="841"/>
      <c r="GP3" s="841"/>
      <c r="GQ3" s="841"/>
      <c r="GR3" s="841"/>
      <c r="GS3" s="841"/>
      <c r="GT3" s="841"/>
      <c r="GU3" s="841"/>
      <c r="GV3" s="841"/>
      <c r="GW3" s="841"/>
      <c r="GX3" s="841"/>
      <c r="GY3" s="841"/>
      <c r="GZ3" s="841"/>
      <c r="HA3" s="841"/>
      <c r="HB3" s="841"/>
      <c r="HC3" s="841"/>
      <c r="HD3" s="841"/>
      <c r="HE3" s="841"/>
      <c r="HF3" s="841"/>
      <c r="HG3" s="841"/>
      <c r="HH3" s="841"/>
      <c r="HI3" s="841"/>
      <c r="HJ3" s="841"/>
      <c r="HK3" s="841"/>
      <c r="HL3" s="841"/>
      <c r="HM3" s="841"/>
      <c r="HN3" s="841"/>
      <c r="HO3" s="841"/>
    </row>
    <row r="4" spans="1:223" ht="26.25" customHeight="1" thickBot="1">
      <c r="AM4" s="868"/>
      <c r="AN4" s="868"/>
      <c r="AO4" s="868"/>
      <c r="AP4" s="868"/>
      <c r="AQ4" s="868"/>
      <c r="AR4" s="868"/>
      <c r="DS4" s="841"/>
      <c r="DT4" s="841"/>
      <c r="DU4" s="841"/>
      <c r="DV4" s="841"/>
      <c r="DW4" s="841"/>
      <c r="DX4" s="841"/>
      <c r="DY4" s="841"/>
      <c r="DZ4" s="841"/>
      <c r="EA4" s="841"/>
      <c r="EB4" s="841"/>
      <c r="EC4" s="841"/>
      <c r="ED4" s="841"/>
      <c r="EE4" s="841"/>
      <c r="EF4" s="841"/>
      <c r="EG4" s="841"/>
      <c r="EH4" s="841"/>
      <c r="EI4" s="841"/>
      <c r="EJ4" s="841"/>
      <c r="EK4" s="841"/>
      <c r="EL4" s="841"/>
      <c r="EM4" s="841"/>
      <c r="EN4" s="841"/>
      <c r="EO4" s="841"/>
      <c r="EP4" s="841"/>
      <c r="EQ4" s="841"/>
      <c r="ER4" s="841"/>
      <c r="ES4" s="841"/>
      <c r="ET4" s="841"/>
      <c r="EU4" s="841"/>
      <c r="EV4" s="841"/>
      <c r="EW4" s="841"/>
      <c r="EX4" s="841"/>
      <c r="EY4" s="841"/>
      <c r="EZ4" s="841"/>
      <c r="FA4" s="841"/>
      <c r="FB4" s="841"/>
      <c r="FC4" s="841"/>
      <c r="FD4" s="841"/>
      <c r="FE4" s="841"/>
      <c r="FF4" s="841"/>
      <c r="FG4" s="841"/>
      <c r="FH4" s="841"/>
      <c r="FI4" s="841"/>
      <c r="FJ4" s="841"/>
      <c r="FK4" s="841"/>
      <c r="FL4" s="841"/>
      <c r="FM4" s="841"/>
      <c r="FN4" s="841"/>
      <c r="FO4" s="841"/>
      <c r="FP4" s="841"/>
      <c r="FQ4" s="841"/>
      <c r="FR4" s="841"/>
      <c r="FS4" s="841"/>
      <c r="FT4" s="841"/>
      <c r="FU4" s="841"/>
      <c r="FV4" s="841"/>
      <c r="FW4" s="841"/>
      <c r="FX4" s="841"/>
      <c r="FY4" s="841"/>
      <c r="FZ4" s="841"/>
      <c r="GA4" s="841"/>
      <c r="GB4" s="841"/>
      <c r="GC4" s="841"/>
      <c r="GD4" s="841"/>
      <c r="GE4" s="841"/>
      <c r="GF4" s="841"/>
      <c r="GG4" s="841"/>
      <c r="GH4" s="841"/>
      <c r="GI4" s="841"/>
      <c r="GJ4" s="841"/>
      <c r="GK4" s="841"/>
      <c r="GL4" s="841"/>
      <c r="GM4" s="841"/>
      <c r="GN4" s="841"/>
      <c r="GO4" s="841"/>
      <c r="GP4" s="841"/>
      <c r="GQ4" s="841"/>
      <c r="GR4" s="841"/>
      <c r="GS4" s="841"/>
      <c r="GT4" s="841"/>
      <c r="GU4" s="841"/>
      <c r="GV4" s="841"/>
      <c r="GW4" s="841"/>
      <c r="GX4" s="841"/>
      <c r="GY4" s="841"/>
      <c r="GZ4" s="841"/>
      <c r="HA4" s="841"/>
      <c r="HB4" s="841"/>
      <c r="HC4" s="841"/>
      <c r="HD4" s="841"/>
      <c r="HE4" s="841"/>
      <c r="HF4" s="841"/>
      <c r="HG4" s="841"/>
      <c r="HH4" s="841"/>
      <c r="HI4" s="841"/>
      <c r="HJ4" s="841"/>
      <c r="HK4" s="841"/>
      <c r="HL4" s="841"/>
      <c r="HM4" s="841"/>
      <c r="HN4" s="841"/>
      <c r="HO4" s="841"/>
    </row>
    <row r="5" spans="1:223" s="847" customFormat="1" ht="33" customHeight="1" thickBot="1">
      <c r="A5" s="844"/>
      <c r="B5" s="2145" t="s">
        <v>446</v>
      </c>
      <c r="C5" s="2146"/>
      <c r="D5" s="2146"/>
      <c r="E5" s="2146"/>
      <c r="F5" s="2146"/>
      <c r="G5" s="2146"/>
      <c r="H5" s="2146"/>
      <c r="I5" s="2146"/>
      <c r="J5" s="2146"/>
      <c r="K5" s="2146"/>
      <c r="L5" s="2146"/>
      <c r="M5" s="2146"/>
      <c r="N5" s="2146"/>
      <c r="O5" s="2146"/>
      <c r="P5" s="2146"/>
      <c r="Q5" s="2146"/>
      <c r="R5" s="2146"/>
      <c r="S5" s="2146"/>
      <c r="T5" s="2146"/>
      <c r="U5" s="2146"/>
      <c r="V5" s="2146"/>
      <c r="W5" s="2146"/>
      <c r="X5" s="2146"/>
      <c r="Y5" s="2146"/>
      <c r="Z5" s="2146"/>
      <c r="AA5" s="2146"/>
      <c r="AB5" s="2146"/>
      <c r="AC5" s="2146"/>
      <c r="AD5" s="2146"/>
      <c r="AE5" s="2146"/>
      <c r="AF5" s="2146"/>
      <c r="AG5" s="2146"/>
      <c r="AH5" s="2147"/>
      <c r="AI5" s="844"/>
      <c r="AJ5" s="844"/>
      <c r="AK5" s="844"/>
      <c r="AL5" s="844"/>
      <c r="AM5" s="1347"/>
      <c r="AN5" s="1347"/>
      <c r="AO5" s="1347"/>
      <c r="AP5" s="1347"/>
      <c r="AQ5" s="1347"/>
      <c r="AR5" s="1347"/>
      <c r="AS5" s="1347"/>
      <c r="AT5" s="846"/>
      <c r="AU5" s="846"/>
      <c r="AV5" s="846"/>
      <c r="AW5" s="846"/>
      <c r="AX5" s="846"/>
      <c r="AY5" s="846"/>
      <c r="AZ5" s="846"/>
      <c r="BA5" s="846"/>
      <c r="BB5" s="846"/>
      <c r="BC5" s="846"/>
      <c r="BD5" s="846"/>
      <c r="BE5" s="846"/>
      <c r="BF5" s="846"/>
      <c r="BG5" s="846"/>
      <c r="BH5" s="846"/>
      <c r="BI5" s="846"/>
      <c r="BJ5" s="846"/>
      <c r="BK5" s="846"/>
      <c r="BL5" s="846"/>
      <c r="BM5" s="846"/>
      <c r="BN5" s="846"/>
      <c r="BO5" s="846"/>
      <c r="BP5" s="846"/>
      <c r="BQ5" s="846"/>
      <c r="BR5" s="846"/>
      <c r="BS5" s="846"/>
      <c r="BT5" s="846"/>
      <c r="BU5" s="846"/>
      <c r="BV5" s="846"/>
      <c r="BW5" s="846"/>
      <c r="BX5" s="846"/>
      <c r="BY5" s="846"/>
      <c r="BZ5" s="845"/>
      <c r="CA5" s="845"/>
      <c r="CB5" s="845"/>
      <c r="CC5" s="845"/>
      <c r="CD5" s="1492"/>
      <c r="CE5" s="1493"/>
      <c r="CF5" s="1492"/>
      <c r="CG5" s="1492"/>
      <c r="CH5" s="1498"/>
      <c r="CI5" s="1492"/>
      <c r="CJ5" s="1492"/>
      <c r="CK5" s="1492"/>
      <c r="CL5" s="1492"/>
      <c r="CM5" s="1492"/>
      <c r="CN5" s="1492"/>
      <c r="CO5" s="1492"/>
      <c r="CP5" s="1492"/>
      <c r="CQ5" s="1492"/>
      <c r="CR5" s="1495"/>
      <c r="CS5" s="1495"/>
      <c r="CT5" s="1496"/>
      <c r="CU5" s="1496"/>
      <c r="CV5" s="1496"/>
      <c r="CW5" s="1496"/>
      <c r="CX5" s="1496"/>
      <c r="CY5" s="1496"/>
      <c r="CZ5" s="1496"/>
      <c r="DA5" s="1496"/>
      <c r="DB5" s="1496"/>
      <c r="DC5" s="1496"/>
      <c r="DD5" s="1496"/>
      <c r="DE5" s="846"/>
      <c r="DF5" s="846"/>
      <c r="DG5" s="846"/>
      <c r="DH5" s="846"/>
      <c r="DI5" s="846"/>
      <c r="DJ5" s="846"/>
      <c r="DK5" s="846"/>
      <c r="DL5" s="846"/>
      <c r="DM5" s="846"/>
      <c r="DN5" s="846"/>
      <c r="DO5" s="846"/>
      <c r="DP5" s="846"/>
      <c r="DQ5" s="846"/>
      <c r="DR5" s="846"/>
      <c r="DS5" s="845"/>
      <c r="DT5" s="845"/>
      <c r="DU5" s="845"/>
      <c r="DV5" s="845"/>
      <c r="DW5" s="845"/>
      <c r="DX5" s="845"/>
      <c r="DY5" s="845"/>
      <c r="DZ5" s="845"/>
      <c r="EA5" s="845"/>
      <c r="EB5" s="845"/>
      <c r="EC5" s="845"/>
      <c r="ED5" s="845"/>
      <c r="EE5" s="845"/>
      <c r="EF5" s="845"/>
      <c r="EG5" s="845"/>
      <c r="EH5" s="845"/>
      <c r="EI5" s="845"/>
      <c r="EJ5" s="845"/>
      <c r="EK5" s="845"/>
      <c r="EL5" s="845"/>
      <c r="EM5" s="845"/>
      <c r="EN5" s="845"/>
      <c r="EO5" s="845"/>
      <c r="EP5" s="845"/>
      <c r="EQ5" s="845"/>
      <c r="ER5" s="845"/>
      <c r="ES5" s="845"/>
      <c r="ET5" s="845"/>
      <c r="EU5" s="845"/>
      <c r="EV5" s="845"/>
      <c r="EW5" s="845"/>
      <c r="EX5" s="845"/>
      <c r="EY5" s="845"/>
      <c r="EZ5" s="845"/>
      <c r="FA5" s="845"/>
      <c r="FB5" s="845"/>
      <c r="FC5" s="845"/>
      <c r="FD5" s="845"/>
      <c r="FE5" s="845"/>
      <c r="FF5" s="845"/>
      <c r="FG5" s="845"/>
      <c r="FH5" s="845"/>
      <c r="FI5" s="845"/>
      <c r="FJ5" s="845"/>
      <c r="FK5" s="845"/>
      <c r="FL5" s="845"/>
      <c r="FM5" s="845"/>
      <c r="FN5" s="845"/>
      <c r="FO5" s="845"/>
      <c r="FP5" s="845"/>
      <c r="FQ5" s="845"/>
      <c r="FR5" s="845"/>
      <c r="FS5" s="845"/>
      <c r="FT5" s="845"/>
      <c r="FU5" s="845"/>
      <c r="FV5" s="845"/>
      <c r="FW5" s="845"/>
      <c r="FX5" s="845"/>
      <c r="FY5" s="845"/>
      <c r="FZ5" s="845"/>
      <c r="GA5" s="845"/>
      <c r="GB5" s="845"/>
      <c r="GC5" s="845"/>
      <c r="GD5" s="845"/>
      <c r="GE5" s="845"/>
      <c r="GF5" s="845"/>
      <c r="GG5" s="845"/>
      <c r="GH5" s="845"/>
      <c r="GI5" s="845"/>
      <c r="GJ5" s="845"/>
      <c r="GK5" s="845"/>
      <c r="GL5" s="845"/>
      <c r="GM5" s="845"/>
      <c r="GN5" s="845"/>
      <c r="GO5" s="845"/>
      <c r="GP5" s="845"/>
      <c r="GQ5" s="845"/>
      <c r="GR5" s="845"/>
      <c r="GS5" s="845"/>
      <c r="GT5" s="845"/>
      <c r="GU5" s="845"/>
      <c r="GV5" s="845"/>
      <c r="GW5" s="845"/>
      <c r="GX5" s="845"/>
      <c r="GY5" s="845"/>
      <c r="GZ5" s="845"/>
      <c r="HA5" s="845"/>
      <c r="HB5" s="845"/>
      <c r="HC5" s="845"/>
      <c r="HD5" s="845"/>
      <c r="HE5" s="845"/>
      <c r="HF5" s="845"/>
      <c r="HG5" s="845"/>
      <c r="HH5" s="845"/>
      <c r="HI5" s="845"/>
      <c r="HJ5" s="845"/>
      <c r="HK5" s="845"/>
      <c r="HL5" s="845"/>
      <c r="HM5" s="845"/>
      <c r="HN5" s="845"/>
      <c r="HO5" s="845"/>
    </row>
    <row r="6" spans="1:223" ht="9" customHeight="1" thickBot="1">
      <c r="B6" s="848"/>
      <c r="C6" s="848"/>
      <c r="AM6" s="868"/>
      <c r="AN6" s="868"/>
      <c r="AO6" s="868"/>
      <c r="AP6" s="868"/>
      <c r="AQ6" s="868"/>
      <c r="AR6" s="868"/>
      <c r="DS6" s="841"/>
      <c r="DT6" s="841"/>
      <c r="DU6" s="841"/>
      <c r="DV6" s="841"/>
      <c r="DW6" s="841"/>
      <c r="DX6" s="841"/>
      <c r="DY6" s="841"/>
      <c r="DZ6" s="841"/>
      <c r="EA6" s="841"/>
      <c r="EB6" s="841"/>
      <c r="EC6" s="841"/>
      <c r="ED6" s="841"/>
      <c r="EE6" s="841"/>
      <c r="EF6" s="841"/>
      <c r="EG6" s="841"/>
      <c r="EH6" s="841"/>
      <c r="EI6" s="841"/>
      <c r="EJ6" s="841"/>
      <c r="EK6" s="841"/>
      <c r="EL6" s="841"/>
      <c r="EM6" s="841"/>
      <c r="EN6" s="841"/>
      <c r="EO6" s="841"/>
      <c r="EP6" s="841"/>
      <c r="EQ6" s="841"/>
      <c r="ER6" s="841"/>
      <c r="ES6" s="841"/>
      <c r="ET6" s="841"/>
      <c r="EU6" s="841"/>
      <c r="EV6" s="841"/>
      <c r="EW6" s="841"/>
      <c r="EX6" s="841"/>
      <c r="EY6" s="841"/>
      <c r="EZ6" s="841"/>
      <c r="FA6" s="841"/>
      <c r="FB6" s="841"/>
      <c r="FC6" s="841"/>
      <c r="FD6" s="841"/>
      <c r="FE6" s="841"/>
      <c r="FF6" s="841"/>
      <c r="FG6" s="841"/>
      <c r="FH6" s="841"/>
      <c r="FI6" s="841"/>
      <c r="FJ6" s="841"/>
      <c r="FK6" s="841"/>
      <c r="FL6" s="841"/>
      <c r="FM6" s="841"/>
      <c r="FN6" s="841"/>
      <c r="FO6" s="841"/>
      <c r="FP6" s="841"/>
      <c r="FQ6" s="841"/>
      <c r="FR6" s="841"/>
      <c r="FS6" s="841"/>
      <c r="FT6" s="841"/>
      <c r="FU6" s="841"/>
      <c r="FV6" s="841"/>
      <c r="FW6" s="841"/>
      <c r="FX6" s="841"/>
      <c r="FY6" s="841"/>
      <c r="FZ6" s="841"/>
      <c r="GA6" s="841"/>
      <c r="GB6" s="841"/>
      <c r="GC6" s="841"/>
      <c r="GD6" s="841"/>
      <c r="GE6" s="841"/>
      <c r="GF6" s="841"/>
      <c r="GG6" s="841"/>
      <c r="GH6" s="841"/>
      <c r="GI6" s="841"/>
      <c r="GJ6" s="841"/>
      <c r="GK6" s="841"/>
      <c r="GL6" s="841"/>
      <c r="GM6" s="841"/>
      <c r="GN6" s="841"/>
      <c r="GO6" s="841"/>
      <c r="GP6" s="841"/>
      <c r="GQ6" s="841"/>
      <c r="GR6" s="841"/>
      <c r="GS6" s="841"/>
      <c r="GT6" s="841"/>
      <c r="GU6" s="841"/>
      <c r="GV6" s="841"/>
      <c r="GW6" s="841"/>
      <c r="GX6" s="841"/>
      <c r="GY6" s="841"/>
      <c r="GZ6" s="841"/>
      <c r="HA6" s="841"/>
      <c r="HB6" s="841"/>
      <c r="HC6" s="841"/>
      <c r="HD6" s="841"/>
      <c r="HE6" s="841"/>
      <c r="HF6" s="841"/>
      <c r="HG6" s="841"/>
      <c r="HH6" s="841"/>
      <c r="HI6" s="841"/>
      <c r="HJ6" s="841"/>
      <c r="HK6" s="841"/>
      <c r="HL6" s="841"/>
      <c r="HM6" s="841"/>
      <c r="HN6" s="841"/>
      <c r="HO6" s="841"/>
    </row>
    <row r="7" spans="1:223" ht="22.5" customHeight="1" thickBot="1">
      <c r="B7" s="1454" t="s">
        <v>307</v>
      </c>
      <c r="C7" s="2148" t="str">
        <f>'Seleccion de oferta'!$E$9</f>
        <v>INMOBILIARIA SERVIGESTION</v>
      </c>
      <c r="D7" s="2134"/>
      <c r="E7" s="2134"/>
      <c r="F7" s="2134"/>
      <c r="G7" s="2134"/>
      <c r="H7" s="2134"/>
      <c r="I7" s="2134"/>
      <c r="J7" s="2134"/>
      <c r="K7" s="2134"/>
      <c r="L7" s="2134"/>
      <c r="M7" s="2135"/>
      <c r="O7" s="849"/>
      <c r="Q7" s="2116" t="s">
        <v>70</v>
      </c>
      <c r="R7" s="2144"/>
      <c r="S7" s="2117"/>
      <c r="T7" s="2118" t="str">
        <f>'Seleccion de oferta'!$E$42</f>
        <v>GRUPO PROMOVIL</v>
      </c>
      <c r="U7" s="2119"/>
      <c r="V7" s="2119"/>
      <c r="W7" s="2119"/>
      <c r="X7" s="2119"/>
      <c r="Y7" s="2119"/>
      <c r="Z7" s="2119"/>
      <c r="AA7" s="2119"/>
      <c r="AB7" s="2119"/>
      <c r="AC7" s="2119"/>
      <c r="AD7" s="2119"/>
      <c r="AE7" s="2119"/>
      <c r="AF7" s="2119"/>
      <c r="AG7" s="2119"/>
      <c r="AH7" s="2120"/>
      <c r="AM7" s="868"/>
      <c r="AN7" s="868"/>
      <c r="AO7" s="868"/>
      <c r="AP7" s="868"/>
      <c r="AQ7" s="868"/>
      <c r="AR7" s="868"/>
      <c r="DS7" s="841"/>
      <c r="DT7" s="841"/>
      <c r="DU7" s="841"/>
      <c r="DV7" s="841"/>
      <c r="DW7" s="841"/>
      <c r="DX7" s="841"/>
      <c r="DY7" s="841"/>
      <c r="DZ7" s="841"/>
      <c r="EA7" s="841"/>
      <c r="EB7" s="841"/>
      <c r="EC7" s="841"/>
      <c r="ED7" s="841"/>
      <c r="EE7" s="841"/>
      <c r="EF7" s="841"/>
      <c r="EG7" s="841"/>
      <c r="EH7" s="841"/>
      <c r="EI7" s="841"/>
      <c r="EJ7" s="841"/>
      <c r="EK7" s="841"/>
      <c r="EL7" s="841"/>
      <c r="EM7" s="841"/>
      <c r="EN7" s="841"/>
      <c r="EO7" s="841"/>
      <c r="EP7" s="841"/>
      <c r="EQ7" s="841"/>
      <c r="ER7" s="841"/>
      <c r="ES7" s="841"/>
      <c r="ET7" s="841"/>
      <c r="EU7" s="841"/>
      <c r="EV7" s="841"/>
      <c r="EW7" s="841"/>
      <c r="EX7" s="841"/>
      <c r="EY7" s="841"/>
      <c r="EZ7" s="841"/>
      <c r="FA7" s="841"/>
      <c r="FB7" s="841"/>
      <c r="FC7" s="841"/>
      <c r="FD7" s="841"/>
      <c r="FE7" s="841"/>
      <c r="FF7" s="841"/>
      <c r="FG7" s="841"/>
      <c r="FH7" s="841"/>
      <c r="FI7" s="841"/>
      <c r="FJ7" s="841"/>
      <c r="FK7" s="841"/>
      <c r="FL7" s="841"/>
      <c r="FM7" s="841"/>
      <c r="FN7" s="841"/>
      <c r="FO7" s="841"/>
      <c r="FP7" s="841"/>
      <c r="FQ7" s="841"/>
      <c r="FR7" s="841"/>
      <c r="FS7" s="841"/>
      <c r="FT7" s="841"/>
      <c r="FU7" s="841"/>
      <c r="FV7" s="841"/>
      <c r="FW7" s="841"/>
      <c r="FX7" s="841"/>
      <c r="FY7" s="841"/>
      <c r="FZ7" s="841"/>
      <c r="GA7" s="841"/>
      <c r="GB7" s="841"/>
      <c r="GC7" s="841"/>
      <c r="GD7" s="841"/>
      <c r="GE7" s="841"/>
      <c r="GF7" s="841"/>
      <c r="GG7" s="841"/>
      <c r="GH7" s="841"/>
      <c r="GI7" s="841"/>
      <c r="GJ7" s="841"/>
      <c r="GK7" s="841"/>
      <c r="GL7" s="841"/>
      <c r="GM7" s="841"/>
      <c r="GN7" s="841"/>
      <c r="GO7" s="841"/>
      <c r="GP7" s="841"/>
      <c r="GQ7" s="841"/>
      <c r="GR7" s="841"/>
      <c r="GS7" s="841"/>
      <c r="GT7" s="841"/>
      <c r="GU7" s="841"/>
      <c r="GV7" s="841"/>
      <c r="GW7" s="841"/>
      <c r="GX7" s="841"/>
      <c r="GY7" s="841"/>
      <c r="GZ7" s="841"/>
      <c r="HA7" s="841"/>
      <c r="HB7" s="841"/>
      <c r="HC7" s="841"/>
      <c r="HD7" s="841"/>
      <c r="HE7" s="841"/>
      <c r="HF7" s="841"/>
      <c r="HG7" s="841"/>
      <c r="HH7" s="841"/>
      <c r="HI7" s="841"/>
      <c r="HJ7" s="841"/>
      <c r="HK7" s="841"/>
      <c r="HL7" s="841"/>
      <c r="HM7" s="841"/>
      <c r="HN7" s="841"/>
      <c r="HO7" s="841"/>
    </row>
    <row r="8" spans="1:223" ht="12" customHeight="1" thickBot="1">
      <c r="B8" s="848"/>
      <c r="C8" s="850"/>
      <c r="D8" s="851"/>
      <c r="E8" s="851"/>
      <c r="F8" s="851"/>
      <c r="G8" s="851"/>
      <c r="H8" s="851"/>
      <c r="I8" s="851"/>
      <c r="J8" s="851"/>
      <c r="K8" s="852"/>
      <c r="L8" s="852"/>
      <c r="M8" s="852"/>
      <c r="N8" s="852"/>
      <c r="O8" s="852"/>
      <c r="P8" s="852"/>
      <c r="Q8" s="852"/>
      <c r="R8" s="852"/>
      <c r="AM8" s="868"/>
      <c r="AN8" s="868"/>
      <c r="AO8" s="868"/>
      <c r="AP8" s="868"/>
      <c r="AQ8" s="868"/>
      <c r="AR8" s="868"/>
      <c r="DS8" s="841"/>
      <c r="DT8" s="841"/>
      <c r="DU8" s="841"/>
      <c r="DV8" s="841"/>
      <c r="DW8" s="841"/>
      <c r="DX8" s="841"/>
      <c r="DY8" s="841"/>
      <c r="DZ8" s="841"/>
      <c r="EA8" s="841"/>
      <c r="EB8" s="841"/>
      <c r="EC8" s="841"/>
      <c r="ED8" s="841"/>
      <c r="EE8" s="841"/>
      <c r="EF8" s="841"/>
      <c r="EG8" s="841"/>
      <c r="EH8" s="841"/>
      <c r="EI8" s="841"/>
      <c r="EJ8" s="841"/>
      <c r="EK8" s="841"/>
      <c r="EL8" s="841"/>
      <c r="EM8" s="841"/>
      <c r="EN8" s="841"/>
      <c r="EO8" s="841"/>
      <c r="EP8" s="841"/>
      <c r="EQ8" s="841"/>
      <c r="ER8" s="841"/>
      <c r="ES8" s="841"/>
      <c r="ET8" s="841"/>
      <c r="EU8" s="841"/>
      <c r="EV8" s="841"/>
      <c r="EW8" s="841"/>
      <c r="EX8" s="841"/>
      <c r="EY8" s="841"/>
      <c r="EZ8" s="841"/>
      <c r="FA8" s="841"/>
      <c r="FB8" s="841"/>
      <c r="FC8" s="841"/>
      <c r="FD8" s="841"/>
      <c r="FE8" s="841"/>
      <c r="FF8" s="841"/>
      <c r="FG8" s="841"/>
      <c r="FH8" s="841"/>
      <c r="FI8" s="841"/>
      <c r="FJ8" s="841"/>
      <c r="FK8" s="841"/>
      <c r="FL8" s="841"/>
      <c r="FM8" s="841"/>
      <c r="FN8" s="841"/>
      <c r="FO8" s="841"/>
      <c r="FP8" s="841"/>
      <c r="FQ8" s="841"/>
      <c r="FR8" s="841"/>
      <c r="FS8" s="841"/>
      <c r="FT8" s="841"/>
      <c r="FU8" s="841"/>
      <c r="FV8" s="841"/>
      <c r="FW8" s="841"/>
      <c r="FX8" s="841"/>
      <c r="FY8" s="841"/>
      <c r="FZ8" s="841"/>
      <c r="GA8" s="841"/>
      <c r="GB8" s="841"/>
      <c r="GC8" s="841"/>
      <c r="GD8" s="841"/>
      <c r="GE8" s="841"/>
      <c r="GF8" s="841"/>
      <c r="GG8" s="841"/>
      <c r="GH8" s="841"/>
      <c r="GI8" s="841"/>
      <c r="GJ8" s="841"/>
      <c r="GK8" s="841"/>
      <c r="GL8" s="841"/>
      <c r="GM8" s="841"/>
      <c r="GN8" s="841"/>
      <c r="GO8" s="841"/>
      <c r="GP8" s="841"/>
      <c r="GQ8" s="841"/>
      <c r="GR8" s="841"/>
      <c r="GS8" s="841"/>
      <c r="GT8" s="841"/>
      <c r="GU8" s="841"/>
      <c r="GV8" s="841"/>
      <c r="GW8" s="841"/>
      <c r="GX8" s="841"/>
      <c r="GY8" s="841"/>
      <c r="GZ8" s="841"/>
      <c r="HA8" s="841"/>
      <c r="HB8" s="841"/>
      <c r="HC8" s="841"/>
      <c r="HD8" s="841"/>
      <c r="HE8" s="841"/>
      <c r="HF8" s="841"/>
      <c r="HG8" s="841"/>
      <c r="HH8" s="841"/>
      <c r="HI8" s="841"/>
      <c r="HJ8" s="841"/>
      <c r="HK8" s="841"/>
      <c r="HL8" s="841"/>
      <c r="HM8" s="841"/>
      <c r="HN8" s="841"/>
      <c r="HO8" s="841"/>
    </row>
    <row r="9" spans="1:223" ht="21" thickBot="1">
      <c r="B9" s="1454" t="s">
        <v>186</v>
      </c>
      <c r="C9" s="2152" t="str">
        <f>'Seleccion de oferta'!$E$11</f>
        <v>B11412343</v>
      </c>
      <c r="D9" s="2153"/>
      <c r="E9" s="853"/>
      <c r="F9" s="854"/>
      <c r="G9" s="2113" t="s">
        <v>75</v>
      </c>
      <c r="H9" s="2114"/>
      <c r="I9" s="2115"/>
      <c r="J9" s="2133" t="str">
        <f>'Seleccion de oferta'!$E$19</f>
        <v>MANUEL</v>
      </c>
      <c r="K9" s="2134"/>
      <c r="L9" s="2134"/>
      <c r="M9" s="2135"/>
      <c r="N9" s="852"/>
      <c r="O9" s="849"/>
      <c r="P9" s="852"/>
      <c r="Q9" s="2116" t="s">
        <v>308</v>
      </c>
      <c r="R9" s="2117"/>
      <c r="S9" s="2118" t="str">
        <f>'Seleccion de oferta'!$E$30</f>
        <v>JOSE LUIS PARRA</v>
      </c>
      <c r="T9" s="2119"/>
      <c r="U9" s="2119"/>
      <c r="V9" s="2119"/>
      <c r="W9" s="2119"/>
      <c r="X9" s="2120"/>
      <c r="Y9" s="1456"/>
      <c r="Z9" s="1227"/>
      <c r="AA9" s="1227"/>
      <c r="AB9" s="1227"/>
      <c r="AC9" s="1227"/>
      <c r="AD9" s="1227"/>
      <c r="AF9" s="1457" t="s">
        <v>71</v>
      </c>
      <c r="AG9" s="2149">
        <f>'Seleccion de oferta'!$E$34</f>
        <v>630836774</v>
      </c>
      <c r="AH9" s="2150"/>
      <c r="AM9" s="868"/>
      <c r="AN9" s="868"/>
      <c r="AO9" s="868"/>
      <c r="AP9" s="868"/>
      <c r="AQ9" s="868"/>
      <c r="AR9" s="868"/>
      <c r="DS9" s="841"/>
      <c r="DT9" s="841"/>
      <c r="DU9" s="841"/>
      <c r="DV9" s="841"/>
      <c r="DW9" s="841"/>
      <c r="DX9" s="841"/>
      <c r="DY9" s="841"/>
      <c r="DZ9" s="841"/>
      <c r="EA9" s="841"/>
      <c r="EB9" s="841"/>
      <c r="EC9" s="841"/>
      <c r="ED9" s="841"/>
      <c r="EE9" s="841"/>
      <c r="EF9" s="841"/>
      <c r="EG9" s="841"/>
      <c r="EH9" s="841"/>
      <c r="EI9" s="841"/>
      <c r="EJ9" s="841"/>
      <c r="EK9" s="841"/>
      <c r="EL9" s="841"/>
      <c r="EM9" s="841"/>
      <c r="EN9" s="841"/>
      <c r="EO9" s="841"/>
      <c r="EP9" s="841"/>
      <c r="EQ9" s="841"/>
      <c r="ER9" s="841"/>
      <c r="ES9" s="841"/>
      <c r="ET9" s="841"/>
      <c r="EU9" s="841"/>
      <c r="EV9" s="841"/>
      <c r="EW9" s="841"/>
      <c r="EX9" s="841"/>
      <c r="EY9" s="841"/>
      <c r="EZ9" s="841"/>
      <c r="FA9" s="841"/>
      <c r="FB9" s="841"/>
      <c r="FC9" s="841"/>
      <c r="FD9" s="841"/>
      <c r="FE9" s="841"/>
      <c r="FF9" s="841"/>
      <c r="FG9" s="841"/>
      <c r="FH9" s="841"/>
      <c r="FI9" s="841"/>
      <c r="FJ9" s="841"/>
      <c r="FK9" s="841"/>
      <c r="FL9" s="841"/>
      <c r="FM9" s="841"/>
      <c r="FN9" s="841"/>
      <c r="FO9" s="841"/>
      <c r="FP9" s="841"/>
      <c r="FQ9" s="841"/>
      <c r="FR9" s="841"/>
      <c r="FS9" s="841"/>
      <c r="FT9" s="841"/>
      <c r="FU9" s="841"/>
      <c r="FV9" s="841"/>
      <c r="FW9" s="841"/>
      <c r="FX9" s="841"/>
      <c r="FY9" s="841"/>
      <c r="FZ9" s="841"/>
      <c r="GA9" s="841"/>
      <c r="GB9" s="841"/>
      <c r="GC9" s="841"/>
      <c r="GD9" s="841"/>
      <c r="GE9" s="841"/>
      <c r="GF9" s="841"/>
      <c r="GG9" s="841"/>
      <c r="GH9" s="841"/>
      <c r="GI9" s="841"/>
      <c r="GJ9" s="841"/>
      <c r="GK9" s="841"/>
      <c r="GL9" s="841"/>
      <c r="GM9" s="841"/>
      <c r="GN9" s="841"/>
      <c r="GO9" s="841"/>
      <c r="GP9" s="841"/>
      <c r="GQ9" s="841"/>
      <c r="GR9" s="841"/>
      <c r="GS9" s="841"/>
      <c r="GT9" s="841"/>
      <c r="GU9" s="841"/>
      <c r="GV9" s="841"/>
      <c r="GW9" s="841"/>
      <c r="GX9" s="841"/>
      <c r="GY9" s="841"/>
      <c r="GZ9" s="841"/>
      <c r="HA9" s="841"/>
      <c r="HB9" s="841"/>
      <c r="HC9" s="841"/>
      <c r="HD9" s="841"/>
      <c r="HE9" s="841"/>
      <c r="HF9" s="841"/>
      <c r="HG9" s="841"/>
      <c r="HH9" s="841"/>
      <c r="HI9" s="841"/>
      <c r="HJ9" s="841"/>
      <c r="HK9" s="841"/>
      <c r="HL9" s="841"/>
      <c r="HM9" s="841"/>
      <c r="HN9" s="841"/>
      <c r="HO9" s="841"/>
    </row>
    <row r="10" spans="1:223">
      <c r="B10" s="855"/>
      <c r="AM10" s="868"/>
      <c r="AN10" s="868"/>
      <c r="AO10" s="868"/>
      <c r="AP10" s="868"/>
      <c r="AQ10" s="868"/>
      <c r="AR10" s="868"/>
      <c r="DS10" s="841"/>
      <c r="DT10" s="841"/>
      <c r="DU10" s="841"/>
      <c r="DV10" s="841"/>
      <c r="DW10" s="841"/>
      <c r="DX10" s="841"/>
      <c r="DY10" s="841"/>
      <c r="DZ10" s="841"/>
      <c r="EA10" s="841"/>
      <c r="EB10" s="841"/>
      <c r="EC10" s="841"/>
      <c r="ED10" s="841"/>
      <c r="EE10" s="841"/>
      <c r="EF10" s="841"/>
      <c r="EG10" s="841"/>
      <c r="EH10" s="841"/>
      <c r="EI10" s="841"/>
      <c r="EJ10" s="841"/>
      <c r="EK10" s="841"/>
      <c r="EL10" s="841"/>
      <c r="EM10" s="841"/>
      <c r="EN10" s="841"/>
      <c r="EO10" s="841"/>
      <c r="EP10" s="841"/>
      <c r="EQ10" s="841"/>
      <c r="ER10" s="841"/>
      <c r="ES10" s="841"/>
      <c r="ET10" s="841"/>
      <c r="EU10" s="841"/>
      <c r="EV10" s="841"/>
      <c r="EW10" s="841"/>
      <c r="EX10" s="841"/>
      <c r="EY10" s="841"/>
      <c r="EZ10" s="841"/>
      <c r="FA10" s="841"/>
      <c r="FB10" s="841"/>
      <c r="FC10" s="841"/>
      <c r="FD10" s="841"/>
      <c r="FE10" s="841"/>
      <c r="FF10" s="841"/>
      <c r="FG10" s="841"/>
      <c r="FH10" s="841"/>
      <c r="FI10" s="841"/>
      <c r="FJ10" s="841"/>
      <c r="FK10" s="841"/>
      <c r="FL10" s="841"/>
      <c r="FM10" s="841"/>
      <c r="FN10" s="841"/>
      <c r="FO10" s="841"/>
      <c r="FP10" s="841"/>
      <c r="FQ10" s="841"/>
      <c r="FR10" s="841"/>
      <c r="FS10" s="841"/>
      <c r="FT10" s="841"/>
      <c r="FU10" s="841"/>
      <c r="FV10" s="841"/>
      <c r="FW10" s="841"/>
      <c r="FX10" s="841"/>
      <c r="FY10" s="841"/>
      <c r="FZ10" s="841"/>
      <c r="GA10" s="841"/>
      <c r="GB10" s="841"/>
      <c r="GC10" s="841"/>
      <c r="GD10" s="841"/>
      <c r="GE10" s="841"/>
      <c r="GF10" s="841"/>
      <c r="GG10" s="841"/>
      <c r="GH10" s="841"/>
      <c r="GI10" s="841"/>
      <c r="GJ10" s="841"/>
      <c r="GK10" s="841"/>
      <c r="GL10" s="841"/>
      <c r="GM10" s="841"/>
      <c r="GN10" s="841"/>
      <c r="GO10" s="841"/>
      <c r="GP10" s="841"/>
      <c r="GQ10" s="841"/>
      <c r="GR10" s="841"/>
      <c r="GS10" s="841"/>
      <c r="GT10" s="841"/>
      <c r="GU10" s="841"/>
      <c r="GV10" s="841"/>
      <c r="GW10" s="841"/>
      <c r="GX10" s="841"/>
      <c r="GY10" s="841"/>
      <c r="GZ10" s="841"/>
      <c r="HA10" s="841"/>
      <c r="HB10" s="841"/>
      <c r="HC10" s="841"/>
      <c r="HD10" s="841"/>
      <c r="HE10" s="841"/>
      <c r="HF10" s="841"/>
      <c r="HG10" s="841"/>
      <c r="HH10" s="841"/>
      <c r="HI10" s="841"/>
      <c r="HJ10" s="841"/>
      <c r="HK10" s="841"/>
      <c r="HL10" s="841"/>
      <c r="HM10" s="841"/>
      <c r="HN10" s="841"/>
      <c r="HO10" s="841"/>
    </row>
    <row r="11" spans="1:223" s="847" customFormat="1" ht="11.25" customHeight="1">
      <c r="A11" s="844"/>
      <c r="B11" s="856"/>
      <c r="C11" s="856"/>
      <c r="D11" s="856"/>
      <c r="E11" s="856"/>
      <c r="F11" s="856"/>
      <c r="G11" s="856"/>
      <c r="H11" s="856"/>
      <c r="I11" s="856"/>
      <c r="J11" s="844"/>
      <c r="K11" s="844"/>
      <c r="L11" s="844"/>
      <c r="M11" s="844"/>
      <c r="N11" s="844"/>
      <c r="O11" s="844"/>
      <c r="P11" s="844"/>
      <c r="Q11" s="844"/>
      <c r="R11" s="844"/>
      <c r="S11" s="844"/>
      <c r="T11" s="844"/>
      <c r="U11" s="844"/>
      <c r="V11" s="844"/>
      <c r="W11" s="844"/>
      <c r="X11" s="857"/>
      <c r="Y11" s="857"/>
      <c r="Z11" s="857"/>
      <c r="AA11" s="857"/>
      <c r="AB11" s="857"/>
      <c r="AC11" s="857"/>
      <c r="AD11" s="857"/>
      <c r="AE11" s="857"/>
      <c r="AF11" s="857"/>
      <c r="AG11" s="1215"/>
      <c r="AH11" s="1215"/>
      <c r="AI11" s="844"/>
      <c r="AJ11" s="844"/>
      <c r="AK11" s="844"/>
      <c r="AL11" s="844"/>
      <c r="AM11" s="1347"/>
      <c r="AN11" s="1347"/>
      <c r="AO11" s="1347"/>
      <c r="AP11" s="1347"/>
      <c r="AQ11" s="1347"/>
      <c r="AR11" s="1347"/>
      <c r="AS11" s="1347"/>
      <c r="AT11" s="846"/>
      <c r="AU11" s="846"/>
      <c r="AV11" s="846"/>
      <c r="AW11" s="846"/>
      <c r="AX11" s="846"/>
      <c r="AY11" s="846"/>
      <c r="AZ11" s="846"/>
      <c r="BA11" s="846"/>
      <c r="BB11" s="846"/>
      <c r="BC11" s="846"/>
      <c r="BD11" s="846"/>
      <c r="BE11" s="846"/>
      <c r="BF11" s="846"/>
      <c r="BG11" s="846"/>
      <c r="BH11" s="846"/>
      <c r="BI11" s="846"/>
      <c r="BJ11" s="846"/>
      <c r="BK11" s="846"/>
      <c r="BL11" s="846"/>
      <c r="BM11" s="846"/>
      <c r="BN11" s="846"/>
      <c r="BO11" s="846"/>
      <c r="BP11" s="846"/>
      <c r="BQ11" s="846"/>
      <c r="BR11" s="846"/>
      <c r="BS11" s="846"/>
      <c r="BT11" s="846"/>
      <c r="BU11" s="846"/>
      <c r="BV11" s="846"/>
      <c r="BW11" s="846"/>
      <c r="BX11" s="846"/>
      <c r="BY11" s="846"/>
      <c r="BZ11" s="845"/>
      <c r="CA11" s="845"/>
      <c r="CB11" s="845"/>
      <c r="CC11" s="845"/>
      <c r="CD11" s="1492"/>
      <c r="CE11" s="1493"/>
      <c r="CF11" s="1492"/>
      <c r="CG11" s="1492"/>
      <c r="CH11" s="1498"/>
      <c r="CI11" s="1492"/>
      <c r="CJ11" s="1492"/>
      <c r="CK11" s="1492"/>
      <c r="CL11" s="1492"/>
      <c r="CM11" s="1492"/>
      <c r="CN11" s="1492"/>
      <c r="CO11" s="1492"/>
      <c r="CP11" s="1492"/>
      <c r="CQ11" s="1492"/>
      <c r="CR11" s="1495"/>
      <c r="CS11" s="1495"/>
      <c r="CT11" s="1496"/>
      <c r="CU11" s="1496"/>
      <c r="CV11" s="1496"/>
      <c r="CW11" s="1496"/>
      <c r="CX11" s="1496"/>
      <c r="CY11" s="1496"/>
      <c r="CZ11" s="1496"/>
      <c r="DA11" s="1496"/>
      <c r="DB11" s="1496"/>
      <c r="DC11" s="1496"/>
      <c r="DD11" s="1496"/>
      <c r="DE11" s="846"/>
      <c r="DF11" s="846"/>
      <c r="DG11" s="846"/>
      <c r="DH11" s="846"/>
      <c r="DI11" s="846"/>
      <c r="DJ11" s="846"/>
      <c r="DK11" s="846"/>
      <c r="DL11" s="846"/>
      <c r="DM11" s="846"/>
      <c r="DN11" s="846"/>
      <c r="DO11" s="846"/>
      <c r="DP11" s="846"/>
      <c r="DQ11" s="846"/>
      <c r="DR11" s="846"/>
      <c r="DS11" s="845"/>
      <c r="DT11" s="845"/>
      <c r="DU11" s="845"/>
      <c r="DV11" s="845"/>
      <c r="DW11" s="845"/>
      <c r="DX11" s="845"/>
      <c r="DY11" s="845"/>
      <c r="DZ11" s="845"/>
      <c r="EA11" s="845"/>
      <c r="EB11" s="845"/>
      <c r="EC11" s="845"/>
      <c r="ED11" s="845"/>
      <c r="EE11" s="845"/>
      <c r="EF11" s="845"/>
      <c r="EG11" s="845"/>
      <c r="EH11" s="845"/>
      <c r="EI11" s="845"/>
      <c r="EJ11" s="845"/>
      <c r="EK11" s="845"/>
      <c r="EL11" s="845"/>
      <c r="EM11" s="845"/>
      <c r="EN11" s="845"/>
      <c r="EO11" s="845"/>
      <c r="EP11" s="845"/>
      <c r="EQ11" s="845"/>
      <c r="ER11" s="845"/>
      <c r="ES11" s="845"/>
      <c r="ET11" s="845"/>
      <c r="EU11" s="845"/>
      <c r="EV11" s="845"/>
      <c r="EW11" s="845"/>
      <c r="EX11" s="845"/>
      <c r="EY11" s="845"/>
      <c r="EZ11" s="845"/>
      <c r="FA11" s="845"/>
      <c r="FB11" s="845"/>
      <c r="FC11" s="845"/>
      <c r="FD11" s="845"/>
      <c r="FE11" s="845"/>
      <c r="FF11" s="845"/>
      <c r="FG11" s="845"/>
      <c r="FH11" s="845"/>
      <c r="FI11" s="845"/>
      <c r="FJ11" s="845"/>
      <c r="FK11" s="845"/>
      <c r="FL11" s="845"/>
      <c r="FM11" s="845"/>
      <c r="FN11" s="845"/>
      <c r="FO11" s="845"/>
      <c r="FP11" s="845"/>
      <c r="FQ11" s="845"/>
      <c r="FR11" s="845"/>
      <c r="FS11" s="845"/>
      <c r="FT11" s="845"/>
      <c r="FU11" s="845"/>
      <c r="FV11" s="845"/>
      <c r="FW11" s="845"/>
      <c r="FX11" s="845"/>
      <c r="FY11" s="845"/>
      <c r="FZ11" s="845"/>
      <c r="GA11" s="845"/>
      <c r="GB11" s="845"/>
      <c r="GC11" s="845"/>
      <c r="GD11" s="845"/>
      <c r="GE11" s="845"/>
      <c r="GF11" s="845"/>
      <c r="GG11" s="845"/>
      <c r="GH11" s="845"/>
      <c r="GI11" s="845"/>
      <c r="GJ11" s="845"/>
      <c r="GK11" s="845"/>
      <c r="GL11" s="845"/>
      <c r="GM11" s="845"/>
      <c r="GN11" s="845"/>
      <c r="GO11" s="845"/>
      <c r="GP11" s="845"/>
      <c r="GQ11" s="845"/>
      <c r="GR11" s="845"/>
      <c r="GS11" s="845"/>
      <c r="GT11" s="845"/>
      <c r="GU11" s="845"/>
      <c r="GV11" s="845"/>
      <c r="GW11" s="845"/>
      <c r="GX11" s="845"/>
      <c r="GY11" s="845"/>
      <c r="GZ11" s="845"/>
      <c r="HA11" s="845"/>
      <c r="HB11" s="845"/>
      <c r="HC11" s="845"/>
      <c r="HD11" s="845"/>
      <c r="HE11" s="845"/>
      <c r="HF11" s="845"/>
      <c r="HG11" s="845"/>
      <c r="HH11" s="845"/>
      <c r="HI11" s="845"/>
      <c r="HJ11" s="845"/>
      <c r="HK11" s="845"/>
      <c r="HL11" s="845"/>
      <c r="HM11" s="845"/>
      <c r="HN11" s="845"/>
      <c r="HO11" s="845"/>
    </row>
    <row r="12" spans="1:223" s="847" customFormat="1" ht="36" customHeight="1">
      <c r="A12" s="844"/>
      <c r="B12" s="2121" t="s">
        <v>68</v>
      </c>
      <c r="C12" s="2121"/>
      <c r="D12" s="2121"/>
      <c r="E12" s="2121"/>
      <c r="F12" s="2121"/>
      <c r="G12" s="2121"/>
      <c r="H12" s="2121"/>
      <c r="I12" s="2121"/>
      <c r="J12" s="2121"/>
      <c r="K12" s="2121"/>
      <c r="L12" s="2121"/>
      <c r="M12" s="2121"/>
      <c r="N12" s="2121"/>
      <c r="O12" s="2121"/>
      <c r="P12" s="2121"/>
      <c r="Q12" s="2121"/>
      <c r="R12" s="2121"/>
      <c r="S12" s="2121"/>
      <c r="T12" s="2121"/>
      <c r="U12" s="2121"/>
      <c r="V12" s="2121"/>
      <c r="W12" s="2121"/>
      <c r="X12" s="2121"/>
      <c r="Y12" s="2121"/>
      <c r="Z12" s="2121"/>
      <c r="AA12" s="2121"/>
      <c r="AB12" s="2121"/>
      <c r="AC12" s="2121"/>
      <c r="AD12" s="2121"/>
      <c r="AE12" s="2121"/>
      <c r="AF12" s="2121"/>
      <c r="AG12" s="2121"/>
      <c r="AH12" s="2121"/>
      <c r="AI12" s="2121"/>
      <c r="AJ12" s="2121"/>
      <c r="AK12" s="2121"/>
      <c r="AL12" s="2121"/>
      <c r="AM12" s="2121"/>
      <c r="AN12" s="2121"/>
      <c r="AO12" s="2121"/>
      <c r="AP12" s="2121"/>
      <c r="AQ12" s="2121"/>
      <c r="AR12" s="1344"/>
      <c r="AS12" s="1347"/>
      <c r="AT12" s="846"/>
      <c r="AU12" s="846"/>
      <c r="AV12" s="846"/>
      <c r="AW12" s="846"/>
      <c r="AX12" s="846"/>
      <c r="AY12" s="846"/>
      <c r="AZ12" s="846"/>
      <c r="BA12" s="846"/>
      <c r="BB12" s="846"/>
      <c r="BC12" s="846"/>
      <c r="BD12" s="846"/>
      <c r="BE12" s="846"/>
      <c r="BF12" s="846"/>
      <c r="BG12" s="846"/>
      <c r="BH12" s="846"/>
      <c r="BI12" s="846"/>
      <c r="BJ12" s="846"/>
      <c r="BK12" s="846"/>
      <c r="BL12" s="846"/>
      <c r="BM12" s="846"/>
      <c r="BN12" s="846"/>
      <c r="BO12" s="846"/>
      <c r="BP12" s="846"/>
      <c r="BQ12" s="846"/>
      <c r="BR12" s="846"/>
      <c r="BS12" s="846"/>
      <c r="BT12" s="846"/>
      <c r="BU12" s="846"/>
      <c r="BV12" s="846"/>
      <c r="BW12" s="846"/>
      <c r="BX12" s="846"/>
      <c r="BY12" s="846"/>
      <c r="BZ12" s="845"/>
      <c r="CA12" s="1497"/>
      <c r="CB12" s="1497"/>
      <c r="CC12" s="1497"/>
      <c r="CD12" s="1493"/>
      <c r="CE12" s="1493"/>
      <c r="CF12" s="1493"/>
      <c r="CG12" s="1493"/>
      <c r="CH12" s="1498"/>
      <c r="CI12" s="1493"/>
      <c r="CJ12" s="1493"/>
      <c r="CK12" s="1493"/>
      <c r="CL12" s="1493"/>
      <c r="CM12" s="1493"/>
      <c r="CN12" s="1493"/>
      <c r="CO12" s="1493"/>
      <c r="CP12" s="1493"/>
      <c r="CQ12" s="1492"/>
      <c r="CR12" s="1492"/>
      <c r="CS12" s="1492"/>
      <c r="CT12" s="2023"/>
      <c r="CU12" s="2023"/>
      <c r="CV12" s="2023"/>
      <c r="CW12" s="2023"/>
      <c r="CX12" s="2023"/>
      <c r="CY12" s="2023"/>
      <c r="CZ12" s="2023"/>
      <c r="DA12" s="2023"/>
      <c r="DB12" s="2023"/>
      <c r="DC12" s="1496"/>
      <c r="DD12" s="1496"/>
      <c r="DE12" s="846"/>
      <c r="DF12" s="846"/>
      <c r="DG12" s="846"/>
      <c r="DH12" s="846"/>
      <c r="DI12" s="846"/>
      <c r="DJ12" s="846"/>
      <c r="DK12" s="846"/>
      <c r="DL12" s="846"/>
      <c r="DM12" s="846"/>
      <c r="DN12" s="846"/>
      <c r="DO12" s="846"/>
      <c r="DP12" s="846"/>
      <c r="DQ12" s="846"/>
      <c r="DR12" s="846"/>
      <c r="DS12" s="845"/>
      <c r="DT12" s="845"/>
      <c r="DU12" s="845"/>
      <c r="DV12" s="845"/>
      <c r="DW12" s="845"/>
      <c r="DX12" s="845"/>
      <c r="DY12" s="845"/>
      <c r="DZ12" s="845"/>
      <c r="EA12" s="845"/>
      <c r="EB12" s="845"/>
      <c r="EC12" s="845"/>
      <c r="ED12" s="845"/>
      <c r="EE12" s="845"/>
      <c r="EF12" s="845"/>
      <c r="EG12" s="845"/>
      <c r="EH12" s="845"/>
      <c r="EI12" s="845"/>
      <c r="EJ12" s="845"/>
      <c r="EK12" s="845"/>
      <c r="EL12" s="845"/>
      <c r="EM12" s="845"/>
      <c r="EN12" s="845"/>
      <c r="EO12" s="845"/>
      <c r="EP12" s="845"/>
      <c r="EQ12" s="845"/>
      <c r="ER12" s="845"/>
      <c r="ES12" s="845"/>
      <c r="ET12" s="845"/>
      <c r="EU12" s="845"/>
      <c r="EV12" s="845"/>
      <c r="EW12" s="845"/>
      <c r="EX12" s="845"/>
      <c r="EY12" s="845"/>
      <c r="EZ12" s="845"/>
      <c r="FA12" s="845"/>
      <c r="FB12" s="845"/>
      <c r="FC12" s="845"/>
      <c r="FD12" s="845"/>
      <c r="FE12" s="845"/>
      <c r="FF12" s="845"/>
      <c r="FG12" s="845"/>
      <c r="FH12" s="845"/>
      <c r="FI12" s="845"/>
      <c r="FJ12" s="845"/>
      <c r="FK12" s="845"/>
      <c r="FL12" s="845"/>
      <c r="FM12" s="845"/>
      <c r="FN12" s="845"/>
      <c r="FO12" s="845"/>
      <c r="FP12" s="845"/>
      <c r="FQ12" s="845"/>
      <c r="FR12" s="845"/>
      <c r="FS12" s="845"/>
      <c r="FT12" s="845"/>
      <c r="FU12" s="845"/>
      <c r="FV12" s="845"/>
      <c r="FW12" s="845"/>
      <c r="FX12" s="845"/>
      <c r="FY12" s="845"/>
      <c r="FZ12" s="845"/>
      <c r="GA12" s="845"/>
      <c r="GB12" s="845"/>
      <c r="GC12" s="845"/>
      <c r="GD12" s="845"/>
      <c r="GE12" s="845"/>
      <c r="GF12" s="845"/>
      <c r="GG12" s="845"/>
      <c r="GH12" s="845"/>
      <c r="GI12" s="845"/>
      <c r="GJ12" s="845"/>
      <c r="GK12" s="845"/>
      <c r="GL12" s="845"/>
      <c r="GM12" s="845"/>
      <c r="GN12" s="845"/>
      <c r="GO12" s="845"/>
      <c r="GP12" s="845"/>
      <c r="GQ12" s="845"/>
      <c r="GR12" s="845"/>
      <c r="GS12" s="845"/>
      <c r="GT12" s="845"/>
      <c r="GU12" s="845"/>
      <c r="GV12" s="845"/>
      <c r="GW12" s="845"/>
      <c r="GX12" s="845"/>
      <c r="GY12" s="845"/>
      <c r="GZ12" s="845"/>
      <c r="HA12" s="845"/>
      <c r="HB12" s="845"/>
      <c r="HC12" s="845"/>
      <c r="HD12" s="845"/>
      <c r="HE12" s="845"/>
      <c r="HF12" s="845"/>
      <c r="HG12" s="845"/>
      <c r="HH12" s="845"/>
      <c r="HI12" s="845"/>
      <c r="HJ12" s="845"/>
      <c r="HK12" s="845"/>
      <c r="HL12" s="845"/>
      <c r="HM12" s="845"/>
      <c r="HN12" s="845"/>
      <c r="HO12" s="845"/>
    </row>
    <row r="13" spans="1:223" s="847" customFormat="1" ht="9.75" customHeight="1">
      <c r="A13" s="844"/>
      <c r="B13" s="844"/>
      <c r="C13" s="856"/>
      <c r="D13" s="856"/>
      <c r="E13" s="856"/>
      <c r="F13" s="856"/>
      <c r="G13" s="856"/>
      <c r="H13" s="856"/>
      <c r="I13" s="856"/>
      <c r="J13" s="844"/>
      <c r="K13" s="844"/>
      <c r="L13" s="844"/>
      <c r="M13" s="844"/>
      <c r="N13" s="844"/>
      <c r="O13" s="844"/>
      <c r="P13" s="844"/>
      <c r="Q13" s="844"/>
      <c r="R13" s="844"/>
      <c r="S13" s="844"/>
      <c r="T13" s="844"/>
      <c r="U13" s="844"/>
      <c r="V13" s="844"/>
      <c r="W13" s="844"/>
      <c r="X13" s="857"/>
      <c r="Y13" s="857"/>
      <c r="Z13" s="857"/>
      <c r="AA13" s="857"/>
      <c r="AB13" s="857"/>
      <c r="AC13" s="857"/>
      <c r="AD13" s="857"/>
      <c r="AE13" s="857"/>
      <c r="AF13" s="857"/>
      <c r="AG13" s="1215"/>
      <c r="AH13" s="1215"/>
      <c r="AI13" s="844"/>
      <c r="AJ13" s="844"/>
      <c r="AK13" s="844"/>
      <c r="AL13" s="844"/>
      <c r="AM13" s="1347"/>
      <c r="AN13" s="1347"/>
      <c r="AO13" s="1347"/>
      <c r="AP13" s="1347"/>
      <c r="AQ13" s="1347"/>
      <c r="AR13" s="1347"/>
      <c r="AS13" s="1347"/>
      <c r="AT13" s="846"/>
      <c r="AU13" s="846"/>
      <c r="AV13" s="846"/>
      <c r="AW13" s="846"/>
      <c r="AX13" s="846"/>
      <c r="AY13" s="846"/>
      <c r="AZ13" s="846"/>
      <c r="BA13" s="846"/>
      <c r="BB13" s="846"/>
      <c r="BC13" s="846"/>
      <c r="BD13" s="846"/>
      <c r="BE13" s="846"/>
      <c r="BF13" s="846"/>
      <c r="BG13" s="846"/>
      <c r="BH13" s="846"/>
      <c r="BI13" s="846"/>
      <c r="BJ13" s="846"/>
      <c r="BK13" s="846"/>
      <c r="BL13" s="846"/>
      <c r="BM13" s="846"/>
      <c r="BN13" s="846"/>
      <c r="BO13" s="846"/>
      <c r="BP13" s="846"/>
      <c r="BQ13" s="846"/>
      <c r="BR13" s="846"/>
      <c r="BS13" s="846"/>
      <c r="BT13" s="846"/>
      <c r="BU13" s="846"/>
      <c r="BV13" s="846"/>
      <c r="BW13" s="846"/>
      <c r="BX13" s="846"/>
      <c r="BY13" s="846"/>
      <c r="BZ13" s="845"/>
      <c r="CA13" s="1497"/>
      <c r="CB13" s="1497"/>
      <c r="CC13" s="1497"/>
      <c r="CD13" s="1493"/>
      <c r="CE13" s="1493"/>
      <c r="CF13" s="1493"/>
      <c r="CG13" s="1493"/>
      <c r="CH13" s="1498"/>
      <c r="CI13" s="1493"/>
      <c r="CJ13" s="1493"/>
      <c r="CK13" s="1493"/>
      <c r="CL13" s="1493"/>
      <c r="CM13" s="1493"/>
      <c r="CN13" s="1493"/>
      <c r="CO13" s="1493"/>
      <c r="CP13" s="1493"/>
      <c r="CQ13" s="1492"/>
      <c r="CR13" s="1492"/>
      <c r="CS13" s="1492"/>
      <c r="CT13" s="2023"/>
      <c r="CU13" s="2023"/>
      <c r="CV13" s="2023"/>
      <c r="CW13" s="2023"/>
      <c r="CX13" s="2023"/>
      <c r="CY13" s="2023"/>
      <c r="CZ13" s="2023"/>
      <c r="DA13" s="2023"/>
      <c r="DB13" s="2023"/>
      <c r="DC13" s="1496"/>
      <c r="DD13" s="1496"/>
      <c r="DE13" s="846"/>
      <c r="DF13" s="846"/>
      <c r="DG13" s="846"/>
      <c r="DH13" s="846"/>
      <c r="DI13" s="846"/>
      <c r="DJ13" s="846"/>
      <c r="DK13" s="846"/>
      <c r="DL13" s="846"/>
      <c r="DM13" s="846"/>
      <c r="DN13" s="846"/>
      <c r="DO13" s="846"/>
      <c r="DP13" s="846"/>
      <c r="DQ13" s="846"/>
      <c r="DR13" s="846"/>
      <c r="DS13" s="845"/>
      <c r="DT13" s="845"/>
      <c r="DU13" s="845"/>
      <c r="DV13" s="845"/>
      <c r="DW13" s="845"/>
      <c r="DX13" s="845"/>
      <c r="DY13" s="845"/>
      <c r="DZ13" s="845"/>
      <c r="EA13" s="845"/>
      <c r="EB13" s="845"/>
      <c r="EC13" s="845"/>
      <c r="ED13" s="845"/>
      <c r="EE13" s="845"/>
      <c r="EF13" s="845"/>
      <c r="EG13" s="845"/>
      <c r="EH13" s="845"/>
      <c r="EI13" s="845"/>
      <c r="EJ13" s="845"/>
      <c r="EK13" s="845"/>
      <c r="EL13" s="845"/>
      <c r="EM13" s="845"/>
      <c r="EN13" s="845"/>
      <c r="EO13" s="845"/>
      <c r="EP13" s="845"/>
      <c r="EQ13" s="845"/>
      <c r="ER13" s="845"/>
      <c r="ES13" s="845"/>
      <c r="ET13" s="845"/>
      <c r="EU13" s="845"/>
      <c r="EV13" s="845"/>
      <c r="EW13" s="845"/>
      <c r="EX13" s="845"/>
      <c r="EY13" s="845"/>
      <c r="EZ13" s="845"/>
      <c r="FA13" s="845"/>
      <c r="FB13" s="845"/>
      <c r="FC13" s="845"/>
      <c r="FD13" s="845"/>
      <c r="FE13" s="845"/>
      <c r="FF13" s="845"/>
      <c r="FG13" s="845"/>
      <c r="FH13" s="845"/>
      <c r="FI13" s="845"/>
      <c r="FJ13" s="845"/>
      <c r="FK13" s="845"/>
      <c r="FL13" s="845"/>
      <c r="FM13" s="845"/>
      <c r="FN13" s="845"/>
      <c r="FO13" s="845"/>
      <c r="FP13" s="845"/>
      <c r="FQ13" s="845"/>
      <c r="FR13" s="845"/>
      <c r="FS13" s="845"/>
      <c r="FT13" s="845"/>
      <c r="FU13" s="845"/>
      <c r="FV13" s="845"/>
      <c r="FW13" s="845"/>
      <c r="FX13" s="845"/>
      <c r="FY13" s="845"/>
      <c r="FZ13" s="845"/>
      <c r="GA13" s="845"/>
      <c r="GB13" s="845"/>
      <c r="GC13" s="845"/>
      <c r="GD13" s="845"/>
      <c r="GE13" s="845"/>
      <c r="GF13" s="845"/>
      <c r="GG13" s="845"/>
      <c r="GH13" s="845"/>
      <c r="GI13" s="845"/>
      <c r="GJ13" s="845"/>
      <c r="GK13" s="845"/>
      <c r="GL13" s="845"/>
      <c r="GM13" s="845"/>
      <c r="GN13" s="845"/>
      <c r="GO13" s="845"/>
      <c r="GP13" s="845"/>
      <c r="GQ13" s="845"/>
      <c r="GR13" s="845"/>
      <c r="GS13" s="845"/>
      <c r="GT13" s="845"/>
      <c r="GU13" s="845"/>
      <c r="GV13" s="845"/>
      <c r="GW13" s="845"/>
      <c r="GX13" s="845"/>
      <c r="GY13" s="845"/>
      <c r="GZ13" s="845"/>
      <c r="HA13" s="845"/>
      <c r="HB13" s="845"/>
      <c r="HC13" s="845"/>
      <c r="HD13" s="845"/>
      <c r="HE13" s="845"/>
      <c r="HF13" s="845"/>
      <c r="HG13" s="845"/>
      <c r="HH13" s="845"/>
      <c r="HI13" s="845"/>
      <c r="HJ13" s="845"/>
      <c r="HK13" s="845"/>
      <c r="HL13" s="845"/>
      <c r="HM13" s="845"/>
      <c r="HN13" s="845"/>
      <c r="HO13" s="845"/>
    </row>
    <row r="14" spans="1:223" s="847" customFormat="1" ht="27.75" customHeight="1">
      <c r="A14" s="844"/>
      <c r="B14" s="2151" t="s">
        <v>407</v>
      </c>
      <c r="C14" s="2151"/>
      <c r="D14" s="2151"/>
      <c r="E14" s="2151"/>
      <c r="F14" s="2151"/>
      <c r="G14" s="2151"/>
      <c r="H14" s="2151"/>
      <c r="I14" s="2151"/>
      <c r="J14" s="2151"/>
      <c r="K14" s="2151"/>
      <c r="L14" s="2151"/>
      <c r="M14" s="2151"/>
      <c r="N14" s="2151"/>
      <c r="O14" s="2151"/>
      <c r="P14" s="2151"/>
      <c r="Q14" s="2151"/>
      <c r="R14" s="2151"/>
      <c r="S14" s="2151"/>
      <c r="T14" s="2151"/>
      <c r="U14" s="2151"/>
      <c r="V14" s="2151"/>
      <c r="W14" s="2151"/>
      <c r="X14" s="2151"/>
      <c r="Y14" s="2151"/>
      <c r="Z14" s="2151"/>
      <c r="AA14" s="2151"/>
      <c r="AB14" s="2151"/>
      <c r="AC14" s="2151"/>
      <c r="AD14" s="2151"/>
      <c r="AE14" s="2151"/>
      <c r="AF14" s="2151"/>
      <c r="AG14" s="2151"/>
      <c r="AH14" s="2151"/>
      <c r="AI14" s="844"/>
      <c r="AJ14" s="844"/>
      <c r="AK14" s="844"/>
      <c r="AL14" s="844"/>
      <c r="AM14" s="1347"/>
      <c r="AN14" s="1347"/>
      <c r="AO14" s="1347"/>
      <c r="AP14" s="1347"/>
      <c r="AQ14" s="1347"/>
      <c r="AR14" s="1347"/>
      <c r="AS14" s="1347"/>
      <c r="AT14" s="846"/>
      <c r="AU14" s="846"/>
      <c r="AV14" s="846"/>
      <c r="AW14" s="846"/>
      <c r="AX14" s="846"/>
      <c r="AY14" s="846"/>
      <c r="AZ14" s="846"/>
      <c r="BA14" s="846"/>
      <c r="BB14" s="846"/>
      <c r="BC14" s="846"/>
      <c r="BD14" s="846"/>
      <c r="BE14" s="846"/>
      <c r="BF14" s="846"/>
      <c r="BG14" s="846"/>
      <c r="BH14" s="846"/>
      <c r="BI14" s="846"/>
      <c r="BJ14" s="846"/>
      <c r="BK14" s="846"/>
      <c r="BL14" s="846"/>
      <c r="BM14" s="846"/>
      <c r="BN14" s="846"/>
      <c r="BO14" s="846"/>
      <c r="BP14" s="846"/>
      <c r="BQ14" s="846"/>
      <c r="BR14" s="846"/>
      <c r="BS14" s="846"/>
      <c r="BT14" s="846"/>
      <c r="BU14" s="846"/>
      <c r="BV14" s="846"/>
      <c r="BW14" s="846"/>
      <c r="BX14" s="846"/>
      <c r="BY14" s="846"/>
      <c r="BZ14" s="845"/>
      <c r="CA14" s="1499"/>
      <c r="CB14" s="1499"/>
      <c r="CC14" s="1499"/>
      <c r="CD14" s="1493"/>
      <c r="CE14" s="1493"/>
      <c r="CF14" s="1493"/>
      <c r="CG14" s="1493"/>
      <c r="CH14" s="1498"/>
      <c r="CI14" s="1493"/>
      <c r="CJ14" s="1493"/>
      <c r="CK14" s="1493"/>
      <c r="CL14" s="1493"/>
      <c r="CM14" s="1493"/>
      <c r="CN14" s="1493"/>
      <c r="CO14" s="1493"/>
      <c r="CP14" s="1493"/>
      <c r="CQ14" s="1492"/>
      <c r="CR14" s="1492"/>
      <c r="CS14" s="1492"/>
      <c r="CT14" s="2023"/>
      <c r="CU14" s="2023"/>
      <c r="CV14" s="2023"/>
      <c r="CW14" s="2023"/>
      <c r="CX14" s="2023"/>
      <c r="CY14" s="2023"/>
      <c r="CZ14" s="2023"/>
      <c r="DA14" s="2023"/>
      <c r="DB14" s="2023"/>
      <c r="DC14" s="1496"/>
      <c r="DD14" s="1496"/>
      <c r="DE14" s="846"/>
      <c r="DF14" s="846"/>
      <c r="DG14" s="846"/>
      <c r="DH14" s="846"/>
      <c r="DI14" s="846"/>
      <c r="DJ14" s="846"/>
      <c r="DK14" s="846"/>
      <c r="DL14" s="846"/>
      <c r="DM14" s="846"/>
      <c r="DN14" s="846"/>
      <c r="DO14" s="846"/>
      <c r="DP14" s="846"/>
      <c r="DQ14" s="846"/>
      <c r="DR14" s="846"/>
      <c r="DS14" s="845"/>
      <c r="DT14" s="845"/>
      <c r="DU14" s="845"/>
      <c r="DV14" s="845"/>
      <c r="DW14" s="845"/>
      <c r="DX14" s="845"/>
      <c r="DY14" s="845"/>
      <c r="DZ14" s="845"/>
      <c r="EA14" s="845"/>
      <c r="EB14" s="845"/>
      <c r="EC14" s="845"/>
      <c r="ED14" s="845"/>
      <c r="EE14" s="845"/>
      <c r="EF14" s="845"/>
      <c r="EG14" s="845"/>
      <c r="EH14" s="845"/>
      <c r="EI14" s="845"/>
      <c r="EJ14" s="845"/>
      <c r="EK14" s="845"/>
      <c r="EL14" s="845"/>
      <c r="EM14" s="845"/>
      <c r="EN14" s="845"/>
      <c r="EO14" s="845"/>
      <c r="EP14" s="845"/>
      <c r="EQ14" s="845"/>
      <c r="ER14" s="845"/>
      <c r="ES14" s="845"/>
      <c r="ET14" s="845"/>
      <c r="EU14" s="845"/>
      <c r="EV14" s="845"/>
      <c r="EW14" s="845"/>
      <c r="EX14" s="845"/>
      <c r="EY14" s="845"/>
      <c r="EZ14" s="845"/>
      <c r="FA14" s="845"/>
      <c r="FB14" s="845"/>
      <c r="FC14" s="845"/>
      <c r="FD14" s="845"/>
      <c r="FE14" s="845"/>
      <c r="FF14" s="845"/>
      <c r="FG14" s="845"/>
      <c r="FH14" s="845"/>
      <c r="FI14" s="845"/>
      <c r="FJ14" s="845"/>
      <c r="FK14" s="845"/>
      <c r="FL14" s="845"/>
      <c r="FM14" s="845"/>
      <c r="FN14" s="845"/>
      <c r="FO14" s="845"/>
      <c r="FP14" s="845"/>
      <c r="FQ14" s="845"/>
      <c r="FR14" s="845"/>
      <c r="FS14" s="845"/>
      <c r="FT14" s="845"/>
      <c r="FU14" s="845"/>
      <c r="FV14" s="845"/>
      <c r="FW14" s="845"/>
      <c r="FX14" s="845"/>
      <c r="FY14" s="845"/>
      <c r="FZ14" s="845"/>
      <c r="GA14" s="845"/>
      <c r="GB14" s="845"/>
      <c r="GC14" s="845"/>
      <c r="GD14" s="845"/>
      <c r="GE14" s="845"/>
      <c r="GF14" s="845"/>
      <c r="GG14" s="845"/>
      <c r="GH14" s="845"/>
      <c r="GI14" s="845"/>
      <c r="GJ14" s="845"/>
      <c r="GK14" s="845"/>
      <c r="GL14" s="845"/>
      <c r="GM14" s="845"/>
      <c r="GN14" s="845"/>
      <c r="GO14" s="845"/>
      <c r="GP14" s="845"/>
      <c r="GQ14" s="845"/>
      <c r="GR14" s="845"/>
      <c r="GS14" s="845"/>
      <c r="GT14" s="845"/>
      <c r="GU14" s="845"/>
      <c r="GV14" s="845"/>
      <c r="GW14" s="845"/>
      <c r="GX14" s="845"/>
      <c r="GY14" s="845"/>
      <c r="GZ14" s="845"/>
      <c r="HA14" s="845"/>
      <c r="HB14" s="845"/>
      <c r="HC14" s="845"/>
      <c r="HD14" s="845"/>
      <c r="HE14" s="845"/>
      <c r="HF14" s="845"/>
      <c r="HG14" s="845"/>
      <c r="HH14" s="845"/>
      <c r="HI14" s="845"/>
      <c r="HJ14" s="845"/>
      <c r="HK14" s="845"/>
      <c r="HL14" s="845"/>
      <c r="HM14" s="845"/>
      <c r="HN14" s="845"/>
      <c r="HO14" s="845"/>
    </row>
    <row r="15" spans="1:223" ht="11.25" customHeight="1">
      <c r="B15" s="858"/>
      <c r="C15" s="858"/>
      <c r="D15" s="858"/>
      <c r="E15" s="859"/>
      <c r="F15" s="859"/>
      <c r="G15" s="859"/>
      <c r="H15" s="859"/>
      <c r="I15" s="859"/>
      <c r="V15" s="2110"/>
      <c r="AF15" s="2136"/>
      <c r="AM15" s="868"/>
      <c r="AN15" s="868"/>
      <c r="AO15" s="868"/>
      <c r="AP15" s="868"/>
      <c r="AQ15" s="868"/>
      <c r="AR15" s="868"/>
      <c r="CA15" s="1500"/>
      <c r="CB15" s="1500"/>
      <c r="CC15" s="1500"/>
      <c r="CD15" s="1490"/>
      <c r="CF15" s="1490"/>
      <c r="CG15" s="1490"/>
      <c r="CI15" s="1490"/>
      <c r="CJ15" s="1490"/>
      <c r="CK15" s="1490"/>
      <c r="CL15" s="1490"/>
      <c r="CM15" s="1490"/>
      <c r="CN15" s="1490"/>
      <c r="CO15" s="1490"/>
      <c r="CP15" s="1490"/>
      <c r="CR15" s="1489"/>
      <c r="CS15" s="1489"/>
      <c r="CT15" s="1507"/>
      <c r="CU15" s="1507"/>
      <c r="CV15" s="1507"/>
      <c r="CW15" s="1507"/>
      <c r="CX15" s="1507"/>
      <c r="CY15" s="1507"/>
      <c r="CZ15" s="1507"/>
      <c r="DA15" s="1507"/>
      <c r="DB15" s="1507"/>
      <c r="DS15" s="841"/>
      <c r="DT15" s="841"/>
      <c r="DU15" s="841"/>
      <c r="DV15" s="841"/>
      <c r="DW15" s="841"/>
      <c r="DX15" s="841"/>
      <c r="DY15" s="841"/>
      <c r="DZ15" s="841"/>
      <c r="EA15" s="841"/>
      <c r="EB15" s="841"/>
      <c r="EC15" s="841"/>
      <c r="ED15" s="841"/>
      <c r="EE15" s="841"/>
      <c r="EF15" s="841"/>
      <c r="EG15" s="841"/>
      <c r="EH15" s="841"/>
      <c r="EI15" s="841"/>
      <c r="EJ15" s="841"/>
      <c r="EK15" s="841"/>
      <c r="EL15" s="841"/>
      <c r="EM15" s="841"/>
      <c r="EN15" s="841"/>
      <c r="EO15" s="841"/>
      <c r="EP15" s="841"/>
      <c r="EQ15" s="841"/>
      <c r="ER15" s="841"/>
      <c r="ES15" s="841"/>
      <c r="ET15" s="841"/>
      <c r="EU15" s="841"/>
      <c r="EV15" s="841"/>
      <c r="EW15" s="841"/>
      <c r="EX15" s="841"/>
      <c r="EY15" s="841"/>
      <c r="EZ15" s="841"/>
      <c r="FA15" s="841"/>
      <c r="FB15" s="841"/>
      <c r="FC15" s="841"/>
      <c r="FD15" s="841"/>
      <c r="FE15" s="841"/>
      <c r="FF15" s="841"/>
      <c r="FG15" s="841"/>
      <c r="FH15" s="841"/>
      <c r="FI15" s="841"/>
      <c r="FJ15" s="841"/>
      <c r="FK15" s="841"/>
      <c r="FL15" s="841"/>
      <c r="FM15" s="841"/>
      <c r="FN15" s="841"/>
      <c r="FO15" s="841"/>
      <c r="FP15" s="841"/>
      <c r="FQ15" s="841"/>
      <c r="FR15" s="841"/>
      <c r="FS15" s="841"/>
      <c r="FT15" s="841"/>
      <c r="FU15" s="841"/>
      <c r="FV15" s="841"/>
      <c r="FW15" s="841"/>
      <c r="FX15" s="841"/>
      <c r="FY15" s="841"/>
      <c r="FZ15" s="841"/>
      <c r="GA15" s="841"/>
      <c r="GB15" s="841"/>
      <c r="GC15" s="841"/>
      <c r="GD15" s="841"/>
      <c r="GE15" s="841"/>
      <c r="GF15" s="841"/>
      <c r="GG15" s="841"/>
      <c r="GH15" s="841"/>
      <c r="GI15" s="841"/>
      <c r="GJ15" s="841"/>
      <c r="GK15" s="841"/>
      <c r="GL15" s="841"/>
      <c r="GM15" s="841"/>
      <c r="GN15" s="841"/>
      <c r="GO15" s="841"/>
      <c r="GP15" s="841"/>
      <c r="GQ15" s="841"/>
      <c r="GR15" s="841"/>
      <c r="GS15" s="841"/>
      <c r="GT15" s="841"/>
      <c r="GU15" s="841"/>
      <c r="GV15" s="841"/>
      <c r="GW15" s="841"/>
      <c r="GX15" s="841"/>
      <c r="GY15" s="841"/>
      <c r="GZ15" s="841"/>
      <c r="HA15" s="841"/>
      <c r="HB15" s="841"/>
      <c r="HC15" s="841"/>
      <c r="HD15" s="841"/>
      <c r="HE15" s="841"/>
      <c r="HF15" s="841"/>
      <c r="HG15" s="841"/>
      <c r="HH15" s="841"/>
      <c r="HI15" s="841"/>
      <c r="HJ15" s="841"/>
      <c r="HK15" s="841"/>
      <c r="HL15" s="841"/>
      <c r="HM15" s="841"/>
      <c r="HN15" s="841"/>
      <c r="HO15" s="841"/>
    </row>
    <row r="16" spans="1:223" ht="5.25" customHeight="1">
      <c r="C16" s="859"/>
      <c r="E16" s="859"/>
      <c r="F16" s="859"/>
      <c r="G16" s="859"/>
      <c r="H16" s="859"/>
      <c r="I16" s="859"/>
      <c r="V16" s="2111"/>
      <c r="AF16" s="2137"/>
      <c r="AM16" s="868"/>
      <c r="AN16" s="868"/>
      <c r="AO16" s="868"/>
      <c r="AP16" s="868"/>
      <c r="AQ16" s="868"/>
      <c r="AR16" s="868"/>
      <c r="CA16" s="1500"/>
      <c r="CB16" s="1500"/>
      <c r="CC16" s="1500"/>
      <c r="CD16" s="1490"/>
      <c r="CF16" s="1490"/>
      <c r="CG16" s="1490"/>
      <c r="CI16" s="1490"/>
      <c r="CJ16" s="1490"/>
      <c r="CK16" s="1490"/>
      <c r="CL16" s="1490"/>
      <c r="CM16" s="1490"/>
      <c r="CN16" s="1490"/>
      <c r="CO16" s="1490"/>
      <c r="CP16" s="1490"/>
      <c r="CR16" s="1489"/>
      <c r="CS16" s="1489"/>
      <c r="CT16" s="1507"/>
      <c r="CU16" s="1507"/>
      <c r="CV16" s="1507"/>
      <c r="CW16" s="1507"/>
      <c r="CX16" s="1507"/>
      <c r="CY16" s="1507"/>
      <c r="CZ16" s="1507"/>
      <c r="DA16" s="1507"/>
      <c r="DB16" s="1507"/>
      <c r="DS16" s="841"/>
      <c r="DT16" s="841"/>
      <c r="DU16" s="841"/>
      <c r="DV16" s="841"/>
      <c r="DW16" s="841"/>
      <c r="DX16" s="841"/>
      <c r="DY16" s="841"/>
      <c r="DZ16" s="841"/>
      <c r="EA16" s="841"/>
      <c r="EB16" s="841"/>
      <c r="EC16" s="841"/>
      <c r="ED16" s="841"/>
      <c r="EE16" s="841"/>
      <c r="EF16" s="841"/>
      <c r="EG16" s="841"/>
      <c r="EH16" s="841"/>
      <c r="EI16" s="841"/>
      <c r="EJ16" s="841"/>
      <c r="EK16" s="841"/>
      <c r="EL16" s="841"/>
      <c r="EM16" s="841"/>
      <c r="EN16" s="841"/>
      <c r="EO16" s="841"/>
      <c r="EP16" s="841"/>
      <c r="EQ16" s="841"/>
      <c r="ER16" s="841"/>
      <c r="ES16" s="841"/>
      <c r="ET16" s="841"/>
      <c r="EU16" s="841"/>
      <c r="EV16" s="841"/>
      <c r="EW16" s="841"/>
      <c r="EX16" s="841"/>
      <c r="EY16" s="841"/>
      <c r="EZ16" s="841"/>
      <c r="FA16" s="841"/>
      <c r="FB16" s="841"/>
      <c r="FC16" s="841"/>
      <c r="FD16" s="841"/>
      <c r="FE16" s="841"/>
      <c r="FF16" s="841"/>
      <c r="FG16" s="841"/>
      <c r="FH16" s="841"/>
      <c r="FI16" s="841"/>
      <c r="FJ16" s="841"/>
      <c r="FK16" s="841"/>
      <c r="FL16" s="841"/>
      <c r="FM16" s="841"/>
      <c r="FN16" s="841"/>
      <c r="FO16" s="841"/>
      <c r="FP16" s="841"/>
      <c r="FQ16" s="841"/>
      <c r="FR16" s="841"/>
      <c r="FS16" s="841"/>
      <c r="FT16" s="841"/>
      <c r="FU16" s="841"/>
      <c r="FV16" s="841"/>
      <c r="FW16" s="841"/>
      <c r="FX16" s="841"/>
      <c r="FY16" s="841"/>
      <c r="FZ16" s="841"/>
      <c r="GA16" s="841"/>
      <c r="GB16" s="841"/>
      <c r="GC16" s="841"/>
      <c r="GD16" s="841"/>
      <c r="GE16" s="841"/>
      <c r="GF16" s="841"/>
      <c r="GG16" s="841"/>
      <c r="GH16" s="841"/>
      <c r="GI16" s="841"/>
      <c r="GJ16" s="841"/>
      <c r="GK16" s="841"/>
      <c r="GL16" s="841"/>
      <c r="GM16" s="841"/>
      <c r="GN16" s="841"/>
      <c r="GO16" s="841"/>
      <c r="GP16" s="841"/>
      <c r="GQ16" s="841"/>
      <c r="GR16" s="841"/>
      <c r="GS16" s="841"/>
      <c r="GT16" s="841"/>
      <c r="GU16" s="841"/>
      <c r="GV16" s="841"/>
      <c r="GW16" s="841"/>
      <c r="GX16" s="841"/>
      <c r="GY16" s="841"/>
      <c r="GZ16" s="841"/>
      <c r="HA16" s="841"/>
      <c r="HB16" s="841"/>
      <c r="HC16" s="841"/>
      <c r="HD16" s="841"/>
      <c r="HE16" s="841"/>
      <c r="HF16" s="841"/>
      <c r="HG16" s="841"/>
      <c r="HH16" s="841"/>
      <c r="HI16" s="841"/>
      <c r="HJ16" s="841"/>
      <c r="HK16" s="841"/>
      <c r="HL16" s="841"/>
      <c r="HM16" s="841"/>
      <c r="HN16" s="841"/>
      <c r="HO16" s="841"/>
    </row>
    <row r="17" spans="2:223" ht="27.75" customHeight="1" thickBot="1">
      <c r="B17" s="860" t="s">
        <v>414</v>
      </c>
      <c r="C17" s="854"/>
      <c r="D17" s="861" t="s">
        <v>395</v>
      </c>
      <c r="E17" s="854"/>
      <c r="F17" s="862"/>
      <c r="G17" s="862"/>
      <c r="H17" s="860" t="s">
        <v>768</v>
      </c>
      <c r="I17" s="863"/>
      <c r="J17" s="2141" t="s">
        <v>1720</v>
      </c>
      <c r="K17" s="2142"/>
      <c r="L17" s="2143"/>
      <c r="T17" s="1189"/>
      <c r="AM17" s="868"/>
      <c r="AN17" s="868"/>
      <c r="AO17" s="868"/>
      <c r="AP17" s="868"/>
      <c r="AQ17" s="868"/>
      <c r="AR17" s="868"/>
      <c r="CA17" s="1500"/>
      <c r="CB17" s="1500"/>
      <c r="CC17" s="1500"/>
      <c r="CD17" s="1501"/>
      <c r="CE17" s="1501"/>
      <c r="CF17" s="1501"/>
      <c r="CG17" s="1490"/>
      <c r="CI17" s="1490"/>
      <c r="CJ17" s="1490"/>
      <c r="CK17" s="1490"/>
      <c r="CL17" s="1490"/>
      <c r="CM17" s="1490"/>
      <c r="CN17" s="1490"/>
      <c r="CO17" s="1490"/>
      <c r="CP17" s="1490"/>
      <c r="CR17" s="1489"/>
      <c r="CS17" s="1489"/>
      <c r="CT17" s="1507"/>
      <c r="CU17" s="1507"/>
      <c r="CV17" s="1507"/>
      <c r="CW17" s="1507"/>
      <c r="CX17" s="1507"/>
      <c r="CY17" s="1507"/>
      <c r="CZ17" s="1507"/>
      <c r="DA17" s="1507"/>
      <c r="DB17" s="1507"/>
      <c r="DS17" s="841"/>
      <c r="DT17" s="841"/>
      <c r="DU17" s="841"/>
      <c r="DV17" s="841"/>
      <c r="DW17" s="841"/>
      <c r="DX17" s="841"/>
      <c r="DY17" s="841"/>
      <c r="DZ17" s="841"/>
      <c r="EA17" s="841"/>
      <c r="EB17" s="841"/>
      <c r="EC17" s="841"/>
      <c r="ED17" s="841"/>
      <c r="EE17" s="841"/>
      <c r="EF17" s="841"/>
      <c r="EG17" s="841"/>
      <c r="EH17" s="841"/>
      <c r="EI17" s="841"/>
      <c r="EJ17" s="841"/>
      <c r="EK17" s="841"/>
      <c r="EL17" s="841"/>
      <c r="EM17" s="841"/>
      <c r="EN17" s="841"/>
      <c r="EO17" s="841"/>
      <c r="EP17" s="841"/>
      <c r="EQ17" s="841"/>
      <c r="ER17" s="841"/>
      <c r="ES17" s="841"/>
      <c r="ET17" s="841"/>
      <c r="EU17" s="841"/>
      <c r="EV17" s="841"/>
      <c r="EW17" s="841"/>
      <c r="EX17" s="841"/>
      <c r="EY17" s="841"/>
      <c r="EZ17" s="841"/>
      <c r="FA17" s="841"/>
      <c r="FB17" s="841"/>
      <c r="FC17" s="841"/>
      <c r="FD17" s="841"/>
      <c r="FE17" s="841"/>
      <c r="FF17" s="841"/>
      <c r="FG17" s="841"/>
      <c r="FH17" s="841"/>
      <c r="FI17" s="841"/>
      <c r="FJ17" s="841"/>
      <c r="FK17" s="841"/>
      <c r="FL17" s="841"/>
      <c r="FM17" s="841"/>
      <c r="FN17" s="841"/>
      <c r="FO17" s="841"/>
      <c r="FP17" s="841"/>
      <c r="FQ17" s="841"/>
      <c r="FR17" s="841"/>
      <c r="FS17" s="841"/>
      <c r="FT17" s="841"/>
      <c r="FU17" s="841"/>
      <c r="FV17" s="841"/>
      <c r="FW17" s="841"/>
      <c r="FX17" s="841"/>
      <c r="FY17" s="841"/>
      <c r="FZ17" s="841"/>
      <c r="GA17" s="841"/>
      <c r="GB17" s="841"/>
      <c r="GC17" s="841"/>
      <c r="GD17" s="841"/>
      <c r="GE17" s="841"/>
      <c r="GF17" s="841"/>
      <c r="GG17" s="841"/>
      <c r="GH17" s="841"/>
      <c r="GI17" s="841"/>
      <c r="GJ17" s="841"/>
      <c r="GK17" s="841"/>
      <c r="GL17" s="841"/>
      <c r="GM17" s="841"/>
      <c r="GN17" s="841"/>
      <c r="GO17" s="841"/>
      <c r="GP17" s="841"/>
      <c r="GQ17" s="841"/>
      <c r="GR17" s="841"/>
      <c r="GS17" s="841"/>
      <c r="GT17" s="841"/>
      <c r="GU17" s="841"/>
      <c r="GV17" s="841"/>
      <c r="GW17" s="841"/>
      <c r="GX17" s="841"/>
      <c r="GY17" s="841"/>
      <c r="GZ17" s="841"/>
      <c r="HA17" s="841"/>
      <c r="HB17" s="841"/>
      <c r="HC17" s="841"/>
      <c r="HD17" s="841"/>
      <c r="HE17" s="841"/>
      <c r="HF17" s="841"/>
      <c r="HG17" s="841"/>
      <c r="HH17" s="841"/>
      <c r="HI17" s="841"/>
      <c r="HJ17" s="841"/>
      <c r="HK17" s="841"/>
      <c r="HL17" s="841"/>
      <c r="HM17" s="841"/>
      <c r="HN17" s="841"/>
      <c r="HO17" s="841"/>
    </row>
    <row r="18" spans="2:223" ht="43.5" customHeight="1" thickTop="1">
      <c r="AM18" s="868"/>
      <c r="AN18" s="868"/>
      <c r="AO18" s="868"/>
      <c r="AP18" s="868"/>
      <c r="AQ18" s="868"/>
      <c r="AR18" s="868"/>
      <c r="CA18" s="1500"/>
      <c r="CB18" s="1500"/>
      <c r="CC18" s="1500"/>
      <c r="CD18" s="1501"/>
      <c r="CE18" s="1501"/>
      <c r="CF18" s="1501"/>
      <c r="CG18" s="1490"/>
      <c r="CI18" s="1502"/>
      <c r="CJ18" s="1490"/>
      <c r="CK18" s="1490"/>
      <c r="CL18" s="1490"/>
      <c r="CM18" s="1490"/>
      <c r="CN18" s="1490"/>
      <c r="CO18" s="1490"/>
      <c r="CP18" s="1490"/>
      <c r="CR18" s="1489"/>
      <c r="CS18" s="1489"/>
      <c r="CT18" s="1507"/>
      <c r="CU18" s="1507"/>
      <c r="CV18" s="1507"/>
      <c r="CW18" s="1507"/>
      <c r="CX18" s="1507"/>
      <c r="CY18" s="1507"/>
      <c r="CZ18" s="1507"/>
      <c r="DA18" s="1507"/>
      <c r="DB18" s="1507"/>
      <c r="DS18" s="841"/>
      <c r="DT18" s="841"/>
      <c r="DU18" s="841"/>
      <c r="DV18" s="841"/>
      <c r="DW18" s="841"/>
      <c r="DX18" s="841"/>
      <c r="DY18" s="841"/>
      <c r="DZ18" s="841"/>
      <c r="EA18" s="841"/>
      <c r="EB18" s="841"/>
      <c r="EC18" s="841"/>
      <c r="ED18" s="841"/>
      <c r="EE18" s="841"/>
      <c r="EF18" s="841"/>
      <c r="EG18" s="841"/>
      <c r="EH18" s="841"/>
      <c r="EI18" s="841"/>
      <c r="EJ18" s="841"/>
      <c r="EK18" s="841"/>
      <c r="EL18" s="841"/>
      <c r="EM18" s="841"/>
      <c r="EN18" s="841"/>
      <c r="EO18" s="841"/>
      <c r="EP18" s="841"/>
      <c r="EQ18" s="841"/>
      <c r="ER18" s="841"/>
      <c r="ES18" s="841"/>
      <c r="ET18" s="841"/>
      <c r="EU18" s="841"/>
      <c r="EV18" s="841"/>
      <c r="EW18" s="841"/>
      <c r="EX18" s="841"/>
      <c r="EY18" s="841"/>
      <c r="EZ18" s="841"/>
      <c r="FA18" s="841"/>
      <c r="FB18" s="841"/>
      <c r="FC18" s="841"/>
      <c r="FD18" s="841"/>
      <c r="FE18" s="841"/>
      <c r="FF18" s="841"/>
      <c r="FG18" s="841"/>
      <c r="FH18" s="841"/>
      <c r="FI18" s="841"/>
      <c r="FJ18" s="841"/>
      <c r="FK18" s="841"/>
      <c r="FL18" s="841"/>
      <c r="FM18" s="841"/>
      <c r="FN18" s="841"/>
      <c r="FO18" s="841"/>
      <c r="FP18" s="841"/>
      <c r="FQ18" s="841"/>
      <c r="FR18" s="841"/>
      <c r="FS18" s="841"/>
      <c r="FT18" s="841"/>
      <c r="FU18" s="841"/>
      <c r="FV18" s="841"/>
      <c r="FW18" s="841"/>
      <c r="FX18" s="841"/>
      <c r="FY18" s="841"/>
      <c r="FZ18" s="841"/>
      <c r="GA18" s="841"/>
      <c r="GB18" s="841"/>
      <c r="GC18" s="841"/>
      <c r="GD18" s="841"/>
      <c r="GE18" s="841"/>
      <c r="GF18" s="841"/>
      <c r="GG18" s="841"/>
      <c r="GH18" s="841"/>
      <c r="GI18" s="841"/>
      <c r="GJ18" s="841"/>
      <c r="GK18" s="841"/>
      <c r="GL18" s="841"/>
      <c r="GM18" s="841"/>
      <c r="GN18" s="841"/>
      <c r="GO18" s="841"/>
      <c r="GP18" s="841"/>
      <c r="GQ18" s="841"/>
      <c r="GR18" s="841"/>
      <c r="GS18" s="841"/>
      <c r="GT18" s="841"/>
      <c r="GU18" s="841"/>
      <c r="GV18" s="841"/>
      <c r="GW18" s="841"/>
      <c r="GX18" s="841"/>
      <c r="GY18" s="841"/>
      <c r="GZ18" s="841"/>
      <c r="HA18" s="841"/>
      <c r="HB18" s="841"/>
      <c r="HC18" s="841"/>
      <c r="HD18" s="841"/>
      <c r="HE18" s="841"/>
      <c r="HF18" s="841"/>
      <c r="HG18" s="841"/>
      <c r="HH18" s="841"/>
      <c r="HI18" s="841"/>
      <c r="HJ18" s="841"/>
      <c r="HK18" s="841"/>
      <c r="HL18" s="841"/>
      <c r="HM18" s="841"/>
      <c r="HN18" s="841"/>
      <c r="HO18" s="841"/>
    </row>
    <row r="19" spans="2:223" ht="21" hidden="1" thickBot="1">
      <c r="B19" s="2182" t="s">
        <v>1470</v>
      </c>
      <c r="C19" s="2183"/>
      <c r="D19" s="2183"/>
      <c r="E19" s="2183"/>
      <c r="F19" s="2183"/>
      <c r="G19" s="2184"/>
      <c r="I19" s="2182" t="s">
        <v>1422</v>
      </c>
      <c r="J19" s="2183"/>
      <c r="K19" s="2183"/>
      <c r="L19" s="2183"/>
      <c r="M19" s="2183"/>
      <c r="N19" s="2183"/>
      <c r="O19" s="2183"/>
      <c r="P19" s="2183"/>
      <c r="Q19" s="2184"/>
      <c r="AM19" s="868"/>
      <c r="AN19" s="868"/>
      <c r="AO19" s="868"/>
      <c r="AP19" s="868"/>
      <c r="AQ19" s="868"/>
      <c r="AR19" s="868"/>
      <c r="CA19" s="1500"/>
      <c r="CB19" s="1500"/>
      <c r="CC19" s="1500"/>
      <c r="CD19" s="1501"/>
      <c r="CE19" s="1501"/>
      <c r="CF19" s="1501"/>
      <c r="CG19" s="1490"/>
      <c r="CI19" s="1502"/>
      <c r="CJ19" s="1490"/>
      <c r="CK19" s="1490"/>
      <c r="CL19" s="1490"/>
      <c r="CM19" s="1490"/>
      <c r="CN19" s="1490"/>
      <c r="CO19" s="1490"/>
      <c r="CP19" s="1490"/>
      <c r="CR19" s="1489"/>
      <c r="CS19" s="1489"/>
      <c r="CT19" s="1507"/>
      <c r="CU19" s="1507"/>
      <c r="CV19" s="1507"/>
      <c r="CW19" s="1507"/>
      <c r="CX19" s="1507"/>
      <c r="CY19" s="1507"/>
      <c r="CZ19" s="1507"/>
      <c r="DA19" s="1507"/>
      <c r="DB19" s="1507"/>
      <c r="DS19" s="841"/>
      <c r="DT19" s="841"/>
      <c r="DU19" s="841"/>
      <c r="DV19" s="841"/>
      <c r="DW19" s="841"/>
      <c r="DX19" s="841"/>
      <c r="DY19" s="841"/>
      <c r="DZ19" s="841"/>
      <c r="EA19" s="841"/>
      <c r="EB19" s="841"/>
      <c r="EC19" s="841"/>
      <c r="ED19" s="841"/>
      <c r="EE19" s="841"/>
      <c r="EF19" s="841"/>
      <c r="EG19" s="841"/>
      <c r="EH19" s="841"/>
      <c r="EI19" s="841"/>
      <c r="EJ19" s="841"/>
      <c r="EK19" s="841"/>
      <c r="EL19" s="841"/>
      <c r="EM19" s="841"/>
      <c r="EN19" s="841"/>
      <c r="EO19" s="841"/>
      <c r="EP19" s="841"/>
      <c r="EQ19" s="841"/>
      <c r="ER19" s="841"/>
      <c r="ES19" s="841"/>
      <c r="ET19" s="841"/>
      <c r="EU19" s="841"/>
      <c r="EV19" s="841"/>
      <c r="EW19" s="841"/>
      <c r="EX19" s="841"/>
      <c r="EY19" s="841"/>
      <c r="EZ19" s="841"/>
      <c r="FA19" s="841"/>
      <c r="FB19" s="841"/>
      <c r="FC19" s="841"/>
      <c r="FD19" s="841"/>
      <c r="FE19" s="841"/>
      <c r="FF19" s="841"/>
      <c r="FG19" s="841"/>
      <c r="FH19" s="841"/>
      <c r="FI19" s="841"/>
      <c r="FJ19" s="841"/>
      <c r="FK19" s="841"/>
      <c r="FL19" s="841"/>
      <c r="FM19" s="841"/>
      <c r="FN19" s="841"/>
      <c r="FO19" s="841"/>
      <c r="FP19" s="841"/>
      <c r="FQ19" s="841"/>
      <c r="FR19" s="841"/>
      <c r="FS19" s="841"/>
      <c r="FT19" s="841"/>
      <c r="FU19" s="841"/>
      <c r="FV19" s="841"/>
      <c r="FW19" s="841"/>
      <c r="FX19" s="841"/>
      <c r="FY19" s="841"/>
      <c r="FZ19" s="841"/>
      <c r="GA19" s="841"/>
      <c r="GB19" s="841"/>
      <c r="GC19" s="841"/>
      <c r="GD19" s="841"/>
      <c r="GE19" s="841"/>
      <c r="GF19" s="841"/>
      <c r="GG19" s="841"/>
      <c r="GH19" s="841"/>
      <c r="GI19" s="841"/>
      <c r="GJ19" s="841"/>
      <c r="GK19" s="841"/>
      <c r="GL19" s="841"/>
      <c r="GM19" s="841"/>
      <c r="GN19" s="841"/>
      <c r="GO19" s="841"/>
      <c r="GP19" s="841"/>
      <c r="GQ19" s="841"/>
      <c r="GR19" s="841"/>
      <c r="GS19" s="841"/>
      <c r="GT19" s="841"/>
      <c r="GU19" s="841"/>
      <c r="GV19" s="841"/>
      <c r="GW19" s="841"/>
      <c r="GX19" s="841"/>
      <c r="GY19" s="841"/>
      <c r="GZ19" s="841"/>
      <c r="HA19" s="841"/>
      <c r="HB19" s="841"/>
      <c r="HC19" s="841"/>
      <c r="HD19" s="841"/>
      <c r="HE19" s="841"/>
      <c r="HF19" s="841"/>
      <c r="HG19" s="841"/>
      <c r="HH19" s="841"/>
      <c r="HI19" s="841"/>
      <c r="HJ19" s="841"/>
      <c r="HK19" s="841"/>
      <c r="HL19" s="841"/>
      <c r="HM19" s="841"/>
      <c r="HN19" s="841"/>
      <c r="HO19" s="841"/>
    </row>
    <row r="20" spans="2:223" hidden="1">
      <c r="B20" s="1459"/>
      <c r="C20" s="1436"/>
      <c r="D20" s="1436"/>
      <c r="E20" s="1436"/>
      <c r="F20" s="1437"/>
      <c r="G20" s="1438"/>
      <c r="I20" s="1435"/>
      <c r="J20" s="1436"/>
      <c r="K20" s="1436"/>
      <c r="L20" s="1436"/>
      <c r="M20" s="1436"/>
      <c r="N20" s="1436"/>
      <c r="O20" s="1436"/>
      <c r="P20" s="1436"/>
      <c r="Q20" s="1450"/>
      <c r="AM20" s="868"/>
      <c r="AN20" s="868"/>
      <c r="AO20" s="868"/>
      <c r="AP20" s="868"/>
      <c r="AQ20" s="868"/>
      <c r="AR20" s="868"/>
      <c r="CA20" s="1500"/>
      <c r="CB20" s="1500"/>
      <c r="CC20" s="1500"/>
      <c r="CD20" s="1501"/>
      <c r="CE20" s="1501"/>
      <c r="CF20" s="1501"/>
      <c r="CG20" s="1490"/>
      <c r="CI20" s="1502"/>
      <c r="CJ20" s="1490"/>
      <c r="CK20" s="1490"/>
      <c r="CL20" s="1490"/>
      <c r="CM20" s="1490"/>
      <c r="CN20" s="1490"/>
      <c r="CO20" s="1490"/>
      <c r="CP20" s="1490"/>
      <c r="CR20" s="1489"/>
      <c r="CS20" s="1489"/>
      <c r="CT20" s="1507"/>
      <c r="CU20" s="1507"/>
      <c r="CV20" s="1507"/>
      <c r="CW20" s="1507"/>
      <c r="CX20" s="1507"/>
      <c r="CY20" s="1507"/>
      <c r="CZ20" s="1507"/>
      <c r="DA20" s="1507"/>
      <c r="DB20" s="1507"/>
      <c r="DS20" s="841"/>
      <c r="DT20" s="841"/>
      <c r="DU20" s="841"/>
      <c r="DV20" s="841"/>
      <c r="DW20" s="841"/>
      <c r="DX20" s="841"/>
      <c r="DY20" s="841"/>
      <c r="DZ20" s="841"/>
      <c r="EA20" s="841"/>
      <c r="EB20" s="841"/>
      <c r="EC20" s="841"/>
      <c r="ED20" s="841"/>
      <c r="EE20" s="841"/>
      <c r="EF20" s="841"/>
      <c r="EG20" s="841"/>
      <c r="EH20" s="841"/>
      <c r="EI20" s="841"/>
      <c r="EJ20" s="841"/>
      <c r="EK20" s="841"/>
      <c r="EL20" s="841"/>
      <c r="EM20" s="841"/>
      <c r="EN20" s="841"/>
      <c r="EO20" s="841"/>
      <c r="EP20" s="841"/>
      <c r="EQ20" s="841"/>
      <c r="ER20" s="841"/>
      <c r="ES20" s="841"/>
      <c r="ET20" s="841"/>
      <c r="EU20" s="841"/>
      <c r="EV20" s="841"/>
      <c r="EW20" s="841"/>
      <c r="EX20" s="841"/>
      <c r="EY20" s="841"/>
      <c r="EZ20" s="841"/>
      <c r="FA20" s="841"/>
      <c r="FB20" s="841"/>
      <c r="FC20" s="841"/>
      <c r="FD20" s="841"/>
      <c r="FE20" s="841"/>
      <c r="FF20" s="841"/>
      <c r="FG20" s="841"/>
      <c r="FH20" s="841"/>
      <c r="FI20" s="841"/>
      <c r="FJ20" s="841"/>
      <c r="FK20" s="841"/>
      <c r="FL20" s="841"/>
      <c r="FM20" s="841"/>
      <c r="FN20" s="841"/>
      <c r="FO20" s="841"/>
      <c r="FP20" s="841"/>
      <c r="FQ20" s="841"/>
      <c r="FR20" s="841"/>
      <c r="FS20" s="841"/>
      <c r="FT20" s="841"/>
      <c r="FU20" s="841"/>
      <c r="FV20" s="841"/>
      <c r="FW20" s="841"/>
      <c r="FX20" s="841"/>
      <c r="FY20" s="841"/>
      <c r="FZ20" s="841"/>
      <c r="GA20" s="841"/>
      <c r="GB20" s="841"/>
      <c r="GC20" s="841"/>
      <c r="GD20" s="841"/>
      <c r="GE20" s="841"/>
      <c r="GF20" s="841"/>
      <c r="GG20" s="841"/>
      <c r="GH20" s="841"/>
      <c r="GI20" s="841"/>
      <c r="GJ20" s="841"/>
      <c r="GK20" s="841"/>
      <c r="GL20" s="841"/>
      <c r="GM20" s="841"/>
      <c r="GN20" s="841"/>
      <c r="GO20" s="841"/>
      <c r="GP20" s="841"/>
      <c r="GQ20" s="841"/>
      <c r="GR20" s="841"/>
      <c r="GS20" s="841"/>
      <c r="GT20" s="841"/>
      <c r="GU20" s="841"/>
      <c r="GV20" s="841"/>
      <c r="GW20" s="841"/>
      <c r="GX20" s="841"/>
      <c r="GY20" s="841"/>
      <c r="GZ20" s="841"/>
      <c r="HA20" s="841"/>
      <c r="HB20" s="841"/>
      <c r="HC20" s="841"/>
      <c r="HD20" s="841"/>
      <c r="HE20" s="841"/>
      <c r="HF20" s="841"/>
      <c r="HG20" s="841"/>
      <c r="HH20" s="841"/>
      <c r="HI20" s="841"/>
      <c r="HJ20" s="841"/>
      <c r="HK20" s="841"/>
      <c r="HL20" s="841"/>
      <c r="HM20" s="841"/>
      <c r="HN20" s="841"/>
      <c r="HO20" s="841"/>
    </row>
    <row r="21" spans="2:223" hidden="1">
      <c r="B21" s="1460"/>
      <c r="C21" s="854"/>
      <c r="D21" s="2124" t="s">
        <v>1471</v>
      </c>
      <c r="E21" s="2125"/>
      <c r="F21" s="2126"/>
      <c r="G21" s="1440"/>
      <c r="I21" s="1439"/>
      <c r="J21" s="2112" t="s">
        <v>1994</v>
      </c>
      <c r="K21" s="2112"/>
      <c r="L21" s="1452">
        <v>0</v>
      </c>
      <c r="M21" s="1352">
        <f>IF(AND($D$17="Preaprobadas",$J$17="Cartera Orange",OR(ISBLANK(L21),L21=0)),1,0)</f>
        <v>0</v>
      </c>
      <c r="N21" s="2112" t="s">
        <v>759</v>
      </c>
      <c r="O21" s="2112"/>
      <c r="P21" s="1453">
        <v>0</v>
      </c>
      <c r="Q21" s="1451">
        <f>IF(AND($D$17="Preaprobadas",$J$17="Cartera Orange",OR(ISBLANK(P21),P21=0)),1,0)</f>
        <v>0</v>
      </c>
      <c r="AM21" s="868"/>
      <c r="AN21" s="868"/>
      <c r="AO21" s="868"/>
      <c r="AP21" s="868"/>
      <c r="AQ21" s="868"/>
      <c r="AR21" s="868"/>
      <c r="CA21" s="1500"/>
      <c r="CB21" s="1500"/>
      <c r="CC21" s="1500"/>
      <c r="CD21" s="1501"/>
      <c r="CE21" s="1501"/>
      <c r="CF21" s="1501"/>
      <c r="CG21" s="1490"/>
      <c r="CI21" s="1502"/>
      <c r="CJ21" s="1490"/>
      <c r="CK21" s="1490"/>
      <c r="CL21" s="1490"/>
      <c r="CM21" s="1490"/>
      <c r="CN21" s="1490"/>
      <c r="CO21" s="1490"/>
      <c r="CP21" s="1490"/>
      <c r="CR21" s="1489"/>
      <c r="CS21" s="1489"/>
      <c r="CT21" s="1507"/>
      <c r="CU21" s="1507"/>
      <c r="CV21" s="1507"/>
      <c r="CW21" s="1507"/>
      <c r="CX21" s="1507"/>
      <c r="CY21" s="1507"/>
      <c r="CZ21" s="1507"/>
      <c r="DA21" s="1507"/>
      <c r="DB21" s="1507"/>
      <c r="DS21" s="841"/>
      <c r="DT21" s="841"/>
      <c r="DU21" s="841"/>
      <c r="DV21" s="841"/>
      <c r="DW21" s="841"/>
      <c r="DX21" s="841"/>
      <c r="DY21" s="841"/>
      <c r="DZ21" s="841"/>
      <c r="EA21" s="841"/>
      <c r="EB21" s="841"/>
      <c r="EC21" s="841"/>
      <c r="ED21" s="841"/>
      <c r="EE21" s="841"/>
      <c r="EF21" s="841"/>
      <c r="EG21" s="841"/>
      <c r="EH21" s="841"/>
      <c r="EI21" s="841"/>
      <c r="EJ21" s="841"/>
      <c r="EK21" s="841"/>
      <c r="EL21" s="841"/>
      <c r="EM21" s="841"/>
      <c r="EN21" s="841"/>
      <c r="EO21" s="841"/>
      <c r="EP21" s="841"/>
      <c r="EQ21" s="841"/>
      <c r="ER21" s="841"/>
      <c r="ES21" s="841"/>
      <c r="ET21" s="841"/>
      <c r="EU21" s="841"/>
      <c r="EV21" s="841"/>
      <c r="EW21" s="841"/>
      <c r="EX21" s="841"/>
      <c r="EY21" s="841"/>
      <c r="EZ21" s="841"/>
      <c r="FA21" s="841"/>
      <c r="FB21" s="841"/>
      <c r="FC21" s="841"/>
      <c r="FD21" s="841"/>
      <c r="FE21" s="841"/>
      <c r="FF21" s="841"/>
      <c r="FG21" s="841"/>
      <c r="FH21" s="841"/>
      <c r="FI21" s="841"/>
      <c r="FJ21" s="841"/>
      <c r="FK21" s="841"/>
      <c r="FL21" s="841"/>
      <c r="FM21" s="841"/>
      <c r="FN21" s="841"/>
      <c r="FO21" s="841"/>
      <c r="FP21" s="841"/>
      <c r="FQ21" s="841"/>
      <c r="FR21" s="841"/>
      <c r="FS21" s="841"/>
      <c r="FT21" s="841"/>
      <c r="FU21" s="841"/>
      <c r="FV21" s="841"/>
      <c r="FW21" s="841"/>
      <c r="FX21" s="841"/>
      <c r="FY21" s="841"/>
      <c r="FZ21" s="841"/>
      <c r="GA21" s="841"/>
      <c r="GB21" s="841"/>
      <c r="GC21" s="841"/>
      <c r="GD21" s="841"/>
      <c r="GE21" s="841"/>
      <c r="GF21" s="841"/>
      <c r="GG21" s="841"/>
      <c r="GH21" s="841"/>
      <c r="GI21" s="841"/>
      <c r="GJ21" s="841"/>
      <c r="GK21" s="841"/>
      <c r="GL21" s="841"/>
      <c r="GM21" s="841"/>
      <c r="GN21" s="841"/>
      <c r="GO21" s="841"/>
      <c r="GP21" s="841"/>
      <c r="GQ21" s="841"/>
      <c r="GR21" s="841"/>
      <c r="GS21" s="841"/>
      <c r="GT21" s="841"/>
      <c r="GU21" s="841"/>
      <c r="GV21" s="841"/>
      <c r="GW21" s="841"/>
      <c r="GX21" s="841"/>
      <c r="GY21" s="841"/>
      <c r="GZ21" s="841"/>
      <c r="HA21" s="841"/>
      <c r="HB21" s="841"/>
      <c r="HC21" s="841"/>
      <c r="HD21" s="841"/>
      <c r="HE21" s="841"/>
      <c r="HF21" s="841"/>
      <c r="HG21" s="841"/>
      <c r="HH21" s="841"/>
      <c r="HI21" s="841"/>
      <c r="HJ21" s="841"/>
      <c r="HK21" s="841"/>
      <c r="HL21" s="841"/>
      <c r="HM21" s="841"/>
      <c r="HN21" s="841"/>
      <c r="HO21" s="841"/>
    </row>
    <row r="22" spans="2:223" hidden="1">
      <c r="B22" s="1460"/>
      <c r="C22" s="854"/>
      <c r="D22" s="1455" t="s">
        <v>1411</v>
      </c>
      <c r="E22" s="2122" t="s">
        <v>1425</v>
      </c>
      <c r="F22" s="2122"/>
      <c r="G22" s="1440"/>
      <c r="I22" s="1439"/>
      <c r="J22" s="2112" t="s">
        <v>1995</v>
      </c>
      <c r="K22" s="2112"/>
      <c r="L22" s="1452">
        <v>0</v>
      </c>
      <c r="M22" s="1352">
        <f t="shared" ref="M22:M32" si="0">IF(AND($D$17="Preaprobadas",$J$17="Cartera Orange",OR(ISBLANK(L22),L22=0)),1,0)</f>
        <v>0</v>
      </c>
      <c r="N22" s="2112" t="s">
        <v>1213</v>
      </c>
      <c r="O22" s="2112"/>
      <c r="P22" s="1453">
        <v>0</v>
      </c>
      <c r="Q22" s="1451">
        <f t="shared" ref="Q22:Q25" si="1">IF(AND($D$17="Preaprobadas",$J$17="Cartera Orange",OR(ISBLANK(P22),P22=0)),1,0)</f>
        <v>0</v>
      </c>
      <c r="AM22" s="868"/>
      <c r="AN22" s="868"/>
      <c r="AO22" s="868"/>
      <c r="AP22" s="868"/>
      <c r="AQ22" s="868"/>
      <c r="AR22" s="868"/>
      <c r="CA22" s="1500"/>
      <c r="CB22" s="1500"/>
      <c r="CC22" s="1500"/>
      <c r="CD22" s="1501"/>
      <c r="CE22" s="1501"/>
      <c r="CF22" s="1501"/>
      <c r="CG22" s="1490"/>
      <c r="CI22" s="1502"/>
      <c r="CJ22" s="1490"/>
      <c r="CK22" s="1490"/>
      <c r="CL22" s="1490"/>
      <c r="CM22" s="1490"/>
      <c r="CN22" s="1490"/>
      <c r="CO22" s="1490"/>
      <c r="CP22" s="1490"/>
      <c r="CR22" s="1489"/>
      <c r="CS22" s="1489"/>
      <c r="CT22" s="1507"/>
      <c r="CU22" s="1507"/>
      <c r="CV22" s="1507"/>
      <c r="CW22" s="1507"/>
      <c r="CX22" s="1507"/>
      <c r="CY22" s="1507"/>
      <c r="CZ22" s="1507"/>
      <c r="DA22" s="1507"/>
      <c r="DB22" s="1507"/>
      <c r="DS22" s="841"/>
      <c r="DT22" s="841"/>
      <c r="DU22" s="841"/>
      <c r="DV22" s="841"/>
      <c r="DW22" s="841"/>
      <c r="DX22" s="841"/>
      <c r="DY22" s="841"/>
      <c r="DZ22" s="841"/>
      <c r="EA22" s="841"/>
      <c r="EB22" s="841"/>
      <c r="EC22" s="841"/>
      <c r="ED22" s="841"/>
      <c r="EE22" s="841"/>
      <c r="EF22" s="841"/>
      <c r="EG22" s="841"/>
      <c r="EH22" s="841"/>
      <c r="EI22" s="841"/>
      <c r="EJ22" s="841"/>
      <c r="EK22" s="841"/>
      <c r="EL22" s="841"/>
      <c r="EM22" s="841"/>
      <c r="EN22" s="841"/>
      <c r="EO22" s="841"/>
      <c r="EP22" s="841"/>
      <c r="EQ22" s="841"/>
      <c r="ER22" s="841"/>
      <c r="ES22" s="841"/>
      <c r="ET22" s="841"/>
      <c r="EU22" s="841"/>
      <c r="EV22" s="841"/>
      <c r="EW22" s="841"/>
      <c r="EX22" s="841"/>
      <c r="EY22" s="841"/>
      <c r="EZ22" s="841"/>
      <c r="FA22" s="841"/>
      <c r="FB22" s="841"/>
      <c r="FC22" s="841"/>
      <c r="FD22" s="841"/>
      <c r="FE22" s="841"/>
      <c r="FF22" s="841"/>
      <c r="FG22" s="841"/>
      <c r="FH22" s="841"/>
      <c r="FI22" s="841"/>
      <c r="FJ22" s="841"/>
      <c r="FK22" s="841"/>
      <c r="FL22" s="841"/>
      <c r="FM22" s="841"/>
      <c r="FN22" s="841"/>
      <c r="FO22" s="841"/>
      <c r="FP22" s="841"/>
      <c r="FQ22" s="841"/>
      <c r="FR22" s="841"/>
      <c r="FS22" s="841"/>
      <c r="FT22" s="841"/>
      <c r="FU22" s="841"/>
      <c r="FV22" s="841"/>
      <c r="FW22" s="841"/>
      <c r="FX22" s="841"/>
      <c r="FY22" s="841"/>
      <c r="FZ22" s="841"/>
      <c r="GA22" s="841"/>
      <c r="GB22" s="841"/>
      <c r="GC22" s="841"/>
      <c r="GD22" s="841"/>
      <c r="GE22" s="841"/>
      <c r="GF22" s="841"/>
      <c r="GG22" s="841"/>
      <c r="GH22" s="841"/>
      <c r="GI22" s="841"/>
      <c r="GJ22" s="841"/>
      <c r="GK22" s="841"/>
      <c r="GL22" s="841"/>
      <c r="GM22" s="841"/>
      <c r="GN22" s="841"/>
      <c r="GO22" s="841"/>
      <c r="GP22" s="841"/>
      <c r="GQ22" s="841"/>
      <c r="GR22" s="841"/>
      <c r="GS22" s="841"/>
      <c r="GT22" s="841"/>
      <c r="GU22" s="841"/>
      <c r="GV22" s="841"/>
      <c r="GW22" s="841"/>
      <c r="GX22" s="841"/>
      <c r="GY22" s="841"/>
      <c r="GZ22" s="841"/>
      <c r="HA22" s="841"/>
      <c r="HB22" s="841"/>
      <c r="HC22" s="841"/>
      <c r="HD22" s="841"/>
      <c r="HE22" s="841"/>
      <c r="HF22" s="841"/>
      <c r="HG22" s="841"/>
      <c r="HH22" s="841"/>
      <c r="HI22" s="841"/>
      <c r="HJ22" s="841"/>
      <c r="HK22" s="841"/>
      <c r="HL22" s="841"/>
      <c r="HM22" s="841"/>
      <c r="HN22" s="841"/>
      <c r="HO22" s="841"/>
    </row>
    <row r="23" spans="2:223" hidden="1">
      <c r="B23" s="1460"/>
      <c r="C23" s="1458" t="str">
        <f>CONCATENATE("Hasta ",D23,"€, descuento del  ",E23)</f>
        <v>Hasta 0€, descuento del  0</v>
      </c>
      <c r="D23" s="1452">
        <v>0</v>
      </c>
      <c r="E23" s="2123">
        <v>0</v>
      </c>
      <c r="F23" s="2123"/>
      <c r="G23" s="1440"/>
      <c r="I23" s="1439"/>
      <c r="J23" s="2112" t="s">
        <v>1996</v>
      </c>
      <c r="K23" s="2112"/>
      <c r="L23" s="1452">
        <v>0</v>
      </c>
      <c r="M23" s="1352">
        <f t="shared" si="0"/>
        <v>0</v>
      </c>
      <c r="N23" s="2112" t="s">
        <v>1867</v>
      </c>
      <c r="O23" s="2112"/>
      <c r="P23" s="1453">
        <v>0</v>
      </c>
      <c r="Q23" s="1451">
        <f t="shared" si="1"/>
        <v>0</v>
      </c>
      <c r="AM23" s="868"/>
      <c r="AN23" s="868"/>
      <c r="AO23" s="868"/>
      <c r="AP23" s="868"/>
      <c r="AQ23" s="868"/>
      <c r="AR23" s="868"/>
      <c r="CA23" s="1500"/>
      <c r="CB23" s="1500"/>
      <c r="CC23" s="1500"/>
      <c r="CD23" s="1501"/>
      <c r="CE23" s="1501"/>
      <c r="CF23" s="1501"/>
      <c r="CG23" s="1490"/>
      <c r="CI23" s="1502"/>
      <c r="CJ23" s="1490"/>
      <c r="CK23" s="1490"/>
      <c r="CL23" s="1490"/>
      <c r="CM23" s="1490"/>
      <c r="CN23" s="1490"/>
      <c r="CO23" s="1490"/>
      <c r="CP23" s="1490"/>
      <c r="CR23" s="1489"/>
      <c r="CS23" s="1489"/>
      <c r="CT23" s="1507"/>
      <c r="CU23" s="1507"/>
      <c r="CV23" s="1507"/>
      <c r="CW23" s="1507"/>
      <c r="CX23" s="1507"/>
      <c r="CY23" s="1507"/>
      <c r="CZ23" s="1507"/>
      <c r="DA23" s="1507"/>
      <c r="DB23" s="1507"/>
      <c r="DS23" s="841"/>
      <c r="DT23" s="841"/>
      <c r="DU23" s="841"/>
      <c r="DV23" s="841"/>
      <c r="DW23" s="841"/>
      <c r="DX23" s="841"/>
      <c r="DY23" s="841"/>
      <c r="DZ23" s="841"/>
      <c r="EA23" s="841"/>
      <c r="EB23" s="841"/>
      <c r="EC23" s="841"/>
      <c r="ED23" s="841"/>
      <c r="EE23" s="841"/>
      <c r="EF23" s="841"/>
      <c r="EG23" s="841"/>
      <c r="EH23" s="841"/>
      <c r="EI23" s="841"/>
      <c r="EJ23" s="841"/>
      <c r="EK23" s="841"/>
      <c r="EL23" s="841"/>
      <c r="EM23" s="841"/>
      <c r="EN23" s="841"/>
      <c r="EO23" s="841"/>
      <c r="EP23" s="841"/>
      <c r="EQ23" s="841"/>
      <c r="ER23" s="841"/>
      <c r="ES23" s="841"/>
      <c r="ET23" s="841"/>
      <c r="EU23" s="841"/>
      <c r="EV23" s="841"/>
      <c r="EW23" s="841"/>
      <c r="EX23" s="841"/>
      <c r="EY23" s="841"/>
      <c r="EZ23" s="841"/>
      <c r="FA23" s="841"/>
      <c r="FB23" s="841"/>
      <c r="FC23" s="841"/>
      <c r="FD23" s="841"/>
      <c r="FE23" s="841"/>
      <c r="FF23" s="841"/>
      <c r="FG23" s="841"/>
      <c r="FH23" s="841"/>
      <c r="FI23" s="841"/>
      <c r="FJ23" s="841"/>
      <c r="FK23" s="841"/>
      <c r="FL23" s="841"/>
      <c r="FM23" s="841"/>
      <c r="FN23" s="841"/>
      <c r="FO23" s="841"/>
      <c r="FP23" s="841"/>
      <c r="FQ23" s="841"/>
      <c r="FR23" s="841"/>
      <c r="FS23" s="841"/>
      <c r="FT23" s="841"/>
      <c r="FU23" s="841"/>
      <c r="FV23" s="841"/>
      <c r="FW23" s="841"/>
      <c r="FX23" s="841"/>
      <c r="FY23" s="841"/>
      <c r="FZ23" s="841"/>
      <c r="GA23" s="841"/>
      <c r="GB23" s="841"/>
      <c r="GC23" s="841"/>
      <c r="GD23" s="841"/>
      <c r="GE23" s="841"/>
      <c r="GF23" s="841"/>
      <c r="GG23" s="841"/>
      <c r="GH23" s="841"/>
      <c r="GI23" s="841"/>
      <c r="GJ23" s="841"/>
      <c r="GK23" s="841"/>
      <c r="GL23" s="841"/>
      <c r="GM23" s="841"/>
      <c r="GN23" s="841"/>
      <c r="GO23" s="841"/>
      <c r="GP23" s="841"/>
      <c r="GQ23" s="841"/>
      <c r="GR23" s="841"/>
      <c r="GS23" s="841"/>
      <c r="GT23" s="841"/>
      <c r="GU23" s="841"/>
      <c r="GV23" s="841"/>
      <c r="GW23" s="841"/>
      <c r="GX23" s="841"/>
      <c r="GY23" s="841"/>
      <c r="GZ23" s="841"/>
      <c r="HA23" s="841"/>
      <c r="HB23" s="841"/>
      <c r="HC23" s="841"/>
      <c r="HD23" s="841"/>
      <c r="HE23" s="841"/>
      <c r="HF23" s="841"/>
      <c r="HG23" s="841"/>
      <c r="HH23" s="841"/>
      <c r="HI23" s="841"/>
      <c r="HJ23" s="841"/>
      <c r="HK23" s="841"/>
      <c r="HL23" s="841"/>
      <c r="HM23" s="841"/>
      <c r="HN23" s="841"/>
      <c r="HO23" s="841"/>
    </row>
    <row r="24" spans="2:223" hidden="1">
      <c r="B24" s="1460"/>
      <c r="C24" s="1458" t="str">
        <f>CONCATENATE("Entre ",D23,"€ y ",D24,"€, descuento del  ",E24)</f>
        <v>Entre 0€ y 0€, descuento del  0</v>
      </c>
      <c r="D24" s="1452">
        <v>0</v>
      </c>
      <c r="E24" s="2123">
        <v>0</v>
      </c>
      <c r="F24" s="2123"/>
      <c r="G24" s="1440"/>
      <c r="I24" s="1439"/>
      <c r="J24" s="2112" t="s">
        <v>1081</v>
      </c>
      <c r="K24" s="2112"/>
      <c r="L24" s="1452">
        <v>0</v>
      </c>
      <c r="M24" s="1352">
        <f t="shared" si="0"/>
        <v>0</v>
      </c>
      <c r="N24" s="2112" t="s">
        <v>1079</v>
      </c>
      <c r="O24" s="2112"/>
      <c r="P24" s="1453">
        <v>0</v>
      </c>
      <c r="Q24" s="1451">
        <f t="shared" si="1"/>
        <v>0</v>
      </c>
      <c r="AM24" s="868"/>
      <c r="AN24" s="868"/>
      <c r="AO24" s="868"/>
      <c r="AP24" s="868"/>
      <c r="AQ24" s="868"/>
      <c r="AR24" s="868"/>
      <c r="CA24" s="1500"/>
      <c r="CB24" s="1500"/>
      <c r="CC24" s="1500"/>
      <c r="CD24" s="1501"/>
      <c r="CE24" s="1501"/>
      <c r="CF24" s="1501"/>
      <c r="CG24" s="1490"/>
      <c r="CI24" s="1502"/>
      <c r="CJ24" s="1490"/>
      <c r="CK24" s="1490"/>
      <c r="CL24" s="1490"/>
      <c r="CM24" s="1490"/>
      <c r="CN24" s="1490"/>
      <c r="CO24" s="1490"/>
      <c r="CP24" s="1490"/>
      <c r="CR24" s="1489"/>
      <c r="CS24" s="1489"/>
      <c r="CT24" s="1507"/>
      <c r="CU24" s="1507"/>
      <c r="CV24" s="1507"/>
      <c r="CW24" s="1507"/>
      <c r="CX24" s="1507"/>
      <c r="CY24" s="1507"/>
      <c r="CZ24" s="1507"/>
      <c r="DA24" s="1507"/>
      <c r="DB24" s="1507"/>
      <c r="DS24" s="841"/>
      <c r="DT24" s="841"/>
      <c r="DU24" s="841"/>
      <c r="DV24" s="841"/>
      <c r="DW24" s="841"/>
      <c r="DX24" s="841"/>
      <c r="DY24" s="841"/>
      <c r="DZ24" s="841"/>
      <c r="EA24" s="841"/>
      <c r="EB24" s="841"/>
      <c r="EC24" s="841"/>
      <c r="ED24" s="841"/>
      <c r="EE24" s="841"/>
      <c r="EF24" s="841"/>
      <c r="EG24" s="841"/>
      <c r="EH24" s="841"/>
      <c r="EI24" s="841"/>
      <c r="EJ24" s="841"/>
      <c r="EK24" s="841"/>
      <c r="EL24" s="841"/>
      <c r="EM24" s="841"/>
      <c r="EN24" s="841"/>
      <c r="EO24" s="841"/>
      <c r="EP24" s="841"/>
      <c r="EQ24" s="841"/>
      <c r="ER24" s="841"/>
      <c r="ES24" s="841"/>
      <c r="ET24" s="841"/>
      <c r="EU24" s="841"/>
      <c r="EV24" s="841"/>
      <c r="EW24" s="841"/>
      <c r="EX24" s="841"/>
      <c r="EY24" s="841"/>
      <c r="EZ24" s="841"/>
      <c r="FA24" s="841"/>
      <c r="FB24" s="841"/>
      <c r="FC24" s="841"/>
      <c r="FD24" s="841"/>
      <c r="FE24" s="841"/>
      <c r="FF24" s="841"/>
      <c r="FG24" s="841"/>
      <c r="FH24" s="841"/>
      <c r="FI24" s="841"/>
      <c r="FJ24" s="841"/>
      <c r="FK24" s="841"/>
      <c r="FL24" s="841"/>
      <c r="FM24" s="841"/>
      <c r="FN24" s="841"/>
      <c r="FO24" s="841"/>
      <c r="FP24" s="841"/>
      <c r="FQ24" s="841"/>
      <c r="FR24" s="841"/>
      <c r="FS24" s="841"/>
      <c r="FT24" s="841"/>
      <c r="FU24" s="841"/>
      <c r="FV24" s="841"/>
      <c r="FW24" s="841"/>
      <c r="FX24" s="841"/>
      <c r="FY24" s="841"/>
      <c r="FZ24" s="841"/>
      <c r="GA24" s="841"/>
      <c r="GB24" s="841"/>
      <c r="GC24" s="841"/>
      <c r="GD24" s="841"/>
      <c r="GE24" s="841"/>
      <c r="GF24" s="841"/>
      <c r="GG24" s="841"/>
      <c r="GH24" s="841"/>
      <c r="GI24" s="841"/>
      <c r="GJ24" s="841"/>
      <c r="GK24" s="841"/>
      <c r="GL24" s="841"/>
      <c r="GM24" s="841"/>
      <c r="GN24" s="841"/>
      <c r="GO24" s="841"/>
      <c r="GP24" s="841"/>
      <c r="GQ24" s="841"/>
      <c r="GR24" s="841"/>
      <c r="GS24" s="841"/>
      <c r="GT24" s="841"/>
      <c r="GU24" s="841"/>
      <c r="GV24" s="841"/>
      <c r="GW24" s="841"/>
      <c r="GX24" s="841"/>
      <c r="GY24" s="841"/>
      <c r="GZ24" s="841"/>
      <c r="HA24" s="841"/>
      <c r="HB24" s="841"/>
      <c r="HC24" s="841"/>
      <c r="HD24" s="841"/>
      <c r="HE24" s="841"/>
      <c r="HF24" s="841"/>
      <c r="HG24" s="841"/>
      <c r="HH24" s="841"/>
      <c r="HI24" s="841"/>
      <c r="HJ24" s="841"/>
      <c r="HK24" s="841"/>
      <c r="HL24" s="841"/>
      <c r="HM24" s="841"/>
      <c r="HN24" s="841"/>
      <c r="HO24" s="841"/>
    </row>
    <row r="25" spans="2:223" hidden="1">
      <c r="B25" s="1460"/>
      <c r="C25" s="1458" t="str">
        <f t="shared" ref="C25:C26" si="2">CONCATENATE("Entre ",D24,"€ y ",D25,"€, descuento del  ",E25)</f>
        <v>Entre 0€ y 0€, descuento del  0</v>
      </c>
      <c r="D25" s="1452">
        <v>0</v>
      </c>
      <c r="E25" s="2123">
        <v>0</v>
      </c>
      <c r="F25" s="2123"/>
      <c r="G25" s="1440"/>
      <c r="I25" s="1439"/>
      <c r="J25" s="2112" t="s">
        <v>1082</v>
      </c>
      <c r="K25" s="2112"/>
      <c r="L25" s="1452">
        <v>0</v>
      </c>
      <c r="M25" s="1352">
        <f t="shared" si="0"/>
        <v>0</v>
      </c>
      <c r="N25" s="2112" t="s">
        <v>1078</v>
      </c>
      <c r="O25" s="2112"/>
      <c r="P25" s="1453">
        <v>0</v>
      </c>
      <c r="Q25" s="1451">
        <f t="shared" si="1"/>
        <v>0</v>
      </c>
      <c r="AM25" s="868"/>
      <c r="AN25" s="868"/>
      <c r="AO25" s="868"/>
      <c r="AP25" s="868"/>
      <c r="AQ25" s="868"/>
      <c r="AR25" s="868"/>
      <c r="CA25" s="1500"/>
      <c r="CB25" s="1500"/>
      <c r="CC25" s="1500"/>
      <c r="CD25" s="1501"/>
      <c r="CE25" s="1501"/>
      <c r="CF25" s="1501"/>
      <c r="CG25" s="1490"/>
      <c r="CI25" s="1502"/>
      <c r="CJ25" s="1490"/>
      <c r="CK25" s="1490"/>
      <c r="CL25" s="1490"/>
      <c r="CM25" s="1490"/>
      <c r="CN25" s="1490"/>
      <c r="CO25" s="1490"/>
      <c r="CP25" s="1490"/>
      <c r="CR25" s="1489"/>
      <c r="CS25" s="1489"/>
      <c r="CT25" s="1507"/>
      <c r="CU25" s="1507"/>
      <c r="CV25" s="1507"/>
      <c r="CW25" s="1507"/>
      <c r="CX25" s="1507"/>
      <c r="CY25" s="1507"/>
      <c r="CZ25" s="1507"/>
      <c r="DA25" s="1507"/>
      <c r="DB25" s="1507"/>
      <c r="DS25" s="841"/>
      <c r="DT25" s="841"/>
      <c r="DU25" s="841"/>
      <c r="DV25" s="841"/>
      <c r="DW25" s="841"/>
      <c r="DX25" s="841"/>
      <c r="DY25" s="841"/>
      <c r="DZ25" s="841"/>
      <c r="EA25" s="841"/>
      <c r="EB25" s="841"/>
      <c r="EC25" s="841"/>
      <c r="ED25" s="841"/>
      <c r="EE25" s="841"/>
      <c r="EF25" s="841"/>
      <c r="EG25" s="841"/>
      <c r="EH25" s="841"/>
      <c r="EI25" s="841"/>
      <c r="EJ25" s="841"/>
      <c r="EK25" s="841"/>
      <c r="EL25" s="841"/>
      <c r="EM25" s="841"/>
      <c r="EN25" s="841"/>
      <c r="EO25" s="841"/>
      <c r="EP25" s="841"/>
      <c r="EQ25" s="841"/>
      <c r="ER25" s="841"/>
      <c r="ES25" s="841"/>
      <c r="ET25" s="841"/>
      <c r="EU25" s="841"/>
      <c r="EV25" s="841"/>
      <c r="EW25" s="841"/>
      <c r="EX25" s="841"/>
      <c r="EY25" s="841"/>
      <c r="EZ25" s="841"/>
      <c r="FA25" s="841"/>
      <c r="FB25" s="841"/>
      <c r="FC25" s="841"/>
      <c r="FD25" s="841"/>
      <c r="FE25" s="841"/>
      <c r="FF25" s="841"/>
      <c r="FG25" s="841"/>
      <c r="FH25" s="841"/>
      <c r="FI25" s="841"/>
      <c r="FJ25" s="841"/>
      <c r="FK25" s="841"/>
      <c r="FL25" s="841"/>
      <c r="FM25" s="841"/>
      <c r="FN25" s="841"/>
      <c r="FO25" s="841"/>
      <c r="FP25" s="841"/>
      <c r="FQ25" s="841"/>
      <c r="FR25" s="841"/>
      <c r="FS25" s="841"/>
      <c r="FT25" s="841"/>
      <c r="FU25" s="841"/>
      <c r="FV25" s="841"/>
      <c r="FW25" s="841"/>
      <c r="FX25" s="841"/>
      <c r="FY25" s="841"/>
      <c r="FZ25" s="841"/>
      <c r="GA25" s="841"/>
      <c r="GB25" s="841"/>
      <c r="GC25" s="841"/>
      <c r="GD25" s="841"/>
      <c r="GE25" s="841"/>
      <c r="GF25" s="841"/>
      <c r="GG25" s="841"/>
      <c r="GH25" s="841"/>
      <c r="GI25" s="841"/>
      <c r="GJ25" s="841"/>
      <c r="GK25" s="841"/>
      <c r="GL25" s="841"/>
      <c r="GM25" s="841"/>
      <c r="GN25" s="841"/>
      <c r="GO25" s="841"/>
      <c r="GP25" s="841"/>
      <c r="GQ25" s="841"/>
      <c r="GR25" s="841"/>
      <c r="GS25" s="841"/>
      <c r="GT25" s="841"/>
      <c r="GU25" s="841"/>
      <c r="GV25" s="841"/>
      <c r="GW25" s="841"/>
      <c r="GX25" s="841"/>
      <c r="GY25" s="841"/>
      <c r="GZ25" s="841"/>
      <c r="HA25" s="841"/>
      <c r="HB25" s="841"/>
      <c r="HC25" s="841"/>
      <c r="HD25" s="841"/>
      <c r="HE25" s="841"/>
      <c r="HF25" s="841"/>
      <c r="HG25" s="841"/>
      <c r="HH25" s="841"/>
      <c r="HI25" s="841"/>
      <c r="HJ25" s="841"/>
      <c r="HK25" s="841"/>
      <c r="HL25" s="841"/>
      <c r="HM25" s="841"/>
      <c r="HN25" s="841"/>
      <c r="HO25" s="841"/>
    </row>
    <row r="26" spans="2:223" hidden="1">
      <c r="B26" s="1460"/>
      <c r="C26" s="1458" t="str">
        <f t="shared" si="2"/>
        <v>Entre 0€ y 0€, descuento del  0</v>
      </c>
      <c r="D26" s="1452">
        <v>0</v>
      </c>
      <c r="E26" s="2123">
        <v>0</v>
      </c>
      <c r="F26" s="2123"/>
      <c r="G26" s="1440"/>
      <c r="I26" s="1439"/>
      <c r="J26" s="2112" t="s">
        <v>383</v>
      </c>
      <c r="K26" s="2112"/>
      <c r="L26" s="1452">
        <v>0</v>
      </c>
      <c r="M26" s="1352">
        <f t="shared" si="0"/>
        <v>0</v>
      </c>
      <c r="N26" s="854"/>
      <c r="O26" s="854"/>
      <c r="P26" s="1449" t="str">
        <f>IF(Q26&gt;0,"Faltan datos por introducir","")</f>
        <v/>
      </c>
      <c r="Q26" s="1451">
        <f>SUM(Q21:Q25)</f>
        <v>0</v>
      </c>
      <c r="AM26" s="868"/>
      <c r="AN26" s="868"/>
      <c r="AO26" s="868"/>
      <c r="AP26" s="868"/>
      <c r="AQ26" s="868"/>
      <c r="AR26" s="868"/>
      <c r="CA26" s="1500"/>
      <c r="CB26" s="1500"/>
      <c r="CC26" s="1500"/>
      <c r="CD26" s="1501"/>
      <c r="CE26" s="1501"/>
      <c r="CF26" s="1501"/>
      <c r="CG26" s="1490"/>
      <c r="CI26" s="1502"/>
      <c r="CJ26" s="1490"/>
      <c r="CK26" s="1490"/>
      <c r="CL26" s="1490"/>
      <c r="CM26" s="1490"/>
      <c r="CN26" s="1490"/>
      <c r="CO26" s="1490"/>
      <c r="CP26" s="1490"/>
      <c r="CR26" s="1489"/>
      <c r="CS26" s="1489"/>
      <c r="CT26" s="1507"/>
      <c r="CU26" s="1507"/>
      <c r="CV26" s="1507"/>
      <c r="CW26" s="1507"/>
      <c r="CX26" s="1507"/>
      <c r="CY26" s="1507"/>
      <c r="CZ26" s="1507"/>
      <c r="DA26" s="1507"/>
      <c r="DB26" s="1507"/>
      <c r="DS26" s="841"/>
      <c r="DT26" s="841"/>
      <c r="DU26" s="841"/>
      <c r="DV26" s="841"/>
      <c r="DW26" s="841"/>
      <c r="DX26" s="841"/>
      <c r="DY26" s="841"/>
      <c r="DZ26" s="841"/>
      <c r="EA26" s="841"/>
      <c r="EB26" s="841"/>
      <c r="EC26" s="841"/>
      <c r="ED26" s="841"/>
      <c r="EE26" s="841"/>
      <c r="EF26" s="841"/>
      <c r="EG26" s="841"/>
      <c r="EH26" s="841"/>
      <c r="EI26" s="841"/>
      <c r="EJ26" s="841"/>
      <c r="EK26" s="841"/>
      <c r="EL26" s="841"/>
      <c r="EM26" s="841"/>
      <c r="EN26" s="841"/>
      <c r="EO26" s="841"/>
      <c r="EP26" s="841"/>
      <c r="EQ26" s="841"/>
      <c r="ER26" s="841"/>
      <c r="ES26" s="841"/>
      <c r="ET26" s="841"/>
      <c r="EU26" s="841"/>
      <c r="EV26" s="841"/>
      <c r="EW26" s="841"/>
      <c r="EX26" s="841"/>
      <c r="EY26" s="841"/>
      <c r="EZ26" s="841"/>
      <c r="FA26" s="841"/>
      <c r="FB26" s="841"/>
      <c r="FC26" s="841"/>
      <c r="FD26" s="841"/>
      <c r="FE26" s="841"/>
      <c r="FF26" s="841"/>
      <c r="FG26" s="841"/>
      <c r="FH26" s="841"/>
      <c r="FI26" s="841"/>
      <c r="FJ26" s="841"/>
      <c r="FK26" s="841"/>
      <c r="FL26" s="841"/>
      <c r="FM26" s="841"/>
      <c r="FN26" s="841"/>
      <c r="FO26" s="841"/>
      <c r="FP26" s="841"/>
      <c r="FQ26" s="841"/>
      <c r="FR26" s="841"/>
      <c r="FS26" s="841"/>
      <c r="FT26" s="841"/>
      <c r="FU26" s="841"/>
      <c r="FV26" s="841"/>
      <c r="FW26" s="841"/>
      <c r="FX26" s="841"/>
      <c r="FY26" s="841"/>
      <c r="FZ26" s="841"/>
      <c r="GA26" s="841"/>
      <c r="GB26" s="841"/>
      <c r="GC26" s="841"/>
      <c r="GD26" s="841"/>
      <c r="GE26" s="841"/>
      <c r="GF26" s="841"/>
      <c r="GG26" s="841"/>
      <c r="GH26" s="841"/>
      <c r="GI26" s="841"/>
      <c r="GJ26" s="841"/>
      <c r="GK26" s="841"/>
      <c r="GL26" s="841"/>
      <c r="GM26" s="841"/>
      <c r="GN26" s="841"/>
      <c r="GO26" s="841"/>
      <c r="GP26" s="841"/>
      <c r="GQ26" s="841"/>
      <c r="GR26" s="841"/>
      <c r="GS26" s="841"/>
      <c r="GT26" s="841"/>
      <c r="GU26" s="841"/>
      <c r="GV26" s="841"/>
      <c r="GW26" s="841"/>
      <c r="GX26" s="841"/>
      <c r="GY26" s="841"/>
      <c r="GZ26" s="841"/>
      <c r="HA26" s="841"/>
      <c r="HB26" s="841"/>
      <c r="HC26" s="841"/>
      <c r="HD26" s="841"/>
      <c r="HE26" s="841"/>
      <c r="HF26" s="841"/>
      <c r="HG26" s="841"/>
      <c r="HH26" s="841"/>
      <c r="HI26" s="841"/>
      <c r="HJ26" s="841"/>
      <c r="HK26" s="841"/>
      <c r="HL26" s="841"/>
      <c r="HM26" s="841"/>
      <c r="HN26" s="841"/>
      <c r="HO26" s="841"/>
    </row>
    <row r="27" spans="2:223" hidden="1">
      <c r="B27" s="1460"/>
      <c r="C27" s="1458" t="str">
        <f>CONCATENATE("Mayor de ",D26,"€, descuento del  ",E27)</f>
        <v>Mayor de 0€, descuento del  0</v>
      </c>
      <c r="D27" s="1486" t="str">
        <f>CONCATENATE("Más de ",D26,"€")</f>
        <v>Más de 0€</v>
      </c>
      <c r="E27" s="2123">
        <v>0</v>
      </c>
      <c r="F27" s="2123"/>
      <c r="G27" s="1440"/>
      <c r="I27" s="1439"/>
      <c r="J27" s="2112" t="s">
        <v>410</v>
      </c>
      <c r="K27" s="2112"/>
      <c r="L27" s="1432">
        <v>8</v>
      </c>
      <c r="M27" s="1352">
        <f t="shared" si="0"/>
        <v>0</v>
      </c>
      <c r="N27" s="854"/>
      <c r="O27" s="854"/>
      <c r="P27" s="854"/>
      <c r="Q27" s="1451"/>
      <c r="AM27" s="868"/>
      <c r="AN27" s="868"/>
      <c r="AO27" s="868"/>
      <c r="AP27" s="868"/>
      <c r="AQ27" s="868"/>
      <c r="AR27" s="868"/>
      <c r="CA27" s="1500"/>
      <c r="CB27" s="1500"/>
      <c r="CC27" s="1500"/>
      <c r="CD27" s="1501"/>
      <c r="CE27" s="1501"/>
      <c r="CF27" s="1501"/>
      <c r="CG27" s="1490"/>
      <c r="CI27" s="1502"/>
      <c r="CJ27" s="1490"/>
      <c r="CK27" s="1490"/>
      <c r="CL27" s="1490"/>
      <c r="CM27" s="1490"/>
      <c r="CN27" s="1490"/>
      <c r="CO27" s="1490"/>
      <c r="CP27" s="1490"/>
      <c r="CR27" s="1489"/>
      <c r="CS27" s="1489"/>
      <c r="CT27" s="1507"/>
      <c r="CU27" s="1507"/>
      <c r="CV27" s="1507"/>
      <c r="CW27" s="1507"/>
      <c r="CX27" s="1507"/>
      <c r="CY27" s="1507"/>
      <c r="CZ27" s="1507"/>
      <c r="DA27" s="1507"/>
      <c r="DB27" s="1507"/>
      <c r="DS27" s="841"/>
      <c r="DT27" s="841"/>
      <c r="DU27" s="841"/>
      <c r="DV27" s="841"/>
      <c r="DW27" s="841"/>
      <c r="DX27" s="841"/>
      <c r="DY27" s="841"/>
      <c r="DZ27" s="841"/>
      <c r="EA27" s="841"/>
      <c r="EB27" s="841"/>
      <c r="EC27" s="841"/>
      <c r="ED27" s="841"/>
      <c r="EE27" s="841"/>
      <c r="EF27" s="841"/>
      <c r="EG27" s="841"/>
      <c r="EH27" s="841"/>
      <c r="EI27" s="841"/>
      <c r="EJ27" s="841"/>
      <c r="EK27" s="841"/>
      <c r="EL27" s="841"/>
      <c r="EM27" s="841"/>
      <c r="EN27" s="841"/>
      <c r="EO27" s="841"/>
      <c r="EP27" s="841"/>
      <c r="EQ27" s="841"/>
      <c r="ER27" s="841"/>
      <c r="ES27" s="841"/>
      <c r="ET27" s="841"/>
      <c r="EU27" s="841"/>
      <c r="EV27" s="841"/>
      <c r="EW27" s="841"/>
      <c r="EX27" s="841"/>
      <c r="EY27" s="841"/>
      <c r="EZ27" s="841"/>
      <c r="FA27" s="841"/>
      <c r="FB27" s="841"/>
      <c r="FC27" s="841"/>
      <c r="FD27" s="841"/>
      <c r="FE27" s="841"/>
      <c r="FF27" s="841"/>
      <c r="FG27" s="841"/>
      <c r="FH27" s="841"/>
      <c r="FI27" s="841"/>
      <c r="FJ27" s="841"/>
      <c r="FK27" s="841"/>
      <c r="FL27" s="841"/>
      <c r="FM27" s="841"/>
      <c r="FN27" s="841"/>
      <c r="FO27" s="841"/>
      <c r="FP27" s="841"/>
      <c r="FQ27" s="841"/>
      <c r="FR27" s="841"/>
      <c r="FS27" s="841"/>
      <c r="FT27" s="841"/>
      <c r="FU27" s="841"/>
      <c r="FV27" s="841"/>
      <c r="FW27" s="841"/>
      <c r="FX27" s="841"/>
      <c r="FY27" s="841"/>
      <c r="FZ27" s="841"/>
      <c r="GA27" s="841"/>
      <c r="GB27" s="841"/>
      <c r="GC27" s="841"/>
      <c r="GD27" s="841"/>
      <c r="GE27" s="841"/>
      <c r="GF27" s="841"/>
      <c r="GG27" s="841"/>
      <c r="GH27" s="841"/>
      <c r="GI27" s="841"/>
      <c r="GJ27" s="841"/>
      <c r="GK27" s="841"/>
      <c r="GL27" s="841"/>
      <c r="GM27" s="841"/>
      <c r="GN27" s="841"/>
      <c r="GO27" s="841"/>
      <c r="GP27" s="841"/>
      <c r="GQ27" s="841"/>
      <c r="GR27" s="841"/>
      <c r="GS27" s="841"/>
      <c r="GT27" s="841"/>
      <c r="GU27" s="841"/>
      <c r="GV27" s="841"/>
      <c r="GW27" s="841"/>
      <c r="GX27" s="841"/>
      <c r="GY27" s="841"/>
      <c r="GZ27" s="841"/>
      <c r="HA27" s="841"/>
      <c r="HB27" s="841"/>
      <c r="HC27" s="841"/>
      <c r="HD27" s="841"/>
      <c r="HE27" s="841"/>
      <c r="HF27" s="841"/>
      <c r="HG27" s="841"/>
      <c r="HH27" s="841"/>
      <c r="HI27" s="841"/>
      <c r="HJ27" s="841"/>
      <c r="HK27" s="841"/>
      <c r="HL27" s="841"/>
      <c r="HM27" s="841"/>
      <c r="HN27" s="841"/>
      <c r="HO27" s="841"/>
    </row>
    <row r="28" spans="2:223" hidden="1">
      <c r="B28" s="1439"/>
      <c r="C28" s="854"/>
      <c r="D28" s="854"/>
      <c r="E28" s="854"/>
      <c r="F28" s="854"/>
      <c r="G28" s="1440"/>
      <c r="I28" s="1439"/>
      <c r="J28" s="2112" t="s">
        <v>412</v>
      </c>
      <c r="K28" s="2112"/>
      <c r="L28" s="1432">
        <v>5</v>
      </c>
      <c r="M28" s="1352">
        <f t="shared" si="0"/>
        <v>0</v>
      </c>
      <c r="N28" s="854"/>
      <c r="O28" s="854"/>
      <c r="P28" s="854"/>
      <c r="Q28" s="1440"/>
      <c r="AM28" s="868"/>
      <c r="AN28" s="868"/>
      <c r="AO28" s="868"/>
      <c r="AP28" s="868"/>
      <c r="AQ28" s="868"/>
      <c r="AR28" s="868"/>
      <c r="CA28" s="1500"/>
      <c r="CB28" s="1500"/>
      <c r="CC28" s="1500"/>
      <c r="CD28" s="1501"/>
      <c r="CE28" s="1501"/>
      <c r="CF28" s="1501"/>
      <c r="CG28" s="1490"/>
      <c r="CI28" s="1502"/>
      <c r="CJ28" s="1490"/>
      <c r="CK28" s="1490"/>
      <c r="CL28" s="1490"/>
      <c r="CM28" s="1490"/>
      <c r="CN28" s="1490"/>
      <c r="CO28" s="1490"/>
      <c r="CP28" s="1490"/>
      <c r="CR28" s="1489"/>
      <c r="CS28" s="1489"/>
      <c r="CT28" s="1507"/>
      <c r="CU28" s="1507"/>
      <c r="CV28" s="1507"/>
      <c r="CW28" s="1507"/>
      <c r="CX28" s="1507"/>
      <c r="CY28" s="1507"/>
      <c r="CZ28" s="1507"/>
      <c r="DA28" s="1507"/>
      <c r="DB28" s="1507"/>
      <c r="DS28" s="841"/>
      <c r="DT28" s="841"/>
      <c r="DU28" s="841"/>
      <c r="DV28" s="841"/>
      <c r="DW28" s="841"/>
      <c r="DX28" s="841"/>
      <c r="DY28" s="841"/>
      <c r="DZ28" s="841"/>
      <c r="EA28" s="841"/>
      <c r="EB28" s="841"/>
      <c r="EC28" s="841"/>
      <c r="ED28" s="841"/>
      <c r="EE28" s="841"/>
      <c r="EF28" s="841"/>
      <c r="EG28" s="841"/>
      <c r="EH28" s="841"/>
      <c r="EI28" s="841"/>
      <c r="EJ28" s="841"/>
      <c r="EK28" s="841"/>
      <c r="EL28" s="841"/>
      <c r="EM28" s="841"/>
      <c r="EN28" s="841"/>
      <c r="EO28" s="841"/>
      <c r="EP28" s="841"/>
      <c r="EQ28" s="841"/>
      <c r="ER28" s="841"/>
      <c r="ES28" s="841"/>
      <c r="ET28" s="841"/>
      <c r="EU28" s="841"/>
      <c r="EV28" s="841"/>
      <c r="EW28" s="841"/>
      <c r="EX28" s="841"/>
      <c r="EY28" s="841"/>
      <c r="EZ28" s="841"/>
      <c r="FA28" s="841"/>
      <c r="FB28" s="841"/>
      <c r="FC28" s="841"/>
      <c r="FD28" s="841"/>
      <c r="FE28" s="841"/>
      <c r="FF28" s="841"/>
      <c r="FG28" s="841"/>
      <c r="FH28" s="841"/>
      <c r="FI28" s="841"/>
      <c r="FJ28" s="841"/>
      <c r="FK28" s="841"/>
      <c r="FL28" s="841"/>
      <c r="FM28" s="841"/>
      <c r="FN28" s="841"/>
      <c r="FO28" s="841"/>
      <c r="FP28" s="841"/>
      <c r="FQ28" s="841"/>
      <c r="FR28" s="841"/>
      <c r="FS28" s="841"/>
      <c r="FT28" s="841"/>
      <c r="FU28" s="841"/>
      <c r="FV28" s="841"/>
      <c r="FW28" s="841"/>
      <c r="FX28" s="841"/>
      <c r="FY28" s="841"/>
      <c r="FZ28" s="841"/>
      <c r="GA28" s="841"/>
      <c r="GB28" s="841"/>
      <c r="GC28" s="841"/>
      <c r="GD28" s="841"/>
      <c r="GE28" s="841"/>
      <c r="GF28" s="841"/>
      <c r="GG28" s="841"/>
      <c r="GH28" s="841"/>
      <c r="GI28" s="841"/>
      <c r="GJ28" s="841"/>
      <c r="GK28" s="841"/>
      <c r="GL28" s="841"/>
      <c r="GM28" s="841"/>
      <c r="GN28" s="841"/>
      <c r="GO28" s="841"/>
      <c r="GP28" s="841"/>
      <c r="GQ28" s="841"/>
      <c r="GR28" s="841"/>
      <c r="GS28" s="841"/>
      <c r="GT28" s="841"/>
      <c r="GU28" s="841"/>
      <c r="GV28" s="841"/>
      <c r="GW28" s="841"/>
      <c r="GX28" s="841"/>
      <c r="GY28" s="841"/>
      <c r="GZ28" s="841"/>
      <c r="HA28" s="841"/>
      <c r="HB28" s="841"/>
      <c r="HC28" s="841"/>
      <c r="HD28" s="841"/>
      <c r="HE28" s="841"/>
      <c r="HF28" s="841"/>
      <c r="HG28" s="841"/>
      <c r="HH28" s="841"/>
      <c r="HI28" s="841"/>
      <c r="HJ28" s="841"/>
      <c r="HK28" s="841"/>
      <c r="HL28" s="841"/>
      <c r="HM28" s="841"/>
      <c r="HN28" s="841"/>
      <c r="HO28" s="841"/>
    </row>
    <row r="29" spans="2:223" hidden="1">
      <c r="B29" s="1460"/>
      <c r="C29" s="854"/>
      <c r="D29" s="1433" t="s">
        <v>1421</v>
      </c>
      <c r="E29" s="2123">
        <v>0</v>
      </c>
      <c r="F29" s="2123"/>
      <c r="G29" s="1440"/>
      <c r="I29" s="1439"/>
      <c r="J29" s="2112" t="s">
        <v>405</v>
      </c>
      <c r="K29" s="2112"/>
      <c r="L29" s="1452">
        <v>0</v>
      </c>
      <c r="M29" s="1352">
        <f t="shared" si="0"/>
        <v>0</v>
      </c>
      <c r="N29" s="854"/>
      <c r="O29" s="854"/>
      <c r="P29" s="854"/>
      <c r="Q29" s="1440"/>
      <c r="AM29" s="868"/>
      <c r="AN29" s="868"/>
      <c r="AO29" s="868"/>
      <c r="AP29" s="868"/>
      <c r="AQ29" s="868"/>
      <c r="AR29" s="868"/>
      <c r="CA29" s="1500"/>
      <c r="CB29" s="1500"/>
      <c r="CC29" s="1500"/>
      <c r="CD29" s="1501"/>
      <c r="CE29" s="1501"/>
      <c r="CF29" s="1501"/>
      <c r="CG29" s="1490"/>
      <c r="CI29" s="1502"/>
      <c r="CJ29" s="1490"/>
      <c r="CK29" s="1490"/>
      <c r="CL29" s="1490"/>
      <c r="CM29" s="1490"/>
      <c r="CN29" s="1490"/>
      <c r="CO29" s="1490"/>
      <c r="CP29" s="1490"/>
      <c r="CR29" s="1489"/>
      <c r="CS29" s="1489"/>
      <c r="CT29" s="1507"/>
      <c r="CU29" s="1507"/>
      <c r="CV29" s="1507"/>
      <c r="CW29" s="1507"/>
      <c r="CX29" s="1507"/>
      <c r="CY29" s="1507"/>
      <c r="CZ29" s="1507"/>
      <c r="DA29" s="1507"/>
      <c r="DB29" s="1507"/>
      <c r="DS29" s="841"/>
      <c r="DT29" s="841"/>
      <c r="DU29" s="841"/>
      <c r="DV29" s="841"/>
      <c r="DW29" s="841"/>
      <c r="DX29" s="841"/>
      <c r="DY29" s="841"/>
      <c r="DZ29" s="841"/>
      <c r="EA29" s="841"/>
      <c r="EB29" s="841"/>
      <c r="EC29" s="841"/>
      <c r="ED29" s="841"/>
      <c r="EE29" s="841"/>
      <c r="EF29" s="841"/>
      <c r="EG29" s="841"/>
      <c r="EH29" s="841"/>
      <c r="EI29" s="841"/>
      <c r="EJ29" s="841"/>
      <c r="EK29" s="841"/>
      <c r="EL29" s="841"/>
      <c r="EM29" s="841"/>
      <c r="EN29" s="841"/>
      <c r="EO29" s="841"/>
      <c r="EP29" s="841"/>
      <c r="EQ29" s="841"/>
      <c r="ER29" s="841"/>
      <c r="ES29" s="841"/>
      <c r="ET29" s="841"/>
      <c r="EU29" s="841"/>
      <c r="EV29" s="841"/>
      <c r="EW29" s="841"/>
      <c r="EX29" s="841"/>
      <c r="EY29" s="841"/>
      <c r="EZ29" s="841"/>
      <c r="FA29" s="841"/>
      <c r="FB29" s="841"/>
      <c r="FC29" s="841"/>
      <c r="FD29" s="841"/>
      <c r="FE29" s="841"/>
      <c r="FF29" s="841"/>
      <c r="FG29" s="841"/>
      <c r="FH29" s="841"/>
      <c r="FI29" s="841"/>
      <c r="FJ29" s="841"/>
      <c r="FK29" s="841"/>
      <c r="FL29" s="841"/>
      <c r="FM29" s="841"/>
      <c r="FN29" s="841"/>
      <c r="FO29" s="841"/>
      <c r="FP29" s="841"/>
      <c r="FQ29" s="841"/>
      <c r="FR29" s="841"/>
      <c r="FS29" s="841"/>
      <c r="FT29" s="841"/>
      <c r="FU29" s="841"/>
      <c r="FV29" s="841"/>
      <c r="FW29" s="841"/>
      <c r="FX29" s="841"/>
      <c r="FY29" s="841"/>
      <c r="FZ29" s="841"/>
      <c r="GA29" s="841"/>
      <c r="GB29" s="841"/>
      <c r="GC29" s="841"/>
      <c r="GD29" s="841"/>
      <c r="GE29" s="841"/>
      <c r="GF29" s="841"/>
      <c r="GG29" s="841"/>
      <c r="GH29" s="841"/>
      <c r="GI29" s="841"/>
      <c r="GJ29" s="841"/>
      <c r="GK29" s="841"/>
      <c r="GL29" s="841"/>
      <c r="GM29" s="841"/>
      <c r="GN29" s="841"/>
      <c r="GO29" s="841"/>
      <c r="GP29" s="841"/>
      <c r="GQ29" s="841"/>
      <c r="GR29" s="841"/>
      <c r="GS29" s="841"/>
      <c r="GT29" s="841"/>
      <c r="GU29" s="841"/>
      <c r="GV29" s="841"/>
      <c r="GW29" s="841"/>
      <c r="GX29" s="841"/>
      <c r="GY29" s="841"/>
      <c r="GZ29" s="841"/>
      <c r="HA29" s="841"/>
      <c r="HB29" s="841"/>
      <c r="HC29" s="841"/>
      <c r="HD29" s="841"/>
      <c r="HE29" s="841"/>
      <c r="HF29" s="841"/>
      <c r="HG29" s="841"/>
      <c r="HH29" s="841"/>
      <c r="HI29" s="841"/>
      <c r="HJ29" s="841"/>
      <c r="HK29" s="841"/>
      <c r="HL29" s="841"/>
      <c r="HM29" s="841"/>
      <c r="HN29" s="841"/>
      <c r="HO29" s="841"/>
    </row>
    <row r="30" spans="2:223" hidden="1">
      <c r="B30" s="1439"/>
      <c r="C30" s="854"/>
      <c r="D30" s="854"/>
      <c r="E30" s="854"/>
      <c r="F30" s="854"/>
      <c r="G30" s="1440"/>
      <c r="I30" s="1439"/>
      <c r="J30" s="2112" t="s">
        <v>385</v>
      </c>
      <c r="K30" s="2112"/>
      <c r="L30" s="1452">
        <v>0</v>
      </c>
      <c r="M30" s="1352">
        <f t="shared" si="0"/>
        <v>0</v>
      </c>
      <c r="N30" s="854"/>
      <c r="O30" s="854"/>
      <c r="P30" s="854"/>
      <c r="Q30" s="1440"/>
      <c r="AM30" s="868"/>
      <c r="AN30" s="868"/>
      <c r="AO30" s="868"/>
      <c r="AP30" s="868"/>
      <c r="AQ30" s="868"/>
      <c r="AR30" s="868"/>
      <c r="CA30" s="1500"/>
      <c r="CB30" s="1500"/>
      <c r="CC30" s="1500"/>
      <c r="CD30" s="1501"/>
      <c r="CE30" s="1501"/>
      <c r="CF30" s="1501"/>
      <c r="CG30" s="1490"/>
      <c r="CI30" s="1502"/>
      <c r="CJ30" s="1490"/>
      <c r="CK30" s="1490"/>
      <c r="CL30" s="1490"/>
      <c r="CM30" s="1490"/>
      <c r="CN30" s="1490"/>
      <c r="CO30" s="1490"/>
      <c r="CP30" s="1490"/>
      <c r="CR30" s="1489"/>
      <c r="CS30" s="1489"/>
      <c r="CT30" s="1507"/>
      <c r="CU30" s="1507"/>
      <c r="CV30" s="1507"/>
      <c r="CW30" s="1507"/>
      <c r="CX30" s="1507"/>
      <c r="CY30" s="1507"/>
      <c r="CZ30" s="1507"/>
      <c r="DA30" s="1507"/>
      <c r="DB30" s="1507"/>
      <c r="DS30" s="841"/>
      <c r="DT30" s="841"/>
      <c r="DU30" s="841"/>
      <c r="DV30" s="841"/>
      <c r="DW30" s="841"/>
      <c r="DX30" s="841"/>
      <c r="DY30" s="841"/>
      <c r="DZ30" s="841"/>
      <c r="EA30" s="841"/>
      <c r="EB30" s="841"/>
      <c r="EC30" s="841"/>
      <c r="ED30" s="841"/>
      <c r="EE30" s="841"/>
      <c r="EF30" s="841"/>
      <c r="EG30" s="841"/>
      <c r="EH30" s="841"/>
      <c r="EI30" s="841"/>
      <c r="EJ30" s="841"/>
      <c r="EK30" s="841"/>
      <c r="EL30" s="841"/>
      <c r="EM30" s="841"/>
      <c r="EN30" s="841"/>
      <c r="EO30" s="841"/>
      <c r="EP30" s="841"/>
      <c r="EQ30" s="841"/>
      <c r="ER30" s="841"/>
      <c r="ES30" s="841"/>
      <c r="ET30" s="841"/>
      <c r="EU30" s="841"/>
      <c r="EV30" s="841"/>
      <c r="EW30" s="841"/>
      <c r="EX30" s="841"/>
      <c r="EY30" s="841"/>
      <c r="EZ30" s="841"/>
      <c r="FA30" s="841"/>
      <c r="FB30" s="841"/>
      <c r="FC30" s="841"/>
      <c r="FD30" s="841"/>
      <c r="FE30" s="841"/>
      <c r="FF30" s="841"/>
      <c r="FG30" s="841"/>
      <c r="FH30" s="841"/>
      <c r="FI30" s="841"/>
      <c r="FJ30" s="841"/>
      <c r="FK30" s="841"/>
      <c r="FL30" s="841"/>
      <c r="FM30" s="841"/>
      <c r="FN30" s="841"/>
      <c r="FO30" s="841"/>
      <c r="FP30" s="841"/>
      <c r="FQ30" s="841"/>
      <c r="FR30" s="841"/>
      <c r="FS30" s="841"/>
      <c r="FT30" s="841"/>
      <c r="FU30" s="841"/>
      <c r="FV30" s="841"/>
      <c r="FW30" s="841"/>
      <c r="FX30" s="841"/>
      <c r="FY30" s="841"/>
      <c r="FZ30" s="841"/>
      <c r="GA30" s="841"/>
      <c r="GB30" s="841"/>
      <c r="GC30" s="841"/>
      <c r="GD30" s="841"/>
      <c r="GE30" s="841"/>
      <c r="GF30" s="841"/>
      <c r="GG30" s="841"/>
      <c r="GH30" s="841"/>
      <c r="GI30" s="841"/>
      <c r="GJ30" s="841"/>
      <c r="GK30" s="841"/>
      <c r="GL30" s="841"/>
      <c r="GM30" s="841"/>
      <c r="GN30" s="841"/>
      <c r="GO30" s="841"/>
      <c r="GP30" s="841"/>
      <c r="GQ30" s="841"/>
      <c r="GR30" s="841"/>
      <c r="GS30" s="841"/>
      <c r="GT30" s="841"/>
      <c r="GU30" s="841"/>
      <c r="GV30" s="841"/>
      <c r="GW30" s="841"/>
      <c r="GX30" s="841"/>
      <c r="GY30" s="841"/>
      <c r="GZ30" s="841"/>
      <c r="HA30" s="841"/>
      <c r="HB30" s="841"/>
      <c r="HC30" s="841"/>
      <c r="HD30" s="841"/>
      <c r="HE30" s="841"/>
      <c r="HF30" s="841"/>
      <c r="HG30" s="841"/>
      <c r="HH30" s="841"/>
      <c r="HI30" s="841"/>
      <c r="HJ30" s="841"/>
      <c r="HK30" s="841"/>
      <c r="HL30" s="841"/>
      <c r="HM30" s="841"/>
      <c r="HN30" s="841"/>
      <c r="HO30" s="841"/>
    </row>
    <row r="31" spans="2:223" hidden="1">
      <c r="B31" s="1439"/>
      <c r="C31" s="854"/>
      <c r="D31" s="1434" t="s">
        <v>694</v>
      </c>
      <c r="E31" s="2123">
        <v>0</v>
      </c>
      <c r="F31" s="2123"/>
      <c r="G31" s="1440"/>
      <c r="I31" s="1439"/>
      <c r="J31" s="2112" t="s">
        <v>720</v>
      </c>
      <c r="K31" s="2112"/>
      <c r="L31" s="1452">
        <v>0</v>
      </c>
      <c r="M31" s="1352">
        <f t="shared" si="0"/>
        <v>0</v>
      </c>
      <c r="N31" s="854"/>
      <c r="O31" s="854"/>
      <c r="P31" s="854"/>
      <c r="Q31" s="1440"/>
      <c r="AM31" s="868"/>
      <c r="AN31" s="868"/>
      <c r="AO31" s="868"/>
      <c r="AP31" s="868"/>
      <c r="AQ31" s="868"/>
      <c r="AR31" s="868"/>
      <c r="CA31" s="1500"/>
      <c r="CB31" s="1500"/>
      <c r="CC31" s="1500"/>
      <c r="CD31" s="1501"/>
      <c r="CE31" s="1501"/>
      <c r="CF31" s="1501"/>
      <c r="CG31" s="1490"/>
      <c r="CI31" s="1502"/>
      <c r="CJ31" s="1490"/>
      <c r="CK31" s="1490"/>
      <c r="CL31" s="1490"/>
      <c r="CM31" s="1490"/>
      <c r="CN31" s="1490"/>
      <c r="CO31" s="1490"/>
      <c r="CP31" s="1490"/>
      <c r="CR31" s="1489"/>
      <c r="CS31" s="1489"/>
      <c r="CT31" s="1507"/>
      <c r="CU31" s="1507"/>
      <c r="CV31" s="1507"/>
      <c r="CW31" s="1507"/>
      <c r="CX31" s="1507"/>
      <c r="CY31" s="1507"/>
      <c r="CZ31" s="1507"/>
      <c r="DA31" s="1507"/>
      <c r="DB31" s="1507"/>
      <c r="DS31" s="841"/>
      <c r="DT31" s="841"/>
      <c r="DU31" s="841"/>
      <c r="DV31" s="841"/>
      <c r="DW31" s="841"/>
      <c r="DX31" s="841"/>
      <c r="DY31" s="841"/>
      <c r="DZ31" s="841"/>
      <c r="EA31" s="841"/>
      <c r="EB31" s="841"/>
      <c r="EC31" s="841"/>
      <c r="ED31" s="841"/>
      <c r="EE31" s="841"/>
      <c r="EF31" s="841"/>
      <c r="EG31" s="841"/>
      <c r="EH31" s="841"/>
      <c r="EI31" s="841"/>
      <c r="EJ31" s="841"/>
      <c r="EK31" s="841"/>
      <c r="EL31" s="841"/>
      <c r="EM31" s="841"/>
      <c r="EN31" s="841"/>
      <c r="EO31" s="841"/>
      <c r="EP31" s="841"/>
      <c r="EQ31" s="841"/>
      <c r="ER31" s="841"/>
      <c r="ES31" s="841"/>
      <c r="ET31" s="841"/>
      <c r="EU31" s="841"/>
      <c r="EV31" s="841"/>
      <c r="EW31" s="841"/>
      <c r="EX31" s="841"/>
      <c r="EY31" s="841"/>
      <c r="EZ31" s="841"/>
      <c r="FA31" s="841"/>
      <c r="FB31" s="841"/>
      <c r="FC31" s="841"/>
      <c r="FD31" s="841"/>
      <c r="FE31" s="841"/>
      <c r="FF31" s="841"/>
      <c r="FG31" s="841"/>
      <c r="FH31" s="841"/>
      <c r="FI31" s="841"/>
      <c r="FJ31" s="841"/>
      <c r="FK31" s="841"/>
      <c r="FL31" s="841"/>
      <c r="FM31" s="841"/>
      <c r="FN31" s="841"/>
      <c r="FO31" s="841"/>
      <c r="FP31" s="841"/>
      <c r="FQ31" s="841"/>
      <c r="FR31" s="841"/>
      <c r="FS31" s="841"/>
      <c r="FT31" s="841"/>
      <c r="FU31" s="841"/>
      <c r="FV31" s="841"/>
      <c r="FW31" s="841"/>
      <c r="FX31" s="841"/>
      <c r="FY31" s="841"/>
      <c r="FZ31" s="841"/>
      <c r="GA31" s="841"/>
      <c r="GB31" s="841"/>
      <c r="GC31" s="841"/>
      <c r="GD31" s="841"/>
      <c r="GE31" s="841"/>
      <c r="GF31" s="841"/>
      <c r="GG31" s="841"/>
      <c r="GH31" s="841"/>
      <c r="GI31" s="841"/>
      <c r="GJ31" s="841"/>
      <c r="GK31" s="841"/>
      <c r="GL31" s="841"/>
      <c r="GM31" s="841"/>
      <c r="GN31" s="841"/>
      <c r="GO31" s="841"/>
      <c r="GP31" s="841"/>
      <c r="GQ31" s="841"/>
      <c r="GR31" s="841"/>
      <c r="GS31" s="841"/>
      <c r="GT31" s="841"/>
      <c r="GU31" s="841"/>
      <c r="GV31" s="841"/>
      <c r="GW31" s="841"/>
      <c r="GX31" s="841"/>
      <c r="GY31" s="841"/>
      <c r="GZ31" s="841"/>
      <c r="HA31" s="841"/>
      <c r="HB31" s="841"/>
      <c r="HC31" s="841"/>
      <c r="HD31" s="841"/>
      <c r="HE31" s="841"/>
      <c r="HF31" s="841"/>
      <c r="HG31" s="841"/>
      <c r="HH31" s="841"/>
      <c r="HI31" s="841"/>
      <c r="HJ31" s="841"/>
      <c r="HK31" s="841"/>
      <c r="HL31" s="841"/>
      <c r="HM31" s="841"/>
      <c r="HN31" s="841"/>
      <c r="HO31" s="841"/>
    </row>
    <row r="32" spans="2:223" ht="21" hidden="1" thickBot="1">
      <c r="B32" s="1441"/>
      <c r="C32" s="1442"/>
      <c r="D32" s="1442"/>
      <c r="E32" s="1442"/>
      <c r="F32" s="1442"/>
      <c r="G32" s="1443"/>
      <c r="I32" s="1439"/>
      <c r="J32" s="2112" t="s">
        <v>719</v>
      </c>
      <c r="K32" s="2112"/>
      <c r="L32" s="1432">
        <f>L30+L31</f>
        <v>0</v>
      </c>
      <c r="M32" s="1352">
        <f t="shared" si="0"/>
        <v>0</v>
      </c>
      <c r="N32" s="854"/>
      <c r="O32" s="854"/>
      <c r="P32" s="854"/>
      <c r="Q32" s="1440"/>
      <c r="AM32" s="868"/>
      <c r="AN32" s="868"/>
      <c r="AO32" s="868"/>
      <c r="AP32" s="868"/>
      <c r="AQ32" s="868"/>
      <c r="AR32" s="868"/>
      <c r="CA32" s="1500"/>
      <c r="CB32" s="1500"/>
      <c r="CC32" s="1500"/>
      <c r="CD32" s="1501"/>
      <c r="CE32" s="1501"/>
      <c r="CF32" s="1501"/>
      <c r="CG32" s="1490"/>
      <c r="CI32" s="1502"/>
      <c r="CJ32" s="1490"/>
      <c r="CK32" s="1490"/>
      <c r="CL32" s="1490"/>
      <c r="CM32" s="1490"/>
      <c r="CN32" s="1490"/>
      <c r="CO32" s="1490"/>
      <c r="CP32" s="1490"/>
      <c r="CR32" s="1489"/>
      <c r="CS32" s="1489"/>
      <c r="CT32" s="1507"/>
      <c r="CU32" s="1507"/>
      <c r="CV32" s="1507"/>
      <c r="CW32" s="1507"/>
      <c r="CX32" s="1507"/>
      <c r="CY32" s="1507"/>
      <c r="CZ32" s="1507"/>
      <c r="DA32" s="1507"/>
      <c r="DB32" s="1507"/>
      <c r="DS32" s="841"/>
      <c r="DT32" s="841"/>
      <c r="DU32" s="841"/>
      <c r="DV32" s="841"/>
      <c r="DW32" s="841"/>
      <c r="DX32" s="841"/>
      <c r="DY32" s="841"/>
      <c r="DZ32" s="841"/>
      <c r="EA32" s="841"/>
      <c r="EB32" s="841"/>
      <c r="EC32" s="841"/>
      <c r="ED32" s="841"/>
      <c r="EE32" s="841"/>
      <c r="EF32" s="841"/>
      <c r="EG32" s="841"/>
      <c r="EH32" s="841"/>
      <c r="EI32" s="841"/>
      <c r="EJ32" s="841"/>
      <c r="EK32" s="841"/>
      <c r="EL32" s="841"/>
      <c r="EM32" s="841"/>
      <c r="EN32" s="841"/>
      <c r="EO32" s="841"/>
      <c r="EP32" s="841"/>
      <c r="EQ32" s="841"/>
      <c r="ER32" s="841"/>
      <c r="ES32" s="841"/>
      <c r="ET32" s="841"/>
      <c r="EU32" s="841"/>
      <c r="EV32" s="841"/>
      <c r="EW32" s="841"/>
      <c r="EX32" s="841"/>
      <c r="EY32" s="841"/>
      <c r="EZ32" s="841"/>
      <c r="FA32" s="841"/>
      <c r="FB32" s="841"/>
      <c r="FC32" s="841"/>
      <c r="FD32" s="841"/>
      <c r="FE32" s="841"/>
      <c r="FF32" s="841"/>
      <c r="FG32" s="841"/>
      <c r="FH32" s="841"/>
      <c r="FI32" s="841"/>
      <c r="FJ32" s="841"/>
      <c r="FK32" s="841"/>
      <c r="FL32" s="841"/>
      <c r="FM32" s="841"/>
      <c r="FN32" s="841"/>
      <c r="FO32" s="841"/>
      <c r="FP32" s="841"/>
      <c r="FQ32" s="841"/>
      <c r="FR32" s="841"/>
      <c r="FS32" s="841"/>
      <c r="FT32" s="841"/>
      <c r="FU32" s="841"/>
      <c r="FV32" s="841"/>
      <c r="FW32" s="841"/>
      <c r="FX32" s="841"/>
      <c r="FY32" s="841"/>
      <c r="FZ32" s="841"/>
      <c r="GA32" s="841"/>
      <c r="GB32" s="841"/>
      <c r="GC32" s="841"/>
      <c r="GD32" s="841"/>
      <c r="GE32" s="841"/>
      <c r="GF32" s="841"/>
      <c r="GG32" s="841"/>
      <c r="GH32" s="841"/>
      <c r="GI32" s="841"/>
      <c r="GJ32" s="841"/>
      <c r="GK32" s="841"/>
      <c r="GL32" s="841"/>
      <c r="GM32" s="841"/>
      <c r="GN32" s="841"/>
      <c r="GO32" s="841"/>
      <c r="GP32" s="841"/>
      <c r="GQ32" s="841"/>
      <c r="GR32" s="841"/>
      <c r="GS32" s="841"/>
      <c r="GT32" s="841"/>
      <c r="GU32" s="841"/>
      <c r="GV32" s="841"/>
      <c r="GW32" s="841"/>
      <c r="GX32" s="841"/>
      <c r="GY32" s="841"/>
      <c r="GZ32" s="841"/>
      <c r="HA32" s="841"/>
      <c r="HB32" s="841"/>
      <c r="HC32" s="841"/>
      <c r="HD32" s="841"/>
      <c r="HE32" s="841"/>
      <c r="HF32" s="841"/>
      <c r="HG32" s="841"/>
      <c r="HH32" s="841"/>
      <c r="HI32" s="841"/>
      <c r="HJ32" s="841"/>
      <c r="HK32" s="841"/>
      <c r="HL32" s="841"/>
      <c r="HM32" s="841"/>
      <c r="HN32" s="841"/>
      <c r="HO32" s="841"/>
    </row>
    <row r="33" spans="1:223" ht="21" hidden="1" thickBot="1">
      <c r="I33" s="1441"/>
      <c r="J33" s="1442"/>
      <c r="K33" s="1442"/>
      <c r="L33" s="1447" t="str">
        <f>IF(M33&gt;0,"Faltan datos por introducir","")</f>
        <v/>
      </c>
      <c r="M33" s="1448">
        <f>SUM(M21:M32)</f>
        <v>0</v>
      </c>
      <c r="N33" s="1442"/>
      <c r="O33" s="1442"/>
      <c r="P33" s="1442"/>
      <c r="Q33" s="1443"/>
      <c r="AM33" s="868"/>
      <c r="AN33" s="868"/>
      <c r="AO33" s="868"/>
      <c r="AP33" s="868"/>
      <c r="AQ33" s="868"/>
      <c r="AR33" s="868"/>
      <c r="CA33" s="1500"/>
      <c r="CB33" s="1500"/>
      <c r="CC33" s="1500"/>
      <c r="CD33" s="1501"/>
      <c r="CE33" s="1501"/>
      <c r="CF33" s="1501"/>
      <c r="CG33" s="1490"/>
      <c r="CI33" s="1502"/>
      <c r="CJ33" s="1490"/>
      <c r="CK33" s="1490"/>
      <c r="CL33" s="1490"/>
      <c r="CM33" s="1490"/>
      <c r="CN33" s="1490"/>
      <c r="CO33" s="1490"/>
      <c r="CP33" s="1490"/>
      <c r="CR33" s="1489"/>
      <c r="CS33" s="1489"/>
      <c r="CT33" s="1507"/>
      <c r="CU33" s="1507"/>
      <c r="CV33" s="1507"/>
      <c r="CW33" s="1507"/>
      <c r="CX33" s="1507"/>
      <c r="CY33" s="1507"/>
      <c r="CZ33" s="1507"/>
      <c r="DA33" s="1507"/>
      <c r="DB33" s="1507"/>
      <c r="DS33" s="841"/>
      <c r="DT33" s="841"/>
      <c r="DU33" s="841"/>
      <c r="DV33" s="841"/>
      <c r="DW33" s="841"/>
      <c r="DX33" s="841"/>
      <c r="DY33" s="841"/>
      <c r="DZ33" s="841"/>
      <c r="EA33" s="841"/>
      <c r="EB33" s="841"/>
      <c r="EC33" s="841"/>
      <c r="ED33" s="841"/>
      <c r="EE33" s="841"/>
      <c r="EF33" s="841"/>
      <c r="EG33" s="841"/>
      <c r="EH33" s="841"/>
      <c r="EI33" s="841"/>
      <c r="EJ33" s="841"/>
      <c r="EK33" s="841"/>
      <c r="EL33" s="841"/>
      <c r="EM33" s="841"/>
      <c r="EN33" s="841"/>
      <c r="EO33" s="841"/>
      <c r="EP33" s="841"/>
      <c r="EQ33" s="841"/>
      <c r="ER33" s="841"/>
      <c r="ES33" s="841"/>
      <c r="ET33" s="841"/>
      <c r="EU33" s="841"/>
      <c r="EV33" s="841"/>
      <c r="EW33" s="841"/>
      <c r="EX33" s="841"/>
      <c r="EY33" s="841"/>
      <c r="EZ33" s="841"/>
      <c r="FA33" s="841"/>
      <c r="FB33" s="841"/>
      <c r="FC33" s="841"/>
      <c r="FD33" s="841"/>
      <c r="FE33" s="841"/>
      <c r="FF33" s="841"/>
      <c r="FG33" s="841"/>
      <c r="FH33" s="841"/>
      <c r="FI33" s="841"/>
      <c r="FJ33" s="841"/>
      <c r="FK33" s="841"/>
      <c r="FL33" s="841"/>
      <c r="FM33" s="841"/>
      <c r="FN33" s="841"/>
      <c r="FO33" s="841"/>
      <c r="FP33" s="841"/>
      <c r="FQ33" s="841"/>
      <c r="FR33" s="841"/>
      <c r="FS33" s="841"/>
      <c r="FT33" s="841"/>
      <c r="FU33" s="841"/>
      <c r="FV33" s="841"/>
      <c r="FW33" s="841"/>
      <c r="FX33" s="841"/>
      <c r="FY33" s="841"/>
      <c r="FZ33" s="841"/>
      <c r="GA33" s="841"/>
      <c r="GB33" s="841"/>
      <c r="GC33" s="841"/>
      <c r="GD33" s="841"/>
      <c r="GE33" s="841"/>
      <c r="GF33" s="841"/>
      <c r="GG33" s="841"/>
      <c r="GH33" s="841"/>
      <c r="GI33" s="841"/>
      <c r="GJ33" s="841"/>
      <c r="GK33" s="841"/>
      <c r="GL33" s="841"/>
      <c r="GM33" s="841"/>
      <c r="GN33" s="841"/>
      <c r="GO33" s="841"/>
      <c r="GP33" s="841"/>
      <c r="GQ33" s="841"/>
      <c r="GR33" s="841"/>
      <c r="GS33" s="841"/>
      <c r="GT33" s="841"/>
      <c r="GU33" s="841"/>
      <c r="GV33" s="841"/>
      <c r="GW33" s="841"/>
      <c r="GX33" s="841"/>
      <c r="GY33" s="841"/>
      <c r="GZ33" s="841"/>
      <c r="HA33" s="841"/>
      <c r="HB33" s="841"/>
      <c r="HC33" s="841"/>
      <c r="HD33" s="841"/>
      <c r="HE33" s="841"/>
      <c r="HF33" s="841"/>
      <c r="HG33" s="841"/>
      <c r="HH33" s="841"/>
      <c r="HI33" s="841"/>
      <c r="HJ33" s="841"/>
      <c r="HK33" s="841"/>
      <c r="HL33" s="841"/>
      <c r="HM33" s="841"/>
      <c r="HN33" s="841"/>
      <c r="HO33" s="841"/>
    </row>
    <row r="34" spans="1:223" hidden="1">
      <c r="AM34" s="868"/>
      <c r="AN34" s="868"/>
      <c r="AO34" s="868"/>
      <c r="AP34" s="868"/>
      <c r="AQ34" s="868"/>
      <c r="AR34" s="868"/>
      <c r="CA34" s="1500"/>
      <c r="CB34" s="1500"/>
      <c r="CC34" s="1500"/>
      <c r="CD34" s="1501"/>
      <c r="CE34" s="1501"/>
      <c r="CF34" s="1501"/>
      <c r="CG34" s="1490"/>
      <c r="CI34" s="1502"/>
      <c r="CJ34" s="1490"/>
      <c r="CK34" s="1490"/>
      <c r="CL34" s="1490"/>
      <c r="CM34" s="1490"/>
      <c r="CN34" s="1490"/>
      <c r="CO34" s="1490"/>
      <c r="CP34" s="1490"/>
      <c r="CR34" s="1489"/>
      <c r="CS34" s="1489"/>
      <c r="CT34" s="1507"/>
      <c r="CU34" s="1507"/>
      <c r="CV34" s="1507"/>
      <c r="CW34" s="1507"/>
      <c r="CX34" s="1507"/>
      <c r="CY34" s="1507"/>
      <c r="CZ34" s="1507"/>
      <c r="DA34" s="1507"/>
      <c r="DB34" s="1507"/>
      <c r="DS34" s="841"/>
      <c r="DT34" s="841"/>
      <c r="DU34" s="841"/>
      <c r="DV34" s="841"/>
      <c r="DW34" s="841"/>
      <c r="DX34" s="841"/>
      <c r="DY34" s="841"/>
      <c r="DZ34" s="841"/>
      <c r="EA34" s="841"/>
      <c r="EB34" s="841"/>
      <c r="EC34" s="841"/>
      <c r="ED34" s="841"/>
      <c r="EE34" s="841"/>
      <c r="EF34" s="841"/>
      <c r="EG34" s="841"/>
      <c r="EH34" s="841"/>
      <c r="EI34" s="841"/>
      <c r="EJ34" s="841"/>
      <c r="EK34" s="841"/>
      <c r="EL34" s="841"/>
      <c r="EM34" s="841"/>
      <c r="EN34" s="841"/>
      <c r="EO34" s="841"/>
      <c r="EP34" s="841"/>
      <c r="EQ34" s="841"/>
      <c r="ER34" s="841"/>
      <c r="ES34" s="841"/>
      <c r="ET34" s="841"/>
      <c r="EU34" s="841"/>
      <c r="EV34" s="841"/>
      <c r="EW34" s="841"/>
      <c r="EX34" s="841"/>
      <c r="EY34" s="841"/>
      <c r="EZ34" s="841"/>
      <c r="FA34" s="841"/>
      <c r="FB34" s="841"/>
      <c r="FC34" s="841"/>
      <c r="FD34" s="841"/>
      <c r="FE34" s="841"/>
      <c r="FF34" s="841"/>
      <c r="FG34" s="841"/>
      <c r="FH34" s="841"/>
      <c r="FI34" s="841"/>
      <c r="FJ34" s="841"/>
      <c r="FK34" s="841"/>
      <c r="FL34" s="841"/>
      <c r="FM34" s="841"/>
      <c r="FN34" s="841"/>
      <c r="FO34" s="841"/>
      <c r="FP34" s="841"/>
      <c r="FQ34" s="841"/>
      <c r="FR34" s="841"/>
      <c r="FS34" s="841"/>
      <c r="FT34" s="841"/>
      <c r="FU34" s="841"/>
      <c r="FV34" s="841"/>
      <c r="FW34" s="841"/>
      <c r="FX34" s="841"/>
      <c r="FY34" s="841"/>
      <c r="FZ34" s="841"/>
      <c r="GA34" s="841"/>
      <c r="GB34" s="841"/>
      <c r="GC34" s="841"/>
      <c r="GD34" s="841"/>
      <c r="GE34" s="841"/>
      <c r="GF34" s="841"/>
      <c r="GG34" s="841"/>
      <c r="GH34" s="841"/>
      <c r="GI34" s="841"/>
      <c r="GJ34" s="841"/>
      <c r="GK34" s="841"/>
      <c r="GL34" s="841"/>
      <c r="GM34" s="841"/>
      <c r="GN34" s="841"/>
      <c r="GO34" s="841"/>
      <c r="GP34" s="841"/>
      <c r="GQ34" s="841"/>
      <c r="GR34" s="841"/>
      <c r="GS34" s="841"/>
      <c r="GT34" s="841"/>
      <c r="GU34" s="841"/>
      <c r="GV34" s="841"/>
      <c r="GW34" s="841"/>
      <c r="GX34" s="841"/>
      <c r="GY34" s="841"/>
      <c r="GZ34" s="841"/>
      <c r="HA34" s="841"/>
      <c r="HB34" s="841"/>
      <c r="HC34" s="841"/>
      <c r="HD34" s="841"/>
      <c r="HE34" s="841"/>
      <c r="HF34" s="841"/>
      <c r="HG34" s="841"/>
      <c r="HH34" s="841"/>
      <c r="HI34" s="841"/>
      <c r="HJ34" s="841"/>
      <c r="HK34" s="841"/>
      <c r="HL34" s="841"/>
      <c r="HM34" s="841"/>
      <c r="HN34" s="841"/>
      <c r="HO34" s="841"/>
    </row>
    <row r="35" spans="1:223">
      <c r="A35" s="854"/>
      <c r="B35" s="854"/>
      <c r="C35" s="854"/>
      <c r="D35" s="854"/>
      <c r="E35" s="854"/>
      <c r="F35" s="854"/>
      <c r="G35" s="854"/>
      <c r="H35" s="854"/>
      <c r="I35" s="854"/>
      <c r="J35" s="854"/>
      <c r="K35" s="854"/>
      <c r="L35" s="854"/>
      <c r="M35" s="854"/>
      <c r="N35" s="854"/>
      <c r="O35" s="854"/>
      <c r="P35" s="854"/>
      <c r="Q35" s="854"/>
      <c r="R35" s="854"/>
      <c r="S35" s="854"/>
      <c r="T35" s="854"/>
      <c r="U35" s="854"/>
      <c r="V35" s="854"/>
      <c r="W35" s="854"/>
      <c r="X35" s="854"/>
      <c r="Y35" s="854"/>
      <c r="Z35" s="1223"/>
      <c r="AA35" s="1223"/>
      <c r="AB35" s="1223"/>
      <c r="AC35" s="1223"/>
      <c r="AD35" s="1223"/>
      <c r="AE35" s="1223"/>
      <c r="AF35" s="1223"/>
      <c r="AG35" s="1223"/>
      <c r="AH35" s="1223"/>
      <c r="AI35" s="854"/>
      <c r="AJ35" s="854"/>
      <c r="AK35" s="854"/>
      <c r="AL35" s="854"/>
      <c r="AM35" s="1352"/>
      <c r="AN35" s="1352"/>
      <c r="AO35" s="1352"/>
      <c r="AP35" s="1352"/>
      <c r="AQ35" s="1352"/>
      <c r="AR35" s="1352"/>
      <c r="AS35" s="1352"/>
      <c r="CA35" s="1500"/>
      <c r="CB35" s="1500"/>
      <c r="CC35" s="1500"/>
      <c r="CD35" s="1501"/>
      <c r="CE35" s="1501"/>
      <c r="CF35" s="1501"/>
      <c r="CG35" s="1490"/>
      <c r="CI35" s="1502"/>
      <c r="CJ35" s="1490"/>
      <c r="CK35" s="1490"/>
      <c r="CL35" s="1490"/>
      <c r="CM35" s="1490"/>
      <c r="CN35" s="1490"/>
      <c r="CO35" s="1490"/>
      <c r="CP35" s="1490"/>
      <c r="CR35" s="1489"/>
      <c r="CS35" s="1489"/>
      <c r="CT35" s="1507"/>
      <c r="CU35" s="1507"/>
      <c r="CV35" s="1507"/>
      <c r="CW35" s="1507"/>
      <c r="CX35" s="1507"/>
      <c r="CY35" s="1507"/>
      <c r="CZ35" s="1507"/>
      <c r="DA35" s="1507"/>
      <c r="DB35" s="1507"/>
      <c r="DS35" s="841"/>
      <c r="DT35" s="841"/>
      <c r="DU35" s="841"/>
      <c r="DV35" s="841"/>
      <c r="DW35" s="841"/>
      <c r="DX35" s="841"/>
      <c r="DY35" s="841"/>
      <c r="DZ35" s="841"/>
      <c r="EA35" s="841"/>
      <c r="EB35" s="841"/>
      <c r="EC35" s="841"/>
      <c r="ED35" s="841"/>
      <c r="EE35" s="841"/>
      <c r="EF35" s="841"/>
      <c r="EG35" s="841"/>
      <c r="EH35" s="841"/>
      <c r="EI35" s="841"/>
      <c r="EJ35" s="841"/>
      <c r="EK35" s="841"/>
      <c r="EL35" s="841"/>
      <c r="EM35" s="841"/>
      <c r="EN35" s="841"/>
      <c r="EO35" s="841"/>
      <c r="EP35" s="841"/>
      <c r="EQ35" s="841"/>
      <c r="ER35" s="841"/>
      <c r="ES35" s="841"/>
      <c r="ET35" s="841"/>
      <c r="EU35" s="841"/>
      <c r="EV35" s="841"/>
      <c r="EW35" s="841"/>
      <c r="EX35" s="841"/>
      <c r="EY35" s="841"/>
      <c r="EZ35" s="841"/>
      <c r="FA35" s="841"/>
      <c r="FB35" s="841"/>
      <c r="FC35" s="841"/>
      <c r="FD35" s="841"/>
      <c r="FE35" s="841"/>
      <c r="FF35" s="841"/>
      <c r="FG35" s="841"/>
      <c r="FH35" s="841"/>
      <c r="FI35" s="841"/>
      <c r="FJ35" s="841"/>
      <c r="FK35" s="841"/>
      <c r="FL35" s="841"/>
      <c r="FM35" s="841"/>
      <c r="FN35" s="841"/>
      <c r="FO35" s="841"/>
      <c r="FP35" s="841"/>
      <c r="FQ35" s="841"/>
      <c r="FR35" s="841"/>
      <c r="FS35" s="841"/>
      <c r="FT35" s="841"/>
      <c r="FU35" s="841"/>
      <c r="FV35" s="841"/>
      <c r="FW35" s="841"/>
      <c r="FX35" s="841"/>
      <c r="FY35" s="841"/>
      <c r="FZ35" s="841"/>
      <c r="GA35" s="841"/>
      <c r="GB35" s="841"/>
      <c r="GC35" s="841"/>
      <c r="GD35" s="841"/>
      <c r="GE35" s="841"/>
      <c r="GF35" s="841"/>
      <c r="GG35" s="841"/>
      <c r="GH35" s="841"/>
      <c r="GI35" s="841"/>
      <c r="GJ35" s="841"/>
      <c r="GK35" s="841"/>
      <c r="GL35" s="841"/>
      <c r="GM35" s="841"/>
      <c r="GN35" s="841"/>
      <c r="GO35" s="841"/>
      <c r="GP35" s="841"/>
      <c r="GQ35" s="841"/>
      <c r="GR35" s="841"/>
      <c r="GS35" s="841"/>
      <c r="GT35" s="841"/>
      <c r="GU35" s="841"/>
      <c r="GV35" s="841"/>
      <c r="GW35" s="841"/>
      <c r="GX35" s="841"/>
      <c r="GY35" s="841"/>
      <c r="GZ35" s="841"/>
      <c r="HA35" s="841"/>
      <c r="HB35" s="841"/>
      <c r="HC35" s="841"/>
      <c r="HD35" s="841"/>
      <c r="HE35" s="841"/>
      <c r="HF35" s="841"/>
      <c r="HG35" s="841"/>
      <c r="HH35" s="841"/>
      <c r="HI35" s="841"/>
      <c r="HJ35" s="841"/>
      <c r="HK35" s="841"/>
      <c r="HL35" s="841"/>
      <c r="HM35" s="841"/>
      <c r="HN35" s="841"/>
      <c r="HO35" s="841"/>
    </row>
    <row r="36" spans="1:223" ht="21" thickBot="1">
      <c r="A36" s="854"/>
      <c r="B36" s="854"/>
      <c r="C36" s="854"/>
      <c r="D36" s="854"/>
      <c r="E36" s="854"/>
      <c r="F36" s="854"/>
      <c r="G36" s="854"/>
      <c r="H36" s="854"/>
      <c r="I36" s="854"/>
      <c r="J36" s="854"/>
      <c r="K36" s="854"/>
      <c r="L36" s="854"/>
      <c r="M36" s="854"/>
      <c r="N36" s="854"/>
      <c r="O36" s="854"/>
      <c r="P36" s="854"/>
      <c r="Q36" s="854"/>
      <c r="R36" s="854"/>
      <c r="S36" s="854"/>
      <c r="T36" s="854"/>
      <c r="U36" s="854"/>
      <c r="V36" s="854"/>
      <c r="W36" s="854"/>
      <c r="X36" s="854"/>
      <c r="Y36" s="854"/>
      <c r="Z36" s="1223"/>
      <c r="AA36" s="1223"/>
      <c r="AB36" s="1223"/>
      <c r="AC36" s="1223"/>
      <c r="AD36" s="1223"/>
      <c r="AE36" s="1223"/>
      <c r="AF36" s="1223"/>
      <c r="AG36" s="1223"/>
      <c r="AH36" s="1223"/>
      <c r="AI36" s="854"/>
      <c r="AJ36" s="854"/>
      <c r="AK36" s="854"/>
      <c r="AL36" s="854"/>
      <c r="AM36" s="1352"/>
      <c r="AN36" s="1352"/>
      <c r="AO36" s="1352"/>
      <c r="AP36" s="1352"/>
      <c r="AQ36" s="1352"/>
      <c r="AR36" s="1352"/>
      <c r="AS36" s="1352"/>
      <c r="CA36" s="1500"/>
      <c r="CB36" s="1500"/>
      <c r="CC36" s="1500"/>
      <c r="CD36" s="1501"/>
      <c r="CE36" s="1501"/>
      <c r="CF36" s="1501"/>
      <c r="CG36" s="1490"/>
      <c r="CH36" s="2018" t="s">
        <v>425</v>
      </c>
      <c r="CI36" s="1502" t="s">
        <v>1282</v>
      </c>
      <c r="CJ36" s="1490"/>
      <c r="CK36" s="1490"/>
      <c r="CL36" s="1490"/>
      <c r="CM36" s="1490"/>
      <c r="CN36" s="1490"/>
      <c r="CO36" s="1490"/>
      <c r="CP36" s="1490"/>
      <c r="CR36" s="1489"/>
      <c r="CS36" s="1489"/>
      <c r="CT36" s="1507"/>
      <c r="CU36" s="1507"/>
      <c r="CV36" s="1507"/>
      <c r="CW36" s="1507"/>
      <c r="CX36" s="1507"/>
      <c r="CY36" s="1507"/>
      <c r="CZ36" s="1507"/>
      <c r="DA36" s="1507"/>
      <c r="DB36" s="1507"/>
      <c r="DS36" s="841"/>
      <c r="DT36" s="841"/>
      <c r="DU36" s="841"/>
      <c r="DV36" s="841"/>
      <c r="DW36" s="841"/>
      <c r="DX36" s="841"/>
      <c r="DY36" s="841"/>
      <c r="DZ36" s="841"/>
      <c r="EA36" s="841"/>
      <c r="EB36" s="841"/>
      <c r="EC36" s="841"/>
      <c r="ED36" s="841"/>
      <c r="EE36" s="841"/>
      <c r="EF36" s="841"/>
      <c r="EG36" s="841"/>
      <c r="EH36" s="841"/>
      <c r="EI36" s="841"/>
      <c r="EJ36" s="841"/>
      <c r="EK36" s="841"/>
      <c r="EL36" s="841"/>
      <c r="EM36" s="841"/>
      <c r="EN36" s="841"/>
      <c r="EO36" s="841"/>
      <c r="EP36" s="841"/>
      <c r="EQ36" s="841"/>
      <c r="ER36" s="841"/>
      <c r="ES36" s="841"/>
      <c r="ET36" s="841"/>
      <c r="EU36" s="841"/>
      <c r="EV36" s="841"/>
      <c r="EW36" s="841"/>
      <c r="EX36" s="841"/>
      <c r="EY36" s="841"/>
      <c r="EZ36" s="841"/>
      <c r="FA36" s="841"/>
      <c r="FB36" s="841"/>
      <c r="FC36" s="841"/>
      <c r="FD36" s="841"/>
      <c r="FE36" s="841"/>
      <c r="FF36" s="841"/>
      <c r="FG36" s="841"/>
      <c r="FH36" s="841"/>
      <c r="FI36" s="841"/>
      <c r="FJ36" s="841"/>
      <c r="FK36" s="841"/>
      <c r="FL36" s="841"/>
      <c r="FM36" s="841"/>
      <c r="FN36" s="841"/>
      <c r="FO36" s="841"/>
      <c r="FP36" s="841"/>
      <c r="FQ36" s="841"/>
      <c r="FR36" s="841"/>
      <c r="FS36" s="841"/>
      <c r="FT36" s="841"/>
      <c r="FU36" s="841"/>
      <c r="FV36" s="841"/>
      <c r="FW36" s="841"/>
      <c r="FX36" s="841"/>
      <c r="FY36" s="841"/>
      <c r="FZ36" s="841"/>
      <c r="GA36" s="841"/>
      <c r="GB36" s="841"/>
      <c r="GC36" s="841"/>
      <c r="GD36" s="841"/>
      <c r="GE36" s="841"/>
      <c r="GF36" s="841"/>
      <c r="GG36" s="841"/>
      <c r="GH36" s="841"/>
      <c r="GI36" s="841"/>
      <c r="GJ36" s="841"/>
      <c r="GK36" s="841"/>
      <c r="GL36" s="841"/>
      <c r="GM36" s="841"/>
      <c r="GN36" s="841"/>
      <c r="GO36" s="841"/>
      <c r="GP36" s="841"/>
      <c r="GQ36" s="841"/>
      <c r="GR36" s="841"/>
      <c r="GS36" s="841"/>
      <c r="GT36" s="841"/>
      <c r="GU36" s="841"/>
      <c r="GV36" s="841"/>
      <c r="GW36" s="841"/>
      <c r="GX36" s="841"/>
      <c r="GY36" s="841"/>
      <c r="GZ36" s="841"/>
      <c r="HA36" s="841"/>
      <c r="HB36" s="841"/>
      <c r="HC36" s="841"/>
      <c r="HD36" s="841"/>
      <c r="HE36" s="841"/>
      <c r="HF36" s="841"/>
      <c r="HG36" s="841"/>
      <c r="HH36" s="841"/>
      <c r="HI36" s="841"/>
      <c r="HJ36" s="841"/>
      <c r="HK36" s="841"/>
      <c r="HL36" s="841"/>
      <c r="HM36" s="841"/>
      <c r="HN36" s="841"/>
      <c r="HO36" s="841"/>
    </row>
    <row r="37" spans="1:223" ht="97.5" customHeight="1" thickBot="1">
      <c r="B37" s="1208" t="s">
        <v>406</v>
      </c>
      <c r="C37" s="1209"/>
      <c r="D37" s="1208" t="s">
        <v>193</v>
      </c>
      <c r="E37" s="1209"/>
      <c r="F37" s="1208" t="s">
        <v>1182</v>
      </c>
      <c r="G37" s="1209"/>
      <c r="H37" s="1208" t="s">
        <v>763</v>
      </c>
      <c r="I37" s="1209"/>
      <c r="J37" s="2107" t="s">
        <v>713</v>
      </c>
      <c r="K37" s="2108"/>
      <c r="L37" s="2109"/>
      <c r="M37" s="1210"/>
      <c r="N37" s="1208" t="s">
        <v>444</v>
      </c>
      <c r="O37" s="1210"/>
      <c r="P37" s="1211" t="s">
        <v>389</v>
      </c>
      <c r="Q37" s="1212"/>
      <c r="R37" s="1213" t="s">
        <v>295</v>
      </c>
      <c r="S37" s="1212"/>
      <c r="T37" s="1208" t="str">
        <f>IF(J17="Cartera Orange","¿Está pagando terminal a Orange (venta a plazos vigente)?","¿Trae el cliente su terminal (libre) o lo paga a Orange (venta a plazos)?")</f>
        <v>¿Trae el cliente su terminal (libre) o lo paga a Orange (venta a plazos)?</v>
      </c>
      <c r="U37" s="1210"/>
      <c r="V37" s="1211" t="s">
        <v>694</v>
      </c>
      <c r="W37" s="1214"/>
      <c r="X37" s="1211" t="s">
        <v>396</v>
      </c>
      <c r="Y37" s="1215"/>
      <c r="Z37" s="1207" t="str">
        <f>IF(D17&lt;&gt;"Preaprobadas","Cuota neta tras descuento valor y no subvención","Cuota preaprobada")</f>
        <v>Cuota neta tras descuento valor y no subvención</v>
      </c>
      <c r="AA37" s="1215"/>
      <c r="AB37" s="1211" t="str">
        <f>IF(D17&lt;&gt;"Preaprobadas","Total tras descuentos por valor y no subvención","Total cuotas preaprobadas")</f>
        <v>Total tras descuentos por valor y no subvención</v>
      </c>
      <c r="AC37" s="1215"/>
      <c r="AD37" s="1211" t="s">
        <v>1741</v>
      </c>
      <c r="AE37" s="1215"/>
      <c r="AF37" s="1211" t="s">
        <v>800</v>
      </c>
      <c r="AG37" s="1210"/>
      <c r="AH37" s="1211" t="s">
        <v>801</v>
      </c>
      <c r="AM37" s="868"/>
      <c r="AN37" s="868"/>
      <c r="AO37" s="868"/>
      <c r="AP37" s="868"/>
      <c r="AQ37" s="868"/>
      <c r="AR37" s="868"/>
      <c r="CA37" s="1503" t="s">
        <v>395</v>
      </c>
      <c r="CB37" s="1500"/>
      <c r="CC37" s="1503"/>
      <c r="CD37" s="1498" t="s">
        <v>1994</v>
      </c>
      <c r="CE37" s="1501" t="s">
        <v>385</v>
      </c>
      <c r="CF37" s="1501" t="s">
        <v>390</v>
      </c>
      <c r="CG37" s="1501" t="s">
        <v>759</v>
      </c>
      <c r="CH37" s="2018" t="s">
        <v>2027</v>
      </c>
      <c r="CI37" s="1502" t="s">
        <v>180</v>
      </c>
      <c r="CJ37" s="1490"/>
      <c r="CK37" s="1490"/>
      <c r="CL37" s="1490"/>
      <c r="CM37" s="1490"/>
      <c r="CN37" s="1490"/>
      <c r="CO37" s="1490"/>
      <c r="CP37" s="1490"/>
      <c r="CR37" s="1489"/>
      <c r="CS37" s="1489"/>
      <c r="CT37" s="1507"/>
      <c r="CU37" s="1507"/>
      <c r="CV37" s="1507"/>
      <c r="CW37" s="1507"/>
      <c r="CX37" s="1507"/>
      <c r="CY37" s="1507"/>
      <c r="CZ37" s="1507"/>
      <c r="DA37" s="1507"/>
      <c r="DB37" s="1507"/>
      <c r="DS37" s="841"/>
      <c r="DT37" s="841"/>
      <c r="DU37" s="841"/>
      <c r="DV37" s="841"/>
      <c r="DW37" s="841"/>
      <c r="DX37" s="841"/>
      <c r="DY37" s="841"/>
      <c r="DZ37" s="841"/>
      <c r="EA37" s="841"/>
      <c r="EB37" s="841"/>
      <c r="EC37" s="841"/>
      <c r="ED37" s="841"/>
      <c r="EE37" s="841"/>
      <c r="EF37" s="841"/>
      <c r="EG37" s="841"/>
      <c r="EH37" s="841"/>
      <c r="EI37" s="841"/>
      <c r="EJ37" s="841"/>
      <c r="EK37" s="841"/>
      <c r="EL37" s="841"/>
      <c r="EM37" s="841"/>
      <c r="EN37" s="841"/>
      <c r="EO37" s="841"/>
      <c r="EP37" s="841"/>
      <c r="EQ37" s="841"/>
      <c r="ER37" s="841"/>
      <c r="ES37" s="841"/>
      <c r="ET37" s="841"/>
      <c r="EU37" s="841"/>
      <c r="EV37" s="841"/>
      <c r="EW37" s="841"/>
      <c r="EX37" s="841"/>
      <c r="EY37" s="841"/>
      <c r="EZ37" s="841"/>
      <c r="FA37" s="841"/>
      <c r="FB37" s="841"/>
      <c r="FC37" s="841"/>
      <c r="FD37" s="841"/>
      <c r="FE37" s="841"/>
      <c r="FF37" s="841"/>
      <c r="FG37" s="841"/>
      <c r="FH37" s="841"/>
      <c r="FI37" s="841"/>
      <c r="FJ37" s="841"/>
      <c r="FK37" s="841"/>
      <c r="FL37" s="841"/>
      <c r="FM37" s="841"/>
      <c r="FN37" s="841"/>
      <c r="FO37" s="841"/>
      <c r="FP37" s="841"/>
      <c r="FQ37" s="841"/>
      <c r="FR37" s="841"/>
      <c r="FS37" s="841"/>
      <c r="FT37" s="841"/>
      <c r="FU37" s="841"/>
      <c r="FV37" s="841"/>
      <c r="FW37" s="841"/>
      <c r="FX37" s="841"/>
      <c r="FY37" s="841"/>
      <c r="FZ37" s="841"/>
      <c r="GA37" s="841"/>
      <c r="GB37" s="841"/>
      <c r="GC37" s="841"/>
      <c r="GD37" s="841"/>
      <c r="GE37" s="841"/>
      <c r="GF37" s="841"/>
      <c r="GG37" s="841"/>
      <c r="GH37" s="841"/>
      <c r="GI37" s="841"/>
      <c r="GJ37" s="841"/>
      <c r="GK37" s="841"/>
      <c r="GL37" s="841"/>
      <c r="GM37" s="841"/>
      <c r="GN37" s="841"/>
      <c r="GO37" s="841"/>
      <c r="GP37" s="841"/>
      <c r="GQ37" s="841"/>
      <c r="GR37" s="841"/>
      <c r="GS37" s="841"/>
      <c r="GT37" s="841"/>
      <c r="GU37" s="841"/>
      <c r="GV37" s="841"/>
      <c r="GW37" s="841"/>
      <c r="GX37" s="841"/>
      <c r="GY37" s="841"/>
      <c r="GZ37" s="841"/>
      <c r="HA37" s="841"/>
      <c r="HB37" s="841"/>
      <c r="HC37" s="841"/>
      <c r="HD37" s="841"/>
      <c r="HE37" s="841"/>
      <c r="HF37" s="841"/>
      <c r="HG37" s="841"/>
      <c r="HH37" s="841"/>
      <c r="HI37" s="841"/>
      <c r="HJ37" s="841"/>
      <c r="HK37" s="841"/>
      <c r="HL37" s="841"/>
      <c r="HM37" s="841"/>
      <c r="HN37" s="841"/>
      <c r="HO37" s="841"/>
    </row>
    <row r="38" spans="1:223" ht="21" customHeight="1">
      <c r="B38" s="1212"/>
      <c r="C38" s="1212"/>
      <c r="D38" s="1212"/>
      <c r="E38" s="1212"/>
      <c r="F38" s="1260"/>
      <c r="G38" s="1212"/>
      <c r="H38" s="1212"/>
      <c r="I38" s="1212"/>
      <c r="J38" s="1212"/>
      <c r="K38" s="1212"/>
      <c r="L38" s="1216"/>
      <c r="M38" s="1212"/>
      <c r="N38" s="1212"/>
      <c r="O38" s="1212"/>
      <c r="P38" s="1212"/>
      <c r="Q38" s="1212"/>
      <c r="R38" s="1217"/>
      <c r="S38" s="1212"/>
      <c r="T38" s="1212"/>
      <c r="U38" s="1212"/>
      <c r="V38" s="1212"/>
      <c r="W38" s="1218"/>
      <c r="X38" s="1215"/>
      <c r="Y38" s="1215"/>
      <c r="Z38" s="1215"/>
      <c r="AA38" s="1215"/>
      <c r="AB38" s="1215"/>
      <c r="AC38" s="1215"/>
      <c r="AD38" s="1215"/>
      <c r="AE38" s="1215"/>
      <c r="AF38" s="1215"/>
      <c r="AM38" s="868"/>
      <c r="AN38" s="868"/>
      <c r="AO38" s="868"/>
      <c r="AP38" s="868"/>
      <c r="AQ38" s="868"/>
      <c r="AR38" s="868"/>
      <c r="CA38" s="1503" t="s">
        <v>394</v>
      </c>
      <c r="CB38" s="1500"/>
      <c r="CC38" s="1503"/>
      <c r="CD38" s="1498" t="s">
        <v>1995</v>
      </c>
      <c r="CE38" s="1501" t="str">
        <f>IF(D17&lt;&gt;"Óptima","Agente Centralita Virtual","")</f>
        <v>Agente Centralita Virtual</v>
      </c>
      <c r="CF38" s="1501" t="s">
        <v>391</v>
      </c>
      <c r="CG38" s="1501" t="s">
        <v>1213</v>
      </c>
      <c r="CH38" s="2018" t="s">
        <v>2000</v>
      </c>
      <c r="CI38" s="1502" t="s">
        <v>181</v>
      </c>
      <c r="CJ38" s="1501" t="s">
        <v>1255</v>
      </c>
      <c r="CK38" s="1501" t="s">
        <v>1260</v>
      </c>
      <c r="CL38" s="1501" t="s">
        <v>1261</v>
      </c>
      <c r="CM38" s="1501" t="s">
        <v>1265</v>
      </c>
      <c r="CN38" s="1501" t="s">
        <v>1271</v>
      </c>
      <c r="CO38" s="1490"/>
      <c r="CP38" s="1490"/>
      <c r="CR38" s="1489"/>
      <c r="CS38" s="1489"/>
      <c r="CT38" s="1507"/>
      <c r="CU38" s="1507"/>
      <c r="CV38" s="1507"/>
      <c r="CW38" s="1507"/>
      <c r="CX38" s="1507"/>
      <c r="CY38" s="1507"/>
      <c r="CZ38" s="1507"/>
      <c r="DA38" s="1507"/>
      <c r="DB38" s="1507"/>
      <c r="DS38" s="841"/>
      <c r="DT38" s="841"/>
      <c r="DU38" s="841"/>
      <c r="DV38" s="841"/>
      <c r="DW38" s="841"/>
      <c r="DX38" s="841"/>
      <c r="DY38" s="841"/>
      <c r="DZ38" s="841"/>
      <c r="EA38" s="841"/>
      <c r="EB38" s="841"/>
      <c r="EC38" s="841"/>
      <c r="ED38" s="841"/>
      <c r="EE38" s="841"/>
      <c r="EF38" s="841"/>
      <c r="EG38" s="841"/>
      <c r="EH38" s="841"/>
      <c r="EI38" s="841"/>
      <c r="EJ38" s="841"/>
      <c r="EK38" s="841"/>
      <c r="EL38" s="841"/>
      <c r="EM38" s="841"/>
      <c r="EN38" s="841"/>
      <c r="EO38" s="841"/>
      <c r="EP38" s="841"/>
      <c r="EQ38" s="841"/>
      <c r="ER38" s="841"/>
      <c r="ES38" s="841"/>
      <c r="ET38" s="841"/>
      <c r="EU38" s="841"/>
      <c r="EV38" s="841"/>
      <c r="EW38" s="841"/>
      <c r="EX38" s="841"/>
      <c r="EY38" s="841"/>
      <c r="EZ38" s="841"/>
      <c r="FA38" s="841"/>
      <c r="FB38" s="841"/>
      <c r="FC38" s="841"/>
      <c r="FD38" s="841"/>
      <c r="FE38" s="841"/>
      <c r="FF38" s="841"/>
      <c r="FG38" s="841"/>
      <c r="FH38" s="841"/>
      <c r="FI38" s="841"/>
      <c r="FJ38" s="841"/>
      <c r="FK38" s="841"/>
      <c r="FL38" s="841"/>
      <c r="FM38" s="841"/>
      <c r="FN38" s="841"/>
      <c r="FO38" s="841"/>
      <c r="FP38" s="841"/>
      <c r="FQ38" s="841"/>
      <c r="FR38" s="841"/>
      <c r="FS38" s="841"/>
      <c r="FT38" s="841"/>
      <c r="FU38" s="841"/>
      <c r="FV38" s="841"/>
      <c r="FW38" s="841"/>
      <c r="FX38" s="841"/>
      <c r="FY38" s="841"/>
      <c r="FZ38" s="841"/>
      <c r="GA38" s="841"/>
      <c r="GB38" s="841"/>
      <c r="GC38" s="841"/>
      <c r="GD38" s="841"/>
      <c r="GE38" s="841"/>
      <c r="GF38" s="841"/>
      <c r="GG38" s="841"/>
      <c r="GH38" s="841"/>
      <c r="GI38" s="841"/>
      <c r="GJ38" s="841"/>
      <c r="GK38" s="841"/>
      <c r="GL38" s="841"/>
      <c r="GM38" s="841"/>
      <c r="GN38" s="841"/>
      <c r="GO38" s="841"/>
      <c r="GP38" s="841"/>
      <c r="GQ38" s="841"/>
      <c r="GR38" s="841"/>
      <c r="GS38" s="841"/>
      <c r="GT38" s="841"/>
      <c r="GU38" s="841"/>
      <c r="GV38" s="841"/>
      <c r="GW38" s="841"/>
      <c r="GX38" s="841"/>
      <c r="GY38" s="841"/>
      <c r="GZ38" s="841"/>
      <c r="HA38" s="841"/>
      <c r="HB38" s="841"/>
      <c r="HC38" s="841"/>
      <c r="HD38" s="841"/>
      <c r="HE38" s="841"/>
      <c r="HF38" s="841"/>
      <c r="HG38" s="841"/>
      <c r="HH38" s="841"/>
      <c r="HI38" s="841"/>
      <c r="HJ38" s="841"/>
      <c r="HK38" s="841"/>
      <c r="HL38" s="841"/>
      <c r="HM38" s="841"/>
      <c r="HN38" s="841"/>
      <c r="HO38" s="841"/>
    </row>
    <row r="39" spans="1:223" s="873" customFormat="1" ht="21" customHeight="1" thickBot="1">
      <c r="A39" s="869"/>
      <c r="B39" s="1206" t="s">
        <v>2080</v>
      </c>
      <c r="C39" s="1219"/>
      <c r="D39" s="1206">
        <v>1</v>
      </c>
      <c r="E39" s="1219"/>
      <c r="F39" s="1206">
        <v>1</v>
      </c>
      <c r="G39" s="1219"/>
      <c r="H39" s="1206" t="s">
        <v>1995</v>
      </c>
      <c r="I39" s="1219"/>
      <c r="J39" s="2104"/>
      <c r="K39" s="2105"/>
      <c r="L39" s="2106"/>
      <c r="M39" s="1219"/>
      <c r="N39" s="1206"/>
      <c r="O39" s="1219"/>
      <c r="P39" s="1220">
        <f>IF(AND(D39&gt;0,ISBLANK(H39)),"Falta prod voz",(IF(ISBLANK(H39),0,VLOOKUP(H39,Calculos_cuotas!$A$12:$C$20,3,FALSE))+IF(ISBLANK(J39),0,VLOOKUP(J39,Calculos_cuotas!$G$9:$H$11,2,FALSE))+Calculos_cuotas!$C$21))</f>
        <v>53</v>
      </c>
      <c r="Q39" s="1219"/>
      <c r="R39" s="1220">
        <f>IF(P39="Falta prod voz", "ND",D39*P39)</f>
        <v>53</v>
      </c>
      <c r="S39" s="1219"/>
      <c r="T39" s="1206"/>
      <c r="U39" s="1219"/>
      <c r="V39" s="1221">
        <f>IF(AND(T39="Sí",$D$17&lt;&gt;"Preaprobadas"),Calculos_cuotas!$W$47,0%)</f>
        <v>0</v>
      </c>
      <c r="W39" s="1222">
        <f>V39*R39</f>
        <v>0</v>
      </c>
      <c r="X39" s="1221">
        <f>IF(P39="Falta prod voz","ND",IF($D$17="Óptima RPV",IF(($R$82+$L$111)&lt;Calculos_cuotas!$Y$34,Calculos_cuotas!$Z$34,IF(($R$82+$L$111)&lt;Calculos_cuotas!$Y$35,Calculos_cuotas!$Z$35,IF(($R$82+$L$111)&lt;Calculos_cuotas!$Y$36,Calculos_cuotas!$Z$36,IF(($R$82+$L$111)&lt;Calculos_cuotas!$Y$37,Calculos_cuotas!$Z$37,Calculos_cuotas!$Z$38)))),0%))</f>
        <v>0.1</v>
      </c>
      <c r="Y39" s="1215"/>
      <c r="Z39" s="1220">
        <f>IF(OR(P39="Falta prod voz",$M$33&gt;0),"ND",IF($D$17&lt;&gt;"Preaprobadas",P39*(1-V39-X39),IF($J$17="Cartera Orange", IF(ISBLANK(H39),0,VLOOKUP(H39,$J$21:$L$29,3,FALSE))+IF(ISBLANK(J39),0,VLOOKUP(J39,$J$30:$L$32,3,FALSE)),IF(ISBLANK(H39),0,VLOOKUP(H39,Calculos_cuotas!$A$183:$F$191,1+Calculos_cuotas!$B$177,FALSE))+IF(ISBLANK(J39),0,VLOOKUP(J39,Calculos_cuotas!$A$192:$F$194,1+Calculos_cuotas!$B$177,FALSE)))))</f>
        <v>47.7</v>
      </c>
      <c r="AA39" s="1228"/>
      <c r="AB39" s="1220">
        <f>IF(Z39="ND","ND",D39*Z39)</f>
        <v>47.7</v>
      </c>
      <c r="AC39" s="1215"/>
      <c r="AD39" s="1221">
        <f>IF($D$17&lt;&gt;"Preaprobadas",Calculos_cuotas!$W$43,0%)</f>
        <v>0.1</v>
      </c>
      <c r="AE39" s="1215"/>
      <c r="AF39" s="1220">
        <f>IF(OR(P39="Falta prod voz",$M$33&gt;0),"ND",IF($D$17&lt;&gt;"Preaprobadas",P39*(1-V39-X39-AD39),IF($J$17="Cartera Orange", IF(ISBLANK(H39),0,VLOOKUP(H39,$J$21:$L$29,3,FALSE))+IF(ISBLANK(J39),0,VLOOKUP(J39,$J$30:$L$32,3,FALSE)),IF(Calculos_cuotas!$T$43&gt;0%,IF(ISBLANK(H39),0,VLOOKUP(H39,Calculos_cuotas!$A$198:$F$209,1+Calculos_cuotas!$B$177,FALSE))+IF(ISBLANK(J39),0,VLOOKUP(J39,Calculos_cuotas!$A$207:$F$209,1+Calculos_cuotas!$B$177,FALSE)),Z39))))</f>
        <v>42.400000000000006</v>
      </c>
      <c r="AG39" s="1219"/>
      <c r="AH39" s="1220">
        <f>IF(D77=1,"N/D",IF(AF39="ND","ND",D39*AF39))</f>
        <v>42.400000000000006</v>
      </c>
      <c r="AI39" s="869"/>
      <c r="AJ39" s="869"/>
      <c r="AK39" s="869"/>
      <c r="AL39" s="869"/>
      <c r="AM39" s="1348"/>
      <c r="AN39" s="1348"/>
      <c r="AO39" s="1348"/>
      <c r="AP39" s="1348"/>
      <c r="AQ39" s="1348"/>
      <c r="AR39" s="1348"/>
      <c r="AS39" s="1348"/>
      <c r="AT39" s="872"/>
      <c r="AU39" s="872"/>
      <c r="AV39" s="872"/>
      <c r="AW39" s="872"/>
      <c r="AX39" s="872"/>
      <c r="AY39" s="872"/>
      <c r="AZ39" s="872"/>
      <c r="BA39" s="872"/>
      <c r="BB39" s="872"/>
      <c r="BC39" s="872"/>
      <c r="BD39" s="872"/>
      <c r="BE39" s="872"/>
      <c r="BF39" s="872"/>
      <c r="BG39" s="872"/>
      <c r="BH39" s="872"/>
      <c r="BI39" s="872"/>
      <c r="BJ39" s="872"/>
      <c r="BK39" s="872"/>
      <c r="BL39" s="872"/>
      <c r="BM39" s="872"/>
      <c r="BN39" s="872"/>
      <c r="BO39" s="872"/>
      <c r="BP39" s="872"/>
      <c r="BQ39" s="872"/>
      <c r="BR39" s="872"/>
      <c r="BS39" s="872"/>
      <c r="BT39" s="872"/>
      <c r="BU39" s="872"/>
      <c r="BV39" s="872"/>
      <c r="BW39" s="872"/>
      <c r="BX39" s="872"/>
      <c r="BY39" s="872"/>
      <c r="BZ39" s="871"/>
      <c r="CA39" s="871" t="s">
        <v>378</v>
      </c>
      <c r="CB39" s="871"/>
      <c r="CC39" s="871"/>
      <c r="CD39" s="1494" t="s">
        <v>1996</v>
      </c>
      <c r="CE39" s="1501" t="str">
        <f>IF(D17&lt;&gt;"Óptima","Fijo en el Móvil + CV","")</f>
        <v>Fijo en el Móvil + CV</v>
      </c>
      <c r="CF39" s="1501" t="s">
        <v>392</v>
      </c>
      <c r="CG39" s="1501" t="s">
        <v>1867</v>
      </c>
      <c r="CH39" s="2019" t="s">
        <v>754</v>
      </c>
      <c r="CI39" s="1490"/>
      <c r="CJ39" s="1501" t="s">
        <v>1256</v>
      </c>
      <c r="CK39" s="1501"/>
      <c r="CL39" s="1494" t="s">
        <v>1262</v>
      </c>
      <c r="CM39" s="1494" t="s">
        <v>1266</v>
      </c>
      <c r="CN39" s="1501" t="s">
        <v>1272</v>
      </c>
      <c r="CO39" s="1494"/>
      <c r="CP39" s="1494"/>
      <c r="CQ39" s="1494"/>
      <c r="CR39" s="1494"/>
      <c r="CS39" s="1494"/>
      <c r="CT39" s="2024"/>
      <c r="CU39" s="2024"/>
      <c r="CV39" s="2024"/>
      <c r="CW39" s="2024"/>
      <c r="CX39" s="2024"/>
      <c r="CY39" s="2024"/>
      <c r="CZ39" s="2024"/>
      <c r="DA39" s="2024"/>
      <c r="DB39" s="2024"/>
      <c r="DC39" s="1505"/>
      <c r="DD39" s="1505"/>
      <c r="DE39" s="872"/>
      <c r="DF39" s="872"/>
      <c r="DG39" s="872"/>
      <c r="DH39" s="872"/>
      <c r="DI39" s="872"/>
      <c r="DJ39" s="872"/>
      <c r="DK39" s="872"/>
      <c r="DL39" s="872"/>
      <c r="DM39" s="872"/>
      <c r="DN39" s="872"/>
      <c r="DO39" s="872"/>
      <c r="DP39" s="872"/>
      <c r="DQ39" s="872"/>
      <c r="DR39" s="872"/>
      <c r="DS39" s="871"/>
      <c r="DT39" s="871"/>
      <c r="DU39" s="871"/>
      <c r="DV39" s="871"/>
      <c r="DW39" s="871"/>
      <c r="DX39" s="871"/>
      <c r="DY39" s="871"/>
      <c r="DZ39" s="871"/>
      <c r="EA39" s="871"/>
      <c r="EB39" s="871"/>
      <c r="EC39" s="871"/>
      <c r="ED39" s="871"/>
      <c r="EE39" s="871"/>
      <c r="EF39" s="871"/>
      <c r="EG39" s="871"/>
      <c r="EH39" s="871"/>
      <c r="EI39" s="871"/>
      <c r="EJ39" s="871"/>
      <c r="EK39" s="871"/>
      <c r="EL39" s="871"/>
      <c r="EM39" s="871"/>
      <c r="EN39" s="871"/>
      <c r="EO39" s="871"/>
      <c r="EP39" s="871"/>
      <c r="EQ39" s="871"/>
      <c r="ER39" s="871"/>
      <c r="ES39" s="871"/>
      <c r="ET39" s="871"/>
      <c r="EU39" s="871"/>
      <c r="EV39" s="871"/>
      <c r="EW39" s="871"/>
      <c r="EX39" s="871"/>
      <c r="EY39" s="871"/>
      <c r="EZ39" s="871"/>
      <c r="FA39" s="871"/>
      <c r="FB39" s="871"/>
      <c r="FC39" s="871"/>
      <c r="FD39" s="871"/>
      <c r="FE39" s="871"/>
      <c r="FF39" s="871"/>
      <c r="FG39" s="871"/>
      <c r="FH39" s="871"/>
      <c r="FI39" s="871"/>
      <c r="FJ39" s="871"/>
      <c r="FK39" s="871"/>
      <c r="FL39" s="871"/>
      <c r="FM39" s="871"/>
      <c r="FN39" s="871"/>
      <c r="FO39" s="871"/>
      <c r="FP39" s="871"/>
      <c r="FQ39" s="871"/>
      <c r="FR39" s="871"/>
      <c r="FS39" s="871"/>
      <c r="FT39" s="871"/>
      <c r="FU39" s="871"/>
      <c r="FV39" s="871"/>
      <c r="FW39" s="871"/>
      <c r="FX39" s="871"/>
      <c r="FY39" s="871"/>
      <c r="FZ39" s="871"/>
      <c r="GA39" s="871"/>
      <c r="GB39" s="871"/>
      <c r="GC39" s="871"/>
      <c r="GD39" s="871"/>
      <c r="GE39" s="871"/>
      <c r="GF39" s="871"/>
      <c r="GG39" s="871"/>
      <c r="GH39" s="871"/>
      <c r="GI39" s="871"/>
      <c r="GJ39" s="871"/>
      <c r="GK39" s="871"/>
      <c r="GL39" s="871"/>
      <c r="GM39" s="871"/>
      <c r="GN39" s="871"/>
      <c r="GO39" s="871"/>
      <c r="GP39" s="871"/>
      <c r="GQ39" s="871"/>
      <c r="GR39" s="871"/>
      <c r="GS39" s="871"/>
      <c r="GT39" s="871"/>
      <c r="GU39" s="871"/>
      <c r="GV39" s="871"/>
      <c r="GW39" s="871"/>
      <c r="GX39" s="871"/>
      <c r="GY39" s="871"/>
      <c r="GZ39" s="871"/>
      <c r="HA39" s="871"/>
      <c r="HB39" s="871"/>
      <c r="HC39" s="871"/>
      <c r="HD39" s="871"/>
      <c r="HE39" s="871"/>
      <c r="HF39" s="871"/>
      <c r="HG39" s="871"/>
      <c r="HH39" s="871"/>
      <c r="HI39" s="871"/>
      <c r="HJ39" s="871"/>
      <c r="HK39" s="871"/>
      <c r="HL39" s="871"/>
      <c r="HM39" s="871"/>
      <c r="HN39" s="871"/>
      <c r="HO39" s="871"/>
    </row>
    <row r="40" spans="1:223" ht="1.5" customHeight="1" thickTop="1">
      <c r="B40" s="1212"/>
      <c r="C40" s="1212"/>
      <c r="D40" s="1212"/>
      <c r="E40" s="1212"/>
      <c r="F40" s="1260"/>
      <c r="G40" s="1212"/>
      <c r="H40" s="1212"/>
      <c r="I40" s="1212"/>
      <c r="J40" s="1212"/>
      <c r="K40" s="1212"/>
      <c r="L40" s="1216"/>
      <c r="M40" s="1212"/>
      <c r="N40" s="1212"/>
      <c r="O40" s="1212"/>
      <c r="P40" s="1212"/>
      <c r="Q40" s="1212"/>
      <c r="R40" s="1217"/>
      <c r="S40" s="1212"/>
      <c r="T40" s="1212"/>
      <c r="U40" s="1212"/>
      <c r="V40" s="1212"/>
      <c r="W40" s="1218"/>
      <c r="X40" s="1215"/>
      <c r="Y40" s="1215"/>
      <c r="Z40" s="1215"/>
      <c r="AA40" s="1215"/>
      <c r="AB40" s="1215"/>
      <c r="AC40" s="1215"/>
      <c r="AD40" s="1215"/>
      <c r="AE40" s="1215"/>
      <c r="AF40" s="1215"/>
      <c r="AH40" s="1215"/>
      <c r="AM40" s="868"/>
      <c r="AN40" s="868"/>
      <c r="AO40" s="868"/>
      <c r="AP40" s="868"/>
      <c r="AQ40" s="868"/>
      <c r="AR40" s="868"/>
      <c r="CA40" s="1500"/>
      <c r="CB40" s="1500"/>
      <c r="CD40" s="1498" t="s">
        <v>1081</v>
      </c>
      <c r="CE40" s="1501"/>
      <c r="CF40" s="1501"/>
      <c r="CG40" s="1501" t="s">
        <v>1079</v>
      </c>
      <c r="CH40" s="2019" t="s">
        <v>427</v>
      </c>
      <c r="CJ40" s="1501" t="s">
        <v>1257</v>
      </c>
      <c r="CK40" s="1501"/>
      <c r="CL40" s="1501" t="s">
        <v>1263</v>
      </c>
      <c r="CM40" s="1501" t="s">
        <v>1267</v>
      </c>
      <c r="CN40" s="1501"/>
      <c r="CO40" s="1490"/>
      <c r="CP40" s="1490"/>
      <c r="CR40" s="1489"/>
      <c r="CS40" s="1489"/>
      <c r="CT40" s="1507"/>
      <c r="CU40" s="1507"/>
      <c r="CV40" s="1507"/>
      <c r="CW40" s="1507"/>
      <c r="CX40" s="1507"/>
      <c r="CY40" s="1507"/>
      <c r="CZ40" s="1507"/>
      <c r="DA40" s="1507"/>
      <c r="DB40" s="1507"/>
      <c r="DS40" s="841"/>
      <c r="DT40" s="841"/>
      <c r="DU40" s="841"/>
      <c r="DV40" s="841"/>
      <c r="DW40" s="841"/>
      <c r="DX40" s="841"/>
      <c r="DY40" s="841"/>
      <c r="DZ40" s="841"/>
      <c r="EA40" s="841"/>
      <c r="EB40" s="841"/>
      <c r="EC40" s="841"/>
      <c r="ED40" s="841"/>
      <c r="EE40" s="841"/>
      <c r="EF40" s="841"/>
      <c r="EG40" s="841"/>
      <c r="EH40" s="841"/>
      <c r="EI40" s="841"/>
      <c r="EJ40" s="841"/>
      <c r="EK40" s="841"/>
      <c r="EL40" s="841"/>
      <c r="EM40" s="841"/>
      <c r="EN40" s="841"/>
      <c r="EO40" s="841"/>
      <c r="EP40" s="841"/>
      <c r="EQ40" s="841"/>
      <c r="ER40" s="841"/>
      <c r="ES40" s="841"/>
      <c r="ET40" s="841"/>
      <c r="EU40" s="841"/>
      <c r="EV40" s="841"/>
      <c r="EW40" s="841"/>
      <c r="EX40" s="841"/>
      <c r="EY40" s="841"/>
      <c r="EZ40" s="841"/>
      <c r="FA40" s="841"/>
      <c r="FB40" s="841"/>
      <c r="FC40" s="841"/>
      <c r="FD40" s="841"/>
      <c r="FE40" s="841"/>
      <c r="FF40" s="841"/>
      <c r="FG40" s="841"/>
      <c r="FH40" s="841"/>
      <c r="FI40" s="841"/>
      <c r="FJ40" s="841"/>
      <c r="FK40" s="841"/>
      <c r="FL40" s="841"/>
      <c r="FM40" s="841"/>
      <c r="FN40" s="841"/>
      <c r="FO40" s="841"/>
      <c r="FP40" s="841"/>
      <c r="FQ40" s="841"/>
      <c r="FR40" s="841"/>
      <c r="FS40" s="841"/>
      <c r="FT40" s="841"/>
      <c r="FU40" s="841"/>
      <c r="FV40" s="841"/>
      <c r="FW40" s="841"/>
      <c r="FX40" s="841"/>
      <c r="FY40" s="841"/>
      <c r="FZ40" s="841"/>
      <c r="GA40" s="841"/>
      <c r="GB40" s="841"/>
      <c r="GC40" s="841"/>
      <c r="GD40" s="841"/>
      <c r="GE40" s="841"/>
      <c r="GF40" s="841"/>
      <c r="GG40" s="841"/>
      <c r="GH40" s="841"/>
      <c r="GI40" s="841"/>
      <c r="GJ40" s="841"/>
      <c r="GK40" s="841"/>
      <c r="GL40" s="841"/>
      <c r="GM40" s="841"/>
      <c r="GN40" s="841"/>
      <c r="GO40" s="841"/>
      <c r="GP40" s="841"/>
      <c r="GQ40" s="841"/>
      <c r="GR40" s="841"/>
      <c r="GS40" s="841"/>
      <c r="GT40" s="841"/>
      <c r="GU40" s="841"/>
      <c r="GV40" s="841"/>
      <c r="GW40" s="841"/>
      <c r="GX40" s="841"/>
      <c r="GY40" s="841"/>
      <c r="GZ40" s="841"/>
      <c r="HA40" s="841"/>
      <c r="HB40" s="841"/>
      <c r="HC40" s="841"/>
      <c r="HD40" s="841"/>
      <c r="HE40" s="841"/>
      <c r="HF40" s="841"/>
      <c r="HG40" s="841"/>
      <c r="HH40" s="841"/>
      <c r="HI40" s="841"/>
      <c r="HJ40" s="841"/>
      <c r="HK40" s="841"/>
      <c r="HL40" s="841"/>
      <c r="HM40" s="841"/>
      <c r="HN40" s="841"/>
      <c r="HO40" s="841"/>
    </row>
    <row r="41" spans="1:223" ht="14.1" customHeight="1">
      <c r="B41" s="1212"/>
      <c r="C41" s="1212"/>
      <c r="D41" s="1212"/>
      <c r="E41" s="1212"/>
      <c r="F41" s="1260"/>
      <c r="G41" s="1212"/>
      <c r="H41" s="1212"/>
      <c r="I41" s="1212"/>
      <c r="J41" s="1212"/>
      <c r="K41" s="1212"/>
      <c r="L41" s="1216"/>
      <c r="M41" s="1212"/>
      <c r="N41" s="1212"/>
      <c r="O41" s="1212"/>
      <c r="P41" s="1212"/>
      <c r="Q41" s="1212"/>
      <c r="R41" s="1217"/>
      <c r="S41" s="1212"/>
      <c r="T41" s="1212"/>
      <c r="U41" s="1212"/>
      <c r="V41" s="1212"/>
      <c r="W41" s="1218"/>
      <c r="X41" s="1215"/>
      <c r="Y41" s="1215"/>
      <c r="Z41" s="1215"/>
      <c r="AA41" s="1215"/>
      <c r="AB41" s="1215"/>
      <c r="AC41" s="1215"/>
      <c r="AD41" s="1215"/>
      <c r="AE41" s="1215"/>
      <c r="AF41" s="1215"/>
      <c r="AH41" s="1215"/>
      <c r="AM41" s="868"/>
      <c r="AN41" s="868"/>
      <c r="AO41" s="868"/>
      <c r="AP41" s="868"/>
      <c r="AQ41" s="868"/>
      <c r="AR41" s="868"/>
      <c r="CD41" s="1491" t="s">
        <v>1082</v>
      </c>
      <c r="CE41" s="1501"/>
      <c r="CF41" s="1501"/>
      <c r="CG41" s="1501" t="s">
        <v>1078</v>
      </c>
      <c r="CH41" s="2019" t="s">
        <v>755</v>
      </c>
      <c r="CI41" s="1502" t="s">
        <v>1283</v>
      </c>
      <c r="CJ41" s="1501" t="s">
        <v>1259</v>
      </c>
      <c r="CK41" s="1501"/>
      <c r="CL41" s="1491" t="s">
        <v>1264</v>
      </c>
      <c r="CM41" s="1491"/>
      <c r="CN41" s="1491"/>
      <c r="CR41" s="1489"/>
      <c r="CS41" s="1489"/>
      <c r="CT41" s="1507"/>
      <c r="CU41" s="1507"/>
      <c r="CV41" s="1507"/>
      <c r="CW41" s="1507"/>
      <c r="CX41" s="1507"/>
      <c r="CY41" s="1507"/>
      <c r="CZ41" s="1507"/>
      <c r="DA41" s="1507"/>
      <c r="DB41" s="1507"/>
      <c r="DS41" s="841"/>
      <c r="DT41" s="841"/>
      <c r="DU41" s="841"/>
      <c r="DV41" s="841"/>
      <c r="DW41" s="841"/>
      <c r="DX41" s="841"/>
      <c r="DY41" s="841"/>
      <c r="DZ41" s="841"/>
      <c r="EA41" s="841"/>
      <c r="EB41" s="841"/>
      <c r="EC41" s="841"/>
      <c r="ED41" s="841"/>
      <c r="EE41" s="841"/>
      <c r="EF41" s="841"/>
      <c r="EG41" s="841"/>
      <c r="EH41" s="841"/>
      <c r="EI41" s="841"/>
      <c r="EJ41" s="841"/>
      <c r="EK41" s="841"/>
      <c r="EL41" s="841"/>
      <c r="EM41" s="841"/>
      <c r="EN41" s="841"/>
      <c r="EO41" s="841"/>
      <c r="EP41" s="841"/>
      <c r="EQ41" s="841"/>
      <c r="ER41" s="841"/>
      <c r="ES41" s="841"/>
      <c r="ET41" s="841"/>
      <c r="EU41" s="841"/>
      <c r="EV41" s="841"/>
      <c r="EW41" s="841"/>
      <c r="EX41" s="841"/>
      <c r="EY41" s="841"/>
      <c r="EZ41" s="841"/>
      <c r="FA41" s="841"/>
      <c r="FB41" s="841"/>
      <c r="FC41" s="841"/>
      <c r="FD41" s="841"/>
      <c r="FE41" s="841"/>
      <c r="FF41" s="841"/>
      <c r="FG41" s="841"/>
      <c r="FH41" s="841"/>
      <c r="FI41" s="841"/>
      <c r="FJ41" s="841"/>
      <c r="FK41" s="841"/>
      <c r="FL41" s="841"/>
      <c r="FM41" s="841"/>
      <c r="FN41" s="841"/>
      <c r="FO41" s="841"/>
      <c r="FP41" s="841"/>
      <c r="FQ41" s="841"/>
      <c r="FR41" s="841"/>
      <c r="FS41" s="841"/>
      <c r="FT41" s="841"/>
      <c r="FU41" s="841"/>
      <c r="FV41" s="841"/>
      <c r="FW41" s="841"/>
      <c r="FX41" s="841"/>
      <c r="FY41" s="841"/>
      <c r="FZ41" s="841"/>
      <c r="GA41" s="841"/>
      <c r="GB41" s="841"/>
      <c r="GC41" s="841"/>
      <c r="GD41" s="841"/>
      <c r="GE41" s="841"/>
      <c r="GF41" s="841"/>
      <c r="GG41" s="841"/>
      <c r="GH41" s="841"/>
      <c r="GI41" s="841"/>
      <c r="GJ41" s="841"/>
      <c r="GK41" s="841"/>
      <c r="GL41" s="841"/>
      <c r="GM41" s="841"/>
      <c r="GN41" s="841"/>
      <c r="GO41" s="841"/>
      <c r="GP41" s="841"/>
      <c r="GQ41" s="841"/>
      <c r="GR41" s="841"/>
      <c r="GS41" s="841"/>
      <c r="GT41" s="841"/>
      <c r="GU41" s="841"/>
      <c r="GV41" s="841"/>
      <c r="GW41" s="841"/>
      <c r="GX41" s="841"/>
      <c r="GY41" s="841"/>
      <c r="GZ41" s="841"/>
      <c r="HA41" s="841"/>
      <c r="HB41" s="841"/>
      <c r="HC41" s="841"/>
      <c r="HD41" s="841"/>
      <c r="HE41" s="841"/>
      <c r="HF41" s="841"/>
      <c r="HG41" s="841"/>
      <c r="HH41" s="841"/>
      <c r="HI41" s="841"/>
      <c r="HJ41" s="841"/>
      <c r="HK41" s="841"/>
      <c r="HL41" s="841"/>
      <c r="HM41" s="841"/>
      <c r="HN41" s="841"/>
      <c r="HO41" s="841"/>
    </row>
    <row r="42" spans="1:223" s="873" customFormat="1" ht="21" customHeight="1" thickBot="1">
      <c r="A42" s="869"/>
      <c r="B42" s="1206" t="s">
        <v>2081</v>
      </c>
      <c r="C42" s="1219"/>
      <c r="D42" s="1206">
        <v>1</v>
      </c>
      <c r="E42" s="1219"/>
      <c r="F42" s="1206">
        <v>1</v>
      </c>
      <c r="G42" s="1219"/>
      <c r="H42" s="1206" t="s">
        <v>1995</v>
      </c>
      <c r="I42" s="1219"/>
      <c r="J42" s="2104"/>
      <c r="K42" s="2105"/>
      <c r="L42" s="2106"/>
      <c r="M42" s="1219"/>
      <c r="N42" s="1206"/>
      <c r="O42" s="1219"/>
      <c r="P42" s="1220">
        <f>IF(AND(D42&gt;0,ISBLANK(H42)),"Falta prod voz",(IF(ISBLANK(H42),0,VLOOKUP(H42,Calculos_cuotas!$A$12:$C$20,3,FALSE))+IF(ISBLANK(J42),0,VLOOKUP(J42,Calculos_cuotas!$G$9:$H$11,2,FALSE))+Calculos_cuotas!$C$21))</f>
        <v>53</v>
      </c>
      <c r="Q42" s="1219"/>
      <c r="R42" s="1220">
        <f>IF(P42="Falta prod voz", "ND",D42*P42)</f>
        <v>53</v>
      </c>
      <c r="S42" s="1219"/>
      <c r="T42" s="1206"/>
      <c r="U42" s="1219"/>
      <c r="V42" s="1221">
        <f>IF(AND(T42="Sí",$D$17&lt;&gt;"Preaprobadas"),Calculos_cuotas!$W$47,0%)</f>
        <v>0</v>
      </c>
      <c r="W42" s="1222">
        <f>V42*R42</f>
        <v>0</v>
      </c>
      <c r="X42" s="1221">
        <f>IF(P42="Falta prod voz","ND",IF($D$17="Óptima RPV",IF(($R$82+$L$111)&lt;Calculos_cuotas!$Y$34,Calculos_cuotas!$Z$34,IF(($R$82+$L$111)&lt;Calculos_cuotas!$Y$35,Calculos_cuotas!$Z$35,IF(($R$82+$L$111)&lt;Calculos_cuotas!$Y$36,Calculos_cuotas!$Z$36,IF(($R$82+$L$111)&lt;Calculos_cuotas!$Y$37,Calculos_cuotas!$Z$37,Calculos_cuotas!$Z$38)))),0%))</f>
        <v>0.1</v>
      </c>
      <c r="Y42" s="1215"/>
      <c r="Z42" s="1220">
        <f>IF(OR(P42="Falta prod voz",$M$33&gt;0),"ND",IF($D$17&lt;&gt;"Preaprobadas",P42*(1-V42-X42),IF($J$17="Cartera Orange", IF(ISBLANK(H42),0,VLOOKUP(H42,$J$21:$L$29,3,FALSE))+IF(ISBLANK(J42),0,VLOOKUP(J42,$J$30:$L$32,3,FALSE)),IF(ISBLANK(H42),0,VLOOKUP(H42,Calculos_cuotas!$A$183:$F$191,1+Calculos_cuotas!$B$177,FALSE))+IF(ISBLANK(J42),0,VLOOKUP(J42,Calculos_cuotas!$A$192:$F$194,1+Calculos_cuotas!$B$177,FALSE)))))</f>
        <v>47.7</v>
      </c>
      <c r="AA42" s="1228"/>
      <c r="AB42" s="1220">
        <f>IF(Z42="ND","ND",D42*Z42)</f>
        <v>47.7</v>
      </c>
      <c r="AC42" s="1215"/>
      <c r="AD42" s="1221">
        <f>IF($D$17&lt;&gt;"Preaprobadas",Calculos_cuotas!$W$43,0%)</f>
        <v>0.1</v>
      </c>
      <c r="AE42" s="1215"/>
      <c r="AF42" s="1220">
        <f>IF(OR(P42="Falta prod voz",$M$33&gt;0),"ND",IF($D$17&lt;&gt;"Preaprobadas",P42*(1-V42-X42-AD42),IF($J$17="Cartera Orange", IF(ISBLANK(H42),0,VLOOKUP(H42,$J$21:$L$29,3,FALSE))+IF(ISBLANK(J42),0,VLOOKUP(J42,$J$30:$L$32,3,FALSE)),IF(Calculos_cuotas!$T$43&gt;0%,IF(ISBLANK(H42),0,VLOOKUP(H42,Calculos_cuotas!$A$198:$F$209,1+Calculos_cuotas!$B$177,FALSE))+IF(ISBLANK(J42),0,VLOOKUP(J42,Calculos_cuotas!$A$207:$F$209,1+Calculos_cuotas!$B$177,FALSE)),Z42))))</f>
        <v>42.400000000000006</v>
      </c>
      <c r="AG42" s="1219"/>
      <c r="AH42" s="1220">
        <f>IF(D77=1,"N/D",IF(AF42="ND","ND",D42*AF42))</f>
        <v>42.400000000000006</v>
      </c>
      <c r="AI42" s="869"/>
      <c r="AJ42" s="869"/>
      <c r="AK42" s="869"/>
      <c r="AL42" s="869"/>
      <c r="AM42" s="1348"/>
      <c r="AN42" s="1348"/>
      <c r="AO42" s="1348"/>
      <c r="AP42" s="1348"/>
      <c r="AQ42" s="1348"/>
      <c r="AR42" s="1348"/>
      <c r="AS42" s="1348"/>
      <c r="AT42" s="872"/>
      <c r="AU42" s="872"/>
      <c r="AV42" s="872"/>
      <c r="AW42" s="872"/>
      <c r="AX42" s="872"/>
      <c r="AY42" s="872"/>
      <c r="AZ42" s="872"/>
      <c r="BA42" s="872"/>
      <c r="BB42" s="872"/>
      <c r="BC42" s="872"/>
      <c r="BD42" s="872"/>
      <c r="BE42" s="872"/>
      <c r="BF42" s="872"/>
      <c r="BG42" s="872"/>
      <c r="BH42" s="872"/>
      <c r="BI42" s="872"/>
      <c r="BJ42" s="872"/>
      <c r="BK42" s="872"/>
      <c r="BL42" s="872"/>
      <c r="BM42" s="872"/>
      <c r="BN42" s="872"/>
      <c r="BO42" s="872"/>
      <c r="BP42" s="872"/>
      <c r="BQ42" s="872"/>
      <c r="BR42" s="872"/>
      <c r="BS42" s="872"/>
      <c r="BT42" s="872"/>
      <c r="BU42" s="872"/>
      <c r="BV42" s="872"/>
      <c r="BW42" s="872"/>
      <c r="BX42" s="872"/>
      <c r="BY42" s="872"/>
      <c r="BZ42" s="871"/>
      <c r="CA42" s="871"/>
      <c r="CB42" s="871"/>
      <c r="CC42" s="871"/>
      <c r="CD42" s="1494" t="s">
        <v>383</v>
      </c>
      <c r="CE42" s="1501"/>
      <c r="CF42" s="1501"/>
      <c r="CG42" s="1490"/>
      <c r="CH42" s="2018" t="s">
        <v>426</v>
      </c>
      <c r="CI42" s="1502" t="s">
        <v>1268</v>
      </c>
      <c r="CJ42" s="1501" t="s">
        <v>1258</v>
      </c>
      <c r="CK42" s="1501"/>
      <c r="CL42" s="1494"/>
      <c r="CM42" s="1494"/>
      <c r="CN42" s="1494"/>
      <c r="CO42" s="1494"/>
      <c r="CP42" s="1494"/>
      <c r="CQ42" s="1494"/>
      <c r="CR42" s="1494"/>
      <c r="CS42" s="1494"/>
      <c r="CT42" s="2024"/>
      <c r="CU42" s="2024"/>
      <c r="CV42" s="2024"/>
      <c r="CW42" s="2024"/>
      <c r="CX42" s="2024"/>
      <c r="CY42" s="2024"/>
      <c r="CZ42" s="2024"/>
      <c r="DA42" s="2024"/>
      <c r="DB42" s="2024"/>
      <c r="DC42" s="1505"/>
      <c r="DD42" s="1505"/>
      <c r="DE42" s="872"/>
      <c r="DF42" s="872"/>
      <c r="DG42" s="872"/>
      <c r="DH42" s="872"/>
      <c r="DI42" s="872"/>
      <c r="DJ42" s="872"/>
      <c r="DK42" s="872"/>
      <c r="DL42" s="872"/>
      <c r="DM42" s="872"/>
      <c r="DN42" s="872"/>
      <c r="DO42" s="872"/>
      <c r="DP42" s="872"/>
      <c r="DQ42" s="872"/>
      <c r="DR42" s="872"/>
      <c r="DS42" s="871"/>
      <c r="DT42" s="871"/>
      <c r="DU42" s="871"/>
      <c r="DV42" s="871"/>
      <c r="DW42" s="871"/>
      <c r="DX42" s="871"/>
      <c r="DY42" s="871"/>
      <c r="DZ42" s="871"/>
      <c r="EA42" s="871"/>
      <c r="EB42" s="871"/>
      <c r="EC42" s="871"/>
      <c r="ED42" s="871"/>
      <c r="EE42" s="871"/>
      <c r="EF42" s="871"/>
      <c r="EG42" s="871"/>
      <c r="EH42" s="871"/>
      <c r="EI42" s="871"/>
      <c r="EJ42" s="871"/>
      <c r="EK42" s="871"/>
      <c r="EL42" s="871"/>
      <c r="EM42" s="871"/>
      <c r="EN42" s="871"/>
      <c r="EO42" s="871"/>
      <c r="EP42" s="871"/>
      <c r="EQ42" s="871"/>
      <c r="ER42" s="871"/>
      <c r="ES42" s="871"/>
      <c r="ET42" s="871"/>
      <c r="EU42" s="871"/>
      <c r="EV42" s="871"/>
      <c r="EW42" s="871"/>
      <c r="EX42" s="871"/>
      <c r="EY42" s="871"/>
      <c r="EZ42" s="871"/>
      <c r="FA42" s="871"/>
      <c r="FB42" s="871"/>
      <c r="FC42" s="871"/>
      <c r="FD42" s="871"/>
      <c r="FE42" s="871"/>
      <c r="FF42" s="871"/>
      <c r="FG42" s="871"/>
      <c r="FH42" s="871"/>
      <c r="FI42" s="871"/>
      <c r="FJ42" s="871"/>
      <c r="FK42" s="871"/>
      <c r="FL42" s="871"/>
      <c r="FM42" s="871"/>
      <c r="FN42" s="871"/>
      <c r="FO42" s="871"/>
      <c r="FP42" s="871"/>
      <c r="FQ42" s="871"/>
      <c r="FR42" s="871"/>
      <c r="FS42" s="871"/>
      <c r="FT42" s="871"/>
      <c r="FU42" s="871"/>
      <c r="FV42" s="871"/>
      <c r="FW42" s="871"/>
      <c r="FX42" s="871"/>
      <c r="FY42" s="871"/>
      <c r="FZ42" s="871"/>
      <c r="GA42" s="871"/>
      <c r="GB42" s="871"/>
      <c r="GC42" s="871"/>
      <c r="GD42" s="871"/>
      <c r="GE42" s="871"/>
      <c r="GF42" s="871"/>
      <c r="GG42" s="871"/>
      <c r="GH42" s="871"/>
      <c r="GI42" s="871"/>
      <c r="GJ42" s="871"/>
      <c r="GK42" s="871"/>
      <c r="GL42" s="871"/>
      <c r="GM42" s="871"/>
      <c r="GN42" s="871"/>
      <c r="GO42" s="871"/>
      <c r="GP42" s="871"/>
      <c r="GQ42" s="871"/>
      <c r="GR42" s="871"/>
      <c r="GS42" s="871"/>
      <c r="GT42" s="871"/>
      <c r="GU42" s="871"/>
      <c r="GV42" s="871"/>
      <c r="GW42" s="871"/>
      <c r="GX42" s="871"/>
      <c r="GY42" s="871"/>
      <c r="GZ42" s="871"/>
      <c r="HA42" s="871"/>
      <c r="HB42" s="871"/>
      <c r="HC42" s="871"/>
      <c r="HD42" s="871"/>
      <c r="HE42" s="871"/>
      <c r="HF42" s="871"/>
      <c r="HG42" s="871"/>
      <c r="HH42" s="871"/>
      <c r="HI42" s="871"/>
      <c r="HJ42" s="871"/>
      <c r="HK42" s="871"/>
      <c r="HL42" s="871"/>
      <c r="HM42" s="871"/>
      <c r="HN42" s="871"/>
      <c r="HO42" s="871"/>
    </row>
    <row r="43" spans="1:223" ht="2.25" customHeight="1" thickTop="1">
      <c r="B43" s="1212"/>
      <c r="C43" s="1212"/>
      <c r="D43" s="1212"/>
      <c r="E43" s="1212"/>
      <c r="F43" s="1260"/>
      <c r="G43" s="1212"/>
      <c r="H43" s="1212"/>
      <c r="I43" s="1212"/>
      <c r="J43" s="1212"/>
      <c r="K43" s="1212"/>
      <c r="L43" s="1216"/>
      <c r="M43" s="1212"/>
      <c r="N43" s="1212"/>
      <c r="O43" s="1212"/>
      <c r="P43" s="1212"/>
      <c r="Q43" s="1212"/>
      <c r="R43" s="1217"/>
      <c r="S43" s="1212"/>
      <c r="T43" s="1212"/>
      <c r="U43" s="1212"/>
      <c r="V43" s="1212"/>
      <c r="W43" s="1218"/>
      <c r="X43" s="1215"/>
      <c r="Y43" s="1215"/>
      <c r="Z43" s="1215"/>
      <c r="AA43" s="1215"/>
      <c r="AB43" s="1215"/>
      <c r="AC43" s="1215"/>
      <c r="AD43" s="1215"/>
      <c r="AE43" s="1215"/>
      <c r="AF43" s="1215"/>
      <c r="AH43" s="1215"/>
      <c r="AM43" s="868"/>
      <c r="AN43" s="868"/>
      <c r="AO43" s="868"/>
      <c r="AP43" s="868"/>
      <c r="AQ43" s="868"/>
      <c r="AR43" s="868"/>
      <c r="CA43" s="1500"/>
      <c r="CB43" s="1500"/>
      <c r="CD43" s="1498" t="s">
        <v>410</v>
      </c>
      <c r="CE43" s="1501"/>
      <c r="CF43" s="1501"/>
      <c r="CG43" s="1490"/>
      <c r="CH43" s="2019" t="s">
        <v>756</v>
      </c>
      <c r="CI43" s="1490"/>
      <c r="CJ43" s="1501"/>
      <c r="CK43" s="1501"/>
      <c r="CL43" s="1501"/>
      <c r="CM43" s="1501"/>
      <c r="CN43" s="1501"/>
      <c r="CO43" s="1490"/>
      <c r="CP43" s="1490"/>
      <c r="CR43" s="1489"/>
      <c r="CS43" s="1489"/>
      <c r="CT43" s="1507"/>
      <c r="CU43" s="1507"/>
      <c r="CV43" s="1507"/>
      <c r="CW43" s="1507"/>
      <c r="CX43" s="1507"/>
      <c r="CY43" s="1507"/>
      <c r="CZ43" s="1507"/>
      <c r="DA43" s="1507"/>
      <c r="DB43" s="1507"/>
      <c r="DS43" s="841"/>
      <c r="DT43" s="841"/>
      <c r="DU43" s="841"/>
      <c r="DV43" s="841"/>
      <c r="DW43" s="841"/>
      <c r="DX43" s="841"/>
      <c r="DY43" s="841"/>
      <c r="DZ43" s="841"/>
      <c r="EA43" s="841"/>
      <c r="EB43" s="841"/>
      <c r="EC43" s="841"/>
      <c r="ED43" s="841"/>
      <c r="EE43" s="841"/>
      <c r="EF43" s="841"/>
      <c r="EG43" s="841"/>
      <c r="EH43" s="841"/>
      <c r="EI43" s="841"/>
      <c r="EJ43" s="841"/>
      <c r="EK43" s="841"/>
      <c r="EL43" s="841"/>
      <c r="EM43" s="841"/>
      <c r="EN43" s="841"/>
      <c r="EO43" s="841"/>
      <c r="EP43" s="841"/>
      <c r="EQ43" s="841"/>
      <c r="ER43" s="841"/>
      <c r="ES43" s="841"/>
      <c r="ET43" s="841"/>
      <c r="EU43" s="841"/>
      <c r="EV43" s="841"/>
      <c r="EW43" s="841"/>
      <c r="EX43" s="841"/>
      <c r="EY43" s="841"/>
      <c r="EZ43" s="841"/>
      <c r="FA43" s="841"/>
      <c r="FB43" s="841"/>
      <c r="FC43" s="841"/>
      <c r="FD43" s="841"/>
      <c r="FE43" s="841"/>
      <c r="FF43" s="841"/>
      <c r="FG43" s="841"/>
      <c r="FH43" s="841"/>
      <c r="FI43" s="841"/>
      <c r="FJ43" s="841"/>
      <c r="FK43" s="841"/>
      <c r="FL43" s="841"/>
      <c r="FM43" s="841"/>
      <c r="FN43" s="841"/>
      <c r="FO43" s="841"/>
      <c r="FP43" s="841"/>
      <c r="FQ43" s="841"/>
      <c r="FR43" s="841"/>
      <c r="FS43" s="841"/>
      <c r="FT43" s="841"/>
      <c r="FU43" s="841"/>
      <c r="FV43" s="841"/>
      <c r="FW43" s="841"/>
      <c r="FX43" s="841"/>
      <c r="FY43" s="841"/>
      <c r="FZ43" s="841"/>
      <c r="GA43" s="841"/>
      <c r="GB43" s="841"/>
      <c r="GC43" s="841"/>
      <c r="GD43" s="841"/>
      <c r="GE43" s="841"/>
      <c r="GF43" s="841"/>
      <c r="GG43" s="841"/>
      <c r="GH43" s="841"/>
      <c r="GI43" s="841"/>
      <c r="GJ43" s="841"/>
      <c r="GK43" s="841"/>
      <c r="GL43" s="841"/>
      <c r="GM43" s="841"/>
      <c r="GN43" s="841"/>
      <c r="GO43" s="841"/>
      <c r="GP43" s="841"/>
      <c r="GQ43" s="841"/>
      <c r="GR43" s="841"/>
      <c r="GS43" s="841"/>
      <c r="GT43" s="841"/>
      <c r="GU43" s="841"/>
      <c r="GV43" s="841"/>
      <c r="GW43" s="841"/>
      <c r="GX43" s="841"/>
      <c r="GY43" s="841"/>
      <c r="GZ43" s="841"/>
      <c r="HA43" s="841"/>
      <c r="HB43" s="841"/>
      <c r="HC43" s="841"/>
      <c r="HD43" s="841"/>
      <c r="HE43" s="841"/>
      <c r="HF43" s="841"/>
      <c r="HG43" s="841"/>
      <c r="HH43" s="841"/>
      <c r="HI43" s="841"/>
      <c r="HJ43" s="841"/>
      <c r="HK43" s="841"/>
      <c r="HL43" s="841"/>
      <c r="HM43" s="841"/>
      <c r="HN43" s="841"/>
      <c r="HO43" s="841"/>
    </row>
    <row r="44" spans="1:223" ht="14.1" customHeight="1">
      <c r="B44" s="1212"/>
      <c r="C44" s="1212"/>
      <c r="D44" s="1212"/>
      <c r="E44" s="1212"/>
      <c r="F44" s="1260"/>
      <c r="G44" s="1212"/>
      <c r="H44" s="1212"/>
      <c r="I44" s="1212"/>
      <c r="J44" s="1212"/>
      <c r="K44" s="1212"/>
      <c r="L44" s="1216"/>
      <c r="M44" s="1212"/>
      <c r="N44" s="1212"/>
      <c r="O44" s="1212"/>
      <c r="P44" s="1212"/>
      <c r="Q44" s="1212"/>
      <c r="R44" s="1217"/>
      <c r="S44" s="1212"/>
      <c r="T44" s="1212"/>
      <c r="U44" s="1212"/>
      <c r="V44" s="1212"/>
      <c r="W44" s="1218"/>
      <c r="X44" s="1215"/>
      <c r="Y44" s="1215"/>
      <c r="Z44" s="1215"/>
      <c r="AA44" s="1215"/>
      <c r="AB44" s="1215"/>
      <c r="AC44" s="1215"/>
      <c r="AD44" s="1215"/>
      <c r="AE44" s="1215"/>
      <c r="AF44" s="1215"/>
      <c r="AH44" s="1215"/>
      <c r="AM44" s="868"/>
      <c r="AN44" s="868"/>
      <c r="AO44" s="868"/>
      <c r="AP44" s="868"/>
      <c r="AQ44" s="868"/>
      <c r="AR44" s="868"/>
      <c r="CD44" s="1491" t="s">
        <v>412</v>
      </c>
      <c r="CE44" s="1501"/>
      <c r="CF44" s="1501"/>
      <c r="CG44" s="1490"/>
      <c r="CH44" s="2018" t="s">
        <v>428</v>
      </c>
      <c r="CI44" s="1502" t="s">
        <v>1292</v>
      </c>
      <c r="CJ44" s="1490"/>
      <c r="CK44" s="1490"/>
      <c r="CR44" s="1489"/>
      <c r="CS44" s="1489"/>
      <c r="CT44" s="1507"/>
      <c r="CU44" s="1507"/>
      <c r="CV44" s="1507"/>
      <c r="CW44" s="1507"/>
      <c r="CX44" s="1507"/>
      <c r="CY44" s="1507"/>
      <c r="CZ44" s="1507"/>
      <c r="DA44" s="1507"/>
      <c r="DB44" s="1507"/>
      <c r="DS44" s="841"/>
      <c r="DT44" s="841"/>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c r="EQ44" s="841"/>
      <c r="ER44" s="841"/>
      <c r="ES44" s="841"/>
      <c r="ET44" s="841"/>
      <c r="EU44" s="841"/>
      <c r="EV44" s="841"/>
      <c r="EW44" s="841"/>
      <c r="EX44" s="841"/>
      <c r="EY44" s="841"/>
      <c r="EZ44" s="841"/>
      <c r="FA44" s="841"/>
      <c r="FB44" s="841"/>
      <c r="FC44" s="841"/>
      <c r="FD44" s="841"/>
      <c r="FE44" s="841"/>
      <c r="FF44" s="841"/>
      <c r="FG44" s="841"/>
      <c r="FH44" s="841"/>
      <c r="FI44" s="841"/>
      <c r="FJ44" s="841"/>
      <c r="FK44" s="841"/>
      <c r="FL44" s="841"/>
      <c r="FM44" s="841"/>
      <c r="FN44" s="841"/>
      <c r="FO44" s="841"/>
      <c r="FP44" s="841"/>
      <c r="FQ44" s="841"/>
      <c r="FR44" s="841"/>
      <c r="FS44" s="841"/>
      <c r="FT44" s="841"/>
      <c r="FU44" s="841"/>
      <c r="FV44" s="841"/>
      <c r="FW44" s="841"/>
      <c r="FX44" s="841"/>
      <c r="FY44" s="841"/>
      <c r="FZ44" s="841"/>
      <c r="GA44" s="841"/>
      <c r="GB44" s="841"/>
      <c r="GC44" s="841"/>
      <c r="GD44" s="841"/>
      <c r="GE44" s="841"/>
      <c r="GF44" s="841"/>
      <c r="GG44" s="841"/>
      <c r="GH44" s="841"/>
      <c r="GI44" s="841"/>
      <c r="GJ44" s="841"/>
      <c r="GK44" s="841"/>
      <c r="GL44" s="841"/>
      <c r="GM44" s="841"/>
      <c r="GN44" s="841"/>
      <c r="GO44" s="841"/>
      <c r="GP44" s="841"/>
      <c r="GQ44" s="841"/>
      <c r="GR44" s="841"/>
      <c r="GS44" s="841"/>
      <c r="GT44" s="841"/>
      <c r="GU44" s="841"/>
      <c r="GV44" s="841"/>
      <c r="GW44" s="841"/>
      <c r="GX44" s="841"/>
      <c r="GY44" s="841"/>
      <c r="GZ44" s="841"/>
      <c r="HA44" s="841"/>
      <c r="HB44" s="841"/>
      <c r="HC44" s="841"/>
      <c r="HD44" s="841"/>
      <c r="HE44" s="841"/>
      <c r="HF44" s="841"/>
      <c r="HG44" s="841"/>
      <c r="HH44" s="841"/>
      <c r="HI44" s="841"/>
      <c r="HJ44" s="841"/>
      <c r="HK44" s="841"/>
      <c r="HL44" s="841"/>
      <c r="HM44" s="841"/>
      <c r="HN44" s="841"/>
      <c r="HO44" s="841"/>
    </row>
    <row r="45" spans="1:223" s="873" customFormat="1" ht="21" customHeight="1" thickBot="1">
      <c r="A45" s="869"/>
      <c r="B45" s="1206" t="s">
        <v>2081</v>
      </c>
      <c r="C45" s="1219"/>
      <c r="D45" s="1206">
        <v>1</v>
      </c>
      <c r="E45" s="1219"/>
      <c r="F45" s="1206">
        <v>1</v>
      </c>
      <c r="G45" s="1219"/>
      <c r="H45" s="1206" t="s">
        <v>1995</v>
      </c>
      <c r="I45" s="1219"/>
      <c r="J45" s="2104"/>
      <c r="K45" s="2105"/>
      <c r="L45" s="2106"/>
      <c r="M45" s="1219"/>
      <c r="N45" s="1206"/>
      <c r="O45" s="1219"/>
      <c r="P45" s="1220">
        <f>IF(AND(D45&gt;0,ISBLANK(H45)),"Falta prod voz",(IF(ISBLANK(H45),0,VLOOKUP(H45,Calculos_cuotas!$A$12:$C$20,3,FALSE))+IF(ISBLANK(J45),0,VLOOKUP(J45,Calculos_cuotas!$G$9:$H$11,2,FALSE))+Calculos_cuotas!$C$21))</f>
        <v>53</v>
      </c>
      <c r="Q45" s="1219"/>
      <c r="R45" s="1220">
        <f>IF(P45="Falta prod voz", "ND",D45*P45)</f>
        <v>53</v>
      </c>
      <c r="S45" s="1219"/>
      <c r="T45" s="1206"/>
      <c r="U45" s="1219"/>
      <c r="V45" s="1221">
        <f>IF(AND(T45="Sí",$D$17&lt;&gt;"Preaprobadas"),Calculos_cuotas!$W$47,0%)</f>
        <v>0</v>
      </c>
      <c r="W45" s="1222">
        <f>V45*R45</f>
        <v>0</v>
      </c>
      <c r="X45" s="1221">
        <f>IF(P45="Falta prod voz","ND",IF($D$17="Óptima RPV",IF(($R$82+$L$111)&lt;Calculos_cuotas!$Y$34,Calculos_cuotas!$Z$34,IF(($R$82+$L$111)&lt;Calculos_cuotas!$Y$35,Calculos_cuotas!$Z$35,IF(($R$82+$L$111)&lt;Calculos_cuotas!$Y$36,Calculos_cuotas!$Z$36,IF(($R$82+$L$111)&lt;Calculos_cuotas!$Y$37,Calculos_cuotas!$Z$37,Calculos_cuotas!$Z$38)))),0%))</f>
        <v>0.1</v>
      </c>
      <c r="Y45" s="1215"/>
      <c r="Z45" s="1220">
        <f>IF(OR(P45="Falta prod voz",$M$33&gt;0),"ND",IF($D$17&lt;&gt;"Preaprobadas",P45*(1-V45-X45),IF($J$17="Cartera Orange", IF(ISBLANK(H45),0,VLOOKUP(H45,$J$21:$L$29,3,FALSE))+IF(ISBLANK(J45),0,VLOOKUP(J45,$J$30:$L$32,3,FALSE)),IF(ISBLANK(H45),0,VLOOKUP(H45,Calculos_cuotas!$A$183:$F$191,1+Calculos_cuotas!$B$177,FALSE))+IF(ISBLANK(J45),0,VLOOKUP(J45,Calculos_cuotas!$A$192:$F$194,1+Calculos_cuotas!$B$177,FALSE)))))</f>
        <v>47.7</v>
      </c>
      <c r="AA45" s="1228"/>
      <c r="AB45" s="1220">
        <f>IF(Z45="ND","ND",D45*Z45)</f>
        <v>47.7</v>
      </c>
      <c r="AC45" s="1215"/>
      <c r="AD45" s="1221">
        <f>IF($D$17&lt;&gt;"Preaprobadas",Calculos_cuotas!$W$43,0%)</f>
        <v>0.1</v>
      </c>
      <c r="AE45" s="1215"/>
      <c r="AF45" s="1220">
        <f>IF(OR(P45="Falta prod voz",$M$33&gt;0),"ND",IF($D$17&lt;&gt;"Preaprobadas",P45*(1-V45-X45-AD45),IF($J$17="Cartera Orange", IF(ISBLANK(H45),0,VLOOKUP(H45,$J$21:$L$29,3,FALSE))+IF(ISBLANK(J45),0,VLOOKUP(J45,$J$30:$L$32,3,FALSE)),IF(Calculos_cuotas!$T$43&gt;0%,IF(ISBLANK(H45),0,VLOOKUP(H45,Calculos_cuotas!$A$198:$F$209,1+Calculos_cuotas!$B$177,FALSE))+IF(ISBLANK(J45),0,VLOOKUP(J45,Calculos_cuotas!$A$207:$F$209,1+Calculos_cuotas!$B$177,FALSE)),Z45))))</f>
        <v>42.400000000000006</v>
      </c>
      <c r="AG45" s="1219"/>
      <c r="AH45" s="1220">
        <f>IF(D77=1,"N/D",IF(AF45="ND","ND",D45*AF45))</f>
        <v>42.400000000000006</v>
      </c>
      <c r="AI45" s="869"/>
      <c r="AJ45" s="869"/>
      <c r="AK45" s="869"/>
      <c r="AL45" s="869"/>
      <c r="AM45" s="1348"/>
      <c r="AN45" s="1348"/>
      <c r="AO45" s="1348"/>
      <c r="AP45" s="1348"/>
      <c r="AQ45" s="1348"/>
      <c r="AR45" s="1348"/>
      <c r="AS45" s="1348"/>
      <c r="AT45" s="872"/>
      <c r="AU45" s="872"/>
      <c r="AV45" s="872"/>
      <c r="AW45" s="872"/>
      <c r="AX45" s="872"/>
      <c r="AY45" s="872"/>
      <c r="AZ45" s="872"/>
      <c r="BA45" s="872"/>
      <c r="BB45" s="872"/>
      <c r="BC45" s="872"/>
      <c r="BD45" s="872"/>
      <c r="BE45" s="872"/>
      <c r="BF45" s="872"/>
      <c r="BG45" s="872"/>
      <c r="BH45" s="872"/>
      <c r="BI45" s="872"/>
      <c r="BJ45" s="872"/>
      <c r="BK45" s="872"/>
      <c r="BL45" s="872"/>
      <c r="BM45" s="872"/>
      <c r="BN45" s="872"/>
      <c r="BO45" s="872"/>
      <c r="BP45" s="872"/>
      <c r="BQ45" s="872"/>
      <c r="BR45" s="872"/>
      <c r="BS45" s="872"/>
      <c r="BT45" s="872"/>
      <c r="BU45" s="872"/>
      <c r="BV45" s="872"/>
      <c r="BW45" s="872"/>
      <c r="BX45" s="872"/>
      <c r="BY45" s="872"/>
      <c r="BZ45" s="871"/>
      <c r="CA45" s="871"/>
      <c r="CB45" s="871"/>
      <c r="CC45" s="871"/>
      <c r="CD45" s="1494" t="s">
        <v>405</v>
      </c>
      <c r="CE45" s="1501"/>
      <c r="CF45" s="1501" t="s">
        <v>881</v>
      </c>
      <c r="CG45" s="1490"/>
      <c r="CH45" s="2018" t="s">
        <v>2028</v>
      </c>
      <c r="CI45" s="1502" t="s">
        <v>1268</v>
      </c>
      <c r="CJ45" s="1490"/>
      <c r="CK45" s="1490"/>
      <c r="CL45" s="1494"/>
      <c r="CM45" s="1494"/>
      <c r="CN45" s="1494"/>
      <c r="CO45" s="1494"/>
      <c r="CP45" s="1494"/>
      <c r="CQ45" s="1494"/>
      <c r="CR45" s="1494"/>
      <c r="CS45" s="1494"/>
      <c r="CT45" s="2024"/>
      <c r="CU45" s="2024"/>
      <c r="CV45" s="2024"/>
      <c r="CW45" s="2024"/>
      <c r="CX45" s="2024"/>
      <c r="CY45" s="2024"/>
      <c r="CZ45" s="2024"/>
      <c r="DA45" s="2024"/>
      <c r="DB45" s="2024"/>
      <c r="DC45" s="1505"/>
      <c r="DD45" s="1505"/>
      <c r="DE45" s="872"/>
      <c r="DF45" s="872"/>
      <c r="DG45" s="872"/>
      <c r="DH45" s="872"/>
      <c r="DI45" s="872"/>
      <c r="DJ45" s="872"/>
      <c r="DK45" s="872"/>
      <c r="DL45" s="872"/>
      <c r="DM45" s="872"/>
      <c r="DN45" s="872"/>
      <c r="DO45" s="872"/>
      <c r="DP45" s="872"/>
      <c r="DQ45" s="872"/>
      <c r="DR45" s="872"/>
      <c r="DS45" s="871"/>
      <c r="DT45" s="871"/>
      <c r="DU45" s="871"/>
      <c r="DV45" s="871"/>
      <c r="DW45" s="871"/>
      <c r="DX45" s="871"/>
      <c r="DY45" s="871"/>
      <c r="DZ45" s="871"/>
      <c r="EA45" s="871"/>
      <c r="EB45" s="871"/>
      <c r="EC45" s="871"/>
      <c r="ED45" s="871"/>
      <c r="EE45" s="871"/>
      <c r="EF45" s="871"/>
      <c r="EG45" s="871"/>
      <c r="EH45" s="871"/>
      <c r="EI45" s="871"/>
      <c r="EJ45" s="871"/>
      <c r="EK45" s="871"/>
      <c r="EL45" s="871"/>
      <c r="EM45" s="871"/>
      <c r="EN45" s="871"/>
      <c r="EO45" s="871"/>
      <c r="EP45" s="871"/>
      <c r="EQ45" s="871"/>
      <c r="ER45" s="871"/>
      <c r="ES45" s="871"/>
      <c r="ET45" s="871"/>
      <c r="EU45" s="871"/>
      <c r="EV45" s="871"/>
      <c r="EW45" s="871"/>
      <c r="EX45" s="871"/>
      <c r="EY45" s="871"/>
      <c r="EZ45" s="871"/>
      <c r="FA45" s="871"/>
      <c r="FB45" s="871"/>
      <c r="FC45" s="871"/>
      <c r="FD45" s="871"/>
      <c r="FE45" s="871"/>
      <c r="FF45" s="871"/>
      <c r="FG45" s="871"/>
      <c r="FH45" s="871"/>
      <c r="FI45" s="871"/>
      <c r="FJ45" s="871"/>
      <c r="FK45" s="871"/>
      <c r="FL45" s="871"/>
      <c r="FM45" s="871"/>
      <c r="FN45" s="871"/>
      <c r="FO45" s="871"/>
      <c r="FP45" s="871"/>
      <c r="FQ45" s="871"/>
      <c r="FR45" s="871"/>
      <c r="FS45" s="871"/>
      <c r="FT45" s="871"/>
      <c r="FU45" s="871"/>
      <c r="FV45" s="871"/>
      <c r="FW45" s="871"/>
      <c r="FX45" s="871"/>
      <c r="FY45" s="871"/>
      <c r="FZ45" s="871"/>
      <c r="GA45" s="871"/>
      <c r="GB45" s="871"/>
      <c r="GC45" s="871"/>
      <c r="GD45" s="871"/>
      <c r="GE45" s="871"/>
      <c r="GF45" s="871"/>
      <c r="GG45" s="871"/>
      <c r="GH45" s="871"/>
      <c r="GI45" s="871"/>
      <c r="GJ45" s="871"/>
      <c r="GK45" s="871"/>
      <c r="GL45" s="871"/>
      <c r="GM45" s="871"/>
      <c r="GN45" s="871"/>
      <c r="GO45" s="871"/>
      <c r="GP45" s="871"/>
      <c r="GQ45" s="871"/>
      <c r="GR45" s="871"/>
      <c r="GS45" s="871"/>
      <c r="GT45" s="871"/>
      <c r="GU45" s="871"/>
      <c r="GV45" s="871"/>
      <c r="GW45" s="871"/>
      <c r="GX45" s="871"/>
      <c r="GY45" s="871"/>
      <c r="GZ45" s="871"/>
      <c r="HA45" s="871"/>
      <c r="HB45" s="871"/>
      <c r="HC45" s="871"/>
      <c r="HD45" s="871"/>
      <c r="HE45" s="871"/>
      <c r="HF45" s="871"/>
      <c r="HG45" s="871"/>
      <c r="HH45" s="871"/>
      <c r="HI45" s="871"/>
      <c r="HJ45" s="871"/>
      <c r="HK45" s="871"/>
      <c r="HL45" s="871"/>
      <c r="HM45" s="871"/>
      <c r="HN45" s="871"/>
      <c r="HO45" s="871"/>
    </row>
    <row r="46" spans="1:223" ht="3.75" hidden="1" customHeight="1" thickTop="1">
      <c r="B46" s="1212"/>
      <c r="C46" s="1212"/>
      <c r="D46" s="1212"/>
      <c r="E46" s="1212"/>
      <c r="F46" s="1260"/>
      <c r="G46" s="1212"/>
      <c r="H46" s="1212"/>
      <c r="I46" s="1212"/>
      <c r="J46" s="1212"/>
      <c r="K46" s="1212"/>
      <c r="L46" s="1216"/>
      <c r="M46" s="1212"/>
      <c r="N46" s="1212"/>
      <c r="O46" s="1212"/>
      <c r="P46" s="1212"/>
      <c r="Q46" s="1212"/>
      <c r="R46" s="1217"/>
      <c r="S46" s="1212"/>
      <c r="T46" s="1212"/>
      <c r="U46" s="1212"/>
      <c r="V46" s="1212"/>
      <c r="W46" s="1218"/>
      <c r="X46" s="1215"/>
      <c r="Y46" s="1215"/>
      <c r="Z46" s="1215"/>
      <c r="AA46" s="1215"/>
      <c r="AB46" s="1215"/>
      <c r="AC46" s="1215"/>
      <c r="AD46" s="1215"/>
      <c r="AE46" s="1215"/>
      <c r="AF46" s="1215"/>
      <c r="AH46" s="1215"/>
      <c r="AM46" s="868"/>
      <c r="AN46" s="868"/>
      <c r="AO46" s="868"/>
      <c r="AP46" s="868"/>
      <c r="AQ46" s="868"/>
      <c r="AR46" s="868"/>
      <c r="CA46" s="1500"/>
      <c r="CB46" s="1500"/>
      <c r="CD46" s="1501"/>
      <c r="CE46" s="1501" t="s">
        <v>1025</v>
      </c>
      <c r="CF46" s="1501" t="s">
        <v>880</v>
      </c>
      <c r="CG46" s="1490"/>
      <c r="CH46" s="2018" t="s">
        <v>2002</v>
      </c>
      <c r="CI46" s="1490"/>
      <c r="CJ46" s="1501" t="s">
        <v>1255</v>
      </c>
      <c r="CK46" s="1501" t="s">
        <v>1256</v>
      </c>
      <c r="CL46" s="1501" t="s">
        <v>1257</v>
      </c>
      <c r="CM46" s="1501" t="s">
        <v>1259</v>
      </c>
      <c r="CN46" s="1501" t="s">
        <v>1258</v>
      </c>
      <c r="CO46" s="1501"/>
      <c r="CP46" s="1490"/>
      <c r="CR46" s="1489"/>
      <c r="CS46" s="1489"/>
      <c r="CT46" s="1507"/>
      <c r="CU46" s="1507"/>
      <c r="CV46" s="1507"/>
      <c r="CW46" s="1507"/>
      <c r="CX46" s="1507"/>
      <c r="CY46" s="1507"/>
      <c r="CZ46" s="1507"/>
      <c r="DA46" s="1507"/>
      <c r="DB46" s="1507"/>
      <c r="DS46" s="841"/>
      <c r="DT46" s="841"/>
      <c r="DU46" s="841"/>
      <c r="DV46" s="841"/>
      <c r="DW46" s="841"/>
      <c r="DX46" s="841"/>
      <c r="DY46" s="841"/>
      <c r="DZ46" s="841"/>
      <c r="EA46" s="841"/>
      <c r="EB46" s="841"/>
      <c r="EC46" s="841"/>
      <c r="ED46" s="841"/>
      <c r="EE46" s="841"/>
      <c r="EF46" s="841"/>
      <c r="EG46" s="841"/>
      <c r="EH46" s="841"/>
      <c r="EI46" s="841"/>
      <c r="EJ46" s="841"/>
      <c r="EK46" s="841"/>
      <c r="EL46" s="841"/>
      <c r="EM46" s="841"/>
      <c r="EN46" s="841"/>
      <c r="EO46" s="841"/>
      <c r="EP46" s="841"/>
      <c r="EQ46" s="841"/>
      <c r="ER46" s="841"/>
      <c r="ES46" s="841"/>
      <c r="ET46" s="841"/>
      <c r="EU46" s="841"/>
      <c r="EV46" s="841"/>
      <c r="EW46" s="841"/>
      <c r="EX46" s="841"/>
      <c r="EY46" s="841"/>
      <c r="EZ46" s="841"/>
      <c r="FA46" s="841"/>
      <c r="FB46" s="841"/>
      <c r="FC46" s="841"/>
      <c r="FD46" s="841"/>
      <c r="FE46" s="841"/>
      <c r="FF46" s="841"/>
      <c r="FG46" s="841"/>
      <c r="FH46" s="841"/>
      <c r="FI46" s="841"/>
      <c r="FJ46" s="841"/>
      <c r="FK46" s="841"/>
      <c r="FL46" s="841"/>
      <c r="FM46" s="841"/>
      <c r="FN46" s="841"/>
      <c r="FO46" s="841"/>
      <c r="FP46" s="841"/>
      <c r="FQ46" s="841"/>
      <c r="FR46" s="841"/>
      <c r="FS46" s="841"/>
      <c r="FT46" s="841"/>
      <c r="FU46" s="841"/>
      <c r="FV46" s="841"/>
      <c r="FW46" s="841"/>
      <c r="FX46" s="841"/>
      <c r="FY46" s="841"/>
      <c r="FZ46" s="841"/>
      <c r="GA46" s="841"/>
      <c r="GB46" s="841"/>
      <c r="GC46" s="841"/>
      <c r="GD46" s="841"/>
      <c r="GE46" s="841"/>
      <c r="GF46" s="841"/>
      <c r="GG46" s="841"/>
      <c r="GH46" s="841"/>
      <c r="GI46" s="841"/>
      <c r="GJ46" s="841"/>
      <c r="GK46" s="841"/>
      <c r="GL46" s="841"/>
      <c r="GM46" s="841"/>
      <c r="GN46" s="841"/>
      <c r="GO46" s="841"/>
      <c r="GP46" s="841"/>
      <c r="GQ46" s="841"/>
      <c r="GR46" s="841"/>
      <c r="GS46" s="841"/>
      <c r="GT46" s="841"/>
      <c r="GU46" s="841"/>
      <c r="GV46" s="841"/>
      <c r="GW46" s="841"/>
      <c r="GX46" s="841"/>
      <c r="GY46" s="841"/>
      <c r="GZ46" s="841"/>
      <c r="HA46" s="841"/>
      <c r="HB46" s="841"/>
      <c r="HC46" s="841"/>
      <c r="HD46" s="841"/>
      <c r="HE46" s="841"/>
      <c r="HF46" s="841"/>
      <c r="HG46" s="841"/>
      <c r="HH46" s="841"/>
      <c r="HI46" s="841"/>
      <c r="HJ46" s="841"/>
      <c r="HK46" s="841"/>
      <c r="HL46" s="841"/>
      <c r="HM46" s="841"/>
      <c r="HN46" s="841"/>
      <c r="HO46" s="841"/>
    </row>
    <row r="47" spans="1:223" ht="14.1" customHeight="1" thickTop="1">
      <c r="B47" s="1212"/>
      <c r="C47" s="1212"/>
      <c r="D47" s="1212"/>
      <c r="E47" s="1212"/>
      <c r="F47" s="1260"/>
      <c r="G47" s="1212"/>
      <c r="H47" s="1212"/>
      <c r="I47" s="1212"/>
      <c r="J47" s="1212"/>
      <c r="K47" s="1212"/>
      <c r="L47" s="1216"/>
      <c r="M47" s="1212"/>
      <c r="N47" s="1212"/>
      <c r="O47" s="1212"/>
      <c r="P47" s="1212"/>
      <c r="Q47" s="1212"/>
      <c r="R47" s="1217"/>
      <c r="S47" s="1212"/>
      <c r="T47" s="1212"/>
      <c r="U47" s="1212"/>
      <c r="V47" s="1212"/>
      <c r="W47" s="1218"/>
      <c r="X47" s="1215"/>
      <c r="Y47" s="1215"/>
      <c r="Z47" s="1215"/>
      <c r="AA47" s="1215"/>
      <c r="AB47" s="1215"/>
      <c r="AC47" s="1215"/>
      <c r="AD47" s="1215"/>
      <c r="AE47" s="1215"/>
      <c r="AF47" s="1215"/>
      <c r="AH47" s="1215"/>
      <c r="AM47" s="868"/>
      <c r="AN47" s="868"/>
      <c r="AO47" s="868"/>
      <c r="AP47" s="868"/>
      <c r="AQ47" s="868"/>
      <c r="AR47" s="868"/>
      <c r="CD47" s="1491"/>
      <c r="CE47" s="1501" t="s">
        <v>1137</v>
      </c>
      <c r="CF47" s="1501" t="s">
        <v>879</v>
      </c>
      <c r="CG47" s="1490"/>
      <c r="CH47" s="2018" t="s">
        <v>429</v>
      </c>
      <c r="CI47" s="1490"/>
      <c r="CJ47" s="1501" t="s">
        <v>1260</v>
      </c>
      <c r="CK47" s="1501" t="s">
        <v>1260</v>
      </c>
      <c r="CL47" s="1501" t="s">
        <v>1260</v>
      </c>
      <c r="CM47" s="1491" t="s">
        <v>1268</v>
      </c>
      <c r="CN47" s="1491" t="s">
        <v>1268</v>
      </c>
      <c r="CO47" s="1491"/>
      <c r="CR47" s="1489"/>
      <c r="CS47" s="1489"/>
      <c r="CT47" s="1507"/>
      <c r="CU47" s="1507"/>
      <c r="CV47" s="1507"/>
      <c r="CW47" s="1507"/>
      <c r="CX47" s="1507"/>
      <c r="CY47" s="1507"/>
      <c r="CZ47" s="1507"/>
      <c r="DA47" s="1507"/>
      <c r="DB47" s="1507"/>
      <c r="DS47" s="841"/>
      <c r="DT47" s="841"/>
      <c r="DU47" s="841"/>
      <c r="DV47" s="841"/>
      <c r="DW47" s="841"/>
      <c r="DX47" s="841"/>
      <c r="DY47" s="841"/>
      <c r="DZ47" s="841"/>
      <c r="EA47" s="841"/>
      <c r="EB47" s="841"/>
      <c r="EC47" s="841"/>
      <c r="ED47" s="841"/>
      <c r="EE47" s="841"/>
      <c r="EF47" s="841"/>
      <c r="EG47" s="841"/>
      <c r="EH47" s="841"/>
      <c r="EI47" s="841"/>
      <c r="EJ47" s="841"/>
      <c r="EK47" s="841"/>
      <c r="EL47" s="841"/>
      <c r="EM47" s="841"/>
      <c r="EN47" s="841"/>
      <c r="EO47" s="841"/>
      <c r="EP47" s="841"/>
      <c r="EQ47" s="841"/>
      <c r="ER47" s="841"/>
      <c r="ES47" s="841"/>
      <c r="ET47" s="841"/>
      <c r="EU47" s="841"/>
      <c r="EV47" s="841"/>
      <c r="EW47" s="841"/>
      <c r="EX47" s="841"/>
      <c r="EY47" s="841"/>
      <c r="EZ47" s="841"/>
      <c r="FA47" s="841"/>
      <c r="FB47" s="841"/>
      <c r="FC47" s="841"/>
      <c r="FD47" s="841"/>
      <c r="FE47" s="841"/>
      <c r="FF47" s="841"/>
      <c r="FG47" s="841"/>
      <c r="FH47" s="841"/>
      <c r="FI47" s="841"/>
      <c r="FJ47" s="841"/>
      <c r="FK47" s="841"/>
      <c r="FL47" s="841"/>
      <c r="FM47" s="841"/>
      <c r="FN47" s="841"/>
      <c r="FO47" s="841"/>
      <c r="FP47" s="841"/>
      <c r="FQ47" s="841"/>
      <c r="FR47" s="841"/>
      <c r="FS47" s="841"/>
      <c r="FT47" s="841"/>
      <c r="FU47" s="841"/>
      <c r="FV47" s="841"/>
      <c r="FW47" s="841"/>
      <c r="FX47" s="841"/>
      <c r="FY47" s="841"/>
      <c r="FZ47" s="841"/>
      <c r="GA47" s="841"/>
      <c r="GB47" s="841"/>
      <c r="GC47" s="841"/>
      <c r="GD47" s="841"/>
      <c r="GE47" s="841"/>
      <c r="GF47" s="841"/>
      <c r="GG47" s="841"/>
      <c r="GH47" s="841"/>
      <c r="GI47" s="841"/>
      <c r="GJ47" s="841"/>
      <c r="GK47" s="841"/>
      <c r="GL47" s="841"/>
      <c r="GM47" s="841"/>
      <c r="GN47" s="841"/>
      <c r="GO47" s="841"/>
      <c r="GP47" s="841"/>
      <c r="GQ47" s="841"/>
      <c r="GR47" s="841"/>
      <c r="GS47" s="841"/>
      <c r="GT47" s="841"/>
      <c r="GU47" s="841"/>
      <c r="GV47" s="841"/>
      <c r="GW47" s="841"/>
      <c r="GX47" s="841"/>
      <c r="GY47" s="841"/>
      <c r="GZ47" s="841"/>
      <c r="HA47" s="841"/>
      <c r="HB47" s="841"/>
      <c r="HC47" s="841"/>
      <c r="HD47" s="841"/>
      <c r="HE47" s="841"/>
      <c r="HF47" s="841"/>
      <c r="HG47" s="841"/>
      <c r="HH47" s="841"/>
      <c r="HI47" s="841"/>
      <c r="HJ47" s="841"/>
      <c r="HK47" s="841"/>
      <c r="HL47" s="841"/>
      <c r="HM47" s="841"/>
      <c r="HN47" s="841"/>
      <c r="HO47" s="841"/>
    </row>
    <row r="48" spans="1:223" s="873" customFormat="1" ht="21" customHeight="1" thickBot="1">
      <c r="A48" s="869"/>
      <c r="B48" s="1206" t="s">
        <v>2082</v>
      </c>
      <c r="C48" s="1219"/>
      <c r="D48" s="1206">
        <v>1</v>
      </c>
      <c r="E48" s="1219"/>
      <c r="F48" s="1206"/>
      <c r="G48" s="1219"/>
      <c r="H48" s="1206" t="s">
        <v>1081</v>
      </c>
      <c r="I48" s="1219"/>
      <c r="J48" s="2104" t="s">
        <v>720</v>
      </c>
      <c r="K48" s="2105"/>
      <c r="L48" s="2106"/>
      <c r="M48" s="1219"/>
      <c r="N48" s="1206"/>
      <c r="O48" s="1219"/>
      <c r="P48" s="1220">
        <f>IF(AND(D48&gt;0,ISBLANK(H48)),"Falta prod voz",(IF(ISBLANK(H48),0,VLOOKUP(H48,Calculos_cuotas!$A$12:$C$20,3,FALSE))+IF(ISBLANK(J48),0,VLOOKUP(J48,Calculos_cuotas!$G$9:$H$11,2,FALSE))+Calculos_cuotas!$C$21))</f>
        <v>29</v>
      </c>
      <c r="Q48" s="1219"/>
      <c r="R48" s="1220">
        <f>IF(P48="Falta prod voz", "ND",D48*P48)</f>
        <v>29</v>
      </c>
      <c r="S48" s="1219"/>
      <c r="T48" s="1206"/>
      <c r="U48" s="1219"/>
      <c r="V48" s="1221">
        <f>IF(AND(T48="Sí",$D$17&lt;&gt;"Preaprobadas"),Calculos_cuotas!$W$47,0%)</f>
        <v>0</v>
      </c>
      <c r="W48" s="1222">
        <f>V48*R48</f>
        <v>0</v>
      </c>
      <c r="X48" s="1221">
        <f>IF(P48="Falta prod voz","ND",IF($D$17="Óptima RPV",IF(($R$82+$L$111)&lt;Calculos_cuotas!$Y$34,Calculos_cuotas!$Z$34,IF(($R$82+$L$111)&lt;Calculos_cuotas!$Y$35,Calculos_cuotas!$Z$35,IF(($R$82+$L$111)&lt;Calculos_cuotas!$Y$36,Calculos_cuotas!$Z$36,IF(($R$82+$L$111)&lt;Calculos_cuotas!$Y$37,Calculos_cuotas!$Z$37,Calculos_cuotas!$Z$38)))),0%))</f>
        <v>0.1</v>
      </c>
      <c r="Y48" s="1215"/>
      <c r="Z48" s="1220">
        <f>IF(OR(P48="Falta prod voz",$M$33&gt;0),"ND",IF($D$17&lt;&gt;"Preaprobadas",P48*(1-V48-X48),IF($J$17="Cartera Orange", IF(ISBLANK(H48),0,VLOOKUP(H48,$J$21:$L$29,3,FALSE))+IF(ISBLANK(J48),0,VLOOKUP(J48,$J$30:$L$32,3,FALSE)),IF(ISBLANK(H48),0,VLOOKUP(H48,Calculos_cuotas!$A$183:$F$191,1+Calculos_cuotas!$B$177,FALSE))+IF(ISBLANK(J48),0,VLOOKUP(J48,Calculos_cuotas!$A$192:$F$194,1+Calculos_cuotas!$B$177,FALSE)))))</f>
        <v>26.1</v>
      </c>
      <c r="AA48" s="1228"/>
      <c r="AB48" s="1220">
        <f>IF(Z48="ND","ND",D48*Z48)</f>
        <v>26.1</v>
      </c>
      <c r="AC48" s="1215"/>
      <c r="AD48" s="1221">
        <f>IF($D$17&lt;&gt;"Preaprobadas",Calculos_cuotas!$W$43,0%)</f>
        <v>0.1</v>
      </c>
      <c r="AE48" s="1215"/>
      <c r="AF48" s="1220">
        <f>IF(OR(P48="Falta prod voz",$M$33&gt;0),"ND",IF($D$17&lt;&gt;"Preaprobadas",P48*(1-V48-X48-AD48),IF($J$17="Cartera Orange", IF(ISBLANK(H48),0,VLOOKUP(H48,$J$21:$L$29,3,FALSE))+IF(ISBLANK(J48),0,VLOOKUP(J48,$J$30:$L$32,3,FALSE)),IF(Calculos_cuotas!$T$43&gt;0%,IF(ISBLANK(H48),0,VLOOKUP(H48,Calculos_cuotas!$A$198:$F$209,1+Calculos_cuotas!$B$177,FALSE))+IF(ISBLANK(J48),0,VLOOKUP(J48,Calculos_cuotas!$A$207:$F$209,1+Calculos_cuotas!$B$177,FALSE)),Z48))))</f>
        <v>23.200000000000003</v>
      </c>
      <c r="AG48" s="1219"/>
      <c r="AH48" s="1220">
        <f>IF(D77=1,"N/D",IF(AF48="ND","ND",D48*AF48))</f>
        <v>23.200000000000003</v>
      </c>
      <c r="AI48" s="869"/>
      <c r="AJ48" s="869"/>
      <c r="AK48" s="869"/>
      <c r="AL48" s="869"/>
      <c r="AM48" s="1348"/>
      <c r="AN48" s="1348"/>
      <c r="AO48" s="1348"/>
      <c r="AP48" s="1348"/>
      <c r="AQ48" s="1348"/>
      <c r="AR48" s="1348"/>
      <c r="AS48" s="1348"/>
      <c r="AT48" s="872"/>
      <c r="AU48" s="872"/>
      <c r="AV48" s="872"/>
      <c r="AW48" s="872"/>
      <c r="AX48" s="872"/>
      <c r="AY48" s="872"/>
      <c r="AZ48" s="872"/>
      <c r="BA48" s="872"/>
      <c r="BB48" s="872"/>
      <c r="BC48" s="872"/>
      <c r="BD48" s="872"/>
      <c r="BE48" s="872"/>
      <c r="BF48" s="872"/>
      <c r="BG48" s="872"/>
      <c r="BH48" s="872"/>
      <c r="BI48" s="872"/>
      <c r="BJ48" s="872"/>
      <c r="BK48" s="872"/>
      <c r="BL48" s="872"/>
      <c r="BM48" s="872"/>
      <c r="BN48" s="872"/>
      <c r="BO48" s="872"/>
      <c r="BP48" s="872"/>
      <c r="BQ48" s="872"/>
      <c r="BR48" s="872"/>
      <c r="BS48" s="872"/>
      <c r="BT48" s="872"/>
      <c r="BU48" s="872"/>
      <c r="BV48" s="872"/>
      <c r="BW48" s="872"/>
      <c r="BX48" s="872"/>
      <c r="BY48" s="872"/>
      <c r="BZ48" s="871"/>
      <c r="CA48" s="871"/>
      <c r="CB48" s="871"/>
      <c r="CC48" s="871"/>
      <c r="CD48" s="1494"/>
      <c r="CE48" s="1501" t="s">
        <v>1138</v>
      </c>
      <c r="CF48" s="1501"/>
      <c r="CG48" s="1490"/>
      <c r="CH48" s="2018" t="s">
        <v>430</v>
      </c>
      <c r="CI48" s="1490"/>
      <c r="CJ48" s="1490"/>
      <c r="CK48" s="1490"/>
      <c r="CL48" s="1494"/>
      <c r="CM48" s="1494"/>
      <c r="CN48" s="1494"/>
      <c r="CO48" s="1494"/>
      <c r="CP48" s="1494"/>
      <c r="CQ48" s="1494"/>
      <c r="CR48" s="1494"/>
      <c r="CS48" s="1494"/>
      <c r="CT48" s="2024"/>
      <c r="CU48" s="2024"/>
      <c r="CV48" s="2024"/>
      <c r="CW48" s="2024"/>
      <c r="CX48" s="2024"/>
      <c r="CY48" s="2024"/>
      <c r="CZ48" s="2024"/>
      <c r="DA48" s="2024"/>
      <c r="DB48" s="2024"/>
      <c r="DC48" s="1505"/>
      <c r="DD48" s="1505"/>
      <c r="DE48" s="872"/>
      <c r="DF48" s="872"/>
      <c r="DG48" s="872"/>
      <c r="DH48" s="872"/>
      <c r="DI48" s="872"/>
      <c r="DJ48" s="872"/>
      <c r="DK48" s="872"/>
      <c r="DL48" s="872"/>
      <c r="DM48" s="872"/>
      <c r="DN48" s="872"/>
      <c r="DO48" s="872"/>
      <c r="DP48" s="872"/>
      <c r="DQ48" s="872"/>
      <c r="DR48" s="872"/>
      <c r="DS48" s="871"/>
      <c r="DT48" s="871"/>
      <c r="DU48" s="871"/>
      <c r="DV48" s="871"/>
      <c r="DW48" s="871"/>
      <c r="DX48" s="871"/>
      <c r="DY48" s="871"/>
      <c r="DZ48" s="871"/>
      <c r="EA48" s="871"/>
      <c r="EB48" s="871"/>
      <c r="EC48" s="871"/>
      <c r="ED48" s="871"/>
      <c r="EE48" s="871"/>
      <c r="EF48" s="871"/>
      <c r="EG48" s="871"/>
      <c r="EH48" s="871"/>
      <c r="EI48" s="871"/>
      <c r="EJ48" s="871"/>
      <c r="EK48" s="871"/>
      <c r="EL48" s="871"/>
      <c r="EM48" s="871"/>
      <c r="EN48" s="871"/>
      <c r="EO48" s="871"/>
      <c r="EP48" s="871"/>
      <c r="EQ48" s="871"/>
      <c r="ER48" s="871"/>
      <c r="ES48" s="871"/>
      <c r="ET48" s="871"/>
      <c r="EU48" s="871"/>
      <c r="EV48" s="871"/>
      <c r="EW48" s="871"/>
      <c r="EX48" s="871"/>
      <c r="EY48" s="871"/>
      <c r="EZ48" s="871"/>
      <c r="FA48" s="871"/>
      <c r="FB48" s="871"/>
      <c r="FC48" s="871"/>
      <c r="FD48" s="871"/>
      <c r="FE48" s="871"/>
      <c r="FF48" s="871"/>
      <c r="FG48" s="871"/>
      <c r="FH48" s="871"/>
      <c r="FI48" s="871"/>
      <c r="FJ48" s="871"/>
      <c r="FK48" s="871"/>
      <c r="FL48" s="871"/>
      <c r="FM48" s="871"/>
      <c r="FN48" s="871"/>
      <c r="FO48" s="871"/>
      <c r="FP48" s="871"/>
      <c r="FQ48" s="871"/>
      <c r="FR48" s="871"/>
      <c r="FS48" s="871"/>
      <c r="FT48" s="871"/>
      <c r="FU48" s="871"/>
      <c r="FV48" s="871"/>
      <c r="FW48" s="871"/>
      <c r="FX48" s="871"/>
      <c r="FY48" s="871"/>
      <c r="FZ48" s="871"/>
      <c r="GA48" s="871"/>
      <c r="GB48" s="871"/>
      <c r="GC48" s="871"/>
      <c r="GD48" s="871"/>
      <c r="GE48" s="871"/>
      <c r="GF48" s="871"/>
      <c r="GG48" s="871"/>
      <c r="GH48" s="871"/>
      <c r="GI48" s="871"/>
      <c r="GJ48" s="871"/>
      <c r="GK48" s="871"/>
      <c r="GL48" s="871"/>
      <c r="GM48" s="871"/>
      <c r="GN48" s="871"/>
      <c r="GO48" s="871"/>
      <c r="GP48" s="871"/>
      <c r="GQ48" s="871"/>
      <c r="GR48" s="871"/>
      <c r="GS48" s="871"/>
      <c r="GT48" s="871"/>
      <c r="GU48" s="871"/>
      <c r="GV48" s="871"/>
      <c r="GW48" s="871"/>
      <c r="GX48" s="871"/>
      <c r="GY48" s="871"/>
      <c r="GZ48" s="871"/>
      <c r="HA48" s="871"/>
      <c r="HB48" s="871"/>
      <c r="HC48" s="871"/>
      <c r="HD48" s="871"/>
      <c r="HE48" s="871"/>
      <c r="HF48" s="871"/>
      <c r="HG48" s="871"/>
      <c r="HH48" s="871"/>
      <c r="HI48" s="871"/>
      <c r="HJ48" s="871"/>
      <c r="HK48" s="871"/>
      <c r="HL48" s="871"/>
      <c r="HM48" s="871"/>
      <c r="HN48" s="871"/>
      <c r="HO48" s="871"/>
    </row>
    <row r="49" spans="1:223" ht="3.75" customHeight="1" thickTop="1">
      <c r="B49" s="1212">
        <v>4</v>
      </c>
      <c r="C49" s="1212"/>
      <c r="D49" s="1212"/>
      <c r="E49" s="1212"/>
      <c r="F49" s="1260"/>
      <c r="G49" s="1212"/>
      <c r="H49" s="1212"/>
      <c r="I49" s="1212"/>
      <c r="J49" s="1212"/>
      <c r="K49" s="1212"/>
      <c r="L49" s="1216"/>
      <c r="M49" s="1212"/>
      <c r="N49" s="1212"/>
      <c r="O49" s="1212"/>
      <c r="P49" s="1212"/>
      <c r="Q49" s="1212"/>
      <c r="R49" s="1217"/>
      <c r="S49" s="1212"/>
      <c r="T49" s="1212"/>
      <c r="U49" s="1212"/>
      <c r="V49" s="1212"/>
      <c r="W49" s="1218"/>
      <c r="X49" s="1215"/>
      <c r="Y49" s="1215"/>
      <c r="Z49" s="1215"/>
      <c r="AA49" s="1215"/>
      <c r="AB49" s="1215"/>
      <c r="AC49" s="1215"/>
      <c r="AD49" s="1215"/>
      <c r="AE49" s="1215"/>
      <c r="AF49" s="1215"/>
      <c r="AH49" s="1215"/>
      <c r="AM49" s="868"/>
      <c r="AN49" s="868"/>
      <c r="AO49" s="868"/>
      <c r="AP49" s="868"/>
      <c r="AQ49" s="868"/>
      <c r="AR49" s="868"/>
      <c r="CA49" s="1500"/>
      <c r="CB49" s="1500"/>
      <c r="CD49" s="1501"/>
      <c r="CE49" s="1501" t="s">
        <v>726</v>
      </c>
      <c r="CF49" s="1501"/>
      <c r="CG49" s="1490"/>
      <c r="CH49" s="2018" t="s">
        <v>1041</v>
      </c>
      <c r="CI49" s="1490"/>
      <c r="CJ49" s="1501" t="s">
        <v>1269</v>
      </c>
      <c r="CK49" s="1501" t="s">
        <v>1276</v>
      </c>
      <c r="CL49" s="1501" t="s">
        <v>1270</v>
      </c>
      <c r="CM49" s="1501" t="s">
        <v>1273</v>
      </c>
      <c r="CN49" s="1501" t="s">
        <v>1274</v>
      </c>
      <c r="CO49" s="1490" t="s">
        <v>1277</v>
      </c>
      <c r="CP49" s="1490" t="s">
        <v>1278</v>
      </c>
      <c r="CR49" s="1489"/>
      <c r="CS49" s="1489"/>
      <c r="CT49" s="1507"/>
      <c r="CU49" s="1507"/>
      <c r="CV49" s="1507"/>
      <c r="CW49" s="1507"/>
      <c r="CX49" s="1507"/>
      <c r="CY49" s="1507"/>
      <c r="CZ49" s="1507"/>
      <c r="DA49" s="1507"/>
      <c r="DB49" s="1507"/>
      <c r="DS49" s="841"/>
      <c r="DT49" s="841"/>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c r="EQ49" s="841"/>
      <c r="ER49" s="841"/>
      <c r="ES49" s="841"/>
      <c r="ET49" s="841"/>
      <c r="EU49" s="841"/>
      <c r="EV49" s="841"/>
      <c r="EW49" s="841"/>
      <c r="EX49" s="841"/>
      <c r="EY49" s="841"/>
      <c r="EZ49" s="841"/>
      <c r="FA49" s="841"/>
      <c r="FB49" s="841"/>
      <c r="FC49" s="841"/>
      <c r="FD49" s="841"/>
      <c r="FE49" s="841"/>
      <c r="FF49" s="841"/>
      <c r="FG49" s="841"/>
      <c r="FH49" s="841"/>
      <c r="FI49" s="841"/>
      <c r="FJ49" s="841"/>
      <c r="FK49" s="841"/>
      <c r="FL49" s="841"/>
      <c r="FM49" s="841"/>
      <c r="FN49" s="841"/>
      <c r="FO49" s="841"/>
      <c r="FP49" s="841"/>
      <c r="FQ49" s="841"/>
      <c r="FR49" s="841"/>
      <c r="FS49" s="841"/>
      <c r="FT49" s="841"/>
      <c r="FU49" s="841"/>
      <c r="FV49" s="841"/>
      <c r="FW49" s="841"/>
      <c r="FX49" s="841"/>
      <c r="FY49" s="841"/>
      <c r="FZ49" s="841"/>
      <c r="GA49" s="841"/>
      <c r="GB49" s="841"/>
      <c r="GC49" s="841"/>
      <c r="GD49" s="841"/>
      <c r="GE49" s="841"/>
      <c r="GF49" s="841"/>
      <c r="GG49" s="841"/>
      <c r="GH49" s="841"/>
      <c r="GI49" s="841"/>
      <c r="GJ49" s="841"/>
      <c r="GK49" s="841"/>
      <c r="GL49" s="841"/>
      <c r="GM49" s="841"/>
      <c r="GN49" s="841"/>
      <c r="GO49" s="841"/>
      <c r="GP49" s="841"/>
      <c r="GQ49" s="841"/>
      <c r="GR49" s="841"/>
      <c r="GS49" s="841"/>
      <c r="GT49" s="841"/>
      <c r="GU49" s="841"/>
      <c r="GV49" s="841"/>
      <c r="GW49" s="841"/>
      <c r="GX49" s="841"/>
      <c r="GY49" s="841"/>
      <c r="GZ49" s="841"/>
      <c r="HA49" s="841"/>
      <c r="HB49" s="841"/>
      <c r="HC49" s="841"/>
      <c r="HD49" s="841"/>
      <c r="HE49" s="841"/>
      <c r="HF49" s="841"/>
      <c r="HG49" s="841"/>
      <c r="HH49" s="841"/>
      <c r="HI49" s="841"/>
      <c r="HJ49" s="841"/>
      <c r="HK49" s="841"/>
      <c r="HL49" s="841"/>
      <c r="HM49" s="841"/>
      <c r="HN49" s="841"/>
      <c r="HO49" s="841"/>
    </row>
    <row r="50" spans="1:223" ht="14.1" customHeight="1">
      <c r="B50" s="1212"/>
      <c r="C50" s="1212"/>
      <c r="D50" s="1212"/>
      <c r="E50" s="1212"/>
      <c r="F50" s="1260"/>
      <c r="G50" s="1212"/>
      <c r="H50" s="1212"/>
      <c r="I50" s="1212"/>
      <c r="J50" s="1212"/>
      <c r="K50" s="1212"/>
      <c r="L50" s="1216"/>
      <c r="M50" s="1212"/>
      <c r="N50" s="1212"/>
      <c r="O50" s="1212"/>
      <c r="P50" s="1212"/>
      <c r="Q50" s="1212"/>
      <c r="R50" s="1217"/>
      <c r="S50" s="1212"/>
      <c r="T50" s="1212"/>
      <c r="U50" s="1212"/>
      <c r="V50" s="1212"/>
      <c r="W50" s="1218"/>
      <c r="X50" s="1215"/>
      <c r="Y50" s="1215"/>
      <c r="Z50" s="1215"/>
      <c r="AA50" s="1215"/>
      <c r="AB50" s="1215"/>
      <c r="AC50" s="1215"/>
      <c r="AD50" s="1215"/>
      <c r="AE50" s="1215"/>
      <c r="AF50" s="1215"/>
      <c r="AH50" s="1215"/>
      <c r="AM50" s="868"/>
      <c r="AN50" s="868"/>
      <c r="AO50" s="868"/>
      <c r="AP50" s="868"/>
      <c r="AQ50" s="868"/>
      <c r="AR50" s="868"/>
      <c r="CD50" s="1491"/>
      <c r="CE50" s="1501" t="s">
        <v>727</v>
      </c>
      <c r="CF50" s="1501"/>
      <c r="CG50" s="1490"/>
      <c r="CH50" s="2018" t="s">
        <v>2029</v>
      </c>
      <c r="CI50" s="1490"/>
      <c r="CJ50" s="1494" t="s">
        <v>1262</v>
      </c>
      <c r="CK50" s="1501" t="s">
        <v>1261</v>
      </c>
      <c r="CL50" s="1501" t="s">
        <v>1261</v>
      </c>
      <c r="CM50" s="1491" t="s">
        <v>764</v>
      </c>
      <c r="CN50" s="1491" t="s">
        <v>1275</v>
      </c>
      <c r="CO50" s="1489" t="s">
        <v>1268</v>
      </c>
      <c r="CP50" s="1489" t="s">
        <v>1265</v>
      </c>
      <c r="CR50" s="1489"/>
      <c r="CS50" s="1489"/>
      <c r="CT50" s="1507"/>
      <c r="CU50" s="1507"/>
      <c r="CV50" s="1507"/>
      <c r="CW50" s="1507"/>
      <c r="CX50" s="1507"/>
      <c r="CY50" s="1507"/>
      <c r="CZ50" s="1507"/>
      <c r="DA50" s="1507"/>
      <c r="DB50" s="1507"/>
      <c r="DS50" s="841"/>
      <c r="DT50" s="841"/>
      <c r="DU50" s="841"/>
      <c r="DV50" s="841"/>
      <c r="DW50" s="841"/>
      <c r="DX50" s="841"/>
      <c r="DY50" s="841"/>
      <c r="DZ50" s="841"/>
      <c r="EA50" s="841"/>
      <c r="EB50" s="841"/>
      <c r="EC50" s="841"/>
      <c r="ED50" s="841"/>
      <c r="EE50" s="841"/>
      <c r="EF50" s="841"/>
      <c r="EG50" s="841"/>
      <c r="EH50" s="841"/>
      <c r="EI50" s="841"/>
      <c r="EJ50" s="841"/>
      <c r="EK50" s="841"/>
      <c r="EL50" s="841"/>
      <c r="EM50" s="841"/>
      <c r="EN50" s="841"/>
      <c r="EO50" s="841"/>
      <c r="EP50" s="841"/>
      <c r="EQ50" s="841"/>
      <c r="ER50" s="841"/>
      <c r="ES50" s="841"/>
      <c r="ET50" s="841"/>
      <c r="EU50" s="841"/>
      <c r="EV50" s="841"/>
      <c r="EW50" s="841"/>
      <c r="EX50" s="841"/>
      <c r="EY50" s="841"/>
      <c r="EZ50" s="841"/>
      <c r="FA50" s="841"/>
      <c r="FB50" s="841"/>
      <c r="FC50" s="841"/>
      <c r="FD50" s="841"/>
      <c r="FE50" s="841"/>
      <c r="FF50" s="841"/>
      <c r="FG50" s="841"/>
      <c r="FH50" s="841"/>
      <c r="FI50" s="841"/>
      <c r="FJ50" s="841"/>
      <c r="FK50" s="841"/>
      <c r="FL50" s="841"/>
      <c r="FM50" s="841"/>
      <c r="FN50" s="841"/>
      <c r="FO50" s="841"/>
      <c r="FP50" s="841"/>
      <c r="FQ50" s="841"/>
      <c r="FR50" s="841"/>
      <c r="FS50" s="841"/>
      <c r="FT50" s="841"/>
      <c r="FU50" s="841"/>
      <c r="FV50" s="841"/>
      <c r="FW50" s="841"/>
      <c r="FX50" s="841"/>
      <c r="FY50" s="841"/>
      <c r="FZ50" s="841"/>
      <c r="GA50" s="841"/>
      <c r="GB50" s="841"/>
      <c r="GC50" s="841"/>
      <c r="GD50" s="841"/>
      <c r="GE50" s="841"/>
      <c r="GF50" s="841"/>
      <c r="GG50" s="841"/>
      <c r="GH50" s="841"/>
      <c r="GI50" s="841"/>
      <c r="GJ50" s="841"/>
      <c r="GK50" s="841"/>
      <c r="GL50" s="841"/>
      <c r="GM50" s="841"/>
      <c r="GN50" s="841"/>
      <c r="GO50" s="841"/>
      <c r="GP50" s="841"/>
      <c r="GQ50" s="841"/>
      <c r="GR50" s="841"/>
      <c r="GS50" s="841"/>
      <c r="GT50" s="841"/>
      <c r="GU50" s="841"/>
      <c r="GV50" s="841"/>
      <c r="GW50" s="841"/>
      <c r="GX50" s="841"/>
      <c r="GY50" s="841"/>
      <c r="GZ50" s="841"/>
      <c r="HA50" s="841"/>
      <c r="HB50" s="841"/>
      <c r="HC50" s="841"/>
      <c r="HD50" s="841"/>
      <c r="HE50" s="841"/>
      <c r="HF50" s="841"/>
      <c r="HG50" s="841"/>
      <c r="HH50" s="841"/>
      <c r="HI50" s="841"/>
      <c r="HJ50" s="841"/>
      <c r="HK50" s="841"/>
      <c r="HL50" s="841"/>
      <c r="HM50" s="841"/>
      <c r="HN50" s="841"/>
      <c r="HO50" s="841"/>
    </row>
    <row r="51" spans="1:223" s="873" customFormat="1" ht="21" customHeight="1" thickBot="1">
      <c r="A51" s="869"/>
      <c r="B51" s="1206" t="s">
        <v>2084</v>
      </c>
      <c r="C51" s="1219"/>
      <c r="D51" s="1206">
        <v>1</v>
      </c>
      <c r="E51" s="1219"/>
      <c r="F51" s="1206"/>
      <c r="G51" s="1219"/>
      <c r="H51" s="1206" t="s">
        <v>412</v>
      </c>
      <c r="I51" s="1219"/>
      <c r="J51" s="2104"/>
      <c r="K51" s="2105"/>
      <c r="L51" s="2106"/>
      <c r="M51" s="1219"/>
      <c r="N51" s="1206"/>
      <c r="O51" s="1219"/>
      <c r="P51" s="1220">
        <f>IF(AND(D51&gt;0,ISBLANK(H51)),"Falta prod voz",(IF(ISBLANK(H51),0,VLOOKUP(H51,Calculos_cuotas!$A$12:$C$20,3,FALSE))+IF(ISBLANK(J51),0,VLOOKUP(J51,Calculos_cuotas!$G$9:$H$11,2,FALSE))+Calculos_cuotas!$C$21))</f>
        <v>6</v>
      </c>
      <c r="Q51" s="1219"/>
      <c r="R51" s="1220">
        <f>IF(P51="Falta prod voz", "ND",D51*P51)</f>
        <v>6</v>
      </c>
      <c r="S51" s="1219"/>
      <c r="T51" s="1206"/>
      <c r="U51" s="1219"/>
      <c r="V51" s="1221">
        <f>IF(AND(T51="Sí",$D$17&lt;&gt;"Preaprobadas"),Calculos_cuotas!$W$47,0%)</f>
        <v>0</v>
      </c>
      <c r="W51" s="1222">
        <f>V51*R51</f>
        <v>0</v>
      </c>
      <c r="X51" s="1221">
        <f>IF(P51="Falta prod voz","ND",IF($D$17="Óptima RPV",IF(($R$82+$L$111)&lt;Calculos_cuotas!$Y$34,Calculos_cuotas!$Z$34,IF(($R$82+$L$111)&lt;Calculos_cuotas!$Y$35,Calculos_cuotas!$Z$35,IF(($R$82+$L$111)&lt;Calculos_cuotas!$Y$36,Calculos_cuotas!$Z$36,IF(($R$82+$L$111)&lt;Calculos_cuotas!$Y$37,Calculos_cuotas!$Z$37,Calculos_cuotas!$Z$38)))),0%))</f>
        <v>0.1</v>
      </c>
      <c r="Y51" s="1215"/>
      <c r="Z51" s="1220">
        <f>IF(OR(P51="Falta prod voz",$M$33&gt;0),"ND",IF($D$17&lt;&gt;"Preaprobadas",P51*(1-V51-X51),IF($J$17="Cartera Orange", IF(ISBLANK(H51),0,VLOOKUP(H51,$J$21:$L$29,3,FALSE))+IF(ISBLANK(J51),0,VLOOKUP(J51,$J$30:$L$32,3,FALSE)),IF(ISBLANK(H51),0,VLOOKUP(H51,Calculos_cuotas!$A$183:$F$191,1+Calculos_cuotas!$B$177,FALSE))+IF(ISBLANK(J51),0,VLOOKUP(J51,Calculos_cuotas!$A$192:$F$194,1+Calculos_cuotas!$B$177,FALSE)))))</f>
        <v>5.4</v>
      </c>
      <c r="AA51" s="1228"/>
      <c r="AB51" s="1220">
        <f>IF(Z51="ND","ND",D51*Z51)</f>
        <v>5.4</v>
      </c>
      <c r="AC51" s="1215"/>
      <c r="AD51" s="1221">
        <f>IF($D$17&lt;&gt;"Preaprobadas",Calculos_cuotas!$W$43,0%)</f>
        <v>0.1</v>
      </c>
      <c r="AE51" s="1215"/>
      <c r="AF51" s="1220">
        <f>IF(OR(P51="Falta prod voz",$M$33&gt;0),"ND",IF($D$17&lt;&gt;"Preaprobadas",P51*(1-V51-X51-AD51),IF($J$17="Cartera Orange", IF(ISBLANK(H51),0,VLOOKUP(H51,$J$21:$L$29,3,FALSE))+IF(ISBLANK(J51),0,VLOOKUP(J51,$J$30:$L$32,3,FALSE)),IF(Calculos_cuotas!$T$43&gt;0%,IF(ISBLANK(H51),0,VLOOKUP(H51,Calculos_cuotas!$A$198:$F$209,1+Calculos_cuotas!$B$177,FALSE))+IF(ISBLANK(J51),0,VLOOKUP(J51,Calculos_cuotas!$A$207:$F$209,1+Calculos_cuotas!$B$177,FALSE)),Z51))))</f>
        <v>4.8000000000000007</v>
      </c>
      <c r="AG51" s="1219"/>
      <c r="AH51" s="1220">
        <f>IF(D77=1,"N/D",IF(AF51="ND","ND",D51*AF51))</f>
        <v>4.8000000000000007</v>
      </c>
      <c r="AI51" s="869"/>
      <c r="AJ51" s="869"/>
      <c r="AK51" s="869"/>
      <c r="AL51" s="869"/>
      <c r="AM51" s="1348"/>
      <c r="AN51" s="1348"/>
      <c r="AO51" s="1348"/>
      <c r="AP51" s="1348"/>
      <c r="AQ51" s="1348"/>
      <c r="AR51" s="1348"/>
      <c r="AS51" s="1348"/>
      <c r="AT51" s="872"/>
      <c r="AU51" s="872"/>
      <c r="AV51" s="872"/>
      <c r="AW51" s="872"/>
      <c r="AX51" s="872"/>
      <c r="AY51" s="872"/>
      <c r="AZ51" s="872"/>
      <c r="BA51" s="872"/>
      <c r="BB51" s="872"/>
      <c r="BC51" s="872"/>
      <c r="BD51" s="872"/>
      <c r="BE51" s="872"/>
      <c r="BF51" s="872"/>
      <c r="BG51" s="872"/>
      <c r="BH51" s="872"/>
      <c r="BI51" s="872"/>
      <c r="BJ51" s="872"/>
      <c r="BK51" s="872"/>
      <c r="BL51" s="872"/>
      <c r="BM51" s="872"/>
      <c r="BN51" s="872"/>
      <c r="BO51" s="872"/>
      <c r="BP51" s="872"/>
      <c r="BQ51" s="872"/>
      <c r="BR51" s="872"/>
      <c r="BS51" s="872"/>
      <c r="BT51" s="872"/>
      <c r="BU51" s="872"/>
      <c r="BV51" s="872"/>
      <c r="BW51" s="872"/>
      <c r="BX51" s="872"/>
      <c r="BY51" s="872"/>
      <c r="BZ51" s="871"/>
      <c r="CA51" s="871"/>
      <c r="CB51" s="871"/>
      <c r="CC51" s="871"/>
      <c r="CD51" s="1494"/>
      <c r="CE51" s="1501"/>
      <c r="CF51" s="1501"/>
      <c r="CG51" s="1490"/>
      <c r="CH51" s="2018" t="s">
        <v>2004</v>
      </c>
      <c r="CI51" s="1490"/>
      <c r="CJ51" s="1501"/>
      <c r="CK51" s="1494" t="s">
        <v>1262</v>
      </c>
      <c r="CL51" s="1494" t="s">
        <v>1262</v>
      </c>
      <c r="CM51" s="1494" t="s">
        <v>818</v>
      </c>
      <c r="CN51" s="1494"/>
      <c r="CO51" s="1494"/>
      <c r="CP51" s="1494" t="s">
        <v>1266</v>
      </c>
      <c r="CQ51" s="1494"/>
      <c r="CR51" s="1494"/>
      <c r="CS51" s="1494"/>
      <c r="CT51" s="2024"/>
      <c r="CU51" s="2024"/>
      <c r="CV51" s="2024"/>
      <c r="CW51" s="2024"/>
      <c r="CX51" s="2024"/>
      <c r="CY51" s="2024"/>
      <c r="CZ51" s="2024"/>
      <c r="DA51" s="2024"/>
      <c r="DB51" s="2024"/>
      <c r="DC51" s="1505"/>
      <c r="DD51" s="1505"/>
      <c r="DE51" s="872"/>
      <c r="DF51" s="872"/>
      <c r="DG51" s="872"/>
      <c r="DH51" s="872"/>
      <c r="DI51" s="872"/>
      <c r="DJ51" s="872"/>
      <c r="DK51" s="872"/>
      <c r="DL51" s="872"/>
      <c r="DM51" s="872"/>
      <c r="DN51" s="872"/>
      <c r="DO51" s="872"/>
      <c r="DP51" s="872"/>
      <c r="DQ51" s="872"/>
      <c r="DR51" s="872"/>
      <c r="DS51" s="871"/>
      <c r="DT51" s="871"/>
      <c r="DU51" s="871"/>
      <c r="DV51" s="871"/>
      <c r="DW51" s="871"/>
      <c r="DX51" s="871"/>
      <c r="DY51" s="871"/>
      <c r="DZ51" s="871"/>
      <c r="EA51" s="871"/>
      <c r="EB51" s="871"/>
      <c r="EC51" s="871"/>
      <c r="ED51" s="871"/>
      <c r="EE51" s="871"/>
      <c r="EF51" s="871"/>
      <c r="EG51" s="871"/>
      <c r="EH51" s="871"/>
      <c r="EI51" s="871"/>
      <c r="EJ51" s="871"/>
      <c r="EK51" s="871"/>
      <c r="EL51" s="871"/>
      <c r="EM51" s="871"/>
      <c r="EN51" s="871"/>
      <c r="EO51" s="871"/>
      <c r="EP51" s="871"/>
      <c r="EQ51" s="871"/>
      <c r="ER51" s="871"/>
      <c r="ES51" s="871"/>
      <c r="ET51" s="871"/>
      <c r="EU51" s="871"/>
      <c r="EV51" s="871"/>
      <c r="EW51" s="871"/>
      <c r="EX51" s="871"/>
      <c r="EY51" s="871"/>
      <c r="EZ51" s="871"/>
      <c r="FA51" s="871"/>
      <c r="FB51" s="871"/>
      <c r="FC51" s="871"/>
      <c r="FD51" s="871"/>
      <c r="FE51" s="871"/>
      <c r="FF51" s="871"/>
      <c r="FG51" s="871"/>
      <c r="FH51" s="871"/>
      <c r="FI51" s="871"/>
      <c r="FJ51" s="871"/>
      <c r="FK51" s="871"/>
      <c r="FL51" s="871"/>
      <c r="FM51" s="871"/>
      <c r="FN51" s="871"/>
      <c r="FO51" s="871"/>
      <c r="FP51" s="871"/>
      <c r="FQ51" s="871"/>
      <c r="FR51" s="871"/>
      <c r="FS51" s="871"/>
      <c r="FT51" s="871"/>
      <c r="FU51" s="871"/>
      <c r="FV51" s="871"/>
      <c r="FW51" s="871"/>
      <c r="FX51" s="871"/>
      <c r="FY51" s="871"/>
      <c r="FZ51" s="871"/>
      <c r="GA51" s="871"/>
      <c r="GB51" s="871"/>
      <c r="GC51" s="871"/>
      <c r="GD51" s="871"/>
      <c r="GE51" s="871"/>
      <c r="GF51" s="871"/>
      <c r="GG51" s="871"/>
      <c r="GH51" s="871"/>
      <c r="GI51" s="871"/>
      <c r="GJ51" s="871"/>
      <c r="GK51" s="871"/>
      <c r="GL51" s="871"/>
      <c r="GM51" s="871"/>
      <c r="GN51" s="871"/>
      <c r="GO51" s="871"/>
      <c r="GP51" s="871"/>
      <c r="GQ51" s="871"/>
      <c r="GR51" s="871"/>
      <c r="GS51" s="871"/>
      <c r="GT51" s="871"/>
      <c r="GU51" s="871"/>
      <c r="GV51" s="871"/>
      <c r="GW51" s="871"/>
      <c r="GX51" s="871"/>
      <c r="GY51" s="871"/>
      <c r="GZ51" s="871"/>
      <c r="HA51" s="871"/>
      <c r="HB51" s="871"/>
      <c r="HC51" s="871"/>
      <c r="HD51" s="871"/>
      <c r="HE51" s="871"/>
      <c r="HF51" s="871"/>
      <c r="HG51" s="871"/>
      <c r="HH51" s="871"/>
      <c r="HI51" s="871"/>
      <c r="HJ51" s="871"/>
      <c r="HK51" s="871"/>
      <c r="HL51" s="871"/>
      <c r="HM51" s="871"/>
      <c r="HN51" s="871"/>
      <c r="HO51" s="871"/>
    </row>
    <row r="52" spans="1:223" ht="3.75" customHeight="1" thickTop="1">
      <c r="B52" s="1212"/>
      <c r="C52" s="1212"/>
      <c r="D52" s="1212"/>
      <c r="E52" s="1212"/>
      <c r="F52" s="1260"/>
      <c r="G52" s="1212"/>
      <c r="H52" s="1212"/>
      <c r="I52" s="1212"/>
      <c r="J52" s="1212"/>
      <c r="K52" s="1212"/>
      <c r="L52" s="1216"/>
      <c r="M52" s="1212"/>
      <c r="N52" s="1212"/>
      <c r="O52" s="1212"/>
      <c r="P52" s="1212"/>
      <c r="Q52" s="1212"/>
      <c r="R52" s="1217"/>
      <c r="S52" s="1212"/>
      <c r="T52" s="1212"/>
      <c r="U52" s="1212"/>
      <c r="V52" s="1212"/>
      <c r="W52" s="1218"/>
      <c r="X52" s="1215"/>
      <c r="Y52" s="1215"/>
      <c r="Z52" s="1215"/>
      <c r="AA52" s="1215"/>
      <c r="AB52" s="1215"/>
      <c r="AC52" s="1215"/>
      <c r="AD52" s="1215"/>
      <c r="AE52" s="1215"/>
      <c r="AF52" s="1215"/>
      <c r="AH52" s="1215"/>
      <c r="AM52" s="868"/>
      <c r="AN52" s="868"/>
      <c r="AO52" s="868"/>
      <c r="AP52" s="868"/>
      <c r="AQ52" s="868"/>
      <c r="AR52" s="868"/>
      <c r="CA52" s="1506"/>
      <c r="CB52" s="1506"/>
      <c r="CC52" s="1506"/>
      <c r="CD52" s="1491"/>
      <c r="CE52" s="1501"/>
      <c r="CF52" s="1501"/>
      <c r="CG52" s="1490"/>
      <c r="CI52" s="1498" t="s">
        <v>1350</v>
      </c>
      <c r="CJ52" s="1501"/>
      <c r="CK52" s="1501" t="s">
        <v>1264</v>
      </c>
      <c r="CL52" s="1501" t="s">
        <v>1263</v>
      </c>
      <c r="CM52" s="1491"/>
      <c r="CP52" s="1489" t="s">
        <v>1267</v>
      </c>
      <c r="CR52" s="1489"/>
      <c r="CS52" s="1489"/>
      <c r="CT52" s="1507"/>
      <c r="CU52" s="1507"/>
      <c r="CV52" s="1507"/>
      <c r="CW52" s="1507"/>
      <c r="CX52" s="1507"/>
      <c r="CY52" s="1507"/>
      <c r="CZ52" s="1507"/>
      <c r="DA52" s="1507"/>
      <c r="DB52" s="1507"/>
      <c r="DS52" s="841"/>
      <c r="DT52" s="841"/>
      <c r="DU52" s="841"/>
      <c r="DV52" s="841"/>
      <c r="DW52" s="841"/>
      <c r="DX52" s="841"/>
      <c r="DY52" s="841"/>
      <c r="DZ52" s="841"/>
      <c r="EA52" s="841"/>
      <c r="EB52" s="841"/>
      <c r="EC52" s="841"/>
      <c r="ED52" s="841"/>
      <c r="EE52" s="841"/>
      <c r="EF52" s="841"/>
      <c r="EG52" s="841"/>
      <c r="EH52" s="841"/>
      <c r="EI52" s="841"/>
      <c r="EJ52" s="841"/>
      <c r="EK52" s="841"/>
      <c r="EL52" s="841"/>
      <c r="EM52" s="841"/>
      <c r="EN52" s="841"/>
      <c r="EO52" s="841"/>
      <c r="EP52" s="841"/>
      <c r="EQ52" s="841"/>
      <c r="ER52" s="841"/>
      <c r="ES52" s="841"/>
      <c r="ET52" s="841"/>
      <c r="EU52" s="841"/>
      <c r="EV52" s="841"/>
      <c r="EW52" s="841"/>
      <c r="EX52" s="841"/>
      <c r="EY52" s="841"/>
      <c r="EZ52" s="841"/>
      <c r="FA52" s="841"/>
      <c r="FB52" s="841"/>
      <c r="FC52" s="841"/>
      <c r="FD52" s="841"/>
      <c r="FE52" s="841"/>
      <c r="FF52" s="841"/>
      <c r="FG52" s="841"/>
      <c r="FH52" s="841"/>
      <c r="FI52" s="841"/>
      <c r="FJ52" s="841"/>
      <c r="FK52" s="841"/>
      <c r="FL52" s="841"/>
      <c r="FM52" s="841"/>
      <c r="FN52" s="841"/>
      <c r="FO52" s="841"/>
      <c r="FP52" s="841"/>
      <c r="FQ52" s="841"/>
      <c r="FR52" s="841"/>
      <c r="FS52" s="841"/>
      <c r="FT52" s="841"/>
      <c r="FU52" s="841"/>
      <c r="FV52" s="841"/>
      <c r="FW52" s="841"/>
      <c r="FX52" s="841"/>
      <c r="FY52" s="841"/>
      <c r="FZ52" s="841"/>
      <c r="GA52" s="841"/>
      <c r="GB52" s="841"/>
      <c r="GC52" s="841"/>
      <c r="GD52" s="841"/>
      <c r="GE52" s="841"/>
      <c r="GF52" s="841"/>
      <c r="GG52" s="841"/>
      <c r="GH52" s="841"/>
      <c r="GI52" s="841"/>
      <c r="GJ52" s="841"/>
      <c r="GK52" s="841"/>
      <c r="GL52" s="841"/>
      <c r="GM52" s="841"/>
      <c r="GN52" s="841"/>
      <c r="GO52" s="841"/>
      <c r="GP52" s="841"/>
      <c r="GQ52" s="841"/>
      <c r="GR52" s="841"/>
      <c r="GS52" s="841"/>
      <c r="GT52" s="841"/>
      <c r="GU52" s="841"/>
      <c r="GV52" s="841"/>
      <c r="GW52" s="841"/>
      <c r="GX52" s="841"/>
      <c r="GY52" s="841"/>
      <c r="GZ52" s="841"/>
      <c r="HA52" s="841"/>
      <c r="HB52" s="841"/>
      <c r="HC52" s="841"/>
      <c r="HD52" s="841"/>
      <c r="HE52" s="841"/>
      <c r="HF52" s="841"/>
      <c r="HG52" s="841"/>
      <c r="HH52" s="841"/>
      <c r="HI52" s="841"/>
      <c r="HJ52" s="841"/>
      <c r="HK52" s="841"/>
      <c r="HL52" s="841"/>
      <c r="HM52" s="841"/>
      <c r="HN52" s="841"/>
      <c r="HO52" s="841"/>
    </row>
    <row r="53" spans="1:223" ht="14.1" customHeight="1">
      <c r="B53" s="1212"/>
      <c r="C53" s="1212"/>
      <c r="D53" s="1212"/>
      <c r="E53" s="1212"/>
      <c r="F53" s="1260"/>
      <c r="G53" s="1212"/>
      <c r="H53" s="1212"/>
      <c r="I53" s="1212"/>
      <c r="J53" s="1212"/>
      <c r="K53" s="1212"/>
      <c r="L53" s="1216"/>
      <c r="M53" s="1212"/>
      <c r="N53" s="1212"/>
      <c r="O53" s="1212"/>
      <c r="P53" s="1212"/>
      <c r="Q53" s="1212"/>
      <c r="R53" s="1217"/>
      <c r="S53" s="1212"/>
      <c r="T53" s="1212"/>
      <c r="U53" s="1212"/>
      <c r="V53" s="1212"/>
      <c r="W53" s="1218"/>
      <c r="X53" s="1215"/>
      <c r="Y53" s="1215"/>
      <c r="Z53" s="1215"/>
      <c r="AA53" s="1215"/>
      <c r="AB53" s="1215"/>
      <c r="AC53" s="1215"/>
      <c r="AD53" s="1215"/>
      <c r="AE53" s="1215"/>
      <c r="AF53" s="1215"/>
      <c r="AH53" s="1215"/>
      <c r="AM53" s="868"/>
      <c r="AN53" s="868"/>
      <c r="AO53" s="868"/>
      <c r="AP53" s="868"/>
      <c r="AQ53" s="868"/>
      <c r="AR53" s="868"/>
      <c r="CD53" s="1491"/>
      <c r="CE53" s="1501"/>
      <c r="CF53" s="1501"/>
      <c r="CG53" s="1490"/>
      <c r="CI53" s="1501" t="s">
        <v>1351</v>
      </c>
      <c r="CJ53" s="1501"/>
      <c r="CK53" s="1491"/>
      <c r="CR53" s="1489"/>
      <c r="CS53" s="1489"/>
      <c r="CT53" s="1507"/>
      <c r="CU53" s="1507"/>
      <c r="CV53" s="1507"/>
      <c r="CW53" s="1507"/>
      <c r="CX53" s="1507"/>
      <c r="CY53" s="1507"/>
      <c r="CZ53" s="1507"/>
      <c r="DA53" s="1507"/>
      <c r="DB53" s="1507"/>
      <c r="DS53" s="841"/>
      <c r="DT53" s="841"/>
      <c r="DU53" s="841"/>
      <c r="DV53" s="841"/>
      <c r="DW53" s="841"/>
      <c r="DX53" s="841"/>
      <c r="DY53" s="841"/>
      <c r="DZ53" s="841"/>
      <c r="EA53" s="841"/>
      <c r="EB53" s="841"/>
      <c r="EC53" s="841"/>
      <c r="ED53" s="841"/>
      <c r="EE53" s="841"/>
      <c r="EF53" s="841"/>
      <c r="EG53" s="841"/>
      <c r="EH53" s="841"/>
      <c r="EI53" s="841"/>
      <c r="EJ53" s="841"/>
      <c r="EK53" s="841"/>
      <c r="EL53" s="841"/>
      <c r="EM53" s="841"/>
      <c r="EN53" s="841"/>
      <c r="EO53" s="841"/>
      <c r="EP53" s="841"/>
      <c r="EQ53" s="841"/>
      <c r="ER53" s="841"/>
      <c r="ES53" s="841"/>
      <c r="ET53" s="841"/>
      <c r="EU53" s="841"/>
      <c r="EV53" s="841"/>
      <c r="EW53" s="841"/>
      <c r="EX53" s="841"/>
      <c r="EY53" s="841"/>
      <c r="EZ53" s="841"/>
      <c r="FA53" s="841"/>
      <c r="FB53" s="841"/>
      <c r="FC53" s="841"/>
      <c r="FD53" s="841"/>
      <c r="FE53" s="841"/>
      <c r="FF53" s="841"/>
      <c r="FG53" s="841"/>
      <c r="FH53" s="841"/>
      <c r="FI53" s="841"/>
      <c r="FJ53" s="841"/>
      <c r="FK53" s="841"/>
      <c r="FL53" s="841"/>
      <c r="FM53" s="841"/>
      <c r="FN53" s="841"/>
      <c r="FO53" s="841"/>
      <c r="FP53" s="841"/>
      <c r="FQ53" s="841"/>
      <c r="FR53" s="841"/>
      <c r="FS53" s="841"/>
      <c r="FT53" s="841"/>
      <c r="FU53" s="841"/>
      <c r="FV53" s="841"/>
      <c r="FW53" s="841"/>
      <c r="FX53" s="841"/>
      <c r="FY53" s="841"/>
      <c r="FZ53" s="841"/>
      <c r="GA53" s="841"/>
      <c r="GB53" s="841"/>
      <c r="GC53" s="841"/>
      <c r="GD53" s="841"/>
      <c r="GE53" s="841"/>
      <c r="GF53" s="841"/>
      <c r="GG53" s="841"/>
      <c r="GH53" s="841"/>
      <c r="GI53" s="841"/>
      <c r="GJ53" s="841"/>
      <c r="GK53" s="841"/>
      <c r="GL53" s="841"/>
      <c r="GM53" s="841"/>
      <c r="GN53" s="841"/>
      <c r="GO53" s="841"/>
      <c r="GP53" s="841"/>
      <c r="GQ53" s="841"/>
      <c r="GR53" s="841"/>
      <c r="GS53" s="841"/>
      <c r="GT53" s="841"/>
      <c r="GU53" s="841"/>
      <c r="GV53" s="841"/>
      <c r="GW53" s="841"/>
      <c r="GX53" s="841"/>
      <c r="GY53" s="841"/>
      <c r="GZ53" s="841"/>
      <c r="HA53" s="841"/>
      <c r="HB53" s="841"/>
      <c r="HC53" s="841"/>
      <c r="HD53" s="841"/>
      <c r="HE53" s="841"/>
      <c r="HF53" s="841"/>
      <c r="HG53" s="841"/>
      <c r="HH53" s="841"/>
      <c r="HI53" s="841"/>
      <c r="HJ53" s="841"/>
      <c r="HK53" s="841"/>
      <c r="HL53" s="841"/>
      <c r="HM53" s="841"/>
      <c r="HN53" s="841"/>
      <c r="HO53" s="841"/>
    </row>
    <row r="54" spans="1:223" s="873" customFormat="1" ht="21" customHeight="1" thickBot="1">
      <c r="A54" s="869"/>
      <c r="B54" s="1206"/>
      <c r="C54" s="1219"/>
      <c r="D54" s="1206"/>
      <c r="E54" s="1219"/>
      <c r="F54" s="1206"/>
      <c r="G54" s="1219"/>
      <c r="H54" s="1206"/>
      <c r="I54" s="1219"/>
      <c r="J54" s="2104"/>
      <c r="K54" s="2105"/>
      <c r="L54" s="2106"/>
      <c r="M54" s="1219"/>
      <c r="N54" s="1206"/>
      <c r="O54" s="1219"/>
      <c r="P54" s="1220">
        <f>IF(AND(D54&gt;0,ISBLANK(H54)),"Falta prod voz",(IF(ISBLANK(H54),0,VLOOKUP(H54,Calculos_cuotas!$A$12:$C$20,3,FALSE))+IF(ISBLANK(J54),0,VLOOKUP(J54,Calculos_cuotas!$G$9:$H$11,2,FALSE))+Calculos_cuotas!$C$21))</f>
        <v>0</v>
      </c>
      <c r="Q54" s="1219"/>
      <c r="R54" s="1220">
        <f>IF(P54="Falta prod voz", "ND",D54*P54)</f>
        <v>0</v>
      </c>
      <c r="S54" s="1219"/>
      <c r="T54" s="1206"/>
      <c r="U54" s="1219"/>
      <c r="V54" s="1221">
        <f>IF(AND(T54="Sí",$D$17&lt;&gt;"Preaprobadas"),Calculos_cuotas!$W$47,0%)</f>
        <v>0</v>
      </c>
      <c r="W54" s="1222">
        <f>V54*R54</f>
        <v>0</v>
      </c>
      <c r="X54" s="1221">
        <f>IF(P54="Falta prod voz","ND",IF($D$17="Óptima RPV",IF(($R$82+$L$111)&lt;Calculos_cuotas!$Y$34,Calculos_cuotas!$Z$34,IF(($R$82+$L$111)&lt;Calculos_cuotas!$Y$35,Calculos_cuotas!$Z$35,IF(($R$82+$L$111)&lt;Calculos_cuotas!$Y$36,Calculos_cuotas!$Z$36,IF(($R$82+$L$111)&lt;Calculos_cuotas!$Y$37,Calculos_cuotas!$Z$37,Calculos_cuotas!$Z$38)))),0%))</f>
        <v>0.1</v>
      </c>
      <c r="Y54" s="1215"/>
      <c r="Z54" s="1220">
        <f>IF(OR(P54="Falta prod voz",$M$33&gt;0),"ND",IF($D$17&lt;&gt;"Preaprobadas",P54*(1-V54-X54),IF($J$17="Cartera Orange", IF(ISBLANK(H54),0,VLOOKUP(H54,$J$21:$L$29,3,FALSE))+IF(ISBLANK(J54),0,VLOOKUP(J54,$J$30:$L$32,3,FALSE)),IF(ISBLANK(H54),0,VLOOKUP(H54,Calculos_cuotas!$A$183:$F$191,1+Calculos_cuotas!$B$177,FALSE))+IF(ISBLANK(J54),0,VLOOKUP(J54,Calculos_cuotas!$A$192:$F$194,1+Calculos_cuotas!$B$177,FALSE)))))</f>
        <v>0</v>
      </c>
      <c r="AA54" s="1228"/>
      <c r="AB54" s="1220">
        <f>IF(Z54="ND","ND",D54*Z54)</f>
        <v>0</v>
      </c>
      <c r="AC54" s="1215"/>
      <c r="AD54" s="1221">
        <f>IF($D$17&lt;&gt;"Preaprobadas",Calculos_cuotas!$W$43,0%)</f>
        <v>0.1</v>
      </c>
      <c r="AE54" s="1215"/>
      <c r="AF54" s="1220">
        <f>IF(OR(P54="Falta prod voz",$M$33&gt;0),"ND",IF($D$17&lt;&gt;"Preaprobadas",P54*(1-V54-X54-AD54),IF($J$17="Cartera Orange", IF(ISBLANK(H54),0,VLOOKUP(H54,$J$21:$L$29,3,FALSE))+IF(ISBLANK(J54),0,VLOOKUP(J54,$J$30:$L$32,3,FALSE)),IF(Calculos_cuotas!$T$43&gt;0%,IF(ISBLANK(H54),0,VLOOKUP(H54,Calculos_cuotas!$A$198:$F$209,1+Calculos_cuotas!$B$177,FALSE))+IF(ISBLANK(J54),0,VLOOKUP(J54,Calculos_cuotas!$A$207:$F$209,1+Calculos_cuotas!$B$177,FALSE)),Z54))))</f>
        <v>0</v>
      </c>
      <c r="AG54" s="1219"/>
      <c r="AH54" s="1220">
        <f>IF(D77=1,"N/D",IF(AF54="ND","ND",D54*AF54))</f>
        <v>0</v>
      </c>
      <c r="AI54" s="869"/>
      <c r="AJ54" s="869"/>
      <c r="AK54" s="869"/>
      <c r="AL54" s="869"/>
      <c r="AM54" s="1348"/>
      <c r="AN54" s="1348"/>
      <c r="AO54" s="1348"/>
      <c r="AP54" s="1348"/>
      <c r="AQ54" s="1348"/>
      <c r="AR54" s="1348"/>
      <c r="AS54" s="1348"/>
      <c r="AT54" s="872"/>
      <c r="AU54" s="872"/>
      <c r="AV54" s="872"/>
      <c r="AW54" s="872"/>
      <c r="AX54" s="872"/>
      <c r="AY54" s="872"/>
      <c r="AZ54" s="872"/>
      <c r="BA54" s="872"/>
      <c r="BB54" s="872"/>
      <c r="BC54" s="872"/>
      <c r="BD54" s="872"/>
      <c r="BE54" s="872"/>
      <c r="BF54" s="872"/>
      <c r="BG54" s="872"/>
      <c r="BH54" s="872"/>
      <c r="BI54" s="872"/>
      <c r="BJ54" s="872"/>
      <c r="BK54" s="872"/>
      <c r="BL54" s="872"/>
      <c r="BM54" s="872"/>
      <c r="BN54" s="872"/>
      <c r="BO54" s="872"/>
      <c r="BP54" s="872"/>
      <c r="BQ54" s="872"/>
      <c r="BR54" s="872"/>
      <c r="BS54" s="872"/>
      <c r="BT54" s="872"/>
      <c r="BU54" s="872"/>
      <c r="BV54" s="872"/>
      <c r="BW54" s="872"/>
      <c r="BX54" s="872"/>
      <c r="BY54" s="872"/>
      <c r="BZ54" s="871"/>
      <c r="CA54" s="871"/>
      <c r="CB54" s="871"/>
      <c r="CC54" s="871"/>
      <c r="CD54" s="1494"/>
      <c r="CE54" s="1501"/>
      <c r="CF54" s="1501"/>
      <c r="CG54" s="1490"/>
      <c r="CH54" s="1501"/>
      <c r="CI54" s="1501" t="s">
        <v>1352</v>
      </c>
      <c r="CJ54" s="1490"/>
      <c r="CK54" s="1490"/>
      <c r="CL54" s="1494"/>
      <c r="CM54" s="1494"/>
      <c r="CN54" s="1494"/>
      <c r="CO54" s="1494"/>
      <c r="CP54" s="1494"/>
      <c r="CQ54" s="1494"/>
      <c r="CR54" s="1494"/>
      <c r="CS54" s="1494"/>
      <c r="CT54" s="2024"/>
      <c r="CU54" s="2024"/>
      <c r="CV54" s="2024"/>
      <c r="CW54" s="2024"/>
      <c r="CX54" s="2024"/>
      <c r="CY54" s="2024"/>
      <c r="CZ54" s="2024"/>
      <c r="DA54" s="2024"/>
      <c r="DB54" s="2024"/>
      <c r="DC54" s="1505"/>
      <c r="DD54" s="1505"/>
      <c r="DE54" s="872"/>
      <c r="DF54" s="872"/>
      <c r="DG54" s="872"/>
      <c r="DH54" s="872"/>
      <c r="DI54" s="872"/>
      <c r="DJ54" s="872"/>
      <c r="DK54" s="872"/>
      <c r="DL54" s="872"/>
      <c r="DM54" s="872"/>
      <c r="DN54" s="872"/>
      <c r="DO54" s="872"/>
      <c r="DP54" s="872"/>
      <c r="DQ54" s="872"/>
      <c r="DR54" s="872"/>
      <c r="DS54" s="871"/>
      <c r="DT54" s="871"/>
      <c r="DU54" s="871"/>
      <c r="DV54" s="871"/>
      <c r="DW54" s="871"/>
      <c r="DX54" s="871"/>
      <c r="DY54" s="871"/>
      <c r="DZ54" s="871"/>
      <c r="EA54" s="871"/>
      <c r="EB54" s="871"/>
      <c r="EC54" s="871"/>
      <c r="ED54" s="871"/>
      <c r="EE54" s="871"/>
      <c r="EF54" s="871"/>
      <c r="EG54" s="871"/>
      <c r="EH54" s="871"/>
      <c r="EI54" s="871"/>
      <c r="EJ54" s="871"/>
      <c r="EK54" s="871"/>
      <c r="EL54" s="871"/>
      <c r="EM54" s="871"/>
      <c r="EN54" s="871"/>
      <c r="EO54" s="871"/>
      <c r="EP54" s="871"/>
      <c r="EQ54" s="871"/>
      <c r="ER54" s="871"/>
      <c r="ES54" s="871"/>
      <c r="ET54" s="871"/>
      <c r="EU54" s="871"/>
      <c r="EV54" s="871"/>
      <c r="EW54" s="871"/>
      <c r="EX54" s="871"/>
      <c r="EY54" s="871"/>
      <c r="EZ54" s="871"/>
      <c r="FA54" s="871"/>
      <c r="FB54" s="871"/>
      <c r="FC54" s="871"/>
      <c r="FD54" s="871"/>
      <c r="FE54" s="871"/>
      <c r="FF54" s="871"/>
      <c r="FG54" s="871"/>
      <c r="FH54" s="871"/>
      <c r="FI54" s="871"/>
      <c r="FJ54" s="871"/>
      <c r="FK54" s="871"/>
      <c r="FL54" s="871"/>
      <c r="FM54" s="871"/>
      <c r="FN54" s="871"/>
      <c r="FO54" s="871"/>
      <c r="FP54" s="871"/>
      <c r="FQ54" s="871"/>
      <c r="FR54" s="871"/>
      <c r="FS54" s="871"/>
      <c r="FT54" s="871"/>
      <c r="FU54" s="871"/>
      <c r="FV54" s="871"/>
      <c r="FW54" s="871"/>
      <c r="FX54" s="871"/>
      <c r="FY54" s="871"/>
      <c r="FZ54" s="871"/>
      <c r="GA54" s="871"/>
      <c r="GB54" s="871"/>
      <c r="GC54" s="871"/>
      <c r="GD54" s="871"/>
      <c r="GE54" s="871"/>
      <c r="GF54" s="871"/>
      <c r="GG54" s="871"/>
      <c r="GH54" s="871"/>
      <c r="GI54" s="871"/>
      <c r="GJ54" s="871"/>
      <c r="GK54" s="871"/>
      <c r="GL54" s="871"/>
      <c r="GM54" s="871"/>
      <c r="GN54" s="871"/>
      <c r="GO54" s="871"/>
      <c r="GP54" s="871"/>
      <c r="GQ54" s="871"/>
      <c r="GR54" s="871"/>
      <c r="GS54" s="871"/>
      <c r="GT54" s="871"/>
      <c r="GU54" s="871"/>
      <c r="GV54" s="871"/>
      <c r="GW54" s="871"/>
      <c r="GX54" s="871"/>
      <c r="GY54" s="871"/>
      <c r="GZ54" s="871"/>
      <c r="HA54" s="871"/>
      <c r="HB54" s="871"/>
      <c r="HC54" s="871"/>
      <c r="HD54" s="871"/>
      <c r="HE54" s="871"/>
      <c r="HF54" s="871"/>
      <c r="HG54" s="871"/>
      <c r="HH54" s="871"/>
      <c r="HI54" s="871"/>
      <c r="HJ54" s="871"/>
      <c r="HK54" s="871"/>
      <c r="HL54" s="871"/>
      <c r="HM54" s="871"/>
      <c r="HN54" s="871"/>
      <c r="HO54" s="871"/>
    </row>
    <row r="55" spans="1:223" ht="6" customHeight="1" thickTop="1">
      <c r="B55" s="1212"/>
      <c r="C55" s="1212"/>
      <c r="D55" s="1212"/>
      <c r="E55" s="1212"/>
      <c r="F55" s="1260"/>
      <c r="G55" s="1212"/>
      <c r="H55" s="1212"/>
      <c r="I55" s="1212"/>
      <c r="J55" s="1212"/>
      <c r="K55" s="1212"/>
      <c r="L55" s="1216"/>
      <c r="M55" s="1212"/>
      <c r="N55" s="1212"/>
      <c r="O55" s="1212"/>
      <c r="P55" s="1212"/>
      <c r="Q55" s="1212"/>
      <c r="R55" s="1217"/>
      <c r="S55" s="1212"/>
      <c r="T55" s="1212"/>
      <c r="U55" s="1212"/>
      <c r="V55" s="1212"/>
      <c r="W55" s="1218"/>
      <c r="X55" s="1215"/>
      <c r="Y55" s="1215"/>
      <c r="Z55" s="1215"/>
      <c r="AA55" s="1215"/>
      <c r="AB55" s="1215"/>
      <c r="AC55" s="1215"/>
      <c r="AD55" s="1215"/>
      <c r="AE55" s="1215"/>
      <c r="AF55" s="1215"/>
      <c r="AH55" s="1215"/>
      <c r="AM55" s="868"/>
      <c r="AN55" s="868"/>
      <c r="AO55" s="868"/>
      <c r="AP55" s="868"/>
      <c r="AQ55" s="868"/>
      <c r="AR55" s="868"/>
      <c r="CA55" s="1506"/>
      <c r="CB55" s="1506"/>
      <c r="CC55" s="1506"/>
      <c r="CD55" s="1491"/>
      <c r="CE55" s="1501"/>
      <c r="CF55" s="1501"/>
      <c r="CG55" s="1490"/>
      <c r="CI55" s="1501" t="s">
        <v>1353</v>
      </c>
      <c r="CR55" s="1489"/>
      <c r="CS55" s="1489"/>
      <c r="CT55" s="1507"/>
      <c r="CU55" s="1507"/>
      <c r="CV55" s="1507"/>
      <c r="CW55" s="1507"/>
      <c r="CX55" s="1507"/>
      <c r="CY55" s="1507"/>
      <c r="CZ55" s="1507"/>
      <c r="DA55" s="1507"/>
      <c r="DB55" s="1507"/>
      <c r="DS55" s="841"/>
      <c r="DT55" s="841"/>
      <c r="DU55" s="841"/>
      <c r="DV55" s="841"/>
      <c r="DW55" s="841"/>
      <c r="DX55" s="841"/>
      <c r="DY55" s="841"/>
      <c r="DZ55" s="841"/>
      <c r="EA55" s="841"/>
      <c r="EB55" s="841"/>
      <c r="EC55" s="841"/>
      <c r="ED55" s="841"/>
      <c r="EE55" s="841"/>
      <c r="EF55" s="841"/>
      <c r="EG55" s="841"/>
      <c r="EH55" s="841"/>
      <c r="EI55" s="841"/>
      <c r="EJ55" s="841"/>
      <c r="EK55" s="841"/>
      <c r="EL55" s="841"/>
      <c r="EM55" s="841"/>
      <c r="EN55" s="841"/>
      <c r="EO55" s="841"/>
      <c r="EP55" s="841"/>
      <c r="EQ55" s="841"/>
      <c r="ER55" s="841"/>
      <c r="ES55" s="841"/>
      <c r="ET55" s="841"/>
      <c r="EU55" s="841"/>
      <c r="EV55" s="841"/>
      <c r="EW55" s="841"/>
      <c r="EX55" s="841"/>
      <c r="EY55" s="841"/>
      <c r="EZ55" s="841"/>
      <c r="FA55" s="841"/>
      <c r="FB55" s="841"/>
      <c r="FC55" s="841"/>
      <c r="FD55" s="841"/>
      <c r="FE55" s="841"/>
      <c r="FF55" s="841"/>
      <c r="FG55" s="841"/>
      <c r="FH55" s="841"/>
      <c r="FI55" s="841"/>
      <c r="FJ55" s="841"/>
      <c r="FK55" s="841"/>
      <c r="FL55" s="841"/>
      <c r="FM55" s="841"/>
      <c r="FN55" s="841"/>
      <c r="FO55" s="841"/>
      <c r="FP55" s="841"/>
      <c r="FQ55" s="841"/>
      <c r="FR55" s="841"/>
      <c r="FS55" s="841"/>
      <c r="FT55" s="841"/>
      <c r="FU55" s="841"/>
      <c r="FV55" s="841"/>
      <c r="FW55" s="841"/>
      <c r="FX55" s="841"/>
      <c r="FY55" s="841"/>
      <c r="FZ55" s="841"/>
      <c r="GA55" s="841"/>
      <c r="GB55" s="841"/>
      <c r="GC55" s="841"/>
      <c r="GD55" s="841"/>
      <c r="GE55" s="841"/>
      <c r="GF55" s="841"/>
      <c r="GG55" s="841"/>
      <c r="GH55" s="841"/>
      <c r="GI55" s="841"/>
      <c r="GJ55" s="841"/>
      <c r="GK55" s="841"/>
      <c r="GL55" s="841"/>
      <c r="GM55" s="841"/>
      <c r="GN55" s="841"/>
      <c r="GO55" s="841"/>
      <c r="GP55" s="841"/>
      <c r="GQ55" s="841"/>
      <c r="GR55" s="841"/>
      <c r="GS55" s="841"/>
      <c r="GT55" s="841"/>
      <c r="GU55" s="841"/>
      <c r="GV55" s="841"/>
      <c r="GW55" s="841"/>
      <c r="GX55" s="841"/>
      <c r="GY55" s="841"/>
      <c r="GZ55" s="841"/>
      <c r="HA55" s="841"/>
      <c r="HB55" s="841"/>
      <c r="HC55" s="841"/>
      <c r="HD55" s="841"/>
      <c r="HE55" s="841"/>
      <c r="HF55" s="841"/>
      <c r="HG55" s="841"/>
      <c r="HH55" s="841"/>
      <c r="HI55" s="841"/>
      <c r="HJ55" s="841"/>
      <c r="HK55" s="841"/>
      <c r="HL55" s="841"/>
      <c r="HM55" s="841"/>
      <c r="HN55" s="841"/>
      <c r="HO55" s="841"/>
    </row>
    <row r="56" spans="1:223" ht="7.5" customHeight="1">
      <c r="B56" s="1212"/>
      <c r="C56" s="1212"/>
      <c r="D56" s="1212"/>
      <c r="E56" s="1212"/>
      <c r="F56" s="1260"/>
      <c r="G56" s="1212"/>
      <c r="H56" s="1212"/>
      <c r="I56" s="1212"/>
      <c r="J56" s="1212"/>
      <c r="K56" s="1212"/>
      <c r="L56" s="1216"/>
      <c r="M56" s="1212"/>
      <c r="N56" s="1212"/>
      <c r="O56" s="1212"/>
      <c r="P56" s="1212"/>
      <c r="Q56" s="1212"/>
      <c r="R56" s="1217"/>
      <c r="S56" s="1212"/>
      <c r="T56" s="1212"/>
      <c r="U56" s="1212"/>
      <c r="V56" s="1212"/>
      <c r="W56" s="1218"/>
      <c r="X56" s="1215"/>
      <c r="Y56" s="1215"/>
      <c r="Z56" s="1215"/>
      <c r="AA56" s="1215"/>
      <c r="AB56" s="1215"/>
      <c r="AC56" s="1215"/>
      <c r="AD56" s="1215"/>
      <c r="AE56" s="1215"/>
      <c r="AF56" s="1215"/>
      <c r="AH56" s="1215"/>
      <c r="AM56" s="868"/>
      <c r="AN56" s="868"/>
      <c r="AO56" s="868"/>
      <c r="AP56" s="868"/>
      <c r="AQ56" s="868"/>
      <c r="AR56" s="868"/>
      <c r="CD56" s="1491"/>
      <c r="CE56" s="1501"/>
      <c r="CF56" s="1501"/>
      <c r="CG56" s="1490"/>
      <c r="CI56" s="1501" t="s">
        <v>1354</v>
      </c>
      <c r="CR56" s="1489"/>
      <c r="CS56" s="1489"/>
      <c r="CT56" s="1507"/>
      <c r="CU56" s="1507"/>
      <c r="CV56" s="1507"/>
      <c r="CW56" s="1507"/>
      <c r="CX56" s="1507"/>
      <c r="CY56" s="1507"/>
      <c r="CZ56" s="1507"/>
      <c r="DA56" s="1507"/>
      <c r="DB56" s="1507"/>
      <c r="DS56" s="841"/>
      <c r="DT56" s="841"/>
      <c r="DU56" s="841"/>
      <c r="DV56" s="841"/>
      <c r="DW56" s="841"/>
      <c r="DX56" s="841"/>
      <c r="DY56" s="841"/>
      <c r="DZ56" s="841"/>
      <c r="EA56" s="841"/>
      <c r="EB56" s="841"/>
      <c r="EC56" s="841"/>
      <c r="ED56" s="841"/>
      <c r="EE56" s="841"/>
      <c r="EF56" s="841"/>
      <c r="EG56" s="841"/>
      <c r="EH56" s="841"/>
      <c r="EI56" s="841"/>
      <c r="EJ56" s="841"/>
      <c r="EK56" s="841"/>
      <c r="EL56" s="841"/>
      <c r="EM56" s="841"/>
      <c r="EN56" s="841"/>
      <c r="EO56" s="841"/>
      <c r="EP56" s="841"/>
      <c r="EQ56" s="841"/>
      <c r="ER56" s="841"/>
      <c r="ES56" s="841"/>
      <c r="ET56" s="841"/>
      <c r="EU56" s="841"/>
      <c r="EV56" s="841"/>
      <c r="EW56" s="841"/>
      <c r="EX56" s="841"/>
      <c r="EY56" s="841"/>
      <c r="EZ56" s="841"/>
      <c r="FA56" s="841"/>
      <c r="FB56" s="841"/>
      <c r="FC56" s="841"/>
      <c r="FD56" s="841"/>
      <c r="FE56" s="841"/>
      <c r="FF56" s="841"/>
      <c r="FG56" s="841"/>
      <c r="FH56" s="841"/>
      <c r="FI56" s="841"/>
      <c r="FJ56" s="841"/>
      <c r="FK56" s="841"/>
      <c r="FL56" s="841"/>
      <c r="FM56" s="841"/>
      <c r="FN56" s="841"/>
      <c r="FO56" s="841"/>
      <c r="FP56" s="841"/>
      <c r="FQ56" s="841"/>
      <c r="FR56" s="841"/>
      <c r="FS56" s="841"/>
      <c r="FT56" s="841"/>
      <c r="FU56" s="841"/>
      <c r="FV56" s="841"/>
      <c r="FW56" s="841"/>
      <c r="FX56" s="841"/>
      <c r="FY56" s="841"/>
      <c r="FZ56" s="841"/>
      <c r="GA56" s="841"/>
      <c r="GB56" s="841"/>
      <c r="GC56" s="841"/>
      <c r="GD56" s="841"/>
      <c r="GE56" s="841"/>
      <c r="GF56" s="841"/>
      <c r="GG56" s="841"/>
      <c r="GH56" s="841"/>
      <c r="GI56" s="841"/>
      <c r="GJ56" s="841"/>
      <c r="GK56" s="841"/>
      <c r="GL56" s="841"/>
      <c r="GM56" s="841"/>
      <c r="GN56" s="841"/>
      <c r="GO56" s="841"/>
      <c r="GP56" s="841"/>
      <c r="GQ56" s="841"/>
      <c r="GR56" s="841"/>
      <c r="GS56" s="841"/>
      <c r="GT56" s="841"/>
      <c r="GU56" s="841"/>
      <c r="GV56" s="841"/>
      <c r="GW56" s="841"/>
      <c r="GX56" s="841"/>
      <c r="GY56" s="841"/>
      <c r="GZ56" s="841"/>
      <c r="HA56" s="841"/>
      <c r="HB56" s="841"/>
      <c r="HC56" s="841"/>
      <c r="HD56" s="841"/>
      <c r="HE56" s="841"/>
      <c r="HF56" s="841"/>
      <c r="HG56" s="841"/>
      <c r="HH56" s="841"/>
      <c r="HI56" s="841"/>
      <c r="HJ56" s="841"/>
      <c r="HK56" s="841"/>
      <c r="HL56" s="841"/>
      <c r="HM56" s="841"/>
      <c r="HN56" s="841"/>
      <c r="HO56" s="841"/>
    </row>
    <row r="57" spans="1:223" s="873" customFormat="1" ht="21" customHeight="1" thickBot="1">
      <c r="A57" s="869"/>
      <c r="B57" s="1206"/>
      <c r="C57" s="1219"/>
      <c r="D57" s="1206"/>
      <c r="E57" s="1219"/>
      <c r="F57" s="1206"/>
      <c r="G57" s="1219"/>
      <c r="H57" s="1206"/>
      <c r="I57" s="1219"/>
      <c r="J57" s="2104"/>
      <c r="K57" s="2105"/>
      <c r="L57" s="2106"/>
      <c r="M57" s="1219"/>
      <c r="N57" s="1206"/>
      <c r="O57" s="1219"/>
      <c r="P57" s="1220">
        <f>IF(AND(D57&gt;0,ISBLANK(H57)),"Falta prod voz",(IF(ISBLANK(H57),0,VLOOKUP(H57,Calculos_cuotas!$A$12:$C$20,3,FALSE))+IF(ISBLANK(J57),0,VLOOKUP(J57,Calculos_cuotas!$G$9:$H$11,2,FALSE))+Calculos_cuotas!$C$21))</f>
        <v>0</v>
      </c>
      <c r="Q57" s="1219"/>
      <c r="R57" s="1220">
        <f>IF(P57="Falta prod voz", "ND",D57*P57)</f>
        <v>0</v>
      </c>
      <c r="S57" s="1219"/>
      <c r="T57" s="1206"/>
      <c r="U57" s="1219"/>
      <c r="V57" s="1221">
        <f>IF(AND(T57="Sí",$D$17&lt;&gt;"Preaprobadas"),Calculos_cuotas!$W$47,0%)</f>
        <v>0</v>
      </c>
      <c r="W57" s="1222">
        <f>V57*R57</f>
        <v>0</v>
      </c>
      <c r="X57" s="1221">
        <f>IF(P57="Falta prod voz","ND",IF($D$17="Óptima RPV",IF(($R$82+$L$111)&lt;Calculos_cuotas!$Y$34,Calculos_cuotas!$Z$34,IF(($R$82+$L$111)&lt;Calculos_cuotas!$Y$35,Calculos_cuotas!$Z$35,IF(($R$82+$L$111)&lt;Calculos_cuotas!$Y$36,Calculos_cuotas!$Z$36,IF(($R$82+$L$111)&lt;Calculos_cuotas!$Y$37,Calculos_cuotas!$Z$37,Calculos_cuotas!$Z$38)))),0%))</f>
        <v>0.1</v>
      </c>
      <c r="Y57" s="1215"/>
      <c r="Z57" s="1220">
        <f>IF(OR(P57="Falta prod voz",$M$33&gt;0),"ND",IF($D$17&lt;&gt;"Preaprobadas",P57*(1-V57-X57),IF($J$17="Cartera Orange", IF(ISBLANK(H57),0,VLOOKUP(H57,$J$21:$L$29,3,FALSE))+IF(ISBLANK(J57),0,VLOOKUP(J57,$J$30:$L$32,3,FALSE)),IF(ISBLANK(H57),0,VLOOKUP(H57,Calculos_cuotas!$A$183:$F$191,1+Calculos_cuotas!$B$177,FALSE))+IF(ISBLANK(J57),0,VLOOKUP(J57,Calculos_cuotas!$A$192:$F$194,1+Calculos_cuotas!$B$177,FALSE)))))</f>
        <v>0</v>
      </c>
      <c r="AA57" s="1228"/>
      <c r="AB57" s="1220">
        <f>IF(Z57="ND","ND",D57*Z57)</f>
        <v>0</v>
      </c>
      <c r="AC57" s="1215"/>
      <c r="AD57" s="1221">
        <f>IF($D$17&lt;&gt;"Preaprobadas",Calculos_cuotas!$W$43,0%)</f>
        <v>0.1</v>
      </c>
      <c r="AE57" s="1215"/>
      <c r="AF57" s="1220">
        <f>IF(OR(P57="Falta prod voz",$M$33&gt;0),"ND",IF($D$17&lt;&gt;"Preaprobadas",P57*(1-V57-X57-AD57),IF($J$17="Cartera Orange", IF(ISBLANK(H57),0,VLOOKUP(H57,$J$21:$L$29,3,FALSE))+IF(ISBLANK(J57),0,VLOOKUP(J57,$J$30:$L$32,3,FALSE)),IF(Calculos_cuotas!$T$43&gt;0%,IF(ISBLANK(H57),0,VLOOKUP(H57,Calculos_cuotas!$A$198:$F$209,1+Calculos_cuotas!$B$177,FALSE))+IF(ISBLANK(J57),0,VLOOKUP(J57,Calculos_cuotas!$A$207:$F$209,1+Calculos_cuotas!$B$177,FALSE)),Z57))))</f>
        <v>0</v>
      </c>
      <c r="AG57" s="1219"/>
      <c r="AH57" s="1220">
        <f>IF(D77=1,"N/D",IF(AF57="ND","ND",D57*AF57))</f>
        <v>0</v>
      </c>
      <c r="AI57" s="869"/>
      <c r="AJ57" s="869"/>
      <c r="AK57" s="869"/>
      <c r="AL57" s="869"/>
      <c r="AM57" s="1348"/>
      <c r="AN57" s="1348"/>
      <c r="AO57" s="1348"/>
      <c r="AP57" s="1348"/>
      <c r="AQ57" s="1348"/>
      <c r="AR57" s="1348"/>
      <c r="AS57" s="1348"/>
      <c r="AT57" s="872"/>
      <c r="AU57" s="872"/>
      <c r="AV57" s="872"/>
      <c r="AW57" s="872"/>
      <c r="AX57" s="872"/>
      <c r="AY57" s="872"/>
      <c r="AZ57" s="872"/>
      <c r="BA57" s="872"/>
      <c r="BB57" s="872"/>
      <c r="BC57" s="872"/>
      <c r="BD57" s="872"/>
      <c r="BE57" s="872"/>
      <c r="BF57" s="872"/>
      <c r="BG57" s="872"/>
      <c r="BH57" s="872"/>
      <c r="BI57" s="872"/>
      <c r="BJ57" s="872"/>
      <c r="BK57" s="872"/>
      <c r="BL57" s="872"/>
      <c r="BM57" s="872"/>
      <c r="BN57" s="872"/>
      <c r="BO57" s="872"/>
      <c r="BP57" s="872"/>
      <c r="BQ57" s="872"/>
      <c r="BR57" s="872"/>
      <c r="BS57" s="872"/>
      <c r="BT57" s="872"/>
      <c r="BU57" s="872"/>
      <c r="BV57" s="872"/>
      <c r="BW57" s="872"/>
      <c r="BX57" s="872"/>
      <c r="BY57" s="872"/>
      <c r="BZ57" s="871"/>
      <c r="CA57" s="871"/>
      <c r="CB57" s="871"/>
      <c r="CC57" s="871"/>
      <c r="CD57" s="1494"/>
      <c r="CE57" s="1501"/>
      <c r="CF57" s="1501"/>
      <c r="CG57" s="1490"/>
      <c r="CH57" s="1503"/>
      <c r="CI57" s="1501" t="s">
        <v>1355</v>
      </c>
      <c r="CJ57" s="871"/>
      <c r="CK57" s="871"/>
      <c r="CL57" s="1494"/>
      <c r="CM57" s="1494"/>
      <c r="CN57" s="1494"/>
      <c r="CO57" s="1494"/>
      <c r="CP57" s="1494"/>
      <c r="CQ57" s="1494"/>
      <c r="CR57" s="1494"/>
      <c r="CS57" s="1494"/>
      <c r="CT57" s="2024"/>
      <c r="CU57" s="2024"/>
      <c r="CV57" s="2024"/>
      <c r="CW57" s="2024"/>
      <c r="CX57" s="2024"/>
      <c r="CY57" s="2024"/>
      <c r="CZ57" s="2024"/>
      <c r="DA57" s="2024"/>
      <c r="DB57" s="2024"/>
      <c r="DC57" s="1505"/>
      <c r="DD57" s="1505"/>
      <c r="DE57" s="872"/>
      <c r="DF57" s="872"/>
      <c r="DG57" s="872"/>
      <c r="DH57" s="872"/>
      <c r="DI57" s="872"/>
      <c r="DJ57" s="872"/>
      <c r="DK57" s="872"/>
      <c r="DL57" s="872"/>
      <c r="DM57" s="872"/>
      <c r="DN57" s="872"/>
      <c r="DO57" s="872"/>
      <c r="DP57" s="872"/>
      <c r="DQ57" s="872"/>
      <c r="DR57" s="872"/>
      <c r="DS57" s="871"/>
      <c r="DT57" s="871"/>
      <c r="DU57" s="871"/>
      <c r="DV57" s="871"/>
      <c r="DW57" s="871"/>
      <c r="DX57" s="871"/>
      <c r="DY57" s="871"/>
      <c r="DZ57" s="871"/>
      <c r="EA57" s="871"/>
      <c r="EB57" s="871"/>
      <c r="EC57" s="871"/>
      <c r="ED57" s="871"/>
      <c r="EE57" s="871"/>
      <c r="EF57" s="871"/>
      <c r="EG57" s="871"/>
      <c r="EH57" s="871"/>
      <c r="EI57" s="871"/>
      <c r="EJ57" s="871"/>
      <c r="EK57" s="871"/>
      <c r="EL57" s="871"/>
      <c r="EM57" s="871"/>
      <c r="EN57" s="871"/>
      <c r="EO57" s="871"/>
      <c r="EP57" s="871"/>
      <c r="EQ57" s="871"/>
      <c r="ER57" s="871"/>
      <c r="ES57" s="871"/>
      <c r="ET57" s="871"/>
      <c r="EU57" s="871"/>
      <c r="EV57" s="871"/>
      <c r="EW57" s="871"/>
      <c r="EX57" s="871"/>
      <c r="EY57" s="871"/>
      <c r="EZ57" s="871"/>
      <c r="FA57" s="871"/>
      <c r="FB57" s="871"/>
      <c r="FC57" s="871"/>
      <c r="FD57" s="871"/>
      <c r="FE57" s="871"/>
      <c r="FF57" s="871"/>
      <c r="FG57" s="871"/>
      <c r="FH57" s="871"/>
      <c r="FI57" s="871"/>
      <c r="FJ57" s="871"/>
      <c r="FK57" s="871"/>
      <c r="FL57" s="871"/>
      <c r="FM57" s="871"/>
      <c r="FN57" s="871"/>
      <c r="FO57" s="871"/>
      <c r="FP57" s="871"/>
      <c r="FQ57" s="871"/>
      <c r="FR57" s="871"/>
      <c r="FS57" s="871"/>
      <c r="FT57" s="871"/>
      <c r="FU57" s="871"/>
      <c r="FV57" s="871"/>
      <c r="FW57" s="871"/>
      <c r="FX57" s="871"/>
      <c r="FY57" s="871"/>
      <c r="FZ57" s="871"/>
      <c r="GA57" s="871"/>
      <c r="GB57" s="871"/>
      <c r="GC57" s="871"/>
      <c r="GD57" s="871"/>
      <c r="GE57" s="871"/>
      <c r="GF57" s="871"/>
      <c r="GG57" s="871"/>
      <c r="GH57" s="871"/>
      <c r="GI57" s="871"/>
      <c r="GJ57" s="871"/>
      <c r="GK57" s="871"/>
      <c r="GL57" s="871"/>
      <c r="GM57" s="871"/>
      <c r="GN57" s="871"/>
      <c r="GO57" s="871"/>
      <c r="GP57" s="871"/>
      <c r="GQ57" s="871"/>
      <c r="GR57" s="871"/>
      <c r="GS57" s="871"/>
      <c r="GT57" s="871"/>
      <c r="GU57" s="871"/>
      <c r="GV57" s="871"/>
      <c r="GW57" s="871"/>
      <c r="GX57" s="871"/>
      <c r="GY57" s="871"/>
      <c r="GZ57" s="871"/>
      <c r="HA57" s="871"/>
      <c r="HB57" s="871"/>
      <c r="HC57" s="871"/>
      <c r="HD57" s="871"/>
      <c r="HE57" s="871"/>
      <c r="HF57" s="871"/>
      <c r="HG57" s="871"/>
      <c r="HH57" s="871"/>
      <c r="HI57" s="871"/>
      <c r="HJ57" s="871"/>
      <c r="HK57" s="871"/>
      <c r="HL57" s="871"/>
      <c r="HM57" s="871"/>
      <c r="HN57" s="871"/>
      <c r="HO57" s="871"/>
    </row>
    <row r="58" spans="1:223" ht="3" customHeight="1" thickTop="1">
      <c r="B58" s="1212"/>
      <c r="C58" s="1212"/>
      <c r="D58" s="1212"/>
      <c r="E58" s="1212"/>
      <c r="F58" s="1260"/>
      <c r="G58" s="1212"/>
      <c r="H58" s="1212"/>
      <c r="I58" s="1212"/>
      <c r="J58" s="1212"/>
      <c r="K58" s="1212"/>
      <c r="L58" s="1216"/>
      <c r="M58" s="1212"/>
      <c r="N58" s="1212"/>
      <c r="O58" s="1212"/>
      <c r="P58" s="1212"/>
      <c r="Q58" s="1212"/>
      <c r="R58" s="1217"/>
      <c r="S58" s="1212"/>
      <c r="T58" s="1212"/>
      <c r="U58" s="1212"/>
      <c r="V58" s="1212"/>
      <c r="W58" s="1218"/>
      <c r="X58" s="1215"/>
      <c r="Y58" s="1215"/>
      <c r="Z58" s="1215"/>
      <c r="AA58" s="1215"/>
      <c r="AB58" s="1215"/>
      <c r="AC58" s="1215"/>
      <c r="AD58" s="1215"/>
      <c r="AE58" s="1215"/>
      <c r="AF58" s="1215"/>
      <c r="AH58" s="1215"/>
      <c r="AM58" s="868"/>
      <c r="AN58" s="868"/>
      <c r="AO58" s="868"/>
      <c r="AP58" s="868"/>
      <c r="AQ58" s="868"/>
      <c r="AR58" s="868"/>
      <c r="CD58" s="1491"/>
      <c r="CE58" s="1501"/>
      <c r="CF58" s="1501"/>
      <c r="CG58" s="1490"/>
      <c r="CI58" s="1490"/>
      <c r="CJ58" s="1490"/>
      <c r="CK58" s="1490"/>
      <c r="CR58" s="1489"/>
      <c r="CS58" s="1489"/>
      <c r="CT58" s="1507"/>
      <c r="CU58" s="1507"/>
      <c r="CV58" s="1507"/>
      <c r="CW58" s="1507"/>
      <c r="CX58" s="1507"/>
      <c r="CY58" s="1507"/>
      <c r="CZ58" s="1507"/>
      <c r="DA58" s="1507"/>
      <c r="DB58" s="1507"/>
      <c r="DS58" s="841"/>
      <c r="DT58" s="841"/>
      <c r="DU58" s="841"/>
      <c r="DV58" s="841"/>
      <c r="DW58" s="841"/>
      <c r="DX58" s="841"/>
      <c r="DY58" s="841"/>
      <c r="DZ58" s="841"/>
      <c r="EA58" s="841"/>
      <c r="EB58" s="841"/>
      <c r="EC58" s="841"/>
      <c r="ED58" s="841"/>
      <c r="EE58" s="841"/>
      <c r="EF58" s="841"/>
      <c r="EG58" s="841"/>
      <c r="EH58" s="841"/>
      <c r="EI58" s="841"/>
      <c r="EJ58" s="841"/>
      <c r="EK58" s="841"/>
      <c r="EL58" s="841"/>
      <c r="EM58" s="841"/>
      <c r="EN58" s="841"/>
      <c r="EO58" s="841"/>
      <c r="EP58" s="841"/>
      <c r="EQ58" s="841"/>
      <c r="ER58" s="841"/>
      <c r="ES58" s="841"/>
      <c r="ET58" s="841"/>
      <c r="EU58" s="841"/>
      <c r="EV58" s="841"/>
      <c r="EW58" s="841"/>
      <c r="EX58" s="841"/>
      <c r="EY58" s="841"/>
      <c r="EZ58" s="841"/>
      <c r="FA58" s="841"/>
      <c r="FB58" s="841"/>
      <c r="FC58" s="841"/>
      <c r="FD58" s="841"/>
      <c r="FE58" s="841"/>
      <c r="FF58" s="841"/>
      <c r="FG58" s="841"/>
      <c r="FH58" s="841"/>
      <c r="FI58" s="841"/>
      <c r="FJ58" s="841"/>
      <c r="FK58" s="841"/>
      <c r="FL58" s="841"/>
      <c r="FM58" s="841"/>
      <c r="FN58" s="841"/>
      <c r="FO58" s="841"/>
      <c r="FP58" s="841"/>
      <c r="FQ58" s="841"/>
      <c r="FR58" s="841"/>
      <c r="FS58" s="841"/>
      <c r="FT58" s="841"/>
      <c r="FU58" s="841"/>
      <c r="FV58" s="841"/>
      <c r="FW58" s="841"/>
      <c r="FX58" s="841"/>
      <c r="FY58" s="841"/>
      <c r="FZ58" s="841"/>
      <c r="GA58" s="841"/>
      <c r="GB58" s="841"/>
      <c r="GC58" s="841"/>
      <c r="GD58" s="841"/>
      <c r="GE58" s="841"/>
      <c r="GF58" s="841"/>
      <c r="GG58" s="841"/>
      <c r="GH58" s="841"/>
      <c r="GI58" s="841"/>
      <c r="GJ58" s="841"/>
      <c r="GK58" s="841"/>
      <c r="GL58" s="841"/>
      <c r="GM58" s="841"/>
      <c r="GN58" s="841"/>
      <c r="GO58" s="841"/>
      <c r="GP58" s="841"/>
      <c r="GQ58" s="841"/>
      <c r="GR58" s="841"/>
      <c r="GS58" s="841"/>
      <c r="GT58" s="841"/>
      <c r="GU58" s="841"/>
      <c r="GV58" s="841"/>
      <c r="GW58" s="841"/>
      <c r="GX58" s="841"/>
      <c r="GY58" s="841"/>
      <c r="GZ58" s="841"/>
      <c r="HA58" s="841"/>
      <c r="HB58" s="841"/>
      <c r="HC58" s="841"/>
      <c r="HD58" s="841"/>
      <c r="HE58" s="841"/>
      <c r="HF58" s="841"/>
      <c r="HG58" s="841"/>
      <c r="HH58" s="841"/>
      <c r="HI58" s="841"/>
      <c r="HJ58" s="841"/>
      <c r="HK58" s="841"/>
      <c r="HL58" s="841"/>
      <c r="HM58" s="841"/>
      <c r="HN58" s="841"/>
      <c r="HO58" s="841"/>
    </row>
    <row r="59" spans="1:223" ht="14.1" customHeight="1">
      <c r="B59" s="1212"/>
      <c r="C59" s="1212"/>
      <c r="D59" s="1212"/>
      <c r="E59" s="1212"/>
      <c r="F59" s="1260"/>
      <c r="G59" s="1212"/>
      <c r="H59" s="1212"/>
      <c r="I59" s="1212"/>
      <c r="J59" s="1212"/>
      <c r="K59" s="1212"/>
      <c r="L59" s="1216"/>
      <c r="M59" s="1212"/>
      <c r="N59" s="1212"/>
      <c r="O59" s="1212"/>
      <c r="P59" s="1212"/>
      <c r="Q59" s="1212"/>
      <c r="R59" s="1217"/>
      <c r="S59" s="1212"/>
      <c r="T59" s="1212"/>
      <c r="U59" s="1212"/>
      <c r="V59" s="1212"/>
      <c r="W59" s="1218"/>
      <c r="X59" s="1215"/>
      <c r="Y59" s="1215"/>
      <c r="Z59" s="1215"/>
      <c r="AA59" s="1215"/>
      <c r="AB59" s="1215"/>
      <c r="AC59" s="1215"/>
      <c r="AD59" s="1215"/>
      <c r="AE59" s="1215"/>
      <c r="AF59" s="1215"/>
      <c r="AH59" s="1215"/>
      <c r="AM59" s="868"/>
      <c r="AN59" s="868"/>
      <c r="AO59" s="868"/>
      <c r="AP59" s="868"/>
      <c r="AQ59" s="868"/>
      <c r="AR59" s="868"/>
      <c r="CD59" s="1491"/>
      <c r="CE59" s="1501"/>
      <c r="CF59" s="1501"/>
      <c r="CG59" s="1490"/>
      <c r="CI59" s="1490"/>
      <c r="CJ59" s="1490"/>
      <c r="CK59" s="1490"/>
      <c r="CR59" s="1489"/>
      <c r="CS59" s="1489"/>
      <c r="CT59" s="1507"/>
      <c r="CU59" s="1507"/>
      <c r="CV59" s="1507"/>
      <c r="CW59" s="1507"/>
      <c r="CX59" s="1507"/>
      <c r="CY59" s="1507"/>
      <c r="CZ59" s="1507"/>
      <c r="DA59" s="1507"/>
      <c r="DB59" s="1507"/>
      <c r="DS59" s="841"/>
      <c r="DT59" s="841"/>
      <c r="DU59" s="841"/>
      <c r="DV59" s="841"/>
      <c r="DW59" s="841"/>
      <c r="DX59" s="841"/>
      <c r="DY59" s="841"/>
      <c r="DZ59" s="841"/>
      <c r="EA59" s="841"/>
      <c r="EB59" s="841"/>
      <c r="EC59" s="841"/>
      <c r="ED59" s="841"/>
      <c r="EE59" s="841"/>
      <c r="EF59" s="841"/>
      <c r="EG59" s="841"/>
      <c r="EH59" s="841"/>
      <c r="EI59" s="841"/>
      <c r="EJ59" s="841"/>
      <c r="EK59" s="841"/>
      <c r="EL59" s="841"/>
      <c r="EM59" s="841"/>
      <c r="EN59" s="841"/>
      <c r="EO59" s="841"/>
      <c r="EP59" s="841"/>
      <c r="EQ59" s="841"/>
      <c r="ER59" s="841"/>
      <c r="ES59" s="841"/>
      <c r="ET59" s="841"/>
      <c r="EU59" s="841"/>
      <c r="EV59" s="841"/>
      <c r="EW59" s="841"/>
      <c r="EX59" s="841"/>
      <c r="EY59" s="841"/>
      <c r="EZ59" s="841"/>
      <c r="FA59" s="841"/>
      <c r="FB59" s="841"/>
      <c r="FC59" s="841"/>
      <c r="FD59" s="841"/>
      <c r="FE59" s="841"/>
      <c r="FF59" s="841"/>
      <c r="FG59" s="841"/>
      <c r="FH59" s="841"/>
      <c r="FI59" s="841"/>
      <c r="FJ59" s="841"/>
      <c r="FK59" s="841"/>
      <c r="FL59" s="841"/>
      <c r="FM59" s="841"/>
      <c r="FN59" s="841"/>
      <c r="FO59" s="841"/>
      <c r="FP59" s="841"/>
      <c r="FQ59" s="841"/>
      <c r="FR59" s="841"/>
      <c r="FS59" s="841"/>
      <c r="FT59" s="841"/>
      <c r="FU59" s="841"/>
      <c r="FV59" s="841"/>
      <c r="FW59" s="841"/>
      <c r="FX59" s="841"/>
      <c r="FY59" s="841"/>
      <c r="FZ59" s="841"/>
      <c r="GA59" s="841"/>
      <c r="GB59" s="841"/>
      <c r="GC59" s="841"/>
      <c r="GD59" s="841"/>
      <c r="GE59" s="841"/>
      <c r="GF59" s="841"/>
      <c r="GG59" s="841"/>
      <c r="GH59" s="841"/>
      <c r="GI59" s="841"/>
      <c r="GJ59" s="841"/>
      <c r="GK59" s="841"/>
      <c r="GL59" s="841"/>
      <c r="GM59" s="841"/>
      <c r="GN59" s="841"/>
      <c r="GO59" s="841"/>
      <c r="GP59" s="841"/>
      <c r="GQ59" s="841"/>
      <c r="GR59" s="841"/>
      <c r="GS59" s="841"/>
      <c r="GT59" s="841"/>
      <c r="GU59" s="841"/>
      <c r="GV59" s="841"/>
      <c r="GW59" s="841"/>
      <c r="GX59" s="841"/>
      <c r="GY59" s="841"/>
      <c r="GZ59" s="841"/>
      <c r="HA59" s="841"/>
      <c r="HB59" s="841"/>
      <c r="HC59" s="841"/>
      <c r="HD59" s="841"/>
      <c r="HE59" s="841"/>
      <c r="HF59" s="841"/>
      <c r="HG59" s="841"/>
      <c r="HH59" s="841"/>
      <c r="HI59" s="841"/>
      <c r="HJ59" s="841"/>
      <c r="HK59" s="841"/>
      <c r="HL59" s="841"/>
      <c r="HM59" s="841"/>
      <c r="HN59" s="841"/>
      <c r="HO59" s="841"/>
    </row>
    <row r="60" spans="1:223" s="873" customFormat="1" ht="21" customHeight="1" thickBot="1">
      <c r="A60" s="869"/>
      <c r="B60" s="1206"/>
      <c r="C60" s="1219"/>
      <c r="D60" s="1206"/>
      <c r="E60" s="1219"/>
      <c r="F60" s="1206"/>
      <c r="G60" s="1219"/>
      <c r="H60" s="1206"/>
      <c r="I60" s="1219"/>
      <c r="J60" s="2104"/>
      <c r="K60" s="2105"/>
      <c r="L60" s="2106"/>
      <c r="M60" s="1219"/>
      <c r="N60" s="1206"/>
      <c r="O60" s="1219"/>
      <c r="P60" s="1220">
        <f>IF(AND(D60&gt;0,ISBLANK(H60)),"Falta prod voz",(IF(ISBLANK(H60),0,VLOOKUP(H60,Calculos_cuotas!$A$12:$C$20,3,FALSE))+IF(ISBLANK(J60),0,VLOOKUP(J60,Calculos_cuotas!$G$9:$H$11,2,FALSE))+Calculos_cuotas!$C$21))</f>
        <v>0</v>
      </c>
      <c r="Q60" s="1219"/>
      <c r="R60" s="1220">
        <f>IF(P60="Falta prod voz", "ND",D60*P60)</f>
        <v>0</v>
      </c>
      <c r="S60" s="1219"/>
      <c r="T60" s="1206"/>
      <c r="U60" s="1219"/>
      <c r="V60" s="1221">
        <f>IF(AND(T60="Sí",$D$17&lt;&gt;"Preaprobadas"),Calculos_cuotas!$W$47,0%)</f>
        <v>0</v>
      </c>
      <c r="W60" s="1222">
        <f>V60*R60</f>
        <v>0</v>
      </c>
      <c r="X60" s="1221">
        <f>IF(P60="Falta prod voz","ND",IF($D$17="Óptima RPV",IF(($R$82+$L$111)&lt;Calculos_cuotas!$Y$34,Calculos_cuotas!$Z$34,IF(($R$82+$L$111)&lt;Calculos_cuotas!$Y$35,Calculos_cuotas!$Z$35,IF(($R$82+$L$111)&lt;Calculos_cuotas!$Y$36,Calculos_cuotas!$Z$36,IF(($R$82+$L$111)&lt;Calculos_cuotas!$Y$37,Calculos_cuotas!$Z$37,Calculos_cuotas!$Z$38)))),0%))</f>
        <v>0.1</v>
      </c>
      <c r="Y60" s="1215"/>
      <c r="Z60" s="1220">
        <f>IF(OR(P60="Falta prod voz",$M$33&gt;0),"ND",IF($D$17&lt;&gt;"Preaprobadas",P60*(1-V60-X60),IF($J$17="Cartera Orange", IF(ISBLANK(H60),0,VLOOKUP(H60,$J$21:$L$29,3,FALSE))+IF(ISBLANK(J60),0,VLOOKUP(J60,$J$30:$L$32,3,FALSE)),IF(ISBLANK(H60),0,VLOOKUP(H60,Calculos_cuotas!$A$183:$F$191,1+Calculos_cuotas!$B$177,FALSE))+IF(ISBLANK(J60),0,VLOOKUP(J60,Calculos_cuotas!$A$192:$F$194,1+Calculos_cuotas!$B$177,FALSE)))))</f>
        <v>0</v>
      </c>
      <c r="AA60" s="1228"/>
      <c r="AB60" s="1220">
        <f>IF(Z60="ND","ND",D60*Z60)</f>
        <v>0</v>
      </c>
      <c r="AC60" s="1215"/>
      <c r="AD60" s="1221">
        <f>IF($D$17&lt;&gt;"Preaprobadas",Calculos_cuotas!$W$43,0%)</f>
        <v>0.1</v>
      </c>
      <c r="AE60" s="1215"/>
      <c r="AF60" s="1220">
        <f>IF(OR(P60="Falta prod voz",$M$33&gt;0),"ND",IF($D$17&lt;&gt;"Preaprobadas",P60*(1-V60-X60-AD60),IF($J$17="Cartera Orange", IF(ISBLANK(H60),0,VLOOKUP(H60,$J$21:$L$29,3,FALSE))+IF(ISBLANK(J60),0,VLOOKUP(J60,$J$30:$L$32,3,FALSE)),IF(Calculos_cuotas!$T$43&gt;0%,IF(ISBLANK(H60),0,VLOOKUP(H60,Calculos_cuotas!$A$198:$F$209,1+Calculos_cuotas!$B$177,FALSE))+IF(ISBLANK(J60),0,VLOOKUP(J60,Calculos_cuotas!$A$207:$F$209,1+Calculos_cuotas!$B$177,FALSE)),Z60))))</f>
        <v>0</v>
      </c>
      <c r="AG60" s="1219"/>
      <c r="AH60" s="1220">
        <f>IF(D77=1,"N/D",IF(AF60="ND","ND",D60*AF60))</f>
        <v>0</v>
      </c>
      <c r="AI60" s="869"/>
      <c r="AJ60" s="869"/>
      <c r="AK60" s="869"/>
      <c r="AL60" s="869"/>
      <c r="AM60" s="1348"/>
      <c r="AN60" s="1348"/>
      <c r="AO60" s="1348"/>
      <c r="AP60" s="1348"/>
      <c r="AQ60" s="1348"/>
      <c r="AR60" s="1348"/>
      <c r="AS60" s="1348"/>
      <c r="AT60" s="872"/>
      <c r="AU60" s="872"/>
      <c r="AV60" s="872"/>
      <c r="AW60" s="872"/>
      <c r="AX60" s="872"/>
      <c r="AY60" s="872"/>
      <c r="AZ60" s="872"/>
      <c r="BA60" s="872"/>
      <c r="BB60" s="872"/>
      <c r="BC60" s="872"/>
      <c r="BD60" s="872"/>
      <c r="BE60" s="872"/>
      <c r="BF60" s="872"/>
      <c r="BG60" s="872"/>
      <c r="BH60" s="872"/>
      <c r="BI60" s="872"/>
      <c r="BJ60" s="872"/>
      <c r="BK60" s="872"/>
      <c r="BL60" s="872"/>
      <c r="BM60" s="872"/>
      <c r="BN60" s="872"/>
      <c r="BO60" s="872"/>
      <c r="BP60" s="872"/>
      <c r="BQ60" s="872"/>
      <c r="BR60" s="872"/>
      <c r="BS60" s="872"/>
      <c r="BT60" s="872"/>
      <c r="BU60" s="872"/>
      <c r="BV60" s="872"/>
      <c r="BW60" s="872"/>
      <c r="BX60" s="872"/>
      <c r="BY60" s="872"/>
      <c r="BZ60" s="871"/>
      <c r="CA60" s="871"/>
      <c r="CB60" s="871"/>
      <c r="CC60" s="871"/>
      <c r="CD60" s="1494"/>
      <c r="CE60" s="1498"/>
      <c r="CF60" s="1501"/>
      <c r="CG60" s="1490"/>
      <c r="CH60" s="1501" t="s">
        <v>1284</v>
      </c>
      <c r="CI60" s="1501" t="s">
        <v>1285</v>
      </c>
      <c r="CJ60" s="1501" t="s">
        <v>1293</v>
      </c>
      <c r="CK60" s="1490" t="s">
        <v>1360</v>
      </c>
      <c r="CL60" s="1494"/>
      <c r="CM60" s="1494"/>
      <c r="CN60" s="1494"/>
      <c r="CO60" s="1494"/>
      <c r="CP60" s="1494"/>
      <c r="CQ60" s="1494"/>
      <c r="CR60" s="1494"/>
      <c r="CS60" s="1494"/>
      <c r="CT60" s="2024"/>
      <c r="CU60" s="2024"/>
      <c r="CV60" s="2024"/>
      <c r="CW60" s="2024"/>
      <c r="CX60" s="2024"/>
      <c r="CY60" s="2024"/>
      <c r="CZ60" s="2024"/>
      <c r="DA60" s="2024"/>
      <c r="DB60" s="2024"/>
      <c r="DC60" s="1505"/>
      <c r="DD60" s="1505"/>
      <c r="DE60" s="872"/>
      <c r="DF60" s="872"/>
      <c r="DG60" s="872"/>
      <c r="DH60" s="872"/>
      <c r="DI60" s="872"/>
      <c r="DJ60" s="872"/>
      <c r="DK60" s="872"/>
      <c r="DL60" s="872"/>
      <c r="DM60" s="872"/>
      <c r="DN60" s="872"/>
      <c r="DO60" s="872"/>
      <c r="DP60" s="872"/>
      <c r="DQ60" s="872"/>
      <c r="DR60" s="872"/>
      <c r="DS60" s="871"/>
      <c r="DT60" s="871"/>
      <c r="DU60" s="871"/>
      <c r="DV60" s="871"/>
      <c r="DW60" s="871"/>
      <c r="DX60" s="871"/>
      <c r="DY60" s="871"/>
      <c r="DZ60" s="871"/>
      <c r="EA60" s="871"/>
      <c r="EB60" s="871"/>
      <c r="EC60" s="871"/>
      <c r="ED60" s="871"/>
      <c r="EE60" s="871"/>
      <c r="EF60" s="871"/>
      <c r="EG60" s="871"/>
      <c r="EH60" s="871"/>
      <c r="EI60" s="871"/>
      <c r="EJ60" s="871"/>
      <c r="EK60" s="871"/>
      <c r="EL60" s="871"/>
      <c r="EM60" s="871"/>
      <c r="EN60" s="871"/>
      <c r="EO60" s="871"/>
      <c r="EP60" s="871"/>
      <c r="EQ60" s="871"/>
      <c r="ER60" s="871"/>
      <c r="ES60" s="871"/>
      <c r="ET60" s="871"/>
      <c r="EU60" s="871"/>
      <c r="EV60" s="871"/>
      <c r="EW60" s="871"/>
      <c r="EX60" s="871"/>
      <c r="EY60" s="871"/>
      <c r="EZ60" s="871"/>
      <c r="FA60" s="871"/>
      <c r="FB60" s="871"/>
      <c r="FC60" s="871"/>
      <c r="FD60" s="871"/>
      <c r="FE60" s="871"/>
      <c r="FF60" s="871"/>
      <c r="FG60" s="871"/>
      <c r="FH60" s="871"/>
      <c r="FI60" s="871"/>
      <c r="FJ60" s="871"/>
      <c r="FK60" s="871"/>
      <c r="FL60" s="871"/>
      <c r="FM60" s="871"/>
      <c r="FN60" s="871"/>
      <c r="FO60" s="871"/>
      <c r="FP60" s="871"/>
      <c r="FQ60" s="871"/>
      <c r="FR60" s="871"/>
      <c r="FS60" s="871"/>
      <c r="FT60" s="871"/>
      <c r="FU60" s="871"/>
      <c r="FV60" s="871"/>
      <c r="FW60" s="871"/>
      <c r="FX60" s="871"/>
      <c r="FY60" s="871"/>
      <c r="FZ60" s="871"/>
      <c r="GA60" s="871"/>
      <c r="GB60" s="871"/>
      <c r="GC60" s="871"/>
      <c r="GD60" s="871"/>
      <c r="GE60" s="871"/>
      <c r="GF60" s="871"/>
      <c r="GG60" s="871"/>
      <c r="GH60" s="871"/>
      <c r="GI60" s="871"/>
      <c r="GJ60" s="871"/>
      <c r="GK60" s="871"/>
      <c r="GL60" s="871"/>
      <c r="GM60" s="871"/>
      <c r="GN60" s="871"/>
      <c r="GO60" s="871"/>
      <c r="GP60" s="871"/>
      <c r="GQ60" s="871"/>
      <c r="GR60" s="871"/>
      <c r="GS60" s="871"/>
      <c r="GT60" s="871"/>
      <c r="GU60" s="871"/>
      <c r="GV60" s="871"/>
      <c r="GW60" s="871"/>
      <c r="GX60" s="871"/>
      <c r="GY60" s="871"/>
      <c r="GZ60" s="871"/>
      <c r="HA60" s="871"/>
      <c r="HB60" s="871"/>
      <c r="HC60" s="871"/>
      <c r="HD60" s="871"/>
      <c r="HE60" s="871"/>
      <c r="HF60" s="871"/>
      <c r="HG60" s="871"/>
      <c r="HH60" s="871"/>
      <c r="HI60" s="871"/>
      <c r="HJ60" s="871"/>
      <c r="HK60" s="871"/>
      <c r="HL60" s="871"/>
      <c r="HM60" s="871"/>
      <c r="HN60" s="871"/>
      <c r="HO60" s="871"/>
    </row>
    <row r="61" spans="1:223" ht="0.2" customHeight="1" thickTop="1">
      <c r="B61" s="1212"/>
      <c r="C61" s="1212"/>
      <c r="D61" s="1212"/>
      <c r="E61" s="1212"/>
      <c r="F61" s="1260"/>
      <c r="G61" s="1212"/>
      <c r="H61" s="1212"/>
      <c r="I61" s="1212"/>
      <c r="J61" s="1212"/>
      <c r="K61" s="1212"/>
      <c r="L61" s="1216"/>
      <c r="M61" s="1212"/>
      <c r="N61" s="1212"/>
      <c r="O61" s="1212"/>
      <c r="P61" s="1212"/>
      <c r="Q61" s="1212"/>
      <c r="R61" s="1217"/>
      <c r="S61" s="1212"/>
      <c r="T61" s="1212"/>
      <c r="U61" s="1212"/>
      <c r="V61" s="1212"/>
      <c r="W61" s="1218"/>
      <c r="X61" s="1215"/>
      <c r="Y61" s="1215"/>
      <c r="Z61" s="1215"/>
      <c r="AA61" s="1215"/>
      <c r="AB61" s="1215"/>
      <c r="AC61" s="1215"/>
      <c r="AD61" s="1215"/>
      <c r="AE61" s="1215"/>
      <c r="AF61" s="1215"/>
      <c r="AH61" s="1215"/>
      <c r="AM61" s="868"/>
      <c r="AN61" s="868"/>
      <c r="AO61" s="868"/>
      <c r="AP61" s="868"/>
      <c r="AQ61" s="868"/>
      <c r="AR61" s="868"/>
      <c r="CD61" s="1491"/>
      <c r="CE61" s="1501"/>
      <c r="CF61" s="1501"/>
      <c r="CG61" s="1490"/>
      <c r="CI61" s="1501"/>
      <c r="CJ61" s="1501"/>
      <c r="CK61" s="1490"/>
      <c r="CR61" s="1489"/>
      <c r="CS61" s="1489"/>
      <c r="CT61" s="1507"/>
      <c r="CU61" s="1507"/>
      <c r="CV61" s="1507"/>
      <c r="CW61" s="1507"/>
      <c r="CX61" s="1507"/>
      <c r="CY61" s="1507"/>
      <c r="CZ61" s="1507"/>
      <c r="DA61" s="1507"/>
      <c r="DB61" s="1507"/>
      <c r="DS61" s="841"/>
      <c r="DT61" s="841"/>
      <c r="DU61" s="841"/>
      <c r="DV61" s="841"/>
      <c r="DW61" s="841"/>
      <c r="DX61" s="841"/>
      <c r="DY61" s="841"/>
      <c r="DZ61" s="841"/>
      <c r="EA61" s="841"/>
      <c r="EB61" s="841"/>
      <c r="EC61" s="841"/>
      <c r="ED61" s="841"/>
      <c r="EE61" s="841"/>
      <c r="EF61" s="841"/>
      <c r="EG61" s="841"/>
      <c r="EH61" s="841"/>
      <c r="EI61" s="841"/>
      <c r="EJ61" s="841"/>
      <c r="EK61" s="841"/>
      <c r="EL61" s="841"/>
      <c r="EM61" s="841"/>
      <c r="EN61" s="841"/>
      <c r="EO61" s="841"/>
      <c r="EP61" s="841"/>
      <c r="EQ61" s="841"/>
      <c r="ER61" s="841"/>
      <c r="ES61" s="841"/>
      <c r="ET61" s="841"/>
      <c r="EU61" s="841"/>
      <c r="EV61" s="841"/>
      <c r="EW61" s="841"/>
      <c r="EX61" s="841"/>
      <c r="EY61" s="841"/>
      <c r="EZ61" s="841"/>
      <c r="FA61" s="841"/>
      <c r="FB61" s="841"/>
      <c r="FC61" s="841"/>
      <c r="FD61" s="841"/>
      <c r="FE61" s="841"/>
      <c r="FF61" s="841"/>
      <c r="FG61" s="841"/>
      <c r="FH61" s="841"/>
      <c r="FI61" s="841"/>
      <c r="FJ61" s="841"/>
      <c r="FK61" s="841"/>
      <c r="FL61" s="841"/>
      <c r="FM61" s="841"/>
      <c r="FN61" s="841"/>
      <c r="FO61" s="841"/>
      <c r="FP61" s="841"/>
      <c r="FQ61" s="841"/>
      <c r="FR61" s="841"/>
      <c r="FS61" s="841"/>
      <c r="FT61" s="841"/>
      <c r="FU61" s="841"/>
      <c r="FV61" s="841"/>
      <c r="FW61" s="841"/>
      <c r="FX61" s="841"/>
      <c r="FY61" s="841"/>
      <c r="FZ61" s="841"/>
      <c r="GA61" s="841"/>
      <c r="GB61" s="841"/>
      <c r="GC61" s="841"/>
      <c r="GD61" s="841"/>
      <c r="GE61" s="841"/>
      <c r="GF61" s="841"/>
      <c r="GG61" s="841"/>
      <c r="GH61" s="841"/>
      <c r="GI61" s="841"/>
      <c r="GJ61" s="841"/>
      <c r="GK61" s="841"/>
      <c r="GL61" s="841"/>
      <c r="GM61" s="841"/>
      <c r="GN61" s="841"/>
      <c r="GO61" s="841"/>
      <c r="GP61" s="841"/>
      <c r="GQ61" s="841"/>
      <c r="GR61" s="841"/>
      <c r="GS61" s="841"/>
      <c r="GT61" s="841"/>
      <c r="GU61" s="841"/>
      <c r="GV61" s="841"/>
      <c r="GW61" s="841"/>
      <c r="GX61" s="841"/>
      <c r="GY61" s="841"/>
      <c r="GZ61" s="841"/>
      <c r="HA61" s="841"/>
      <c r="HB61" s="841"/>
      <c r="HC61" s="841"/>
      <c r="HD61" s="841"/>
      <c r="HE61" s="841"/>
      <c r="HF61" s="841"/>
      <c r="HG61" s="841"/>
      <c r="HH61" s="841"/>
      <c r="HI61" s="841"/>
      <c r="HJ61" s="841"/>
      <c r="HK61" s="841"/>
      <c r="HL61" s="841"/>
      <c r="HM61" s="841"/>
      <c r="HN61" s="841"/>
      <c r="HO61" s="841"/>
    </row>
    <row r="62" spans="1:223" ht="14.1" customHeight="1" thickTop="1">
      <c r="B62" s="1212"/>
      <c r="C62" s="1212"/>
      <c r="D62" s="1212"/>
      <c r="E62" s="1212"/>
      <c r="F62" s="1260"/>
      <c r="G62" s="1212"/>
      <c r="H62" s="1212"/>
      <c r="I62" s="1212"/>
      <c r="J62" s="1212"/>
      <c r="K62" s="1212"/>
      <c r="L62" s="1216"/>
      <c r="M62" s="1212"/>
      <c r="N62" s="1212"/>
      <c r="O62" s="1212"/>
      <c r="P62" s="1212"/>
      <c r="Q62" s="1212"/>
      <c r="R62" s="1217"/>
      <c r="S62" s="1212"/>
      <c r="T62" s="1212"/>
      <c r="U62" s="1212"/>
      <c r="V62" s="1212"/>
      <c r="W62" s="1218"/>
      <c r="X62" s="1215"/>
      <c r="Y62" s="1215"/>
      <c r="Z62" s="1215"/>
      <c r="AA62" s="1215"/>
      <c r="AB62" s="1215"/>
      <c r="AC62" s="1215"/>
      <c r="AD62" s="1215"/>
      <c r="AE62" s="1215"/>
      <c r="AF62" s="1215"/>
      <c r="AH62" s="1215"/>
      <c r="AM62" s="868"/>
      <c r="AN62" s="868"/>
      <c r="AO62" s="868"/>
      <c r="AP62" s="868"/>
      <c r="AQ62" s="868"/>
      <c r="AR62" s="868"/>
      <c r="CD62" s="1491"/>
      <c r="CE62" s="1501"/>
      <c r="CF62" s="1501"/>
      <c r="CG62" s="1490"/>
      <c r="CH62" s="1501">
        <v>1</v>
      </c>
      <c r="CI62" s="1501">
        <v>1</v>
      </c>
      <c r="CJ62" s="1501">
        <v>1</v>
      </c>
      <c r="CK62" s="1501">
        <v>1</v>
      </c>
      <c r="CR62" s="1489"/>
      <c r="CS62" s="1489"/>
      <c r="CT62" s="1507"/>
      <c r="CU62" s="1507"/>
      <c r="CV62" s="1507"/>
      <c r="CW62" s="1507"/>
      <c r="CX62" s="1507"/>
      <c r="CY62" s="1507"/>
      <c r="CZ62" s="1507"/>
      <c r="DA62" s="1507"/>
      <c r="DB62" s="1507"/>
      <c r="DS62" s="841"/>
      <c r="DT62" s="841"/>
      <c r="DU62" s="841"/>
      <c r="DV62" s="841"/>
      <c r="DW62" s="841"/>
      <c r="DX62" s="841"/>
      <c r="DY62" s="841"/>
      <c r="DZ62" s="841"/>
      <c r="EA62" s="841"/>
      <c r="EB62" s="841"/>
      <c r="EC62" s="841"/>
      <c r="ED62" s="841"/>
      <c r="EE62" s="841"/>
      <c r="EF62" s="841"/>
      <c r="EG62" s="841"/>
      <c r="EH62" s="841"/>
      <c r="EI62" s="841"/>
      <c r="EJ62" s="841"/>
      <c r="EK62" s="841"/>
      <c r="EL62" s="841"/>
      <c r="EM62" s="841"/>
      <c r="EN62" s="841"/>
      <c r="EO62" s="841"/>
      <c r="EP62" s="841"/>
      <c r="EQ62" s="841"/>
      <c r="ER62" s="841"/>
      <c r="ES62" s="841"/>
      <c r="ET62" s="841"/>
      <c r="EU62" s="841"/>
      <c r="EV62" s="841"/>
      <c r="EW62" s="841"/>
      <c r="EX62" s="841"/>
      <c r="EY62" s="841"/>
      <c r="EZ62" s="841"/>
      <c r="FA62" s="841"/>
      <c r="FB62" s="841"/>
      <c r="FC62" s="841"/>
      <c r="FD62" s="841"/>
      <c r="FE62" s="841"/>
      <c r="FF62" s="841"/>
      <c r="FG62" s="841"/>
      <c r="FH62" s="841"/>
      <c r="FI62" s="841"/>
      <c r="FJ62" s="841"/>
      <c r="FK62" s="841"/>
      <c r="FL62" s="841"/>
      <c r="FM62" s="841"/>
      <c r="FN62" s="841"/>
      <c r="FO62" s="841"/>
      <c r="FP62" s="841"/>
      <c r="FQ62" s="841"/>
      <c r="FR62" s="841"/>
      <c r="FS62" s="841"/>
      <c r="FT62" s="841"/>
      <c r="FU62" s="841"/>
      <c r="FV62" s="841"/>
      <c r="FW62" s="841"/>
      <c r="FX62" s="841"/>
      <c r="FY62" s="841"/>
      <c r="FZ62" s="841"/>
      <c r="GA62" s="841"/>
      <c r="GB62" s="841"/>
      <c r="GC62" s="841"/>
      <c r="GD62" s="841"/>
      <c r="GE62" s="841"/>
      <c r="GF62" s="841"/>
      <c r="GG62" s="841"/>
      <c r="GH62" s="841"/>
      <c r="GI62" s="841"/>
      <c r="GJ62" s="841"/>
      <c r="GK62" s="841"/>
      <c r="GL62" s="841"/>
      <c r="GM62" s="841"/>
      <c r="GN62" s="841"/>
      <c r="GO62" s="841"/>
      <c r="GP62" s="841"/>
      <c r="GQ62" s="841"/>
      <c r="GR62" s="841"/>
      <c r="GS62" s="841"/>
      <c r="GT62" s="841"/>
      <c r="GU62" s="841"/>
      <c r="GV62" s="841"/>
      <c r="GW62" s="841"/>
      <c r="GX62" s="841"/>
      <c r="GY62" s="841"/>
      <c r="GZ62" s="841"/>
      <c r="HA62" s="841"/>
      <c r="HB62" s="841"/>
      <c r="HC62" s="841"/>
      <c r="HD62" s="841"/>
      <c r="HE62" s="841"/>
      <c r="HF62" s="841"/>
      <c r="HG62" s="841"/>
      <c r="HH62" s="841"/>
      <c r="HI62" s="841"/>
      <c r="HJ62" s="841"/>
      <c r="HK62" s="841"/>
      <c r="HL62" s="841"/>
      <c r="HM62" s="841"/>
      <c r="HN62" s="841"/>
      <c r="HO62" s="841"/>
    </row>
    <row r="63" spans="1:223" s="873" customFormat="1" ht="21" customHeight="1" thickBot="1">
      <c r="A63" s="869"/>
      <c r="B63" s="1206"/>
      <c r="C63" s="1219"/>
      <c r="D63" s="1206"/>
      <c r="E63" s="1219"/>
      <c r="F63" s="1206"/>
      <c r="G63" s="1219"/>
      <c r="H63" s="1206"/>
      <c r="I63" s="1219"/>
      <c r="J63" s="2104"/>
      <c r="K63" s="2105"/>
      <c r="L63" s="2106"/>
      <c r="M63" s="1219"/>
      <c r="N63" s="1206"/>
      <c r="O63" s="1219"/>
      <c r="P63" s="1220">
        <f>IF(AND(D63&gt;0,ISBLANK(H63)),"Falta prod voz",(IF(ISBLANK(H63),0,VLOOKUP(H63,Calculos_cuotas!$A$12:$C$20,3,FALSE))+IF(ISBLANK(J63),0,VLOOKUP(J63,Calculos_cuotas!$G$9:$H$11,2,FALSE))+Calculos_cuotas!$C$21))</f>
        <v>0</v>
      </c>
      <c r="Q63" s="1219"/>
      <c r="R63" s="1220">
        <f>IF(P63="Falta prod voz", "ND",D63*P63)</f>
        <v>0</v>
      </c>
      <c r="S63" s="1219"/>
      <c r="T63" s="1206"/>
      <c r="U63" s="1219"/>
      <c r="V63" s="1221">
        <f>IF(AND(T63="Sí",$D$17&lt;&gt;"Preaprobadas"),Calculos_cuotas!$W$47,0%)</f>
        <v>0</v>
      </c>
      <c r="W63" s="1222">
        <f>V63*R63</f>
        <v>0</v>
      </c>
      <c r="X63" s="1221">
        <f>IF(P63="Falta prod voz","ND",IF($D$17="Óptima RPV",IF(($R$82+$L$111)&lt;Calculos_cuotas!$Y$34,Calculos_cuotas!$Z$34,IF(($R$82+$L$111)&lt;Calculos_cuotas!$Y$35,Calculos_cuotas!$Z$35,IF(($R$82+$L$111)&lt;Calculos_cuotas!$Y$36,Calculos_cuotas!$Z$36,IF(($R$82+$L$111)&lt;Calculos_cuotas!$Y$37,Calculos_cuotas!$Z$37,Calculos_cuotas!$Z$38)))),0%))</f>
        <v>0.1</v>
      </c>
      <c r="Y63" s="1215"/>
      <c r="Z63" s="1220">
        <f>IF(OR(P63="Falta prod voz",$M$33&gt;0),"ND",IF($D$17&lt;&gt;"Preaprobadas",P63*(1-V63-X63),IF($J$17="Cartera Orange", IF(ISBLANK(H63),0,VLOOKUP(H63,$J$21:$L$29,3,FALSE))+IF(ISBLANK(J63),0,VLOOKUP(J63,$J$30:$L$32,3,FALSE)),IF(ISBLANK(H63),0,VLOOKUP(H63,Calculos_cuotas!$A$183:$F$191,1+Calculos_cuotas!$B$177,FALSE))+IF(ISBLANK(J63),0,VLOOKUP(J63,Calculos_cuotas!$A$192:$F$194,1+Calculos_cuotas!$B$177,FALSE)))))</f>
        <v>0</v>
      </c>
      <c r="AA63" s="1228"/>
      <c r="AB63" s="1220">
        <f>IF(Z63="ND","ND",D63*Z63)</f>
        <v>0</v>
      </c>
      <c r="AC63" s="1215"/>
      <c r="AD63" s="1221">
        <f>IF($D$17&lt;&gt;"Preaprobadas",Calculos_cuotas!$W$43,0%)</f>
        <v>0.1</v>
      </c>
      <c r="AE63" s="1215"/>
      <c r="AF63" s="1220">
        <f>IF(OR(P63="Falta prod voz",$M$33&gt;0),"ND",IF($D$17&lt;&gt;"Preaprobadas",P63*(1-V63-X63-AD63),IF($J$17="Cartera Orange", IF(ISBLANK(H63),0,VLOOKUP(H63,$J$21:$L$29,3,FALSE))+IF(ISBLANK(J63),0,VLOOKUP(J63,$J$30:$L$32,3,FALSE)),IF(Calculos_cuotas!$T$43&gt;0%,IF(ISBLANK(H63),0,VLOOKUP(H63,Calculos_cuotas!$A$198:$F$209,1+Calculos_cuotas!$B$177,FALSE))+IF(ISBLANK(J63),0,VLOOKUP(J63,Calculos_cuotas!$A$207:$F$209,1+Calculos_cuotas!$B$177,FALSE)),Z63))))</f>
        <v>0</v>
      </c>
      <c r="AG63" s="1219"/>
      <c r="AH63" s="1220">
        <f>IF(D77=1,"N/D",IF(AF63="ND","ND",D63*AF63))</f>
        <v>0</v>
      </c>
      <c r="AI63" s="869"/>
      <c r="AJ63" s="869"/>
      <c r="AK63" s="869"/>
      <c r="AL63" s="869"/>
      <c r="AM63" s="1348"/>
      <c r="AN63" s="1348"/>
      <c r="AO63" s="1348"/>
      <c r="AP63" s="1348"/>
      <c r="AQ63" s="1348"/>
      <c r="AR63" s="1348"/>
      <c r="AS63" s="1348"/>
      <c r="AT63" s="872"/>
      <c r="AU63" s="872"/>
      <c r="AV63" s="872"/>
      <c r="AW63" s="872"/>
      <c r="AX63" s="872"/>
      <c r="AY63" s="872"/>
      <c r="AZ63" s="872"/>
      <c r="BA63" s="872"/>
      <c r="BB63" s="872"/>
      <c r="BC63" s="872"/>
      <c r="BD63" s="872"/>
      <c r="BE63" s="872"/>
      <c r="BF63" s="872"/>
      <c r="BG63" s="872"/>
      <c r="BH63" s="872"/>
      <c r="BI63" s="872"/>
      <c r="BJ63" s="872"/>
      <c r="BK63" s="872"/>
      <c r="BL63" s="872"/>
      <c r="BM63" s="872"/>
      <c r="BN63" s="872"/>
      <c r="BO63" s="872"/>
      <c r="BP63" s="872"/>
      <c r="BQ63" s="872"/>
      <c r="BR63" s="872"/>
      <c r="BS63" s="872"/>
      <c r="BT63" s="872"/>
      <c r="BU63" s="872"/>
      <c r="BV63" s="872"/>
      <c r="BW63" s="872"/>
      <c r="BX63" s="872"/>
      <c r="BY63" s="872"/>
      <c r="BZ63" s="871"/>
      <c r="CA63" s="871"/>
      <c r="CB63" s="871"/>
      <c r="CC63" s="871"/>
      <c r="CD63" s="1494"/>
      <c r="CE63" s="1498"/>
      <c r="CF63" s="1501"/>
      <c r="CG63" s="1490"/>
      <c r="CH63" s="1501">
        <v>2</v>
      </c>
      <c r="CI63" s="1501">
        <v>2</v>
      </c>
      <c r="CJ63" s="1501">
        <v>2</v>
      </c>
      <c r="CK63" s="1501">
        <f>CK62+1</f>
        <v>2</v>
      </c>
      <c r="CL63" s="1494"/>
      <c r="CM63" s="1494"/>
      <c r="CN63" s="1494"/>
      <c r="CO63" s="1494"/>
      <c r="CP63" s="1494"/>
      <c r="CQ63" s="1494"/>
      <c r="CR63" s="1494"/>
      <c r="CS63" s="1494"/>
      <c r="CT63" s="2024"/>
      <c r="CU63" s="2024"/>
      <c r="CV63" s="2024"/>
      <c r="CW63" s="2024"/>
      <c r="CX63" s="2024"/>
      <c r="CY63" s="2024"/>
      <c r="CZ63" s="2024"/>
      <c r="DA63" s="2024"/>
      <c r="DB63" s="2024"/>
      <c r="DC63" s="1505"/>
      <c r="DD63" s="1505"/>
      <c r="DE63" s="872"/>
      <c r="DF63" s="872"/>
      <c r="DG63" s="872"/>
      <c r="DH63" s="872"/>
      <c r="DI63" s="872"/>
      <c r="DJ63" s="872"/>
      <c r="DK63" s="872"/>
      <c r="DL63" s="872"/>
      <c r="DM63" s="872"/>
      <c r="DN63" s="872"/>
      <c r="DO63" s="872"/>
      <c r="DP63" s="872"/>
      <c r="DQ63" s="872"/>
      <c r="DR63" s="872"/>
      <c r="DS63" s="871"/>
      <c r="DT63" s="871"/>
      <c r="DU63" s="871"/>
      <c r="DV63" s="871"/>
      <c r="DW63" s="871"/>
      <c r="DX63" s="871"/>
      <c r="DY63" s="871"/>
      <c r="DZ63" s="871"/>
      <c r="EA63" s="871"/>
      <c r="EB63" s="871"/>
      <c r="EC63" s="871"/>
      <c r="ED63" s="871"/>
      <c r="EE63" s="871"/>
      <c r="EF63" s="871"/>
      <c r="EG63" s="871"/>
      <c r="EH63" s="871"/>
      <c r="EI63" s="871"/>
      <c r="EJ63" s="871"/>
      <c r="EK63" s="871"/>
      <c r="EL63" s="871"/>
      <c r="EM63" s="871"/>
      <c r="EN63" s="871"/>
      <c r="EO63" s="871"/>
      <c r="EP63" s="871"/>
      <c r="EQ63" s="871"/>
      <c r="ER63" s="871"/>
      <c r="ES63" s="871"/>
      <c r="ET63" s="871"/>
      <c r="EU63" s="871"/>
      <c r="EV63" s="871"/>
      <c r="EW63" s="871"/>
      <c r="EX63" s="871"/>
      <c r="EY63" s="871"/>
      <c r="EZ63" s="871"/>
      <c r="FA63" s="871"/>
      <c r="FB63" s="871"/>
      <c r="FC63" s="871"/>
      <c r="FD63" s="871"/>
      <c r="FE63" s="871"/>
      <c r="FF63" s="871"/>
      <c r="FG63" s="871"/>
      <c r="FH63" s="871"/>
      <c r="FI63" s="871"/>
      <c r="FJ63" s="871"/>
      <c r="FK63" s="871"/>
      <c r="FL63" s="871"/>
      <c r="FM63" s="871"/>
      <c r="FN63" s="871"/>
      <c r="FO63" s="871"/>
      <c r="FP63" s="871"/>
      <c r="FQ63" s="871"/>
      <c r="FR63" s="871"/>
      <c r="FS63" s="871"/>
      <c r="FT63" s="871"/>
      <c r="FU63" s="871"/>
      <c r="FV63" s="871"/>
      <c r="FW63" s="871"/>
      <c r="FX63" s="871"/>
      <c r="FY63" s="871"/>
      <c r="FZ63" s="871"/>
      <c r="GA63" s="871"/>
      <c r="GB63" s="871"/>
      <c r="GC63" s="871"/>
      <c r="GD63" s="871"/>
      <c r="GE63" s="871"/>
      <c r="GF63" s="871"/>
      <c r="GG63" s="871"/>
      <c r="GH63" s="871"/>
      <c r="GI63" s="871"/>
      <c r="GJ63" s="871"/>
      <c r="GK63" s="871"/>
      <c r="GL63" s="871"/>
      <c r="GM63" s="871"/>
      <c r="GN63" s="871"/>
      <c r="GO63" s="871"/>
      <c r="GP63" s="871"/>
      <c r="GQ63" s="871"/>
      <c r="GR63" s="871"/>
      <c r="GS63" s="871"/>
      <c r="GT63" s="871"/>
      <c r="GU63" s="871"/>
      <c r="GV63" s="871"/>
      <c r="GW63" s="871"/>
      <c r="GX63" s="871"/>
      <c r="GY63" s="871"/>
      <c r="GZ63" s="871"/>
      <c r="HA63" s="871"/>
      <c r="HB63" s="871"/>
      <c r="HC63" s="871"/>
      <c r="HD63" s="871"/>
      <c r="HE63" s="871"/>
      <c r="HF63" s="871"/>
      <c r="HG63" s="871"/>
      <c r="HH63" s="871"/>
      <c r="HI63" s="871"/>
      <c r="HJ63" s="871"/>
      <c r="HK63" s="871"/>
      <c r="HL63" s="871"/>
      <c r="HM63" s="871"/>
      <c r="HN63" s="871"/>
      <c r="HO63" s="871"/>
    </row>
    <row r="64" spans="1:223" ht="0.2" customHeight="1" thickTop="1">
      <c r="B64" s="1212"/>
      <c r="C64" s="1212"/>
      <c r="D64" s="1212"/>
      <c r="E64" s="1212"/>
      <c r="F64" s="1260"/>
      <c r="G64" s="1212"/>
      <c r="H64" s="1212"/>
      <c r="I64" s="1212"/>
      <c r="J64" s="1212"/>
      <c r="K64" s="1212"/>
      <c r="L64" s="1216"/>
      <c r="M64" s="1212"/>
      <c r="N64" s="1212"/>
      <c r="O64" s="1212"/>
      <c r="P64" s="1212"/>
      <c r="Q64" s="1212"/>
      <c r="R64" s="1217"/>
      <c r="S64" s="1212"/>
      <c r="T64" s="1212"/>
      <c r="U64" s="1212"/>
      <c r="V64" s="1212"/>
      <c r="W64" s="1218"/>
      <c r="X64" s="1215"/>
      <c r="Y64" s="1215"/>
      <c r="Z64" s="1215"/>
      <c r="AA64" s="1215"/>
      <c r="AB64" s="1215"/>
      <c r="AC64" s="1215"/>
      <c r="AD64" s="1215"/>
      <c r="AE64" s="1215"/>
      <c r="AF64" s="1215"/>
      <c r="AH64" s="1215"/>
      <c r="AM64" s="868"/>
      <c r="AN64" s="868"/>
      <c r="AO64" s="868"/>
      <c r="AP64" s="868"/>
      <c r="AQ64" s="868"/>
      <c r="AR64" s="868"/>
      <c r="CD64" s="1491"/>
      <c r="CE64" s="1501"/>
      <c r="CF64" s="1501"/>
      <c r="CG64" s="1490"/>
      <c r="CH64" s="1501">
        <v>3</v>
      </c>
      <c r="CI64" s="1501">
        <v>3</v>
      </c>
      <c r="CJ64" s="1501">
        <v>3</v>
      </c>
      <c r="CK64" s="1501">
        <f t="shared" ref="CK64:CK106" si="3">CK63+1</f>
        <v>3</v>
      </c>
      <c r="CR64" s="1489"/>
      <c r="CS64" s="1489"/>
      <c r="CT64" s="1507"/>
      <c r="CU64" s="1507"/>
      <c r="CV64" s="1507"/>
      <c r="CW64" s="1507"/>
      <c r="CX64" s="1507"/>
      <c r="CY64" s="1507"/>
      <c r="CZ64" s="1507"/>
      <c r="DA64" s="1507"/>
      <c r="DB64" s="1507"/>
      <c r="DS64" s="841"/>
      <c r="DT64" s="841"/>
      <c r="DU64" s="841"/>
      <c r="DV64" s="841"/>
      <c r="DW64" s="841"/>
      <c r="DX64" s="841"/>
      <c r="DY64" s="841"/>
      <c r="DZ64" s="841"/>
      <c r="EA64" s="841"/>
      <c r="EB64" s="841"/>
      <c r="EC64" s="841"/>
      <c r="ED64" s="841"/>
      <c r="EE64" s="841"/>
      <c r="EF64" s="841"/>
      <c r="EG64" s="841"/>
      <c r="EH64" s="841"/>
      <c r="EI64" s="841"/>
      <c r="EJ64" s="841"/>
      <c r="EK64" s="841"/>
      <c r="EL64" s="841"/>
      <c r="EM64" s="841"/>
      <c r="EN64" s="841"/>
      <c r="EO64" s="841"/>
      <c r="EP64" s="841"/>
      <c r="EQ64" s="841"/>
      <c r="ER64" s="841"/>
      <c r="ES64" s="841"/>
      <c r="ET64" s="841"/>
      <c r="EU64" s="841"/>
      <c r="EV64" s="841"/>
      <c r="EW64" s="841"/>
      <c r="EX64" s="841"/>
      <c r="EY64" s="841"/>
      <c r="EZ64" s="841"/>
      <c r="FA64" s="841"/>
      <c r="FB64" s="841"/>
      <c r="FC64" s="841"/>
      <c r="FD64" s="841"/>
      <c r="FE64" s="841"/>
      <c r="FF64" s="841"/>
      <c r="FG64" s="841"/>
      <c r="FH64" s="841"/>
      <c r="FI64" s="841"/>
      <c r="FJ64" s="841"/>
      <c r="FK64" s="841"/>
      <c r="FL64" s="841"/>
      <c r="FM64" s="841"/>
      <c r="FN64" s="841"/>
      <c r="FO64" s="841"/>
      <c r="FP64" s="841"/>
      <c r="FQ64" s="841"/>
      <c r="FR64" s="841"/>
      <c r="FS64" s="841"/>
      <c r="FT64" s="841"/>
      <c r="FU64" s="841"/>
      <c r="FV64" s="841"/>
      <c r="FW64" s="841"/>
      <c r="FX64" s="841"/>
      <c r="FY64" s="841"/>
      <c r="FZ64" s="841"/>
      <c r="GA64" s="841"/>
      <c r="GB64" s="841"/>
      <c r="GC64" s="841"/>
      <c r="GD64" s="841"/>
      <c r="GE64" s="841"/>
      <c r="GF64" s="841"/>
      <c r="GG64" s="841"/>
      <c r="GH64" s="841"/>
      <c r="GI64" s="841"/>
      <c r="GJ64" s="841"/>
      <c r="GK64" s="841"/>
      <c r="GL64" s="841"/>
      <c r="GM64" s="841"/>
      <c r="GN64" s="841"/>
      <c r="GO64" s="841"/>
      <c r="GP64" s="841"/>
      <c r="GQ64" s="841"/>
      <c r="GR64" s="841"/>
      <c r="GS64" s="841"/>
      <c r="GT64" s="841"/>
      <c r="GU64" s="841"/>
      <c r="GV64" s="841"/>
      <c r="GW64" s="841"/>
      <c r="GX64" s="841"/>
      <c r="GY64" s="841"/>
      <c r="GZ64" s="841"/>
      <c r="HA64" s="841"/>
      <c r="HB64" s="841"/>
      <c r="HC64" s="841"/>
      <c r="HD64" s="841"/>
      <c r="HE64" s="841"/>
      <c r="HF64" s="841"/>
      <c r="HG64" s="841"/>
      <c r="HH64" s="841"/>
      <c r="HI64" s="841"/>
      <c r="HJ64" s="841"/>
      <c r="HK64" s="841"/>
      <c r="HL64" s="841"/>
      <c r="HM64" s="841"/>
      <c r="HN64" s="841"/>
      <c r="HO64" s="841"/>
    </row>
    <row r="65" spans="1:223" ht="14.1" customHeight="1" thickTop="1">
      <c r="B65" s="1212"/>
      <c r="C65" s="1212"/>
      <c r="D65" s="1212"/>
      <c r="E65" s="1212"/>
      <c r="F65" s="1260"/>
      <c r="G65" s="1212"/>
      <c r="H65" s="1212"/>
      <c r="I65" s="1212"/>
      <c r="J65" s="1212"/>
      <c r="K65" s="1212"/>
      <c r="L65" s="1216"/>
      <c r="M65" s="1212"/>
      <c r="N65" s="1212"/>
      <c r="O65" s="1212"/>
      <c r="P65" s="1212"/>
      <c r="Q65" s="1212"/>
      <c r="R65" s="1217"/>
      <c r="S65" s="1212"/>
      <c r="T65" s="1212"/>
      <c r="U65" s="1212"/>
      <c r="V65" s="1212"/>
      <c r="W65" s="1218"/>
      <c r="X65" s="1215"/>
      <c r="Y65" s="1215"/>
      <c r="Z65" s="1215"/>
      <c r="AA65" s="1215"/>
      <c r="AB65" s="1215"/>
      <c r="AC65" s="1215"/>
      <c r="AD65" s="1215"/>
      <c r="AE65" s="1215"/>
      <c r="AF65" s="1215"/>
      <c r="AH65" s="1215"/>
      <c r="AM65" s="868"/>
      <c r="AN65" s="868"/>
      <c r="AO65" s="868"/>
      <c r="AP65" s="868"/>
      <c r="AQ65" s="868"/>
      <c r="AR65" s="868"/>
      <c r="CD65" s="1491"/>
      <c r="CE65" s="1501"/>
      <c r="CF65" s="1501"/>
      <c r="CG65" s="1490"/>
      <c r="CH65" s="1501">
        <v>4</v>
      </c>
      <c r="CI65" s="1501">
        <v>4</v>
      </c>
      <c r="CJ65" s="1501">
        <v>4</v>
      </c>
      <c r="CK65" s="1501">
        <f t="shared" si="3"/>
        <v>4</v>
      </c>
      <c r="CR65" s="1489"/>
      <c r="CS65" s="1489"/>
      <c r="CT65" s="1507"/>
      <c r="CU65" s="1507"/>
      <c r="CV65" s="1507"/>
      <c r="CW65" s="1507"/>
      <c r="CX65" s="1507"/>
      <c r="CY65" s="1507"/>
      <c r="CZ65" s="1507"/>
      <c r="DA65" s="1507"/>
      <c r="DB65" s="1507"/>
      <c r="DS65" s="841"/>
      <c r="DT65" s="841"/>
      <c r="DU65" s="841"/>
      <c r="DV65" s="841"/>
      <c r="DW65" s="841"/>
      <c r="DX65" s="841"/>
      <c r="DY65" s="841"/>
      <c r="DZ65" s="841"/>
      <c r="EA65" s="841"/>
      <c r="EB65" s="841"/>
      <c r="EC65" s="841"/>
      <c r="ED65" s="841"/>
      <c r="EE65" s="841"/>
      <c r="EF65" s="841"/>
      <c r="EG65" s="841"/>
      <c r="EH65" s="841"/>
      <c r="EI65" s="841"/>
      <c r="EJ65" s="841"/>
      <c r="EK65" s="841"/>
      <c r="EL65" s="841"/>
      <c r="EM65" s="841"/>
      <c r="EN65" s="841"/>
      <c r="EO65" s="841"/>
      <c r="EP65" s="841"/>
      <c r="EQ65" s="841"/>
      <c r="ER65" s="841"/>
      <c r="ES65" s="841"/>
      <c r="ET65" s="841"/>
      <c r="EU65" s="841"/>
      <c r="EV65" s="841"/>
      <c r="EW65" s="841"/>
      <c r="EX65" s="841"/>
      <c r="EY65" s="841"/>
      <c r="EZ65" s="841"/>
      <c r="FA65" s="841"/>
      <c r="FB65" s="841"/>
      <c r="FC65" s="841"/>
      <c r="FD65" s="841"/>
      <c r="FE65" s="841"/>
      <c r="FF65" s="841"/>
      <c r="FG65" s="841"/>
      <c r="FH65" s="841"/>
      <c r="FI65" s="841"/>
      <c r="FJ65" s="841"/>
      <c r="FK65" s="841"/>
      <c r="FL65" s="841"/>
      <c r="FM65" s="841"/>
      <c r="FN65" s="841"/>
      <c r="FO65" s="841"/>
      <c r="FP65" s="841"/>
      <c r="FQ65" s="841"/>
      <c r="FR65" s="841"/>
      <c r="FS65" s="841"/>
      <c r="FT65" s="841"/>
      <c r="FU65" s="841"/>
      <c r="FV65" s="841"/>
      <c r="FW65" s="841"/>
      <c r="FX65" s="841"/>
      <c r="FY65" s="841"/>
      <c r="FZ65" s="841"/>
      <c r="GA65" s="841"/>
      <c r="GB65" s="841"/>
      <c r="GC65" s="841"/>
      <c r="GD65" s="841"/>
      <c r="GE65" s="841"/>
      <c r="GF65" s="841"/>
      <c r="GG65" s="841"/>
      <c r="GH65" s="841"/>
      <c r="GI65" s="841"/>
      <c r="GJ65" s="841"/>
      <c r="GK65" s="841"/>
      <c r="GL65" s="841"/>
      <c r="GM65" s="841"/>
      <c r="GN65" s="841"/>
      <c r="GO65" s="841"/>
      <c r="GP65" s="841"/>
      <c r="GQ65" s="841"/>
      <c r="GR65" s="841"/>
      <c r="GS65" s="841"/>
      <c r="GT65" s="841"/>
      <c r="GU65" s="841"/>
      <c r="GV65" s="841"/>
      <c r="GW65" s="841"/>
      <c r="GX65" s="841"/>
      <c r="GY65" s="841"/>
      <c r="GZ65" s="841"/>
      <c r="HA65" s="841"/>
      <c r="HB65" s="841"/>
      <c r="HC65" s="841"/>
      <c r="HD65" s="841"/>
      <c r="HE65" s="841"/>
      <c r="HF65" s="841"/>
      <c r="HG65" s="841"/>
      <c r="HH65" s="841"/>
      <c r="HI65" s="841"/>
      <c r="HJ65" s="841"/>
      <c r="HK65" s="841"/>
      <c r="HL65" s="841"/>
      <c r="HM65" s="841"/>
      <c r="HN65" s="841"/>
      <c r="HO65" s="841"/>
    </row>
    <row r="66" spans="1:223" s="873" customFormat="1" ht="21" customHeight="1" thickBot="1">
      <c r="A66" s="869"/>
      <c r="B66" s="1206"/>
      <c r="C66" s="1219"/>
      <c r="D66" s="1206"/>
      <c r="E66" s="1219"/>
      <c r="F66" s="1206"/>
      <c r="G66" s="1219"/>
      <c r="H66" s="1206"/>
      <c r="I66" s="1219"/>
      <c r="J66" s="2104"/>
      <c r="K66" s="2105"/>
      <c r="L66" s="2106"/>
      <c r="M66" s="1219"/>
      <c r="N66" s="1206"/>
      <c r="O66" s="1219"/>
      <c r="P66" s="1220">
        <f>IF(AND(D66&gt;0,ISBLANK(H66)),"Falta prod voz",(IF(ISBLANK(H66),0,VLOOKUP(H66,Calculos_cuotas!$A$12:$C$20,3,FALSE))+IF(ISBLANK(J66),0,VLOOKUP(J66,Calculos_cuotas!$G$9:$H$11,2,FALSE))+Calculos_cuotas!$C$21))</f>
        <v>0</v>
      </c>
      <c r="Q66" s="1219"/>
      <c r="R66" s="1220">
        <f>IF(P66="Falta prod voz", "ND",D66*P66)</f>
        <v>0</v>
      </c>
      <c r="S66" s="1219"/>
      <c r="T66" s="1206"/>
      <c r="U66" s="1219"/>
      <c r="V66" s="1221">
        <f>IF(AND(T66="Sí",$D$17&lt;&gt;"Preaprobadas"),Calculos_cuotas!$W$47,0%)</f>
        <v>0</v>
      </c>
      <c r="W66" s="1222">
        <f>V66*R66</f>
        <v>0</v>
      </c>
      <c r="X66" s="1221">
        <f>IF(P66="Falta prod voz","ND",IF($D$17="Óptima RPV",IF(($R$82+$L$111)&lt;Calculos_cuotas!$Y$34,Calculos_cuotas!$Z$34,IF(($R$82+$L$111)&lt;Calculos_cuotas!$Y$35,Calculos_cuotas!$Z$35,IF(($R$82+$L$111)&lt;Calculos_cuotas!$Y$36,Calculos_cuotas!$Z$36,IF(($R$82+$L$111)&lt;Calculos_cuotas!$Y$37,Calculos_cuotas!$Z$37,Calculos_cuotas!$Z$38)))),0%))</f>
        <v>0.1</v>
      </c>
      <c r="Y66" s="1215"/>
      <c r="Z66" s="1220">
        <f>IF(OR(P66="Falta prod voz",$M$33&gt;0),"ND",IF($D$17&lt;&gt;"Preaprobadas",P66*(1-V66-X66),IF($J$17="Cartera Orange", IF(ISBLANK(H66),0,VLOOKUP(H66,$J$21:$L$29,3,FALSE))+IF(ISBLANK(J66),0,VLOOKUP(J66,$J$30:$L$32,3,FALSE)),IF(ISBLANK(H66),0,VLOOKUP(H66,Calculos_cuotas!$A$183:$F$191,1+Calculos_cuotas!$B$177,FALSE))+IF(ISBLANK(J66),0,VLOOKUP(J66,Calculos_cuotas!$A$192:$F$194,1+Calculos_cuotas!$B$177,FALSE)))))</f>
        <v>0</v>
      </c>
      <c r="AA66" s="1228"/>
      <c r="AB66" s="1220">
        <f>IF(Z66="ND","ND",D66*Z66)</f>
        <v>0</v>
      </c>
      <c r="AC66" s="1215"/>
      <c r="AD66" s="1221">
        <f>IF($D$17&lt;&gt;"Preaprobadas",Calculos_cuotas!$W$43,0%)</f>
        <v>0.1</v>
      </c>
      <c r="AE66" s="1215"/>
      <c r="AF66" s="1220">
        <f>IF(OR(P66="Falta prod voz",$M$33&gt;0),"ND",IF($D$17&lt;&gt;"Preaprobadas",P66*(1-V66-X66-AD66),IF($J$17="Cartera Orange", IF(ISBLANK(H66),0,VLOOKUP(H66,$J$21:$L$29,3,FALSE))+IF(ISBLANK(J66),0,VLOOKUP(J66,$J$30:$L$32,3,FALSE)),IF(Calculos_cuotas!$T$43&gt;0%,IF(ISBLANK(H66),0,VLOOKUP(H66,Calculos_cuotas!$A$198:$F$209,1+Calculos_cuotas!$B$177,FALSE))+IF(ISBLANK(J66),0,VLOOKUP(J66,Calculos_cuotas!$A$207:$F$209,1+Calculos_cuotas!$B$177,FALSE)),Z66))))</f>
        <v>0</v>
      </c>
      <c r="AG66" s="1219"/>
      <c r="AH66" s="1220">
        <f>IF(D77=1,"N/D",IF(AF66="ND","ND",D66*AF66))</f>
        <v>0</v>
      </c>
      <c r="AI66" s="869"/>
      <c r="AJ66" s="869"/>
      <c r="AK66" s="869"/>
      <c r="AL66" s="869"/>
      <c r="AM66" s="1348"/>
      <c r="AN66" s="1348"/>
      <c r="AO66" s="1348"/>
      <c r="AP66" s="1348"/>
      <c r="AQ66" s="1348"/>
      <c r="AR66" s="1348"/>
      <c r="AS66" s="1348"/>
      <c r="AT66" s="872"/>
      <c r="AU66" s="872"/>
      <c r="AV66" s="872"/>
      <c r="AW66" s="872"/>
      <c r="AX66" s="872"/>
      <c r="AY66" s="872"/>
      <c r="AZ66" s="872"/>
      <c r="BA66" s="872"/>
      <c r="BB66" s="872"/>
      <c r="BC66" s="872"/>
      <c r="BD66" s="872"/>
      <c r="BE66" s="872"/>
      <c r="BF66" s="872"/>
      <c r="BG66" s="872"/>
      <c r="BH66" s="872"/>
      <c r="BI66" s="872"/>
      <c r="BJ66" s="872"/>
      <c r="BK66" s="872"/>
      <c r="BL66" s="872"/>
      <c r="BM66" s="872"/>
      <c r="BN66" s="872"/>
      <c r="BO66" s="872"/>
      <c r="BP66" s="872"/>
      <c r="BQ66" s="872"/>
      <c r="BR66" s="872"/>
      <c r="BS66" s="872"/>
      <c r="BT66" s="872"/>
      <c r="BU66" s="872"/>
      <c r="BV66" s="872"/>
      <c r="BW66" s="872"/>
      <c r="BX66" s="872"/>
      <c r="BY66" s="872"/>
      <c r="BZ66" s="871"/>
      <c r="CA66" s="871"/>
      <c r="CB66" s="871"/>
      <c r="CC66" s="871"/>
      <c r="CD66" s="1494"/>
      <c r="CE66" s="1498"/>
      <c r="CF66" s="1501"/>
      <c r="CG66" s="1490"/>
      <c r="CH66" s="1501">
        <v>5</v>
      </c>
      <c r="CI66" s="1501">
        <v>5</v>
      </c>
      <c r="CJ66" s="1501">
        <v>5</v>
      </c>
      <c r="CK66" s="1501">
        <f t="shared" si="3"/>
        <v>5</v>
      </c>
      <c r="CL66" s="1494"/>
      <c r="CM66" s="1494"/>
      <c r="CN66" s="1494"/>
      <c r="CO66" s="1494"/>
      <c r="CP66" s="1494"/>
      <c r="CQ66" s="1494"/>
      <c r="CR66" s="1494"/>
      <c r="CS66" s="1494"/>
      <c r="CT66" s="2024"/>
      <c r="CU66" s="2024"/>
      <c r="CV66" s="2024"/>
      <c r="CW66" s="2024"/>
      <c r="CX66" s="2024"/>
      <c r="CY66" s="2024"/>
      <c r="CZ66" s="2024"/>
      <c r="DA66" s="2024"/>
      <c r="DB66" s="2024"/>
      <c r="DC66" s="1505"/>
      <c r="DD66" s="1505"/>
      <c r="DE66" s="872"/>
      <c r="DF66" s="872"/>
      <c r="DG66" s="872"/>
      <c r="DH66" s="872"/>
      <c r="DI66" s="872"/>
      <c r="DJ66" s="872"/>
      <c r="DK66" s="872"/>
      <c r="DL66" s="872"/>
      <c r="DM66" s="872"/>
      <c r="DN66" s="872"/>
      <c r="DO66" s="872"/>
      <c r="DP66" s="872"/>
      <c r="DQ66" s="872"/>
      <c r="DR66" s="872"/>
      <c r="DS66" s="871"/>
      <c r="DT66" s="871"/>
      <c r="DU66" s="871"/>
      <c r="DV66" s="871"/>
      <c r="DW66" s="871"/>
      <c r="DX66" s="871"/>
      <c r="DY66" s="871"/>
      <c r="DZ66" s="871"/>
      <c r="EA66" s="871"/>
      <c r="EB66" s="871"/>
      <c r="EC66" s="871"/>
      <c r="ED66" s="871"/>
      <c r="EE66" s="871"/>
      <c r="EF66" s="871"/>
      <c r="EG66" s="871"/>
      <c r="EH66" s="871"/>
      <c r="EI66" s="871"/>
      <c r="EJ66" s="871"/>
      <c r="EK66" s="871"/>
      <c r="EL66" s="871"/>
      <c r="EM66" s="871"/>
      <c r="EN66" s="871"/>
      <c r="EO66" s="871"/>
      <c r="EP66" s="871"/>
      <c r="EQ66" s="871"/>
      <c r="ER66" s="871"/>
      <c r="ES66" s="871"/>
      <c r="ET66" s="871"/>
      <c r="EU66" s="871"/>
      <c r="EV66" s="871"/>
      <c r="EW66" s="871"/>
      <c r="EX66" s="871"/>
      <c r="EY66" s="871"/>
      <c r="EZ66" s="871"/>
      <c r="FA66" s="871"/>
      <c r="FB66" s="871"/>
      <c r="FC66" s="871"/>
      <c r="FD66" s="871"/>
      <c r="FE66" s="871"/>
      <c r="FF66" s="871"/>
      <c r="FG66" s="871"/>
      <c r="FH66" s="871"/>
      <c r="FI66" s="871"/>
      <c r="FJ66" s="871"/>
      <c r="FK66" s="871"/>
      <c r="FL66" s="871"/>
      <c r="FM66" s="871"/>
      <c r="FN66" s="871"/>
      <c r="FO66" s="871"/>
      <c r="FP66" s="871"/>
      <c r="FQ66" s="871"/>
      <c r="FR66" s="871"/>
      <c r="FS66" s="871"/>
      <c r="FT66" s="871"/>
      <c r="FU66" s="871"/>
      <c r="FV66" s="871"/>
      <c r="FW66" s="871"/>
      <c r="FX66" s="871"/>
      <c r="FY66" s="871"/>
      <c r="FZ66" s="871"/>
      <c r="GA66" s="871"/>
      <c r="GB66" s="871"/>
      <c r="GC66" s="871"/>
      <c r="GD66" s="871"/>
      <c r="GE66" s="871"/>
      <c r="GF66" s="871"/>
      <c r="GG66" s="871"/>
      <c r="GH66" s="871"/>
      <c r="GI66" s="871"/>
      <c r="GJ66" s="871"/>
      <c r="GK66" s="871"/>
      <c r="GL66" s="871"/>
      <c r="GM66" s="871"/>
      <c r="GN66" s="871"/>
      <c r="GO66" s="871"/>
      <c r="GP66" s="871"/>
      <c r="GQ66" s="871"/>
      <c r="GR66" s="871"/>
      <c r="GS66" s="871"/>
      <c r="GT66" s="871"/>
      <c r="GU66" s="871"/>
      <c r="GV66" s="871"/>
      <c r="GW66" s="871"/>
      <c r="GX66" s="871"/>
      <c r="GY66" s="871"/>
      <c r="GZ66" s="871"/>
      <c r="HA66" s="871"/>
      <c r="HB66" s="871"/>
      <c r="HC66" s="871"/>
      <c r="HD66" s="871"/>
      <c r="HE66" s="871"/>
      <c r="HF66" s="871"/>
      <c r="HG66" s="871"/>
      <c r="HH66" s="871"/>
      <c r="HI66" s="871"/>
      <c r="HJ66" s="871"/>
      <c r="HK66" s="871"/>
      <c r="HL66" s="871"/>
      <c r="HM66" s="871"/>
      <c r="HN66" s="871"/>
      <c r="HO66" s="871"/>
    </row>
    <row r="67" spans="1:223" ht="14.1" customHeight="1" thickTop="1">
      <c r="B67" s="1212"/>
      <c r="C67" s="1212"/>
      <c r="D67" s="1212"/>
      <c r="E67" s="1212"/>
      <c r="F67" s="1260"/>
      <c r="G67" s="1212"/>
      <c r="H67" s="1212"/>
      <c r="I67" s="1212"/>
      <c r="J67" s="1212"/>
      <c r="K67" s="1212"/>
      <c r="L67" s="1216"/>
      <c r="M67" s="1212"/>
      <c r="N67" s="1212"/>
      <c r="O67" s="1212"/>
      <c r="P67" s="1212"/>
      <c r="Q67" s="1212"/>
      <c r="R67" s="1217"/>
      <c r="S67" s="1212"/>
      <c r="T67" s="1212"/>
      <c r="U67" s="1212"/>
      <c r="V67" s="1212"/>
      <c r="W67" s="1218"/>
      <c r="X67" s="1215"/>
      <c r="Y67" s="1215"/>
      <c r="Z67" s="1215"/>
      <c r="AA67" s="1215"/>
      <c r="AB67" s="1215"/>
      <c r="AC67" s="1215"/>
      <c r="AD67" s="1215"/>
      <c r="AE67" s="1215"/>
      <c r="AF67" s="1215"/>
      <c r="AH67" s="1215"/>
      <c r="AM67" s="868"/>
      <c r="AN67" s="868"/>
      <c r="AO67" s="868"/>
      <c r="AP67" s="868"/>
      <c r="AQ67" s="868"/>
      <c r="AR67" s="868"/>
      <c r="CD67" s="1491"/>
      <c r="CE67" s="1501"/>
      <c r="CF67" s="1501"/>
      <c r="CG67" s="1490"/>
      <c r="CH67" s="1501">
        <v>6</v>
      </c>
      <c r="CI67" s="1501">
        <v>6</v>
      </c>
      <c r="CJ67" s="1501">
        <v>6</v>
      </c>
      <c r="CK67" s="1501">
        <f t="shared" si="3"/>
        <v>6</v>
      </c>
      <c r="CR67" s="1489"/>
      <c r="CS67" s="1489"/>
      <c r="CT67" s="1507"/>
      <c r="CU67" s="1507"/>
      <c r="CV67" s="1507"/>
      <c r="CW67" s="1507"/>
      <c r="CX67" s="1507"/>
      <c r="CY67" s="1507"/>
      <c r="CZ67" s="1507"/>
      <c r="DA67" s="1507"/>
      <c r="DB67" s="1507"/>
      <c r="DS67" s="841"/>
      <c r="DT67" s="841"/>
      <c r="DU67" s="841"/>
      <c r="DV67" s="841"/>
      <c r="DW67" s="841"/>
      <c r="DX67" s="841"/>
      <c r="DY67" s="841"/>
      <c r="DZ67" s="841"/>
      <c r="EA67" s="841"/>
      <c r="EB67" s="841"/>
      <c r="EC67" s="841"/>
      <c r="ED67" s="841"/>
      <c r="EE67" s="841"/>
      <c r="EF67" s="841"/>
      <c r="EG67" s="841"/>
      <c r="EH67" s="841"/>
      <c r="EI67" s="841"/>
      <c r="EJ67" s="841"/>
      <c r="EK67" s="841"/>
      <c r="EL67" s="841"/>
      <c r="EM67" s="841"/>
      <c r="EN67" s="841"/>
      <c r="EO67" s="841"/>
      <c r="EP67" s="841"/>
      <c r="EQ67" s="841"/>
      <c r="ER67" s="841"/>
      <c r="ES67" s="841"/>
      <c r="ET67" s="841"/>
      <c r="EU67" s="841"/>
      <c r="EV67" s="841"/>
      <c r="EW67" s="841"/>
      <c r="EX67" s="841"/>
      <c r="EY67" s="841"/>
      <c r="EZ67" s="841"/>
      <c r="FA67" s="841"/>
      <c r="FB67" s="841"/>
      <c r="FC67" s="841"/>
      <c r="FD67" s="841"/>
      <c r="FE67" s="841"/>
      <c r="FF67" s="841"/>
      <c r="FG67" s="841"/>
      <c r="FH67" s="841"/>
      <c r="FI67" s="841"/>
      <c r="FJ67" s="841"/>
      <c r="FK67" s="841"/>
      <c r="FL67" s="841"/>
      <c r="FM67" s="841"/>
      <c r="FN67" s="841"/>
      <c r="FO67" s="841"/>
      <c r="FP67" s="841"/>
      <c r="FQ67" s="841"/>
      <c r="FR67" s="841"/>
      <c r="FS67" s="841"/>
      <c r="FT67" s="841"/>
      <c r="FU67" s="841"/>
      <c r="FV67" s="841"/>
      <c r="FW67" s="841"/>
      <c r="FX67" s="841"/>
      <c r="FY67" s="841"/>
      <c r="FZ67" s="841"/>
      <c r="GA67" s="841"/>
      <c r="GB67" s="841"/>
      <c r="GC67" s="841"/>
      <c r="GD67" s="841"/>
      <c r="GE67" s="841"/>
      <c r="GF67" s="841"/>
      <c r="GG67" s="841"/>
      <c r="GH67" s="841"/>
      <c r="GI67" s="841"/>
      <c r="GJ67" s="841"/>
      <c r="GK67" s="841"/>
      <c r="GL67" s="841"/>
      <c r="GM67" s="841"/>
      <c r="GN67" s="841"/>
      <c r="GO67" s="841"/>
      <c r="GP67" s="841"/>
      <c r="GQ67" s="841"/>
      <c r="GR67" s="841"/>
      <c r="GS67" s="841"/>
      <c r="GT67" s="841"/>
      <c r="GU67" s="841"/>
      <c r="GV67" s="841"/>
      <c r="GW67" s="841"/>
      <c r="GX67" s="841"/>
      <c r="GY67" s="841"/>
      <c r="GZ67" s="841"/>
      <c r="HA67" s="841"/>
      <c r="HB67" s="841"/>
      <c r="HC67" s="841"/>
      <c r="HD67" s="841"/>
      <c r="HE67" s="841"/>
      <c r="HF67" s="841"/>
      <c r="HG67" s="841"/>
      <c r="HH67" s="841"/>
      <c r="HI67" s="841"/>
      <c r="HJ67" s="841"/>
      <c r="HK67" s="841"/>
      <c r="HL67" s="841"/>
      <c r="HM67" s="841"/>
      <c r="HN67" s="841"/>
      <c r="HO67" s="841"/>
    </row>
    <row r="68" spans="1:223" ht="21" customHeight="1" thickBot="1">
      <c r="B68" s="1206"/>
      <c r="C68" s="1219"/>
      <c r="D68" s="1206"/>
      <c r="E68" s="1219"/>
      <c r="F68" s="1206"/>
      <c r="G68" s="1219"/>
      <c r="H68" s="1206"/>
      <c r="I68" s="1219"/>
      <c r="J68" s="2104"/>
      <c r="K68" s="2105"/>
      <c r="L68" s="2106"/>
      <c r="M68" s="1219"/>
      <c r="N68" s="1206"/>
      <c r="O68" s="1219"/>
      <c r="P68" s="1220">
        <f>IF(AND(D68&gt;0,ISBLANK(H68)),"Falta prod voz",(IF(ISBLANK(H68),0,VLOOKUP(H68,Calculos_cuotas!$A$12:$C$20,3,FALSE))+IF(ISBLANK(J68),0,VLOOKUP(J68,Calculos_cuotas!$G$9:$H$11,2,FALSE))+Calculos_cuotas!$C$21))</f>
        <v>0</v>
      </c>
      <c r="Q68" s="1219"/>
      <c r="R68" s="1220">
        <f>IF(P68="Falta prod voz", "ND",D68*P68)</f>
        <v>0</v>
      </c>
      <c r="S68" s="1212"/>
      <c r="T68" s="1206"/>
      <c r="U68" s="1219"/>
      <c r="V68" s="1221">
        <f>IF(AND(T68="Sí",$D$17&lt;&gt;"Preaprobadas"),Calculos_cuotas!$W$47,0%)</f>
        <v>0</v>
      </c>
      <c r="W68" s="1222">
        <f>V68*R68</f>
        <v>0</v>
      </c>
      <c r="X68" s="1221">
        <f>IF(P68="Falta prod voz","ND",IF($D$17="Óptima RPV",IF(($R$82+$L$111)&lt;Calculos_cuotas!$Y$34,Calculos_cuotas!$Z$34,IF(($R$82+$L$111)&lt;Calculos_cuotas!$Y$35,Calculos_cuotas!$Z$35,IF(($R$82+$L$111)&lt;Calculos_cuotas!$Y$36,Calculos_cuotas!$Z$36,IF(($R$82+$L$111)&lt;Calculos_cuotas!$Y$37,Calculos_cuotas!$Z$37,Calculos_cuotas!$Z$38)))),0%))</f>
        <v>0.1</v>
      </c>
      <c r="Y68" s="1215"/>
      <c r="Z68" s="1220">
        <f>IF(OR(P68="Falta prod voz",$M$33&gt;0),"ND",IF($D$17&lt;&gt;"Preaprobadas",P68*(1-V68-X68),IF($J$17="Cartera Orange", IF(ISBLANK(H68),0,VLOOKUP(H68,$J$21:$L$29,3,FALSE))+IF(ISBLANK(J68),0,VLOOKUP(J68,$J$30:$L$32,3,FALSE)),IF(ISBLANK(H68),0,VLOOKUP(H68,Calculos_cuotas!$A$183:$F$191,1+Calculos_cuotas!$B$177,FALSE))+IF(ISBLANK(J68),0,VLOOKUP(J68,Calculos_cuotas!$A$192:$F$194,1+Calculos_cuotas!$B$177,FALSE)))))</f>
        <v>0</v>
      </c>
      <c r="AA68" s="1228"/>
      <c r="AB68" s="1220">
        <f>IF(Z68="ND","ND",D68*Z68)</f>
        <v>0</v>
      </c>
      <c r="AC68" s="1215"/>
      <c r="AD68" s="1221">
        <f>IF($D$17&lt;&gt;"Preaprobadas",Calculos_cuotas!$W$43,0%)</f>
        <v>0.1</v>
      </c>
      <c r="AE68" s="1215"/>
      <c r="AF68" s="1220">
        <f>IF(OR(P68="Falta prod voz",$M$33&gt;0),"ND",IF($D$17&lt;&gt;"Preaprobadas",P68*(1-V68-X68-AD68),IF($J$17="Cartera Orange", IF(ISBLANK(H68),0,VLOOKUP(H68,$J$21:$L$29,3,FALSE))+IF(ISBLANK(J68),0,VLOOKUP(J68,$J$30:$L$32,3,FALSE)),IF(Calculos_cuotas!$T$43&gt;0%,IF(ISBLANK(H68),0,VLOOKUP(H68,Calculos_cuotas!$A$198:$F$209,1+Calculos_cuotas!$B$177,FALSE))+IF(ISBLANK(J68),0,VLOOKUP(J68,Calculos_cuotas!$A$207:$F$209,1+Calculos_cuotas!$B$177,FALSE)),Z68))))</f>
        <v>0</v>
      </c>
      <c r="AG68" s="1219"/>
      <c r="AH68" s="1220">
        <f>IF(D77=1,"N/D",IF(AF68="ND","ND",D68*AF68))</f>
        <v>0</v>
      </c>
      <c r="AM68" s="868"/>
      <c r="AN68" s="868"/>
      <c r="AO68" s="868"/>
      <c r="AP68" s="868"/>
      <c r="AQ68" s="868"/>
      <c r="AR68" s="868"/>
      <c r="CD68" s="1491"/>
      <c r="CE68" s="1501"/>
      <c r="CF68" s="1501"/>
      <c r="CG68" s="1490"/>
      <c r="CH68" s="1501">
        <v>7</v>
      </c>
      <c r="CI68" s="1501">
        <v>7</v>
      </c>
      <c r="CJ68" s="1501">
        <v>7</v>
      </c>
      <c r="CK68" s="1501">
        <f t="shared" si="3"/>
        <v>7</v>
      </c>
      <c r="CR68" s="1489"/>
      <c r="CS68" s="1489"/>
      <c r="CT68" s="1507"/>
      <c r="CU68" s="1507"/>
      <c r="CV68" s="1507"/>
      <c r="CW68" s="1507"/>
      <c r="CX68" s="1507"/>
      <c r="CY68" s="1507"/>
      <c r="CZ68" s="1507"/>
      <c r="DA68" s="1507"/>
      <c r="DB68" s="1507"/>
      <c r="DS68" s="841"/>
      <c r="DT68" s="841"/>
      <c r="DU68" s="841"/>
      <c r="DV68" s="841"/>
      <c r="DW68" s="841"/>
      <c r="DX68" s="841"/>
      <c r="DY68" s="841"/>
      <c r="DZ68" s="841"/>
      <c r="EA68" s="841"/>
      <c r="EB68" s="841"/>
      <c r="EC68" s="841"/>
      <c r="ED68" s="841"/>
      <c r="EE68" s="841"/>
      <c r="EF68" s="841"/>
      <c r="EG68" s="841"/>
      <c r="EH68" s="841"/>
      <c r="EI68" s="841"/>
      <c r="EJ68" s="841"/>
      <c r="EK68" s="841"/>
      <c r="EL68" s="841"/>
      <c r="EM68" s="841"/>
      <c r="EN68" s="841"/>
      <c r="EO68" s="841"/>
      <c r="EP68" s="841"/>
      <c r="EQ68" s="841"/>
      <c r="ER68" s="841"/>
      <c r="ES68" s="841"/>
      <c r="ET68" s="841"/>
      <c r="EU68" s="841"/>
      <c r="EV68" s="841"/>
      <c r="EW68" s="841"/>
      <c r="EX68" s="841"/>
      <c r="EY68" s="841"/>
      <c r="EZ68" s="841"/>
      <c r="FA68" s="841"/>
      <c r="FB68" s="841"/>
      <c r="FC68" s="841"/>
      <c r="FD68" s="841"/>
      <c r="FE68" s="841"/>
      <c r="FF68" s="841"/>
      <c r="FG68" s="841"/>
      <c r="FH68" s="841"/>
      <c r="FI68" s="841"/>
      <c r="FJ68" s="841"/>
      <c r="FK68" s="841"/>
      <c r="FL68" s="841"/>
      <c r="FM68" s="841"/>
      <c r="FN68" s="841"/>
      <c r="FO68" s="841"/>
      <c r="FP68" s="841"/>
      <c r="FQ68" s="841"/>
      <c r="FR68" s="841"/>
      <c r="FS68" s="841"/>
      <c r="FT68" s="841"/>
      <c r="FU68" s="841"/>
      <c r="FV68" s="841"/>
      <c r="FW68" s="841"/>
      <c r="FX68" s="841"/>
      <c r="FY68" s="841"/>
      <c r="FZ68" s="841"/>
      <c r="GA68" s="841"/>
      <c r="GB68" s="841"/>
      <c r="GC68" s="841"/>
      <c r="GD68" s="841"/>
      <c r="GE68" s="841"/>
      <c r="GF68" s="841"/>
      <c r="GG68" s="841"/>
      <c r="GH68" s="841"/>
      <c r="GI68" s="841"/>
      <c r="GJ68" s="841"/>
      <c r="GK68" s="841"/>
      <c r="GL68" s="841"/>
      <c r="GM68" s="841"/>
      <c r="GN68" s="841"/>
      <c r="GO68" s="841"/>
      <c r="GP68" s="841"/>
      <c r="GQ68" s="841"/>
      <c r="GR68" s="841"/>
      <c r="GS68" s="841"/>
      <c r="GT68" s="841"/>
      <c r="GU68" s="841"/>
      <c r="GV68" s="841"/>
      <c r="GW68" s="841"/>
      <c r="GX68" s="841"/>
      <c r="GY68" s="841"/>
      <c r="GZ68" s="841"/>
      <c r="HA68" s="841"/>
      <c r="HB68" s="841"/>
      <c r="HC68" s="841"/>
      <c r="HD68" s="841"/>
      <c r="HE68" s="841"/>
      <c r="HF68" s="841"/>
      <c r="HG68" s="841"/>
      <c r="HH68" s="841"/>
      <c r="HI68" s="841"/>
      <c r="HJ68" s="841"/>
      <c r="HK68" s="841"/>
      <c r="HL68" s="841"/>
      <c r="HM68" s="841"/>
      <c r="HN68" s="841"/>
      <c r="HO68" s="841"/>
    </row>
    <row r="69" spans="1:223" ht="14.1" customHeight="1" thickTop="1">
      <c r="B69" s="1212"/>
      <c r="C69" s="1212"/>
      <c r="D69" s="1212"/>
      <c r="E69" s="1212"/>
      <c r="F69" s="1260"/>
      <c r="G69" s="1212"/>
      <c r="H69" s="1212"/>
      <c r="I69" s="1212"/>
      <c r="J69" s="1212"/>
      <c r="K69" s="1212"/>
      <c r="L69" s="1216"/>
      <c r="M69" s="1212"/>
      <c r="N69" s="1212"/>
      <c r="O69" s="1212"/>
      <c r="P69" s="1212"/>
      <c r="Q69" s="1212"/>
      <c r="R69" s="1217"/>
      <c r="S69" s="1212"/>
      <c r="T69" s="1212"/>
      <c r="U69" s="1212"/>
      <c r="V69" s="1212"/>
      <c r="W69" s="1218"/>
      <c r="X69" s="1215"/>
      <c r="Y69" s="1215"/>
      <c r="Z69" s="1215"/>
      <c r="AA69" s="1215"/>
      <c r="AB69" s="1215"/>
      <c r="AC69" s="1215"/>
      <c r="AD69" s="1215"/>
      <c r="AE69" s="1215"/>
      <c r="AF69" s="1215"/>
      <c r="AH69" s="1215"/>
      <c r="AM69" s="868"/>
      <c r="AN69" s="868"/>
      <c r="AO69" s="868"/>
      <c r="AP69" s="868"/>
      <c r="AQ69" s="868"/>
      <c r="AR69" s="868"/>
      <c r="CD69" s="1491"/>
      <c r="CE69" s="1501"/>
      <c r="CF69" s="1501"/>
      <c r="CG69" s="1490"/>
      <c r="CH69" s="1501">
        <v>8</v>
      </c>
      <c r="CI69" s="1501">
        <v>8</v>
      </c>
      <c r="CJ69" s="1501">
        <v>8</v>
      </c>
      <c r="CK69" s="1501">
        <f t="shared" si="3"/>
        <v>8</v>
      </c>
      <c r="CR69" s="1489"/>
      <c r="CS69" s="1489"/>
      <c r="CT69" s="1507"/>
      <c r="CU69" s="1507"/>
      <c r="CV69" s="1507"/>
      <c r="CW69" s="1507"/>
      <c r="CX69" s="1507"/>
      <c r="CY69" s="1507"/>
      <c r="CZ69" s="1507"/>
      <c r="DA69" s="1507"/>
      <c r="DB69" s="1507"/>
      <c r="DS69" s="841"/>
      <c r="DT69" s="841"/>
      <c r="DU69" s="841"/>
      <c r="DV69" s="841"/>
      <c r="DW69" s="841"/>
      <c r="DX69" s="841"/>
      <c r="DY69" s="841"/>
      <c r="DZ69" s="841"/>
      <c r="EA69" s="841"/>
      <c r="EB69" s="841"/>
      <c r="EC69" s="841"/>
      <c r="ED69" s="841"/>
      <c r="EE69" s="841"/>
      <c r="EF69" s="841"/>
      <c r="EG69" s="841"/>
      <c r="EH69" s="841"/>
      <c r="EI69" s="841"/>
      <c r="EJ69" s="841"/>
      <c r="EK69" s="841"/>
      <c r="EL69" s="841"/>
      <c r="EM69" s="841"/>
      <c r="EN69" s="841"/>
      <c r="EO69" s="841"/>
      <c r="EP69" s="841"/>
      <c r="EQ69" s="841"/>
      <c r="ER69" s="841"/>
      <c r="ES69" s="841"/>
      <c r="ET69" s="841"/>
      <c r="EU69" s="841"/>
      <c r="EV69" s="841"/>
      <c r="EW69" s="841"/>
      <c r="EX69" s="841"/>
      <c r="EY69" s="841"/>
      <c r="EZ69" s="841"/>
      <c r="FA69" s="841"/>
      <c r="FB69" s="841"/>
      <c r="FC69" s="841"/>
      <c r="FD69" s="841"/>
      <c r="FE69" s="841"/>
      <c r="FF69" s="841"/>
      <c r="FG69" s="841"/>
      <c r="FH69" s="841"/>
      <c r="FI69" s="841"/>
      <c r="FJ69" s="841"/>
      <c r="FK69" s="841"/>
      <c r="FL69" s="841"/>
      <c r="FM69" s="841"/>
      <c r="FN69" s="841"/>
      <c r="FO69" s="841"/>
      <c r="FP69" s="841"/>
      <c r="FQ69" s="841"/>
      <c r="FR69" s="841"/>
      <c r="FS69" s="841"/>
      <c r="FT69" s="841"/>
      <c r="FU69" s="841"/>
      <c r="FV69" s="841"/>
      <c r="FW69" s="841"/>
      <c r="FX69" s="841"/>
      <c r="FY69" s="841"/>
      <c r="FZ69" s="841"/>
      <c r="GA69" s="841"/>
      <c r="GB69" s="841"/>
      <c r="GC69" s="841"/>
      <c r="GD69" s="841"/>
      <c r="GE69" s="841"/>
      <c r="GF69" s="841"/>
      <c r="GG69" s="841"/>
      <c r="GH69" s="841"/>
      <c r="GI69" s="841"/>
      <c r="GJ69" s="841"/>
      <c r="GK69" s="841"/>
      <c r="GL69" s="841"/>
      <c r="GM69" s="841"/>
      <c r="GN69" s="841"/>
      <c r="GO69" s="841"/>
      <c r="GP69" s="841"/>
      <c r="GQ69" s="841"/>
      <c r="GR69" s="841"/>
      <c r="GS69" s="841"/>
      <c r="GT69" s="841"/>
      <c r="GU69" s="841"/>
      <c r="GV69" s="841"/>
      <c r="GW69" s="841"/>
      <c r="GX69" s="841"/>
      <c r="GY69" s="841"/>
      <c r="GZ69" s="841"/>
      <c r="HA69" s="841"/>
      <c r="HB69" s="841"/>
      <c r="HC69" s="841"/>
      <c r="HD69" s="841"/>
      <c r="HE69" s="841"/>
      <c r="HF69" s="841"/>
      <c r="HG69" s="841"/>
      <c r="HH69" s="841"/>
      <c r="HI69" s="841"/>
      <c r="HJ69" s="841"/>
      <c r="HK69" s="841"/>
      <c r="HL69" s="841"/>
      <c r="HM69" s="841"/>
      <c r="HN69" s="841"/>
      <c r="HO69" s="841"/>
    </row>
    <row r="70" spans="1:223" ht="21" customHeight="1" thickBot="1">
      <c r="B70" s="1206"/>
      <c r="C70" s="1219"/>
      <c r="D70" s="1206"/>
      <c r="E70" s="1219"/>
      <c r="F70" s="1206"/>
      <c r="G70" s="1219"/>
      <c r="H70" s="1206"/>
      <c r="I70" s="1219"/>
      <c r="J70" s="2104"/>
      <c r="K70" s="2105"/>
      <c r="L70" s="2106"/>
      <c r="M70" s="1219"/>
      <c r="N70" s="1206"/>
      <c r="O70" s="1219"/>
      <c r="P70" s="1220">
        <f>IF(AND(D70&gt;0,ISBLANK(H70)),"Falta prod voz",(IF(ISBLANK(H70),0,VLOOKUP(H70,Calculos_cuotas!$A$12:$C$20,3,FALSE))+IF(ISBLANK(J70),0,VLOOKUP(J70,Calculos_cuotas!$G$9:$H$11,2,FALSE))+Calculos_cuotas!$C$21))</f>
        <v>0</v>
      </c>
      <c r="Q70" s="1219"/>
      <c r="R70" s="1220">
        <f>IF(P70="Falta prod voz", "ND",D70*P70)</f>
        <v>0</v>
      </c>
      <c r="S70" s="1212"/>
      <c r="T70" s="1206"/>
      <c r="U70" s="1219"/>
      <c r="V70" s="1221">
        <f>IF(AND(T70="Sí",$D$17&lt;&gt;"Preaprobadas"),Calculos_cuotas!$W$47,0%)</f>
        <v>0</v>
      </c>
      <c r="W70" s="1222">
        <f>V70*R70</f>
        <v>0</v>
      </c>
      <c r="X70" s="1221">
        <f>IF(P70="Falta prod voz","ND",IF($D$17="Óptima RPV",IF(($R$82+$L$111)&lt;Calculos_cuotas!$Y$34,Calculos_cuotas!$Z$34,IF(($R$82+$L$111)&lt;Calculos_cuotas!$Y$35,Calculos_cuotas!$Z$35,IF(($R$82+$L$111)&lt;Calculos_cuotas!$Y$36,Calculos_cuotas!$Z$36,IF(($R$82+$L$111)&lt;Calculos_cuotas!$Y$37,Calculos_cuotas!$Z$37,Calculos_cuotas!$Z$38)))),0%))</f>
        <v>0.1</v>
      </c>
      <c r="Y70" s="1215"/>
      <c r="Z70" s="1220">
        <f>IF(OR(P70="Falta prod voz",$M$33&gt;0),"ND",IF($D$17&lt;&gt;"Preaprobadas",P70*(1-V70-X70),IF($J$17="Cartera Orange", IF(ISBLANK(H70),0,VLOOKUP(H70,$J$21:$L$29,3,FALSE))+IF(ISBLANK(J70),0,VLOOKUP(J70,$J$30:$L$32,3,FALSE)),IF(ISBLANK(H70),0,VLOOKUP(H70,Calculos_cuotas!$A$183:$F$191,1+Calculos_cuotas!$B$177,FALSE))+IF(ISBLANK(J70),0,VLOOKUP(J70,Calculos_cuotas!$A$192:$F$194,1+Calculos_cuotas!$B$177,FALSE)))))</f>
        <v>0</v>
      </c>
      <c r="AA70" s="1228"/>
      <c r="AB70" s="1220">
        <f>IF(Z70="ND","ND",D70*Z70)</f>
        <v>0</v>
      </c>
      <c r="AC70" s="1215"/>
      <c r="AD70" s="1221">
        <f>IF($D$17&lt;&gt;"Preaprobadas",Calculos_cuotas!$W$43,0%)</f>
        <v>0.1</v>
      </c>
      <c r="AE70" s="1215"/>
      <c r="AF70" s="1220">
        <f>IF(OR(P70="Falta prod voz",$M$33&gt;0),"ND",IF($D$17&lt;&gt;"Preaprobadas",P70*(1-V70-X70-AD70),IF($J$17="Cartera Orange", IF(ISBLANK(H70),0,VLOOKUP(H70,$J$21:$L$29,3,FALSE))+IF(ISBLANK(J70),0,VLOOKUP(J70,$J$30:$L$32,3,FALSE)),IF(Calculos_cuotas!$T$43&gt;0%,IF(ISBLANK(H70),0,VLOOKUP(H70,Calculos_cuotas!$A$198:$F$209,1+Calculos_cuotas!$B$177,FALSE))+IF(ISBLANK(J70),0,VLOOKUP(J70,Calculos_cuotas!$A$207:$F$209,1+Calculos_cuotas!$B$177,FALSE)),Z70))))</f>
        <v>0</v>
      </c>
      <c r="AG70" s="1219"/>
      <c r="AH70" s="1220">
        <f>IF(D77=1,"N/D",IF(AF70="ND","ND",D70*AF70))</f>
        <v>0</v>
      </c>
      <c r="AM70" s="868"/>
      <c r="AN70" s="868"/>
      <c r="AO70" s="868"/>
      <c r="AP70" s="868"/>
      <c r="AQ70" s="868"/>
      <c r="AR70" s="868"/>
      <c r="CD70" s="1491"/>
      <c r="CE70" s="1501"/>
      <c r="CF70" s="1491"/>
      <c r="CH70" s="1501">
        <v>9</v>
      </c>
      <c r="CI70" s="1501">
        <v>9</v>
      </c>
      <c r="CJ70" s="1501">
        <v>9</v>
      </c>
      <c r="CK70" s="1501">
        <f t="shared" si="3"/>
        <v>9</v>
      </c>
      <c r="CR70" s="1489"/>
      <c r="CS70" s="1489"/>
      <c r="CT70" s="1507"/>
      <c r="CU70" s="1507"/>
      <c r="CV70" s="1507"/>
      <c r="CW70" s="1507"/>
      <c r="CX70" s="1507"/>
      <c r="CY70" s="1507"/>
      <c r="CZ70" s="1507"/>
      <c r="DA70" s="1507"/>
      <c r="DB70" s="1507"/>
      <c r="DS70" s="841"/>
      <c r="DT70" s="841"/>
      <c r="DU70" s="841"/>
      <c r="DV70" s="841"/>
      <c r="DW70" s="841"/>
      <c r="DX70" s="841"/>
      <c r="DY70" s="841"/>
      <c r="DZ70" s="841"/>
      <c r="EA70" s="841"/>
      <c r="EB70" s="841"/>
      <c r="EC70" s="841"/>
      <c r="ED70" s="841"/>
      <c r="EE70" s="841"/>
      <c r="EF70" s="841"/>
      <c r="EG70" s="841"/>
      <c r="EH70" s="841"/>
      <c r="EI70" s="841"/>
      <c r="EJ70" s="841"/>
      <c r="EK70" s="841"/>
      <c r="EL70" s="841"/>
      <c r="EM70" s="841"/>
      <c r="EN70" s="841"/>
      <c r="EO70" s="841"/>
      <c r="EP70" s="841"/>
      <c r="EQ70" s="841"/>
      <c r="ER70" s="841"/>
      <c r="ES70" s="841"/>
      <c r="ET70" s="841"/>
      <c r="EU70" s="841"/>
      <c r="EV70" s="841"/>
      <c r="EW70" s="841"/>
      <c r="EX70" s="841"/>
      <c r="EY70" s="841"/>
      <c r="EZ70" s="841"/>
      <c r="FA70" s="841"/>
      <c r="FB70" s="841"/>
      <c r="FC70" s="841"/>
      <c r="FD70" s="841"/>
      <c r="FE70" s="841"/>
      <c r="FF70" s="841"/>
      <c r="FG70" s="841"/>
      <c r="FH70" s="841"/>
      <c r="FI70" s="841"/>
      <c r="FJ70" s="841"/>
      <c r="FK70" s="841"/>
      <c r="FL70" s="841"/>
      <c r="FM70" s="841"/>
      <c r="FN70" s="841"/>
      <c r="FO70" s="841"/>
      <c r="FP70" s="841"/>
      <c r="FQ70" s="841"/>
      <c r="FR70" s="841"/>
      <c r="FS70" s="841"/>
      <c r="FT70" s="841"/>
      <c r="FU70" s="841"/>
      <c r="FV70" s="841"/>
      <c r="FW70" s="841"/>
      <c r="FX70" s="841"/>
      <c r="FY70" s="841"/>
      <c r="FZ70" s="841"/>
      <c r="GA70" s="841"/>
      <c r="GB70" s="841"/>
      <c r="GC70" s="841"/>
      <c r="GD70" s="841"/>
      <c r="GE70" s="841"/>
      <c r="GF70" s="841"/>
      <c r="GG70" s="841"/>
      <c r="GH70" s="841"/>
      <c r="GI70" s="841"/>
      <c r="GJ70" s="841"/>
      <c r="GK70" s="841"/>
      <c r="GL70" s="841"/>
      <c r="GM70" s="841"/>
      <c r="GN70" s="841"/>
      <c r="GO70" s="841"/>
      <c r="GP70" s="841"/>
      <c r="GQ70" s="841"/>
      <c r="GR70" s="841"/>
      <c r="GS70" s="841"/>
      <c r="GT70" s="841"/>
      <c r="GU70" s="841"/>
      <c r="GV70" s="841"/>
      <c r="GW70" s="841"/>
      <c r="GX70" s="841"/>
      <c r="GY70" s="841"/>
      <c r="GZ70" s="841"/>
      <c r="HA70" s="841"/>
      <c r="HB70" s="841"/>
      <c r="HC70" s="841"/>
      <c r="HD70" s="841"/>
      <c r="HE70" s="841"/>
      <c r="HF70" s="841"/>
      <c r="HG70" s="841"/>
      <c r="HH70" s="841"/>
      <c r="HI70" s="841"/>
      <c r="HJ70" s="841"/>
      <c r="HK70" s="841"/>
      <c r="HL70" s="841"/>
      <c r="HM70" s="841"/>
      <c r="HN70" s="841"/>
      <c r="HO70" s="841"/>
    </row>
    <row r="71" spans="1:223" ht="14.1" customHeight="1" thickTop="1">
      <c r="B71" s="1212"/>
      <c r="C71" s="1212"/>
      <c r="D71" s="1212"/>
      <c r="E71" s="1212"/>
      <c r="F71" s="1260"/>
      <c r="G71" s="1212"/>
      <c r="H71" s="1212"/>
      <c r="I71" s="1212"/>
      <c r="J71" s="1212"/>
      <c r="K71" s="1212"/>
      <c r="L71" s="1216"/>
      <c r="M71" s="1212"/>
      <c r="N71" s="1212"/>
      <c r="O71" s="1212"/>
      <c r="P71" s="1212"/>
      <c r="Q71" s="1212"/>
      <c r="R71" s="1217"/>
      <c r="S71" s="1212"/>
      <c r="T71" s="1212"/>
      <c r="U71" s="1212"/>
      <c r="V71" s="1212"/>
      <c r="W71" s="1218"/>
      <c r="X71" s="1215"/>
      <c r="Y71" s="1215"/>
      <c r="Z71" s="1215"/>
      <c r="AA71" s="1215"/>
      <c r="AB71" s="1215"/>
      <c r="AC71" s="1215"/>
      <c r="AD71" s="1215"/>
      <c r="AE71" s="1215"/>
      <c r="AF71" s="1215"/>
      <c r="AH71" s="1215"/>
      <c r="AM71" s="868"/>
      <c r="AN71" s="868"/>
      <c r="AO71" s="868"/>
      <c r="AP71" s="868"/>
      <c r="AQ71" s="868"/>
      <c r="AR71" s="868"/>
      <c r="CD71" s="1491"/>
      <c r="CE71" s="1501"/>
      <c r="CF71" s="1491"/>
      <c r="CH71" s="1501">
        <v>10</v>
      </c>
      <c r="CI71" s="1501">
        <v>10</v>
      </c>
      <c r="CJ71" s="1501">
        <v>10</v>
      </c>
      <c r="CK71" s="1501">
        <f t="shared" si="3"/>
        <v>10</v>
      </c>
      <c r="CR71" s="1489"/>
      <c r="CS71" s="1489"/>
      <c r="CT71" s="1507"/>
      <c r="CU71" s="1507"/>
      <c r="CV71" s="1507"/>
      <c r="CW71" s="1507"/>
      <c r="CX71" s="1507"/>
      <c r="CY71" s="1507"/>
      <c r="CZ71" s="1507"/>
      <c r="DA71" s="1507"/>
      <c r="DB71" s="1507"/>
      <c r="DS71" s="841"/>
      <c r="DT71" s="841"/>
      <c r="DU71" s="841"/>
      <c r="DV71" s="841"/>
      <c r="DW71" s="841"/>
      <c r="DX71" s="841"/>
      <c r="DY71" s="841"/>
      <c r="DZ71" s="841"/>
      <c r="EA71" s="841"/>
      <c r="EB71" s="841"/>
      <c r="EC71" s="841"/>
      <c r="ED71" s="841"/>
      <c r="EE71" s="841"/>
      <c r="EF71" s="841"/>
      <c r="EG71" s="841"/>
      <c r="EH71" s="841"/>
      <c r="EI71" s="841"/>
      <c r="EJ71" s="841"/>
      <c r="EK71" s="841"/>
      <c r="EL71" s="841"/>
      <c r="EM71" s="841"/>
      <c r="EN71" s="841"/>
      <c r="EO71" s="841"/>
      <c r="EP71" s="841"/>
      <c r="EQ71" s="841"/>
      <c r="ER71" s="841"/>
      <c r="ES71" s="841"/>
      <c r="ET71" s="841"/>
      <c r="EU71" s="841"/>
      <c r="EV71" s="841"/>
      <c r="EW71" s="841"/>
      <c r="EX71" s="841"/>
      <c r="EY71" s="841"/>
      <c r="EZ71" s="841"/>
      <c r="FA71" s="841"/>
      <c r="FB71" s="841"/>
      <c r="FC71" s="841"/>
      <c r="FD71" s="841"/>
      <c r="FE71" s="841"/>
      <c r="FF71" s="841"/>
      <c r="FG71" s="841"/>
      <c r="FH71" s="841"/>
      <c r="FI71" s="841"/>
      <c r="FJ71" s="841"/>
      <c r="FK71" s="841"/>
      <c r="FL71" s="841"/>
      <c r="FM71" s="841"/>
      <c r="FN71" s="841"/>
      <c r="FO71" s="841"/>
      <c r="FP71" s="841"/>
      <c r="FQ71" s="841"/>
      <c r="FR71" s="841"/>
      <c r="FS71" s="841"/>
      <c r="FT71" s="841"/>
      <c r="FU71" s="841"/>
      <c r="FV71" s="841"/>
      <c r="FW71" s="841"/>
      <c r="FX71" s="841"/>
      <c r="FY71" s="841"/>
      <c r="FZ71" s="841"/>
      <c r="GA71" s="841"/>
      <c r="GB71" s="841"/>
      <c r="GC71" s="841"/>
      <c r="GD71" s="841"/>
      <c r="GE71" s="841"/>
      <c r="GF71" s="841"/>
      <c r="GG71" s="841"/>
      <c r="GH71" s="841"/>
      <c r="GI71" s="841"/>
      <c r="GJ71" s="841"/>
      <c r="GK71" s="841"/>
      <c r="GL71" s="841"/>
      <c r="GM71" s="841"/>
      <c r="GN71" s="841"/>
      <c r="GO71" s="841"/>
      <c r="GP71" s="841"/>
      <c r="GQ71" s="841"/>
      <c r="GR71" s="841"/>
      <c r="GS71" s="841"/>
      <c r="GT71" s="841"/>
      <c r="GU71" s="841"/>
      <c r="GV71" s="841"/>
      <c r="GW71" s="841"/>
      <c r="GX71" s="841"/>
      <c r="GY71" s="841"/>
      <c r="GZ71" s="841"/>
      <c r="HA71" s="841"/>
      <c r="HB71" s="841"/>
      <c r="HC71" s="841"/>
      <c r="HD71" s="841"/>
      <c r="HE71" s="841"/>
      <c r="HF71" s="841"/>
      <c r="HG71" s="841"/>
      <c r="HH71" s="841"/>
      <c r="HI71" s="841"/>
      <c r="HJ71" s="841"/>
      <c r="HK71" s="841"/>
      <c r="HL71" s="841"/>
      <c r="HM71" s="841"/>
      <c r="HN71" s="841"/>
      <c r="HO71" s="841"/>
    </row>
    <row r="72" spans="1:223" ht="21" customHeight="1" thickBot="1">
      <c r="B72" s="1206"/>
      <c r="C72" s="1219"/>
      <c r="D72" s="1206"/>
      <c r="E72" s="1219"/>
      <c r="F72" s="1206"/>
      <c r="G72" s="1219"/>
      <c r="H72" s="1206"/>
      <c r="I72" s="1219"/>
      <c r="J72" s="2104"/>
      <c r="K72" s="2105"/>
      <c r="L72" s="2106"/>
      <c r="M72" s="1219"/>
      <c r="N72" s="1206"/>
      <c r="O72" s="1219"/>
      <c r="P72" s="1220">
        <f>IF(AND(D72&gt;0,ISBLANK(H72)),"Falta prod voz",(IF(ISBLANK(H72),0,VLOOKUP(H72,Calculos_cuotas!$A$12:$C$20,3,FALSE))+IF(ISBLANK(J72),0,VLOOKUP(J72,Calculos_cuotas!$G$9:$H$11,2,FALSE))+Calculos_cuotas!$C$21))</f>
        <v>0</v>
      </c>
      <c r="Q72" s="1219"/>
      <c r="R72" s="1220">
        <f>IF(P72="Falta prod voz", "ND",D72*P72)</f>
        <v>0</v>
      </c>
      <c r="S72" s="1212"/>
      <c r="T72" s="1206"/>
      <c r="U72" s="1219"/>
      <c r="V72" s="1221">
        <f>IF(AND(T72="Sí",$D$17&lt;&gt;"Preaprobadas"),Calculos_cuotas!$W$47,0%)</f>
        <v>0</v>
      </c>
      <c r="W72" s="1222">
        <f>V72*R72</f>
        <v>0</v>
      </c>
      <c r="X72" s="1221">
        <f>IF(P72="Falta prod voz","ND",IF($D$17="Óptima RPV",IF(($R$82+$L$111)&lt;Calculos_cuotas!$Y$34,Calculos_cuotas!$Z$34,IF(($R$82+$L$111)&lt;Calculos_cuotas!$Y$35,Calculos_cuotas!$Z$35,IF(($R$82+$L$111)&lt;Calculos_cuotas!$Y$36,Calculos_cuotas!$Z$36,IF(($R$82+$L$111)&lt;Calculos_cuotas!$Y$37,Calculos_cuotas!$Z$37,Calculos_cuotas!$Z$38)))),0%))</f>
        <v>0.1</v>
      </c>
      <c r="Y72" s="1215"/>
      <c r="Z72" s="1220">
        <f>IF(OR(P72="Falta prod voz",$M$33&gt;0),"ND",IF($D$17&lt;&gt;"Preaprobadas",P72*(1-V72-X72),IF($J$17="Cartera Orange", IF(ISBLANK(H72),0,VLOOKUP(H72,$J$21:$L$29,3,FALSE))+IF(ISBLANK(J72),0,VLOOKUP(J72,$J$30:$L$32,3,FALSE)),IF(ISBLANK(H72),0,VLOOKUP(H72,Calculos_cuotas!$A$183:$F$191,1+Calculos_cuotas!$B$177,FALSE))+IF(ISBLANK(J72),0,VLOOKUP(J72,Calculos_cuotas!$A$192:$F$194,1+Calculos_cuotas!$B$177,FALSE)))))</f>
        <v>0</v>
      </c>
      <c r="AA72" s="1228"/>
      <c r="AB72" s="1220">
        <f>IF(Z72="ND","ND",D72*Z72)</f>
        <v>0</v>
      </c>
      <c r="AC72" s="1215"/>
      <c r="AD72" s="1221">
        <f>IF($D$17&lt;&gt;"Preaprobadas",Calculos_cuotas!$W$43,0%)</f>
        <v>0.1</v>
      </c>
      <c r="AE72" s="1215"/>
      <c r="AF72" s="1220">
        <f>IF(OR(P72="Falta prod voz",$M$33&gt;0),"ND",IF($D$17&lt;&gt;"Preaprobadas",P72*(1-V72-X72-AD72),IF($J$17="Cartera Orange", IF(ISBLANK(H72),0,VLOOKUP(H72,$J$21:$L$29,3,FALSE))+IF(ISBLANK(J72),0,VLOOKUP(J72,$J$30:$L$32,3,FALSE)),IF(Calculos_cuotas!$T$43&gt;0%,IF(ISBLANK(H72),0,VLOOKUP(H72,Calculos_cuotas!$A$198:$F$209,1+Calculos_cuotas!$B$177,FALSE))+IF(ISBLANK(J72),0,VLOOKUP(J72,Calculos_cuotas!$A$207:$F$209,1+Calculos_cuotas!$B$177,FALSE)),Z72))))</f>
        <v>0</v>
      </c>
      <c r="AG72" s="1219"/>
      <c r="AH72" s="1220">
        <f>IF(D77=1,"N/D",IF(AF72="ND","ND",D72*AF72))</f>
        <v>0</v>
      </c>
      <c r="AM72" s="868"/>
      <c r="AN72" s="868"/>
      <c r="AO72" s="868"/>
      <c r="AP72" s="868"/>
      <c r="AQ72" s="868"/>
      <c r="AR72" s="868"/>
      <c r="CD72" s="1491"/>
      <c r="CE72" s="1501"/>
      <c r="CF72" s="1491"/>
      <c r="CI72" s="1491"/>
      <c r="CJ72" s="1501">
        <v>11</v>
      </c>
      <c r="CK72" s="1501">
        <f t="shared" si="3"/>
        <v>11</v>
      </c>
      <c r="CR72" s="1489"/>
      <c r="CS72" s="1489"/>
      <c r="CT72" s="1507"/>
      <c r="CU72" s="1507"/>
      <c r="CV72" s="1507"/>
      <c r="CW72" s="1507"/>
      <c r="CX72" s="1507"/>
      <c r="CY72" s="1507"/>
      <c r="CZ72" s="1507"/>
      <c r="DA72" s="1507"/>
      <c r="DB72" s="1507"/>
      <c r="DS72" s="841"/>
      <c r="DT72" s="841"/>
      <c r="DU72" s="841"/>
      <c r="DV72" s="841"/>
      <c r="DW72" s="841"/>
      <c r="DX72" s="841"/>
      <c r="DY72" s="841"/>
      <c r="DZ72" s="841"/>
      <c r="EA72" s="841"/>
      <c r="EB72" s="841"/>
      <c r="EC72" s="841"/>
      <c r="ED72" s="841"/>
      <c r="EE72" s="841"/>
      <c r="EF72" s="841"/>
      <c r="EG72" s="841"/>
      <c r="EH72" s="841"/>
      <c r="EI72" s="841"/>
      <c r="EJ72" s="841"/>
      <c r="EK72" s="841"/>
      <c r="EL72" s="841"/>
      <c r="EM72" s="841"/>
      <c r="EN72" s="841"/>
      <c r="EO72" s="841"/>
      <c r="EP72" s="841"/>
      <c r="EQ72" s="841"/>
      <c r="ER72" s="841"/>
      <c r="ES72" s="841"/>
      <c r="ET72" s="841"/>
      <c r="EU72" s="841"/>
      <c r="EV72" s="841"/>
      <c r="EW72" s="841"/>
      <c r="EX72" s="841"/>
      <c r="EY72" s="841"/>
      <c r="EZ72" s="841"/>
      <c r="FA72" s="841"/>
      <c r="FB72" s="841"/>
      <c r="FC72" s="841"/>
      <c r="FD72" s="841"/>
      <c r="FE72" s="841"/>
      <c r="FF72" s="841"/>
      <c r="FG72" s="841"/>
      <c r="FH72" s="841"/>
      <c r="FI72" s="841"/>
      <c r="FJ72" s="841"/>
      <c r="FK72" s="841"/>
      <c r="FL72" s="841"/>
      <c r="FM72" s="841"/>
      <c r="FN72" s="841"/>
      <c r="FO72" s="841"/>
      <c r="FP72" s="841"/>
      <c r="FQ72" s="841"/>
      <c r="FR72" s="841"/>
      <c r="FS72" s="841"/>
      <c r="FT72" s="841"/>
      <c r="FU72" s="841"/>
      <c r="FV72" s="841"/>
      <c r="FW72" s="841"/>
      <c r="FX72" s="841"/>
      <c r="FY72" s="841"/>
      <c r="FZ72" s="841"/>
      <c r="GA72" s="841"/>
      <c r="GB72" s="841"/>
      <c r="GC72" s="841"/>
      <c r="GD72" s="841"/>
      <c r="GE72" s="841"/>
      <c r="GF72" s="841"/>
      <c r="GG72" s="841"/>
      <c r="GH72" s="841"/>
      <c r="GI72" s="841"/>
      <c r="GJ72" s="841"/>
      <c r="GK72" s="841"/>
      <c r="GL72" s="841"/>
      <c r="GM72" s="841"/>
      <c r="GN72" s="841"/>
      <c r="GO72" s="841"/>
      <c r="GP72" s="841"/>
      <c r="GQ72" s="841"/>
      <c r="GR72" s="841"/>
      <c r="GS72" s="841"/>
      <c r="GT72" s="841"/>
      <c r="GU72" s="841"/>
      <c r="GV72" s="841"/>
      <c r="GW72" s="841"/>
      <c r="GX72" s="841"/>
      <c r="GY72" s="841"/>
      <c r="GZ72" s="841"/>
      <c r="HA72" s="841"/>
      <c r="HB72" s="841"/>
      <c r="HC72" s="841"/>
      <c r="HD72" s="841"/>
      <c r="HE72" s="841"/>
      <c r="HF72" s="841"/>
      <c r="HG72" s="841"/>
      <c r="HH72" s="841"/>
      <c r="HI72" s="841"/>
      <c r="HJ72" s="841"/>
      <c r="HK72" s="841"/>
      <c r="HL72" s="841"/>
      <c r="HM72" s="841"/>
      <c r="HN72" s="841"/>
      <c r="HO72" s="841"/>
    </row>
    <row r="73" spans="1:223" ht="14.1" customHeight="1" thickTop="1">
      <c r="B73" s="1212"/>
      <c r="C73" s="1212"/>
      <c r="D73" s="1212"/>
      <c r="E73" s="1212"/>
      <c r="F73" s="1260"/>
      <c r="G73" s="1212"/>
      <c r="H73" s="1212"/>
      <c r="I73" s="1212"/>
      <c r="J73" s="1212"/>
      <c r="K73" s="1212"/>
      <c r="L73" s="1216"/>
      <c r="M73" s="1212"/>
      <c r="N73" s="1212"/>
      <c r="O73" s="1212"/>
      <c r="P73" s="1212"/>
      <c r="Q73" s="1212"/>
      <c r="R73" s="1217"/>
      <c r="S73" s="1212"/>
      <c r="T73" s="1212"/>
      <c r="U73" s="1212"/>
      <c r="V73" s="1212"/>
      <c r="W73" s="1218"/>
      <c r="X73" s="1215"/>
      <c r="Y73" s="1215"/>
      <c r="Z73" s="1215"/>
      <c r="AA73" s="1215"/>
      <c r="AB73" s="1215"/>
      <c r="AC73" s="1215"/>
      <c r="AD73" s="1215"/>
      <c r="AE73" s="1215"/>
      <c r="AF73" s="1215"/>
      <c r="AH73" s="1215"/>
      <c r="AM73" s="868"/>
      <c r="AN73" s="868"/>
      <c r="AO73" s="868"/>
      <c r="AP73" s="868"/>
      <c r="AQ73" s="868"/>
      <c r="AR73" s="868"/>
      <c r="CD73" s="1491"/>
      <c r="CE73" s="1501"/>
      <c r="CF73" s="1491"/>
      <c r="CI73" s="1491"/>
      <c r="CJ73" s="1501">
        <v>12</v>
      </c>
      <c r="CK73" s="1501">
        <f t="shared" si="3"/>
        <v>12</v>
      </c>
      <c r="CR73" s="1489"/>
      <c r="CS73" s="1489"/>
      <c r="CT73" s="1507"/>
      <c r="CU73" s="1507"/>
      <c r="CV73" s="1507"/>
      <c r="CW73" s="1507"/>
      <c r="CX73" s="1507"/>
      <c r="CY73" s="1507"/>
      <c r="CZ73" s="1507"/>
      <c r="DA73" s="1507"/>
      <c r="DB73" s="1507"/>
      <c r="DS73" s="841"/>
      <c r="DT73" s="841"/>
      <c r="DU73" s="841"/>
      <c r="DV73" s="841"/>
      <c r="DW73" s="841"/>
      <c r="DX73" s="841"/>
      <c r="DY73" s="841"/>
      <c r="DZ73" s="841"/>
      <c r="EA73" s="841"/>
      <c r="EB73" s="841"/>
      <c r="EC73" s="841"/>
      <c r="ED73" s="841"/>
      <c r="EE73" s="841"/>
      <c r="EF73" s="841"/>
      <c r="EG73" s="841"/>
      <c r="EH73" s="841"/>
      <c r="EI73" s="841"/>
      <c r="EJ73" s="841"/>
      <c r="EK73" s="841"/>
      <c r="EL73" s="841"/>
      <c r="EM73" s="841"/>
      <c r="EN73" s="841"/>
      <c r="EO73" s="841"/>
      <c r="EP73" s="841"/>
      <c r="EQ73" s="841"/>
      <c r="ER73" s="841"/>
      <c r="ES73" s="841"/>
      <c r="ET73" s="841"/>
      <c r="EU73" s="841"/>
      <c r="EV73" s="841"/>
      <c r="EW73" s="841"/>
      <c r="EX73" s="841"/>
      <c r="EY73" s="841"/>
      <c r="EZ73" s="841"/>
      <c r="FA73" s="841"/>
      <c r="FB73" s="841"/>
      <c r="FC73" s="841"/>
      <c r="FD73" s="841"/>
      <c r="FE73" s="841"/>
      <c r="FF73" s="841"/>
      <c r="FG73" s="841"/>
      <c r="FH73" s="841"/>
      <c r="FI73" s="841"/>
      <c r="FJ73" s="841"/>
      <c r="FK73" s="841"/>
      <c r="FL73" s="841"/>
      <c r="FM73" s="841"/>
      <c r="FN73" s="841"/>
      <c r="FO73" s="841"/>
      <c r="FP73" s="841"/>
      <c r="FQ73" s="841"/>
      <c r="FR73" s="841"/>
      <c r="FS73" s="841"/>
      <c r="FT73" s="841"/>
      <c r="FU73" s="841"/>
      <c r="FV73" s="841"/>
      <c r="FW73" s="841"/>
      <c r="FX73" s="841"/>
      <c r="FY73" s="841"/>
      <c r="FZ73" s="841"/>
      <c r="GA73" s="841"/>
      <c r="GB73" s="841"/>
      <c r="GC73" s="841"/>
      <c r="GD73" s="841"/>
      <c r="GE73" s="841"/>
      <c r="GF73" s="841"/>
      <c r="GG73" s="841"/>
      <c r="GH73" s="841"/>
      <c r="GI73" s="841"/>
      <c r="GJ73" s="841"/>
      <c r="GK73" s="841"/>
      <c r="GL73" s="841"/>
      <c r="GM73" s="841"/>
      <c r="GN73" s="841"/>
      <c r="GO73" s="841"/>
      <c r="GP73" s="841"/>
      <c r="GQ73" s="841"/>
      <c r="GR73" s="841"/>
      <c r="GS73" s="841"/>
      <c r="GT73" s="841"/>
      <c r="GU73" s="841"/>
      <c r="GV73" s="841"/>
      <c r="GW73" s="841"/>
      <c r="GX73" s="841"/>
      <c r="GY73" s="841"/>
      <c r="GZ73" s="841"/>
      <c r="HA73" s="841"/>
      <c r="HB73" s="841"/>
      <c r="HC73" s="841"/>
      <c r="HD73" s="841"/>
      <c r="HE73" s="841"/>
      <c r="HF73" s="841"/>
      <c r="HG73" s="841"/>
      <c r="HH73" s="841"/>
      <c r="HI73" s="841"/>
      <c r="HJ73" s="841"/>
      <c r="HK73" s="841"/>
      <c r="HL73" s="841"/>
      <c r="HM73" s="841"/>
      <c r="HN73" s="841"/>
      <c r="HO73" s="841"/>
    </row>
    <row r="74" spans="1:223" ht="21" customHeight="1" thickBot="1">
      <c r="B74" s="1206"/>
      <c r="C74" s="1219"/>
      <c r="D74" s="1206"/>
      <c r="E74" s="1219"/>
      <c r="F74" s="1206"/>
      <c r="G74" s="1219"/>
      <c r="H74" s="1206"/>
      <c r="I74" s="1219"/>
      <c r="J74" s="2104"/>
      <c r="K74" s="2105"/>
      <c r="L74" s="2106"/>
      <c r="M74" s="1219"/>
      <c r="N74" s="1206"/>
      <c r="O74" s="1219"/>
      <c r="P74" s="1220">
        <f>IF(AND(D74&gt;0,ISBLANK(H74)),"Falta prod voz",(IF(ISBLANK(H74),0,VLOOKUP(H74,Calculos_cuotas!$A$12:$C$20,3,FALSE))+IF(ISBLANK(J74),0,VLOOKUP(J74,Calculos_cuotas!$G$9:$H$11,2,FALSE))+Calculos_cuotas!$C$21))</f>
        <v>0</v>
      </c>
      <c r="Q74" s="1219"/>
      <c r="R74" s="1220">
        <f>IF(P74="Falta prod voz", "ND",D74*P74)</f>
        <v>0</v>
      </c>
      <c r="S74" s="1212"/>
      <c r="T74" s="1206"/>
      <c r="U74" s="1219"/>
      <c r="V74" s="1221">
        <f>IF(AND(T74="Sí",$D$17&lt;&gt;"Preaprobadas"),Calculos_cuotas!$W$47,0%)</f>
        <v>0</v>
      </c>
      <c r="W74" s="1222">
        <f>V74*R74</f>
        <v>0</v>
      </c>
      <c r="X74" s="1221">
        <f>IF(P74="Falta prod voz","ND",IF($D$17="Óptima RPV",IF(($R$82+$L$111)&lt;Calculos_cuotas!$Y$34,Calculos_cuotas!$Z$34,IF(($R$82+$L$111)&lt;Calculos_cuotas!$Y$35,Calculos_cuotas!$Z$35,IF(($R$82+$L$111)&lt;Calculos_cuotas!$Y$36,Calculos_cuotas!$Z$36,IF(($R$82+$L$111)&lt;Calculos_cuotas!$Y$37,Calculos_cuotas!$Z$37,Calculos_cuotas!$Z$38)))),0%))</f>
        <v>0.1</v>
      </c>
      <c r="Y74" s="1215"/>
      <c r="Z74" s="1220">
        <f>IF(OR(P74="Falta prod voz",$M$33&gt;0),"ND",IF($D$17&lt;&gt;"Preaprobadas",P74*(1-V74-X74),IF($J$17="Cartera Orange", IF(ISBLANK(H74),0,VLOOKUP(H74,$J$21:$L$29,3,FALSE))+IF(ISBLANK(J74),0,VLOOKUP(J74,$J$30:$L$32,3,FALSE)),IF(ISBLANK(H74),0,VLOOKUP(H74,Calculos_cuotas!$A$183:$F$191,1+Calculos_cuotas!$B$177,FALSE))+IF(ISBLANK(J74),0,VLOOKUP(J74,Calculos_cuotas!$A$192:$F$194,1+Calculos_cuotas!$B$177,FALSE)))))</f>
        <v>0</v>
      </c>
      <c r="AA74" s="1228"/>
      <c r="AB74" s="1220">
        <f>IF(Z74="ND","ND",D74*Z74)</f>
        <v>0</v>
      </c>
      <c r="AC74" s="1215"/>
      <c r="AD74" s="1221">
        <f>IF($D$17&lt;&gt;"Preaprobadas",Calculos_cuotas!$W$43,0%)</f>
        <v>0.1</v>
      </c>
      <c r="AE74" s="1215"/>
      <c r="AF74" s="1220">
        <f>IF(OR(P74="Falta prod voz",$M$33&gt;0),"ND",IF($D$17&lt;&gt;"Preaprobadas",P74*(1-V74-X74-AD74),IF($J$17="Cartera Orange", IF(ISBLANK(H74),0,VLOOKUP(H74,$J$21:$L$29,3,FALSE))+IF(ISBLANK(J74),0,VLOOKUP(J74,$J$30:$L$32,3,FALSE)),IF(Calculos_cuotas!$T$43&gt;0%,IF(ISBLANK(H74),0,VLOOKUP(H74,Calculos_cuotas!$A$198:$F$209,1+Calculos_cuotas!$B$177,FALSE))+IF(ISBLANK(J74),0,VLOOKUP(J74,Calculos_cuotas!$A$207:$F$209,1+Calculos_cuotas!$B$177,FALSE)),Z74))))</f>
        <v>0</v>
      </c>
      <c r="AG74" s="1219"/>
      <c r="AH74" s="1220">
        <f>IF(D77=1,"N/D",IF(AF74="ND","ND",D74*AF74))</f>
        <v>0</v>
      </c>
      <c r="AM74" s="868"/>
      <c r="AN74" s="868"/>
      <c r="AO74" s="868"/>
      <c r="AP74" s="868"/>
      <c r="AQ74" s="868"/>
      <c r="AR74" s="868"/>
      <c r="CD74" s="1491"/>
      <c r="CE74" s="1501"/>
      <c r="CF74" s="1491"/>
      <c r="CK74" s="1501">
        <f t="shared" si="3"/>
        <v>13</v>
      </c>
      <c r="CR74" s="1489"/>
      <c r="CS74" s="1489"/>
      <c r="CT74" s="1507"/>
      <c r="CU74" s="1507"/>
      <c r="CV74" s="1507"/>
      <c r="CW74" s="1507"/>
      <c r="CX74" s="1507"/>
      <c r="CY74" s="1507"/>
      <c r="CZ74" s="1507"/>
      <c r="DA74" s="1507"/>
      <c r="DB74" s="1507"/>
      <c r="DS74" s="841"/>
      <c r="DT74" s="841"/>
      <c r="DU74" s="841"/>
      <c r="DV74" s="841"/>
      <c r="DW74" s="841"/>
      <c r="DX74" s="841"/>
      <c r="DY74" s="841"/>
      <c r="DZ74" s="841"/>
      <c r="EA74" s="841"/>
      <c r="EB74" s="841"/>
      <c r="EC74" s="841"/>
      <c r="ED74" s="841"/>
      <c r="EE74" s="841"/>
      <c r="EF74" s="841"/>
      <c r="EG74" s="841"/>
      <c r="EH74" s="841"/>
      <c r="EI74" s="841"/>
      <c r="EJ74" s="841"/>
      <c r="EK74" s="841"/>
      <c r="EL74" s="841"/>
      <c r="EM74" s="841"/>
      <c r="EN74" s="841"/>
      <c r="EO74" s="841"/>
      <c r="EP74" s="841"/>
      <c r="EQ74" s="841"/>
      <c r="ER74" s="841"/>
      <c r="ES74" s="841"/>
      <c r="ET74" s="841"/>
      <c r="EU74" s="841"/>
      <c r="EV74" s="841"/>
      <c r="EW74" s="841"/>
      <c r="EX74" s="841"/>
      <c r="EY74" s="841"/>
      <c r="EZ74" s="841"/>
      <c r="FA74" s="841"/>
      <c r="FB74" s="841"/>
      <c r="FC74" s="841"/>
      <c r="FD74" s="841"/>
      <c r="FE74" s="841"/>
      <c r="FF74" s="841"/>
      <c r="FG74" s="841"/>
      <c r="FH74" s="841"/>
      <c r="FI74" s="841"/>
      <c r="FJ74" s="841"/>
      <c r="FK74" s="841"/>
      <c r="FL74" s="841"/>
      <c r="FM74" s="841"/>
      <c r="FN74" s="841"/>
      <c r="FO74" s="841"/>
      <c r="FP74" s="841"/>
      <c r="FQ74" s="841"/>
      <c r="FR74" s="841"/>
      <c r="FS74" s="841"/>
      <c r="FT74" s="841"/>
      <c r="FU74" s="841"/>
      <c r="FV74" s="841"/>
      <c r="FW74" s="841"/>
      <c r="FX74" s="841"/>
      <c r="FY74" s="841"/>
      <c r="FZ74" s="841"/>
      <c r="GA74" s="841"/>
      <c r="GB74" s="841"/>
      <c r="GC74" s="841"/>
      <c r="GD74" s="841"/>
      <c r="GE74" s="841"/>
      <c r="GF74" s="841"/>
      <c r="GG74" s="841"/>
      <c r="GH74" s="841"/>
      <c r="GI74" s="841"/>
      <c r="GJ74" s="841"/>
      <c r="GK74" s="841"/>
      <c r="GL74" s="841"/>
      <c r="GM74" s="841"/>
      <c r="GN74" s="841"/>
      <c r="GO74" s="841"/>
      <c r="GP74" s="841"/>
      <c r="GQ74" s="841"/>
      <c r="GR74" s="841"/>
      <c r="GS74" s="841"/>
      <c r="GT74" s="841"/>
      <c r="GU74" s="841"/>
      <c r="GV74" s="841"/>
      <c r="GW74" s="841"/>
      <c r="GX74" s="841"/>
      <c r="GY74" s="841"/>
      <c r="GZ74" s="841"/>
      <c r="HA74" s="841"/>
      <c r="HB74" s="841"/>
      <c r="HC74" s="841"/>
      <c r="HD74" s="841"/>
      <c r="HE74" s="841"/>
      <c r="HF74" s="841"/>
      <c r="HG74" s="841"/>
      <c r="HH74" s="841"/>
      <c r="HI74" s="841"/>
      <c r="HJ74" s="841"/>
      <c r="HK74" s="841"/>
      <c r="HL74" s="841"/>
      <c r="HM74" s="841"/>
      <c r="HN74" s="841"/>
      <c r="HO74" s="841"/>
    </row>
    <row r="75" spans="1:223" ht="14.1" customHeight="1" thickTop="1">
      <c r="B75" s="1212"/>
      <c r="C75" s="1212"/>
      <c r="D75" s="1212"/>
      <c r="E75" s="1212"/>
      <c r="F75" s="1260"/>
      <c r="G75" s="1212"/>
      <c r="H75" s="1212"/>
      <c r="I75" s="1212"/>
      <c r="J75" s="1212"/>
      <c r="K75" s="1212"/>
      <c r="L75" s="1216"/>
      <c r="M75" s="1212"/>
      <c r="N75" s="1212"/>
      <c r="O75" s="1212"/>
      <c r="P75" s="1212"/>
      <c r="Q75" s="1212"/>
      <c r="R75" s="1217"/>
      <c r="S75" s="1212"/>
      <c r="T75" s="1212"/>
      <c r="U75" s="1212"/>
      <c r="V75" s="1212"/>
      <c r="W75" s="1218"/>
      <c r="X75" s="1215"/>
      <c r="Y75" s="1215"/>
      <c r="Z75" s="1215"/>
      <c r="AA75" s="1215"/>
      <c r="AB75" s="1215"/>
      <c r="AC75" s="1215"/>
      <c r="AD75" s="1215"/>
      <c r="AE75" s="1215"/>
      <c r="AF75" s="1215"/>
      <c r="AH75" s="1215"/>
      <c r="AM75" s="868"/>
      <c r="AN75" s="868"/>
      <c r="AO75" s="868"/>
      <c r="AP75" s="868"/>
      <c r="AQ75" s="868"/>
      <c r="AR75" s="868"/>
      <c r="CD75" s="1491"/>
      <c r="CE75" s="1501"/>
      <c r="CF75" s="1491"/>
      <c r="CK75" s="1501">
        <f t="shared" si="3"/>
        <v>14</v>
      </c>
      <c r="CR75" s="1489"/>
      <c r="CS75" s="1489"/>
      <c r="CT75" s="1507"/>
      <c r="CU75" s="1507"/>
      <c r="CV75" s="1507"/>
      <c r="CW75" s="1507"/>
      <c r="CX75" s="1507"/>
      <c r="CY75" s="1507"/>
      <c r="CZ75" s="1507"/>
      <c r="DA75" s="1507"/>
      <c r="DB75" s="1507"/>
      <c r="DS75" s="841"/>
      <c r="DT75" s="841"/>
      <c r="DU75" s="841"/>
      <c r="DV75" s="841"/>
      <c r="DW75" s="841"/>
      <c r="DX75" s="841"/>
      <c r="DY75" s="841"/>
      <c r="DZ75" s="841"/>
      <c r="EA75" s="841"/>
      <c r="EB75" s="841"/>
      <c r="EC75" s="841"/>
      <c r="ED75" s="841"/>
      <c r="EE75" s="841"/>
      <c r="EF75" s="841"/>
      <c r="EG75" s="841"/>
      <c r="EH75" s="841"/>
      <c r="EI75" s="841"/>
      <c r="EJ75" s="841"/>
      <c r="EK75" s="841"/>
      <c r="EL75" s="841"/>
      <c r="EM75" s="841"/>
      <c r="EN75" s="841"/>
      <c r="EO75" s="841"/>
      <c r="EP75" s="841"/>
      <c r="EQ75" s="841"/>
      <c r="ER75" s="841"/>
      <c r="ES75" s="841"/>
      <c r="ET75" s="841"/>
      <c r="EU75" s="841"/>
      <c r="EV75" s="841"/>
      <c r="EW75" s="841"/>
      <c r="EX75" s="841"/>
      <c r="EY75" s="841"/>
      <c r="EZ75" s="841"/>
      <c r="FA75" s="841"/>
      <c r="FB75" s="841"/>
      <c r="FC75" s="841"/>
      <c r="FD75" s="841"/>
      <c r="FE75" s="841"/>
      <c r="FF75" s="841"/>
      <c r="FG75" s="841"/>
      <c r="FH75" s="841"/>
      <c r="FI75" s="841"/>
      <c r="FJ75" s="841"/>
      <c r="FK75" s="841"/>
      <c r="FL75" s="841"/>
      <c r="FM75" s="841"/>
      <c r="FN75" s="841"/>
      <c r="FO75" s="841"/>
      <c r="FP75" s="841"/>
      <c r="FQ75" s="841"/>
      <c r="FR75" s="841"/>
      <c r="FS75" s="841"/>
      <c r="FT75" s="841"/>
      <c r="FU75" s="841"/>
      <c r="FV75" s="841"/>
      <c r="FW75" s="841"/>
      <c r="FX75" s="841"/>
      <c r="FY75" s="841"/>
      <c r="FZ75" s="841"/>
      <c r="GA75" s="841"/>
      <c r="GB75" s="841"/>
      <c r="GC75" s="841"/>
      <c r="GD75" s="841"/>
      <c r="GE75" s="841"/>
      <c r="GF75" s="841"/>
      <c r="GG75" s="841"/>
      <c r="GH75" s="841"/>
      <c r="GI75" s="841"/>
      <c r="GJ75" s="841"/>
      <c r="GK75" s="841"/>
      <c r="GL75" s="841"/>
      <c r="GM75" s="841"/>
      <c r="GN75" s="841"/>
      <c r="GO75" s="841"/>
      <c r="GP75" s="841"/>
      <c r="GQ75" s="841"/>
      <c r="GR75" s="841"/>
      <c r="GS75" s="841"/>
      <c r="GT75" s="841"/>
      <c r="GU75" s="841"/>
      <c r="GV75" s="841"/>
      <c r="GW75" s="841"/>
      <c r="GX75" s="841"/>
      <c r="GY75" s="841"/>
      <c r="GZ75" s="841"/>
      <c r="HA75" s="841"/>
      <c r="HB75" s="841"/>
      <c r="HC75" s="841"/>
      <c r="HD75" s="841"/>
      <c r="HE75" s="841"/>
      <c r="HF75" s="841"/>
      <c r="HG75" s="841"/>
      <c r="HH75" s="841"/>
      <c r="HI75" s="841"/>
      <c r="HJ75" s="841"/>
      <c r="HK75" s="841"/>
      <c r="HL75" s="841"/>
      <c r="HM75" s="841"/>
      <c r="HN75" s="841"/>
      <c r="HO75" s="841"/>
    </row>
    <row r="76" spans="1:223" ht="21" customHeight="1" thickBot="1">
      <c r="B76" s="1206"/>
      <c r="C76" s="1219"/>
      <c r="D76" s="1206"/>
      <c r="E76" s="1219"/>
      <c r="F76" s="1206"/>
      <c r="G76" s="1219"/>
      <c r="H76" s="1206"/>
      <c r="I76" s="1219"/>
      <c r="J76" s="2104"/>
      <c r="K76" s="2105"/>
      <c r="L76" s="2106"/>
      <c r="M76" s="1219"/>
      <c r="N76" s="1206"/>
      <c r="O76" s="1219"/>
      <c r="P76" s="1220">
        <f>IF(AND(D76&gt;0,ISBLANK(H76)),"Falta prod voz",(IF(ISBLANK(H76),0,VLOOKUP(H76,Calculos_cuotas!$A$12:$C$20,3,FALSE))+IF(ISBLANK(J76),0,VLOOKUP(J76,Calculos_cuotas!$G$9:$H$11,2,FALSE))+Calculos_cuotas!$C$21))</f>
        <v>0</v>
      </c>
      <c r="Q76" s="1219"/>
      <c r="R76" s="1220">
        <f>IF(P76="Falta prod voz", "ND",D76*P76)</f>
        <v>0</v>
      </c>
      <c r="S76" s="1212"/>
      <c r="T76" s="1206"/>
      <c r="U76" s="1219"/>
      <c r="V76" s="1221">
        <f>IF(AND(T76="Sí",$D$17&lt;&gt;"Preaprobadas"),Calculos_cuotas!$W$47,0%)</f>
        <v>0</v>
      </c>
      <c r="W76" s="1222">
        <f>V76*R76</f>
        <v>0</v>
      </c>
      <c r="X76" s="1221">
        <f>IF(P76="Falta prod voz","ND",IF($D$17="Óptima RPV",IF(($R$82+$L$111)&lt;Calculos_cuotas!$Y$34,Calculos_cuotas!$Z$34,IF(($R$82+$L$111)&lt;Calculos_cuotas!$Y$35,Calculos_cuotas!$Z$35,IF(($R$82+$L$111)&lt;Calculos_cuotas!$Y$36,Calculos_cuotas!$Z$36,IF(($R$82+$L$111)&lt;Calculos_cuotas!$Y$37,Calculos_cuotas!$Z$37,Calculos_cuotas!$Z$38)))),0%))</f>
        <v>0.1</v>
      </c>
      <c r="Y76" s="1215"/>
      <c r="Z76" s="1220">
        <f>IF(OR(P76="Falta prod voz",$M$33&gt;0),"ND",IF($D$17&lt;&gt;"Preaprobadas",P76*(1-V76-X76),IF($J$17="Cartera Orange", IF(ISBLANK(H76),0,VLOOKUP(H76,$J$21:$L$29,3,FALSE))+IF(ISBLANK(J76),0,VLOOKUP(J76,$J$30:$L$32,3,FALSE)),IF(ISBLANK(H76),0,VLOOKUP(H76,Calculos_cuotas!$A$183:$F$191,1+Calculos_cuotas!$B$177,FALSE))+IF(ISBLANK(J76),0,VLOOKUP(J76,Calculos_cuotas!$A$192:$F$194,1+Calculos_cuotas!$B$177,FALSE)))))</f>
        <v>0</v>
      </c>
      <c r="AA76" s="1228"/>
      <c r="AB76" s="1220">
        <f>IF(Z76="ND","ND",D76*Z76)</f>
        <v>0</v>
      </c>
      <c r="AC76" s="1215"/>
      <c r="AD76" s="1221">
        <f>IF($D$17&lt;&gt;"Preaprobadas",Calculos_cuotas!$W$43,0%)</f>
        <v>0.1</v>
      </c>
      <c r="AE76" s="1215"/>
      <c r="AF76" s="1220">
        <f>IF(OR(P76="Falta prod voz",$M$33&gt;0),"ND",IF($D$17&lt;&gt;"Preaprobadas",P76*(1-V76-X76-AD76),IF($J$17="Cartera Orange", IF(ISBLANK(H76),0,VLOOKUP(H76,$J$21:$L$29,3,FALSE))+IF(ISBLANK(J76),0,VLOOKUP(J76,$J$30:$L$32,3,FALSE)),IF(Calculos_cuotas!$T$43&gt;0%,IF(ISBLANK(H76),0,VLOOKUP(H76,Calculos_cuotas!$A$198:$F$209,1+Calculos_cuotas!$B$177,FALSE))+IF(ISBLANK(J76),0,VLOOKUP(J76,Calculos_cuotas!$A$207:$F$209,1+Calculos_cuotas!$B$177,FALSE)),Z76))))</f>
        <v>0</v>
      </c>
      <c r="AG76" s="1219"/>
      <c r="AH76" s="1220">
        <f>IF(D77=1,"N/D",IF(AF76="ND","ND",D76*AF76))</f>
        <v>0</v>
      </c>
      <c r="AM76" s="868"/>
      <c r="AN76" s="868"/>
      <c r="AO76" s="868"/>
      <c r="AP76" s="868"/>
      <c r="AQ76" s="868"/>
      <c r="AR76" s="868"/>
      <c r="CD76" s="1491"/>
      <c r="CE76" s="1501"/>
      <c r="CF76" s="1491"/>
      <c r="CK76" s="1501">
        <f t="shared" si="3"/>
        <v>15</v>
      </c>
      <c r="CR76" s="1489"/>
      <c r="CS76" s="1489"/>
      <c r="CT76" s="1507"/>
      <c r="CU76" s="1507"/>
      <c r="CV76" s="1507"/>
      <c r="CW76" s="1507"/>
      <c r="CX76" s="1507"/>
      <c r="CY76" s="1507"/>
      <c r="CZ76" s="1507"/>
      <c r="DA76" s="1507"/>
      <c r="DB76" s="1507"/>
      <c r="DS76" s="841"/>
      <c r="DT76" s="841"/>
      <c r="DU76" s="841"/>
      <c r="DV76" s="841"/>
      <c r="DW76" s="841"/>
      <c r="DX76" s="841"/>
      <c r="DY76" s="841"/>
      <c r="DZ76" s="841"/>
      <c r="EA76" s="841"/>
      <c r="EB76" s="841"/>
      <c r="EC76" s="841"/>
      <c r="ED76" s="841"/>
      <c r="EE76" s="841"/>
      <c r="EF76" s="841"/>
      <c r="EG76" s="841"/>
      <c r="EH76" s="841"/>
      <c r="EI76" s="841"/>
      <c r="EJ76" s="841"/>
      <c r="EK76" s="841"/>
      <c r="EL76" s="841"/>
      <c r="EM76" s="841"/>
      <c r="EN76" s="841"/>
      <c r="EO76" s="841"/>
      <c r="EP76" s="841"/>
      <c r="EQ76" s="841"/>
      <c r="ER76" s="841"/>
      <c r="ES76" s="841"/>
      <c r="ET76" s="841"/>
      <c r="EU76" s="841"/>
      <c r="EV76" s="841"/>
      <c r="EW76" s="841"/>
      <c r="EX76" s="841"/>
      <c r="EY76" s="841"/>
      <c r="EZ76" s="841"/>
      <c r="FA76" s="841"/>
      <c r="FB76" s="841"/>
      <c r="FC76" s="841"/>
      <c r="FD76" s="841"/>
      <c r="FE76" s="841"/>
      <c r="FF76" s="841"/>
      <c r="FG76" s="841"/>
      <c r="FH76" s="841"/>
      <c r="FI76" s="841"/>
      <c r="FJ76" s="841"/>
      <c r="FK76" s="841"/>
      <c r="FL76" s="841"/>
      <c r="FM76" s="841"/>
      <c r="FN76" s="841"/>
      <c r="FO76" s="841"/>
      <c r="FP76" s="841"/>
      <c r="FQ76" s="841"/>
      <c r="FR76" s="841"/>
      <c r="FS76" s="841"/>
      <c r="FT76" s="841"/>
      <c r="FU76" s="841"/>
      <c r="FV76" s="841"/>
      <c r="FW76" s="841"/>
      <c r="FX76" s="841"/>
      <c r="FY76" s="841"/>
      <c r="FZ76" s="841"/>
      <c r="GA76" s="841"/>
      <c r="GB76" s="841"/>
      <c r="GC76" s="841"/>
      <c r="GD76" s="841"/>
      <c r="GE76" s="841"/>
      <c r="GF76" s="841"/>
      <c r="GG76" s="841"/>
      <c r="GH76" s="841"/>
      <c r="GI76" s="841"/>
      <c r="GJ76" s="841"/>
      <c r="GK76" s="841"/>
      <c r="GL76" s="841"/>
      <c r="GM76" s="841"/>
      <c r="GN76" s="841"/>
      <c r="GO76" s="841"/>
      <c r="GP76" s="841"/>
      <c r="GQ76" s="841"/>
      <c r="GR76" s="841"/>
      <c r="GS76" s="841"/>
      <c r="GT76" s="841"/>
      <c r="GU76" s="841"/>
      <c r="GV76" s="841"/>
      <c r="GW76" s="841"/>
      <c r="GX76" s="841"/>
      <c r="GY76" s="841"/>
      <c r="GZ76" s="841"/>
      <c r="HA76" s="841"/>
      <c r="HB76" s="841"/>
      <c r="HC76" s="841"/>
      <c r="HD76" s="841"/>
      <c r="HE76" s="841"/>
      <c r="HF76" s="841"/>
      <c r="HG76" s="841"/>
      <c r="HH76" s="841"/>
      <c r="HI76" s="841"/>
      <c r="HJ76" s="841"/>
      <c r="HK76" s="841"/>
      <c r="HL76" s="841"/>
      <c r="HM76" s="841"/>
      <c r="HN76" s="841"/>
      <c r="HO76" s="841"/>
    </row>
    <row r="77" spans="1:223" ht="22.5" customHeight="1" thickTop="1">
      <c r="B77" s="1212"/>
      <c r="C77" s="1212"/>
      <c r="D77" s="1218">
        <f>IF(D78+D101&gt;100,1,IF(Calculos_cuotas!V142&lt;&gt;0,1,0))</f>
        <v>0</v>
      </c>
      <c r="E77" s="1218"/>
      <c r="F77" s="1214">
        <f>SUM(F39:F76)</f>
        <v>3</v>
      </c>
      <c r="G77" s="1212"/>
      <c r="H77" s="1212"/>
      <c r="I77" s="1212"/>
      <c r="J77" s="1212"/>
      <c r="K77" s="1212"/>
      <c r="L77" s="1212"/>
      <c r="M77" s="1212"/>
      <c r="N77" s="1212"/>
      <c r="O77" s="1212"/>
      <c r="P77" s="1212"/>
      <c r="Q77" s="1212"/>
      <c r="R77" s="1212"/>
      <c r="S77" s="1212"/>
      <c r="T77" s="1212"/>
      <c r="U77" s="1212"/>
      <c r="V77" s="1212"/>
      <c r="W77" s="1218"/>
      <c r="X77" s="1215"/>
      <c r="Y77" s="1215"/>
      <c r="Z77" s="1215"/>
      <c r="AA77" s="1215"/>
      <c r="AB77" s="1215"/>
      <c r="AC77" s="1215"/>
      <c r="AD77" s="1215"/>
      <c r="AE77" s="1215"/>
      <c r="AF77" s="1215"/>
      <c r="AM77" s="868"/>
      <c r="AN77" s="868"/>
      <c r="AO77" s="868"/>
      <c r="AP77" s="868"/>
      <c r="AQ77" s="868"/>
      <c r="AR77" s="868"/>
      <c r="CD77" s="1491"/>
      <c r="CE77" s="1501"/>
      <c r="CF77" s="1491"/>
      <c r="CK77" s="1501">
        <f t="shared" si="3"/>
        <v>16</v>
      </c>
      <c r="CR77" s="1489"/>
      <c r="CS77" s="1489"/>
      <c r="CT77" s="1507"/>
      <c r="CU77" s="1507"/>
      <c r="CV77" s="1507"/>
      <c r="CW77" s="1507"/>
      <c r="CX77" s="1507"/>
      <c r="CY77" s="1507"/>
      <c r="CZ77" s="1507"/>
      <c r="DA77" s="1507"/>
      <c r="DB77" s="1507"/>
      <c r="DS77" s="841"/>
      <c r="DT77" s="841"/>
      <c r="DU77" s="841"/>
      <c r="DV77" s="841"/>
      <c r="DW77" s="841"/>
      <c r="DX77" s="841"/>
      <c r="DY77" s="841"/>
      <c r="DZ77" s="841"/>
      <c r="EA77" s="841"/>
      <c r="EB77" s="841"/>
      <c r="EC77" s="841"/>
      <c r="ED77" s="841"/>
      <c r="EE77" s="841"/>
      <c r="EF77" s="841"/>
      <c r="EG77" s="841"/>
      <c r="EH77" s="841"/>
      <c r="EI77" s="841"/>
      <c r="EJ77" s="841"/>
      <c r="EK77" s="841"/>
      <c r="EL77" s="841"/>
      <c r="EM77" s="841"/>
      <c r="EN77" s="841"/>
      <c r="EO77" s="841"/>
      <c r="EP77" s="841"/>
      <c r="EQ77" s="841"/>
      <c r="ER77" s="841"/>
      <c r="ES77" s="841"/>
      <c r="ET77" s="841"/>
      <c r="EU77" s="841"/>
      <c r="EV77" s="841"/>
      <c r="EW77" s="841"/>
      <c r="EX77" s="841"/>
      <c r="EY77" s="841"/>
      <c r="EZ77" s="841"/>
      <c r="FA77" s="841"/>
      <c r="FB77" s="841"/>
      <c r="FC77" s="841"/>
      <c r="FD77" s="841"/>
      <c r="FE77" s="841"/>
      <c r="FF77" s="841"/>
      <c r="FG77" s="841"/>
      <c r="FH77" s="841"/>
      <c r="FI77" s="841"/>
      <c r="FJ77" s="841"/>
      <c r="FK77" s="841"/>
      <c r="FL77" s="841"/>
      <c r="FM77" s="841"/>
      <c r="FN77" s="841"/>
      <c r="FO77" s="841"/>
      <c r="FP77" s="841"/>
      <c r="FQ77" s="841"/>
      <c r="FR77" s="841"/>
      <c r="FS77" s="841"/>
      <c r="FT77" s="841"/>
      <c r="FU77" s="841"/>
      <c r="FV77" s="841"/>
      <c r="FW77" s="841"/>
      <c r="FX77" s="841"/>
      <c r="FY77" s="841"/>
      <c r="FZ77" s="841"/>
      <c r="GA77" s="841"/>
      <c r="GB77" s="841"/>
      <c r="GC77" s="841"/>
      <c r="GD77" s="841"/>
      <c r="GE77" s="841"/>
      <c r="GF77" s="841"/>
      <c r="GG77" s="841"/>
      <c r="GH77" s="841"/>
      <c r="GI77" s="841"/>
      <c r="GJ77" s="841"/>
      <c r="GK77" s="841"/>
      <c r="GL77" s="841"/>
      <c r="GM77" s="841"/>
      <c r="GN77" s="841"/>
      <c r="GO77" s="841"/>
      <c r="GP77" s="841"/>
      <c r="GQ77" s="841"/>
      <c r="GR77" s="841"/>
      <c r="GS77" s="841"/>
      <c r="GT77" s="841"/>
      <c r="GU77" s="841"/>
      <c r="GV77" s="841"/>
      <c r="GW77" s="841"/>
      <c r="GX77" s="841"/>
      <c r="GY77" s="841"/>
      <c r="GZ77" s="841"/>
      <c r="HA77" s="841"/>
      <c r="HB77" s="841"/>
      <c r="HC77" s="841"/>
      <c r="HD77" s="841"/>
      <c r="HE77" s="841"/>
      <c r="HF77" s="841"/>
      <c r="HG77" s="841"/>
      <c r="HH77" s="841"/>
      <c r="HI77" s="841"/>
      <c r="HJ77" s="841"/>
      <c r="HK77" s="841"/>
      <c r="HL77" s="841"/>
      <c r="HM77" s="841"/>
      <c r="HN77" s="841"/>
      <c r="HO77" s="841"/>
    </row>
    <row r="78" spans="1:223" ht="22.5" customHeight="1" thickBot="1">
      <c r="B78" s="1212"/>
      <c r="C78" s="1212"/>
      <c r="D78" s="1214">
        <f>SUM(D39:D76)</f>
        <v>5</v>
      </c>
      <c r="E78" s="1214"/>
      <c r="F78" s="1214">
        <f>SUM(F39:F76)</f>
        <v>3</v>
      </c>
      <c r="G78" s="1212"/>
      <c r="H78" s="1212"/>
      <c r="I78" s="1212"/>
      <c r="J78" s="1212"/>
      <c r="K78" s="1212"/>
      <c r="L78" s="1223"/>
      <c r="M78" s="1224"/>
      <c r="N78" s="1223"/>
      <c r="O78" s="1223"/>
      <c r="P78" s="1225" t="s">
        <v>415</v>
      </c>
      <c r="Q78" s="1212"/>
      <c r="R78" s="1220">
        <f>IF(D17&lt;&gt;"Preaprobadas",ITL_roam!S15,ITL_roam!T15)+ITL_roam!L198</f>
        <v>0</v>
      </c>
      <c r="S78" s="1212"/>
      <c r="T78" s="1811">
        <f>R78-ITL_roam!L196</f>
        <v>0</v>
      </c>
      <c r="U78" s="1218"/>
      <c r="V78" s="1218">
        <f>ITL_roam!L196</f>
        <v>0</v>
      </c>
      <c r="W78" s="1218"/>
      <c r="X78" s="1221">
        <f>IF(P78="Falta prod voz","ND",IF($D$17="Óptima RPV",IF(($R$82+$L$111)&lt;Calculos_cuotas!$Y$34,Calculos_cuotas!$Z$34,IF(($R$82+$L$111)&lt;Calculos_cuotas!$Y$35,Calculos_cuotas!$Z$35,IF(($R$82+$L$111)&lt;Calculos_cuotas!$Y$36,Calculos_cuotas!$Z$36,IF(($R$82+$L$111)&lt;Calculos_cuotas!$Y$37,Calculos_cuotas!$Z$37,Calculos_cuotas!$Z$38)))),0%))</f>
        <v>0.1</v>
      </c>
      <c r="Y78" s="1215"/>
      <c r="AA78" s="1228"/>
      <c r="AB78" s="1220">
        <f>T78*(1-X78)+V78</f>
        <v>0</v>
      </c>
      <c r="AC78" s="1215"/>
      <c r="AD78" s="1221">
        <f>IF($D$17&lt;&gt;"Preaprobadas",Calculos_cuotas!$W$43,0%)</f>
        <v>0.1</v>
      </c>
      <c r="AE78" s="1215"/>
      <c r="AF78" s="1215"/>
      <c r="AH78" s="1220">
        <f>IF(D77=1,"N/D",T78*(1-X78-AD78)+V78)</f>
        <v>0</v>
      </c>
      <c r="AM78" s="868"/>
      <c r="AN78" s="868"/>
      <c r="AO78" s="868"/>
      <c r="AP78" s="868"/>
      <c r="AQ78" s="868"/>
      <c r="AR78" s="868"/>
      <c r="CD78" s="1491"/>
      <c r="CE78" s="1501"/>
      <c r="CF78" s="1491"/>
      <c r="CK78" s="1501">
        <f t="shared" si="3"/>
        <v>17</v>
      </c>
      <c r="CR78" s="1489"/>
      <c r="CS78" s="1489"/>
      <c r="CT78" s="1507"/>
      <c r="CU78" s="1507"/>
      <c r="CV78" s="1507"/>
      <c r="CW78" s="1507"/>
      <c r="CX78" s="1507"/>
      <c r="CY78" s="1507"/>
      <c r="CZ78" s="1507"/>
      <c r="DA78" s="1507"/>
      <c r="DB78" s="1507"/>
      <c r="DS78" s="841"/>
      <c r="DT78" s="841"/>
      <c r="DU78" s="841"/>
      <c r="DV78" s="841"/>
      <c r="DW78" s="841"/>
      <c r="DX78" s="841"/>
      <c r="DY78" s="841"/>
      <c r="DZ78" s="841"/>
      <c r="EA78" s="841"/>
      <c r="EB78" s="841"/>
      <c r="EC78" s="841"/>
      <c r="ED78" s="841"/>
      <c r="EE78" s="841"/>
      <c r="EF78" s="841"/>
      <c r="EG78" s="841"/>
      <c r="EH78" s="841"/>
      <c r="EI78" s="841"/>
      <c r="EJ78" s="841"/>
      <c r="EK78" s="841"/>
      <c r="EL78" s="841"/>
      <c r="EM78" s="841"/>
      <c r="EN78" s="841"/>
      <c r="EO78" s="841"/>
      <c r="EP78" s="841"/>
      <c r="EQ78" s="841"/>
      <c r="ER78" s="841"/>
      <c r="ES78" s="841"/>
      <c r="ET78" s="841"/>
      <c r="EU78" s="841"/>
      <c r="EV78" s="841"/>
      <c r="EW78" s="841"/>
      <c r="EX78" s="841"/>
      <c r="EY78" s="841"/>
      <c r="EZ78" s="841"/>
      <c r="FA78" s="841"/>
      <c r="FB78" s="841"/>
      <c r="FC78" s="841"/>
      <c r="FD78" s="841"/>
      <c r="FE78" s="841"/>
      <c r="FF78" s="841"/>
      <c r="FG78" s="841"/>
      <c r="FH78" s="841"/>
      <c r="FI78" s="841"/>
      <c r="FJ78" s="841"/>
      <c r="FK78" s="841"/>
      <c r="FL78" s="841"/>
      <c r="FM78" s="841"/>
      <c r="FN78" s="841"/>
      <c r="FO78" s="841"/>
      <c r="FP78" s="841"/>
      <c r="FQ78" s="841"/>
      <c r="FR78" s="841"/>
      <c r="FS78" s="841"/>
      <c r="FT78" s="841"/>
      <c r="FU78" s="841"/>
      <c r="FV78" s="841"/>
      <c r="FW78" s="841"/>
      <c r="FX78" s="841"/>
      <c r="FY78" s="841"/>
      <c r="FZ78" s="841"/>
      <c r="GA78" s="841"/>
      <c r="GB78" s="841"/>
      <c r="GC78" s="841"/>
      <c r="GD78" s="841"/>
      <c r="GE78" s="841"/>
      <c r="GF78" s="841"/>
      <c r="GG78" s="841"/>
      <c r="GH78" s="841"/>
      <c r="GI78" s="841"/>
      <c r="GJ78" s="841"/>
      <c r="GK78" s="841"/>
      <c r="GL78" s="841"/>
      <c r="GM78" s="841"/>
      <c r="GN78" s="841"/>
      <c r="GO78" s="841"/>
      <c r="GP78" s="841"/>
      <c r="GQ78" s="841"/>
      <c r="GR78" s="841"/>
      <c r="GS78" s="841"/>
      <c r="GT78" s="841"/>
      <c r="GU78" s="841"/>
      <c r="GV78" s="841"/>
      <c r="GW78" s="841"/>
      <c r="GX78" s="841"/>
      <c r="GY78" s="841"/>
      <c r="GZ78" s="841"/>
      <c r="HA78" s="841"/>
      <c r="HB78" s="841"/>
      <c r="HC78" s="841"/>
      <c r="HD78" s="841"/>
      <c r="HE78" s="841"/>
      <c r="HF78" s="841"/>
      <c r="HG78" s="841"/>
      <c r="HH78" s="841"/>
      <c r="HI78" s="841"/>
      <c r="HJ78" s="841"/>
      <c r="HK78" s="841"/>
      <c r="HL78" s="841"/>
      <c r="HM78" s="841"/>
      <c r="HN78" s="841"/>
      <c r="HO78" s="841"/>
    </row>
    <row r="79" spans="1:223" ht="20.25" customHeight="1" thickTop="1" thickBot="1">
      <c r="B79" s="864" t="s">
        <v>721</v>
      </c>
      <c r="C79" s="868">
        <f>IF(D17="Óptima",0,1000000)</f>
        <v>1000000</v>
      </c>
      <c r="D79" s="870"/>
      <c r="F79" s="870"/>
      <c r="N79" s="2170" t="str">
        <f>IF(AND(D17="Preaprobadas",J17="Nuevo",Calculos_cuotas!D254=1),"Es viable hacer oferta a medida de roaming","")</f>
        <v/>
      </c>
      <c r="O79" s="2170"/>
      <c r="P79" s="2170"/>
      <c r="Q79" s="2170"/>
      <c r="R79" s="2170"/>
      <c r="T79" s="868" t="s">
        <v>947</v>
      </c>
      <c r="U79" s="868"/>
      <c r="V79" s="868" t="s">
        <v>948</v>
      </c>
      <c r="W79" s="868"/>
      <c r="X79" s="844"/>
      <c r="Y79" s="844"/>
      <c r="Z79" s="1215"/>
      <c r="AA79" s="1215"/>
      <c r="AB79" s="1215"/>
      <c r="AC79" s="1215"/>
      <c r="AD79" s="1215"/>
      <c r="AE79" s="1215"/>
      <c r="AF79" s="1215"/>
      <c r="AM79" s="868"/>
      <c r="AN79" s="868"/>
      <c r="AO79" s="868"/>
      <c r="AP79" s="868"/>
      <c r="AQ79" s="868"/>
      <c r="AR79" s="868"/>
      <c r="CD79" s="1491"/>
      <c r="CE79" s="1501"/>
      <c r="CF79" s="1491"/>
      <c r="CK79" s="1501">
        <f t="shared" si="3"/>
        <v>18</v>
      </c>
      <c r="CR79" s="1489"/>
      <c r="CS79" s="1489"/>
      <c r="CT79" s="1507"/>
      <c r="CU79" s="1507"/>
      <c r="CV79" s="1507"/>
      <c r="CW79" s="1507"/>
      <c r="CX79" s="1507"/>
      <c r="CY79" s="1507"/>
      <c r="CZ79" s="1507"/>
      <c r="DA79" s="1507"/>
      <c r="DB79" s="1507"/>
      <c r="DS79" s="841"/>
      <c r="DT79" s="841"/>
      <c r="DU79" s="841"/>
      <c r="DV79" s="841"/>
      <c r="DW79" s="841"/>
      <c r="DX79" s="841"/>
      <c r="DY79" s="841"/>
      <c r="DZ79" s="841"/>
      <c r="EA79" s="841"/>
      <c r="EB79" s="841"/>
      <c r="EC79" s="841"/>
      <c r="ED79" s="841"/>
      <c r="EE79" s="841"/>
      <c r="EF79" s="841"/>
      <c r="EG79" s="841"/>
      <c r="EH79" s="841"/>
      <c r="EI79" s="841"/>
      <c r="EJ79" s="841"/>
      <c r="EK79" s="841"/>
      <c r="EL79" s="841"/>
      <c r="EM79" s="841"/>
      <c r="EN79" s="841"/>
      <c r="EO79" s="841"/>
      <c r="EP79" s="841"/>
      <c r="EQ79" s="841"/>
      <c r="ER79" s="841"/>
      <c r="ES79" s="841"/>
      <c r="ET79" s="841"/>
      <c r="EU79" s="841"/>
      <c r="EV79" s="841"/>
      <c r="EW79" s="841"/>
      <c r="EX79" s="841"/>
      <c r="EY79" s="841"/>
      <c r="EZ79" s="841"/>
      <c r="FA79" s="841"/>
      <c r="FB79" s="841"/>
      <c r="FC79" s="841"/>
      <c r="FD79" s="841"/>
      <c r="FE79" s="841"/>
      <c r="FF79" s="841"/>
      <c r="FG79" s="841"/>
      <c r="FH79" s="841"/>
      <c r="FI79" s="841"/>
      <c r="FJ79" s="841"/>
      <c r="FK79" s="841"/>
      <c r="FL79" s="841"/>
      <c r="FM79" s="841"/>
      <c r="FN79" s="841"/>
      <c r="FO79" s="841"/>
      <c r="FP79" s="841"/>
      <c r="FQ79" s="841"/>
      <c r="FR79" s="841"/>
      <c r="FS79" s="841"/>
      <c r="FT79" s="841"/>
      <c r="FU79" s="841"/>
      <c r="FV79" s="841"/>
      <c r="FW79" s="841"/>
      <c r="FX79" s="841"/>
      <c r="FY79" s="841"/>
      <c r="FZ79" s="841"/>
      <c r="GA79" s="841"/>
      <c r="GB79" s="841"/>
      <c r="GC79" s="841"/>
      <c r="GD79" s="841"/>
      <c r="GE79" s="841"/>
      <c r="GF79" s="841"/>
      <c r="GG79" s="841"/>
      <c r="GH79" s="841"/>
      <c r="GI79" s="841"/>
      <c r="GJ79" s="841"/>
      <c r="GK79" s="841"/>
      <c r="GL79" s="841"/>
      <c r="GM79" s="841"/>
      <c r="GN79" s="841"/>
      <c r="GO79" s="841"/>
      <c r="GP79" s="841"/>
      <c r="GQ79" s="841"/>
      <c r="GR79" s="841"/>
      <c r="GS79" s="841"/>
      <c r="GT79" s="841"/>
      <c r="GU79" s="841"/>
      <c r="GV79" s="841"/>
      <c r="GW79" s="841"/>
      <c r="GX79" s="841"/>
      <c r="GY79" s="841"/>
      <c r="GZ79" s="841"/>
      <c r="HA79" s="841"/>
      <c r="HB79" s="841"/>
      <c r="HC79" s="841"/>
      <c r="HD79" s="841"/>
      <c r="HE79" s="841"/>
      <c r="HF79" s="841"/>
      <c r="HG79" s="841"/>
      <c r="HH79" s="841"/>
      <c r="HI79" s="841"/>
      <c r="HJ79" s="841"/>
      <c r="HK79" s="841"/>
      <c r="HL79" s="841"/>
      <c r="HM79" s="841"/>
      <c r="HN79" s="841"/>
      <c r="HO79" s="841"/>
    </row>
    <row r="80" spans="1:223" ht="49.5" customHeight="1" thickBot="1">
      <c r="C80" s="868"/>
      <c r="R80" s="876" t="str">
        <f>IF(D17&lt;&gt;"Preaprobadas","ANTES DE DESCUENTOS"," ")</f>
        <v>ANTES DE DESCUENTOS</v>
      </c>
      <c r="T80" s="2138" t="str">
        <f>IF(D17&lt;&gt;"Preaprobadas","El descuento por valor depende de la facturación total en el mes. Con las cuotas introducidas el descuento es el reflejado en la tabla
El descuento por Conecta Pymes SÓLO APLICA SI TIENE CONECTA PYMES ACTIVO AL FACTURAR EL MÓVIL","La mejora de cuotas por tener ACTIVO Conecta Pymes debe ser solicitada una vez esté activo este producto. En caso de no activarlo o ser desactivado, le aplicarán las cuotas preaprobadas sin esta mejora, sólo en base al valor")</f>
        <v>El descuento por valor depende de la facturación total en el mes. Con las cuotas introducidas el descuento es el reflejado en la tabla
El descuento por Conecta Pymes SÓLO APLICA SI TIENE CONECTA PYMES ACTIVO AL FACTURAR EL MÓVIL</v>
      </c>
      <c r="U80" s="2139"/>
      <c r="V80" s="2139"/>
      <c r="W80" s="2139"/>
      <c r="X80" s="2139"/>
      <c r="Y80" s="2139"/>
      <c r="Z80" s="2139"/>
      <c r="AA80" s="2139"/>
      <c r="AB80" s="2139"/>
      <c r="AC80" s="2139"/>
      <c r="AD80" s="2139"/>
      <c r="AE80" s="2139"/>
      <c r="AF80" s="2140"/>
      <c r="AH80" s="876" t="str">
        <f>IF(D17&lt;&gt;"Preaprobadas","TRAS DESCUENTOS"," ")</f>
        <v>TRAS DESCUENTOS</v>
      </c>
      <c r="AM80" s="868"/>
      <c r="AN80" s="868"/>
      <c r="AO80" s="868"/>
      <c r="AP80" s="868"/>
      <c r="AQ80" s="868"/>
      <c r="AR80" s="868"/>
      <c r="CD80" s="1491"/>
      <c r="CE80" s="1501"/>
      <c r="CF80" s="1491"/>
      <c r="CK80" s="1501">
        <f t="shared" si="3"/>
        <v>19</v>
      </c>
      <c r="CR80" s="1489"/>
      <c r="CS80" s="1489"/>
      <c r="CT80" s="1507"/>
      <c r="CU80" s="1507"/>
      <c r="CV80" s="1507"/>
      <c r="CW80" s="1507"/>
      <c r="CX80" s="1507"/>
      <c r="CY80" s="1507"/>
      <c r="CZ80" s="1507"/>
      <c r="DA80" s="1507"/>
      <c r="DB80" s="1507"/>
      <c r="DS80" s="841"/>
      <c r="DT80" s="841"/>
      <c r="DU80" s="841"/>
      <c r="DV80" s="841"/>
      <c r="DW80" s="841"/>
      <c r="DX80" s="841"/>
      <c r="DY80" s="841"/>
      <c r="DZ80" s="841"/>
      <c r="EA80" s="841"/>
      <c r="EB80" s="841"/>
      <c r="EC80" s="841"/>
      <c r="ED80" s="841"/>
      <c r="EE80" s="841"/>
      <c r="EF80" s="841"/>
      <c r="EG80" s="841"/>
      <c r="EH80" s="841"/>
      <c r="EI80" s="841"/>
      <c r="EJ80" s="841"/>
      <c r="EK80" s="841"/>
      <c r="EL80" s="841"/>
      <c r="EM80" s="841"/>
      <c r="EN80" s="841"/>
      <c r="EO80" s="841"/>
      <c r="EP80" s="841"/>
      <c r="EQ80" s="841"/>
      <c r="ER80" s="841"/>
      <c r="ES80" s="841"/>
      <c r="ET80" s="841"/>
      <c r="EU80" s="841"/>
      <c r="EV80" s="841"/>
      <c r="EW80" s="841"/>
      <c r="EX80" s="841"/>
      <c r="EY80" s="841"/>
      <c r="EZ80" s="841"/>
      <c r="FA80" s="841"/>
      <c r="FB80" s="841"/>
      <c r="FC80" s="841"/>
      <c r="FD80" s="841"/>
      <c r="FE80" s="841"/>
      <c r="FF80" s="841"/>
      <c r="FG80" s="841"/>
      <c r="FH80" s="841"/>
      <c r="FI80" s="841"/>
      <c r="FJ80" s="841"/>
      <c r="FK80" s="841"/>
      <c r="FL80" s="841"/>
      <c r="FM80" s="841"/>
      <c r="FN80" s="841"/>
      <c r="FO80" s="841"/>
      <c r="FP80" s="841"/>
      <c r="FQ80" s="841"/>
      <c r="FR80" s="841"/>
      <c r="FS80" s="841"/>
      <c r="FT80" s="841"/>
      <c r="FU80" s="841"/>
      <c r="FV80" s="841"/>
      <c r="FW80" s="841"/>
      <c r="FX80" s="841"/>
      <c r="FY80" s="841"/>
      <c r="FZ80" s="841"/>
      <c r="GA80" s="841"/>
      <c r="GB80" s="841"/>
      <c r="GC80" s="841"/>
      <c r="GD80" s="841"/>
      <c r="GE80" s="841"/>
      <c r="GF80" s="841"/>
      <c r="GG80" s="841"/>
      <c r="GH80" s="841"/>
      <c r="GI80" s="841"/>
      <c r="GJ80" s="841"/>
      <c r="GK80" s="841"/>
      <c r="GL80" s="841"/>
      <c r="GM80" s="841"/>
      <c r="GN80" s="841"/>
      <c r="GO80" s="841"/>
      <c r="GP80" s="841"/>
      <c r="GQ80" s="841"/>
      <c r="GR80" s="841"/>
      <c r="GS80" s="841"/>
      <c r="GT80" s="841"/>
      <c r="GU80" s="841"/>
      <c r="GV80" s="841"/>
      <c r="GW80" s="841"/>
      <c r="GX80" s="841"/>
      <c r="GY80" s="841"/>
      <c r="GZ80" s="841"/>
      <c r="HA80" s="841"/>
      <c r="HB80" s="841"/>
      <c r="HC80" s="841"/>
      <c r="HD80" s="841"/>
      <c r="HE80" s="841"/>
      <c r="HF80" s="841"/>
      <c r="HG80" s="841"/>
      <c r="HH80" s="841"/>
      <c r="HI80" s="841"/>
      <c r="HJ80" s="841"/>
      <c r="HK80" s="841"/>
      <c r="HL80" s="841"/>
      <c r="HM80" s="841"/>
      <c r="HN80" s="841"/>
      <c r="HO80" s="841"/>
    </row>
    <row r="81" spans="2:223" ht="20.25" customHeight="1" thickBot="1">
      <c r="B81" s="864" t="s">
        <v>722</v>
      </c>
      <c r="C81" s="868">
        <f>IF(D17="Óptima",0,1000000)</f>
        <v>1000000</v>
      </c>
      <c r="D81" s="870">
        <v>3</v>
      </c>
      <c r="F81" s="870">
        <v>3</v>
      </c>
      <c r="X81" s="844"/>
      <c r="Y81" s="844"/>
      <c r="Z81" s="1215"/>
      <c r="AA81" s="1215"/>
      <c r="AB81" s="1215"/>
      <c r="AC81" s="1215"/>
      <c r="AD81" s="1215"/>
      <c r="AE81" s="1215"/>
      <c r="AF81" s="1215"/>
      <c r="AM81" s="868"/>
      <c r="AN81" s="868"/>
      <c r="AO81" s="868"/>
      <c r="AP81" s="868"/>
      <c r="AQ81" s="868"/>
      <c r="AR81" s="868"/>
      <c r="CD81" s="1491"/>
      <c r="CE81" s="1501"/>
      <c r="CF81" s="1491"/>
      <c r="CK81" s="1501">
        <f t="shared" si="3"/>
        <v>20</v>
      </c>
      <c r="CR81" s="1489"/>
      <c r="CS81" s="1489"/>
      <c r="CT81" s="1507"/>
      <c r="CU81" s="1507"/>
      <c r="CV81" s="1507"/>
      <c r="CW81" s="1507"/>
      <c r="CX81" s="1507"/>
      <c r="CY81" s="1507"/>
      <c r="CZ81" s="1507"/>
      <c r="DA81" s="1507"/>
      <c r="DB81" s="1507"/>
      <c r="DS81" s="841"/>
      <c r="DT81" s="841"/>
      <c r="DU81" s="841"/>
      <c r="DV81" s="841"/>
      <c r="DW81" s="841"/>
      <c r="DX81" s="841"/>
      <c r="DY81" s="841"/>
      <c r="DZ81" s="841"/>
      <c r="EA81" s="841"/>
      <c r="EB81" s="841"/>
      <c r="EC81" s="841"/>
      <c r="ED81" s="841"/>
      <c r="EE81" s="841"/>
      <c r="EF81" s="841"/>
      <c r="EG81" s="841"/>
      <c r="EH81" s="841"/>
      <c r="EI81" s="841"/>
      <c r="EJ81" s="841"/>
      <c r="EK81" s="841"/>
      <c r="EL81" s="841"/>
      <c r="EM81" s="841"/>
      <c r="EN81" s="841"/>
      <c r="EO81" s="841"/>
      <c r="EP81" s="841"/>
      <c r="EQ81" s="841"/>
      <c r="ER81" s="841"/>
      <c r="ES81" s="841"/>
      <c r="ET81" s="841"/>
      <c r="EU81" s="841"/>
      <c r="EV81" s="841"/>
      <c r="EW81" s="841"/>
      <c r="EX81" s="841"/>
      <c r="EY81" s="841"/>
      <c r="EZ81" s="841"/>
      <c r="FA81" s="841"/>
      <c r="FB81" s="841"/>
      <c r="FC81" s="841"/>
      <c r="FD81" s="841"/>
      <c r="FE81" s="841"/>
      <c r="FF81" s="841"/>
      <c r="FG81" s="841"/>
      <c r="FH81" s="841"/>
      <c r="FI81" s="841"/>
      <c r="FJ81" s="841"/>
      <c r="FK81" s="841"/>
      <c r="FL81" s="841"/>
      <c r="FM81" s="841"/>
      <c r="FN81" s="841"/>
      <c r="FO81" s="841"/>
      <c r="FP81" s="841"/>
      <c r="FQ81" s="841"/>
      <c r="FR81" s="841"/>
      <c r="FS81" s="841"/>
      <c r="FT81" s="841"/>
      <c r="FU81" s="841"/>
      <c r="FV81" s="841"/>
      <c r="FW81" s="841"/>
      <c r="FX81" s="841"/>
      <c r="FY81" s="841"/>
      <c r="FZ81" s="841"/>
      <c r="GA81" s="841"/>
      <c r="GB81" s="841"/>
      <c r="GC81" s="841"/>
      <c r="GD81" s="841"/>
      <c r="GE81" s="841"/>
      <c r="GF81" s="841"/>
      <c r="GG81" s="841"/>
      <c r="GH81" s="841"/>
      <c r="GI81" s="841"/>
      <c r="GJ81" s="841"/>
      <c r="GK81" s="841"/>
      <c r="GL81" s="841"/>
      <c r="GM81" s="841"/>
      <c r="GN81" s="841"/>
      <c r="GO81" s="841"/>
      <c r="GP81" s="841"/>
      <c r="GQ81" s="841"/>
      <c r="GR81" s="841"/>
      <c r="GS81" s="841"/>
      <c r="GT81" s="841"/>
      <c r="GU81" s="841"/>
      <c r="GV81" s="841"/>
      <c r="GW81" s="841"/>
      <c r="GX81" s="841"/>
      <c r="GY81" s="841"/>
      <c r="GZ81" s="841"/>
      <c r="HA81" s="841"/>
      <c r="HB81" s="841"/>
      <c r="HC81" s="841"/>
      <c r="HD81" s="841"/>
      <c r="HE81" s="841"/>
      <c r="HF81" s="841"/>
      <c r="HG81" s="841"/>
      <c r="HH81" s="841"/>
      <c r="HI81" s="841"/>
      <c r="HJ81" s="841"/>
      <c r="HK81" s="841"/>
      <c r="HL81" s="841"/>
      <c r="HM81" s="841"/>
      <c r="HN81" s="841"/>
      <c r="HO81" s="841"/>
    </row>
    <row r="82" spans="2:223" ht="58.5" customHeight="1" thickBot="1">
      <c r="B82" s="877"/>
      <c r="C82" s="877"/>
      <c r="D82" s="877"/>
      <c r="E82" s="877"/>
      <c r="F82" s="877"/>
      <c r="G82" s="877"/>
      <c r="H82" s="877"/>
      <c r="I82" s="877"/>
      <c r="J82" s="877"/>
      <c r="K82" s="877"/>
      <c r="P82" s="878" t="s">
        <v>158</v>
      </c>
      <c r="R82" s="1513">
        <f>IF(D77=1,"No disponible",IF(D17="Óptima",MAX(SUM(R39:R78),D78*7,50),IF(D17="Óptima RPV",MAX(SUM(R39:R78),D78*10,100),MAX(SUM(R39:R78),D78*10))))</f>
        <v>194</v>
      </c>
      <c r="S82" s="879">
        <f>IF(R82&gt;SUM(R39:R78),R82*X78,0)</f>
        <v>0</v>
      </c>
      <c r="V82" s="2130" t="str">
        <f>IF(D17&lt;&gt;"Preaprobadas","TOTAL TRAS DESCUENTO POR VALOR Y NO SUBVENCIÓN","CON CUOTAS PERSONALIZADAS EN BASE AL VALOR DEL CLIENTE")</f>
        <v>TOTAL TRAS DESCUENTO POR VALOR Y NO SUBVENCIÓN</v>
      </c>
      <c r="W82" s="2131"/>
      <c r="X82" s="2131"/>
      <c r="Y82" s="2131"/>
      <c r="Z82" s="2132"/>
      <c r="AA82" s="880"/>
      <c r="AB82" s="1514">
        <f>IF(D77=1,"No disponible",IF(D17&lt;&gt;"Preaprobadas",IF(R82=SUM(R39:R78),SUM(AB39:AB78),R82-S82-SUM(W39:W76)),MAX(SUM(AB39:AB78),10*D78)))</f>
        <v>174.60000000000002</v>
      </c>
      <c r="AF82" s="1229" t="s">
        <v>158</v>
      </c>
      <c r="AH82" s="1514">
        <f>IF(D77=1,"No disponible",IF(D17&lt;&gt;"Preaprobadas",IF(R82=SUM(R39:R78),SUM(AH39:AH78),R82-S82-SUM(W39:W76)),MAX(SUM(AH39:AH78),10*D78)))</f>
        <v>155.20000000000005</v>
      </c>
      <c r="AM82" s="868"/>
      <c r="AN82" s="868"/>
      <c r="AO82" s="868"/>
      <c r="AP82" s="868"/>
      <c r="AQ82" s="868"/>
      <c r="AR82" s="868"/>
      <c r="CD82" s="1491"/>
      <c r="CE82" s="1501"/>
      <c r="CF82" s="1491"/>
      <c r="CK82" s="1501">
        <f t="shared" si="3"/>
        <v>21</v>
      </c>
      <c r="CR82" s="1489"/>
      <c r="CS82" s="1489"/>
      <c r="CT82" s="1507"/>
      <c r="CU82" s="1507"/>
      <c r="CV82" s="1507"/>
      <c r="CW82" s="1507"/>
      <c r="CX82" s="1507"/>
      <c r="CY82" s="1507"/>
      <c r="CZ82" s="1507"/>
      <c r="DA82" s="1507"/>
      <c r="DB82" s="1507"/>
      <c r="DS82" s="841"/>
      <c r="DT82" s="841"/>
      <c r="DU82" s="841"/>
      <c r="DV82" s="841"/>
      <c r="DW82" s="841"/>
      <c r="DX82" s="841"/>
      <c r="DY82" s="841"/>
      <c r="DZ82" s="841"/>
      <c r="EA82" s="841"/>
      <c r="EB82" s="841"/>
      <c r="EC82" s="841"/>
      <c r="ED82" s="841"/>
      <c r="EE82" s="841"/>
      <c r="EF82" s="841"/>
      <c r="EG82" s="841"/>
      <c r="EH82" s="841"/>
      <c r="EI82" s="841"/>
      <c r="EJ82" s="841"/>
      <c r="EK82" s="841"/>
      <c r="EL82" s="841"/>
      <c r="EM82" s="841"/>
      <c r="EN82" s="841"/>
      <c r="EO82" s="841"/>
      <c r="EP82" s="841"/>
      <c r="EQ82" s="841"/>
      <c r="ER82" s="841"/>
      <c r="ES82" s="841"/>
      <c r="ET82" s="841"/>
      <c r="EU82" s="841"/>
      <c r="EV82" s="841"/>
      <c r="EW82" s="841"/>
      <c r="EX82" s="841"/>
      <c r="EY82" s="841"/>
      <c r="EZ82" s="841"/>
      <c r="FA82" s="841"/>
      <c r="FB82" s="841"/>
      <c r="FC82" s="841"/>
      <c r="FD82" s="841"/>
      <c r="FE82" s="841"/>
      <c r="FF82" s="841"/>
      <c r="FG82" s="841"/>
      <c r="FH82" s="841"/>
      <c r="FI82" s="841"/>
      <c r="FJ82" s="841"/>
      <c r="FK82" s="841"/>
      <c r="FL82" s="841"/>
      <c r="FM82" s="841"/>
      <c r="FN82" s="841"/>
      <c r="FO82" s="841"/>
      <c r="FP82" s="841"/>
      <c r="FQ82" s="841"/>
      <c r="FR82" s="841"/>
      <c r="FS82" s="841"/>
      <c r="FT82" s="841"/>
      <c r="FU82" s="841"/>
      <c r="FV82" s="841"/>
      <c r="FW82" s="841"/>
      <c r="FX82" s="841"/>
      <c r="FY82" s="841"/>
      <c r="FZ82" s="841"/>
      <c r="GA82" s="841"/>
      <c r="GB82" s="841"/>
      <c r="GC82" s="841"/>
      <c r="GD82" s="841"/>
      <c r="GE82" s="841"/>
      <c r="GF82" s="841"/>
      <c r="GG82" s="841"/>
      <c r="GH82" s="841"/>
      <c r="GI82" s="841"/>
      <c r="GJ82" s="841"/>
      <c r="GK82" s="841"/>
      <c r="GL82" s="841"/>
      <c r="GM82" s="841"/>
      <c r="GN82" s="841"/>
      <c r="GO82" s="841"/>
      <c r="GP82" s="841"/>
      <c r="GQ82" s="841"/>
      <c r="GR82" s="841"/>
      <c r="GS82" s="841"/>
      <c r="GT82" s="841"/>
      <c r="GU82" s="841"/>
      <c r="GV82" s="841"/>
      <c r="GW82" s="841"/>
      <c r="GX82" s="841"/>
      <c r="GY82" s="841"/>
      <c r="GZ82" s="841"/>
      <c r="HA82" s="841"/>
      <c r="HB82" s="841"/>
      <c r="HC82" s="841"/>
      <c r="HD82" s="841"/>
      <c r="HE82" s="841"/>
      <c r="HF82" s="841"/>
      <c r="HG82" s="841"/>
      <c r="HH82" s="841"/>
      <c r="HI82" s="841"/>
      <c r="HJ82" s="841"/>
      <c r="HK82" s="841"/>
      <c r="HL82" s="841"/>
      <c r="HM82" s="841"/>
      <c r="HN82" s="841"/>
      <c r="HO82" s="841"/>
    </row>
    <row r="83" spans="2:223" ht="21" thickTop="1">
      <c r="R83" s="881" t="str">
        <f>IF(R82&gt;SUM(R39:R78),"Aplica consumo mínimo"," ")</f>
        <v xml:space="preserve"> </v>
      </c>
      <c r="T83" s="882"/>
      <c r="AG83" s="1230"/>
      <c r="AH83" s="1231"/>
      <c r="AJ83" s="1349" t="str">
        <f>IF(R83="Aplica consumo mínimo","Aplica consumo mínimo","")</f>
        <v/>
      </c>
      <c r="AM83" s="868"/>
      <c r="AN83" s="868"/>
      <c r="AO83" s="868"/>
      <c r="AP83" s="868"/>
      <c r="AQ83" s="868"/>
      <c r="AR83" s="868"/>
      <c r="CD83" s="1491"/>
      <c r="CE83" s="1501"/>
      <c r="CF83" s="1491"/>
      <c r="CK83" s="1501">
        <f t="shared" si="3"/>
        <v>22</v>
      </c>
      <c r="CR83" s="1489"/>
      <c r="CS83" s="1489"/>
      <c r="CT83" s="1507"/>
      <c r="CU83" s="1507"/>
      <c r="CV83" s="1507"/>
      <c r="CW83" s="1507"/>
      <c r="CX83" s="1507"/>
      <c r="CY83" s="1507"/>
      <c r="CZ83" s="1507"/>
      <c r="DA83" s="1507"/>
      <c r="DB83" s="1507"/>
      <c r="DS83" s="841"/>
      <c r="DT83" s="841"/>
      <c r="DU83" s="841"/>
      <c r="DV83" s="841"/>
      <c r="DW83" s="841"/>
      <c r="DX83" s="841"/>
      <c r="DY83" s="841"/>
      <c r="DZ83" s="841"/>
      <c r="EA83" s="841"/>
      <c r="EB83" s="841"/>
      <c r="EC83" s="841"/>
      <c r="ED83" s="841"/>
      <c r="EE83" s="841"/>
      <c r="EF83" s="841"/>
      <c r="EG83" s="841"/>
      <c r="EH83" s="841"/>
      <c r="EI83" s="841"/>
      <c r="EJ83" s="841"/>
      <c r="EK83" s="841"/>
      <c r="EL83" s="841"/>
      <c r="EM83" s="841"/>
      <c r="EN83" s="841"/>
      <c r="EO83" s="841"/>
      <c r="EP83" s="841"/>
      <c r="EQ83" s="841"/>
      <c r="ER83" s="841"/>
      <c r="ES83" s="841"/>
      <c r="ET83" s="841"/>
      <c r="EU83" s="841"/>
      <c r="EV83" s="841"/>
      <c r="EW83" s="841"/>
      <c r="EX83" s="841"/>
      <c r="EY83" s="841"/>
      <c r="EZ83" s="841"/>
      <c r="FA83" s="841"/>
      <c r="FB83" s="841"/>
      <c r="FC83" s="841"/>
      <c r="FD83" s="841"/>
      <c r="FE83" s="841"/>
      <c r="FF83" s="841"/>
      <c r="FG83" s="841"/>
      <c r="FH83" s="841"/>
      <c r="FI83" s="841"/>
      <c r="FJ83" s="841"/>
      <c r="FK83" s="841"/>
      <c r="FL83" s="841"/>
      <c r="FM83" s="841"/>
      <c r="FN83" s="841"/>
      <c r="FO83" s="841"/>
      <c r="FP83" s="841"/>
      <c r="FQ83" s="841"/>
      <c r="FR83" s="841"/>
      <c r="FS83" s="841"/>
      <c r="FT83" s="841"/>
      <c r="FU83" s="841"/>
      <c r="FV83" s="841"/>
      <c r="FW83" s="841"/>
      <c r="FX83" s="841"/>
      <c r="FY83" s="841"/>
      <c r="FZ83" s="841"/>
      <c r="GA83" s="841"/>
      <c r="GB83" s="841"/>
      <c r="GC83" s="841"/>
      <c r="GD83" s="841"/>
      <c r="GE83" s="841"/>
      <c r="GF83" s="841"/>
      <c r="GG83" s="841"/>
      <c r="GH83" s="841"/>
      <c r="GI83" s="841"/>
      <c r="GJ83" s="841"/>
      <c r="GK83" s="841"/>
      <c r="GL83" s="841"/>
      <c r="GM83" s="841"/>
      <c r="GN83" s="841"/>
      <c r="GO83" s="841"/>
      <c r="GP83" s="841"/>
      <c r="GQ83" s="841"/>
      <c r="GR83" s="841"/>
      <c r="GS83" s="841"/>
      <c r="GT83" s="841"/>
      <c r="GU83" s="841"/>
      <c r="GV83" s="841"/>
      <c r="GW83" s="841"/>
      <c r="GX83" s="841"/>
      <c r="GY83" s="841"/>
      <c r="GZ83" s="841"/>
      <c r="HA83" s="841"/>
      <c r="HB83" s="841"/>
      <c r="HC83" s="841"/>
      <c r="HD83" s="841"/>
      <c r="HE83" s="841"/>
      <c r="HF83" s="841"/>
      <c r="HG83" s="841"/>
      <c r="HH83" s="841"/>
      <c r="HI83" s="841"/>
      <c r="HJ83" s="841"/>
      <c r="HK83" s="841"/>
      <c r="HL83" s="841"/>
      <c r="HM83" s="841"/>
      <c r="HN83" s="841"/>
      <c r="HO83" s="841"/>
    </row>
    <row r="84" spans="2:223" ht="20.45" customHeight="1">
      <c r="R84" s="881"/>
      <c r="T84" s="883"/>
      <c r="V84" s="2181" t="str">
        <f>IF(D77=1, "Oferta no disponible para este volumen/perfil de la operación. Consulta con tu supervisor", "")</f>
        <v/>
      </c>
      <c r="W84" s="2181"/>
      <c r="X84" s="2181"/>
      <c r="Y84" s="2181"/>
      <c r="Z84" s="2181"/>
      <c r="AA84" s="2181"/>
      <c r="AB84" s="2181"/>
      <c r="AC84" s="2181"/>
      <c r="AD84" s="2181"/>
      <c r="AE84" s="2181"/>
      <c r="AF84" s="2181"/>
      <c r="AG84" s="2181"/>
      <c r="AH84" s="2181"/>
      <c r="AJ84" s="1349"/>
      <c r="AM84" s="868"/>
      <c r="AN84" s="868"/>
      <c r="AO84" s="868"/>
      <c r="AP84" s="868"/>
      <c r="AQ84" s="868"/>
      <c r="AR84" s="868"/>
      <c r="CD84" s="1491"/>
      <c r="CE84" s="1501"/>
      <c r="CF84" s="1491"/>
      <c r="CK84" s="1501">
        <f t="shared" si="3"/>
        <v>23</v>
      </c>
      <c r="CR84" s="1489"/>
      <c r="CS84" s="1489"/>
      <c r="CT84" s="1507"/>
      <c r="CU84" s="1507"/>
      <c r="CV84" s="1507"/>
      <c r="CW84" s="1507"/>
      <c r="CX84" s="1507"/>
      <c r="CY84" s="1507"/>
      <c r="CZ84" s="1507"/>
      <c r="DA84" s="1507"/>
      <c r="DB84" s="1507"/>
      <c r="DS84" s="841"/>
      <c r="DT84" s="841"/>
      <c r="DU84" s="841"/>
      <c r="DV84" s="841"/>
      <c r="DW84" s="841"/>
      <c r="DX84" s="841"/>
      <c r="DY84" s="841"/>
      <c r="DZ84" s="841"/>
      <c r="EA84" s="841"/>
      <c r="EB84" s="841"/>
      <c r="EC84" s="841"/>
      <c r="ED84" s="841"/>
      <c r="EE84" s="841"/>
      <c r="EF84" s="841"/>
      <c r="EG84" s="841"/>
      <c r="EH84" s="841"/>
      <c r="EI84" s="841"/>
      <c r="EJ84" s="841"/>
      <c r="EK84" s="841"/>
      <c r="EL84" s="841"/>
      <c r="EM84" s="841"/>
      <c r="EN84" s="841"/>
      <c r="EO84" s="841"/>
      <c r="EP84" s="841"/>
      <c r="EQ84" s="841"/>
      <c r="ER84" s="841"/>
      <c r="ES84" s="841"/>
      <c r="ET84" s="841"/>
      <c r="EU84" s="841"/>
      <c r="EV84" s="841"/>
      <c r="EW84" s="841"/>
      <c r="EX84" s="841"/>
      <c r="EY84" s="841"/>
      <c r="EZ84" s="841"/>
      <c r="FA84" s="841"/>
      <c r="FB84" s="841"/>
      <c r="FC84" s="841"/>
      <c r="FD84" s="841"/>
      <c r="FE84" s="841"/>
      <c r="FF84" s="841"/>
      <c r="FG84" s="841"/>
      <c r="FH84" s="841"/>
      <c r="FI84" s="841"/>
      <c r="FJ84" s="841"/>
      <c r="FK84" s="841"/>
      <c r="FL84" s="841"/>
      <c r="FM84" s="841"/>
      <c r="FN84" s="841"/>
      <c r="FO84" s="841"/>
      <c r="FP84" s="841"/>
      <c r="FQ84" s="841"/>
      <c r="FR84" s="841"/>
      <c r="FS84" s="841"/>
      <c r="FT84" s="841"/>
      <c r="FU84" s="841"/>
      <c r="FV84" s="841"/>
      <c r="FW84" s="841"/>
      <c r="FX84" s="841"/>
      <c r="FY84" s="841"/>
      <c r="FZ84" s="841"/>
      <c r="GA84" s="841"/>
      <c r="GB84" s="841"/>
      <c r="GC84" s="841"/>
      <c r="GD84" s="841"/>
      <c r="GE84" s="841"/>
      <c r="GF84" s="841"/>
      <c r="GG84" s="841"/>
      <c r="GH84" s="841"/>
      <c r="GI84" s="841"/>
      <c r="GJ84" s="841"/>
      <c r="GK84" s="841"/>
      <c r="GL84" s="841"/>
      <c r="GM84" s="841"/>
      <c r="GN84" s="841"/>
      <c r="GO84" s="841"/>
      <c r="GP84" s="841"/>
      <c r="GQ84" s="841"/>
      <c r="GR84" s="841"/>
      <c r="GS84" s="841"/>
      <c r="GT84" s="841"/>
      <c r="GU84" s="841"/>
      <c r="GV84" s="841"/>
      <c r="GW84" s="841"/>
      <c r="GX84" s="841"/>
      <c r="GY84" s="841"/>
      <c r="GZ84" s="841"/>
      <c r="HA84" s="841"/>
      <c r="HB84" s="841"/>
      <c r="HC84" s="841"/>
      <c r="HD84" s="841"/>
      <c r="HE84" s="841"/>
      <c r="HF84" s="841"/>
      <c r="HG84" s="841"/>
      <c r="HH84" s="841"/>
      <c r="HI84" s="841"/>
      <c r="HJ84" s="841"/>
      <c r="HK84" s="841"/>
      <c r="HL84" s="841"/>
      <c r="HM84" s="841"/>
      <c r="HN84" s="841"/>
      <c r="HO84" s="841"/>
    </row>
    <row r="85" spans="2:223" ht="20.45" customHeight="1">
      <c r="R85" s="881"/>
      <c r="T85" s="883"/>
      <c r="V85" s="2181"/>
      <c r="W85" s="2181"/>
      <c r="X85" s="2181"/>
      <c r="Y85" s="2181"/>
      <c r="Z85" s="2181"/>
      <c r="AA85" s="2181"/>
      <c r="AB85" s="2181"/>
      <c r="AC85" s="2181"/>
      <c r="AD85" s="2181"/>
      <c r="AE85" s="2181"/>
      <c r="AF85" s="2181"/>
      <c r="AG85" s="2181"/>
      <c r="AH85" s="2181"/>
      <c r="AJ85" s="1349"/>
      <c r="AM85" s="868"/>
      <c r="AN85" s="868"/>
      <c r="AO85" s="868"/>
      <c r="AP85" s="868"/>
      <c r="AQ85" s="868"/>
      <c r="AR85" s="868"/>
      <c r="CD85" s="1491"/>
      <c r="CE85" s="1501"/>
      <c r="CF85" s="1491"/>
      <c r="CK85" s="1501">
        <f t="shared" si="3"/>
        <v>24</v>
      </c>
      <c r="CR85" s="1489"/>
      <c r="CS85" s="1489"/>
      <c r="CT85" s="1507"/>
      <c r="CU85" s="1507"/>
      <c r="CV85" s="1507"/>
      <c r="CW85" s="1507"/>
      <c r="CX85" s="1507"/>
      <c r="CY85" s="1507"/>
      <c r="CZ85" s="1507"/>
      <c r="DA85" s="1507"/>
      <c r="DB85" s="1507"/>
      <c r="DS85" s="841"/>
      <c r="DT85" s="841"/>
      <c r="DU85" s="841"/>
      <c r="DV85" s="841"/>
      <c r="DW85" s="841"/>
      <c r="DX85" s="841"/>
      <c r="DY85" s="841"/>
      <c r="DZ85" s="841"/>
      <c r="EA85" s="841"/>
      <c r="EB85" s="841"/>
      <c r="EC85" s="841"/>
      <c r="ED85" s="841"/>
      <c r="EE85" s="841"/>
      <c r="EF85" s="841"/>
      <c r="EG85" s="841"/>
      <c r="EH85" s="841"/>
      <c r="EI85" s="841"/>
      <c r="EJ85" s="841"/>
      <c r="EK85" s="841"/>
      <c r="EL85" s="841"/>
      <c r="EM85" s="841"/>
      <c r="EN85" s="841"/>
      <c r="EO85" s="841"/>
      <c r="EP85" s="841"/>
      <c r="EQ85" s="841"/>
      <c r="ER85" s="841"/>
      <c r="ES85" s="841"/>
      <c r="ET85" s="841"/>
      <c r="EU85" s="841"/>
      <c r="EV85" s="841"/>
      <c r="EW85" s="841"/>
      <c r="EX85" s="841"/>
      <c r="EY85" s="841"/>
      <c r="EZ85" s="841"/>
      <c r="FA85" s="841"/>
      <c r="FB85" s="841"/>
      <c r="FC85" s="841"/>
      <c r="FD85" s="841"/>
      <c r="FE85" s="841"/>
      <c r="FF85" s="841"/>
      <c r="FG85" s="841"/>
      <c r="FH85" s="841"/>
      <c r="FI85" s="841"/>
      <c r="FJ85" s="841"/>
      <c r="FK85" s="841"/>
      <c r="FL85" s="841"/>
      <c r="FM85" s="841"/>
      <c r="FN85" s="841"/>
      <c r="FO85" s="841"/>
      <c r="FP85" s="841"/>
      <c r="FQ85" s="841"/>
      <c r="FR85" s="841"/>
      <c r="FS85" s="841"/>
      <c r="FT85" s="841"/>
      <c r="FU85" s="841"/>
      <c r="FV85" s="841"/>
      <c r="FW85" s="841"/>
      <c r="FX85" s="841"/>
      <c r="FY85" s="841"/>
      <c r="FZ85" s="841"/>
      <c r="GA85" s="841"/>
      <c r="GB85" s="841"/>
      <c r="GC85" s="841"/>
      <c r="GD85" s="841"/>
      <c r="GE85" s="841"/>
      <c r="GF85" s="841"/>
      <c r="GG85" s="841"/>
      <c r="GH85" s="841"/>
      <c r="GI85" s="841"/>
      <c r="GJ85" s="841"/>
      <c r="GK85" s="841"/>
      <c r="GL85" s="841"/>
      <c r="GM85" s="841"/>
      <c r="GN85" s="841"/>
      <c r="GO85" s="841"/>
      <c r="GP85" s="841"/>
      <c r="GQ85" s="841"/>
      <c r="GR85" s="841"/>
      <c r="GS85" s="841"/>
      <c r="GT85" s="841"/>
      <c r="GU85" s="841"/>
      <c r="GV85" s="841"/>
      <c r="GW85" s="841"/>
      <c r="GX85" s="841"/>
      <c r="GY85" s="841"/>
      <c r="GZ85" s="841"/>
      <c r="HA85" s="841"/>
      <c r="HB85" s="841"/>
      <c r="HC85" s="841"/>
      <c r="HD85" s="841"/>
      <c r="HE85" s="841"/>
      <c r="HF85" s="841"/>
      <c r="HG85" s="841"/>
      <c r="HH85" s="841"/>
      <c r="HI85" s="841"/>
      <c r="HJ85" s="841"/>
      <c r="HK85" s="841"/>
      <c r="HL85" s="841"/>
      <c r="HM85" s="841"/>
      <c r="HN85" s="841"/>
      <c r="HO85" s="841"/>
    </row>
    <row r="86" spans="2:223" ht="18" customHeight="1">
      <c r="V86" s="2181"/>
      <c r="W86" s="2181"/>
      <c r="X86" s="2181"/>
      <c r="Y86" s="2181"/>
      <c r="Z86" s="2181"/>
      <c r="AA86" s="2181"/>
      <c r="AB86" s="2181"/>
      <c r="AC86" s="2181"/>
      <c r="AD86" s="2181"/>
      <c r="AE86" s="2181"/>
      <c r="AF86" s="2181"/>
      <c r="AG86" s="2181"/>
      <c r="AH86" s="2181"/>
      <c r="AM86" s="868"/>
      <c r="AN86" s="868"/>
      <c r="AO86" s="868"/>
      <c r="AP86" s="868"/>
      <c r="AQ86" s="868"/>
      <c r="AR86" s="868"/>
      <c r="CD86" s="1491"/>
      <c r="CE86" s="1501"/>
      <c r="CF86" s="1491"/>
      <c r="CK86" s="1501">
        <f t="shared" si="3"/>
        <v>25</v>
      </c>
      <c r="CR86" s="1489"/>
      <c r="CS86" s="1489"/>
      <c r="CT86" s="1507"/>
      <c r="CU86" s="1507"/>
      <c r="CV86" s="1507"/>
      <c r="CW86" s="1507"/>
      <c r="CX86" s="1507"/>
      <c r="CY86" s="1507"/>
      <c r="CZ86" s="1507"/>
      <c r="DA86" s="1507"/>
      <c r="DB86" s="1507"/>
      <c r="DS86" s="841"/>
      <c r="DT86" s="841"/>
      <c r="DU86" s="841"/>
      <c r="DV86" s="841"/>
      <c r="DW86" s="841"/>
      <c r="DX86" s="841"/>
      <c r="DY86" s="841"/>
      <c r="DZ86" s="841"/>
      <c r="EA86" s="841"/>
      <c r="EB86" s="841"/>
      <c r="EC86" s="841"/>
      <c r="ED86" s="841"/>
      <c r="EE86" s="841"/>
      <c r="EF86" s="841"/>
      <c r="EG86" s="841"/>
      <c r="EH86" s="841"/>
      <c r="EI86" s="841"/>
      <c r="EJ86" s="841"/>
      <c r="EK86" s="841"/>
      <c r="EL86" s="841"/>
      <c r="EM86" s="841"/>
      <c r="EN86" s="841"/>
      <c r="EO86" s="841"/>
      <c r="EP86" s="841"/>
      <c r="EQ86" s="841"/>
      <c r="ER86" s="841"/>
      <c r="ES86" s="841"/>
      <c r="ET86" s="841"/>
      <c r="EU86" s="841"/>
      <c r="EV86" s="841"/>
      <c r="EW86" s="841"/>
      <c r="EX86" s="841"/>
      <c r="EY86" s="841"/>
      <c r="EZ86" s="841"/>
      <c r="FA86" s="841"/>
      <c r="FB86" s="841"/>
      <c r="FC86" s="841"/>
      <c r="FD86" s="841"/>
      <c r="FE86" s="841"/>
      <c r="FF86" s="841"/>
      <c r="FG86" s="841"/>
      <c r="FH86" s="841"/>
      <c r="FI86" s="841"/>
      <c r="FJ86" s="841"/>
      <c r="FK86" s="841"/>
      <c r="FL86" s="841"/>
      <c r="FM86" s="841"/>
      <c r="FN86" s="841"/>
      <c r="FO86" s="841"/>
      <c r="FP86" s="841"/>
      <c r="FQ86" s="841"/>
      <c r="FR86" s="841"/>
      <c r="FS86" s="841"/>
      <c r="FT86" s="841"/>
      <c r="FU86" s="841"/>
      <c r="FV86" s="841"/>
      <c r="FW86" s="841"/>
      <c r="FX86" s="841"/>
      <c r="FY86" s="841"/>
      <c r="FZ86" s="841"/>
      <c r="GA86" s="841"/>
      <c r="GB86" s="841"/>
      <c r="GC86" s="841"/>
      <c r="GD86" s="841"/>
      <c r="GE86" s="841"/>
      <c r="GF86" s="841"/>
      <c r="GG86" s="841"/>
      <c r="GH86" s="841"/>
      <c r="GI86" s="841"/>
      <c r="GJ86" s="841"/>
      <c r="GK86" s="841"/>
      <c r="GL86" s="841"/>
      <c r="GM86" s="841"/>
      <c r="GN86" s="841"/>
      <c r="GO86" s="841"/>
      <c r="GP86" s="841"/>
      <c r="GQ86" s="841"/>
      <c r="GR86" s="841"/>
      <c r="GS86" s="841"/>
      <c r="GT86" s="841"/>
      <c r="GU86" s="841"/>
      <c r="GV86" s="841"/>
      <c r="GW86" s="841"/>
      <c r="GX86" s="841"/>
      <c r="GY86" s="841"/>
      <c r="GZ86" s="841"/>
      <c r="HA86" s="841"/>
      <c r="HB86" s="841"/>
      <c r="HC86" s="841"/>
      <c r="HD86" s="841"/>
      <c r="HE86" s="841"/>
      <c r="HF86" s="841"/>
      <c r="HG86" s="841"/>
      <c r="HH86" s="841"/>
      <c r="HI86" s="841"/>
      <c r="HJ86" s="841"/>
      <c r="HK86" s="841"/>
      <c r="HL86" s="841"/>
      <c r="HM86" s="841"/>
      <c r="HN86" s="841"/>
      <c r="HO86" s="841"/>
    </row>
    <row r="87" spans="2:223">
      <c r="B87" s="959" t="s">
        <v>408</v>
      </c>
      <c r="C87" s="959"/>
      <c r="D87" s="959"/>
      <c r="E87" s="959"/>
      <c r="F87" s="959"/>
      <c r="G87" s="959"/>
      <c r="H87" s="959"/>
      <c r="I87" s="959"/>
      <c r="J87" s="959"/>
      <c r="K87" s="959"/>
      <c r="L87" s="959"/>
      <c r="M87" s="959"/>
      <c r="N87" s="959"/>
      <c r="O87" s="959"/>
      <c r="P87" s="959"/>
      <c r="Q87" s="959"/>
      <c r="R87" s="959"/>
      <c r="S87" s="959"/>
      <c r="T87" s="959"/>
      <c r="U87" s="959"/>
      <c r="V87" s="2181"/>
      <c r="W87" s="2181"/>
      <c r="X87" s="2181"/>
      <c r="Y87" s="2181"/>
      <c r="Z87" s="2181"/>
      <c r="AA87" s="2181"/>
      <c r="AB87" s="2181"/>
      <c r="AC87" s="2181"/>
      <c r="AD87" s="2181"/>
      <c r="AE87" s="2181"/>
      <c r="AF87" s="2181"/>
      <c r="AG87" s="2181"/>
      <c r="AH87" s="2181"/>
      <c r="AM87" s="868"/>
      <c r="AN87" s="868"/>
      <c r="AO87" s="868"/>
      <c r="AP87" s="868"/>
      <c r="AQ87" s="868"/>
      <c r="AR87" s="868"/>
      <c r="CD87" s="1491"/>
      <c r="CE87" s="1501"/>
      <c r="CF87" s="1491"/>
      <c r="CK87" s="1501">
        <f t="shared" si="3"/>
        <v>26</v>
      </c>
      <c r="CR87" s="1489"/>
      <c r="CS87" s="1489"/>
      <c r="CT87" s="1507"/>
      <c r="CU87" s="1507"/>
      <c r="CV87" s="1507"/>
      <c r="CW87" s="1507"/>
      <c r="CX87" s="1507"/>
      <c r="CY87" s="1507"/>
      <c r="CZ87" s="1507"/>
      <c r="DA87" s="1507"/>
      <c r="DB87" s="1507"/>
      <c r="DS87" s="841"/>
      <c r="DT87" s="841"/>
      <c r="DU87" s="841"/>
      <c r="DV87" s="841"/>
      <c r="DW87" s="841"/>
      <c r="DX87" s="841"/>
      <c r="DY87" s="841"/>
      <c r="DZ87" s="841"/>
      <c r="EA87" s="841"/>
      <c r="EB87" s="841"/>
      <c r="EC87" s="841"/>
      <c r="ED87" s="841"/>
      <c r="EE87" s="841"/>
      <c r="EF87" s="841"/>
      <c r="EG87" s="841"/>
      <c r="EH87" s="841"/>
      <c r="EI87" s="841"/>
      <c r="EJ87" s="841"/>
      <c r="EK87" s="841"/>
      <c r="EL87" s="841"/>
      <c r="EM87" s="841"/>
      <c r="EN87" s="841"/>
      <c r="EO87" s="841"/>
      <c r="EP87" s="841"/>
      <c r="EQ87" s="841"/>
      <c r="ER87" s="841"/>
      <c r="ES87" s="841"/>
      <c r="ET87" s="841"/>
      <c r="EU87" s="841"/>
      <c r="EV87" s="841"/>
      <c r="EW87" s="841"/>
      <c r="EX87" s="841"/>
      <c r="EY87" s="841"/>
      <c r="EZ87" s="841"/>
      <c r="FA87" s="841"/>
      <c r="FB87" s="841"/>
      <c r="FC87" s="841"/>
      <c r="FD87" s="841"/>
      <c r="FE87" s="841"/>
      <c r="FF87" s="841"/>
      <c r="FG87" s="841"/>
      <c r="FH87" s="841"/>
      <c r="FI87" s="841"/>
      <c r="FJ87" s="841"/>
      <c r="FK87" s="841"/>
      <c r="FL87" s="841"/>
      <c r="FM87" s="841"/>
      <c r="FN87" s="841"/>
      <c r="FO87" s="841"/>
      <c r="FP87" s="841"/>
      <c r="FQ87" s="841"/>
      <c r="FR87" s="841"/>
      <c r="FS87" s="841"/>
      <c r="FT87" s="841"/>
      <c r="FU87" s="841"/>
      <c r="FV87" s="841"/>
      <c r="FW87" s="841"/>
      <c r="FX87" s="841"/>
      <c r="FY87" s="841"/>
      <c r="FZ87" s="841"/>
      <c r="GA87" s="841"/>
      <c r="GB87" s="841"/>
      <c r="GC87" s="841"/>
      <c r="GD87" s="841"/>
      <c r="GE87" s="841"/>
      <c r="GF87" s="841"/>
      <c r="GG87" s="841"/>
      <c r="GH87" s="841"/>
      <c r="GI87" s="841"/>
      <c r="GJ87" s="841"/>
      <c r="GK87" s="841"/>
      <c r="GL87" s="841"/>
      <c r="GM87" s="841"/>
      <c r="GN87" s="841"/>
      <c r="GO87" s="841"/>
      <c r="GP87" s="841"/>
      <c r="GQ87" s="841"/>
      <c r="GR87" s="841"/>
      <c r="GS87" s="841"/>
      <c r="GT87" s="841"/>
      <c r="GU87" s="841"/>
      <c r="GV87" s="841"/>
      <c r="GW87" s="841"/>
      <c r="GX87" s="841"/>
      <c r="GY87" s="841"/>
      <c r="GZ87" s="841"/>
      <c r="HA87" s="841"/>
      <c r="HB87" s="841"/>
      <c r="HC87" s="841"/>
      <c r="HD87" s="841"/>
      <c r="HE87" s="841"/>
      <c r="HF87" s="841"/>
      <c r="HG87" s="841"/>
      <c r="HH87" s="841"/>
      <c r="HI87" s="841"/>
      <c r="HJ87" s="841"/>
      <c r="HK87" s="841"/>
      <c r="HL87" s="841"/>
      <c r="HM87" s="841"/>
      <c r="HN87" s="841"/>
      <c r="HO87" s="841"/>
    </row>
    <row r="88" spans="2:223" ht="15" thickBot="1">
      <c r="V88" s="2181"/>
      <c r="W88" s="2181"/>
      <c r="X88" s="2181"/>
      <c r="Y88" s="2181"/>
      <c r="Z88" s="2181"/>
      <c r="AA88" s="2181"/>
      <c r="AB88" s="2181"/>
      <c r="AC88" s="2181"/>
      <c r="AD88" s="2181"/>
      <c r="AE88" s="2181"/>
      <c r="AF88" s="2181"/>
      <c r="AG88" s="2181"/>
      <c r="AH88" s="2181"/>
      <c r="AM88" s="868"/>
      <c r="AN88" s="868"/>
      <c r="AO88" s="868"/>
      <c r="AP88" s="868"/>
      <c r="AQ88" s="868"/>
      <c r="AR88" s="868"/>
      <c r="CD88" s="1491"/>
      <c r="CE88" s="1501"/>
      <c r="CF88" s="1491"/>
      <c r="CK88" s="1501">
        <f t="shared" si="3"/>
        <v>27</v>
      </c>
      <c r="CR88" s="1489"/>
      <c r="CS88" s="1489"/>
      <c r="CT88" s="1507"/>
      <c r="CU88" s="1507"/>
      <c r="CV88" s="1507"/>
      <c r="CW88" s="1507"/>
      <c r="CX88" s="1507"/>
      <c r="CY88" s="1507"/>
      <c r="CZ88" s="1507"/>
      <c r="DA88" s="1507"/>
      <c r="DB88" s="1507"/>
      <c r="DS88" s="841"/>
      <c r="DT88" s="841"/>
      <c r="DU88" s="841"/>
      <c r="DV88" s="841"/>
      <c r="DW88" s="841"/>
      <c r="DX88" s="841"/>
      <c r="DY88" s="841"/>
      <c r="DZ88" s="841"/>
      <c r="EA88" s="841"/>
      <c r="EB88" s="841"/>
      <c r="EC88" s="841"/>
      <c r="ED88" s="841"/>
      <c r="EE88" s="841"/>
      <c r="EF88" s="841"/>
      <c r="EG88" s="841"/>
      <c r="EH88" s="841"/>
      <c r="EI88" s="841"/>
      <c r="EJ88" s="841"/>
      <c r="EK88" s="841"/>
      <c r="EL88" s="841"/>
      <c r="EM88" s="841"/>
      <c r="EN88" s="841"/>
      <c r="EO88" s="841"/>
      <c r="EP88" s="841"/>
      <c r="EQ88" s="841"/>
      <c r="ER88" s="841"/>
      <c r="ES88" s="841"/>
      <c r="ET88" s="841"/>
      <c r="EU88" s="841"/>
      <c r="EV88" s="841"/>
      <c r="EW88" s="841"/>
      <c r="EX88" s="841"/>
      <c r="EY88" s="841"/>
      <c r="EZ88" s="841"/>
      <c r="FA88" s="841"/>
      <c r="FB88" s="841"/>
      <c r="FC88" s="841"/>
      <c r="FD88" s="841"/>
      <c r="FE88" s="841"/>
      <c r="FF88" s="841"/>
      <c r="FG88" s="841"/>
      <c r="FH88" s="841"/>
      <c r="FI88" s="841"/>
      <c r="FJ88" s="841"/>
      <c r="FK88" s="841"/>
      <c r="FL88" s="841"/>
      <c r="FM88" s="841"/>
      <c r="FN88" s="841"/>
      <c r="FO88" s="841"/>
      <c r="FP88" s="841"/>
      <c r="FQ88" s="841"/>
      <c r="FR88" s="841"/>
      <c r="FS88" s="841"/>
      <c r="FT88" s="841"/>
      <c r="FU88" s="841"/>
      <c r="FV88" s="841"/>
      <c r="FW88" s="841"/>
      <c r="FX88" s="841"/>
      <c r="FY88" s="841"/>
      <c r="FZ88" s="841"/>
      <c r="GA88" s="841"/>
      <c r="GB88" s="841"/>
      <c r="GC88" s="841"/>
      <c r="GD88" s="841"/>
      <c r="GE88" s="841"/>
      <c r="GF88" s="841"/>
      <c r="GG88" s="841"/>
      <c r="GH88" s="841"/>
      <c r="GI88" s="841"/>
      <c r="GJ88" s="841"/>
      <c r="GK88" s="841"/>
      <c r="GL88" s="841"/>
      <c r="GM88" s="841"/>
      <c r="GN88" s="841"/>
      <c r="GO88" s="841"/>
      <c r="GP88" s="841"/>
      <c r="GQ88" s="841"/>
      <c r="GR88" s="841"/>
      <c r="GS88" s="841"/>
      <c r="GT88" s="841"/>
      <c r="GU88" s="841"/>
      <c r="GV88" s="841"/>
      <c r="GW88" s="841"/>
      <c r="GX88" s="841"/>
      <c r="GY88" s="841"/>
      <c r="GZ88" s="841"/>
      <c r="HA88" s="841"/>
      <c r="HB88" s="841"/>
      <c r="HC88" s="841"/>
      <c r="HD88" s="841"/>
      <c r="HE88" s="841"/>
      <c r="HF88" s="841"/>
      <c r="HG88" s="841"/>
      <c r="HH88" s="841"/>
      <c r="HI88" s="841"/>
      <c r="HJ88" s="841"/>
      <c r="HK88" s="841"/>
      <c r="HL88" s="841"/>
      <c r="HM88" s="841"/>
      <c r="HN88" s="841"/>
      <c r="HO88" s="841"/>
    </row>
    <row r="89" spans="2:223" ht="39.75" customHeight="1" thickBot="1">
      <c r="B89" s="1208" t="s">
        <v>406</v>
      </c>
      <c r="C89" s="1209"/>
      <c r="D89" s="1208" t="s">
        <v>193</v>
      </c>
      <c r="E89" s="1212"/>
      <c r="F89" s="2107" t="s">
        <v>1080</v>
      </c>
      <c r="G89" s="2108"/>
      <c r="H89" s="2109"/>
      <c r="I89" s="1212"/>
      <c r="J89" s="1211" t="s">
        <v>389</v>
      </c>
      <c r="K89" s="1212"/>
      <c r="L89" s="1235" t="s">
        <v>295</v>
      </c>
      <c r="V89" s="2181"/>
      <c r="W89" s="2181"/>
      <c r="X89" s="2181"/>
      <c r="Y89" s="2181"/>
      <c r="Z89" s="2181"/>
      <c r="AA89" s="2181"/>
      <c r="AB89" s="2181"/>
      <c r="AC89" s="2181"/>
      <c r="AD89" s="2181"/>
      <c r="AE89" s="2181"/>
      <c r="AF89" s="2181"/>
      <c r="AG89" s="2181"/>
      <c r="AH89" s="2181"/>
      <c r="AM89" s="868"/>
      <c r="AN89" s="868"/>
      <c r="AO89" s="868"/>
      <c r="AP89" s="868"/>
      <c r="AQ89" s="868"/>
      <c r="AR89" s="868"/>
      <c r="CD89" s="1491"/>
      <c r="CE89" s="1501"/>
      <c r="CF89" s="1491"/>
      <c r="CK89" s="1501">
        <f t="shared" si="3"/>
        <v>28</v>
      </c>
      <c r="CR89" s="1489"/>
      <c r="CS89" s="1489"/>
      <c r="CT89" s="1507"/>
      <c r="CU89" s="1507"/>
      <c r="CV89" s="1507"/>
      <c r="CW89" s="1507"/>
      <c r="CX89" s="1507"/>
      <c r="CY89" s="1507"/>
      <c r="CZ89" s="1507"/>
      <c r="DA89" s="1507"/>
      <c r="DB89" s="1507"/>
      <c r="DS89" s="841"/>
      <c r="DT89" s="841"/>
      <c r="DU89" s="841"/>
      <c r="DV89" s="841"/>
      <c r="DW89" s="841"/>
      <c r="DX89" s="841"/>
      <c r="DY89" s="841"/>
      <c r="DZ89" s="841"/>
      <c r="EA89" s="841"/>
      <c r="EB89" s="841"/>
      <c r="EC89" s="841"/>
      <c r="ED89" s="841"/>
      <c r="EE89" s="841"/>
      <c r="EF89" s="841"/>
      <c r="EG89" s="841"/>
      <c r="EH89" s="841"/>
      <c r="EI89" s="841"/>
      <c r="EJ89" s="841"/>
      <c r="EK89" s="841"/>
      <c r="EL89" s="841"/>
      <c r="EM89" s="841"/>
      <c r="EN89" s="841"/>
      <c r="EO89" s="841"/>
      <c r="EP89" s="841"/>
      <c r="EQ89" s="841"/>
      <c r="ER89" s="841"/>
      <c r="ES89" s="841"/>
      <c r="ET89" s="841"/>
      <c r="EU89" s="841"/>
      <c r="EV89" s="841"/>
      <c r="EW89" s="841"/>
      <c r="EX89" s="841"/>
      <c r="EY89" s="841"/>
      <c r="EZ89" s="841"/>
      <c r="FA89" s="841"/>
      <c r="FB89" s="841"/>
      <c r="FC89" s="841"/>
      <c r="FD89" s="841"/>
      <c r="FE89" s="841"/>
      <c r="FF89" s="841"/>
      <c r="FG89" s="841"/>
      <c r="FH89" s="841"/>
      <c r="FI89" s="841"/>
      <c r="FJ89" s="841"/>
      <c r="FK89" s="841"/>
      <c r="FL89" s="841"/>
      <c r="FM89" s="841"/>
      <c r="FN89" s="841"/>
      <c r="FO89" s="841"/>
      <c r="FP89" s="841"/>
      <c r="FQ89" s="841"/>
      <c r="FR89" s="841"/>
      <c r="FS89" s="841"/>
      <c r="FT89" s="841"/>
      <c r="FU89" s="841"/>
      <c r="FV89" s="841"/>
      <c r="FW89" s="841"/>
      <c r="FX89" s="841"/>
      <c r="FY89" s="841"/>
      <c r="FZ89" s="841"/>
      <c r="GA89" s="841"/>
      <c r="GB89" s="841"/>
      <c r="GC89" s="841"/>
      <c r="GD89" s="841"/>
      <c r="GE89" s="841"/>
      <c r="GF89" s="841"/>
      <c r="GG89" s="841"/>
      <c r="GH89" s="841"/>
      <c r="GI89" s="841"/>
      <c r="GJ89" s="841"/>
      <c r="GK89" s="841"/>
      <c r="GL89" s="841"/>
      <c r="GM89" s="841"/>
      <c r="GN89" s="841"/>
      <c r="GO89" s="841"/>
      <c r="GP89" s="841"/>
      <c r="GQ89" s="841"/>
      <c r="GR89" s="841"/>
      <c r="GS89" s="841"/>
      <c r="GT89" s="841"/>
      <c r="GU89" s="841"/>
      <c r="GV89" s="841"/>
      <c r="GW89" s="841"/>
      <c r="GX89" s="841"/>
      <c r="GY89" s="841"/>
      <c r="GZ89" s="841"/>
      <c r="HA89" s="841"/>
      <c r="HB89" s="841"/>
      <c r="HC89" s="841"/>
      <c r="HD89" s="841"/>
      <c r="HE89" s="841"/>
      <c r="HF89" s="841"/>
      <c r="HG89" s="841"/>
      <c r="HH89" s="841"/>
      <c r="HI89" s="841"/>
      <c r="HJ89" s="841"/>
      <c r="HK89" s="841"/>
      <c r="HL89" s="841"/>
      <c r="HM89" s="841"/>
      <c r="HN89" s="841"/>
      <c r="HO89" s="841"/>
    </row>
    <row r="90" spans="2:223" ht="9.75" customHeight="1">
      <c r="B90" s="1212"/>
      <c r="C90" s="1212"/>
      <c r="D90" s="1212"/>
      <c r="E90" s="1212"/>
      <c r="F90" s="1212"/>
      <c r="G90" s="1212"/>
      <c r="H90" s="1212"/>
      <c r="I90" s="1212"/>
      <c r="J90" s="1212"/>
      <c r="K90" s="1212"/>
      <c r="L90" s="1212"/>
      <c r="V90" s="2181"/>
      <c r="W90" s="2181"/>
      <c r="X90" s="2181"/>
      <c r="Y90" s="2181"/>
      <c r="Z90" s="2181"/>
      <c r="AA90" s="2181"/>
      <c r="AB90" s="2181"/>
      <c r="AC90" s="2181"/>
      <c r="AD90" s="2181"/>
      <c r="AE90" s="2181"/>
      <c r="AF90" s="2181"/>
      <c r="AG90" s="2181"/>
      <c r="AH90" s="2181"/>
      <c r="AM90" s="868"/>
      <c r="AN90" s="868"/>
      <c r="AO90" s="868"/>
      <c r="AP90" s="868"/>
      <c r="AQ90" s="868"/>
      <c r="AR90" s="868"/>
      <c r="CD90" s="1491"/>
      <c r="CE90" s="1501"/>
      <c r="CF90" s="1491"/>
      <c r="CK90" s="1501">
        <f t="shared" si="3"/>
        <v>29</v>
      </c>
      <c r="CR90" s="1489"/>
      <c r="CS90" s="1489"/>
      <c r="CT90" s="1507"/>
      <c r="CU90" s="1507"/>
      <c r="CV90" s="1507"/>
      <c r="CW90" s="1507"/>
      <c r="CX90" s="1507"/>
      <c r="CY90" s="1507"/>
      <c r="CZ90" s="1507"/>
      <c r="DA90" s="1507"/>
      <c r="DB90" s="1507"/>
      <c r="DS90" s="841"/>
      <c r="DT90" s="841"/>
      <c r="DU90" s="841"/>
      <c r="DV90" s="841"/>
      <c r="DW90" s="841"/>
      <c r="DX90" s="841"/>
      <c r="DY90" s="841"/>
      <c r="DZ90" s="841"/>
      <c r="EA90" s="841"/>
      <c r="EB90" s="841"/>
      <c r="EC90" s="841"/>
      <c r="ED90" s="841"/>
      <c r="EE90" s="841"/>
      <c r="EF90" s="841"/>
      <c r="EG90" s="841"/>
      <c r="EH90" s="841"/>
      <c r="EI90" s="841"/>
      <c r="EJ90" s="841"/>
      <c r="EK90" s="841"/>
      <c r="EL90" s="841"/>
      <c r="EM90" s="841"/>
      <c r="EN90" s="841"/>
      <c r="EO90" s="841"/>
      <c r="EP90" s="841"/>
      <c r="EQ90" s="841"/>
      <c r="ER90" s="841"/>
      <c r="ES90" s="841"/>
      <c r="ET90" s="841"/>
      <c r="EU90" s="841"/>
      <c r="EV90" s="841"/>
      <c r="EW90" s="841"/>
      <c r="EX90" s="841"/>
      <c r="EY90" s="841"/>
      <c r="EZ90" s="841"/>
      <c r="FA90" s="841"/>
      <c r="FB90" s="841"/>
      <c r="FC90" s="841"/>
      <c r="FD90" s="841"/>
      <c r="FE90" s="841"/>
      <c r="FF90" s="841"/>
      <c r="FG90" s="841"/>
      <c r="FH90" s="841"/>
      <c r="FI90" s="841"/>
      <c r="FJ90" s="841"/>
      <c r="FK90" s="841"/>
      <c r="FL90" s="841"/>
      <c r="FM90" s="841"/>
      <c r="FN90" s="841"/>
      <c r="FO90" s="841"/>
      <c r="FP90" s="841"/>
      <c r="FQ90" s="841"/>
      <c r="FR90" s="841"/>
      <c r="FS90" s="841"/>
      <c r="FT90" s="841"/>
      <c r="FU90" s="841"/>
      <c r="FV90" s="841"/>
      <c r="FW90" s="841"/>
      <c r="FX90" s="841"/>
      <c r="FY90" s="841"/>
      <c r="FZ90" s="841"/>
      <c r="GA90" s="841"/>
      <c r="GB90" s="841"/>
      <c r="GC90" s="841"/>
      <c r="GD90" s="841"/>
      <c r="GE90" s="841"/>
      <c r="GF90" s="841"/>
      <c r="GG90" s="841"/>
      <c r="GH90" s="841"/>
      <c r="GI90" s="841"/>
      <c r="GJ90" s="841"/>
      <c r="GK90" s="841"/>
      <c r="GL90" s="841"/>
      <c r="GM90" s="841"/>
      <c r="GN90" s="841"/>
      <c r="GO90" s="841"/>
      <c r="GP90" s="841"/>
      <c r="GQ90" s="841"/>
      <c r="GR90" s="841"/>
      <c r="GS90" s="841"/>
      <c r="GT90" s="841"/>
      <c r="GU90" s="841"/>
      <c r="GV90" s="841"/>
      <c r="GW90" s="841"/>
      <c r="GX90" s="841"/>
      <c r="GY90" s="841"/>
      <c r="GZ90" s="841"/>
      <c r="HA90" s="841"/>
      <c r="HB90" s="841"/>
      <c r="HC90" s="841"/>
      <c r="HD90" s="841"/>
      <c r="HE90" s="841"/>
      <c r="HF90" s="841"/>
      <c r="HG90" s="841"/>
      <c r="HH90" s="841"/>
      <c r="HI90" s="841"/>
      <c r="HJ90" s="841"/>
      <c r="HK90" s="841"/>
      <c r="HL90" s="841"/>
      <c r="HM90" s="841"/>
      <c r="HN90" s="841"/>
      <c r="HO90" s="841"/>
    </row>
    <row r="91" spans="2:223" ht="21" customHeight="1" thickBot="1">
      <c r="B91" s="1206"/>
      <c r="C91" s="1219"/>
      <c r="D91" s="1206"/>
      <c r="E91" s="1212"/>
      <c r="F91" s="2104"/>
      <c r="G91" s="2105"/>
      <c r="H91" s="2106"/>
      <c r="I91" s="1212"/>
      <c r="J91" s="1233">
        <f>IF(ISBLANK(F91),0,IF(OR($D$17&lt;&gt;"Preaprobadas",AND($Q$26&gt;0,$J$17="Cartera Orange")),VLOOKUP(F91,Calculos_cuotas!$K$9:$L$16,2,FALSE),IF($J$17="Cartera Orange", IF(ISBLANK(F91),0,VLOOKUP(F91,$N$21:$P$25,3,FALSE)),VLOOKUP(F91,Calculos_cuotas!$A$258:$E$263,1+Calculos_cuotas!$B$264,FALSE))))</f>
        <v>0</v>
      </c>
      <c r="K91" s="1212"/>
      <c r="L91" s="1233">
        <f>IF($D$77=1,"N/D", D91*J91)</f>
        <v>0</v>
      </c>
      <c r="N91" s="954">
        <f>IF(P91=1,L91,0)</f>
        <v>0</v>
      </c>
      <c r="O91" s="868"/>
      <c r="P91" s="868">
        <f>IF(F91="4G en tu negocio", 1,0)</f>
        <v>0</v>
      </c>
      <c r="V91" s="2181"/>
      <c r="W91" s="2181"/>
      <c r="X91" s="2181"/>
      <c r="Y91" s="2181"/>
      <c r="Z91" s="2181"/>
      <c r="AA91" s="2181"/>
      <c r="AB91" s="2181"/>
      <c r="AC91" s="2181"/>
      <c r="AD91" s="2181"/>
      <c r="AE91" s="2181"/>
      <c r="AF91" s="2181"/>
      <c r="AG91" s="2181"/>
      <c r="AH91" s="2181"/>
      <c r="CD91" s="1491"/>
      <c r="CE91" s="1501"/>
      <c r="CF91" s="1491"/>
      <c r="CK91" s="1501">
        <f t="shared" si="3"/>
        <v>30</v>
      </c>
      <c r="CR91" s="1489"/>
      <c r="CS91" s="1489"/>
      <c r="CT91" s="1507"/>
      <c r="CU91" s="1507"/>
      <c r="CV91" s="1507"/>
      <c r="CW91" s="1507"/>
      <c r="CX91" s="1507"/>
      <c r="CY91" s="1507"/>
      <c r="CZ91" s="1507"/>
      <c r="DA91" s="1507"/>
      <c r="DB91" s="1507"/>
      <c r="DS91" s="841"/>
      <c r="DT91" s="841"/>
      <c r="DU91" s="841"/>
      <c r="DV91" s="841"/>
      <c r="DW91" s="841"/>
      <c r="DX91" s="841"/>
      <c r="DY91" s="841"/>
      <c r="DZ91" s="841"/>
      <c r="EA91" s="841"/>
      <c r="EB91" s="841"/>
      <c r="EC91" s="841"/>
      <c r="ED91" s="841"/>
      <c r="EE91" s="841"/>
      <c r="EF91" s="841"/>
      <c r="EG91" s="841"/>
      <c r="EH91" s="841"/>
      <c r="EI91" s="841"/>
      <c r="EJ91" s="841"/>
      <c r="EK91" s="841"/>
      <c r="EL91" s="841"/>
      <c r="EM91" s="841"/>
      <c r="EN91" s="841"/>
      <c r="EO91" s="841"/>
      <c r="EP91" s="841"/>
      <c r="EQ91" s="841"/>
      <c r="ER91" s="841"/>
      <c r="ES91" s="841"/>
      <c r="ET91" s="841"/>
      <c r="EU91" s="841"/>
      <c r="EV91" s="841"/>
      <c r="EW91" s="841"/>
      <c r="EX91" s="841"/>
      <c r="EY91" s="841"/>
      <c r="EZ91" s="841"/>
      <c r="FA91" s="841"/>
      <c r="FB91" s="841"/>
      <c r="FC91" s="841"/>
      <c r="FD91" s="841"/>
      <c r="FE91" s="841"/>
      <c r="FF91" s="841"/>
      <c r="FG91" s="841"/>
      <c r="FH91" s="841"/>
      <c r="FI91" s="841"/>
      <c r="FJ91" s="841"/>
      <c r="FK91" s="841"/>
      <c r="FL91" s="841"/>
      <c r="FM91" s="841"/>
      <c r="FN91" s="841"/>
      <c r="FO91" s="841"/>
      <c r="FP91" s="841"/>
      <c r="FQ91" s="841"/>
      <c r="FR91" s="841"/>
      <c r="FS91" s="841"/>
      <c r="FT91" s="841"/>
      <c r="FU91" s="841"/>
      <c r="FV91" s="841"/>
      <c r="FW91" s="841"/>
      <c r="FX91" s="841"/>
      <c r="FY91" s="841"/>
      <c r="FZ91" s="841"/>
      <c r="GA91" s="841"/>
      <c r="GB91" s="841"/>
      <c r="GC91" s="841"/>
      <c r="GD91" s="841"/>
      <c r="GE91" s="841"/>
      <c r="GF91" s="841"/>
      <c r="GG91" s="841"/>
      <c r="GH91" s="841"/>
      <c r="GI91" s="841"/>
      <c r="GJ91" s="841"/>
      <c r="GK91" s="841"/>
      <c r="GL91" s="841"/>
      <c r="GM91" s="841"/>
      <c r="GN91" s="841"/>
      <c r="GO91" s="841"/>
      <c r="GP91" s="841"/>
      <c r="GQ91" s="841"/>
      <c r="GR91" s="841"/>
      <c r="GS91" s="841"/>
      <c r="GT91" s="841"/>
      <c r="GU91" s="841"/>
      <c r="GV91" s="841"/>
      <c r="GW91" s="841"/>
      <c r="GX91" s="841"/>
      <c r="GY91" s="841"/>
      <c r="GZ91" s="841"/>
      <c r="HA91" s="841"/>
      <c r="HB91" s="841"/>
      <c r="HC91" s="841"/>
      <c r="HD91" s="841"/>
      <c r="HE91" s="841"/>
      <c r="HF91" s="841"/>
      <c r="HG91" s="841"/>
      <c r="HH91" s="841"/>
      <c r="HI91" s="841"/>
      <c r="HJ91" s="841"/>
      <c r="HK91" s="841"/>
      <c r="HL91" s="841"/>
      <c r="HM91" s="841"/>
      <c r="HN91" s="841"/>
      <c r="HO91" s="841"/>
    </row>
    <row r="92" spans="2:223" ht="14.1" customHeight="1" thickTop="1">
      <c r="B92" s="1212"/>
      <c r="C92" s="1212"/>
      <c r="D92" s="1212"/>
      <c r="E92" s="1212"/>
      <c r="F92" s="1212"/>
      <c r="G92" s="1212"/>
      <c r="H92" s="1212"/>
      <c r="I92" s="1212"/>
      <c r="J92" s="1212"/>
      <c r="K92" s="1212"/>
      <c r="L92" s="1212"/>
      <c r="N92" s="868"/>
      <c r="O92" s="868"/>
      <c r="P92" s="868"/>
      <c r="V92" s="2181"/>
      <c r="W92" s="2181"/>
      <c r="X92" s="2181"/>
      <c r="Y92" s="2181"/>
      <c r="Z92" s="2181"/>
      <c r="AA92" s="2181"/>
      <c r="AB92" s="2181"/>
      <c r="AC92" s="2181"/>
      <c r="AD92" s="2181"/>
      <c r="AE92" s="2181"/>
      <c r="AF92" s="2181"/>
      <c r="AG92" s="2181"/>
      <c r="AH92" s="2181"/>
      <c r="CD92" s="1491"/>
      <c r="CE92" s="1501"/>
      <c r="CF92" s="1491"/>
      <c r="CK92" s="1501">
        <f t="shared" si="3"/>
        <v>31</v>
      </c>
      <c r="CR92" s="1489"/>
      <c r="CS92" s="1489"/>
      <c r="CT92" s="1507"/>
      <c r="CU92" s="1507"/>
      <c r="CV92" s="1507"/>
      <c r="CW92" s="1507"/>
      <c r="CX92" s="1507"/>
      <c r="CY92" s="1507"/>
      <c r="CZ92" s="1507"/>
      <c r="DA92" s="1507"/>
      <c r="DB92" s="1507"/>
      <c r="DS92" s="841"/>
      <c r="DT92" s="841"/>
      <c r="DU92" s="841"/>
      <c r="DV92" s="841"/>
      <c r="DW92" s="841"/>
      <c r="DX92" s="841"/>
      <c r="DY92" s="841"/>
      <c r="DZ92" s="841"/>
      <c r="EA92" s="841"/>
      <c r="EB92" s="841"/>
      <c r="EC92" s="841"/>
      <c r="ED92" s="841"/>
      <c r="EE92" s="841"/>
      <c r="EF92" s="841"/>
      <c r="EG92" s="841"/>
      <c r="EH92" s="841"/>
      <c r="EI92" s="841"/>
      <c r="EJ92" s="841"/>
      <c r="EK92" s="841"/>
      <c r="EL92" s="841"/>
      <c r="EM92" s="841"/>
      <c r="EN92" s="841"/>
      <c r="EO92" s="841"/>
      <c r="EP92" s="841"/>
      <c r="EQ92" s="841"/>
      <c r="ER92" s="841"/>
      <c r="ES92" s="841"/>
      <c r="ET92" s="841"/>
      <c r="EU92" s="841"/>
      <c r="EV92" s="841"/>
      <c r="EW92" s="841"/>
      <c r="EX92" s="841"/>
      <c r="EY92" s="841"/>
      <c r="EZ92" s="841"/>
      <c r="FA92" s="841"/>
      <c r="FB92" s="841"/>
      <c r="FC92" s="841"/>
      <c r="FD92" s="841"/>
      <c r="FE92" s="841"/>
      <c r="FF92" s="841"/>
      <c r="FG92" s="841"/>
      <c r="FH92" s="841"/>
      <c r="FI92" s="841"/>
      <c r="FJ92" s="841"/>
      <c r="FK92" s="841"/>
      <c r="FL92" s="841"/>
      <c r="FM92" s="841"/>
      <c r="FN92" s="841"/>
      <c r="FO92" s="841"/>
      <c r="FP92" s="841"/>
      <c r="FQ92" s="841"/>
      <c r="FR92" s="841"/>
      <c r="FS92" s="841"/>
      <c r="FT92" s="841"/>
      <c r="FU92" s="841"/>
      <c r="FV92" s="841"/>
      <c r="FW92" s="841"/>
      <c r="FX92" s="841"/>
      <c r="FY92" s="841"/>
      <c r="FZ92" s="841"/>
      <c r="GA92" s="841"/>
      <c r="GB92" s="841"/>
      <c r="GC92" s="841"/>
      <c r="GD92" s="841"/>
      <c r="GE92" s="841"/>
      <c r="GF92" s="841"/>
      <c r="GG92" s="841"/>
      <c r="GH92" s="841"/>
      <c r="GI92" s="841"/>
      <c r="GJ92" s="841"/>
      <c r="GK92" s="841"/>
      <c r="GL92" s="841"/>
      <c r="GM92" s="841"/>
      <c r="GN92" s="841"/>
      <c r="GO92" s="841"/>
      <c r="GP92" s="841"/>
      <c r="GQ92" s="841"/>
      <c r="GR92" s="841"/>
      <c r="GS92" s="841"/>
      <c r="GT92" s="841"/>
      <c r="GU92" s="841"/>
      <c r="GV92" s="841"/>
      <c r="GW92" s="841"/>
      <c r="GX92" s="841"/>
      <c r="GY92" s="841"/>
      <c r="GZ92" s="841"/>
      <c r="HA92" s="841"/>
      <c r="HB92" s="841"/>
      <c r="HC92" s="841"/>
      <c r="HD92" s="841"/>
      <c r="HE92" s="841"/>
      <c r="HF92" s="841"/>
      <c r="HG92" s="841"/>
      <c r="HH92" s="841"/>
      <c r="HI92" s="841"/>
      <c r="HJ92" s="841"/>
      <c r="HK92" s="841"/>
      <c r="HL92" s="841"/>
      <c r="HM92" s="841"/>
      <c r="HN92" s="841"/>
      <c r="HO92" s="841"/>
    </row>
    <row r="93" spans="2:223" ht="21" customHeight="1" thickBot="1">
      <c r="B93" s="1206"/>
      <c r="C93" s="1219"/>
      <c r="D93" s="1206"/>
      <c r="E93" s="1212"/>
      <c r="F93" s="2104"/>
      <c r="G93" s="2105"/>
      <c r="H93" s="2106"/>
      <c r="I93" s="1212"/>
      <c r="J93" s="1233">
        <f>IF(ISBLANK(F93),0,IF(OR($D$17&lt;&gt;"Preaprobadas",AND($Q$26&gt;0,$J$17="Cartera Orange")),VLOOKUP(F93,Calculos_cuotas!$K$9:$L$16,2,FALSE),IF($J$17="Cartera Orange", IF(ISBLANK(F93),0,VLOOKUP(F93,$N$21:$P$25,3,FALSE)),VLOOKUP(F93,Calculos_cuotas!$A$258:$E$263,1+Calculos_cuotas!$B$264,FALSE))))</f>
        <v>0</v>
      </c>
      <c r="K93" s="1212"/>
      <c r="L93" s="1233">
        <f>IF($D$77=1,"N/D", D93*J93)</f>
        <v>0</v>
      </c>
      <c r="N93" s="954">
        <f>IF(P93=1,L93,0)</f>
        <v>0</v>
      </c>
      <c r="O93" s="868"/>
      <c r="P93" s="868">
        <f>IF(F93="4G en tu negocio", 1,0)</f>
        <v>0</v>
      </c>
      <c r="V93" s="2181"/>
      <c r="W93" s="2181"/>
      <c r="X93" s="2181"/>
      <c r="Y93" s="2181"/>
      <c r="Z93" s="2181"/>
      <c r="AA93" s="2181"/>
      <c r="AB93" s="2181"/>
      <c r="AC93" s="2181"/>
      <c r="AD93" s="2181"/>
      <c r="AE93" s="2181"/>
      <c r="AF93" s="2181"/>
      <c r="AG93" s="2181"/>
      <c r="AH93" s="2181"/>
      <c r="CD93" s="1491"/>
      <c r="CE93" s="1501"/>
      <c r="CF93" s="1491"/>
      <c r="CK93" s="1501">
        <f t="shared" si="3"/>
        <v>32</v>
      </c>
      <c r="CR93" s="1489"/>
      <c r="CS93" s="1489"/>
      <c r="CT93" s="1507"/>
      <c r="CU93" s="1507"/>
      <c r="CV93" s="1507"/>
      <c r="CW93" s="1507"/>
      <c r="CX93" s="1507"/>
      <c r="CY93" s="1507"/>
      <c r="CZ93" s="1507"/>
      <c r="DA93" s="1507"/>
      <c r="DB93" s="1507"/>
      <c r="DS93" s="841"/>
      <c r="DT93" s="841"/>
      <c r="DU93" s="841"/>
      <c r="DV93" s="841"/>
      <c r="DW93" s="841"/>
      <c r="DX93" s="841"/>
      <c r="DY93" s="841"/>
      <c r="DZ93" s="841"/>
      <c r="EA93" s="841"/>
      <c r="EB93" s="841"/>
      <c r="EC93" s="841"/>
      <c r="ED93" s="841"/>
      <c r="EE93" s="841"/>
      <c r="EF93" s="841"/>
      <c r="EG93" s="841"/>
      <c r="EH93" s="841"/>
      <c r="EI93" s="841"/>
      <c r="EJ93" s="841"/>
      <c r="EK93" s="841"/>
      <c r="EL93" s="841"/>
      <c r="EM93" s="841"/>
      <c r="EN93" s="841"/>
      <c r="EO93" s="841"/>
      <c r="EP93" s="841"/>
      <c r="EQ93" s="841"/>
      <c r="ER93" s="841"/>
      <c r="ES93" s="841"/>
      <c r="ET93" s="841"/>
      <c r="EU93" s="841"/>
      <c r="EV93" s="841"/>
      <c r="EW93" s="841"/>
      <c r="EX93" s="841"/>
      <c r="EY93" s="841"/>
      <c r="EZ93" s="841"/>
      <c r="FA93" s="841"/>
      <c r="FB93" s="841"/>
      <c r="FC93" s="841"/>
      <c r="FD93" s="841"/>
      <c r="FE93" s="841"/>
      <c r="FF93" s="841"/>
      <c r="FG93" s="841"/>
      <c r="FH93" s="841"/>
      <c r="FI93" s="841"/>
      <c r="FJ93" s="841"/>
      <c r="FK93" s="841"/>
      <c r="FL93" s="841"/>
      <c r="FM93" s="841"/>
      <c r="FN93" s="841"/>
      <c r="FO93" s="841"/>
      <c r="FP93" s="841"/>
      <c r="FQ93" s="841"/>
      <c r="FR93" s="841"/>
      <c r="FS93" s="841"/>
      <c r="FT93" s="841"/>
      <c r="FU93" s="841"/>
      <c r="FV93" s="841"/>
      <c r="FW93" s="841"/>
      <c r="FX93" s="841"/>
      <c r="FY93" s="841"/>
      <c r="FZ93" s="841"/>
      <c r="GA93" s="841"/>
      <c r="GB93" s="841"/>
      <c r="GC93" s="841"/>
      <c r="GD93" s="841"/>
      <c r="GE93" s="841"/>
      <c r="GF93" s="841"/>
      <c r="GG93" s="841"/>
      <c r="GH93" s="841"/>
      <c r="GI93" s="841"/>
      <c r="GJ93" s="841"/>
      <c r="GK93" s="841"/>
      <c r="GL93" s="841"/>
      <c r="GM93" s="841"/>
      <c r="GN93" s="841"/>
      <c r="GO93" s="841"/>
      <c r="GP93" s="841"/>
      <c r="GQ93" s="841"/>
      <c r="GR93" s="841"/>
      <c r="GS93" s="841"/>
      <c r="GT93" s="841"/>
      <c r="GU93" s="841"/>
      <c r="GV93" s="841"/>
      <c r="GW93" s="841"/>
      <c r="GX93" s="841"/>
      <c r="GY93" s="841"/>
      <c r="GZ93" s="841"/>
      <c r="HA93" s="841"/>
      <c r="HB93" s="841"/>
      <c r="HC93" s="841"/>
      <c r="HD93" s="841"/>
      <c r="HE93" s="841"/>
      <c r="HF93" s="841"/>
      <c r="HG93" s="841"/>
      <c r="HH93" s="841"/>
      <c r="HI93" s="841"/>
      <c r="HJ93" s="841"/>
      <c r="HK93" s="841"/>
      <c r="HL93" s="841"/>
      <c r="HM93" s="841"/>
      <c r="HN93" s="841"/>
      <c r="HO93" s="841"/>
    </row>
    <row r="94" spans="2:223" ht="14.1" customHeight="1" thickTop="1">
      <c r="B94" s="1212"/>
      <c r="C94" s="1212"/>
      <c r="D94" s="1212"/>
      <c r="E94" s="1212"/>
      <c r="F94" s="1212"/>
      <c r="G94" s="1212"/>
      <c r="H94" s="1212"/>
      <c r="I94" s="1212"/>
      <c r="J94" s="1212"/>
      <c r="K94" s="1212"/>
      <c r="L94" s="1212"/>
      <c r="N94" s="868"/>
      <c r="O94" s="868"/>
      <c r="P94" s="868"/>
      <c r="V94" s="2181"/>
      <c r="W94" s="2181"/>
      <c r="X94" s="2181"/>
      <c r="Y94" s="2181"/>
      <c r="Z94" s="2181"/>
      <c r="AA94" s="2181"/>
      <c r="AB94" s="2181"/>
      <c r="AC94" s="2181"/>
      <c r="AD94" s="2181"/>
      <c r="AE94" s="2181"/>
      <c r="AF94" s="2181"/>
      <c r="AG94" s="2181"/>
      <c r="AH94" s="2181"/>
      <c r="CD94" s="1491"/>
      <c r="CE94" s="1501"/>
      <c r="CF94" s="1491"/>
      <c r="CK94" s="1501">
        <f t="shared" si="3"/>
        <v>33</v>
      </c>
      <c r="CR94" s="1489"/>
      <c r="CS94" s="1489"/>
      <c r="CT94" s="1507"/>
      <c r="CU94" s="1507"/>
      <c r="CV94" s="1507"/>
      <c r="CW94" s="1507"/>
      <c r="CX94" s="1507"/>
      <c r="CY94" s="1507"/>
      <c r="CZ94" s="1507"/>
      <c r="DA94" s="1507"/>
      <c r="DB94" s="1507"/>
      <c r="DS94" s="841"/>
      <c r="DT94" s="841"/>
      <c r="DU94" s="841"/>
      <c r="DV94" s="841"/>
      <c r="DW94" s="841"/>
      <c r="DX94" s="841"/>
      <c r="DY94" s="841"/>
      <c r="DZ94" s="841"/>
      <c r="EA94" s="841"/>
      <c r="EB94" s="841"/>
      <c r="EC94" s="841"/>
      <c r="ED94" s="841"/>
      <c r="EE94" s="841"/>
      <c r="EF94" s="841"/>
      <c r="EG94" s="841"/>
      <c r="EH94" s="841"/>
      <c r="EI94" s="841"/>
      <c r="EJ94" s="841"/>
      <c r="EK94" s="841"/>
      <c r="EL94" s="841"/>
      <c r="EM94" s="841"/>
      <c r="EN94" s="841"/>
      <c r="EO94" s="841"/>
      <c r="EP94" s="841"/>
      <c r="EQ94" s="841"/>
      <c r="ER94" s="841"/>
      <c r="ES94" s="841"/>
      <c r="ET94" s="841"/>
      <c r="EU94" s="841"/>
      <c r="EV94" s="841"/>
      <c r="EW94" s="841"/>
      <c r="EX94" s="841"/>
      <c r="EY94" s="841"/>
      <c r="EZ94" s="841"/>
      <c r="FA94" s="841"/>
      <c r="FB94" s="841"/>
      <c r="FC94" s="841"/>
      <c r="FD94" s="841"/>
      <c r="FE94" s="841"/>
      <c r="FF94" s="841"/>
      <c r="FG94" s="841"/>
      <c r="FH94" s="841"/>
      <c r="FI94" s="841"/>
      <c r="FJ94" s="841"/>
      <c r="FK94" s="841"/>
      <c r="FL94" s="841"/>
      <c r="FM94" s="841"/>
      <c r="FN94" s="841"/>
      <c r="FO94" s="841"/>
      <c r="FP94" s="841"/>
      <c r="FQ94" s="841"/>
      <c r="FR94" s="841"/>
      <c r="FS94" s="841"/>
      <c r="FT94" s="841"/>
      <c r="FU94" s="841"/>
      <c r="FV94" s="841"/>
      <c r="FW94" s="841"/>
      <c r="FX94" s="841"/>
      <c r="FY94" s="841"/>
      <c r="FZ94" s="841"/>
      <c r="GA94" s="841"/>
      <c r="GB94" s="841"/>
      <c r="GC94" s="841"/>
      <c r="GD94" s="841"/>
      <c r="GE94" s="841"/>
      <c r="GF94" s="841"/>
      <c r="GG94" s="841"/>
      <c r="GH94" s="841"/>
      <c r="GI94" s="841"/>
      <c r="GJ94" s="841"/>
      <c r="GK94" s="841"/>
      <c r="GL94" s="841"/>
      <c r="GM94" s="841"/>
      <c r="GN94" s="841"/>
      <c r="GO94" s="841"/>
      <c r="GP94" s="841"/>
      <c r="GQ94" s="841"/>
      <c r="GR94" s="841"/>
      <c r="GS94" s="841"/>
      <c r="GT94" s="841"/>
      <c r="GU94" s="841"/>
      <c r="GV94" s="841"/>
      <c r="GW94" s="841"/>
      <c r="GX94" s="841"/>
      <c r="GY94" s="841"/>
      <c r="GZ94" s="841"/>
      <c r="HA94" s="841"/>
      <c r="HB94" s="841"/>
      <c r="HC94" s="841"/>
      <c r="HD94" s="841"/>
      <c r="HE94" s="841"/>
      <c r="HF94" s="841"/>
      <c r="HG94" s="841"/>
      <c r="HH94" s="841"/>
      <c r="HI94" s="841"/>
      <c r="HJ94" s="841"/>
      <c r="HK94" s="841"/>
      <c r="HL94" s="841"/>
      <c r="HM94" s="841"/>
      <c r="HN94" s="841"/>
      <c r="HO94" s="841"/>
    </row>
    <row r="95" spans="2:223" ht="21" customHeight="1" thickBot="1">
      <c r="B95" s="1206"/>
      <c r="C95" s="1219"/>
      <c r="D95" s="1206"/>
      <c r="E95" s="1212"/>
      <c r="F95" s="2104"/>
      <c r="G95" s="2105"/>
      <c r="H95" s="2106"/>
      <c r="I95" s="1212"/>
      <c r="J95" s="1233">
        <f>IF(ISBLANK(F95),0,IF(OR($D$17&lt;&gt;"Preaprobadas",AND($Q$26&gt;0,$J$17="Cartera Orange")),VLOOKUP(F95,Calculos_cuotas!$K$9:$L$16,2,FALSE),IF($J$17="Cartera Orange", IF(ISBLANK(F95),0,VLOOKUP(F95,$N$21:$P$25,3,FALSE)),VLOOKUP(F95,Calculos_cuotas!$A$258:$E$263,1+Calculos_cuotas!$B$264,FALSE))))</f>
        <v>0</v>
      </c>
      <c r="K95" s="1212"/>
      <c r="L95" s="1233">
        <f>IF($D$77=1,"N/D", D95*J95)</f>
        <v>0</v>
      </c>
      <c r="N95" s="954">
        <f>IF(P95=1,L95,0)</f>
        <v>0</v>
      </c>
      <c r="O95" s="868"/>
      <c r="P95" s="868">
        <f>IF(F95="4G en tu negocio", 1,0)</f>
        <v>0</v>
      </c>
      <c r="V95" s="2181"/>
      <c r="W95" s="2181"/>
      <c r="X95" s="2181"/>
      <c r="Y95" s="2181"/>
      <c r="Z95" s="2181"/>
      <c r="AA95" s="2181"/>
      <c r="AB95" s="2181"/>
      <c r="AC95" s="2181"/>
      <c r="AD95" s="2181"/>
      <c r="AE95" s="2181"/>
      <c r="AF95" s="2181"/>
      <c r="AG95" s="2181"/>
      <c r="AH95" s="2181"/>
      <c r="CD95" s="1491"/>
      <c r="CE95" s="1501"/>
      <c r="CF95" s="1491"/>
      <c r="CK95" s="1501">
        <f>CK94+1</f>
        <v>34</v>
      </c>
      <c r="CR95" s="1489"/>
      <c r="CS95" s="1489"/>
      <c r="CT95" s="1507"/>
      <c r="CU95" s="1507"/>
      <c r="CV95" s="1507"/>
      <c r="CW95" s="1507"/>
      <c r="CX95" s="1507"/>
      <c r="CY95" s="1507"/>
      <c r="CZ95" s="1507"/>
      <c r="DA95" s="1507"/>
      <c r="DB95" s="1507"/>
      <c r="DS95" s="841"/>
      <c r="DT95" s="841"/>
      <c r="DU95" s="841"/>
      <c r="DV95" s="841"/>
      <c r="DW95" s="841"/>
      <c r="DX95" s="841"/>
      <c r="DY95" s="841"/>
      <c r="DZ95" s="841"/>
      <c r="EA95" s="841"/>
      <c r="EB95" s="841"/>
      <c r="EC95" s="841"/>
      <c r="ED95" s="841"/>
      <c r="EE95" s="841"/>
      <c r="EF95" s="841"/>
      <c r="EG95" s="841"/>
      <c r="EH95" s="841"/>
      <c r="EI95" s="841"/>
      <c r="EJ95" s="841"/>
      <c r="EK95" s="841"/>
      <c r="EL95" s="841"/>
      <c r="EM95" s="841"/>
      <c r="EN95" s="841"/>
      <c r="EO95" s="841"/>
      <c r="EP95" s="841"/>
      <c r="EQ95" s="841"/>
      <c r="ER95" s="841"/>
      <c r="ES95" s="841"/>
      <c r="ET95" s="841"/>
      <c r="EU95" s="841"/>
      <c r="EV95" s="841"/>
      <c r="EW95" s="841"/>
      <c r="EX95" s="841"/>
      <c r="EY95" s="841"/>
      <c r="EZ95" s="841"/>
      <c r="FA95" s="841"/>
      <c r="FB95" s="841"/>
      <c r="FC95" s="841"/>
      <c r="FD95" s="841"/>
      <c r="FE95" s="841"/>
      <c r="FF95" s="841"/>
      <c r="FG95" s="841"/>
      <c r="FH95" s="841"/>
      <c r="FI95" s="841"/>
      <c r="FJ95" s="841"/>
      <c r="FK95" s="841"/>
      <c r="FL95" s="841"/>
      <c r="FM95" s="841"/>
      <c r="FN95" s="841"/>
      <c r="FO95" s="841"/>
      <c r="FP95" s="841"/>
      <c r="FQ95" s="841"/>
      <c r="FR95" s="841"/>
      <c r="FS95" s="841"/>
      <c r="FT95" s="841"/>
      <c r="FU95" s="841"/>
      <c r="FV95" s="841"/>
      <c r="FW95" s="841"/>
      <c r="FX95" s="841"/>
      <c r="FY95" s="841"/>
      <c r="FZ95" s="841"/>
      <c r="GA95" s="841"/>
      <c r="GB95" s="841"/>
      <c r="GC95" s="841"/>
      <c r="GD95" s="841"/>
      <c r="GE95" s="841"/>
      <c r="GF95" s="841"/>
      <c r="GG95" s="841"/>
      <c r="GH95" s="841"/>
      <c r="GI95" s="841"/>
      <c r="GJ95" s="841"/>
      <c r="GK95" s="841"/>
      <c r="GL95" s="841"/>
      <c r="GM95" s="841"/>
      <c r="GN95" s="841"/>
      <c r="GO95" s="841"/>
      <c r="GP95" s="841"/>
      <c r="GQ95" s="841"/>
      <c r="GR95" s="841"/>
      <c r="GS95" s="841"/>
      <c r="GT95" s="841"/>
      <c r="GU95" s="841"/>
      <c r="GV95" s="841"/>
      <c r="GW95" s="841"/>
      <c r="GX95" s="841"/>
      <c r="GY95" s="841"/>
      <c r="GZ95" s="841"/>
      <c r="HA95" s="841"/>
      <c r="HB95" s="841"/>
      <c r="HC95" s="841"/>
      <c r="HD95" s="841"/>
      <c r="HE95" s="841"/>
      <c r="HF95" s="841"/>
      <c r="HG95" s="841"/>
      <c r="HH95" s="841"/>
      <c r="HI95" s="841"/>
      <c r="HJ95" s="841"/>
      <c r="HK95" s="841"/>
      <c r="HL95" s="841"/>
      <c r="HM95" s="841"/>
      <c r="HN95" s="841"/>
      <c r="HO95" s="841"/>
    </row>
    <row r="96" spans="2:223" ht="14.1" customHeight="1" thickTop="1">
      <c r="B96" s="1212"/>
      <c r="C96" s="1212"/>
      <c r="D96" s="1212"/>
      <c r="E96" s="1212"/>
      <c r="F96" s="1212"/>
      <c r="G96" s="1212"/>
      <c r="H96" s="1212"/>
      <c r="I96" s="1212"/>
      <c r="J96" s="1212"/>
      <c r="K96" s="1212"/>
      <c r="L96" s="1212"/>
      <c r="N96" s="868"/>
      <c r="O96" s="868"/>
      <c r="P96" s="868"/>
      <c r="V96" s="2181"/>
      <c r="W96" s="2181"/>
      <c r="X96" s="2181"/>
      <c r="Y96" s="2181"/>
      <c r="Z96" s="2181"/>
      <c r="AA96" s="2181"/>
      <c r="AB96" s="2181"/>
      <c r="AC96" s="2181"/>
      <c r="AD96" s="2181"/>
      <c r="AE96" s="2181"/>
      <c r="AF96" s="2181"/>
      <c r="AG96" s="2181"/>
      <c r="AH96" s="2181"/>
      <c r="CD96" s="1491"/>
      <c r="CE96" s="1501"/>
      <c r="CF96" s="1491"/>
      <c r="CK96" s="1501">
        <f t="shared" si="3"/>
        <v>35</v>
      </c>
      <c r="CR96" s="1489"/>
      <c r="CS96" s="1489"/>
      <c r="CT96" s="1507"/>
      <c r="CU96" s="1507"/>
      <c r="CV96" s="1507"/>
      <c r="CW96" s="1507"/>
      <c r="CX96" s="1507"/>
      <c r="CY96" s="1507"/>
      <c r="CZ96" s="1507"/>
      <c r="DA96" s="1507"/>
      <c r="DB96" s="1507"/>
      <c r="DS96" s="841"/>
      <c r="DT96" s="841"/>
      <c r="DU96" s="841"/>
      <c r="DV96" s="841"/>
      <c r="DW96" s="841"/>
      <c r="DX96" s="841"/>
      <c r="DY96" s="841"/>
      <c r="DZ96" s="841"/>
      <c r="EA96" s="841"/>
      <c r="EB96" s="841"/>
      <c r="EC96" s="841"/>
      <c r="ED96" s="841"/>
      <c r="EE96" s="841"/>
      <c r="EF96" s="841"/>
      <c r="EG96" s="841"/>
      <c r="EH96" s="841"/>
      <c r="EI96" s="841"/>
      <c r="EJ96" s="841"/>
      <c r="EK96" s="841"/>
      <c r="EL96" s="841"/>
      <c r="EM96" s="841"/>
      <c r="EN96" s="841"/>
      <c r="EO96" s="841"/>
      <c r="EP96" s="841"/>
      <c r="EQ96" s="841"/>
      <c r="ER96" s="841"/>
      <c r="ES96" s="841"/>
      <c r="ET96" s="841"/>
      <c r="EU96" s="841"/>
      <c r="EV96" s="841"/>
      <c r="EW96" s="841"/>
      <c r="EX96" s="841"/>
      <c r="EY96" s="841"/>
      <c r="EZ96" s="841"/>
      <c r="FA96" s="841"/>
      <c r="FB96" s="841"/>
      <c r="FC96" s="841"/>
      <c r="FD96" s="841"/>
      <c r="FE96" s="841"/>
      <c r="FF96" s="841"/>
      <c r="FG96" s="841"/>
      <c r="FH96" s="841"/>
      <c r="FI96" s="841"/>
      <c r="FJ96" s="841"/>
      <c r="FK96" s="841"/>
      <c r="FL96" s="841"/>
      <c r="FM96" s="841"/>
      <c r="FN96" s="841"/>
      <c r="FO96" s="841"/>
      <c r="FP96" s="841"/>
      <c r="FQ96" s="841"/>
      <c r="FR96" s="841"/>
      <c r="FS96" s="841"/>
      <c r="FT96" s="841"/>
      <c r="FU96" s="841"/>
      <c r="FV96" s="841"/>
      <c r="FW96" s="841"/>
      <c r="FX96" s="841"/>
      <c r="FY96" s="841"/>
      <c r="FZ96" s="841"/>
      <c r="GA96" s="841"/>
      <c r="GB96" s="841"/>
      <c r="GC96" s="841"/>
      <c r="GD96" s="841"/>
      <c r="GE96" s="841"/>
      <c r="GF96" s="841"/>
      <c r="GG96" s="841"/>
      <c r="GH96" s="841"/>
      <c r="GI96" s="841"/>
      <c r="GJ96" s="841"/>
      <c r="GK96" s="841"/>
      <c r="GL96" s="841"/>
      <c r="GM96" s="841"/>
      <c r="GN96" s="841"/>
      <c r="GO96" s="841"/>
      <c r="GP96" s="841"/>
      <c r="GQ96" s="841"/>
      <c r="GR96" s="841"/>
      <c r="GS96" s="841"/>
      <c r="GT96" s="841"/>
      <c r="GU96" s="841"/>
      <c r="GV96" s="841"/>
      <c r="GW96" s="841"/>
      <c r="GX96" s="841"/>
      <c r="GY96" s="841"/>
      <c r="GZ96" s="841"/>
      <c r="HA96" s="841"/>
      <c r="HB96" s="841"/>
      <c r="HC96" s="841"/>
      <c r="HD96" s="841"/>
      <c r="HE96" s="841"/>
      <c r="HF96" s="841"/>
      <c r="HG96" s="841"/>
      <c r="HH96" s="841"/>
      <c r="HI96" s="841"/>
      <c r="HJ96" s="841"/>
      <c r="HK96" s="841"/>
      <c r="HL96" s="841"/>
      <c r="HM96" s="841"/>
      <c r="HN96" s="841"/>
      <c r="HO96" s="841"/>
    </row>
    <row r="97" spans="2:223" ht="21" customHeight="1" thickBot="1">
      <c r="B97" s="1206"/>
      <c r="C97" s="1219"/>
      <c r="D97" s="1206"/>
      <c r="E97" s="1212"/>
      <c r="F97" s="2104"/>
      <c r="G97" s="2105"/>
      <c r="H97" s="2106"/>
      <c r="I97" s="1212"/>
      <c r="J97" s="1233">
        <f>IF(ISBLANK(F97),0,IF(OR($D$17&lt;&gt;"Preaprobadas",AND($Q$26&gt;0,$J$17="Cartera Orange")),VLOOKUP(F97,Calculos_cuotas!$K$9:$L$16,2,FALSE),IF($J$17="Cartera Orange", IF(ISBLANK(F97),0,VLOOKUP(F97,$N$21:$P$25,3,FALSE)),VLOOKUP(F97,Calculos_cuotas!$A$258:$E$263,1+Calculos_cuotas!$B$264,FALSE))))</f>
        <v>0</v>
      </c>
      <c r="K97" s="1212"/>
      <c r="L97" s="1233">
        <f>IF($D$77=1,"N/D", D97*J97)</f>
        <v>0</v>
      </c>
      <c r="N97" s="954">
        <f>IF(P97=1,L97,0)</f>
        <v>0</v>
      </c>
      <c r="O97" s="868"/>
      <c r="P97" s="868">
        <f>IF(F97="4G en tu negocio", 1,0)</f>
        <v>0</v>
      </c>
      <c r="V97" s="2181"/>
      <c r="W97" s="2181"/>
      <c r="X97" s="2181"/>
      <c r="Y97" s="2181"/>
      <c r="Z97" s="2181"/>
      <c r="AA97" s="2181"/>
      <c r="AB97" s="2181"/>
      <c r="AC97" s="2181"/>
      <c r="AD97" s="2181"/>
      <c r="AE97" s="2181"/>
      <c r="AF97" s="2181"/>
      <c r="AG97" s="2181"/>
      <c r="AH97" s="2181"/>
      <c r="CD97" s="1491"/>
      <c r="CE97" s="1501"/>
      <c r="CF97" s="1491"/>
      <c r="CK97" s="1501">
        <f t="shared" si="3"/>
        <v>36</v>
      </c>
      <c r="CR97" s="1489"/>
      <c r="CS97" s="1489"/>
      <c r="CT97" s="1507"/>
      <c r="CU97" s="1507"/>
      <c r="CV97" s="1507"/>
      <c r="CW97" s="1507"/>
      <c r="CX97" s="1507"/>
      <c r="CY97" s="1507"/>
      <c r="CZ97" s="1507"/>
      <c r="DA97" s="1507"/>
      <c r="DB97" s="1507"/>
      <c r="DS97" s="841"/>
      <c r="DT97" s="841"/>
      <c r="DU97" s="841"/>
      <c r="DV97" s="841"/>
      <c r="DW97" s="841"/>
      <c r="DX97" s="841"/>
      <c r="DY97" s="841"/>
      <c r="DZ97" s="841"/>
      <c r="EA97" s="841"/>
      <c r="EB97" s="841"/>
      <c r="EC97" s="841"/>
      <c r="ED97" s="841"/>
      <c r="EE97" s="841"/>
      <c r="EF97" s="841"/>
      <c r="EG97" s="841"/>
      <c r="EH97" s="841"/>
      <c r="EI97" s="841"/>
      <c r="EJ97" s="841"/>
      <c r="EK97" s="841"/>
      <c r="EL97" s="841"/>
      <c r="EM97" s="841"/>
      <c r="EN97" s="841"/>
      <c r="EO97" s="841"/>
      <c r="EP97" s="841"/>
      <c r="EQ97" s="841"/>
      <c r="ER97" s="841"/>
      <c r="ES97" s="841"/>
      <c r="ET97" s="841"/>
      <c r="EU97" s="841"/>
      <c r="EV97" s="841"/>
      <c r="EW97" s="841"/>
      <c r="EX97" s="841"/>
      <c r="EY97" s="841"/>
      <c r="EZ97" s="841"/>
      <c r="FA97" s="841"/>
      <c r="FB97" s="841"/>
      <c r="FC97" s="841"/>
      <c r="FD97" s="841"/>
      <c r="FE97" s="841"/>
      <c r="FF97" s="841"/>
      <c r="FG97" s="841"/>
      <c r="FH97" s="841"/>
      <c r="FI97" s="841"/>
      <c r="FJ97" s="841"/>
      <c r="FK97" s="841"/>
      <c r="FL97" s="841"/>
      <c r="FM97" s="841"/>
      <c r="FN97" s="841"/>
      <c r="FO97" s="841"/>
      <c r="FP97" s="841"/>
      <c r="FQ97" s="841"/>
      <c r="FR97" s="841"/>
      <c r="FS97" s="841"/>
      <c r="FT97" s="841"/>
      <c r="FU97" s="841"/>
      <c r="FV97" s="841"/>
      <c r="FW97" s="841"/>
      <c r="FX97" s="841"/>
      <c r="FY97" s="841"/>
      <c r="FZ97" s="841"/>
      <c r="GA97" s="841"/>
      <c r="GB97" s="841"/>
      <c r="GC97" s="841"/>
      <c r="GD97" s="841"/>
      <c r="GE97" s="841"/>
      <c r="GF97" s="841"/>
      <c r="GG97" s="841"/>
      <c r="GH97" s="841"/>
      <c r="GI97" s="841"/>
      <c r="GJ97" s="841"/>
      <c r="GK97" s="841"/>
      <c r="GL97" s="841"/>
      <c r="GM97" s="841"/>
      <c r="GN97" s="841"/>
      <c r="GO97" s="841"/>
      <c r="GP97" s="841"/>
      <c r="GQ97" s="841"/>
      <c r="GR97" s="841"/>
      <c r="GS97" s="841"/>
      <c r="GT97" s="841"/>
      <c r="GU97" s="841"/>
      <c r="GV97" s="841"/>
      <c r="GW97" s="841"/>
      <c r="GX97" s="841"/>
      <c r="GY97" s="841"/>
      <c r="GZ97" s="841"/>
      <c r="HA97" s="841"/>
      <c r="HB97" s="841"/>
      <c r="HC97" s="841"/>
      <c r="HD97" s="841"/>
      <c r="HE97" s="841"/>
      <c r="HF97" s="841"/>
      <c r="HG97" s="841"/>
      <c r="HH97" s="841"/>
      <c r="HI97" s="841"/>
      <c r="HJ97" s="841"/>
      <c r="HK97" s="841"/>
      <c r="HL97" s="841"/>
      <c r="HM97" s="841"/>
      <c r="HN97" s="841"/>
      <c r="HO97" s="841"/>
    </row>
    <row r="98" spans="2:223" ht="14.1" customHeight="1" thickTop="1">
      <c r="B98" s="1212"/>
      <c r="C98" s="1212"/>
      <c r="D98" s="1212"/>
      <c r="E98" s="1212"/>
      <c r="F98" s="1212"/>
      <c r="G98" s="1212"/>
      <c r="H98" s="1212"/>
      <c r="I98" s="1212"/>
      <c r="J98" s="1212"/>
      <c r="K98" s="1212"/>
      <c r="L98" s="1212"/>
      <c r="N98" s="868"/>
      <c r="O98" s="868"/>
      <c r="P98" s="868"/>
      <c r="V98" s="2181"/>
      <c r="W98" s="2181"/>
      <c r="X98" s="2181"/>
      <c r="Y98" s="2181"/>
      <c r="Z98" s="2181"/>
      <c r="AA98" s="2181"/>
      <c r="AB98" s="2181"/>
      <c r="AC98" s="2181"/>
      <c r="AD98" s="2181"/>
      <c r="AE98" s="2181"/>
      <c r="AF98" s="2181"/>
      <c r="AG98" s="2181"/>
      <c r="AH98" s="2181"/>
      <c r="CD98" s="1491"/>
      <c r="CE98" s="1501"/>
      <c r="CF98" s="1491"/>
      <c r="CK98" s="1501">
        <f t="shared" si="3"/>
        <v>37</v>
      </c>
      <c r="CR98" s="1489"/>
      <c r="CS98" s="1489"/>
      <c r="CT98" s="1507"/>
      <c r="CU98" s="1507"/>
      <c r="CV98" s="1507"/>
      <c r="CW98" s="1507"/>
      <c r="CX98" s="1507"/>
      <c r="CY98" s="1507"/>
      <c r="CZ98" s="1507"/>
      <c r="DA98" s="1507"/>
      <c r="DB98" s="1507"/>
      <c r="DS98" s="841"/>
      <c r="DT98" s="841"/>
      <c r="DU98" s="841"/>
      <c r="DV98" s="841"/>
      <c r="DW98" s="841"/>
      <c r="DX98" s="841"/>
      <c r="DY98" s="841"/>
      <c r="DZ98" s="841"/>
      <c r="EA98" s="841"/>
      <c r="EB98" s="841"/>
      <c r="EC98" s="841"/>
      <c r="ED98" s="841"/>
      <c r="EE98" s="841"/>
      <c r="EF98" s="841"/>
      <c r="EG98" s="841"/>
      <c r="EH98" s="841"/>
      <c r="EI98" s="841"/>
      <c r="EJ98" s="841"/>
      <c r="EK98" s="841"/>
      <c r="EL98" s="841"/>
      <c r="EM98" s="841"/>
      <c r="EN98" s="841"/>
      <c r="EO98" s="841"/>
      <c r="EP98" s="841"/>
      <c r="EQ98" s="841"/>
      <c r="ER98" s="841"/>
      <c r="ES98" s="841"/>
      <c r="ET98" s="841"/>
      <c r="EU98" s="841"/>
      <c r="EV98" s="841"/>
      <c r="EW98" s="841"/>
      <c r="EX98" s="841"/>
      <c r="EY98" s="841"/>
      <c r="EZ98" s="841"/>
      <c r="FA98" s="841"/>
      <c r="FB98" s="841"/>
      <c r="FC98" s="841"/>
      <c r="FD98" s="841"/>
      <c r="FE98" s="841"/>
      <c r="FF98" s="841"/>
      <c r="FG98" s="841"/>
      <c r="FH98" s="841"/>
      <c r="FI98" s="841"/>
      <c r="FJ98" s="841"/>
      <c r="FK98" s="841"/>
      <c r="FL98" s="841"/>
      <c r="FM98" s="841"/>
      <c r="FN98" s="841"/>
      <c r="FO98" s="841"/>
      <c r="FP98" s="841"/>
      <c r="FQ98" s="841"/>
      <c r="FR98" s="841"/>
      <c r="FS98" s="841"/>
      <c r="FT98" s="841"/>
      <c r="FU98" s="841"/>
      <c r="FV98" s="841"/>
      <c r="FW98" s="841"/>
      <c r="FX98" s="841"/>
      <c r="FY98" s="841"/>
      <c r="FZ98" s="841"/>
      <c r="GA98" s="841"/>
      <c r="GB98" s="841"/>
      <c r="GC98" s="841"/>
      <c r="GD98" s="841"/>
      <c r="GE98" s="841"/>
      <c r="GF98" s="841"/>
      <c r="GG98" s="841"/>
      <c r="GH98" s="841"/>
      <c r="GI98" s="841"/>
      <c r="GJ98" s="841"/>
      <c r="GK98" s="841"/>
      <c r="GL98" s="841"/>
      <c r="GM98" s="841"/>
      <c r="GN98" s="841"/>
      <c r="GO98" s="841"/>
      <c r="GP98" s="841"/>
      <c r="GQ98" s="841"/>
      <c r="GR98" s="841"/>
      <c r="GS98" s="841"/>
      <c r="GT98" s="841"/>
      <c r="GU98" s="841"/>
      <c r="GV98" s="841"/>
      <c r="GW98" s="841"/>
      <c r="GX98" s="841"/>
      <c r="GY98" s="841"/>
      <c r="GZ98" s="841"/>
      <c r="HA98" s="841"/>
      <c r="HB98" s="841"/>
      <c r="HC98" s="841"/>
      <c r="HD98" s="841"/>
      <c r="HE98" s="841"/>
      <c r="HF98" s="841"/>
      <c r="HG98" s="841"/>
      <c r="HH98" s="841"/>
      <c r="HI98" s="841"/>
      <c r="HJ98" s="841"/>
      <c r="HK98" s="841"/>
      <c r="HL98" s="841"/>
      <c r="HM98" s="841"/>
      <c r="HN98" s="841"/>
      <c r="HO98" s="841"/>
    </row>
    <row r="99" spans="2:223" ht="21" customHeight="1" thickBot="1">
      <c r="B99" s="1206"/>
      <c r="C99" s="1219"/>
      <c r="D99" s="1206"/>
      <c r="E99" s="1212"/>
      <c r="F99" s="2104"/>
      <c r="G99" s="2105"/>
      <c r="H99" s="2106"/>
      <c r="I99" s="1212"/>
      <c r="J99" s="1233">
        <f>IF(ISBLANK(F99),0,IF(OR($D$17&lt;&gt;"Preaprobadas",AND($Q$26&gt;0,$J$17="Cartera Orange")),VLOOKUP(F99,Calculos_cuotas!$K$9:$L$16,2,FALSE),IF($J$17="Cartera Orange", IF(ISBLANK(F99),0,VLOOKUP(F99,$N$21:$P$25,3,FALSE)),VLOOKUP(F99,Calculos_cuotas!$A$258:$E$263,1+Calculos_cuotas!$B$264,FALSE))))</f>
        <v>0</v>
      </c>
      <c r="K99" s="1212"/>
      <c r="L99" s="1233">
        <f>IF($D$77=1,"N/D", D99*J99)</f>
        <v>0</v>
      </c>
      <c r="N99" s="954">
        <f>IF(P99=1,L99,0)</f>
        <v>0</v>
      </c>
      <c r="O99" s="868"/>
      <c r="P99" s="868">
        <f>IF(F99="4G en tu negocio", 1,0)</f>
        <v>0</v>
      </c>
      <c r="V99" s="2181"/>
      <c r="W99" s="2181"/>
      <c r="X99" s="2181"/>
      <c r="Y99" s="2181"/>
      <c r="Z99" s="2181"/>
      <c r="AA99" s="2181"/>
      <c r="AB99" s="2181"/>
      <c r="AC99" s="2181"/>
      <c r="AD99" s="2181"/>
      <c r="AE99" s="2181"/>
      <c r="AF99" s="2181"/>
      <c r="AG99" s="2181"/>
      <c r="AH99" s="2181"/>
      <c r="CD99" s="1491"/>
      <c r="CE99" s="1501"/>
      <c r="CF99" s="1491"/>
      <c r="CK99" s="1501">
        <f t="shared" si="3"/>
        <v>38</v>
      </c>
      <c r="CR99" s="1489"/>
      <c r="CS99" s="1489"/>
      <c r="CT99" s="1507"/>
      <c r="CU99" s="1507"/>
      <c r="CV99" s="1507"/>
      <c r="CW99" s="1507"/>
      <c r="CX99" s="1507"/>
      <c r="CY99" s="1507"/>
      <c r="CZ99" s="1507"/>
      <c r="DA99" s="1507"/>
      <c r="DB99" s="1507"/>
      <c r="DS99" s="841"/>
      <c r="DT99" s="841"/>
      <c r="DU99" s="841"/>
      <c r="DV99" s="841"/>
      <c r="DW99" s="841"/>
      <c r="DX99" s="841"/>
      <c r="DY99" s="841"/>
      <c r="DZ99" s="841"/>
      <c r="EA99" s="841"/>
      <c r="EB99" s="841"/>
      <c r="EC99" s="841"/>
      <c r="ED99" s="841"/>
      <c r="EE99" s="841"/>
      <c r="EF99" s="841"/>
      <c r="EG99" s="841"/>
      <c r="EH99" s="841"/>
      <c r="EI99" s="841"/>
      <c r="EJ99" s="841"/>
      <c r="EK99" s="841"/>
      <c r="EL99" s="841"/>
      <c r="EM99" s="841"/>
      <c r="EN99" s="841"/>
      <c r="EO99" s="841"/>
      <c r="EP99" s="841"/>
      <c r="EQ99" s="841"/>
      <c r="ER99" s="841"/>
      <c r="ES99" s="841"/>
      <c r="ET99" s="841"/>
      <c r="EU99" s="841"/>
      <c r="EV99" s="841"/>
      <c r="EW99" s="841"/>
      <c r="EX99" s="841"/>
      <c r="EY99" s="841"/>
      <c r="EZ99" s="841"/>
      <c r="FA99" s="841"/>
      <c r="FB99" s="841"/>
      <c r="FC99" s="841"/>
      <c r="FD99" s="841"/>
      <c r="FE99" s="841"/>
      <c r="FF99" s="841"/>
      <c r="FG99" s="841"/>
      <c r="FH99" s="841"/>
      <c r="FI99" s="841"/>
      <c r="FJ99" s="841"/>
      <c r="FK99" s="841"/>
      <c r="FL99" s="841"/>
      <c r="FM99" s="841"/>
      <c r="FN99" s="841"/>
      <c r="FO99" s="841"/>
      <c r="FP99" s="841"/>
      <c r="FQ99" s="841"/>
      <c r="FR99" s="841"/>
      <c r="FS99" s="841"/>
      <c r="FT99" s="841"/>
      <c r="FU99" s="841"/>
      <c r="FV99" s="841"/>
      <c r="FW99" s="841"/>
      <c r="FX99" s="841"/>
      <c r="FY99" s="841"/>
      <c r="FZ99" s="841"/>
      <c r="GA99" s="841"/>
      <c r="GB99" s="841"/>
      <c r="GC99" s="841"/>
      <c r="GD99" s="841"/>
      <c r="GE99" s="841"/>
      <c r="GF99" s="841"/>
      <c r="GG99" s="841"/>
      <c r="GH99" s="841"/>
      <c r="GI99" s="841"/>
      <c r="GJ99" s="841"/>
      <c r="GK99" s="841"/>
      <c r="GL99" s="841"/>
      <c r="GM99" s="841"/>
      <c r="GN99" s="841"/>
      <c r="GO99" s="841"/>
      <c r="GP99" s="841"/>
      <c r="GQ99" s="841"/>
      <c r="GR99" s="841"/>
      <c r="GS99" s="841"/>
      <c r="GT99" s="841"/>
      <c r="GU99" s="841"/>
      <c r="GV99" s="841"/>
      <c r="GW99" s="841"/>
      <c r="GX99" s="841"/>
      <c r="GY99" s="841"/>
      <c r="GZ99" s="841"/>
      <c r="HA99" s="841"/>
      <c r="HB99" s="841"/>
      <c r="HC99" s="841"/>
      <c r="HD99" s="841"/>
      <c r="HE99" s="841"/>
      <c r="HF99" s="841"/>
      <c r="HG99" s="841"/>
      <c r="HH99" s="841"/>
      <c r="HI99" s="841"/>
      <c r="HJ99" s="841"/>
      <c r="HK99" s="841"/>
      <c r="HL99" s="841"/>
      <c r="HM99" s="841"/>
      <c r="HN99" s="841"/>
      <c r="HO99" s="841"/>
    </row>
    <row r="100" spans="2:223" ht="21" thickTop="1">
      <c r="B100" s="1212"/>
      <c r="C100" s="1212"/>
      <c r="D100" s="1212"/>
      <c r="E100" s="1212"/>
      <c r="F100" s="1212"/>
      <c r="G100" s="1212"/>
      <c r="H100" s="1212"/>
      <c r="I100" s="1212"/>
      <c r="J100" s="1212"/>
      <c r="K100" s="1212"/>
      <c r="L100" s="1212"/>
      <c r="N100" s="868"/>
      <c r="O100" s="868"/>
      <c r="P100" s="868"/>
      <c r="V100" s="2181"/>
      <c r="W100" s="2181"/>
      <c r="X100" s="2181"/>
      <c r="Y100" s="2181"/>
      <c r="Z100" s="2181"/>
      <c r="AA100" s="2181"/>
      <c r="AB100" s="2181"/>
      <c r="AC100" s="2181"/>
      <c r="AD100" s="2181"/>
      <c r="AE100" s="2181"/>
      <c r="AF100" s="2181"/>
      <c r="AG100" s="2181"/>
      <c r="AH100" s="2181"/>
      <c r="CD100" s="1491"/>
      <c r="CE100" s="1501"/>
      <c r="CF100" s="1491"/>
      <c r="CK100" s="1501">
        <f t="shared" si="3"/>
        <v>39</v>
      </c>
      <c r="CR100" s="1489"/>
      <c r="CS100" s="1489"/>
      <c r="CT100" s="1507"/>
      <c r="CU100" s="1507"/>
      <c r="CV100" s="1507"/>
      <c r="CW100" s="1507"/>
      <c r="CX100" s="1507"/>
      <c r="CY100" s="1507"/>
      <c r="CZ100" s="1507"/>
      <c r="DA100" s="1507"/>
      <c r="DB100" s="1507"/>
      <c r="DS100" s="841"/>
      <c r="DT100" s="841"/>
      <c r="DU100" s="841"/>
      <c r="DV100" s="841"/>
      <c r="DW100" s="841"/>
      <c r="DX100" s="841"/>
      <c r="DY100" s="841"/>
      <c r="DZ100" s="841"/>
      <c r="EA100" s="841"/>
      <c r="EB100" s="841"/>
      <c r="EC100" s="841"/>
      <c r="ED100" s="841"/>
      <c r="EE100" s="841"/>
      <c r="EF100" s="841"/>
      <c r="EG100" s="841"/>
      <c r="EH100" s="841"/>
      <c r="EI100" s="841"/>
      <c r="EJ100" s="841"/>
      <c r="EK100" s="841"/>
      <c r="EL100" s="841"/>
      <c r="EM100" s="841"/>
      <c r="EN100" s="841"/>
      <c r="EO100" s="841"/>
      <c r="EP100" s="841"/>
      <c r="EQ100" s="841"/>
      <c r="ER100" s="841"/>
      <c r="ES100" s="841"/>
      <c r="ET100" s="841"/>
      <c r="EU100" s="841"/>
      <c r="EV100" s="841"/>
      <c r="EW100" s="841"/>
      <c r="EX100" s="841"/>
      <c r="EY100" s="841"/>
      <c r="EZ100" s="841"/>
      <c r="FA100" s="841"/>
      <c r="FB100" s="841"/>
      <c r="FC100" s="841"/>
      <c r="FD100" s="841"/>
      <c r="FE100" s="841"/>
      <c r="FF100" s="841"/>
      <c r="FG100" s="841"/>
      <c r="FH100" s="841"/>
      <c r="FI100" s="841"/>
      <c r="FJ100" s="841"/>
      <c r="FK100" s="841"/>
      <c r="FL100" s="841"/>
      <c r="FM100" s="841"/>
      <c r="FN100" s="841"/>
      <c r="FO100" s="841"/>
      <c r="FP100" s="841"/>
      <c r="FQ100" s="841"/>
      <c r="FR100" s="841"/>
      <c r="FS100" s="841"/>
      <c r="FT100" s="841"/>
      <c r="FU100" s="841"/>
      <c r="FV100" s="841"/>
      <c r="FW100" s="841"/>
      <c r="FX100" s="841"/>
      <c r="FY100" s="841"/>
      <c r="FZ100" s="841"/>
      <c r="GA100" s="841"/>
      <c r="GB100" s="841"/>
      <c r="GC100" s="841"/>
      <c r="GD100" s="841"/>
      <c r="GE100" s="841"/>
      <c r="GF100" s="841"/>
      <c r="GG100" s="841"/>
      <c r="GH100" s="841"/>
      <c r="GI100" s="841"/>
      <c r="GJ100" s="841"/>
      <c r="GK100" s="841"/>
      <c r="GL100" s="841"/>
      <c r="GM100" s="841"/>
      <c r="GN100" s="841"/>
      <c r="GO100" s="841"/>
      <c r="GP100" s="841"/>
      <c r="GQ100" s="841"/>
      <c r="GR100" s="841"/>
      <c r="GS100" s="841"/>
      <c r="GT100" s="841"/>
      <c r="GU100" s="841"/>
      <c r="GV100" s="841"/>
      <c r="GW100" s="841"/>
      <c r="GX100" s="841"/>
      <c r="GY100" s="841"/>
      <c r="GZ100" s="841"/>
      <c r="HA100" s="841"/>
      <c r="HB100" s="841"/>
      <c r="HC100" s="841"/>
      <c r="HD100" s="841"/>
      <c r="HE100" s="841"/>
      <c r="HF100" s="841"/>
      <c r="HG100" s="841"/>
      <c r="HH100" s="841"/>
      <c r="HI100" s="841"/>
      <c r="HJ100" s="841"/>
      <c r="HK100" s="841"/>
      <c r="HL100" s="841"/>
      <c r="HM100" s="841"/>
      <c r="HN100" s="841"/>
      <c r="HO100" s="841"/>
    </row>
    <row r="101" spans="2:223" ht="51" customHeight="1" thickBot="1">
      <c r="B101" s="1212"/>
      <c r="C101" s="1212"/>
      <c r="D101" s="1214">
        <f>SUM(D91:D99)</f>
        <v>0</v>
      </c>
      <c r="E101" s="1212"/>
      <c r="F101" s="1212"/>
      <c r="G101" s="1212"/>
      <c r="H101" s="1212"/>
      <c r="I101" s="1212"/>
      <c r="J101" s="1212"/>
      <c r="K101" s="1212"/>
      <c r="L101" s="961">
        <f>IF(D77=1,"No disponible", SUM(L91:L99))</f>
        <v>0</v>
      </c>
      <c r="N101" s="954">
        <f>SUM(N91:N99)</f>
        <v>0</v>
      </c>
      <c r="O101" s="868"/>
      <c r="P101" s="868">
        <f>SUM(P91,P93,P95,P97,P99)</f>
        <v>0</v>
      </c>
      <c r="V101" s="2181"/>
      <c r="W101" s="2181"/>
      <c r="X101" s="2181"/>
      <c r="Y101" s="2181"/>
      <c r="Z101" s="2181"/>
      <c r="AA101" s="2181"/>
      <c r="AB101" s="2181"/>
      <c r="AC101" s="2181"/>
      <c r="AD101" s="2181"/>
      <c r="AE101" s="2181"/>
      <c r="AF101" s="2181"/>
      <c r="AG101" s="2181"/>
      <c r="AH101" s="2181"/>
      <c r="CD101" s="1491"/>
      <c r="CE101" s="1501"/>
      <c r="CF101" s="1491"/>
      <c r="CK101" s="1501">
        <f t="shared" si="3"/>
        <v>40</v>
      </c>
      <c r="CR101" s="1489"/>
      <c r="CS101" s="1489"/>
      <c r="CT101" s="1507"/>
      <c r="CU101" s="1507"/>
      <c r="CV101" s="1507"/>
      <c r="CW101" s="1507"/>
      <c r="CX101" s="1507"/>
      <c r="CY101" s="1507"/>
      <c r="CZ101" s="1507"/>
      <c r="DA101" s="1507"/>
      <c r="DB101" s="1507"/>
      <c r="DS101" s="841"/>
      <c r="DT101" s="841"/>
      <c r="DU101" s="841"/>
      <c r="DV101" s="841"/>
      <c r="DW101" s="841"/>
      <c r="DX101" s="841"/>
      <c r="DY101" s="841"/>
      <c r="DZ101" s="841"/>
      <c r="EA101" s="841"/>
      <c r="EB101" s="841"/>
      <c r="EC101" s="841"/>
      <c r="ED101" s="841"/>
      <c r="EE101" s="841"/>
      <c r="EF101" s="841"/>
      <c r="EG101" s="841"/>
      <c r="EH101" s="841"/>
      <c r="EI101" s="841"/>
      <c r="EJ101" s="841"/>
      <c r="EK101" s="841"/>
      <c r="EL101" s="841"/>
      <c r="EM101" s="841"/>
      <c r="EN101" s="841"/>
      <c r="EO101" s="841"/>
      <c r="EP101" s="841"/>
      <c r="EQ101" s="841"/>
      <c r="ER101" s="841"/>
      <c r="ES101" s="841"/>
      <c r="ET101" s="841"/>
      <c r="EU101" s="841"/>
      <c r="EV101" s="841"/>
      <c r="EW101" s="841"/>
      <c r="EX101" s="841"/>
      <c r="EY101" s="841"/>
      <c r="EZ101" s="841"/>
      <c r="FA101" s="841"/>
      <c r="FB101" s="841"/>
      <c r="FC101" s="841"/>
      <c r="FD101" s="841"/>
      <c r="FE101" s="841"/>
      <c r="FF101" s="841"/>
      <c r="FG101" s="841"/>
      <c r="FH101" s="841"/>
      <c r="FI101" s="841"/>
      <c r="FJ101" s="841"/>
      <c r="FK101" s="841"/>
      <c r="FL101" s="841"/>
      <c r="FM101" s="841"/>
      <c r="FN101" s="841"/>
      <c r="FO101" s="841"/>
      <c r="FP101" s="841"/>
      <c r="FQ101" s="841"/>
      <c r="FR101" s="841"/>
      <c r="FS101" s="841"/>
      <c r="FT101" s="841"/>
      <c r="FU101" s="841"/>
      <c r="FV101" s="841"/>
      <c r="FW101" s="841"/>
      <c r="FX101" s="841"/>
      <c r="FY101" s="841"/>
      <c r="FZ101" s="841"/>
      <c r="GA101" s="841"/>
      <c r="GB101" s="841"/>
      <c r="GC101" s="841"/>
      <c r="GD101" s="841"/>
      <c r="GE101" s="841"/>
      <c r="GF101" s="841"/>
      <c r="GG101" s="841"/>
      <c r="GH101" s="841"/>
      <c r="GI101" s="841"/>
      <c r="GJ101" s="841"/>
      <c r="GK101" s="841"/>
      <c r="GL101" s="841"/>
      <c r="GM101" s="841"/>
      <c r="GN101" s="841"/>
      <c r="GO101" s="841"/>
      <c r="GP101" s="841"/>
      <c r="GQ101" s="841"/>
      <c r="GR101" s="841"/>
      <c r="GS101" s="841"/>
      <c r="GT101" s="841"/>
      <c r="GU101" s="841"/>
      <c r="GV101" s="841"/>
      <c r="GW101" s="841"/>
      <c r="GX101" s="841"/>
      <c r="GY101" s="841"/>
      <c r="GZ101" s="841"/>
      <c r="HA101" s="841"/>
      <c r="HB101" s="841"/>
      <c r="HC101" s="841"/>
      <c r="HD101" s="841"/>
      <c r="HE101" s="841"/>
      <c r="HF101" s="841"/>
      <c r="HG101" s="841"/>
      <c r="HH101" s="841"/>
      <c r="HI101" s="841"/>
      <c r="HJ101" s="841"/>
      <c r="HK101" s="841"/>
      <c r="HL101" s="841"/>
      <c r="HM101" s="841"/>
      <c r="HN101" s="841"/>
      <c r="HO101" s="841"/>
    </row>
    <row r="102" spans="2:223" ht="21" thickTop="1">
      <c r="CD102" s="1491"/>
      <c r="CE102" s="1501"/>
      <c r="CF102" s="1491"/>
      <c r="CK102" s="1501">
        <f t="shared" si="3"/>
        <v>41</v>
      </c>
      <c r="DS102" s="841"/>
      <c r="DT102" s="841"/>
      <c r="DU102" s="841"/>
      <c r="DV102" s="841"/>
      <c r="DW102" s="841"/>
      <c r="DX102" s="841"/>
      <c r="DY102" s="841"/>
      <c r="DZ102" s="841"/>
      <c r="EA102" s="841"/>
      <c r="EB102" s="841"/>
      <c r="EC102" s="841"/>
      <c r="ED102" s="841"/>
      <c r="EE102" s="841"/>
      <c r="EF102" s="841"/>
      <c r="EG102" s="841"/>
      <c r="EH102" s="841"/>
      <c r="EI102" s="841"/>
      <c r="EJ102" s="841"/>
      <c r="EK102" s="841"/>
      <c r="EL102" s="841"/>
      <c r="EM102" s="841"/>
      <c r="EN102" s="841"/>
      <c r="EO102" s="841"/>
      <c r="EP102" s="841"/>
      <c r="EQ102" s="841"/>
      <c r="ER102" s="841"/>
      <c r="ES102" s="841"/>
      <c r="ET102" s="841"/>
      <c r="EU102" s="841"/>
      <c r="EV102" s="841"/>
      <c r="EW102" s="841"/>
      <c r="EX102" s="841"/>
      <c r="EY102" s="841"/>
      <c r="EZ102" s="841"/>
      <c r="FA102" s="841"/>
      <c r="FB102" s="841"/>
      <c r="FC102" s="841"/>
      <c r="FD102" s="841"/>
      <c r="FE102" s="841"/>
      <c r="FF102" s="841"/>
      <c r="FG102" s="841"/>
      <c r="FH102" s="841"/>
      <c r="FI102" s="841"/>
      <c r="FJ102" s="841"/>
      <c r="FK102" s="841"/>
      <c r="FL102" s="841"/>
      <c r="FM102" s="841"/>
      <c r="FN102" s="841"/>
      <c r="FO102" s="841"/>
      <c r="FP102" s="841"/>
      <c r="FQ102" s="841"/>
      <c r="FR102" s="841"/>
      <c r="FS102" s="841"/>
      <c r="FT102" s="841"/>
      <c r="FU102" s="841"/>
      <c r="FV102" s="841"/>
      <c r="FW102" s="841"/>
      <c r="FX102" s="841"/>
      <c r="FY102" s="841"/>
      <c r="FZ102" s="841"/>
      <c r="GA102" s="841"/>
      <c r="GB102" s="841"/>
      <c r="GC102" s="841"/>
      <c r="GD102" s="841"/>
      <c r="GE102" s="841"/>
      <c r="GF102" s="841"/>
      <c r="GG102" s="841"/>
      <c r="GH102" s="841"/>
      <c r="GI102" s="841"/>
      <c r="GJ102" s="841"/>
      <c r="GK102" s="841"/>
      <c r="GL102" s="841"/>
      <c r="GM102" s="841"/>
      <c r="GN102" s="841"/>
      <c r="GO102" s="841"/>
      <c r="GP102" s="841"/>
      <c r="GQ102" s="841"/>
      <c r="GR102" s="841"/>
      <c r="GS102" s="841"/>
      <c r="GT102" s="841"/>
      <c r="GU102" s="841"/>
      <c r="GV102" s="841"/>
      <c r="GW102" s="841"/>
      <c r="GX102" s="841"/>
      <c r="GY102" s="841"/>
      <c r="GZ102" s="841"/>
      <c r="HA102" s="841"/>
      <c r="HB102" s="841"/>
      <c r="HC102" s="841"/>
      <c r="HD102" s="841"/>
      <c r="HE102" s="841"/>
      <c r="HF102" s="841"/>
      <c r="HG102" s="841"/>
      <c r="HH102" s="841"/>
      <c r="HI102" s="841"/>
      <c r="HJ102" s="841"/>
      <c r="HK102" s="841"/>
      <c r="HL102" s="841"/>
      <c r="HM102" s="841"/>
      <c r="HN102" s="841"/>
      <c r="HO102" s="841"/>
    </row>
    <row r="103" spans="2:223">
      <c r="B103" s="1201" t="s">
        <v>1183</v>
      </c>
      <c r="C103" s="1201"/>
      <c r="D103" s="1201"/>
      <c r="E103" s="1201"/>
      <c r="F103" s="1201"/>
      <c r="G103" s="1201"/>
      <c r="H103" s="1201"/>
      <c r="I103" s="1201"/>
      <c r="J103" s="1201"/>
      <c r="K103" s="1201"/>
      <c r="L103" s="1201"/>
      <c r="M103" s="1201"/>
      <c r="N103" s="1201"/>
      <c r="O103" s="1201"/>
      <c r="P103" s="1201"/>
      <c r="Q103" s="1201"/>
      <c r="R103" s="1201"/>
      <c r="S103" s="1201"/>
      <c r="T103" s="1201"/>
      <c r="U103" s="1201"/>
      <c r="AM103" s="868"/>
      <c r="AN103" s="868"/>
      <c r="AO103" s="868"/>
      <c r="AP103" s="868"/>
      <c r="AQ103" s="868"/>
      <c r="AR103" s="868"/>
      <c r="CD103" s="1491"/>
      <c r="CE103" s="1501"/>
      <c r="CF103" s="1491"/>
      <c r="CK103" s="1501">
        <f>CK102+1</f>
        <v>42</v>
      </c>
      <c r="DS103" s="841"/>
      <c r="DT103" s="841"/>
      <c r="DU103" s="841"/>
      <c r="DV103" s="841"/>
      <c r="DW103" s="841"/>
      <c r="DX103" s="841"/>
      <c r="DY103" s="841"/>
      <c r="DZ103" s="841"/>
      <c r="EA103" s="841"/>
      <c r="EB103" s="841"/>
      <c r="EC103" s="841"/>
      <c r="ED103" s="841"/>
      <c r="EE103" s="841"/>
      <c r="EF103" s="841"/>
      <c r="EG103" s="841"/>
      <c r="EH103" s="841"/>
      <c r="EI103" s="841"/>
      <c r="EJ103" s="841"/>
      <c r="EK103" s="841"/>
      <c r="EL103" s="841"/>
      <c r="EM103" s="841"/>
      <c r="EN103" s="841"/>
      <c r="EO103" s="841"/>
      <c r="EP103" s="841"/>
      <c r="EQ103" s="841"/>
      <c r="ER103" s="841"/>
      <c r="ES103" s="841"/>
      <c r="ET103" s="841"/>
      <c r="EU103" s="841"/>
      <c r="EV103" s="841"/>
      <c r="EW103" s="841"/>
      <c r="EX103" s="841"/>
      <c r="EY103" s="841"/>
      <c r="EZ103" s="841"/>
      <c r="FA103" s="841"/>
      <c r="FB103" s="841"/>
      <c r="FC103" s="841"/>
      <c r="FD103" s="841"/>
      <c r="FE103" s="841"/>
      <c r="FF103" s="841"/>
      <c r="FG103" s="841"/>
      <c r="FH103" s="841"/>
      <c r="FI103" s="841"/>
      <c r="FJ103" s="841"/>
      <c r="FK103" s="841"/>
      <c r="FL103" s="841"/>
      <c r="FM103" s="841"/>
      <c r="FN103" s="841"/>
      <c r="FO103" s="841"/>
      <c r="FP103" s="841"/>
      <c r="FQ103" s="841"/>
      <c r="FR103" s="841"/>
      <c r="FS103" s="841"/>
      <c r="FT103" s="841"/>
      <c r="FU103" s="841"/>
      <c r="FV103" s="841"/>
      <c r="FW103" s="841"/>
      <c r="FX103" s="841"/>
      <c r="FY103" s="841"/>
      <c r="FZ103" s="841"/>
      <c r="GA103" s="841"/>
      <c r="GB103" s="841"/>
      <c r="GC103" s="841"/>
      <c r="GD103" s="841"/>
      <c r="GE103" s="841"/>
      <c r="GF103" s="841"/>
      <c r="GG103" s="841"/>
      <c r="GH103" s="841"/>
      <c r="GI103" s="841"/>
      <c r="GJ103" s="841"/>
      <c r="GK103" s="841"/>
      <c r="GL103" s="841"/>
      <c r="GM103" s="841"/>
      <c r="GN103" s="841"/>
      <c r="GO103" s="841"/>
      <c r="GP103" s="841"/>
      <c r="GQ103" s="841"/>
      <c r="GR103" s="841"/>
      <c r="GS103" s="841"/>
      <c r="GT103" s="841"/>
      <c r="GU103" s="841"/>
      <c r="GV103" s="841"/>
      <c r="GW103" s="841"/>
      <c r="GX103" s="841"/>
      <c r="GY103" s="841"/>
      <c r="GZ103" s="841"/>
      <c r="HA103" s="841"/>
      <c r="HB103" s="841"/>
      <c r="HC103" s="841"/>
      <c r="HD103" s="841"/>
      <c r="HE103" s="841"/>
      <c r="HF103" s="841"/>
      <c r="HG103" s="841"/>
      <c r="HH103" s="841"/>
      <c r="HI103" s="841"/>
      <c r="HJ103" s="841"/>
      <c r="HK103" s="841"/>
      <c r="HL103" s="841"/>
      <c r="HM103" s="841"/>
      <c r="HN103" s="841"/>
      <c r="HO103" s="841"/>
    </row>
    <row r="104" spans="2:223" ht="21" thickBot="1">
      <c r="CD104" s="1491"/>
      <c r="CE104" s="1501"/>
      <c r="CF104" s="1491"/>
      <c r="CK104" s="1501">
        <f t="shared" si="3"/>
        <v>43</v>
      </c>
      <c r="DS104" s="841"/>
      <c r="DT104" s="841"/>
      <c r="DU104" s="841"/>
      <c r="DV104" s="841"/>
      <c r="DW104" s="841"/>
      <c r="DX104" s="841"/>
      <c r="DY104" s="841"/>
      <c r="DZ104" s="841"/>
      <c r="EA104" s="841"/>
      <c r="EB104" s="841"/>
      <c r="EC104" s="841"/>
      <c r="ED104" s="841"/>
      <c r="EE104" s="841"/>
      <c r="EF104" s="841"/>
      <c r="EG104" s="841"/>
      <c r="EH104" s="841"/>
      <c r="EI104" s="841"/>
      <c r="EJ104" s="841"/>
      <c r="EK104" s="841"/>
      <c r="EL104" s="841"/>
      <c r="EM104" s="841"/>
      <c r="EN104" s="841"/>
      <c r="EO104" s="841"/>
      <c r="EP104" s="841"/>
      <c r="EQ104" s="841"/>
      <c r="ER104" s="841"/>
      <c r="ES104" s="841"/>
      <c r="ET104" s="841"/>
      <c r="EU104" s="841"/>
      <c r="EV104" s="841"/>
      <c r="EW104" s="841"/>
      <c r="EX104" s="841"/>
      <c r="EY104" s="841"/>
      <c r="EZ104" s="841"/>
      <c r="FA104" s="841"/>
      <c r="FB104" s="841"/>
      <c r="FC104" s="841"/>
      <c r="FD104" s="841"/>
      <c r="FE104" s="841"/>
      <c r="FF104" s="841"/>
      <c r="FG104" s="841"/>
      <c r="FH104" s="841"/>
      <c r="FI104" s="841"/>
      <c r="FJ104" s="841"/>
      <c r="FK104" s="841"/>
      <c r="FL104" s="841"/>
      <c r="FM104" s="841"/>
      <c r="FN104" s="841"/>
      <c r="FO104" s="841"/>
      <c r="FP104" s="841"/>
      <c r="FQ104" s="841"/>
      <c r="FR104" s="841"/>
      <c r="FS104" s="841"/>
      <c r="FT104" s="841"/>
      <c r="FU104" s="841"/>
      <c r="FV104" s="841"/>
      <c r="FW104" s="841"/>
      <c r="FX104" s="841"/>
      <c r="FY104" s="841"/>
      <c r="FZ104" s="841"/>
      <c r="GA104" s="841"/>
      <c r="GB104" s="841"/>
      <c r="GC104" s="841"/>
      <c r="GD104" s="841"/>
      <c r="GE104" s="841"/>
      <c r="GF104" s="841"/>
      <c r="GG104" s="841"/>
      <c r="GH104" s="841"/>
      <c r="GI104" s="841"/>
      <c r="GJ104" s="841"/>
      <c r="GK104" s="841"/>
      <c r="GL104" s="841"/>
      <c r="GM104" s="841"/>
      <c r="GN104" s="841"/>
      <c r="GO104" s="841"/>
      <c r="GP104" s="841"/>
      <c r="GQ104" s="841"/>
      <c r="GR104" s="841"/>
      <c r="GS104" s="841"/>
      <c r="GT104" s="841"/>
      <c r="GU104" s="841"/>
      <c r="GV104" s="841"/>
      <c r="GW104" s="841"/>
      <c r="GX104" s="841"/>
      <c r="GY104" s="841"/>
      <c r="GZ104" s="841"/>
      <c r="HA104" s="841"/>
      <c r="HB104" s="841"/>
      <c r="HC104" s="841"/>
      <c r="HD104" s="841"/>
      <c r="HE104" s="841"/>
      <c r="HF104" s="841"/>
      <c r="HG104" s="841"/>
      <c r="HH104" s="841"/>
      <c r="HI104" s="841"/>
      <c r="HJ104" s="841"/>
      <c r="HK104" s="841"/>
      <c r="HL104" s="841"/>
      <c r="HM104" s="841"/>
      <c r="HN104" s="841"/>
      <c r="HO104" s="841"/>
    </row>
    <row r="105" spans="2:223" ht="41.25" thickBot="1">
      <c r="B105" s="1208" t="s">
        <v>406</v>
      </c>
      <c r="C105" s="1209"/>
      <c r="D105" s="1208" t="s">
        <v>1184</v>
      </c>
      <c r="E105" s="1212"/>
      <c r="F105" s="2107" t="s">
        <v>1185</v>
      </c>
      <c r="G105" s="2108"/>
      <c r="H105" s="2109"/>
      <c r="I105" s="1212"/>
      <c r="J105" s="1211" t="s">
        <v>389</v>
      </c>
      <c r="K105" s="1212"/>
      <c r="L105" s="1235" t="s">
        <v>295</v>
      </c>
      <c r="CD105" s="1491"/>
      <c r="CE105" s="1501"/>
      <c r="CF105" s="1491"/>
      <c r="CK105" s="1501">
        <f t="shared" si="3"/>
        <v>44</v>
      </c>
      <c r="DS105" s="841"/>
      <c r="DT105" s="841"/>
      <c r="DU105" s="841"/>
      <c r="DV105" s="841"/>
      <c r="DW105" s="841"/>
      <c r="DX105" s="841"/>
      <c r="DY105" s="841"/>
      <c r="DZ105" s="841"/>
      <c r="EA105" s="841"/>
      <c r="EB105" s="841"/>
      <c r="EC105" s="841"/>
      <c r="ED105" s="841"/>
      <c r="EE105" s="841"/>
      <c r="EF105" s="841"/>
      <c r="EG105" s="841"/>
      <c r="EH105" s="841"/>
      <c r="EI105" s="841"/>
      <c r="EJ105" s="841"/>
      <c r="EK105" s="841"/>
      <c r="EL105" s="841"/>
      <c r="EM105" s="841"/>
      <c r="EN105" s="841"/>
      <c r="EO105" s="841"/>
      <c r="EP105" s="841"/>
      <c r="EQ105" s="841"/>
      <c r="ER105" s="841"/>
      <c r="ES105" s="841"/>
      <c r="ET105" s="841"/>
      <c r="EU105" s="841"/>
      <c r="EV105" s="841"/>
      <c r="EW105" s="841"/>
      <c r="EX105" s="841"/>
      <c r="EY105" s="841"/>
      <c r="EZ105" s="841"/>
      <c r="FA105" s="841"/>
      <c r="FB105" s="841"/>
      <c r="FC105" s="841"/>
      <c r="FD105" s="841"/>
      <c r="FE105" s="841"/>
      <c r="FF105" s="841"/>
      <c r="FG105" s="841"/>
      <c r="FH105" s="841"/>
      <c r="FI105" s="841"/>
      <c r="FJ105" s="841"/>
      <c r="FK105" s="841"/>
      <c r="FL105" s="841"/>
      <c r="FM105" s="841"/>
      <c r="FN105" s="841"/>
      <c r="FO105" s="841"/>
      <c r="FP105" s="841"/>
      <c r="FQ105" s="841"/>
      <c r="FR105" s="841"/>
      <c r="FS105" s="841"/>
      <c r="FT105" s="841"/>
      <c r="FU105" s="841"/>
      <c r="FV105" s="841"/>
      <c r="FW105" s="841"/>
      <c r="FX105" s="841"/>
      <c r="FY105" s="841"/>
      <c r="FZ105" s="841"/>
      <c r="GA105" s="841"/>
      <c r="GB105" s="841"/>
      <c r="GC105" s="841"/>
      <c r="GD105" s="841"/>
      <c r="GE105" s="841"/>
      <c r="GF105" s="841"/>
      <c r="GG105" s="841"/>
      <c r="GH105" s="841"/>
      <c r="GI105" s="841"/>
      <c r="GJ105" s="841"/>
      <c r="GK105" s="841"/>
      <c r="GL105" s="841"/>
      <c r="GM105" s="841"/>
      <c r="GN105" s="841"/>
      <c r="GO105" s="841"/>
      <c r="GP105" s="841"/>
      <c r="GQ105" s="841"/>
      <c r="GR105" s="841"/>
      <c r="GS105" s="841"/>
      <c r="GT105" s="841"/>
      <c r="GU105" s="841"/>
      <c r="GV105" s="841"/>
      <c r="GW105" s="841"/>
      <c r="GX105" s="841"/>
      <c r="GY105" s="841"/>
      <c r="GZ105" s="841"/>
      <c r="HA105" s="841"/>
      <c r="HB105" s="841"/>
      <c r="HC105" s="841"/>
      <c r="HD105" s="841"/>
      <c r="HE105" s="841"/>
      <c r="HF105" s="841"/>
      <c r="HG105" s="841"/>
      <c r="HH105" s="841"/>
      <c r="HI105" s="841"/>
      <c r="HJ105" s="841"/>
      <c r="HK105" s="841"/>
      <c r="HL105" s="841"/>
      <c r="HM105" s="841"/>
      <c r="HN105" s="841"/>
      <c r="HO105" s="841"/>
    </row>
    <row r="106" spans="2:223" ht="11.25" customHeight="1">
      <c r="B106" s="1212"/>
      <c r="C106" s="1212"/>
      <c r="D106" s="1212"/>
      <c r="E106" s="1212"/>
      <c r="F106" s="1212"/>
      <c r="G106" s="1212"/>
      <c r="H106" s="1212"/>
      <c r="I106" s="1212"/>
      <c r="J106" s="1212"/>
      <c r="K106" s="1212"/>
      <c r="L106" s="1212"/>
      <c r="CD106" s="1491"/>
      <c r="CE106" s="1501"/>
      <c r="CF106" s="1491"/>
      <c r="CK106" s="1501">
        <f t="shared" si="3"/>
        <v>45</v>
      </c>
      <c r="DS106" s="841"/>
      <c r="DT106" s="841"/>
      <c r="DU106" s="841"/>
      <c r="DV106" s="841"/>
      <c r="DW106" s="841"/>
      <c r="DX106" s="841"/>
      <c r="DY106" s="841"/>
      <c r="DZ106" s="841"/>
      <c r="EA106" s="841"/>
      <c r="EB106" s="841"/>
      <c r="EC106" s="841"/>
      <c r="ED106" s="841"/>
      <c r="EE106" s="841"/>
      <c r="EF106" s="841"/>
      <c r="EG106" s="841"/>
      <c r="EH106" s="841"/>
      <c r="EI106" s="841"/>
      <c r="EJ106" s="841"/>
      <c r="EK106" s="841"/>
      <c r="EL106" s="841"/>
      <c r="EM106" s="841"/>
      <c r="EN106" s="841"/>
      <c r="EO106" s="841"/>
      <c r="EP106" s="841"/>
      <c r="EQ106" s="841"/>
      <c r="ER106" s="841"/>
      <c r="ES106" s="841"/>
      <c r="ET106" s="841"/>
      <c r="EU106" s="841"/>
      <c r="EV106" s="841"/>
      <c r="EW106" s="841"/>
      <c r="EX106" s="841"/>
      <c r="EY106" s="841"/>
      <c r="EZ106" s="841"/>
      <c r="FA106" s="841"/>
      <c r="FB106" s="841"/>
      <c r="FC106" s="841"/>
      <c r="FD106" s="841"/>
      <c r="FE106" s="841"/>
      <c r="FF106" s="841"/>
      <c r="FG106" s="841"/>
      <c r="FH106" s="841"/>
      <c r="FI106" s="841"/>
      <c r="FJ106" s="841"/>
      <c r="FK106" s="841"/>
      <c r="FL106" s="841"/>
      <c r="FM106" s="841"/>
      <c r="FN106" s="841"/>
      <c r="FO106" s="841"/>
      <c r="FP106" s="841"/>
      <c r="FQ106" s="841"/>
      <c r="FR106" s="841"/>
      <c r="FS106" s="841"/>
      <c r="FT106" s="841"/>
      <c r="FU106" s="841"/>
      <c r="FV106" s="841"/>
      <c r="FW106" s="841"/>
      <c r="FX106" s="841"/>
      <c r="FY106" s="841"/>
      <c r="FZ106" s="841"/>
      <c r="GA106" s="841"/>
      <c r="GB106" s="841"/>
      <c r="GC106" s="841"/>
      <c r="GD106" s="841"/>
      <c r="GE106" s="841"/>
      <c r="GF106" s="841"/>
      <c r="GG106" s="841"/>
      <c r="GH106" s="841"/>
      <c r="GI106" s="841"/>
      <c r="GJ106" s="841"/>
      <c r="GK106" s="841"/>
      <c r="GL106" s="841"/>
      <c r="GM106" s="841"/>
      <c r="GN106" s="841"/>
      <c r="GO106" s="841"/>
      <c r="GP106" s="841"/>
      <c r="GQ106" s="841"/>
      <c r="GR106" s="841"/>
      <c r="GS106" s="841"/>
      <c r="GT106" s="841"/>
      <c r="GU106" s="841"/>
      <c r="GV106" s="841"/>
      <c r="GW106" s="841"/>
      <c r="GX106" s="841"/>
      <c r="GY106" s="841"/>
      <c r="GZ106" s="841"/>
      <c r="HA106" s="841"/>
      <c r="HB106" s="841"/>
      <c r="HC106" s="841"/>
      <c r="HD106" s="841"/>
      <c r="HE106" s="841"/>
      <c r="HF106" s="841"/>
      <c r="HG106" s="841"/>
      <c r="HH106" s="841"/>
      <c r="HI106" s="841"/>
      <c r="HJ106" s="841"/>
      <c r="HK106" s="841"/>
      <c r="HL106" s="841"/>
      <c r="HM106" s="841"/>
      <c r="HN106" s="841"/>
      <c r="HO106" s="841"/>
    </row>
    <row r="107" spans="2:223" ht="21" thickBot="1">
      <c r="B107" s="1206"/>
      <c r="C107" s="1219"/>
      <c r="D107" s="1206"/>
      <c r="E107" s="1212"/>
      <c r="F107" s="2104"/>
      <c r="G107" s="2105"/>
      <c r="H107" s="2106"/>
      <c r="I107" s="1212"/>
      <c r="J107" s="1233">
        <f>IF(ISBLANK(F107),0,IF($D$17&lt;&gt;"Preaprobadas",VLOOKUP(F107,Calculos_cuotas!K18:L19,2,FALSE),VLOOKUP(F107,Calculos_cuotas!A268:E269,1+Calculos_cuotas!$B$270,FALSE)))</f>
        <v>0</v>
      </c>
      <c r="K107" s="1212"/>
      <c r="L107" s="1233">
        <f>IF($D$77=1,"N/D", D107*J107)</f>
        <v>0</v>
      </c>
      <c r="P107" s="868"/>
      <c r="CD107" s="1491"/>
      <c r="CE107" s="1501"/>
      <c r="CF107" s="1491"/>
      <c r="DS107" s="841"/>
      <c r="DT107" s="841"/>
      <c r="DU107" s="841"/>
      <c r="DV107" s="841"/>
      <c r="DW107" s="841"/>
      <c r="DX107" s="841"/>
      <c r="DY107" s="841"/>
      <c r="DZ107" s="841"/>
      <c r="EA107" s="841"/>
      <c r="EB107" s="841"/>
      <c r="EC107" s="841"/>
      <c r="ED107" s="841"/>
      <c r="EE107" s="841"/>
      <c r="EF107" s="841"/>
      <c r="EG107" s="841"/>
      <c r="EH107" s="841"/>
      <c r="EI107" s="841"/>
      <c r="EJ107" s="841"/>
      <c r="EK107" s="841"/>
      <c r="EL107" s="841"/>
      <c r="EM107" s="841"/>
      <c r="EN107" s="841"/>
      <c r="EO107" s="841"/>
      <c r="EP107" s="841"/>
      <c r="EQ107" s="841"/>
      <c r="ER107" s="841"/>
      <c r="ES107" s="841"/>
      <c r="ET107" s="841"/>
      <c r="EU107" s="841"/>
      <c r="EV107" s="841"/>
      <c r="EW107" s="841"/>
      <c r="EX107" s="841"/>
      <c r="EY107" s="841"/>
      <c r="EZ107" s="841"/>
      <c r="FA107" s="841"/>
      <c r="FB107" s="841"/>
      <c r="FC107" s="841"/>
      <c r="FD107" s="841"/>
      <c r="FE107" s="841"/>
      <c r="FF107" s="841"/>
      <c r="FG107" s="841"/>
      <c r="FH107" s="841"/>
      <c r="FI107" s="841"/>
      <c r="FJ107" s="841"/>
      <c r="FK107" s="841"/>
      <c r="FL107" s="841"/>
      <c r="FM107" s="841"/>
      <c r="FN107" s="841"/>
      <c r="FO107" s="841"/>
      <c r="FP107" s="841"/>
      <c r="FQ107" s="841"/>
      <c r="FR107" s="841"/>
      <c r="FS107" s="841"/>
      <c r="FT107" s="841"/>
      <c r="FU107" s="841"/>
      <c r="FV107" s="841"/>
      <c r="FW107" s="841"/>
      <c r="FX107" s="841"/>
      <c r="FY107" s="841"/>
      <c r="FZ107" s="841"/>
      <c r="GA107" s="841"/>
      <c r="GB107" s="841"/>
      <c r="GC107" s="841"/>
      <c r="GD107" s="841"/>
      <c r="GE107" s="841"/>
      <c r="GF107" s="841"/>
      <c r="GG107" s="841"/>
      <c r="GH107" s="841"/>
      <c r="GI107" s="841"/>
      <c r="GJ107" s="841"/>
      <c r="GK107" s="841"/>
      <c r="GL107" s="841"/>
      <c r="GM107" s="841"/>
      <c r="GN107" s="841"/>
      <c r="GO107" s="841"/>
      <c r="GP107" s="841"/>
      <c r="GQ107" s="841"/>
      <c r="GR107" s="841"/>
      <c r="GS107" s="841"/>
      <c r="GT107" s="841"/>
      <c r="GU107" s="841"/>
      <c r="GV107" s="841"/>
      <c r="GW107" s="841"/>
      <c r="GX107" s="841"/>
      <c r="GY107" s="841"/>
      <c r="GZ107" s="841"/>
      <c r="HA107" s="841"/>
      <c r="HB107" s="841"/>
      <c r="HC107" s="841"/>
      <c r="HD107" s="841"/>
      <c r="HE107" s="841"/>
      <c r="HF107" s="841"/>
      <c r="HG107" s="841"/>
      <c r="HH107" s="841"/>
      <c r="HI107" s="841"/>
      <c r="HJ107" s="841"/>
      <c r="HK107" s="841"/>
      <c r="HL107" s="841"/>
      <c r="HM107" s="841"/>
      <c r="HN107" s="841"/>
      <c r="HO107" s="841"/>
    </row>
    <row r="108" spans="2:223" ht="13.5" customHeight="1" thickTop="1">
      <c r="B108" s="1212"/>
      <c r="C108" s="1212"/>
      <c r="D108" s="1212"/>
      <c r="E108" s="1212"/>
      <c r="F108" s="1212"/>
      <c r="G108" s="1212"/>
      <c r="H108" s="1212"/>
      <c r="I108" s="1212"/>
      <c r="J108" s="1212"/>
      <c r="K108" s="1212"/>
      <c r="L108" s="1212"/>
      <c r="P108" s="868"/>
      <c r="CD108" s="1491"/>
      <c r="CE108" s="1501"/>
      <c r="CF108" s="1491"/>
      <c r="DS108" s="841"/>
      <c r="DT108" s="841"/>
      <c r="DU108" s="841"/>
      <c r="DV108" s="841"/>
      <c r="DW108" s="841"/>
      <c r="DX108" s="841"/>
      <c r="DY108" s="841"/>
      <c r="DZ108" s="841"/>
      <c r="EA108" s="841"/>
      <c r="EB108" s="841"/>
      <c r="EC108" s="841"/>
      <c r="ED108" s="841"/>
      <c r="EE108" s="841"/>
      <c r="EF108" s="841"/>
      <c r="EG108" s="841"/>
      <c r="EH108" s="841"/>
      <c r="EI108" s="841"/>
      <c r="EJ108" s="841"/>
      <c r="EK108" s="841"/>
      <c r="EL108" s="841"/>
      <c r="EM108" s="841"/>
      <c r="EN108" s="841"/>
      <c r="EO108" s="841"/>
      <c r="EP108" s="841"/>
      <c r="EQ108" s="841"/>
      <c r="ER108" s="841"/>
      <c r="ES108" s="841"/>
      <c r="ET108" s="841"/>
      <c r="EU108" s="841"/>
      <c r="EV108" s="841"/>
      <c r="EW108" s="841"/>
      <c r="EX108" s="841"/>
      <c r="EY108" s="841"/>
      <c r="EZ108" s="841"/>
      <c r="FA108" s="841"/>
      <c r="FB108" s="841"/>
      <c r="FC108" s="841"/>
      <c r="FD108" s="841"/>
      <c r="FE108" s="841"/>
      <c r="FF108" s="841"/>
      <c r="FG108" s="841"/>
      <c r="FH108" s="841"/>
      <c r="FI108" s="841"/>
      <c r="FJ108" s="841"/>
      <c r="FK108" s="841"/>
      <c r="FL108" s="841"/>
      <c r="FM108" s="841"/>
      <c r="FN108" s="841"/>
      <c r="FO108" s="841"/>
      <c r="FP108" s="841"/>
      <c r="FQ108" s="841"/>
      <c r="FR108" s="841"/>
      <c r="FS108" s="841"/>
      <c r="FT108" s="841"/>
      <c r="FU108" s="841"/>
      <c r="FV108" s="841"/>
      <c r="FW108" s="841"/>
      <c r="FX108" s="841"/>
      <c r="FY108" s="841"/>
      <c r="FZ108" s="841"/>
      <c r="GA108" s="841"/>
      <c r="GB108" s="841"/>
      <c r="GC108" s="841"/>
      <c r="GD108" s="841"/>
      <c r="GE108" s="841"/>
      <c r="GF108" s="841"/>
      <c r="GG108" s="841"/>
      <c r="GH108" s="841"/>
      <c r="GI108" s="841"/>
      <c r="GJ108" s="841"/>
      <c r="GK108" s="841"/>
      <c r="GL108" s="841"/>
      <c r="GM108" s="841"/>
      <c r="GN108" s="841"/>
      <c r="GO108" s="841"/>
      <c r="GP108" s="841"/>
      <c r="GQ108" s="841"/>
      <c r="GR108" s="841"/>
      <c r="GS108" s="841"/>
      <c r="GT108" s="841"/>
      <c r="GU108" s="841"/>
      <c r="GV108" s="841"/>
      <c r="GW108" s="841"/>
      <c r="GX108" s="841"/>
      <c r="GY108" s="841"/>
      <c r="GZ108" s="841"/>
      <c r="HA108" s="841"/>
      <c r="HB108" s="841"/>
      <c r="HC108" s="841"/>
      <c r="HD108" s="841"/>
      <c r="HE108" s="841"/>
      <c r="HF108" s="841"/>
      <c r="HG108" s="841"/>
      <c r="HH108" s="841"/>
      <c r="HI108" s="841"/>
      <c r="HJ108" s="841"/>
      <c r="HK108" s="841"/>
      <c r="HL108" s="841"/>
      <c r="HM108" s="841"/>
      <c r="HN108" s="841"/>
      <c r="HO108" s="841"/>
    </row>
    <row r="109" spans="2:223" ht="21" thickBot="1">
      <c r="B109" s="1206"/>
      <c r="C109" s="1219"/>
      <c r="D109" s="1206"/>
      <c r="E109" s="1212"/>
      <c r="F109" s="2104"/>
      <c r="G109" s="2105"/>
      <c r="H109" s="2106"/>
      <c r="I109" s="1212"/>
      <c r="J109" s="1233">
        <f>IF(ISBLANK(F109),0,IF($D$17&lt;&gt;"Preaprobadas",VLOOKUP(F109,Calculos_cuotas!K18:L19,2,FALSE),VLOOKUP(F109,Calculos_cuotas!$A$268:$E$269,1+Calculos_cuotas!$B$270,FALSE)))</f>
        <v>0</v>
      </c>
      <c r="K109" s="1212"/>
      <c r="L109" s="1233">
        <f>IF($D$77=1,"N/D", D109*J109)</f>
        <v>0</v>
      </c>
      <c r="CD109" s="1491"/>
      <c r="CE109" s="1501"/>
      <c r="CF109" s="1491"/>
      <c r="DS109" s="841"/>
      <c r="DT109" s="841"/>
      <c r="DU109" s="841"/>
      <c r="DV109" s="841"/>
      <c r="DW109" s="841"/>
      <c r="DX109" s="841"/>
      <c r="DY109" s="841"/>
      <c r="DZ109" s="841"/>
      <c r="EA109" s="841"/>
      <c r="EB109" s="841"/>
      <c r="EC109" s="841"/>
      <c r="ED109" s="841"/>
      <c r="EE109" s="841"/>
      <c r="EF109" s="841"/>
      <c r="EG109" s="841"/>
      <c r="EH109" s="841"/>
      <c r="EI109" s="841"/>
      <c r="EJ109" s="841"/>
      <c r="EK109" s="841"/>
      <c r="EL109" s="841"/>
      <c r="EM109" s="841"/>
      <c r="EN109" s="841"/>
      <c r="EO109" s="841"/>
      <c r="EP109" s="841"/>
      <c r="EQ109" s="841"/>
      <c r="ER109" s="841"/>
      <c r="ES109" s="841"/>
      <c r="ET109" s="841"/>
      <c r="EU109" s="841"/>
      <c r="EV109" s="841"/>
      <c r="EW109" s="841"/>
      <c r="EX109" s="841"/>
      <c r="EY109" s="841"/>
      <c r="EZ109" s="841"/>
      <c r="FA109" s="841"/>
      <c r="FB109" s="841"/>
      <c r="FC109" s="841"/>
      <c r="FD109" s="841"/>
      <c r="FE109" s="841"/>
      <c r="FF109" s="841"/>
      <c r="FG109" s="841"/>
      <c r="FH109" s="841"/>
      <c r="FI109" s="841"/>
      <c r="FJ109" s="841"/>
      <c r="FK109" s="841"/>
      <c r="FL109" s="841"/>
      <c r="FM109" s="841"/>
      <c r="FN109" s="841"/>
      <c r="FO109" s="841"/>
      <c r="FP109" s="841"/>
      <c r="FQ109" s="841"/>
      <c r="FR109" s="841"/>
      <c r="FS109" s="841"/>
      <c r="FT109" s="841"/>
      <c r="FU109" s="841"/>
      <c r="FV109" s="841"/>
      <c r="FW109" s="841"/>
      <c r="FX109" s="841"/>
      <c r="FY109" s="841"/>
      <c r="FZ109" s="841"/>
      <c r="GA109" s="841"/>
      <c r="GB109" s="841"/>
      <c r="GC109" s="841"/>
      <c r="GD109" s="841"/>
      <c r="GE109" s="841"/>
      <c r="GF109" s="841"/>
      <c r="GG109" s="841"/>
      <c r="GH109" s="841"/>
      <c r="GI109" s="841"/>
      <c r="GJ109" s="841"/>
      <c r="GK109" s="841"/>
      <c r="GL109" s="841"/>
      <c r="GM109" s="841"/>
      <c r="GN109" s="841"/>
      <c r="GO109" s="841"/>
      <c r="GP109" s="841"/>
      <c r="GQ109" s="841"/>
      <c r="GR109" s="841"/>
      <c r="GS109" s="841"/>
      <c r="GT109" s="841"/>
      <c r="GU109" s="841"/>
      <c r="GV109" s="841"/>
      <c r="GW109" s="841"/>
      <c r="GX109" s="841"/>
      <c r="GY109" s="841"/>
      <c r="GZ109" s="841"/>
      <c r="HA109" s="841"/>
      <c r="HB109" s="841"/>
      <c r="HC109" s="841"/>
      <c r="HD109" s="841"/>
      <c r="HE109" s="841"/>
      <c r="HF109" s="841"/>
      <c r="HG109" s="841"/>
      <c r="HH109" s="841"/>
      <c r="HI109" s="841"/>
      <c r="HJ109" s="841"/>
      <c r="HK109" s="841"/>
      <c r="HL109" s="841"/>
      <c r="HM109" s="841"/>
      <c r="HN109" s="841"/>
      <c r="HO109" s="841"/>
    </row>
    <row r="110" spans="2:223" ht="21" thickTop="1">
      <c r="CD110" s="1491"/>
      <c r="CE110" s="1501"/>
      <c r="CF110" s="1491"/>
      <c r="DS110" s="841"/>
      <c r="DT110" s="841"/>
      <c r="DU110" s="841"/>
      <c r="DV110" s="841"/>
      <c r="DW110" s="841"/>
      <c r="DX110" s="841"/>
      <c r="DY110" s="841"/>
      <c r="DZ110" s="841"/>
      <c r="EA110" s="841"/>
      <c r="EB110" s="841"/>
      <c r="EC110" s="841"/>
      <c r="ED110" s="841"/>
      <c r="EE110" s="841"/>
      <c r="EF110" s="841"/>
      <c r="EG110" s="841"/>
      <c r="EH110" s="841"/>
      <c r="EI110" s="841"/>
      <c r="EJ110" s="841"/>
      <c r="EK110" s="841"/>
      <c r="EL110" s="841"/>
      <c r="EM110" s="841"/>
      <c r="EN110" s="841"/>
      <c r="EO110" s="841"/>
      <c r="EP110" s="841"/>
      <c r="EQ110" s="841"/>
      <c r="ER110" s="841"/>
      <c r="ES110" s="841"/>
      <c r="ET110" s="841"/>
      <c r="EU110" s="841"/>
      <c r="EV110" s="841"/>
      <c r="EW110" s="841"/>
      <c r="EX110" s="841"/>
      <c r="EY110" s="841"/>
      <c r="EZ110" s="841"/>
      <c r="FA110" s="841"/>
      <c r="FB110" s="841"/>
      <c r="FC110" s="841"/>
      <c r="FD110" s="841"/>
      <c r="FE110" s="841"/>
      <c r="FF110" s="841"/>
      <c r="FG110" s="841"/>
      <c r="FH110" s="841"/>
      <c r="FI110" s="841"/>
      <c r="FJ110" s="841"/>
      <c r="FK110" s="841"/>
      <c r="FL110" s="841"/>
      <c r="FM110" s="841"/>
      <c r="FN110" s="841"/>
      <c r="FO110" s="841"/>
      <c r="FP110" s="841"/>
      <c r="FQ110" s="841"/>
      <c r="FR110" s="841"/>
      <c r="FS110" s="841"/>
      <c r="FT110" s="841"/>
      <c r="FU110" s="841"/>
      <c r="FV110" s="841"/>
      <c r="FW110" s="841"/>
      <c r="FX110" s="841"/>
      <c r="FY110" s="841"/>
      <c r="FZ110" s="841"/>
      <c r="GA110" s="841"/>
      <c r="GB110" s="841"/>
      <c r="GC110" s="841"/>
      <c r="GD110" s="841"/>
      <c r="GE110" s="841"/>
      <c r="GF110" s="841"/>
      <c r="GG110" s="841"/>
      <c r="GH110" s="841"/>
      <c r="GI110" s="841"/>
      <c r="GJ110" s="841"/>
      <c r="GK110" s="841"/>
      <c r="GL110" s="841"/>
      <c r="GM110" s="841"/>
      <c r="GN110" s="841"/>
      <c r="GO110" s="841"/>
      <c r="GP110" s="841"/>
      <c r="GQ110" s="841"/>
      <c r="GR110" s="841"/>
      <c r="GS110" s="841"/>
      <c r="GT110" s="841"/>
      <c r="GU110" s="841"/>
      <c r="GV110" s="841"/>
      <c r="GW110" s="841"/>
      <c r="GX110" s="841"/>
      <c r="GY110" s="841"/>
      <c r="GZ110" s="841"/>
      <c r="HA110" s="841"/>
      <c r="HB110" s="841"/>
      <c r="HC110" s="841"/>
      <c r="HD110" s="841"/>
      <c r="HE110" s="841"/>
      <c r="HF110" s="841"/>
      <c r="HG110" s="841"/>
      <c r="HH110" s="841"/>
      <c r="HI110" s="841"/>
      <c r="HJ110" s="841"/>
      <c r="HK110" s="841"/>
      <c r="HL110" s="841"/>
      <c r="HM110" s="841"/>
      <c r="HN110" s="841"/>
      <c r="HO110" s="841"/>
    </row>
    <row r="111" spans="2:223" ht="42" customHeight="1" thickBot="1">
      <c r="D111" s="866">
        <f>SUM(D107:D109)</f>
        <v>0</v>
      </c>
      <c r="L111" s="961">
        <f>IF(D77=1,"No disponible", SUM(L107:L109))</f>
        <v>0</v>
      </c>
      <c r="CD111" s="1491"/>
      <c r="CE111" s="1501"/>
      <c r="CF111" s="1491"/>
      <c r="DS111" s="841"/>
      <c r="DT111" s="841"/>
      <c r="DU111" s="841"/>
      <c r="DV111" s="841"/>
      <c r="DW111" s="841"/>
      <c r="DX111" s="841"/>
      <c r="DY111" s="841"/>
      <c r="DZ111" s="841"/>
      <c r="EA111" s="841"/>
      <c r="EB111" s="841"/>
      <c r="EC111" s="841"/>
      <c r="ED111" s="841"/>
      <c r="EE111" s="841"/>
      <c r="EF111" s="841"/>
      <c r="EG111" s="841"/>
      <c r="EH111" s="841"/>
      <c r="EI111" s="841"/>
      <c r="EJ111" s="841"/>
      <c r="EK111" s="841"/>
      <c r="EL111" s="841"/>
      <c r="EM111" s="841"/>
      <c r="EN111" s="841"/>
      <c r="EO111" s="841"/>
      <c r="EP111" s="841"/>
      <c r="EQ111" s="841"/>
      <c r="ER111" s="841"/>
      <c r="ES111" s="841"/>
      <c r="ET111" s="841"/>
      <c r="EU111" s="841"/>
      <c r="EV111" s="841"/>
      <c r="EW111" s="841"/>
      <c r="EX111" s="841"/>
      <c r="EY111" s="841"/>
      <c r="EZ111" s="841"/>
      <c r="FA111" s="841"/>
      <c r="FB111" s="841"/>
      <c r="FC111" s="841"/>
      <c r="FD111" s="841"/>
      <c r="FE111" s="841"/>
      <c r="FF111" s="841"/>
      <c r="FG111" s="841"/>
      <c r="FH111" s="841"/>
      <c r="FI111" s="841"/>
      <c r="FJ111" s="841"/>
      <c r="FK111" s="841"/>
      <c r="FL111" s="841"/>
      <c r="FM111" s="841"/>
      <c r="FN111" s="841"/>
      <c r="FO111" s="841"/>
      <c r="FP111" s="841"/>
      <c r="FQ111" s="841"/>
      <c r="FR111" s="841"/>
      <c r="FS111" s="841"/>
      <c r="FT111" s="841"/>
      <c r="FU111" s="841"/>
      <c r="FV111" s="841"/>
      <c r="FW111" s="841"/>
      <c r="FX111" s="841"/>
      <c r="FY111" s="841"/>
      <c r="FZ111" s="841"/>
      <c r="GA111" s="841"/>
      <c r="GB111" s="841"/>
      <c r="GC111" s="841"/>
      <c r="GD111" s="841"/>
      <c r="GE111" s="841"/>
      <c r="GF111" s="841"/>
      <c r="GG111" s="841"/>
      <c r="GH111" s="841"/>
      <c r="GI111" s="841"/>
      <c r="GJ111" s="841"/>
      <c r="GK111" s="841"/>
      <c r="GL111" s="841"/>
      <c r="GM111" s="841"/>
      <c r="GN111" s="841"/>
      <c r="GO111" s="841"/>
      <c r="GP111" s="841"/>
      <c r="GQ111" s="841"/>
      <c r="GR111" s="841"/>
      <c r="GS111" s="841"/>
      <c r="GT111" s="841"/>
      <c r="GU111" s="841"/>
      <c r="GV111" s="841"/>
      <c r="GW111" s="841"/>
      <c r="GX111" s="841"/>
      <c r="GY111" s="841"/>
      <c r="GZ111" s="841"/>
      <c r="HA111" s="841"/>
      <c r="HB111" s="841"/>
      <c r="HC111" s="841"/>
      <c r="HD111" s="841"/>
      <c r="HE111" s="841"/>
      <c r="HF111" s="841"/>
      <c r="HG111" s="841"/>
      <c r="HH111" s="841"/>
      <c r="HI111" s="841"/>
      <c r="HJ111" s="841"/>
      <c r="HK111" s="841"/>
      <c r="HL111" s="841"/>
      <c r="HM111" s="841"/>
      <c r="HN111" s="841"/>
      <c r="HO111" s="841"/>
    </row>
    <row r="112" spans="2:223" ht="21" thickTop="1">
      <c r="CD112" s="1491"/>
      <c r="CE112" s="1501"/>
      <c r="CF112" s="1491"/>
      <c r="DS112" s="841"/>
      <c r="DT112" s="841"/>
      <c r="DU112" s="841"/>
      <c r="DV112" s="841"/>
      <c r="DW112" s="841"/>
      <c r="DX112" s="841"/>
      <c r="DY112" s="841"/>
      <c r="DZ112" s="841"/>
      <c r="EA112" s="841"/>
      <c r="EB112" s="841"/>
      <c r="EC112" s="841"/>
      <c r="ED112" s="841"/>
      <c r="EE112" s="841"/>
      <c r="EF112" s="841"/>
      <c r="EG112" s="841"/>
      <c r="EH112" s="841"/>
      <c r="EI112" s="841"/>
      <c r="EJ112" s="841"/>
      <c r="EK112" s="841"/>
      <c r="EL112" s="841"/>
      <c r="EM112" s="841"/>
      <c r="EN112" s="841"/>
      <c r="EO112" s="841"/>
      <c r="EP112" s="841"/>
      <c r="EQ112" s="841"/>
      <c r="ER112" s="841"/>
      <c r="ES112" s="841"/>
      <c r="ET112" s="841"/>
      <c r="EU112" s="841"/>
      <c r="EV112" s="841"/>
      <c r="EW112" s="841"/>
      <c r="EX112" s="841"/>
      <c r="EY112" s="841"/>
      <c r="EZ112" s="841"/>
      <c r="FA112" s="841"/>
      <c r="FB112" s="841"/>
      <c r="FC112" s="841"/>
      <c r="FD112" s="841"/>
      <c r="FE112" s="841"/>
      <c r="FF112" s="841"/>
      <c r="FG112" s="841"/>
      <c r="FH112" s="841"/>
      <c r="FI112" s="841"/>
      <c r="FJ112" s="841"/>
      <c r="FK112" s="841"/>
      <c r="FL112" s="841"/>
      <c r="FM112" s="841"/>
      <c r="FN112" s="841"/>
      <c r="FO112" s="841"/>
      <c r="FP112" s="841"/>
      <c r="FQ112" s="841"/>
      <c r="FR112" s="841"/>
      <c r="FS112" s="841"/>
      <c r="FT112" s="841"/>
      <c r="FU112" s="841"/>
      <c r="FV112" s="841"/>
      <c r="FW112" s="841"/>
      <c r="FX112" s="841"/>
      <c r="FY112" s="841"/>
      <c r="FZ112" s="841"/>
      <c r="GA112" s="841"/>
      <c r="GB112" s="841"/>
      <c r="GC112" s="841"/>
      <c r="GD112" s="841"/>
      <c r="GE112" s="841"/>
      <c r="GF112" s="841"/>
      <c r="GG112" s="841"/>
      <c r="GH112" s="841"/>
      <c r="GI112" s="841"/>
      <c r="GJ112" s="841"/>
      <c r="GK112" s="841"/>
      <c r="GL112" s="841"/>
      <c r="GM112" s="841"/>
      <c r="GN112" s="841"/>
      <c r="GO112" s="841"/>
      <c r="GP112" s="841"/>
      <c r="GQ112" s="841"/>
      <c r="GR112" s="841"/>
      <c r="GS112" s="841"/>
      <c r="GT112" s="841"/>
      <c r="GU112" s="841"/>
      <c r="GV112" s="841"/>
      <c r="GW112" s="841"/>
      <c r="GX112" s="841"/>
      <c r="GY112" s="841"/>
      <c r="GZ112" s="841"/>
      <c r="HA112" s="841"/>
      <c r="HB112" s="841"/>
      <c r="HC112" s="841"/>
      <c r="HD112" s="841"/>
      <c r="HE112" s="841"/>
      <c r="HF112" s="841"/>
      <c r="HG112" s="841"/>
      <c r="HH112" s="841"/>
      <c r="HI112" s="841"/>
      <c r="HJ112" s="841"/>
      <c r="HK112" s="841"/>
      <c r="HL112" s="841"/>
      <c r="HM112" s="841"/>
      <c r="HN112" s="841"/>
      <c r="HO112" s="841"/>
    </row>
    <row r="113" spans="1:223" ht="23.25">
      <c r="B113" s="2174" t="s">
        <v>1011</v>
      </c>
      <c r="C113" s="2174"/>
      <c r="D113" s="2174"/>
      <c r="E113" s="2174"/>
      <c r="F113" s="2174"/>
      <c r="G113" s="2174"/>
      <c r="H113" s="2174"/>
      <c r="I113" s="2174"/>
      <c r="J113" s="2174"/>
      <c r="K113" s="2174"/>
      <c r="L113" s="2174"/>
      <c r="M113" s="2174"/>
      <c r="N113" s="2174"/>
      <c r="O113" s="2174"/>
      <c r="P113" s="2174"/>
      <c r="Q113" s="2174"/>
      <c r="R113" s="2174"/>
      <c r="S113" s="2174"/>
      <c r="T113" s="2174"/>
      <c r="U113" s="2174"/>
      <c r="V113" s="2174"/>
      <c r="W113" s="2174"/>
      <c r="X113" s="2174"/>
      <c r="Y113" s="2174"/>
      <c r="Z113" s="2174"/>
      <c r="AA113" s="2174"/>
      <c r="AB113" s="2174"/>
      <c r="AC113" s="2174"/>
      <c r="AD113" s="2174"/>
      <c r="AE113" s="2174"/>
      <c r="AF113" s="2174"/>
      <c r="AG113" s="2174"/>
      <c r="AH113" s="2174"/>
      <c r="CD113" s="1491"/>
      <c r="CE113" s="1501"/>
      <c r="CF113" s="1491"/>
      <c r="DS113" s="841"/>
      <c r="DT113" s="841"/>
      <c r="DU113" s="841"/>
      <c r="DV113" s="841"/>
      <c r="DW113" s="841"/>
      <c r="DX113" s="841"/>
      <c r="DY113" s="841"/>
      <c r="DZ113" s="841"/>
      <c r="EA113" s="841"/>
      <c r="EB113" s="841"/>
      <c r="EC113" s="841"/>
      <c r="ED113" s="841"/>
      <c r="EE113" s="841"/>
      <c r="EF113" s="841"/>
      <c r="EG113" s="841"/>
      <c r="EH113" s="841"/>
      <c r="EI113" s="841"/>
      <c r="EJ113" s="841"/>
      <c r="EK113" s="841"/>
      <c r="EL113" s="841"/>
      <c r="EM113" s="841"/>
      <c r="EN113" s="841"/>
      <c r="EO113" s="841"/>
      <c r="EP113" s="841"/>
      <c r="EQ113" s="841"/>
      <c r="ER113" s="841"/>
      <c r="ES113" s="841"/>
      <c r="ET113" s="841"/>
      <c r="EU113" s="841"/>
      <c r="EV113" s="841"/>
      <c r="EW113" s="841"/>
      <c r="EX113" s="841"/>
      <c r="EY113" s="841"/>
      <c r="EZ113" s="841"/>
      <c r="FA113" s="841"/>
      <c r="FB113" s="841"/>
      <c r="FC113" s="841"/>
      <c r="FD113" s="841"/>
      <c r="FE113" s="841"/>
      <c r="FF113" s="841"/>
      <c r="FG113" s="841"/>
      <c r="FH113" s="841"/>
      <c r="FI113" s="841"/>
      <c r="FJ113" s="841"/>
      <c r="FK113" s="841"/>
      <c r="FL113" s="841"/>
      <c r="FM113" s="841"/>
      <c r="FN113" s="841"/>
      <c r="FO113" s="841"/>
      <c r="FP113" s="841"/>
      <c r="FQ113" s="841"/>
      <c r="FR113" s="841"/>
      <c r="FS113" s="841"/>
      <c r="FT113" s="841"/>
      <c r="FU113" s="841"/>
      <c r="FV113" s="841"/>
      <c r="FW113" s="841"/>
      <c r="FX113" s="841"/>
      <c r="FY113" s="841"/>
      <c r="FZ113" s="841"/>
      <c r="GA113" s="841"/>
      <c r="GB113" s="841"/>
      <c r="GC113" s="841"/>
      <c r="GD113" s="841"/>
      <c r="GE113" s="841"/>
      <c r="GF113" s="841"/>
      <c r="GG113" s="841"/>
      <c r="GH113" s="841"/>
      <c r="GI113" s="841"/>
      <c r="GJ113" s="841"/>
      <c r="GK113" s="841"/>
      <c r="GL113" s="841"/>
      <c r="GM113" s="841"/>
      <c r="GN113" s="841"/>
      <c r="GO113" s="841"/>
      <c r="GP113" s="841"/>
      <c r="GQ113" s="841"/>
      <c r="GR113" s="841"/>
      <c r="GS113" s="841"/>
      <c r="GT113" s="841"/>
      <c r="GU113" s="841"/>
      <c r="GV113" s="841"/>
      <c r="GW113" s="841"/>
      <c r="GX113" s="841"/>
      <c r="GY113" s="841"/>
      <c r="GZ113" s="841"/>
      <c r="HA113" s="841"/>
      <c r="HB113" s="841"/>
      <c r="HC113" s="841"/>
      <c r="HD113" s="841"/>
      <c r="HE113" s="841"/>
      <c r="HF113" s="841"/>
      <c r="HG113" s="841"/>
      <c r="HH113" s="841"/>
      <c r="HI113" s="841"/>
      <c r="HJ113" s="841"/>
      <c r="HK113" s="841"/>
      <c r="HL113" s="841"/>
      <c r="HM113" s="841"/>
      <c r="HN113" s="841"/>
      <c r="HO113" s="841"/>
    </row>
    <row r="114" spans="1:223" ht="21" thickBot="1">
      <c r="DS114" s="841"/>
      <c r="DT114" s="841"/>
      <c r="DU114" s="841"/>
      <c r="DV114" s="841"/>
      <c r="DW114" s="841"/>
      <c r="DX114" s="841"/>
      <c r="DY114" s="841"/>
      <c r="DZ114" s="841"/>
      <c r="EA114" s="841"/>
      <c r="EB114" s="841"/>
      <c r="EC114" s="841"/>
      <c r="ED114" s="841"/>
      <c r="EE114" s="841"/>
      <c r="EF114" s="841"/>
      <c r="EG114" s="841"/>
      <c r="EH114" s="841"/>
      <c r="EI114" s="841"/>
      <c r="EJ114" s="841"/>
      <c r="EK114" s="841"/>
      <c r="EL114" s="841"/>
      <c r="EM114" s="841"/>
      <c r="EN114" s="841"/>
      <c r="EO114" s="841"/>
      <c r="EP114" s="841"/>
      <c r="EQ114" s="841"/>
      <c r="ER114" s="841"/>
      <c r="ES114" s="841"/>
      <c r="ET114" s="841"/>
      <c r="EU114" s="841"/>
      <c r="EV114" s="841"/>
      <c r="EW114" s="841"/>
      <c r="EX114" s="841"/>
      <c r="EY114" s="841"/>
      <c r="EZ114" s="841"/>
      <c r="FA114" s="841"/>
      <c r="FB114" s="841"/>
      <c r="FC114" s="841"/>
      <c r="FD114" s="841"/>
      <c r="FE114" s="841"/>
      <c r="FF114" s="841"/>
      <c r="FG114" s="841"/>
      <c r="FH114" s="841"/>
      <c r="FI114" s="841"/>
      <c r="FJ114" s="841"/>
      <c r="FK114" s="841"/>
      <c r="FL114" s="841"/>
      <c r="FM114" s="841"/>
      <c r="FN114" s="841"/>
      <c r="FO114" s="841"/>
      <c r="FP114" s="841"/>
      <c r="FQ114" s="841"/>
      <c r="FR114" s="841"/>
      <c r="FS114" s="841"/>
      <c r="FT114" s="841"/>
      <c r="FU114" s="841"/>
      <c r="FV114" s="841"/>
      <c r="FW114" s="841"/>
      <c r="FX114" s="841"/>
      <c r="FY114" s="841"/>
      <c r="FZ114" s="841"/>
      <c r="GA114" s="841"/>
      <c r="GB114" s="841"/>
      <c r="GC114" s="841"/>
      <c r="GD114" s="841"/>
      <c r="GE114" s="841"/>
      <c r="GF114" s="841"/>
      <c r="GG114" s="841"/>
      <c r="GH114" s="841"/>
      <c r="GI114" s="841"/>
      <c r="GJ114" s="841"/>
      <c r="GK114" s="841"/>
      <c r="GL114" s="841"/>
      <c r="GM114" s="841"/>
      <c r="GN114" s="841"/>
      <c r="GO114" s="841"/>
      <c r="GP114" s="841"/>
      <c r="GQ114" s="841"/>
      <c r="GR114" s="841"/>
      <c r="GS114" s="841"/>
      <c r="GT114" s="841"/>
      <c r="GU114" s="841"/>
      <c r="GV114" s="841"/>
      <c r="GW114" s="841"/>
      <c r="GX114" s="841"/>
      <c r="GY114" s="841"/>
      <c r="GZ114" s="841"/>
      <c r="HA114" s="841"/>
      <c r="HB114" s="841"/>
      <c r="HC114" s="841"/>
      <c r="HD114" s="841"/>
      <c r="HE114" s="841"/>
      <c r="HF114" s="841"/>
      <c r="HG114" s="841"/>
      <c r="HH114" s="841"/>
      <c r="HI114" s="841"/>
      <c r="HJ114" s="841"/>
      <c r="HK114" s="841"/>
      <c r="HL114" s="841"/>
      <c r="HM114" s="841"/>
      <c r="HN114" s="841"/>
      <c r="HO114" s="841"/>
    </row>
    <row r="115" spans="1:223" s="1816" customFormat="1" ht="27" customHeight="1" thickBot="1">
      <c r="A115" s="1805"/>
      <c r="B115" s="1805"/>
      <c r="C115" s="1805"/>
      <c r="D115" s="1818" t="s">
        <v>457</v>
      </c>
      <c r="E115" s="1805"/>
      <c r="F115" s="1208" t="s">
        <v>335</v>
      </c>
      <c r="G115" s="1805"/>
      <c r="H115" s="1805"/>
      <c r="I115" s="1805"/>
      <c r="J115" s="1805"/>
      <c r="K115" s="1805"/>
      <c r="L115" s="1805"/>
      <c r="M115" s="1805"/>
      <c r="N115" s="1805"/>
      <c r="O115" s="1805"/>
      <c r="P115" s="1805"/>
      <c r="Q115" s="1805"/>
      <c r="R115" s="1805"/>
      <c r="S115" s="1805"/>
      <c r="T115" s="1805"/>
      <c r="U115" s="1805"/>
      <c r="V115" s="1805"/>
      <c r="W115" s="1805"/>
      <c r="X115" s="1805"/>
      <c r="Y115" s="1805"/>
      <c r="Z115" s="1210"/>
      <c r="AA115" s="1210"/>
      <c r="AB115" s="1210"/>
      <c r="AC115" s="1210"/>
      <c r="AD115" s="1210"/>
      <c r="AE115" s="1210"/>
      <c r="AF115" s="1210"/>
      <c r="AG115" s="1210"/>
      <c r="AH115" s="1210"/>
      <c r="AI115" s="1805"/>
      <c r="AJ115" s="1805"/>
      <c r="AK115" s="1805"/>
      <c r="AL115" s="1805"/>
      <c r="AM115" s="1805"/>
      <c r="AN115" s="1805"/>
      <c r="AO115" s="1805"/>
      <c r="AP115" s="1805"/>
      <c r="AQ115" s="1805"/>
      <c r="AR115" s="1805"/>
      <c r="AS115" s="866"/>
      <c r="AT115" s="1812"/>
      <c r="AU115" s="1812"/>
      <c r="AV115" s="1812"/>
      <c r="AW115" s="1812"/>
      <c r="AX115" s="1812"/>
      <c r="AY115" s="1812"/>
      <c r="AZ115" s="1812"/>
      <c r="BA115" s="1812"/>
      <c r="BB115" s="1812"/>
      <c r="BC115" s="1812"/>
      <c r="BD115" s="1812"/>
      <c r="BE115" s="1812"/>
      <c r="BF115" s="1812"/>
      <c r="BG115" s="1812"/>
      <c r="BH115" s="1812"/>
      <c r="BI115" s="1812"/>
      <c r="BJ115" s="1812"/>
      <c r="BK115" s="1812"/>
      <c r="BL115" s="1812"/>
      <c r="BM115" s="1812"/>
      <c r="BN115" s="1812"/>
      <c r="BO115" s="1812"/>
      <c r="BP115" s="1812"/>
      <c r="BQ115" s="1812"/>
      <c r="BR115" s="1812"/>
      <c r="BS115" s="1812"/>
      <c r="BT115" s="1812"/>
      <c r="BU115" s="1812"/>
      <c r="BV115" s="1812"/>
      <c r="BW115" s="1812"/>
      <c r="BX115" s="1812"/>
      <c r="BY115" s="1812"/>
      <c r="BZ115" s="1813"/>
      <c r="CA115" s="1813"/>
      <c r="CB115" s="1813"/>
      <c r="CC115" s="1813"/>
      <c r="CD115" s="1491"/>
      <c r="CE115" s="1501"/>
      <c r="CF115" s="1491"/>
      <c r="CG115" s="1491"/>
      <c r="CH115" s="1501"/>
      <c r="CI115" s="1491"/>
      <c r="CJ115" s="1491"/>
      <c r="CK115" s="1491"/>
      <c r="CL115" s="1491"/>
      <c r="CM115" s="1491"/>
      <c r="CN115" s="1491"/>
      <c r="CO115" s="1491"/>
      <c r="CP115" s="1491"/>
      <c r="CQ115" s="1491"/>
      <c r="CR115" s="1814"/>
      <c r="CS115" s="1814"/>
      <c r="CT115" s="1815"/>
      <c r="CU115" s="1815"/>
      <c r="CV115" s="1815"/>
      <c r="CW115" s="1815"/>
      <c r="CX115" s="1815"/>
      <c r="CY115" s="1815"/>
      <c r="CZ115" s="1815"/>
      <c r="DA115" s="1815"/>
      <c r="DB115" s="1815"/>
      <c r="DC115" s="1815"/>
      <c r="DD115" s="1815"/>
      <c r="DE115" s="1812"/>
      <c r="DF115" s="1812"/>
      <c r="DG115" s="1812"/>
      <c r="DH115" s="1812"/>
      <c r="DI115" s="1812"/>
      <c r="DJ115" s="1812"/>
      <c r="DK115" s="1812"/>
      <c r="DL115" s="1812"/>
      <c r="DM115" s="1812"/>
      <c r="DN115" s="1812"/>
      <c r="DO115" s="1812"/>
      <c r="DP115" s="1812"/>
      <c r="DQ115" s="1812"/>
      <c r="DR115" s="1812"/>
      <c r="DS115" s="1813"/>
      <c r="DT115" s="1813"/>
      <c r="DU115" s="1813"/>
      <c r="DV115" s="1813"/>
      <c r="DW115" s="1813"/>
      <c r="DX115" s="1813"/>
      <c r="DY115" s="1813"/>
      <c r="DZ115" s="1813"/>
      <c r="EA115" s="1813"/>
      <c r="EB115" s="1813"/>
      <c r="EC115" s="1813"/>
      <c r="ED115" s="1813"/>
      <c r="EE115" s="1813"/>
      <c r="EF115" s="1813"/>
      <c r="EG115" s="1813"/>
      <c r="EH115" s="1813"/>
      <c r="EI115" s="1813"/>
      <c r="EJ115" s="1813"/>
      <c r="EK115" s="1813"/>
      <c r="EL115" s="1813"/>
      <c r="EM115" s="1813"/>
      <c r="EN115" s="1813"/>
      <c r="EO115" s="1813"/>
      <c r="EP115" s="1813"/>
      <c r="EQ115" s="1813"/>
      <c r="ER115" s="1813"/>
      <c r="ES115" s="1813"/>
      <c r="ET115" s="1813"/>
      <c r="EU115" s="1813"/>
      <c r="EV115" s="1813"/>
      <c r="EW115" s="1813"/>
      <c r="EX115" s="1813"/>
      <c r="EY115" s="1813"/>
      <c r="EZ115" s="1813"/>
      <c r="FA115" s="1813"/>
      <c r="FB115" s="1813"/>
      <c r="FC115" s="1813"/>
      <c r="FD115" s="1813"/>
      <c r="FE115" s="1813"/>
      <c r="FF115" s="1813"/>
      <c r="FG115" s="1813"/>
      <c r="FH115" s="1813"/>
      <c r="FI115" s="1813"/>
      <c r="FJ115" s="1813"/>
      <c r="FK115" s="1813"/>
      <c r="FL115" s="1813"/>
      <c r="FM115" s="1813"/>
      <c r="FN115" s="1813"/>
      <c r="FO115" s="1813"/>
      <c r="FP115" s="1813"/>
      <c r="FQ115" s="1813"/>
      <c r="FR115" s="1813"/>
      <c r="FS115" s="1813"/>
      <c r="FT115" s="1813"/>
      <c r="FU115" s="1813"/>
      <c r="FV115" s="1813"/>
      <c r="FW115" s="1813"/>
      <c r="FX115" s="1813"/>
      <c r="FY115" s="1813"/>
      <c r="FZ115" s="1813"/>
      <c r="GA115" s="1813"/>
      <c r="GB115" s="1813"/>
      <c r="GC115" s="1813"/>
      <c r="GD115" s="1813"/>
      <c r="GE115" s="1813"/>
      <c r="GF115" s="1813"/>
      <c r="GG115" s="1813"/>
      <c r="GH115" s="1813"/>
      <c r="GI115" s="1813"/>
      <c r="GJ115" s="1813"/>
      <c r="GK115" s="1813"/>
      <c r="GL115" s="1813"/>
      <c r="GM115" s="1813"/>
      <c r="GN115" s="1813"/>
      <c r="GO115" s="1813"/>
      <c r="GP115" s="1813"/>
      <c r="GQ115" s="1813"/>
      <c r="GR115" s="1813"/>
      <c r="GS115" s="1813"/>
      <c r="GT115" s="1813"/>
      <c r="GU115" s="1813"/>
      <c r="GV115" s="1813"/>
      <c r="GW115" s="1813"/>
      <c r="GX115" s="1813"/>
      <c r="GY115" s="1813"/>
      <c r="GZ115" s="1813"/>
      <c r="HA115" s="1813"/>
      <c r="HB115" s="1813"/>
      <c r="HC115" s="1813"/>
      <c r="HD115" s="1813"/>
      <c r="HE115" s="1813"/>
      <c r="HF115" s="1813"/>
      <c r="HG115" s="1813"/>
      <c r="HH115" s="1813"/>
      <c r="HI115" s="1813"/>
      <c r="HJ115" s="1813"/>
      <c r="HK115" s="1813"/>
      <c r="HL115" s="1813"/>
      <c r="HM115" s="1813"/>
      <c r="HN115" s="1813"/>
      <c r="HO115" s="1813"/>
    </row>
    <row r="116" spans="1:223" ht="9.75" customHeight="1">
      <c r="AK116" s="1305"/>
      <c r="DS116" s="841"/>
      <c r="DT116" s="841"/>
      <c r="DU116" s="841"/>
      <c r="DV116" s="841"/>
      <c r="DW116" s="841"/>
      <c r="DX116" s="841"/>
      <c r="DY116" s="841"/>
      <c r="DZ116" s="841"/>
      <c r="EA116" s="841"/>
      <c r="EB116" s="841"/>
      <c r="EC116" s="841"/>
      <c r="ED116" s="841"/>
      <c r="EE116" s="841"/>
      <c r="EF116" s="841"/>
      <c r="EG116" s="841"/>
      <c r="EH116" s="841"/>
      <c r="EI116" s="841"/>
      <c r="EJ116" s="841"/>
      <c r="EK116" s="841"/>
      <c r="EL116" s="841"/>
      <c r="EM116" s="841"/>
      <c r="EN116" s="841"/>
      <c r="EO116" s="841"/>
      <c r="EP116" s="841"/>
      <c r="EQ116" s="841"/>
      <c r="ER116" s="841"/>
      <c r="ES116" s="841"/>
      <c r="ET116" s="841"/>
      <c r="EU116" s="841"/>
      <c r="EV116" s="841"/>
      <c r="EW116" s="841"/>
      <c r="EX116" s="841"/>
      <c r="EY116" s="841"/>
      <c r="EZ116" s="841"/>
      <c r="FA116" s="841"/>
      <c r="FB116" s="841"/>
      <c r="FC116" s="841"/>
      <c r="FD116" s="841"/>
      <c r="FE116" s="841"/>
      <c r="FF116" s="841"/>
      <c r="FG116" s="841"/>
      <c r="FH116" s="841"/>
      <c r="FI116" s="841"/>
      <c r="FJ116" s="841"/>
      <c r="FK116" s="841"/>
      <c r="FL116" s="841"/>
      <c r="FM116" s="841"/>
      <c r="FN116" s="841"/>
      <c r="FO116" s="841"/>
      <c r="FP116" s="841"/>
      <c r="FQ116" s="841"/>
      <c r="FR116" s="841"/>
      <c r="FS116" s="841"/>
      <c r="FT116" s="841"/>
      <c r="FU116" s="841"/>
      <c r="FV116" s="841"/>
      <c r="FW116" s="841"/>
      <c r="FX116" s="841"/>
      <c r="FY116" s="841"/>
      <c r="FZ116" s="841"/>
      <c r="GA116" s="841"/>
      <c r="GB116" s="841"/>
      <c r="GC116" s="841"/>
      <c r="GD116" s="841"/>
      <c r="GE116" s="841"/>
      <c r="GF116" s="841"/>
      <c r="GG116" s="841"/>
      <c r="GH116" s="841"/>
      <c r="GI116" s="841"/>
      <c r="GJ116" s="841"/>
      <c r="GK116" s="841"/>
      <c r="GL116" s="841"/>
      <c r="GM116" s="841"/>
      <c r="GN116" s="841"/>
      <c r="GO116" s="841"/>
      <c r="GP116" s="841"/>
      <c r="GQ116" s="841"/>
      <c r="GR116" s="841"/>
      <c r="GS116" s="841"/>
      <c r="GT116" s="841"/>
      <c r="GU116" s="841"/>
      <c r="GV116" s="841"/>
      <c r="GW116" s="841"/>
      <c r="GX116" s="841"/>
      <c r="GY116" s="841"/>
      <c r="GZ116" s="841"/>
      <c r="HA116" s="841"/>
      <c r="HB116" s="841"/>
      <c r="HC116" s="841"/>
      <c r="HD116" s="841"/>
      <c r="HE116" s="841"/>
      <c r="HF116" s="841"/>
      <c r="HG116" s="841"/>
      <c r="HH116" s="841"/>
      <c r="HI116" s="841"/>
      <c r="HJ116" s="841"/>
      <c r="HK116" s="841"/>
      <c r="HL116" s="841"/>
      <c r="HM116" s="841"/>
      <c r="HN116" s="841"/>
      <c r="HO116" s="841"/>
    </row>
    <row r="117" spans="1:223" ht="23.25" customHeight="1" thickBot="1">
      <c r="B117" s="885" t="s">
        <v>418</v>
      </c>
      <c r="D117" s="1817">
        <f>SUM(D39:D76)+D79+D81</f>
        <v>8</v>
      </c>
      <c r="F117" s="886">
        <f>AH82</f>
        <v>155.20000000000005</v>
      </c>
      <c r="AK117" s="1305"/>
      <c r="DS117" s="841"/>
      <c r="DT117" s="841"/>
      <c r="DU117" s="841"/>
      <c r="DV117" s="841"/>
      <c r="DW117" s="841"/>
      <c r="DX117" s="841"/>
      <c r="DY117" s="841"/>
      <c r="DZ117" s="841"/>
      <c r="EA117" s="841"/>
      <c r="EB117" s="841"/>
      <c r="EC117" s="841"/>
      <c r="ED117" s="841"/>
      <c r="EE117" s="841"/>
      <c r="EF117" s="841"/>
      <c r="EG117" s="841"/>
      <c r="EH117" s="841"/>
      <c r="EI117" s="841"/>
      <c r="EJ117" s="841"/>
      <c r="EK117" s="841"/>
      <c r="EL117" s="841"/>
      <c r="EM117" s="841"/>
      <c r="EN117" s="841"/>
      <c r="EO117" s="841"/>
      <c r="EP117" s="841"/>
      <c r="EQ117" s="841"/>
      <c r="ER117" s="841"/>
      <c r="ES117" s="841"/>
      <c r="ET117" s="841"/>
      <c r="EU117" s="841"/>
      <c r="EV117" s="841"/>
      <c r="EW117" s="841"/>
      <c r="EX117" s="841"/>
      <c r="EY117" s="841"/>
      <c r="EZ117" s="841"/>
      <c r="FA117" s="841"/>
      <c r="FB117" s="841"/>
      <c r="FC117" s="841"/>
      <c r="FD117" s="841"/>
      <c r="FE117" s="841"/>
      <c r="FF117" s="841"/>
      <c r="FG117" s="841"/>
      <c r="FH117" s="841"/>
      <c r="FI117" s="841"/>
      <c r="FJ117" s="841"/>
      <c r="FK117" s="841"/>
      <c r="FL117" s="841"/>
      <c r="FM117" s="841"/>
      <c r="FN117" s="841"/>
      <c r="FO117" s="841"/>
      <c r="FP117" s="841"/>
      <c r="FQ117" s="841"/>
      <c r="FR117" s="841"/>
      <c r="FS117" s="841"/>
      <c r="FT117" s="841"/>
      <c r="FU117" s="841"/>
      <c r="FV117" s="841"/>
      <c r="FW117" s="841"/>
      <c r="FX117" s="841"/>
      <c r="FY117" s="841"/>
      <c r="FZ117" s="841"/>
      <c r="GA117" s="841"/>
      <c r="GB117" s="841"/>
      <c r="GC117" s="841"/>
      <c r="GD117" s="841"/>
      <c r="GE117" s="841"/>
      <c r="GF117" s="841"/>
      <c r="GG117" s="841"/>
      <c r="GH117" s="841"/>
      <c r="GI117" s="841"/>
      <c r="GJ117" s="841"/>
      <c r="GK117" s="841"/>
      <c r="GL117" s="841"/>
      <c r="GM117" s="841"/>
      <c r="GN117" s="841"/>
      <c r="GO117" s="841"/>
      <c r="GP117" s="841"/>
      <c r="GQ117" s="841"/>
      <c r="GR117" s="841"/>
      <c r="GS117" s="841"/>
      <c r="GT117" s="841"/>
      <c r="GU117" s="841"/>
      <c r="GV117" s="841"/>
      <c r="GW117" s="841"/>
      <c r="GX117" s="841"/>
      <c r="GY117" s="841"/>
      <c r="GZ117" s="841"/>
      <c r="HA117" s="841"/>
      <c r="HB117" s="841"/>
      <c r="HC117" s="841"/>
      <c r="HD117" s="841"/>
      <c r="HE117" s="841"/>
      <c r="HF117" s="841"/>
      <c r="HG117" s="841"/>
      <c r="HH117" s="841"/>
      <c r="HI117" s="841"/>
      <c r="HJ117" s="841"/>
      <c r="HK117" s="841"/>
      <c r="HL117" s="841"/>
      <c r="HM117" s="841"/>
      <c r="HN117" s="841"/>
      <c r="HO117" s="841"/>
    </row>
    <row r="118" spans="1:223" ht="21.75" thickTop="1" thickBot="1">
      <c r="B118" s="885"/>
      <c r="G118" s="1804"/>
      <c r="J118" s="1804" t="s">
        <v>873</v>
      </c>
      <c r="L118" s="886">
        <f>L101-N101</f>
        <v>0</v>
      </c>
      <c r="N118" s="887" t="s">
        <v>1180</v>
      </c>
      <c r="AK118" s="1305"/>
      <c r="DS118" s="841"/>
      <c r="DT118" s="841"/>
      <c r="DU118" s="841"/>
      <c r="DV118" s="841"/>
      <c r="DW118" s="841"/>
      <c r="DX118" s="841"/>
      <c r="DY118" s="841"/>
      <c r="DZ118" s="841"/>
      <c r="EA118" s="841"/>
      <c r="EB118" s="841"/>
      <c r="EC118" s="841"/>
      <c r="ED118" s="841"/>
      <c r="EE118" s="841"/>
      <c r="EF118" s="841"/>
      <c r="EG118" s="841"/>
      <c r="EH118" s="841"/>
      <c r="EI118" s="841"/>
      <c r="EJ118" s="841"/>
      <c r="EK118" s="841"/>
      <c r="EL118" s="841"/>
      <c r="EM118" s="841"/>
      <c r="EN118" s="841"/>
      <c r="EO118" s="841"/>
      <c r="EP118" s="841"/>
      <c r="EQ118" s="841"/>
      <c r="ER118" s="841"/>
      <c r="ES118" s="841"/>
      <c r="ET118" s="841"/>
      <c r="EU118" s="841"/>
      <c r="EV118" s="841"/>
      <c r="EW118" s="841"/>
      <c r="EX118" s="841"/>
      <c r="EY118" s="841"/>
      <c r="EZ118" s="841"/>
      <c r="FA118" s="841"/>
      <c r="FB118" s="841"/>
      <c r="FC118" s="841"/>
      <c r="FD118" s="841"/>
      <c r="FE118" s="841"/>
      <c r="FF118" s="841"/>
      <c r="FG118" s="841"/>
      <c r="FH118" s="841"/>
      <c r="FI118" s="841"/>
      <c r="FJ118" s="841"/>
      <c r="FK118" s="841"/>
      <c r="FL118" s="841"/>
      <c r="FM118" s="841"/>
      <c r="FN118" s="841"/>
      <c r="FO118" s="841"/>
      <c r="FP118" s="841"/>
      <c r="FQ118" s="841"/>
      <c r="FR118" s="841"/>
      <c r="FS118" s="841"/>
      <c r="FT118" s="841"/>
      <c r="FU118" s="841"/>
      <c r="FV118" s="841"/>
      <c r="FW118" s="841"/>
      <c r="FX118" s="841"/>
      <c r="FY118" s="841"/>
      <c r="FZ118" s="841"/>
      <c r="GA118" s="841"/>
      <c r="GB118" s="841"/>
      <c r="GC118" s="841"/>
      <c r="GD118" s="841"/>
      <c r="GE118" s="841"/>
      <c r="GF118" s="841"/>
      <c r="GG118" s="841"/>
      <c r="GH118" s="841"/>
      <c r="GI118" s="841"/>
      <c r="GJ118" s="841"/>
      <c r="GK118" s="841"/>
      <c r="GL118" s="841"/>
      <c r="GM118" s="841"/>
      <c r="GN118" s="841"/>
      <c r="GO118" s="841"/>
      <c r="GP118" s="841"/>
      <c r="GQ118" s="841"/>
      <c r="GR118" s="841"/>
      <c r="GS118" s="841"/>
      <c r="GT118" s="841"/>
      <c r="GU118" s="841"/>
      <c r="GV118" s="841"/>
      <c r="GW118" s="841"/>
      <c r="GX118" s="841"/>
      <c r="GY118" s="841"/>
      <c r="GZ118" s="841"/>
      <c r="HA118" s="841"/>
      <c r="HB118" s="841"/>
      <c r="HC118" s="841"/>
      <c r="HD118" s="841"/>
      <c r="HE118" s="841"/>
      <c r="HF118" s="841"/>
      <c r="HG118" s="841"/>
      <c r="HH118" s="841"/>
      <c r="HI118" s="841"/>
      <c r="HJ118" s="841"/>
      <c r="HK118" s="841"/>
      <c r="HL118" s="841"/>
      <c r="HM118" s="841"/>
      <c r="HN118" s="841"/>
      <c r="HO118" s="841"/>
    </row>
    <row r="119" spans="1:223" ht="21" customHeight="1" thickTop="1" thickBot="1">
      <c r="B119" s="885" t="s">
        <v>408</v>
      </c>
      <c r="D119" s="1817">
        <f>SUM(D91:D99)</f>
        <v>0</v>
      </c>
      <c r="F119" s="886">
        <f>L101</f>
        <v>0</v>
      </c>
      <c r="G119" s="1804"/>
      <c r="J119" s="1804" t="s">
        <v>874</v>
      </c>
      <c r="L119" s="886">
        <f>IF(P101&lt;&gt;0,N101,0)</f>
        <v>0</v>
      </c>
      <c r="N119" s="887" t="s">
        <v>1181</v>
      </c>
      <c r="AJ119" s="868"/>
      <c r="AK119" s="1305"/>
      <c r="DS119" s="841"/>
      <c r="DT119" s="841"/>
      <c r="DU119" s="841"/>
      <c r="DV119" s="841"/>
      <c r="DW119" s="841"/>
      <c r="DX119" s="841"/>
      <c r="DY119" s="841"/>
      <c r="DZ119" s="841"/>
      <c r="EA119" s="841"/>
      <c r="EB119" s="841"/>
      <c r="EC119" s="841"/>
      <c r="ED119" s="841"/>
      <c r="EE119" s="841"/>
      <c r="EF119" s="841"/>
      <c r="EG119" s="841"/>
      <c r="EH119" s="841"/>
      <c r="EI119" s="841"/>
      <c r="EJ119" s="841"/>
      <c r="EK119" s="841"/>
      <c r="EL119" s="841"/>
      <c r="EM119" s="841"/>
      <c r="EN119" s="841"/>
      <c r="EO119" s="841"/>
      <c r="EP119" s="841"/>
      <c r="EQ119" s="841"/>
      <c r="ER119" s="841"/>
      <c r="ES119" s="841"/>
      <c r="ET119" s="841"/>
      <c r="EU119" s="841"/>
      <c r="EV119" s="841"/>
      <c r="EW119" s="841"/>
      <c r="EX119" s="841"/>
      <c r="EY119" s="841"/>
      <c r="EZ119" s="841"/>
      <c r="FA119" s="841"/>
      <c r="FB119" s="841"/>
      <c r="FC119" s="841"/>
      <c r="FD119" s="841"/>
      <c r="FE119" s="841"/>
      <c r="FF119" s="841"/>
      <c r="FG119" s="841"/>
      <c r="FH119" s="841"/>
      <c r="FI119" s="841"/>
      <c r="FJ119" s="841"/>
      <c r="FK119" s="841"/>
      <c r="FL119" s="841"/>
      <c r="FM119" s="841"/>
      <c r="FN119" s="841"/>
      <c r="FO119" s="841"/>
      <c r="FP119" s="841"/>
      <c r="FQ119" s="841"/>
      <c r="FR119" s="841"/>
      <c r="FS119" s="841"/>
      <c r="FT119" s="841"/>
      <c r="FU119" s="841"/>
      <c r="FV119" s="841"/>
      <c r="FW119" s="841"/>
      <c r="FX119" s="841"/>
      <c r="FY119" s="841"/>
      <c r="FZ119" s="841"/>
      <c r="GA119" s="841"/>
      <c r="GB119" s="841"/>
      <c r="GC119" s="841"/>
      <c r="GD119" s="841"/>
      <c r="GE119" s="841"/>
      <c r="GF119" s="841"/>
      <c r="GG119" s="841"/>
      <c r="GH119" s="841"/>
      <c r="GI119" s="841"/>
      <c r="GJ119" s="841"/>
      <c r="GK119" s="841"/>
      <c r="GL119" s="841"/>
      <c r="GM119" s="841"/>
      <c r="GN119" s="841"/>
      <c r="GO119" s="841"/>
      <c r="GP119" s="841"/>
      <c r="GQ119" s="841"/>
      <c r="GR119" s="841"/>
      <c r="GS119" s="841"/>
      <c r="GT119" s="841"/>
      <c r="GU119" s="841"/>
      <c r="GV119" s="841"/>
      <c r="GW119" s="841"/>
      <c r="GX119" s="841"/>
      <c r="GY119" s="841"/>
      <c r="GZ119" s="841"/>
      <c r="HA119" s="841"/>
      <c r="HB119" s="841"/>
      <c r="HC119" s="841"/>
      <c r="HD119" s="841"/>
      <c r="HE119" s="841"/>
      <c r="HF119" s="841"/>
      <c r="HG119" s="841"/>
      <c r="HH119" s="841"/>
      <c r="HI119" s="841"/>
      <c r="HJ119" s="841"/>
      <c r="HK119" s="841"/>
      <c r="HL119" s="841"/>
      <c r="HM119" s="841"/>
      <c r="HN119" s="841"/>
      <c r="HO119" s="841"/>
    </row>
    <row r="120" spans="1:223" ht="21" customHeight="1" thickTop="1">
      <c r="B120" s="885"/>
      <c r="F120" s="1200"/>
      <c r="G120" s="1200"/>
      <c r="H120" s="1200"/>
      <c r="L120" s="887"/>
      <c r="AJ120" s="868"/>
      <c r="AK120" s="1305"/>
      <c r="DS120" s="841"/>
      <c r="DT120" s="841"/>
      <c r="DU120" s="841"/>
      <c r="DV120" s="841"/>
      <c r="DW120" s="841"/>
      <c r="DX120" s="841"/>
      <c r="DY120" s="841"/>
      <c r="DZ120" s="841"/>
      <c r="EA120" s="841"/>
      <c r="EB120" s="841"/>
      <c r="EC120" s="841"/>
      <c r="ED120" s="841"/>
      <c r="EE120" s="841"/>
      <c r="EF120" s="841"/>
      <c r="EG120" s="841"/>
      <c r="EH120" s="841"/>
      <c r="EI120" s="841"/>
      <c r="EJ120" s="841"/>
      <c r="EK120" s="841"/>
      <c r="EL120" s="841"/>
      <c r="EM120" s="841"/>
      <c r="EN120" s="841"/>
      <c r="EO120" s="841"/>
      <c r="EP120" s="841"/>
      <c r="EQ120" s="841"/>
      <c r="ER120" s="841"/>
      <c r="ES120" s="841"/>
      <c r="ET120" s="841"/>
      <c r="EU120" s="841"/>
      <c r="EV120" s="841"/>
      <c r="EW120" s="841"/>
      <c r="EX120" s="841"/>
      <c r="EY120" s="841"/>
      <c r="EZ120" s="841"/>
      <c r="FA120" s="841"/>
      <c r="FB120" s="841"/>
      <c r="FC120" s="841"/>
      <c r="FD120" s="841"/>
      <c r="FE120" s="841"/>
      <c r="FF120" s="841"/>
      <c r="FG120" s="841"/>
      <c r="FH120" s="841"/>
      <c r="FI120" s="841"/>
      <c r="FJ120" s="841"/>
      <c r="FK120" s="841"/>
      <c r="FL120" s="841"/>
      <c r="FM120" s="841"/>
      <c r="FN120" s="841"/>
      <c r="FO120" s="841"/>
      <c r="FP120" s="841"/>
      <c r="FQ120" s="841"/>
      <c r="FR120" s="841"/>
      <c r="FS120" s="841"/>
      <c r="FT120" s="841"/>
      <c r="FU120" s="841"/>
      <c r="FV120" s="841"/>
      <c r="FW120" s="841"/>
      <c r="FX120" s="841"/>
      <c r="FY120" s="841"/>
      <c r="FZ120" s="841"/>
      <c r="GA120" s="841"/>
      <c r="GB120" s="841"/>
      <c r="GC120" s="841"/>
      <c r="GD120" s="841"/>
      <c r="GE120" s="841"/>
      <c r="GF120" s="841"/>
      <c r="GG120" s="841"/>
      <c r="GH120" s="841"/>
      <c r="GI120" s="841"/>
      <c r="GJ120" s="841"/>
      <c r="GK120" s="841"/>
      <c r="GL120" s="841"/>
      <c r="GM120" s="841"/>
      <c r="GN120" s="841"/>
      <c r="GO120" s="841"/>
      <c r="GP120" s="841"/>
      <c r="GQ120" s="841"/>
      <c r="GR120" s="841"/>
      <c r="GS120" s="841"/>
      <c r="GT120" s="841"/>
      <c r="GU120" s="841"/>
      <c r="GV120" s="841"/>
      <c r="GW120" s="841"/>
      <c r="GX120" s="841"/>
      <c r="GY120" s="841"/>
      <c r="GZ120" s="841"/>
      <c r="HA120" s="841"/>
      <c r="HB120" s="841"/>
      <c r="HC120" s="841"/>
      <c r="HD120" s="841"/>
      <c r="HE120" s="841"/>
      <c r="HF120" s="841"/>
      <c r="HG120" s="841"/>
      <c r="HH120" s="841"/>
      <c r="HI120" s="841"/>
      <c r="HJ120" s="841"/>
      <c r="HK120" s="841"/>
      <c r="HL120" s="841"/>
      <c r="HM120" s="841"/>
      <c r="HN120" s="841"/>
      <c r="HO120" s="841"/>
    </row>
    <row r="121" spans="1:223" ht="21" customHeight="1" thickBot="1">
      <c r="B121" s="885" t="s">
        <v>1188</v>
      </c>
      <c r="D121" s="1817">
        <f>SUM(D107:D109)</f>
        <v>0</v>
      </c>
      <c r="F121" s="886">
        <f>L111</f>
        <v>0</v>
      </c>
      <c r="G121" s="1200"/>
      <c r="H121" s="1200"/>
      <c r="L121" s="887"/>
      <c r="AJ121" s="868"/>
      <c r="AK121" s="1305"/>
      <c r="DS121" s="841"/>
      <c r="DT121" s="841"/>
      <c r="DU121" s="841"/>
      <c r="DV121" s="841"/>
      <c r="DW121" s="841"/>
      <c r="DX121" s="841"/>
      <c r="DY121" s="841"/>
      <c r="DZ121" s="841"/>
      <c r="EA121" s="841"/>
      <c r="EB121" s="841"/>
      <c r="EC121" s="841"/>
      <c r="ED121" s="841"/>
      <c r="EE121" s="841"/>
      <c r="EF121" s="841"/>
      <c r="EG121" s="841"/>
      <c r="EH121" s="841"/>
      <c r="EI121" s="841"/>
      <c r="EJ121" s="841"/>
      <c r="EK121" s="841"/>
      <c r="EL121" s="841"/>
      <c r="EM121" s="841"/>
      <c r="EN121" s="841"/>
      <c r="EO121" s="841"/>
      <c r="EP121" s="841"/>
      <c r="EQ121" s="841"/>
      <c r="ER121" s="841"/>
      <c r="ES121" s="841"/>
      <c r="ET121" s="841"/>
      <c r="EU121" s="841"/>
      <c r="EV121" s="841"/>
      <c r="EW121" s="841"/>
      <c r="EX121" s="841"/>
      <c r="EY121" s="841"/>
      <c r="EZ121" s="841"/>
      <c r="FA121" s="841"/>
      <c r="FB121" s="841"/>
      <c r="FC121" s="841"/>
      <c r="FD121" s="841"/>
      <c r="FE121" s="841"/>
      <c r="FF121" s="841"/>
      <c r="FG121" s="841"/>
      <c r="FH121" s="841"/>
      <c r="FI121" s="841"/>
      <c r="FJ121" s="841"/>
      <c r="FK121" s="841"/>
      <c r="FL121" s="841"/>
      <c r="FM121" s="841"/>
      <c r="FN121" s="841"/>
      <c r="FO121" s="841"/>
      <c r="FP121" s="841"/>
      <c r="FQ121" s="841"/>
      <c r="FR121" s="841"/>
      <c r="FS121" s="841"/>
      <c r="FT121" s="841"/>
      <c r="FU121" s="841"/>
      <c r="FV121" s="841"/>
      <c r="FW121" s="841"/>
      <c r="FX121" s="841"/>
      <c r="FY121" s="841"/>
      <c r="FZ121" s="841"/>
      <c r="GA121" s="841"/>
      <c r="GB121" s="841"/>
      <c r="GC121" s="841"/>
      <c r="GD121" s="841"/>
      <c r="GE121" s="841"/>
      <c r="GF121" s="841"/>
      <c r="GG121" s="841"/>
      <c r="GH121" s="841"/>
      <c r="GI121" s="841"/>
      <c r="GJ121" s="841"/>
      <c r="GK121" s="841"/>
      <c r="GL121" s="841"/>
      <c r="GM121" s="841"/>
      <c r="GN121" s="841"/>
      <c r="GO121" s="841"/>
      <c r="GP121" s="841"/>
      <c r="GQ121" s="841"/>
      <c r="GR121" s="841"/>
      <c r="GS121" s="841"/>
      <c r="GT121" s="841"/>
      <c r="GU121" s="841"/>
      <c r="GV121" s="841"/>
      <c r="GW121" s="841"/>
      <c r="GX121" s="841"/>
      <c r="GY121" s="841"/>
      <c r="GZ121" s="841"/>
      <c r="HA121" s="841"/>
      <c r="HB121" s="841"/>
      <c r="HC121" s="841"/>
      <c r="HD121" s="841"/>
      <c r="HE121" s="841"/>
      <c r="HF121" s="841"/>
      <c r="HG121" s="841"/>
      <c r="HH121" s="841"/>
      <c r="HI121" s="841"/>
      <c r="HJ121" s="841"/>
      <c r="HK121" s="841"/>
      <c r="HL121" s="841"/>
      <c r="HM121" s="841"/>
      <c r="HN121" s="841"/>
      <c r="HO121" s="841"/>
    </row>
    <row r="122" spans="1:223" ht="21" thickTop="1">
      <c r="B122" s="885"/>
      <c r="AJ122" s="868"/>
      <c r="AK122" s="1305"/>
      <c r="DS122" s="841"/>
      <c r="DT122" s="841"/>
      <c r="DU122" s="841"/>
      <c r="DV122" s="841"/>
      <c r="DW122" s="841"/>
      <c r="DX122" s="841"/>
      <c r="DY122" s="841"/>
      <c r="DZ122" s="841"/>
      <c r="EA122" s="841"/>
      <c r="EB122" s="841"/>
      <c r="EC122" s="841"/>
      <c r="ED122" s="841"/>
      <c r="EE122" s="841"/>
      <c r="EF122" s="841"/>
      <c r="EG122" s="841"/>
      <c r="EH122" s="841"/>
      <c r="EI122" s="841"/>
      <c r="EJ122" s="841"/>
      <c r="EK122" s="841"/>
      <c r="EL122" s="841"/>
      <c r="EM122" s="841"/>
      <c r="EN122" s="841"/>
      <c r="EO122" s="841"/>
      <c r="EP122" s="841"/>
      <c r="EQ122" s="841"/>
      <c r="ER122" s="841"/>
      <c r="ES122" s="841"/>
      <c r="ET122" s="841"/>
      <c r="EU122" s="841"/>
      <c r="EV122" s="841"/>
      <c r="EW122" s="841"/>
      <c r="EX122" s="841"/>
      <c r="EY122" s="841"/>
      <c r="EZ122" s="841"/>
      <c r="FA122" s="841"/>
      <c r="FB122" s="841"/>
      <c r="FC122" s="841"/>
      <c r="FD122" s="841"/>
      <c r="FE122" s="841"/>
      <c r="FF122" s="841"/>
      <c r="FG122" s="841"/>
      <c r="FH122" s="841"/>
      <c r="FI122" s="841"/>
      <c r="FJ122" s="841"/>
      <c r="FK122" s="841"/>
      <c r="FL122" s="841"/>
      <c r="FM122" s="841"/>
      <c r="FN122" s="841"/>
      <c r="FO122" s="841"/>
      <c r="FP122" s="841"/>
      <c r="FQ122" s="841"/>
      <c r="FR122" s="841"/>
      <c r="FS122" s="841"/>
      <c r="FT122" s="841"/>
      <c r="FU122" s="841"/>
      <c r="FV122" s="841"/>
      <c r="FW122" s="841"/>
      <c r="FX122" s="841"/>
      <c r="FY122" s="841"/>
      <c r="FZ122" s="841"/>
      <c r="GA122" s="841"/>
      <c r="GB122" s="841"/>
      <c r="GC122" s="841"/>
      <c r="GD122" s="841"/>
      <c r="GE122" s="841"/>
      <c r="GF122" s="841"/>
      <c r="GG122" s="841"/>
      <c r="GH122" s="841"/>
      <c r="GI122" s="841"/>
      <c r="GJ122" s="841"/>
      <c r="GK122" s="841"/>
      <c r="GL122" s="841"/>
      <c r="GM122" s="841"/>
      <c r="GN122" s="841"/>
      <c r="GO122" s="841"/>
      <c r="GP122" s="841"/>
      <c r="GQ122" s="841"/>
      <c r="GR122" s="841"/>
      <c r="GS122" s="841"/>
      <c r="GT122" s="841"/>
      <c r="GU122" s="841"/>
      <c r="GV122" s="841"/>
      <c r="GW122" s="841"/>
      <c r="GX122" s="841"/>
      <c r="GY122" s="841"/>
      <c r="GZ122" s="841"/>
      <c r="HA122" s="841"/>
      <c r="HB122" s="841"/>
      <c r="HC122" s="841"/>
      <c r="HD122" s="841"/>
      <c r="HE122" s="841"/>
      <c r="HF122" s="841"/>
      <c r="HG122" s="841"/>
      <c r="HH122" s="841"/>
      <c r="HI122" s="841"/>
      <c r="HJ122" s="841"/>
      <c r="HK122" s="841"/>
      <c r="HL122" s="841"/>
      <c r="HM122" s="841"/>
      <c r="HN122" s="841"/>
      <c r="HO122" s="841"/>
    </row>
    <row r="123" spans="1:223" ht="21" thickBot="1">
      <c r="B123" s="885" t="s">
        <v>295</v>
      </c>
      <c r="D123" s="1817">
        <f>SUM(D117:D121)</f>
        <v>8</v>
      </c>
      <c r="F123" s="888">
        <f>F117+F119+F121</f>
        <v>155.20000000000005</v>
      </c>
      <c r="AJ123" s="1352"/>
      <c r="AK123" s="1353"/>
      <c r="AL123" s="854"/>
      <c r="AM123" s="854"/>
      <c r="AN123" s="854"/>
      <c r="DS123" s="841"/>
      <c r="DT123" s="841"/>
      <c r="DU123" s="841"/>
      <c r="DV123" s="841"/>
      <c r="DW123" s="841"/>
      <c r="DX123" s="841"/>
      <c r="DY123" s="841"/>
      <c r="DZ123" s="841"/>
      <c r="EA123" s="841"/>
      <c r="EB123" s="841"/>
      <c r="EC123" s="841"/>
      <c r="ED123" s="841"/>
      <c r="EE123" s="841"/>
      <c r="EF123" s="841"/>
      <c r="EG123" s="841"/>
      <c r="EH123" s="841"/>
      <c r="EI123" s="841"/>
      <c r="EJ123" s="841"/>
      <c r="EK123" s="841"/>
      <c r="EL123" s="841"/>
      <c r="EM123" s="841"/>
      <c r="EN123" s="841"/>
      <c r="EO123" s="841"/>
      <c r="EP123" s="841"/>
      <c r="EQ123" s="841"/>
      <c r="ER123" s="841"/>
      <c r="ES123" s="841"/>
      <c r="ET123" s="841"/>
      <c r="EU123" s="841"/>
      <c r="EV123" s="841"/>
      <c r="EW123" s="841"/>
      <c r="EX123" s="841"/>
      <c r="EY123" s="841"/>
      <c r="EZ123" s="841"/>
      <c r="FA123" s="841"/>
      <c r="FB123" s="841"/>
      <c r="FC123" s="841"/>
      <c r="FD123" s="841"/>
      <c r="FE123" s="841"/>
      <c r="FF123" s="841"/>
      <c r="FG123" s="841"/>
      <c r="FH123" s="841"/>
      <c r="FI123" s="841"/>
      <c r="FJ123" s="841"/>
      <c r="FK123" s="841"/>
      <c r="FL123" s="841"/>
      <c r="FM123" s="841"/>
      <c r="FN123" s="841"/>
      <c r="FO123" s="841"/>
      <c r="FP123" s="841"/>
      <c r="FQ123" s="841"/>
      <c r="FR123" s="841"/>
      <c r="FS123" s="841"/>
      <c r="FT123" s="841"/>
      <c r="FU123" s="841"/>
      <c r="FV123" s="841"/>
      <c r="FW123" s="841"/>
      <c r="FX123" s="841"/>
      <c r="FY123" s="841"/>
      <c r="FZ123" s="841"/>
      <c r="GA123" s="841"/>
      <c r="GB123" s="841"/>
      <c r="GC123" s="841"/>
      <c r="GD123" s="841"/>
      <c r="GE123" s="841"/>
      <c r="GF123" s="841"/>
      <c r="GG123" s="841"/>
      <c r="GH123" s="841"/>
      <c r="GI123" s="841"/>
      <c r="GJ123" s="841"/>
      <c r="GK123" s="841"/>
      <c r="GL123" s="841"/>
      <c r="GM123" s="841"/>
      <c r="GN123" s="841"/>
      <c r="GO123" s="841"/>
      <c r="GP123" s="841"/>
      <c r="GQ123" s="841"/>
      <c r="GR123" s="841"/>
      <c r="GS123" s="841"/>
      <c r="GT123" s="841"/>
      <c r="GU123" s="841"/>
      <c r="GV123" s="841"/>
      <c r="GW123" s="841"/>
      <c r="GX123" s="841"/>
      <c r="GY123" s="841"/>
      <c r="GZ123" s="841"/>
      <c r="HA123" s="841"/>
      <c r="HB123" s="841"/>
      <c r="HC123" s="841"/>
      <c r="HD123" s="841"/>
      <c r="HE123" s="841"/>
      <c r="HF123" s="841"/>
      <c r="HG123" s="841"/>
      <c r="HH123" s="841"/>
      <c r="HI123" s="841"/>
      <c r="HJ123" s="841"/>
      <c r="HK123" s="841"/>
      <c r="HL123" s="841"/>
      <c r="HM123" s="841"/>
      <c r="HN123" s="841"/>
      <c r="HO123" s="841"/>
    </row>
    <row r="124" spans="1:223" ht="21" hidden="1" thickTop="1">
      <c r="AJ124" s="1352"/>
      <c r="AK124" s="854"/>
      <c r="AL124" s="854"/>
      <c r="AM124" s="854"/>
      <c r="AN124" s="854"/>
      <c r="DS124" s="841"/>
      <c r="DT124" s="841"/>
      <c r="DU124" s="841"/>
      <c r="DV124" s="841"/>
      <c r="DW124" s="841"/>
      <c r="DX124" s="841"/>
      <c r="DY124" s="841"/>
      <c r="DZ124" s="841"/>
      <c r="EA124" s="841"/>
      <c r="EB124" s="841"/>
      <c r="EC124" s="841"/>
      <c r="ED124" s="841"/>
      <c r="EE124" s="841"/>
      <c r="EF124" s="841"/>
      <c r="EG124" s="841"/>
      <c r="EH124" s="841"/>
      <c r="EI124" s="841"/>
      <c r="EJ124" s="841"/>
      <c r="EK124" s="841"/>
      <c r="EL124" s="841"/>
      <c r="EM124" s="841"/>
      <c r="EN124" s="841"/>
      <c r="EO124" s="841"/>
      <c r="EP124" s="841"/>
      <c r="EQ124" s="841"/>
      <c r="ER124" s="841"/>
      <c r="ES124" s="841"/>
      <c r="ET124" s="841"/>
      <c r="EU124" s="841"/>
      <c r="EV124" s="841"/>
      <c r="EW124" s="841"/>
      <c r="EX124" s="841"/>
      <c r="EY124" s="841"/>
      <c r="EZ124" s="841"/>
      <c r="FA124" s="841"/>
      <c r="FB124" s="841"/>
      <c r="FC124" s="841"/>
      <c r="FD124" s="841"/>
      <c r="FE124" s="841"/>
      <c r="FF124" s="841"/>
      <c r="FG124" s="841"/>
      <c r="FH124" s="841"/>
      <c r="FI124" s="841"/>
      <c r="FJ124" s="841"/>
      <c r="FK124" s="841"/>
      <c r="FL124" s="841"/>
      <c r="FM124" s="841"/>
      <c r="FN124" s="841"/>
      <c r="FO124" s="841"/>
      <c r="FP124" s="841"/>
      <c r="FQ124" s="841"/>
      <c r="FR124" s="841"/>
      <c r="FS124" s="841"/>
      <c r="FT124" s="841"/>
      <c r="FU124" s="841"/>
      <c r="FV124" s="841"/>
      <c r="FW124" s="841"/>
      <c r="FX124" s="841"/>
      <c r="FY124" s="841"/>
      <c r="FZ124" s="841"/>
      <c r="GA124" s="841"/>
      <c r="GB124" s="841"/>
      <c r="GC124" s="841"/>
      <c r="GD124" s="841"/>
      <c r="GE124" s="841"/>
      <c r="GF124" s="841"/>
      <c r="GG124" s="841"/>
      <c r="GH124" s="841"/>
      <c r="GI124" s="841"/>
      <c r="GJ124" s="841"/>
      <c r="GK124" s="841"/>
      <c r="GL124" s="841"/>
      <c r="GM124" s="841"/>
      <c r="GN124" s="841"/>
      <c r="GO124" s="841"/>
      <c r="GP124" s="841"/>
      <c r="GQ124" s="841"/>
      <c r="GR124" s="841"/>
      <c r="GS124" s="841"/>
      <c r="GT124" s="841"/>
      <c r="GU124" s="841"/>
      <c r="GV124" s="841"/>
      <c r="GW124" s="841"/>
      <c r="GX124" s="841"/>
      <c r="GY124" s="841"/>
      <c r="GZ124" s="841"/>
      <c r="HA124" s="841"/>
      <c r="HB124" s="841"/>
      <c r="HC124" s="841"/>
      <c r="HD124" s="841"/>
      <c r="HE124" s="841"/>
      <c r="HF124" s="841"/>
      <c r="HG124" s="841"/>
      <c r="HH124" s="841"/>
      <c r="HI124" s="841"/>
      <c r="HJ124" s="841"/>
      <c r="HK124" s="841"/>
      <c r="HL124" s="841"/>
      <c r="HM124" s="841"/>
      <c r="HN124" s="841"/>
      <c r="HO124" s="841"/>
    </row>
    <row r="125" spans="1:223" ht="30.75" hidden="1" thickTop="1">
      <c r="B125" s="2121" t="s">
        <v>1072</v>
      </c>
      <c r="C125" s="2121"/>
      <c r="D125" s="2121"/>
      <c r="E125" s="2121"/>
      <c r="F125" s="2121"/>
      <c r="G125" s="2121"/>
      <c r="H125" s="2121"/>
      <c r="I125" s="2121"/>
      <c r="J125" s="2121"/>
      <c r="K125" s="2121"/>
      <c r="L125" s="2121"/>
      <c r="M125" s="2121"/>
      <c r="N125" s="2121"/>
      <c r="O125" s="2121"/>
      <c r="P125" s="2121"/>
      <c r="Q125" s="2121"/>
      <c r="R125" s="2121"/>
      <c r="S125" s="2121"/>
      <c r="T125" s="2121"/>
      <c r="U125" s="2121"/>
      <c r="V125" s="2121"/>
      <c r="W125" s="2121"/>
      <c r="X125" s="2121"/>
      <c r="Y125" s="2121"/>
      <c r="Z125" s="2121"/>
      <c r="AA125" s="2121"/>
      <c r="AB125" s="2121"/>
      <c r="AC125" s="2121"/>
      <c r="AD125" s="2121"/>
      <c r="AE125" s="2121"/>
      <c r="AF125" s="2121"/>
      <c r="AG125" s="2121"/>
      <c r="AH125" s="2121"/>
      <c r="AJ125" s="1352"/>
      <c r="AK125" s="854"/>
      <c r="AL125" s="854"/>
      <c r="AM125" s="854"/>
      <c r="AN125" s="854"/>
      <c r="DS125" s="841"/>
      <c r="DT125" s="841"/>
      <c r="DU125" s="841"/>
      <c r="DV125" s="841"/>
      <c r="DW125" s="841"/>
      <c r="DX125" s="841"/>
      <c r="DY125" s="841"/>
      <c r="DZ125" s="841"/>
      <c r="EA125" s="841"/>
      <c r="EB125" s="841"/>
      <c r="EC125" s="841"/>
      <c r="ED125" s="841"/>
      <c r="EE125" s="841"/>
      <c r="EF125" s="841"/>
      <c r="EG125" s="841"/>
      <c r="EH125" s="841"/>
      <c r="EI125" s="841"/>
      <c r="EJ125" s="841"/>
      <c r="EK125" s="841"/>
      <c r="EL125" s="841"/>
      <c r="EM125" s="841"/>
      <c r="EN125" s="841"/>
      <c r="EO125" s="841"/>
      <c r="EP125" s="841"/>
      <c r="EQ125" s="841"/>
      <c r="ER125" s="841"/>
      <c r="ES125" s="841"/>
      <c r="ET125" s="841"/>
      <c r="EU125" s="841"/>
      <c r="EV125" s="841"/>
      <c r="EW125" s="841"/>
      <c r="EX125" s="841"/>
      <c r="EY125" s="841"/>
      <c r="EZ125" s="841"/>
      <c r="FA125" s="841"/>
      <c r="FB125" s="841"/>
      <c r="FC125" s="841"/>
      <c r="FD125" s="841"/>
      <c r="FE125" s="841"/>
      <c r="FF125" s="841"/>
      <c r="FG125" s="841"/>
      <c r="FH125" s="841"/>
      <c r="FI125" s="841"/>
      <c r="FJ125" s="841"/>
      <c r="FK125" s="841"/>
      <c r="FL125" s="841"/>
      <c r="FM125" s="841"/>
      <c r="FN125" s="841"/>
      <c r="FO125" s="841"/>
      <c r="FP125" s="841"/>
      <c r="FQ125" s="841"/>
      <c r="FR125" s="841"/>
      <c r="FS125" s="841"/>
      <c r="FT125" s="841"/>
      <c r="FU125" s="841"/>
      <c r="FV125" s="841"/>
      <c r="FW125" s="841"/>
      <c r="FX125" s="841"/>
      <c r="FY125" s="841"/>
      <c r="FZ125" s="841"/>
      <c r="GA125" s="841"/>
      <c r="GB125" s="841"/>
      <c r="GC125" s="841"/>
      <c r="GD125" s="841"/>
      <c r="GE125" s="841"/>
      <c r="GF125" s="841"/>
      <c r="GG125" s="841"/>
      <c r="GH125" s="841"/>
      <c r="GI125" s="841"/>
      <c r="GJ125" s="841"/>
      <c r="GK125" s="841"/>
      <c r="GL125" s="841"/>
      <c r="GM125" s="841"/>
      <c r="GN125" s="841"/>
      <c r="GO125" s="841"/>
      <c r="GP125" s="841"/>
      <c r="GQ125" s="841"/>
      <c r="GR125" s="841"/>
      <c r="GS125" s="841"/>
      <c r="GT125" s="841"/>
      <c r="GU125" s="841"/>
      <c r="GV125" s="841"/>
      <c r="GW125" s="841"/>
      <c r="GX125" s="841"/>
      <c r="GY125" s="841"/>
      <c r="GZ125" s="841"/>
      <c r="HA125" s="841"/>
      <c r="HB125" s="841"/>
      <c r="HC125" s="841"/>
      <c r="HD125" s="841"/>
      <c r="HE125" s="841"/>
      <c r="HF125" s="841"/>
      <c r="HG125" s="841"/>
      <c r="HH125" s="841"/>
      <c r="HI125" s="841"/>
      <c r="HJ125" s="841"/>
      <c r="HK125" s="841"/>
      <c r="HL125" s="841"/>
      <c r="HM125" s="841"/>
      <c r="HN125" s="841"/>
      <c r="HO125" s="841"/>
    </row>
    <row r="126" spans="1:223" s="841" customFormat="1" ht="21" hidden="1" thickTop="1">
      <c r="A126" s="840"/>
      <c r="B126" s="840"/>
      <c r="C126" s="840"/>
      <c r="D126" s="840"/>
      <c r="E126" s="840"/>
      <c r="F126" s="840"/>
      <c r="G126" s="840"/>
      <c r="H126" s="840"/>
      <c r="I126" s="840"/>
      <c r="J126" s="840"/>
      <c r="K126" s="840"/>
      <c r="L126" s="840"/>
      <c r="M126" s="840"/>
      <c r="N126" s="840"/>
      <c r="O126" s="840"/>
      <c r="P126" s="840"/>
      <c r="Q126" s="840"/>
      <c r="R126" s="840"/>
      <c r="S126" s="840"/>
      <c r="T126" s="840"/>
      <c r="U126" s="840"/>
      <c r="V126" s="840"/>
      <c r="W126" s="840"/>
      <c r="X126" s="840"/>
      <c r="Y126" s="840"/>
      <c r="Z126" s="1212"/>
      <c r="AA126" s="1212"/>
      <c r="AB126" s="1212"/>
      <c r="AC126" s="1212"/>
      <c r="AD126" s="1212"/>
      <c r="AE126" s="1212"/>
      <c r="AF126" s="1212"/>
      <c r="AG126" s="1212"/>
      <c r="AH126" s="1212"/>
      <c r="AI126" s="840"/>
      <c r="AJ126" s="854"/>
      <c r="AK126" s="1354"/>
      <c r="AL126" s="854"/>
      <c r="AM126" s="854"/>
      <c r="AN126" s="854"/>
      <c r="AO126" s="840"/>
      <c r="AP126" s="840"/>
      <c r="AQ126" s="840"/>
      <c r="AR126" s="840"/>
      <c r="AS126" s="840"/>
      <c r="CD126" s="1489"/>
      <c r="CE126" s="1490"/>
      <c r="CF126" s="1489"/>
      <c r="CG126" s="1489"/>
      <c r="CH126" s="1501"/>
      <c r="CI126" s="1489"/>
      <c r="CJ126" s="1489"/>
      <c r="CK126" s="1489"/>
      <c r="CL126" s="1489"/>
      <c r="CM126" s="1489"/>
      <c r="CN126" s="1489"/>
      <c r="CO126" s="1489"/>
      <c r="CP126" s="1489"/>
      <c r="CQ126" s="1489"/>
      <c r="CR126" s="1489"/>
      <c r="CS126" s="1489"/>
      <c r="CT126" s="1507"/>
      <c r="CU126" s="1507"/>
      <c r="CV126" s="1507"/>
      <c r="CW126" s="1507"/>
      <c r="CX126" s="1507"/>
      <c r="CY126" s="1507"/>
      <c r="CZ126" s="1507"/>
      <c r="DA126" s="1507"/>
      <c r="DB126" s="1507"/>
      <c r="DC126" s="1507"/>
      <c r="DD126" s="1507"/>
    </row>
    <row r="127" spans="1:223" ht="10.15" hidden="1" customHeight="1">
      <c r="B127" s="889"/>
      <c r="C127" s="890"/>
      <c r="D127" s="890"/>
      <c r="E127" s="890"/>
      <c r="F127" s="890"/>
      <c r="G127" s="890"/>
      <c r="H127" s="890"/>
      <c r="I127" s="890"/>
      <c r="J127" s="890"/>
      <c r="K127" s="890"/>
      <c r="L127" s="890"/>
      <c r="M127" s="890"/>
      <c r="N127" s="901"/>
      <c r="O127" s="901"/>
      <c r="P127" s="901"/>
      <c r="Q127" s="901"/>
      <c r="R127" s="901"/>
      <c r="S127" s="901"/>
      <c r="T127" s="901"/>
      <c r="U127" s="901"/>
      <c r="V127" s="901"/>
      <c r="W127" s="901"/>
      <c r="X127" s="901"/>
      <c r="Y127" s="901"/>
      <c r="Z127" s="1232"/>
      <c r="AA127" s="1232"/>
      <c r="AB127" s="1232"/>
      <c r="AC127" s="1232"/>
      <c r="AD127" s="1232"/>
      <c r="AE127" s="1232"/>
      <c r="AF127" s="1232"/>
      <c r="AG127" s="1232"/>
      <c r="AH127" s="1232"/>
      <c r="AJ127" s="1352"/>
      <c r="AK127" s="1354"/>
      <c r="AL127" s="854"/>
      <c r="AM127" s="854"/>
      <c r="AN127" s="854"/>
      <c r="DS127" s="841"/>
      <c r="DT127" s="841"/>
      <c r="DU127" s="841"/>
      <c r="DV127" s="841"/>
      <c r="DW127" s="841"/>
      <c r="DX127" s="841"/>
      <c r="DY127" s="841"/>
      <c r="DZ127" s="841"/>
      <c r="EA127" s="841"/>
      <c r="EB127" s="841"/>
      <c r="EC127" s="841"/>
      <c r="ED127" s="841"/>
      <c r="EE127" s="841"/>
      <c r="EF127" s="841"/>
      <c r="EG127" s="841"/>
      <c r="EH127" s="841"/>
      <c r="EI127" s="841"/>
      <c r="EJ127" s="841"/>
      <c r="EK127" s="841"/>
      <c r="EL127" s="841"/>
      <c r="EM127" s="841"/>
      <c r="EN127" s="841"/>
      <c r="EO127" s="841"/>
      <c r="EP127" s="841"/>
      <c r="EQ127" s="841"/>
      <c r="ER127" s="841"/>
      <c r="ES127" s="841"/>
      <c r="ET127" s="841"/>
      <c r="EU127" s="841"/>
      <c r="EV127" s="841"/>
      <c r="EW127" s="841"/>
      <c r="EX127" s="841"/>
      <c r="EY127" s="841"/>
      <c r="EZ127" s="841"/>
      <c r="FA127" s="841"/>
      <c r="FB127" s="841"/>
      <c r="FC127" s="841"/>
      <c r="FD127" s="841"/>
      <c r="FE127" s="841"/>
      <c r="FF127" s="841"/>
      <c r="FG127" s="841"/>
      <c r="FH127" s="841"/>
      <c r="FI127" s="841"/>
      <c r="FJ127" s="841"/>
      <c r="FK127" s="841"/>
      <c r="FL127" s="841"/>
      <c r="FM127" s="841"/>
      <c r="FN127" s="841"/>
      <c r="FO127" s="841"/>
      <c r="FP127" s="841"/>
      <c r="FQ127" s="841"/>
      <c r="FR127" s="841"/>
      <c r="FS127" s="841"/>
      <c r="FT127" s="841"/>
      <c r="FU127" s="841"/>
      <c r="FV127" s="841"/>
      <c r="FW127" s="841"/>
      <c r="FX127" s="841"/>
      <c r="FY127" s="841"/>
      <c r="FZ127" s="841"/>
      <c r="GA127" s="841"/>
      <c r="GB127" s="841"/>
      <c r="GC127" s="841"/>
      <c r="GD127" s="841"/>
      <c r="GE127" s="841"/>
      <c r="GF127" s="841"/>
      <c r="GG127" s="841"/>
      <c r="GH127" s="841"/>
      <c r="GI127" s="841"/>
      <c r="GJ127" s="841"/>
      <c r="GK127" s="841"/>
      <c r="GL127" s="841"/>
      <c r="GM127" s="841"/>
      <c r="GN127" s="841"/>
      <c r="GO127" s="841"/>
      <c r="GP127" s="841"/>
      <c r="GQ127" s="841"/>
      <c r="GR127" s="841"/>
      <c r="GS127" s="841"/>
      <c r="GT127" s="841"/>
      <c r="GU127" s="841"/>
      <c r="GV127" s="841"/>
      <c r="GW127" s="841"/>
      <c r="GX127" s="841"/>
      <c r="GY127" s="841"/>
      <c r="GZ127" s="841"/>
      <c r="HA127" s="841"/>
      <c r="HB127" s="841"/>
      <c r="HC127" s="841"/>
      <c r="HD127" s="841"/>
      <c r="HE127" s="841"/>
      <c r="HF127" s="841"/>
      <c r="HG127" s="841"/>
      <c r="HH127" s="841"/>
      <c r="HI127" s="841"/>
      <c r="HJ127" s="841"/>
      <c r="HK127" s="841"/>
      <c r="HL127" s="841"/>
      <c r="HM127" s="841"/>
      <c r="HN127" s="841"/>
      <c r="HO127" s="841"/>
    </row>
    <row r="128" spans="1:223" ht="24" hidden="1" thickTop="1">
      <c r="B128" s="906" t="s">
        <v>1033</v>
      </c>
      <c r="C128" s="890"/>
      <c r="D128" s="890"/>
      <c r="E128" s="890"/>
      <c r="F128" s="890"/>
      <c r="G128" s="890"/>
      <c r="H128" s="890"/>
      <c r="I128" s="890"/>
      <c r="J128" s="890"/>
      <c r="K128" s="890"/>
      <c r="L128" s="890"/>
      <c r="M128" s="890"/>
      <c r="N128" s="901"/>
      <c r="O128" s="911"/>
      <c r="P128" s="911"/>
      <c r="Q128" s="911"/>
      <c r="R128" s="911"/>
      <c r="S128" s="911"/>
      <c r="T128" s="911"/>
      <c r="U128" s="911"/>
      <c r="V128" s="911"/>
      <c r="W128" s="911"/>
      <c r="X128" s="911"/>
      <c r="Y128" s="901"/>
      <c r="Z128" s="1232"/>
      <c r="AA128" s="1232"/>
      <c r="AB128" s="1232"/>
      <c r="AC128" s="1232"/>
      <c r="AD128" s="1232"/>
      <c r="AE128" s="1232"/>
      <c r="AF128" s="1232"/>
      <c r="AG128" s="1232"/>
      <c r="AH128" s="1232"/>
      <c r="AJ128" s="1352"/>
      <c r="AK128" s="1354"/>
      <c r="AL128" s="854"/>
      <c r="AM128" s="854"/>
      <c r="AN128" s="854"/>
      <c r="DS128" s="841"/>
      <c r="DT128" s="841"/>
      <c r="DU128" s="841"/>
      <c r="DV128" s="841"/>
      <c r="DW128" s="841"/>
      <c r="DX128" s="841"/>
      <c r="DY128" s="841"/>
      <c r="DZ128" s="841"/>
      <c r="EA128" s="841"/>
      <c r="EB128" s="841"/>
      <c r="EC128" s="841"/>
      <c r="ED128" s="841"/>
      <c r="EE128" s="841"/>
      <c r="EF128" s="841"/>
      <c r="EG128" s="841"/>
      <c r="EH128" s="841"/>
      <c r="EI128" s="841"/>
      <c r="EJ128" s="841"/>
      <c r="EK128" s="841"/>
      <c r="EL128" s="841"/>
      <c r="EM128" s="841"/>
      <c r="EN128" s="841"/>
      <c r="EO128" s="841"/>
      <c r="EP128" s="841"/>
      <c r="EQ128" s="841"/>
      <c r="ER128" s="841"/>
      <c r="ES128" s="841"/>
      <c r="ET128" s="841"/>
      <c r="EU128" s="841"/>
      <c r="EV128" s="841"/>
      <c r="EW128" s="841"/>
      <c r="EX128" s="841"/>
      <c r="EY128" s="841"/>
      <c r="EZ128" s="841"/>
      <c r="FA128" s="841"/>
      <c r="FB128" s="841"/>
      <c r="FC128" s="841"/>
      <c r="FD128" s="841"/>
      <c r="FE128" s="841"/>
      <c r="FF128" s="841"/>
      <c r="FG128" s="841"/>
      <c r="FH128" s="841"/>
      <c r="FI128" s="841"/>
      <c r="FJ128" s="841"/>
      <c r="FK128" s="841"/>
      <c r="FL128" s="841"/>
      <c r="FM128" s="841"/>
      <c r="FN128" s="841"/>
      <c r="FO128" s="841"/>
      <c r="FP128" s="841"/>
      <c r="FQ128" s="841"/>
      <c r="FR128" s="841"/>
      <c r="FS128" s="841"/>
      <c r="FT128" s="841"/>
      <c r="FU128" s="841"/>
      <c r="FV128" s="841"/>
      <c r="FW128" s="841"/>
      <c r="FX128" s="841"/>
      <c r="FY128" s="841"/>
      <c r="FZ128" s="841"/>
      <c r="GA128" s="841"/>
      <c r="GB128" s="841"/>
      <c r="GC128" s="841"/>
      <c r="GD128" s="841"/>
      <c r="GE128" s="841"/>
      <c r="GF128" s="841"/>
      <c r="GG128" s="841"/>
      <c r="GH128" s="841"/>
      <c r="GI128" s="841"/>
      <c r="GJ128" s="841"/>
      <c r="GK128" s="841"/>
      <c r="GL128" s="841"/>
      <c r="GM128" s="841"/>
      <c r="GN128" s="841"/>
      <c r="GO128" s="841"/>
      <c r="GP128" s="841"/>
      <c r="GQ128" s="841"/>
      <c r="GR128" s="841"/>
      <c r="GS128" s="841"/>
      <c r="GT128" s="841"/>
      <c r="GU128" s="841"/>
      <c r="GV128" s="841"/>
      <c r="GW128" s="841"/>
      <c r="GX128" s="841"/>
      <c r="GY128" s="841"/>
      <c r="GZ128" s="841"/>
      <c r="HA128" s="841"/>
      <c r="HB128" s="841"/>
      <c r="HC128" s="841"/>
      <c r="HD128" s="841"/>
      <c r="HE128" s="841"/>
      <c r="HF128" s="841"/>
      <c r="HG128" s="841"/>
      <c r="HH128" s="841"/>
      <c r="HI128" s="841"/>
      <c r="HJ128" s="841"/>
      <c r="HK128" s="841"/>
      <c r="HL128" s="841"/>
      <c r="HM128" s="841"/>
      <c r="HN128" s="841"/>
      <c r="HO128" s="841"/>
    </row>
    <row r="129" spans="1:223" ht="21.75" hidden="1" thickTop="1" thickBot="1">
      <c r="B129" s="2175" t="s">
        <v>1021</v>
      </c>
      <c r="C129" s="2176"/>
      <c r="D129" s="2176"/>
      <c r="E129" s="2176"/>
      <c r="F129" s="2176"/>
      <c r="G129" s="2176"/>
      <c r="H129" s="2176"/>
      <c r="I129" s="2176"/>
      <c r="J129" s="2176"/>
      <c r="K129" s="2176"/>
      <c r="L129" s="2176"/>
      <c r="M129" s="2177"/>
      <c r="N129" s="910"/>
      <c r="O129" s="910"/>
      <c r="P129" s="910"/>
      <c r="Q129" s="910"/>
      <c r="R129" s="910"/>
      <c r="S129" s="910"/>
      <c r="T129" s="910"/>
      <c r="U129" s="910"/>
      <c r="V129" s="910"/>
      <c r="W129" s="910"/>
      <c r="X129" s="910"/>
      <c r="AJ129" s="1352"/>
      <c r="AK129" s="854"/>
      <c r="AL129" s="854"/>
      <c r="AM129" s="854"/>
      <c r="AN129" s="854"/>
      <c r="DS129" s="841"/>
      <c r="DT129" s="841"/>
      <c r="DU129" s="841"/>
      <c r="DV129" s="841"/>
      <c r="DW129" s="841"/>
      <c r="DX129" s="841"/>
      <c r="DY129" s="841"/>
      <c r="DZ129" s="841"/>
      <c r="EA129" s="841"/>
      <c r="EB129" s="841"/>
      <c r="EC129" s="841"/>
      <c r="ED129" s="841"/>
      <c r="EE129" s="841"/>
      <c r="EF129" s="841"/>
      <c r="EG129" s="841"/>
      <c r="EH129" s="841"/>
      <c r="EI129" s="841"/>
      <c r="EJ129" s="841"/>
      <c r="EK129" s="841"/>
      <c r="EL129" s="841"/>
      <c r="EM129" s="841"/>
      <c r="EN129" s="841"/>
      <c r="EO129" s="841"/>
      <c r="EP129" s="841"/>
      <c r="EQ129" s="841"/>
      <c r="ER129" s="841"/>
      <c r="ES129" s="841"/>
      <c r="ET129" s="841"/>
      <c r="EU129" s="841"/>
      <c r="EV129" s="841"/>
      <c r="EW129" s="841"/>
      <c r="EX129" s="841"/>
      <c r="EY129" s="841"/>
      <c r="EZ129" s="841"/>
      <c r="FA129" s="841"/>
      <c r="FB129" s="841"/>
      <c r="FC129" s="841"/>
      <c r="FD129" s="841"/>
      <c r="FE129" s="841"/>
      <c r="FF129" s="841"/>
      <c r="FG129" s="841"/>
      <c r="FH129" s="841"/>
      <c r="FI129" s="841"/>
      <c r="FJ129" s="841"/>
      <c r="FK129" s="841"/>
      <c r="FL129" s="841"/>
      <c r="FM129" s="841"/>
      <c r="FN129" s="841"/>
      <c r="FO129" s="841"/>
      <c r="FP129" s="841"/>
      <c r="FQ129" s="841"/>
      <c r="FR129" s="841"/>
      <c r="FS129" s="841"/>
      <c r="FT129" s="841"/>
      <c r="FU129" s="841"/>
      <c r="FV129" s="841"/>
      <c r="FW129" s="841"/>
      <c r="FX129" s="841"/>
      <c r="FY129" s="841"/>
      <c r="FZ129" s="841"/>
      <c r="GA129" s="841"/>
      <c r="GB129" s="841"/>
      <c r="GC129" s="841"/>
      <c r="GD129" s="841"/>
      <c r="GE129" s="841"/>
      <c r="GF129" s="841"/>
      <c r="GG129" s="841"/>
      <c r="GH129" s="841"/>
      <c r="GI129" s="841"/>
      <c r="GJ129" s="841"/>
      <c r="GK129" s="841"/>
      <c r="GL129" s="841"/>
      <c r="GM129" s="841"/>
      <c r="GN129" s="841"/>
      <c r="GO129" s="841"/>
      <c r="GP129" s="841"/>
      <c r="GQ129" s="841"/>
      <c r="GR129" s="841"/>
      <c r="GS129" s="841"/>
      <c r="GT129" s="841"/>
      <c r="GU129" s="841"/>
      <c r="GV129" s="841"/>
      <c r="GW129" s="841"/>
      <c r="GX129" s="841"/>
      <c r="GY129" s="841"/>
      <c r="GZ129" s="841"/>
      <c r="HA129" s="841"/>
      <c r="HB129" s="841"/>
      <c r="HC129" s="841"/>
      <c r="HD129" s="841"/>
      <c r="HE129" s="841"/>
      <c r="HF129" s="841"/>
      <c r="HG129" s="841"/>
      <c r="HH129" s="841"/>
      <c r="HI129" s="841"/>
      <c r="HJ129" s="841"/>
      <c r="HK129" s="841"/>
      <c r="HL129" s="841"/>
      <c r="HM129" s="841"/>
      <c r="HN129" s="841"/>
      <c r="HO129" s="841"/>
    </row>
    <row r="130" spans="1:223" ht="7.15" hidden="1" customHeight="1">
      <c r="B130" s="910"/>
      <c r="C130" s="910"/>
      <c r="D130" s="910"/>
      <c r="E130" s="910"/>
      <c r="F130" s="910"/>
      <c r="G130" s="910"/>
      <c r="H130" s="910"/>
      <c r="I130" s="910"/>
      <c r="J130" s="910"/>
      <c r="K130" s="910"/>
      <c r="L130" s="910"/>
      <c r="M130" s="910"/>
      <c r="N130" s="910"/>
      <c r="O130" s="910"/>
      <c r="P130" s="910"/>
      <c r="Q130" s="910"/>
      <c r="R130" s="910"/>
      <c r="S130" s="910"/>
      <c r="T130" s="910"/>
      <c r="U130" s="910"/>
      <c r="V130" s="910"/>
      <c r="W130" s="910"/>
      <c r="X130" s="910"/>
      <c r="AJ130" s="1352"/>
      <c r="AK130" s="1354"/>
      <c r="AL130" s="854"/>
      <c r="AM130" s="854"/>
      <c r="AN130" s="854"/>
      <c r="DS130" s="841"/>
      <c r="DT130" s="841"/>
      <c r="DU130" s="841"/>
      <c r="DV130" s="841"/>
      <c r="DW130" s="841"/>
      <c r="DX130" s="841"/>
      <c r="DY130" s="841"/>
      <c r="DZ130" s="841"/>
      <c r="EA130" s="841"/>
      <c r="EB130" s="841"/>
      <c r="EC130" s="841"/>
      <c r="ED130" s="841"/>
      <c r="EE130" s="841"/>
      <c r="EF130" s="841"/>
      <c r="EG130" s="841"/>
      <c r="EH130" s="841"/>
      <c r="EI130" s="841"/>
      <c r="EJ130" s="841"/>
      <c r="EK130" s="841"/>
      <c r="EL130" s="841"/>
      <c r="EM130" s="841"/>
      <c r="EN130" s="841"/>
      <c r="EO130" s="841"/>
      <c r="EP130" s="841"/>
      <c r="EQ130" s="841"/>
      <c r="ER130" s="841"/>
      <c r="ES130" s="841"/>
      <c r="ET130" s="841"/>
      <c r="EU130" s="841"/>
      <c r="EV130" s="841"/>
      <c r="EW130" s="841"/>
      <c r="EX130" s="841"/>
      <c r="EY130" s="841"/>
      <c r="EZ130" s="841"/>
      <c r="FA130" s="841"/>
      <c r="FB130" s="841"/>
      <c r="FC130" s="841"/>
      <c r="FD130" s="841"/>
      <c r="FE130" s="841"/>
      <c r="FF130" s="841"/>
      <c r="FG130" s="841"/>
      <c r="FH130" s="841"/>
      <c r="FI130" s="841"/>
      <c r="FJ130" s="841"/>
      <c r="FK130" s="841"/>
      <c r="FL130" s="841"/>
      <c r="FM130" s="841"/>
      <c r="FN130" s="841"/>
      <c r="FO130" s="841"/>
      <c r="FP130" s="841"/>
      <c r="FQ130" s="841"/>
      <c r="FR130" s="841"/>
      <c r="FS130" s="841"/>
      <c r="FT130" s="841"/>
      <c r="FU130" s="841"/>
      <c r="FV130" s="841"/>
      <c r="FW130" s="841"/>
      <c r="FX130" s="841"/>
      <c r="FY130" s="841"/>
      <c r="FZ130" s="841"/>
      <c r="GA130" s="841"/>
      <c r="GB130" s="841"/>
      <c r="GC130" s="841"/>
      <c r="GD130" s="841"/>
      <c r="GE130" s="841"/>
      <c r="GF130" s="841"/>
      <c r="GG130" s="841"/>
      <c r="GH130" s="841"/>
      <c r="GI130" s="841"/>
      <c r="GJ130" s="841"/>
      <c r="GK130" s="841"/>
      <c r="GL130" s="841"/>
      <c r="GM130" s="841"/>
      <c r="GN130" s="841"/>
      <c r="GO130" s="841"/>
      <c r="GP130" s="841"/>
      <c r="GQ130" s="841"/>
      <c r="GR130" s="841"/>
      <c r="GS130" s="841"/>
      <c r="GT130" s="841"/>
      <c r="GU130" s="841"/>
      <c r="GV130" s="841"/>
      <c r="GW130" s="841"/>
      <c r="GX130" s="841"/>
      <c r="GY130" s="841"/>
      <c r="GZ130" s="841"/>
      <c r="HA130" s="841"/>
      <c r="HB130" s="841"/>
      <c r="HC130" s="841"/>
      <c r="HD130" s="841"/>
      <c r="HE130" s="841"/>
      <c r="HF130" s="841"/>
      <c r="HG130" s="841"/>
      <c r="HH130" s="841"/>
      <c r="HI130" s="841"/>
      <c r="HJ130" s="841"/>
      <c r="HK130" s="841"/>
      <c r="HL130" s="841"/>
      <c r="HM130" s="841"/>
      <c r="HN130" s="841"/>
      <c r="HO130" s="841"/>
    </row>
    <row r="131" spans="1:223" ht="21.75" hidden="1" thickTop="1" thickBot="1">
      <c r="B131" s="2178"/>
      <c r="C131" s="2179"/>
      <c r="D131" s="2179"/>
      <c r="E131" s="2179"/>
      <c r="F131" s="2179"/>
      <c r="G131" s="2179"/>
      <c r="H131" s="2179"/>
      <c r="I131" s="2179"/>
      <c r="J131" s="2179"/>
      <c r="K131" s="2179"/>
      <c r="L131" s="2179"/>
      <c r="M131" s="2180"/>
      <c r="N131" s="910"/>
      <c r="O131" s="910"/>
      <c r="P131" s="910"/>
      <c r="Q131" s="910"/>
      <c r="R131" s="910"/>
      <c r="S131" s="910"/>
      <c r="T131" s="910"/>
      <c r="U131" s="910"/>
      <c r="V131" s="910"/>
      <c r="W131" s="910"/>
      <c r="X131" s="910"/>
      <c r="AJ131" s="1352"/>
      <c r="AK131" s="1354"/>
      <c r="AL131" s="854"/>
      <c r="AM131" s="854"/>
      <c r="AN131" s="854"/>
      <c r="DS131" s="841"/>
      <c r="DT131" s="841"/>
      <c r="DU131" s="841"/>
      <c r="DV131" s="841"/>
      <c r="DW131" s="841"/>
      <c r="DX131" s="841"/>
      <c r="DY131" s="841"/>
      <c r="DZ131" s="841"/>
      <c r="EA131" s="841"/>
      <c r="EB131" s="841"/>
      <c r="EC131" s="841"/>
      <c r="ED131" s="841"/>
      <c r="EE131" s="841"/>
      <c r="EF131" s="841"/>
      <c r="EG131" s="841"/>
      <c r="EH131" s="841"/>
      <c r="EI131" s="841"/>
      <c r="EJ131" s="841"/>
      <c r="EK131" s="841"/>
      <c r="EL131" s="841"/>
      <c r="EM131" s="841"/>
      <c r="EN131" s="841"/>
      <c r="EO131" s="841"/>
      <c r="EP131" s="841"/>
      <c r="EQ131" s="841"/>
      <c r="ER131" s="841"/>
      <c r="ES131" s="841"/>
      <c r="ET131" s="841"/>
      <c r="EU131" s="841"/>
      <c r="EV131" s="841"/>
      <c r="EW131" s="841"/>
      <c r="EX131" s="841"/>
      <c r="EY131" s="841"/>
      <c r="EZ131" s="841"/>
      <c r="FA131" s="841"/>
      <c r="FB131" s="841"/>
      <c r="FC131" s="841"/>
      <c r="FD131" s="841"/>
      <c r="FE131" s="841"/>
      <c r="FF131" s="841"/>
      <c r="FG131" s="841"/>
      <c r="FH131" s="841"/>
      <c r="FI131" s="841"/>
      <c r="FJ131" s="841"/>
      <c r="FK131" s="841"/>
      <c r="FL131" s="841"/>
      <c r="FM131" s="841"/>
      <c r="FN131" s="841"/>
      <c r="FO131" s="841"/>
      <c r="FP131" s="841"/>
      <c r="FQ131" s="841"/>
      <c r="FR131" s="841"/>
      <c r="FS131" s="841"/>
      <c r="FT131" s="841"/>
      <c r="FU131" s="841"/>
      <c r="FV131" s="841"/>
      <c r="FW131" s="841"/>
      <c r="FX131" s="841"/>
      <c r="FY131" s="841"/>
      <c r="FZ131" s="841"/>
      <c r="GA131" s="841"/>
      <c r="GB131" s="841"/>
      <c r="GC131" s="841"/>
      <c r="GD131" s="841"/>
      <c r="GE131" s="841"/>
      <c r="GF131" s="841"/>
      <c r="GG131" s="841"/>
      <c r="GH131" s="841"/>
      <c r="GI131" s="841"/>
      <c r="GJ131" s="841"/>
      <c r="GK131" s="841"/>
      <c r="GL131" s="841"/>
      <c r="GM131" s="841"/>
      <c r="GN131" s="841"/>
      <c r="GO131" s="841"/>
      <c r="GP131" s="841"/>
      <c r="GQ131" s="841"/>
      <c r="GR131" s="841"/>
      <c r="GS131" s="841"/>
      <c r="GT131" s="841"/>
      <c r="GU131" s="841"/>
      <c r="GV131" s="841"/>
      <c r="GW131" s="841"/>
      <c r="GX131" s="841"/>
      <c r="GY131" s="841"/>
      <c r="GZ131" s="841"/>
      <c r="HA131" s="841"/>
      <c r="HB131" s="841"/>
      <c r="HC131" s="841"/>
      <c r="HD131" s="841"/>
      <c r="HE131" s="841"/>
      <c r="HF131" s="841"/>
      <c r="HG131" s="841"/>
      <c r="HH131" s="841"/>
      <c r="HI131" s="841"/>
      <c r="HJ131" s="841"/>
      <c r="HK131" s="841"/>
      <c r="HL131" s="841"/>
      <c r="HM131" s="841"/>
      <c r="HN131" s="841"/>
      <c r="HO131" s="841"/>
    </row>
    <row r="132" spans="1:223" ht="18" customHeight="1" thickTop="1">
      <c r="B132" s="874"/>
      <c r="C132" s="874"/>
      <c r="D132" s="874"/>
      <c r="E132" s="874"/>
      <c r="F132" s="874"/>
      <c r="G132" s="874"/>
      <c r="H132" s="874"/>
      <c r="I132" s="874"/>
      <c r="J132" s="874"/>
      <c r="K132" s="874"/>
      <c r="L132" s="874"/>
      <c r="M132" s="874"/>
      <c r="N132" s="910"/>
      <c r="O132" s="910"/>
      <c r="P132" s="910"/>
      <c r="Q132" s="910"/>
      <c r="R132" s="910"/>
      <c r="S132" s="910"/>
      <c r="T132" s="910"/>
      <c r="U132" s="910"/>
      <c r="V132" s="910"/>
      <c r="W132" s="910"/>
      <c r="X132" s="910"/>
      <c r="AJ132" s="1352"/>
      <c r="AK132" s="1354"/>
      <c r="AL132" s="854"/>
      <c r="AM132" s="854"/>
      <c r="AN132" s="854"/>
      <c r="DS132" s="841"/>
      <c r="DT132" s="841"/>
      <c r="DU132" s="841"/>
      <c r="DV132" s="841"/>
      <c r="DW132" s="841"/>
      <c r="DX132" s="841"/>
      <c r="DY132" s="841"/>
      <c r="DZ132" s="841"/>
      <c r="EA132" s="841"/>
      <c r="EB132" s="841"/>
      <c r="EC132" s="841"/>
      <c r="ED132" s="841"/>
      <c r="EE132" s="841"/>
      <c r="EF132" s="841"/>
      <c r="EG132" s="841"/>
      <c r="EH132" s="841"/>
      <c r="EI132" s="841"/>
      <c r="EJ132" s="841"/>
      <c r="EK132" s="841"/>
      <c r="EL132" s="841"/>
      <c r="EM132" s="841"/>
      <c r="EN132" s="841"/>
      <c r="EO132" s="841"/>
      <c r="EP132" s="841"/>
      <c r="EQ132" s="841"/>
      <c r="ER132" s="841"/>
      <c r="ES132" s="841"/>
      <c r="ET132" s="841"/>
      <c r="EU132" s="841"/>
      <c r="EV132" s="841"/>
      <c r="EW132" s="841"/>
      <c r="EX132" s="841"/>
      <c r="EY132" s="841"/>
      <c r="EZ132" s="841"/>
      <c r="FA132" s="841"/>
      <c r="FB132" s="841"/>
      <c r="FC132" s="841"/>
      <c r="FD132" s="841"/>
      <c r="FE132" s="841"/>
      <c r="FF132" s="841"/>
      <c r="FG132" s="841"/>
      <c r="FH132" s="841"/>
      <c r="FI132" s="841"/>
      <c r="FJ132" s="841"/>
      <c r="FK132" s="841"/>
      <c r="FL132" s="841"/>
      <c r="FM132" s="841"/>
      <c r="FN132" s="841"/>
      <c r="FO132" s="841"/>
      <c r="FP132" s="841"/>
      <c r="FQ132" s="841"/>
      <c r="FR132" s="841"/>
      <c r="FS132" s="841"/>
      <c r="FT132" s="841"/>
      <c r="FU132" s="841"/>
      <c r="FV132" s="841"/>
      <c r="FW132" s="841"/>
      <c r="FX132" s="841"/>
      <c r="FY132" s="841"/>
      <c r="FZ132" s="841"/>
      <c r="GA132" s="841"/>
      <c r="GB132" s="841"/>
      <c r="GC132" s="841"/>
      <c r="GD132" s="841"/>
      <c r="GE132" s="841"/>
      <c r="GF132" s="841"/>
      <c r="GG132" s="841"/>
      <c r="GH132" s="841"/>
      <c r="GI132" s="841"/>
      <c r="GJ132" s="841"/>
      <c r="GK132" s="841"/>
      <c r="GL132" s="841"/>
      <c r="GM132" s="841"/>
      <c r="GN132" s="841"/>
      <c r="GO132" s="841"/>
      <c r="GP132" s="841"/>
      <c r="GQ132" s="841"/>
      <c r="GR132" s="841"/>
      <c r="GS132" s="841"/>
      <c r="GT132" s="841"/>
      <c r="GU132" s="841"/>
      <c r="GV132" s="841"/>
      <c r="GW132" s="841"/>
      <c r="GX132" s="841"/>
      <c r="GY132" s="841"/>
      <c r="GZ132" s="841"/>
      <c r="HA132" s="841"/>
      <c r="HB132" s="841"/>
      <c r="HC132" s="841"/>
      <c r="HD132" s="841"/>
      <c r="HE132" s="841"/>
      <c r="HF132" s="841"/>
      <c r="HG132" s="841"/>
      <c r="HH132" s="841"/>
      <c r="HI132" s="841"/>
      <c r="HJ132" s="841"/>
      <c r="HK132" s="841"/>
      <c r="HL132" s="841"/>
      <c r="HM132" s="841"/>
      <c r="HN132" s="841"/>
      <c r="HO132" s="841"/>
    </row>
    <row r="133" spans="1:223" ht="30">
      <c r="B133" s="2121" t="s">
        <v>1326</v>
      </c>
      <c r="C133" s="2121"/>
      <c r="D133" s="2121"/>
      <c r="E133" s="2121"/>
      <c r="F133" s="2121"/>
      <c r="G133" s="2121"/>
      <c r="H133" s="2121"/>
      <c r="I133" s="2121"/>
      <c r="J133" s="2121"/>
      <c r="K133" s="2121"/>
      <c r="L133" s="2121"/>
      <c r="M133" s="2121"/>
      <c r="N133" s="2121"/>
      <c r="O133" s="2121"/>
      <c r="P133" s="2121"/>
      <c r="Q133" s="2121"/>
      <c r="R133" s="2121"/>
      <c r="S133" s="2121"/>
      <c r="T133" s="2121"/>
      <c r="U133" s="2121"/>
      <c r="V133" s="2121"/>
      <c r="W133" s="2121"/>
      <c r="X133" s="2121"/>
      <c r="Y133" s="2121"/>
      <c r="Z133" s="2121"/>
      <c r="AA133" s="2121"/>
      <c r="AB133" s="2121"/>
      <c r="AC133" s="2121"/>
      <c r="AD133" s="2121"/>
      <c r="AE133" s="2121"/>
      <c r="AF133" s="2121"/>
      <c r="AG133" s="2121"/>
      <c r="AH133" s="2121"/>
      <c r="AI133" s="2121"/>
      <c r="AJ133" s="2121"/>
      <c r="AK133" s="2121"/>
      <c r="AL133" s="2121"/>
      <c r="AM133" s="2121"/>
      <c r="AN133" s="2121"/>
      <c r="AO133" s="2121"/>
      <c r="AP133" s="2121"/>
      <c r="AQ133" s="2121"/>
      <c r="AR133" s="1344"/>
      <c r="DS133" s="841"/>
      <c r="DT133" s="841"/>
      <c r="DU133" s="841"/>
      <c r="DV133" s="841"/>
      <c r="DW133" s="841"/>
      <c r="DX133" s="841"/>
      <c r="DY133" s="841"/>
      <c r="DZ133" s="841"/>
      <c r="EA133" s="841"/>
      <c r="EB133" s="841"/>
      <c r="EC133" s="841"/>
      <c r="ED133" s="841"/>
      <c r="EE133" s="841"/>
      <c r="EF133" s="841"/>
      <c r="EG133" s="841"/>
      <c r="EH133" s="841"/>
      <c r="EI133" s="841"/>
      <c r="EJ133" s="841"/>
      <c r="EK133" s="841"/>
      <c r="EL133" s="841"/>
      <c r="EM133" s="841"/>
      <c r="EN133" s="841"/>
      <c r="EO133" s="841"/>
      <c r="EP133" s="841"/>
      <c r="EQ133" s="841"/>
      <c r="ER133" s="841"/>
      <c r="ES133" s="841"/>
      <c r="ET133" s="841"/>
      <c r="EU133" s="841"/>
      <c r="EV133" s="841"/>
      <c r="EW133" s="841"/>
      <c r="EX133" s="841"/>
      <c r="EY133" s="841"/>
      <c r="EZ133" s="841"/>
      <c r="FA133" s="841"/>
      <c r="FB133" s="841"/>
      <c r="FC133" s="841"/>
      <c r="FD133" s="841"/>
      <c r="FE133" s="841"/>
      <c r="FF133" s="841"/>
      <c r="FG133" s="841"/>
      <c r="FH133" s="841"/>
      <c r="FI133" s="841"/>
      <c r="FJ133" s="841"/>
      <c r="FK133" s="841"/>
      <c r="FL133" s="841"/>
      <c r="FM133" s="841"/>
      <c r="FN133" s="841"/>
      <c r="FO133" s="841"/>
      <c r="FP133" s="841"/>
      <c r="FQ133" s="841"/>
      <c r="FR133" s="841"/>
      <c r="FS133" s="841"/>
      <c r="FT133" s="841"/>
      <c r="FU133" s="841"/>
      <c r="FV133" s="841"/>
      <c r="FW133" s="841"/>
      <c r="FX133" s="841"/>
      <c r="FY133" s="841"/>
      <c r="FZ133" s="841"/>
      <c r="GA133" s="841"/>
      <c r="GB133" s="841"/>
      <c r="GC133" s="841"/>
      <c r="GD133" s="841"/>
      <c r="GE133" s="841"/>
      <c r="GF133" s="841"/>
      <c r="GG133" s="841"/>
      <c r="GH133" s="841"/>
      <c r="GI133" s="841"/>
      <c r="GJ133" s="841"/>
      <c r="GK133" s="841"/>
      <c r="GL133" s="841"/>
      <c r="GM133" s="841"/>
      <c r="GN133" s="841"/>
      <c r="GO133" s="841"/>
      <c r="GP133" s="841"/>
      <c r="GQ133" s="841"/>
      <c r="GR133" s="841"/>
      <c r="GS133" s="841"/>
      <c r="GT133" s="841"/>
      <c r="GU133" s="841"/>
      <c r="GV133" s="841"/>
      <c r="GW133" s="841"/>
      <c r="GX133" s="841"/>
      <c r="GY133" s="841"/>
      <c r="GZ133" s="841"/>
      <c r="HA133" s="841"/>
      <c r="HB133" s="841"/>
      <c r="HC133" s="841"/>
      <c r="HD133" s="841"/>
      <c r="HE133" s="841"/>
      <c r="HF133" s="841"/>
      <c r="HG133" s="841"/>
      <c r="HH133" s="841"/>
      <c r="HI133" s="841"/>
      <c r="HJ133" s="841"/>
      <c r="HK133" s="841"/>
      <c r="HL133" s="841"/>
      <c r="HM133" s="841"/>
      <c r="HN133" s="841"/>
      <c r="HO133" s="841"/>
    </row>
    <row r="134" spans="1:223" s="841" customFormat="1">
      <c r="A134" s="840"/>
      <c r="B134" s="840"/>
      <c r="C134" s="840"/>
      <c r="D134" s="840"/>
      <c r="E134" s="840"/>
      <c r="F134" s="840"/>
      <c r="G134" s="840"/>
      <c r="H134" s="840"/>
      <c r="I134" s="840"/>
      <c r="J134" s="840"/>
      <c r="K134" s="840"/>
      <c r="L134" s="840"/>
      <c r="M134" s="840"/>
      <c r="N134" s="840"/>
      <c r="O134" s="840"/>
      <c r="P134" s="840"/>
      <c r="Q134" s="840"/>
      <c r="R134" s="840"/>
      <c r="S134" s="840"/>
      <c r="T134" s="840"/>
      <c r="U134" s="840"/>
      <c r="V134" s="840"/>
      <c r="W134" s="840"/>
      <c r="X134" s="840"/>
      <c r="Y134" s="840"/>
      <c r="Z134" s="1212"/>
      <c r="AA134" s="1212"/>
      <c r="AB134" s="1212"/>
      <c r="AC134" s="1212"/>
      <c r="AD134" s="1212"/>
      <c r="AE134" s="1212"/>
      <c r="AF134" s="1212"/>
      <c r="AG134" s="1212"/>
      <c r="AH134" s="1212"/>
      <c r="AI134" s="840"/>
      <c r="AJ134" s="854"/>
      <c r="AK134" s="854"/>
      <c r="AL134" s="854"/>
      <c r="AM134" s="854"/>
      <c r="AN134" s="854"/>
      <c r="AO134" s="840"/>
      <c r="AP134" s="840"/>
      <c r="AQ134" s="840"/>
      <c r="AR134" s="840"/>
      <c r="AS134" s="840"/>
      <c r="CD134" s="1489"/>
      <c r="CE134" s="1490"/>
      <c r="CF134" s="1489"/>
      <c r="CG134" s="1489"/>
      <c r="CH134" s="1501"/>
      <c r="CI134" s="1489"/>
      <c r="CJ134" s="1489"/>
      <c r="CK134" s="1489"/>
      <c r="CL134" s="1489"/>
      <c r="CM134" s="1489"/>
      <c r="CN134" s="1489"/>
      <c r="CO134" s="1489"/>
      <c r="CP134" s="1489"/>
      <c r="CQ134" s="1489"/>
      <c r="CR134" s="1489"/>
      <c r="CS134" s="1489"/>
      <c r="CT134" s="1507"/>
      <c r="CU134" s="1507"/>
      <c r="CV134" s="1507"/>
      <c r="CW134" s="1507"/>
      <c r="CX134" s="1507"/>
      <c r="CY134" s="1507"/>
      <c r="CZ134" s="1507"/>
      <c r="DA134" s="1507"/>
      <c r="DB134" s="1507"/>
      <c r="DC134" s="1507"/>
      <c r="DD134" s="1507"/>
    </row>
    <row r="135" spans="1:223" s="841" customFormat="1" ht="40.5" customHeight="1" thickBot="1">
      <c r="A135" s="840"/>
      <c r="B135" s="840"/>
      <c r="C135" s="840"/>
      <c r="D135" s="840"/>
      <c r="E135" s="840"/>
      <c r="F135" s="1269"/>
      <c r="G135" s="840"/>
      <c r="H135" s="2158"/>
      <c r="I135" s="2158"/>
      <c r="J135" s="2158"/>
      <c r="K135" s="2158"/>
      <c r="L135" s="2158"/>
      <c r="M135" s="2158"/>
      <c r="N135" s="2158"/>
      <c r="O135" s="840"/>
      <c r="P135" s="840"/>
      <c r="Q135" s="840"/>
      <c r="R135" s="840"/>
      <c r="S135" s="840"/>
      <c r="T135" s="840"/>
      <c r="U135" s="840"/>
      <c r="V135" s="840"/>
      <c r="W135" s="840"/>
      <c r="X135" s="840"/>
      <c r="Y135" s="840"/>
      <c r="Z135" s="1212"/>
      <c r="AA135" s="1212"/>
      <c r="AB135" s="1212"/>
      <c r="AC135" s="1212"/>
      <c r="AD135" s="1212"/>
      <c r="AE135" s="1212"/>
      <c r="AF135" s="1212"/>
      <c r="AG135" s="1212"/>
      <c r="AH135" s="1212"/>
      <c r="AI135" s="840"/>
      <c r="AJ135" s="854"/>
      <c r="AK135" s="854"/>
      <c r="AL135" s="854"/>
      <c r="AM135" s="854"/>
      <c r="AN135" s="854"/>
      <c r="AO135" s="840"/>
      <c r="AP135" s="840"/>
      <c r="AQ135" s="840"/>
      <c r="AR135" s="840"/>
      <c r="AS135" s="840"/>
      <c r="CD135" s="1489"/>
      <c r="CE135" s="1490"/>
      <c r="CF135" s="1489"/>
      <c r="CG135" s="1489"/>
      <c r="CH135" s="1501"/>
      <c r="CI135" s="1489"/>
      <c r="CJ135" s="1489"/>
      <c r="CK135" s="1489"/>
      <c r="CL135" s="1489"/>
      <c r="CM135" s="1489"/>
      <c r="CN135" s="1489"/>
      <c r="CO135" s="1489"/>
      <c r="CP135" s="1489"/>
      <c r="CQ135" s="1489"/>
      <c r="CR135" s="1489"/>
      <c r="CS135" s="1489"/>
      <c r="CT135" s="1507"/>
      <c r="CU135" s="1507"/>
      <c r="CV135" s="1507"/>
      <c r="CW135" s="1507"/>
      <c r="CX135" s="1507"/>
      <c r="CY135" s="1507"/>
      <c r="CZ135" s="1507"/>
      <c r="DA135" s="1507"/>
      <c r="DB135" s="1507"/>
      <c r="DC135" s="1507"/>
      <c r="DD135" s="1507"/>
    </row>
    <row r="136" spans="1:223" s="895" customFormat="1" ht="60.6" customHeight="1" thickBot="1">
      <c r="A136" s="891"/>
      <c r="B136" s="864" t="s">
        <v>419</v>
      </c>
      <c r="C136" s="891"/>
      <c r="D136" s="864" t="s">
        <v>420</v>
      </c>
      <c r="E136" s="891"/>
      <c r="F136" s="864" t="s">
        <v>1288</v>
      </c>
      <c r="G136" s="891"/>
      <c r="H136" s="864" t="s">
        <v>1289</v>
      </c>
      <c r="I136" s="891"/>
      <c r="J136" s="864" t="s">
        <v>1290</v>
      </c>
      <c r="K136" s="891"/>
      <c r="L136" s="864" t="s">
        <v>1291</v>
      </c>
      <c r="M136" s="892"/>
      <c r="N136" s="864" t="s">
        <v>1324</v>
      </c>
      <c r="O136" s="891"/>
      <c r="P136" s="864" t="s">
        <v>421</v>
      </c>
      <c r="Q136" s="891"/>
      <c r="R136" s="864" t="s">
        <v>179</v>
      </c>
      <c r="S136" s="891"/>
      <c r="T136" s="864" t="s">
        <v>1325</v>
      </c>
      <c r="U136" s="891"/>
      <c r="V136" s="864" t="s">
        <v>424</v>
      </c>
      <c r="W136" s="891"/>
      <c r="X136" s="865" t="s">
        <v>51</v>
      </c>
      <c r="Y136" s="891"/>
      <c r="Z136" s="1219"/>
      <c r="AA136" s="1219"/>
      <c r="AB136" s="1219"/>
      <c r="AC136" s="1219"/>
      <c r="AD136" s="1219"/>
      <c r="AE136" s="1219"/>
      <c r="AF136" s="1219"/>
      <c r="AG136" s="1219"/>
      <c r="AH136" s="1219"/>
      <c r="AI136" s="891"/>
      <c r="AJ136" s="1350"/>
      <c r="AK136" s="891"/>
      <c r="AL136" s="891"/>
      <c r="AM136" s="891"/>
      <c r="AN136" s="891"/>
      <c r="AO136" s="891"/>
      <c r="AP136" s="891"/>
      <c r="AQ136" s="891"/>
      <c r="AR136" s="891"/>
      <c r="AS136" s="1350"/>
      <c r="AT136" s="894"/>
      <c r="AU136" s="894"/>
      <c r="AV136" s="894"/>
      <c r="AW136" s="894"/>
      <c r="AX136" s="894"/>
      <c r="AY136" s="894"/>
      <c r="AZ136" s="894"/>
      <c r="BA136" s="894"/>
      <c r="BB136" s="894"/>
      <c r="BC136" s="894"/>
      <c r="BD136" s="894"/>
      <c r="BE136" s="894"/>
      <c r="BF136" s="894"/>
      <c r="BG136" s="894"/>
      <c r="BH136" s="894"/>
      <c r="BI136" s="894"/>
      <c r="BJ136" s="894"/>
      <c r="BK136" s="894"/>
      <c r="BL136" s="894"/>
      <c r="BM136" s="894"/>
      <c r="BN136" s="894"/>
      <c r="BO136" s="894"/>
      <c r="BP136" s="894"/>
      <c r="BQ136" s="894"/>
      <c r="BR136" s="894"/>
      <c r="BS136" s="894"/>
      <c r="BT136" s="894"/>
      <c r="BU136" s="894"/>
      <c r="BV136" s="894"/>
      <c r="BW136" s="894"/>
      <c r="BX136" s="894"/>
      <c r="BY136" s="894"/>
      <c r="BZ136" s="893"/>
      <c r="CA136" s="893"/>
      <c r="CB136" s="893"/>
      <c r="CC136" s="893"/>
      <c r="CD136" s="1494"/>
      <c r="CE136" s="1498"/>
      <c r="CF136" s="1494"/>
      <c r="CG136" s="1494"/>
      <c r="CH136" s="1498"/>
      <c r="CI136" s="1494"/>
      <c r="CJ136" s="1494"/>
      <c r="CK136" s="1494"/>
      <c r="CL136" s="1494"/>
      <c r="CM136" s="1494"/>
      <c r="CN136" s="1494"/>
      <c r="CO136" s="1494"/>
      <c r="CP136" s="1494"/>
      <c r="CQ136" s="1494"/>
      <c r="CR136" s="1504"/>
      <c r="CS136" s="1504"/>
      <c r="CT136" s="1505"/>
      <c r="CU136" s="1505"/>
      <c r="CV136" s="1505"/>
      <c r="CW136" s="1505"/>
      <c r="CX136" s="1505"/>
      <c r="CY136" s="1505"/>
      <c r="CZ136" s="1505"/>
      <c r="DA136" s="1505"/>
      <c r="DB136" s="1505"/>
      <c r="DC136" s="1505"/>
      <c r="DD136" s="1505"/>
      <c r="DE136" s="894"/>
      <c r="DF136" s="894"/>
      <c r="DG136" s="894"/>
      <c r="DH136" s="894"/>
      <c r="DI136" s="894"/>
      <c r="DJ136" s="894"/>
      <c r="DK136" s="894"/>
      <c r="DL136" s="894"/>
      <c r="DM136" s="894"/>
      <c r="DN136" s="894"/>
      <c r="DO136" s="894"/>
      <c r="DP136" s="894"/>
      <c r="DQ136" s="894"/>
      <c r="DR136" s="894"/>
      <c r="DS136" s="893"/>
      <c r="DT136" s="893"/>
      <c r="DU136" s="893"/>
      <c r="DV136" s="893"/>
      <c r="DW136" s="893"/>
      <c r="DX136" s="893"/>
      <c r="DY136" s="893"/>
      <c r="DZ136" s="893"/>
      <c r="EA136" s="893"/>
      <c r="EB136" s="893"/>
      <c r="EC136" s="893"/>
      <c r="ED136" s="893"/>
      <c r="EE136" s="893"/>
      <c r="EF136" s="893"/>
      <c r="EG136" s="893"/>
      <c r="EH136" s="893"/>
      <c r="EI136" s="893"/>
      <c r="EJ136" s="893"/>
      <c r="EK136" s="893"/>
      <c r="EL136" s="893"/>
      <c r="EM136" s="893"/>
      <c r="EN136" s="893"/>
      <c r="EO136" s="893"/>
      <c r="EP136" s="893"/>
      <c r="EQ136" s="893"/>
      <c r="ER136" s="893"/>
      <c r="ES136" s="893"/>
      <c r="ET136" s="893"/>
      <c r="EU136" s="893"/>
      <c r="EV136" s="893"/>
      <c r="EW136" s="893"/>
      <c r="EX136" s="893"/>
      <c r="EY136" s="893"/>
      <c r="EZ136" s="893"/>
      <c r="FA136" s="893"/>
      <c r="FB136" s="893"/>
      <c r="FC136" s="893"/>
      <c r="FD136" s="893"/>
      <c r="FE136" s="893"/>
      <c r="FF136" s="893"/>
      <c r="FG136" s="893"/>
      <c r="FH136" s="893"/>
      <c r="FI136" s="893"/>
      <c r="FJ136" s="893"/>
      <c r="FK136" s="893"/>
      <c r="FL136" s="893"/>
      <c r="FM136" s="893"/>
      <c r="FN136" s="893"/>
      <c r="FO136" s="893"/>
      <c r="FP136" s="893"/>
      <c r="FQ136" s="893"/>
      <c r="FR136" s="893"/>
      <c r="FS136" s="893"/>
      <c r="FT136" s="893"/>
      <c r="FU136" s="893"/>
      <c r="FV136" s="893"/>
      <c r="FW136" s="893"/>
      <c r="FX136" s="893"/>
      <c r="FY136" s="893"/>
      <c r="FZ136" s="893"/>
      <c r="GA136" s="893"/>
      <c r="GB136" s="893"/>
      <c r="GC136" s="893"/>
      <c r="GD136" s="893"/>
      <c r="GE136" s="893"/>
      <c r="GF136" s="893"/>
      <c r="GG136" s="893"/>
      <c r="GH136" s="893"/>
      <c r="GI136" s="893"/>
      <c r="GJ136" s="893"/>
      <c r="GK136" s="893"/>
      <c r="GL136" s="893"/>
      <c r="GM136" s="893"/>
      <c r="GN136" s="893"/>
      <c r="GO136" s="893"/>
      <c r="GP136" s="893"/>
      <c r="GQ136" s="893"/>
      <c r="GR136" s="893"/>
      <c r="GS136" s="893"/>
      <c r="GT136" s="893"/>
      <c r="GU136" s="893"/>
      <c r="GV136" s="893"/>
      <c r="GW136" s="893"/>
      <c r="GX136" s="893"/>
      <c r="GY136" s="893"/>
      <c r="GZ136" s="893"/>
      <c r="HA136" s="893"/>
      <c r="HB136" s="893"/>
      <c r="HC136" s="893"/>
      <c r="HD136" s="893"/>
      <c r="HE136" s="893"/>
      <c r="HF136" s="893"/>
      <c r="HG136" s="893"/>
      <c r="HH136" s="893"/>
      <c r="HI136" s="893"/>
      <c r="HJ136" s="893"/>
      <c r="HK136" s="893"/>
      <c r="HL136" s="893"/>
      <c r="HM136" s="893"/>
      <c r="HN136" s="893"/>
      <c r="HO136" s="893"/>
    </row>
    <row r="137" spans="1:223" s="841" customFormat="1" ht="12.75" customHeight="1">
      <c r="A137" s="840"/>
      <c r="B137" s="1325"/>
      <c r="C137" s="1325"/>
      <c r="D137" s="1325" t="str">
        <f>IF((IFERROR(FIND("IP",D138),"CP_Voz"))&lt;&gt;"CP_Voz","CP_IP","CP_Voz")</f>
        <v>CP_Voz</v>
      </c>
      <c r="E137" s="1325"/>
      <c r="F137" s="1345"/>
      <c r="G137" s="1345"/>
      <c r="H137" s="1345"/>
      <c r="I137" s="1345"/>
      <c r="J137" s="1345"/>
      <c r="K137" s="1345"/>
      <c r="L137" s="1345"/>
      <c r="M137" s="1345"/>
      <c r="N137" s="1345"/>
      <c r="O137" s="1325"/>
      <c r="P137" s="1345">
        <f>IF(SUM(Calculos_cuotas!K69:N69,Calculos_cuotas!R69)&gt;0,0,1)</f>
        <v>0</v>
      </c>
      <c r="Q137" s="840"/>
      <c r="R137" s="840"/>
      <c r="S137" s="840"/>
      <c r="T137" s="840"/>
      <c r="U137" s="840"/>
      <c r="V137" s="840"/>
      <c r="W137" s="840"/>
      <c r="X137" s="840"/>
      <c r="Y137" s="840"/>
      <c r="Z137" s="1212"/>
      <c r="AA137" s="1212"/>
      <c r="AB137" s="1212"/>
      <c r="AC137" s="1212"/>
      <c r="AD137" s="1212"/>
      <c r="AE137" s="1212"/>
      <c r="AF137" s="1212"/>
      <c r="AG137" s="1212"/>
      <c r="AH137" s="1212"/>
      <c r="AI137" s="840"/>
      <c r="AJ137" s="840"/>
      <c r="AK137" s="840"/>
      <c r="AL137" s="840"/>
      <c r="AM137" s="840"/>
      <c r="AN137" s="840"/>
      <c r="AO137" s="840"/>
      <c r="AP137" s="840"/>
      <c r="AQ137" s="840"/>
      <c r="AR137" s="840"/>
      <c r="AS137" s="840"/>
      <c r="CD137" s="1489"/>
      <c r="CE137" s="1490"/>
      <c r="CF137" s="1489"/>
      <c r="CG137" s="1489"/>
      <c r="CH137" s="1501"/>
      <c r="CI137" s="1489"/>
      <c r="CJ137" s="1489"/>
      <c r="CK137" s="1489"/>
      <c r="CL137" s="1489"/>
      <c r="CM137" s="1489"/>
      <c r="CN137" s="1489"/>
      <c r="CO137" s="1489"/>
      <c r="CP137" s="1489"/>
      <c r="CQ137" s="1489"/>
      <c r="CR137" s="1489"/>
      <c r="CS137" s="1489"/>
      <c r="CT137" s="1507"/>
      <c r="CU137" s="1507"/>
      <c r="CV137" s="1507"/>
      <c r="CW137" s="1507"/>
      <c r="CX137" s="1507"/>
      <c r="CY137" s="1507"/>
      <c r="CZ137" s="1507"/>
      <c r="DA137" s="1507"/>
      <c r="DB137" s="1507"/>
      <c r="DC137" s="1507"/>
      <c r="DD137" s="1507"/>
    </row>
    <row r="138" spans="1:223" ht="21" thickBot="1">
      <c r="B138" s="870" t="s">
        <v>2083</v>
      </c>
      <c r="C138" s="1305"/>
      <c r="D138" s="870" t="s">
        <v>425</v>
      </c>
      <c r="E138" s="868" t="e">
        <f>IF(OR(D138=$CH$48,D138=#REF!,D138=$CH$54),1,0)</f>
        <v>#REF!</v>
      </c>
      <c r="F138" s="870"/>
      <c r="H138" s="1512"/>
      <c r="J138" s="1512"/>
      <c r="L138" s="1512"/>
      <c r="N138" s="1346">
        <f>IF(SUM(H138+J138)&gt;4,1,0)</f>
        <v>0</v>
      </c>
      <c r="O138" s="1325">
        <f>IF(D137="CP_IP",16,20000000)</f>
        <v>20000000</v>
      </c>
      <c r="P138" s="1512"/>
      <c r="R138" s="870"/>
      <c r="T138" s="870"/>
      <c r="V138" s="870"/>
      <c r="X138" s="884">
        <f>IF(ISBLANK(D138),0,VLOOKUP(D138,Calculos_cuotas!$A$105:$B$129,2,FALSE))+IF(OR(ISBLANK(F138),F138="No disponible"),0,VLOOKUP(F138,Calculos_cuotas!$C$105:$D$108,2,FALSE))+IF(ISBLANK(P138),0,P138*Calculos_cuotas!$F$106)+IF(ISBLANK(R138),0,R138*Calculos_cuotas!$F$114)+IF(ISBLANK(T138),0,T138*Calculos_cuotas!$F$109)+IF(ISBLANK(V138),0,V138*Calculos_cuotas!$F$108)+N138*Calculos_cuotas!$F$121+IF(ISBLANK(H138),0,H138*Calculos_cuotas!$F$119)+IF(ISBLANK(J138),0,J138*Calculos_cuotas!$F$118)+IF(ISBLANK(L138),0,L138*Calculos_cuotas!$F$117)</f>
        <v>44.95</v>
      </c>
      <c r="Z138" s="2021">
        <f>IF(ISERROR(SEARCH("IP",D138)),0,IF(AND(SEARCH("IP",D138)&gt;0,(H138+J138+L138)&lt;2),1,0))</f>
        <v>0</v>
      </c>
      <c r="AJ138" s="868"/>
      <c r="AK138" s="1305"/>
      <c r="DS138" s="841"/>
      <c r="DT138" s="841"/>
      <c r="DU138" s="841"/>
      <c r="DV138" s="841"/>
      <c r="DW138" s="841"/>
      <c r="DX138" s="841"/>
      <c r="DY138" s="841"/>
      <c r="DZ138" s="841"/>
      <c r="EA138" s="841"/>
      <c r="EB138" s="841"/>
      <c r="EC138" s="841"/>
      <c r="ED138" s="841"/>
      <c r="EE138" s="841"/>
      <c r="EF138" s="841"/>
      <c r="EG138" s="841"/>
      <c r="EH138" s="841"/>
      <c r="EI138" s="841"/>
      <c r="EJ138" s="841"/>
      <c r="EK138" s="841"/>
      <c r="EL138" s="841"/>
      <c r="EM138" s="841"/>
      <c r="EN138" s="841"/>
      <c r="EO138" s="841"/>
      <c r="EP138" s="841"/>
      <c r="EQ138" s="841"/>
      <c r="ER138" s="841"/>
      <c r="ES138" s="841"/>
      <c r="ET138" s="841"/>
      <c r="EU138" s="841"/>
      <c r="EV138" s="841"/>
      <c r="EW138" s="841"/>
      <c r="EX138" s="841"/>
      <c r="EY138" s="841"/>
      <c r="EZ138" s="841"/>
      <c r="FA138" s="841"/>
      <c r="FB138" s="841"/>
      <c r="FC138" s="841"/>
      <c r="FD138" s="841"/>
      <c r="FE138" s="841"/>
      <c r="FF138" s="841"/>
      <c r="FG138" s="841"/>
      <c r="FH138" s="841"/>
      <c r="FI138" s="841"/>
      <c r="FJ138" s="841"/>
      <c r="FK138" s="841"/>
      <c r="FL138" s="841"/>
      <c r="FM138" s="841"/>
      <c r="FN138" s="841"/>
      <c r="FO138" s="841"/>
      <c r="FP138" s="841"/>
      <c r="FQ138" s="841"/>
      <c r="FR138" s="841"/>
      <c r="FS138" s="841"/>
      <c r="FT138" s="841"/>
      <c r="FU138" s="841"/>
      <c r="FV138" s="841"/>
      <c r="FW138" s="841"/>
      <c r="FX138" s="841"/>
      <c r="FY138" s="841"/>
      <c r="FZ138" s="841"/>
      <c r="GA138" s="841"/>
      <c r="GB138" s="841"/>
      <c r="GC138" s="841"/>
      <c r="GD138" s="841"/>
      <c r="GE138" s="841"/>
      <c r="GF138" s="841"/>
      <c r="GG138" s="841"/>
      <c r="GH138" s="841"/>
      <c r="GI138" s="841"/>
      <c r="GJ138" s="841"/>
      <c r="GK138" s="841"/>
      <c r="GL138" s="841"/>
      <c r="GM138" s="841"/>
      <c r="GN138" s="841"/>
      <c r="GO138" s="841"/>
      <c r="GP138" s="841"/>
      <c r="GQ138" s="841"/>
      <c r="GR138" s="841"/>
      <c r="GS138" s="841"/>
      <c r="GT138" s="841"/>
      <c r="GU138" s="841"/>
      <c r="GV138" s="841"/>
      <c r="GW138" s="841"/>
      <c r="GX138" s="841"/>
      <c r="GY138" s="841"/>
      <c r="GZ138" s="841"/>
      <c r="HA138" s="841"/>
      <c r="HB138" s="841"/>
      <c r="HC138" s="841"/>
      <c r="HD138" s="841"/>
      <c r="HE138" s="841"/>
      <c r="HF138" s="841"/>
      <c r="HG138" s="841"/>
      <c r="HH138" s="841"/>
      <c r="HI138" s="841"/>
      <c r="HJ138" s="841"/>
      <c r="HK138" s="841"/>
      <c r="HL138" s="841"/>
      <c r="HM138" s="841"/>
      <c r="HN138" s="841"/>
      <c r="HO138" s="841"/>
    </row>
    <row r="139" spans="1:223" ht="12" customHeight="1" thickTop="1">
      <c r="B139" s="1325"/>
      <c r="C139" s="1325"/>
      <c r="D139" s="1325" t="str">
        <f>IF((IFERROR(FIND("IP",D140),"CP_Voz"))&lt;&gt;"CP_Voz","CP_IP","CP_Voz")</f>
        <v>CP_Voz</v>
      </c>
      <c r="E139" s="1325"/>
      <c r="F139" s="1345"/>
      <c r="G139" s="1345"/>
      <c r="H139" s="1345"/>
      <c r="I139" s="1345"/>
      <c r="J139" s="1345"/>
      <c r="K139" s="1345"/>
      <c r="L139" s="1345"/>
      <c r="M139" s="1345"/>
      <c r="N139" s="1345"/>
      <c r="O139" s="1325"/>
      <c r="P139" s="1345">
        <f>IF(SUM(Calculos_cuotas!K71:N71,Calculos_cuotas!R71)&gt;0,0,1)</f>
        <v>1</v>
      </c>
      <c r="Z139" s="2021"/>
      <c r="AJ139" s="868"/>
      <c r="AK139" s="1305"/>
      <c r="DS139" s="841"/>
      <c r="DT139" s="841"/>
      <c r="DU139" s="841"/>
      <c r="DV139" s="841"/>
      <c r="DW139" s="841"/>
      <c r="DX139" s="841"/>
      <c r="DY139" s="841"/>
      <c r="DZ139" s="841"/>
      <c r="EA139" s="841"/>
      <c r="EB139" s="841"/>
      <c r="EC139" s="841"/>
      <c r="ED139" s="841"/>
      <c r="EE139" s="841"/>
      <c r="EF139" s="841"/>
      <c r="EG139" s="841"/>
      <c r="EH139" s="841"/>
      <c r="EI139" s="841"/>
      <c r="EJ139" s="841"/>
      <c r="EK139" s="841"/>
      <c r="EL139" s="841"/>
      <c r="EM139" s="841"/>
      <c r="EN139" s="841"/>
      <c r="EO139" s="841"/>
      <c r="EP139" s="841"/>
      <c r="EQ139" s="841"/>
      <c r="ER139" s="841"/>
      <c r="ES139" s="841"/>
      <c r="ET139" s="841"/>
      <c r="EU139" s="841"/>
      <c r="EV139" s="841"/>
      <c r="EW139" s="841"/>
      <c r="EX139" s="841"/>
      <c r="EY139" s="841"/>
      <c r="EZ139" s="841"/>
      <c r="FA139" s="841"/>
      <c r="FB139" s="841"/>
      <c r="FC139" s="841"/>
      <c r="FD139" s="841"/>
      <c r="FE139" s="841"/>
      <c r="FF139" s="841"/>
      <c r="FG139" s="841"/>
      <c r="FH139" s="841"/>
      <c r="FI139" s="841"/>
      <c r="FJ139" s="841"/>
      <c r="FK139" s="841"/>
      <c r="FL139" s="841"/>
      <c r="FM139" s="841"/>
      <c r="FN139" s="841"/>
      <c r="FO139" s="841"/>
      <c r="FP139" s="841"/>
      <c r="FQ139" s="841"/>
      <c r="FR139" s="841"/>
      <c r="FS139" s="841"/>
      <c r="FT139" s="841"/>
      <c r="FU139" s="841"/>
      <c r="FV139" s="841"/>
      <c r="FW139" s="841"/>
      <c r="FX139" s="841"/>
      <c r="FY139" s="841"/>
      <c r="FZ139" s="841"/>
      <c r="GA139" s="841"/>
      <c r="GB139" s="841"/>
      <c r="GC139" s="841"/>
      <c r="GD139" s="841"/>
      <c r="GE139" s="841"/>
      <c r="GF139" s="841"/>
      <c r="GG139" s="841"/>
      <c r="GH139" s="841"/>
      <c r="GI139" s="841"/>
      <c r="GJ139" s="841"/>
      <c r="GK139" s="841"/>
      <c r="GL139" s="841"/>
      <c r="GM139" s="841"/>
      <c r="GN139" s="841"/>
      <c r="GO139" s="841"/>
      <c r="GP139" s="841"/>
      <c r="GQ139" s="841"/>
      <c r="GR139" s="841"/>
      <c r="GS139" s="841"/>
      <c r="GT139" s="841"/>
      <c r="GU139" s="841"/>
      <c r="GV139" s="841"/>
      <c r="GW139" s="841"/>
      <c r="GX139" s="841"/>
      <c r="GY139" s="841"/>
      <c r="GZ139" s="841"/>
      <c r="HA139" s="841"/>
      <c r="HB139" s="841"/>
      <c r="HC139" s="841"/>
      <c r="HD139" s="841"/>
      <c r="HE139" s="841"/>
      <c r="HF139" s="841"/>
      <c r="HG139" s="841"/>
      <c r="HH139" s="841"/>
      <c r="HI139" s="841"/>
      <c r="HJ139" s="841"/>
      <c r="HK139" s="841"/>
      <c r="HL139" s="841"/>
      <c r="HM139" s="841"/>
      <c r="HN139" s="841"/>
      <c r="HO139" s="841"/>
    </row>
    <row r="140" spans="1:223" ht="21" thickBot="1">
      <c r="B140" s="870"/>
      <c r="C140" s="1305"/>
      <c r="D140" s="870"/>
      <c r="E140" s="868" t="e">
        <f>IF(OR(D140=$CH$48,D140=#REF!,D140=$CH$54),1,0)</f>
        <v>#REF!</v>
      </c>
      <c r="F140" s="870"/>
      <c r="H140" s="1512"/>
      <c r="J140" s="1512"/>
      <c r="L140" s="1512"/>
      <c r="N140" s="1346">
        <f>IF(SUM(H140+J140)&gt;4,1,0)</f>
        <v>0</v>
      </c>
      <c r="O140" s="1325">
        <f>IF(D139="CP_IP",16,20000000)</f>
        <v>20000000</v>
      </c>
      <c r="P140" s="870"/>
      <c r="R140" s="870"/>
      <c r="T140" s="870"/>
      <c r="V140" s="870"/>
      <c r="X140" s="884">
        <f>IF(ISBLANK(D140),0,VLOOKUP(D140,Calculos_cuotas!$A$105:$B$129,2,FALSE))+IF(OR(ISBLANK(F140),F140="No disponible"),0,VLOOKUP(F140,Calculos_cuotas!$C$105:$D$108,2,FALSE))+IF(ISBLANK(P140),0,P140*Calculos_cuotas!$F$106)+IF(ISBLANK(R140),0,R140*Calculos_cuotas!$F$114)+IF(ISBLANK(T140),0,T140*Calculos_cuotas!$F$109)+IF(ISBLANK(V140),0,V140*Calculos_cuotas!$F$108)+N140*Calculos_cuotas!$F$121+IF(ISBLANK(H140),0,H140*Calculos_cuotas!$F$119)+IF(ISBLANK(J140),0,J140*Calculos_cuotas!$F$118)+IF(ISBLANK(L140),0,L140*Calculos_cuotas!$F$117)</f>
        <v>0</v>
      </c>
      <c r="Z140" s="2021">
        <f t="shared" ref="Z140:Z166" si="4">IF(ISERROR(SEARCH("IP",D140)),0,IF(AND(SEARCH("IP",D140)&gt;0,(H140+J140+L140)&lt;2),1,0))</f>
        <v>0</v>
      </c>
      <c r="AJ140" s="868"/>
      <c r="AK140" s="1305"/>
      <c r="DS140" s="841"/>
      <c r="DT140" s="841"/>
      <c r="DU140" s="841"/>
      <c r="DV140" s="841"/>
      <c r="DW140" s="841"/>
      <c r="DX140" s="841"/>
      <c r="DY140" s="841"/>
      <c r="DZ140" s="841"/>
      <c r="EA140" s="841"/>
      <c r="EB140" s="841"/>
      <c r="EC140" s="841"/>
      <c r="ED140" s="841"/>
      <c r="EE140" s="841"/>
      <c r="EF140" s="841"/>
      <c r="EG140" s="841"/>
      <c r="EH140" s="841"/>
      <c r="EI140" s="841"/>
      <c r="EJ140" s="841"/>
      <c r="EK140" s="841"/>
      <c r="EL140" s="841"/>
      <c r="EM140" s="841"/>
      <c r="EN140" s="841"/>
      <c r="EO140" s="841"/>
      <c r="EP140" s="841"/>
      <c r="EQ140" s="841"/>
      <c r="ER140" s="841"/>
      <c r="ES140" s="841"/>
      <c r="ET140" s="841"/>
      <c r="EU140" s="841"/>
      <c r="EV140" s="841"/>
      <c r="EW140" s="841"/>
      <c r="EX140" s="841"/>
      <c r="EY140" s="841"/>
      <c r="EZ140" s="841"/>
      <c r="FA140" s="841"/>
      <c r="FB140" s="841"/>
      <c r="FC140" s="841"/>
      <c r="FD140" s="841"/>
      <c r="FE140" s="841"/>
      <c r="FF140" s="841"/>
      <c r="FG140" s="841"/>
      <c r="FH140" s="841"/>
      <c r="FI140" s="841"/>
      <c r="FJ140" s="841"/>
      <c r="FK140" s="841"/>
      <c r="FL140" s="841"/>
      <c r="FM140" s="841"/>
      <c r="FN140" s="841"/>
      <c r="FO140" s="841"/>
      <c r="FP140" s="841"/>
      <c r="FQ140" s="841"/>
      <c r="FR140" s="841"/>
      <c r="FS140" s="841"/>
      <c r="FT140" s="841"/>
      <c r="FU140" s="841"/>
      <c r="FV140" s="841"/>
      <c r="FW140" s="841"/>
      <c r="FX140" s="841"/>
      <c r="FY140" s="841"/>
      <c r="FZ140" s="841"/>
      <c r="GA140" s="841"/>
      <c r="GB140" s="841"/>
      <c r="GC140" s="841"/>
      <c r="GD140" s="841"/>
      <c r="GE140" s="841"/>
      <c r="GF140" s="841"/>
      <c r="GG140" s="841"/>
      <c r="GH140" s="841"/>
      <c r="GI140" s="841"/>
      <c r="GJ140" s="841"/>
      <c r="GK140" s="841"/>
      <c r="GL140" s="841"/>
      <c r="GM140" s="841"/>
      <c r="GN140" s="841"/>
      <c r="GO140" s="841"/>
      <c r="GP140" s="841"/>
      <c r="GQ140" s="841"/>
      <c r="GR140" s="841"/>
      <c r="GS140" s="841"/>
      <c r="GT140" s="841"/>
      <c r="GU140" s="841"/>
      <c r="GV140" s="841"/>
      <c r="GW140" s="841"/>
      <c r="GX140" s="841"/>
      <c r="GY140" s="841"/>
      <c r="GZ140" s="841"/>
      <c r="HA140" s="841"/>
      <c r="HB140" s="841"/>
      <c r="HC140" s="841"/>
      <c r="HD140" s="841"/>
      <c r="HE140" s="841"/>
      <c r="HF140" s="841"/>
      <c r="HG140" s="841"/>
      <c r="HH140" s="841"/>
      <c r="HI140" s="841"/>
      <c r="HJ140" s="841"/>
      <c r="HK140" s="841"/>
      <c r="HL140" s="841"/>
      <c r="HM140" s="841"/>
      <c r="HN140" s="841"/>
      <c r="HO140" s="841"/>
    </row>
    <row r="141" spans="1:223" ht="12" customHeight="1" thickTop="1">
      <c r="B141" s="1325"/>
      <c r="C141" s="1325"/>
      <c r="D141" s="1325" t="str">
        <f>IF((IFERROR(FIND("IP",D142),"CP_Voz"))&lt;&gt;"CP_Voz","CP_IP","CP_Voz")</f>
        <v>CP_Voz</v>
      </c>
      <c r="E141" s="1325"/>
      <c r="F141" s="1345"/>
      <c r="G141" s="1345"/>
      <c r="H141" s="1345"/>
      <c r="I141" s="1345"/>
      <c r="J141" s="1345"/>
      <c r="K141" s="1345"/>
      <c r="L141" s="1345"/>
      <c r="M141" s="1345"/>
      <c r="N141" s="1345"/>
      <c r="O141" s="1325"/>
      <c r="P141" s="1345">
        <f>IF(SUM(Calculos_cuotas!K73:N73,Calculos_cuotas!R73)&gt;0,0,1)</f>
        <v>1</v>
      </c>
      <c r="Z141" s="2021"/>
      <c r="AJ141" s="868"/>
      <c r="AK141" s="1305"/>
      <c r="DS141" s="841"/>
      <c r="DT141" s="841"/>
      <c r="DU141" s="841"/>
      <c r="DV141" s="841"/>
      <c r="DW141" s="841"/>
      <c r="DX141" s="841"/>
      <c r="DY141" s="841"/>
      <c r="DZ141" s="841"/>
      <c r="EA141" s="841"/>
      <c r="EB141" s="841"/>
      <c r="EC141" s="841"/>
      <c r="ED141" s="841"/>
      <c r="EE141" s="841"/>
      <c r="EF141" s="841"/>
      <c r="EG141" s="841"/>
      <c r="EH141" s="841"/>
      <c r="EI141" s="841"/>
      <c r="EJ141" s="841"/>
      <c r="EK141" s="841"/>
      <c r="EL141" s="841"/>
      <c r="EM141" s="841"/>
      <c r="EN141" s="841"/>
      <c r="EO141" s="841"/>
      <c r="EP141" s="841"/>
      <c r="EQ141" s="841"/>
      <c r="ER141" s="841"/>
      <c r="ES141" s="841"/>
      <c r="ET141" s="841"/>
      <c r="EU141" s="841"/>
      <c r="EV141" s="841"/>
      <c r="EW141" s="841"/>
      <c r="EX141" s="841"/>
      <c r="EY141" s="841"/>
      <c r="EZ141" s="841"/>
      <c r="FA141" s="841"/>
      <c r="FB141" s="841"/>
      <c r="FC141" s="841"/>
      <c r="FD141" s="841"/>
      <c r="FE141" s="841"/>
      <c r="FF141" s="841"/>
      <c r="FG141" s="841"/>
      <c r="FH141" s="841"/>
      <c r="FI141" s="841"/>
      <c r="FJ141" s="841"/>
      <c r="FK141" s="841"/>
      <c r="FL141" s="841"/>
      <c r="FM141" s="841"/>
      <c r="FN141" s="841"/>
      <c r="FO141" s="841"/>
      <c r="FP141" s="841"/>
      <c r="FQ141" s="841"/>
      <c r="FR141" s="841"/>
      <c r="FS141" s="841"/>
      <c r="FT141" s="841"/>
      <c r="FU141" s="841"/>
      <c r="FV141" s="841"/>
      <c r="FW141" s="841"/>
      <c r="FX141" s="841"/>
      <c r="FY141" s="841"/>
      <c r="FZ141" s="841"/>
      <c r="GA141" s="841"/>
      <c r="GB141" s="841"/>
      <c r="GC141" s="841"/>
      <c r="GD141" s="841"/>
      <c r="GE141" s="841"/>
      <c r="GF141" s="841"/>
      <c r="GG141" s="841"/>
      <c r="GH141" s="841"/>
      <c r="GI141" s="841"/>
      <c r="GJ141" s="841"/>
      <c r="GK141" s="841"/>
      <c r="GL141" s="841"/>
      <c r="GM141" s="841"/>
      <c r="GN141" s="841"/>
      <c r="GO141" s="841"/>
      <c r="GP141" s="841"/>
      <c r="GQ141" s="841"/>
      <c r="GR141" s="841"/>
      <c r="GS141" s="841"/>
      <c r="GT141" s="841"/>
      <c r="GU141" s="841"/>
      <c r="GV141" s="841"/>
      <c r="GW141" s="841"/>
      <c r="GX141" s="841"/>
      <c r="GY141" s="841"/>
      <c r="GZ141" s="841"/>
      <c r="HA141" s="841"/>
      <c r="HB141" s="841"/>
      <c r="HC141" s="841"/>
      <c r="HD141" s="841"/>
      <c r="HE141" s="841"/>
      <c r="HF141" s="841"/>
      <c r="HG141" s="841"/>
      <c r="HH141" s="841"/>
      <c r="HI141" s="841"/>
      <c r="HJ141" s="841"/>
      <c r="HK141" s="841"/>
      <c r="HL141" s="841"/>
      <c r="HM141" s="841"/>
      <c r="HN141" s="841"/>
      <c r="HO141" s="841"/>
    </row>
    <row r="142" spans="1:223" ht="21" thickBot="1">
      <c r="B142" s="870"/>
      <c r="D142" s="870"/>
      <c r="E142" s="868" t="e">
        <f>IF(OR(D142=$CH$48,D142=#REF!,D142=$CH$54),1,0)</f>
        <v>#REF!</v>
      </c>
      <c r="F142" s="870"/>
      <c r="H142" s="1512"/>
      <c r="J142" s="1512"/>
      <c r="L142" s="1512"/>
      <c r="N142" s="1346">
        <f>IF(SUM(H142+J142)&gt;4,1,0)</f>
        <v>0</v>
      </c>
      <c r="O142" s="1325">
        <f>IF(D141="CP_IP",16,20000000)</f>
        <v>20000000</v>
      </c>
      <c r="P142" s="870"/>
      <c r="R142" s="870"/>
      <c r="T142" s="870"/>
      <c r="V142" s="870"/>
      <c r="X142" s="884">
        <f>IF(ISBLANK(D142),0,VLOOKUP(D142,Calculos_cuotas!$A$105:$B$129,2,FALSE))+IF(OR(ISBLANK(F142),F142="No disponible"),0,VLOOKUP(F142,Calculos_cuotas!$C$105:$D$108,2,FALSE))+IF(ISBLANK(P142),0,P142*Calculos_cuotas!$F$106)+IF(ISBLANK(R142),0,R142*Calculos_cuotas!$F$114)+IF(ISBLANK(T142),0,T142*Calculos_cuotas!$F$109)+IF(ISBLANK(V142),0,V142*Calculos_cuotas!$F$108)+N142*Calculos_cuotas!$F$121+IF(ISBLANK(H142),0,H142*Calculos_cuotas!$F$119)+IF(ISBLANK(J142),0,J142*Calculos_cuotas!$F$118)+IF(ISBLANK(L142),0,L142*Calculos_cuotas!$F$117)</f>
        <v>0</v>
      </c>
      <c r="Z142" s="2021">
        <f t="shared" si="4"/>
        <v>0</v>
      </c>
      <c r="DS142" s="841"/>
      <c r="DT142" s="841"/>
      <c r="DU142" s="841"/>
      <c r="DV142" s="841"/>
      <c r="DW142" s="841"/>
      <c r="DX142" s="841"/>
      <c r="DY142" s="841"/>
      <c r="DZ142" s="841"/>
      <c r="EA142" s="841"/>
      <c r="EB142" s="841"/>
      <c r="EC142" s="841"/>
      <c r="ED142" s="841"/>
      <c r="EE142" s="841"/>
      <c r="EF142" s="841"/>
      <c r="EG142" s="841"/>
      <c r="EH142" s="841"/>
      <c r="EI142" s="841"/>
      <c r="EJ142" s="841"/>
      <c r="EK142" s="841"/>
      <c r="EL142" s="841"/>
      <c r="EM142" s="841"/>
      <c r="EN142" s="841"/>
      <c r="EO142" s="841"/>
      <c r="EP142" s="841"/>
      <c r="EQ142" s="841"/>
      <c r="ER142" s="841"/>
      <c r="ES142" s="841"/>
      <c r="ET142" s="841"/>
      <c r="EU142" s="841"/>
      <c r="EV142" s="841"/>
      <c r="EW142" s="841"/>
      <c r="EX142" s="841"/>
      <c r="EY142" s="841"/>
      <c r="EZ142" s="841"/>
      <c r="FA142" s="841"/>
      <c r="FB142" s="841"/>
      <c r="FC142" s="841"/>
      <c r="FD142" s="841"/>
      <c r="FE142" s="841"/>
      <c r="FF142" s="841"/>
      <c r="FG142" s="841"/>
      <c r="FH142" s="841"/>
      <c r="FI142" s="841"/>
      <c r="FJ142" s="841"/>
      <c r="FK142" s="841"/>
      <c r="FL142" s="841"/>
      <c r="FM142" s="841"/>
      <c r="FN142" s="841"/>
      <c r="FO142" s="841"/>
      <c r="FP142" s="841"/>
      <c r="FQ142" s="841"/>
      <c r="FR142" s="841"/>
      <c r="FS142" s="841"/>
      <c r="FT142" s="841"/>
      <c r="FU142" s="841"/>
      <c r="FV142" s="841"/>
      <c r="FW142" s="841"/>
      <c r="FX142" s="841"/>
      <c r="FY142" s="841"/>
      <c r="FZ142" s="841"/>
      <c r="GA142" s="841"/>
      <c r="GB142" s="841"/>
      <c r="GC142" s="841"/>
      <c r="GD142" s="841"/>
      <c r="GE142" s="841"/>
      <c r="GF142" s="841"/>
      <c r="GG142" s="841"/>
      <c r="GH142" s="841"/>
      <c r="GI142" s="841"/>
      <c r="GJ142" s="841"/>
      <c r="GK142" s="841"/>
      <c r="GL142" s="841"/>
      <c r="GM142" s="841"/>
      <c r="GN142" s="841"/>
      <c r="GO142" s="841"/>
      <c r="GP142" s="841"/>
      <c r="GQ142" s="841"/>
      <c r="GR142" s="841"/>
      <c r="GS142" s="841"/>
      <c r="GT142" s="841"/>
      <c r="GU142" s="841"/>
      <c r="GV142" s="841"/>
      <c r="GW142" s="841"/>
      <c r="GX142" s="841"/>
      <c r="GY142" s="841"/>
      <c r="GZ142" s="841"/>
      <c r="HA142" s="841"/>
      <c r="HB142" s="841"/>
      <c r="HC142" s="841"/>
      <c r="HD142" s="841"/>
      <c r="HE142" s="841"/>
      <c r="HF142" s="841"/>
      <c r="HG142" s="841"/>
      <c r="HH142" s="841"/>
      <c r="HI142" s="841"/>
      <c r="HJ142" s="841"/>
      <c r="HK142" s="841"/>
      <c r="HL142" s="841"/>
      <c r="HM142" s="841"/>
      <c r="HN142" s="841"/>
      <c r="HO142" s="841"/>
    </row>
    <row r="143" spans="1:223" ht="12" customHeight="1" thickTop="1">
      <c r="B143" s="1325"/>
      <c r="C143" s="1325"/>
      <c r="D143" s="1325" t="str">
        <f>IF((IFERROR(FIND("IP",D144),"CP_Voz"))&lt;&gt;"CP_Voz","CP_IP","CP_Voz")</f>
        <v>CP_Voz</v>
      </c>
      <c r="E143" s="1325"/>
      <c r="F143" s="1345"/>
      <c r="G143" s="1345"/>
      <c r="H143" s="1345"/>
      <c r="I143" s="1345"/>
      <c r="J143" s="1345"/>
      <c r="K143" s="1345"/>
      <c r="L143" s="1345"/>
      <c r="M143" s="1345"/>
      <c r="N143" s="1345"/>
      <c r="O143" s="1325"/>
      <c r="P143" s="1345">
        <f>IF(SUM(Calculos_cuotas!K75:N75,Calculos_cuotas!R75)&gt;0,0,1)</f>
        <v>1</v>
      </c>
      <c r="Z143" s="2021"/>
      <c r="DS143" s="841"/>
      <c r="DT143" s="841"/>
      <c r="DU143" s="841"/>
      <c r="DV143" s="841"/>
      <c r="DW143" s="841"/>
      <c r="DX143" s="841"/>
      <c r="DY143" s="841"/>
      <c r="DZ143" s="841"/>
      <c r="EA143" s="841"/>
      <c r="EB143" s="841"/>
      <c r="EC143" s="841"/>
      <c r="ED143" s="841"/>
      <c r="EE143" s="841"/>
      <c r="EF143" s="841"/>
      <c r="EG143" s="841"/>
      <c r="EH143" s="841"/>
      <c r="EI143" s="841"/>
      <c r="EJ143" s="841"/>
      <c r="EK143" s="841"/>
      <c r="EL143" s="841"/>
      <c r="EM143" s="841"/>
      <c r="EN143" s="841"/>
      <c r="EO143" s="841"/>
      <c r="EP143" s="841"/>
      <c r="EQ143" s="841"/>
      <c r="ER143" s="841"/>
      <c r="ES143" s="841"/>
      <c r="ET143" s="841"/>
      <c r="EU143" s="841"/>
      <c r="EV143" s="841"/>
      <c r="EW143" s="841"/>
      <c r="EX143" s="841"/>
      <c r="EY143" s="841"/>
      <c r="EZ143" s="841"/>
      <c r="FA143" s="841"/>
      <c r="FB143" s="841"/>
      <c r="FC143" s="841"/>
      <c r="FD143" s="841"/>
      <c r="FE143" s="841"/>
      <c r="FF143" s="841"/>
      <c r="FG143" s="841"/>
      <c r="FH143" s="841"/>
      <c r="FI143" s="841"/>
      <c r="FJ143" s="841"/>
      <c r="FK143" s="841"/>
      <c r="FL143" s="841"/>
      <c r="FM143" s="841"/>
      <c r="FN143" s="841"/>
      <c r="FO143" s="841"/>
      <c r="FP143" s="841"/>
      <c r="FQ143" s="841"/>
      <c r="FR143" s="841"/>
      <c r="FS143" s="841"/>
      <c r="FT143" s="841"/>
      <c r="FU143" s="841"/>
      <c r="FV143" s="841"/>
      <c r="FW143" s="841"/>
      <c r="FX143" s="841"/>
      <c r="FY143" s="841"/>
      <c r="FZ143" s="841"/>
      <c r="GA143" s="841"/>
      <c r="GB143" s="841"/>
      <c r="GC143" s="841"/>
      <c r="GD143" s="841"/>
      <c r="GE143" s="841"/>
      <c r="GF143" s="841"/>
      <c r="GG143" s="841"/>
      <c r="GH143" s="841"/>
      <c r="GI143" s="841"/>
      <c r="GJ143" s="841"/>
      <c r="GK143" s="841"/>
      <c r="GL143" s="841"/>
      <c r="GM143" s="841"/>
      <c r="GN143" s="841"/>
      <c r="GO143" s="841"/>
      <c r="GP143" s="841"/>
      <c r="GQ143" s="841"/>
      <c r="GR143" s="841"/>
      <c r="GS143" s="841"/>
      <c r="GT143" s="841"/>
      <c r="GU143" s="841"/>
      <c r="GV143" s="841"/>
      <c r="GW143" s="841"/>
      <c r="GX143" s="841"/>
      <c r="GY143" s="841"/>
      <c r="GZ143" s="841"/>
      <c r="HA143" s="841"/>
      <c r="HB143" s="841"/>
      <c r="HC143" s="841"/>
      <c r="HD143" s="841"/>
      <c r="HE143" s="841"/>
      <c r="HF143" s="841"/>
      <c r="HG143" s="841"/>
      <c r="HH143" s="841"/>
      <c r="HI143" s="841"/>
      <c r="HJ143" s="841"/>
      <c r="HK143" s="841"/>
      <c r="HL143" s="841"/>
      <c r="HM143" s="841"/>
      <c r="HN143" s="841"/>
      <c r="HO143" s="841"/>
    </row>
    <row r="144" spans="1:223" ht="21" thickBot="1">
      <c r="B144" s="870"/>
      <c r="D144" s="870"/>
      <c r="E144" s="868" t="e">
        <f>IF(OR(D144=$CH$48,D144=#REF!,D144=$CH$54),1,0)</f>
        <v>#REF!</v>
      </c>
      <c r="F144" s="870"/>
      <c r="H144" s="1512"/>
      <c r="J144" s="1512"/>
      <c r="L144" s="1512"/>
      <c r="N144" s="1346">
        <f>IF(SUM(H144+J144)&gt;4,1,0)</f>
        <v>0</v>
      </c>
      <c r="O144" s="1325">
        <f>IF(D143="CP_IP",16,20000000)</f>
        <v>20000000</v>
      </c>
      <c r="P144" s="870"/>
      <c r="R144" s="870"/>
      <c r="T144" s="870"/>
      <c r="V144" s="870"/>
      <c r="X144" s="884">
        <f>IF(ISBLANK(D144),0,VLOOKUP(D144,Calculos_cuotas!$A$105:$B$129,2,FALSE))+IF(OR(ISBLANK(F144),F144="No disponible"),0,VLOOKUP(F144,Calculos_cuotas!$C$105:$D$108,2,FALSE))+IF(ISBLANK(P144),0,P144*Calculos_cuotas!$F$106)+IF(ISBLANK(R144),0,R144*Calculos_cuotas!$F$114)+IF(ISBLANK(T144),0,T144*Calculos_cuotas!$F$109)+IF(ISBLANK(V144),0,V144*Calculos_cuotas!$F$108)+N144*Calculos_cuotas!$F$121+IF(ISBLANK(H144),0,H144*Calculos_cuotas!$F$119)+IF(ISBLANK(J144),0,J144*Calculos_cuotas!$F$118)+IF(ISBLANK(L144),0,L144*Calculos_cuotas!$F$117)</f>
        <v>0</v>
      </c>
      <c r="Z144" s="2021">
        <f t="shared" si="4"/>
        <v>0</v>
      </c>
      <c r="DS144" s="841"/>
      <c r="DT144" s="841"/>
      <c r="DU144" s="841"/>
      <c r="DV144" s="841"/>
      <c r="DW144" s="841"/>
      <c r="DX144" s="841"/>
      <c r="DY144" s="841"/>
      <c r="DZ144" s="841"/>
      <c r="EA144" s="841"/>
      <c r="EB144" s="841"/>
      <c r="EC144" s="841"/>
      <c r="ED144" s="841"/>
      <c r="EE144" s="841"/>
      <c r="EF144" s="841"/>
      <c r="EG144" s="841"/>
      <c r="EH144" s="841"/>
      <c r="EI144" s="841"/>
      <c r="EJ144" s="841"/>
      <c r="EK144" s="841"/>
      <c r="EL144" s="841"/>
      <c r="EM144" s="841"/>
      <c r="EN144" s="841"/>
      <c r="EO144" s="841"/>
      <c r="EP144" s="841"/>
      <c r="EQ144" s="841"/>
      <c r="ER144" s="841"/>
      <c r="ES144" s="841"/>
      <c r="ET144" s="841"/>
      <c r="EU144" s="841"/>
      <c r="EV144" s="841"/>
      <c r="EW144" s="841"/>
      <c r="EX144" s="841"/>
      <c r="EY144" s="841"/>
      <c r="EZ144" s="841"/>
      <c r="FA144" s="841"/>
      <c r="FB144" s="841"/>
      <c r="FC144" s="841"/>
      <c r="FD144" s="841"/>
      <c r="FE144" s="841"/>
      <c r="FF144" s="841"/>
      <c r="FG144" s="841"/>
      <c r="FH144" s="841"/>
      <c r="FI144" s="841"/>
      <c r="FJ144" s="841"/>
      <c r="FK144" s="841"/>
      <c r="FL144" s="841"/>
      <c r="FM144" s="841"/>
      <c r="FN144" s="841"/>
      <c r="FO144" s="841"/>
      <c r="FP144" s="841"/>
      <c r="FQ144" s="841"/>
      <c r="FR144" s="841"/>
      <c r="FS144" s="841"/>
      <c r="FT144" s="841"/>
      <c r="FU144" s="841"/>
      <c r="FV144" s="841"/>
      <c r="FW144" s="841"/>
      <c r="FX144" s="841"/>
      <c r="FY144" s="841"/>
      <c r="FZ144" s="841"/>
      <c r="GA144" s="841"/>
      <c r="GB144" s="841"/>
      <c r="GC144" s="841"/>
      <c r="GD144" s="841"/>
      <c r="GE144" s="841"/>
      <c r="GF144" s="841"/>
      <c r="GG144" s="841"/>
      <c r="GH144" s="841"/>
      <c r="GI144" s="841"/>
      <c r="GJ144" s="841"/>
      <c r="GK144" s="841"/>
      <c r="GL144" s="841"/>
      <c r="GM144" s="841"/>
      <c r="GN144" s="841"/>
      <c r="GO144" s="841"/>
      <c r="GP144" s="841"/>
      <c r="GQ144" s="841"/>
      <c r="GR144" s="841"/>
      <c r="GS144" s="841"/>
      <c r="GT144" s="841"/>
      <c r="GU144" s="841"/>
      <c r="GV144" s="841"/>
      <c r="GW144" s="841"/>
      <c r="GX144" s="841"/>
      <c r="GY144" s="841"/>
      <c r="GZ144" s="841"/>
      <c r="HA144" s="841"/>
      <c r="HB144" s="841"/>
      <c r="HC144" s="841"/>
      <c r="HD144" s="841"/>
      <c r="HE144" s="841"/>
      <c r="HF144" s="841"/>
      <c r="HG144" s="841"/>
      <c r="HH144" s="841"/>
      <c r="HI144" s="841"/>
      <c r="HJ144" s="841"/>
      <c r="HK144" s="841"/>
      <c r="HL144" s="841"/>
      <c r="HM144" s="841"/>
      <c r="HN144" s="841"/>
      <c r="HO144" s="841"/>
    </row>
    <row r="145" spans="2:223" ht="12" customHeight="1" thickTop="1">
      <c r="B145" s="1325"/>
      <c r="C145" s="1325"/>
      <c r="D145" s="1325" t="str">
        <f>IF((IFERROR(FIND("IP",D146),"CP_Voz"))&lt;&gt;"CP_Voz","CP_IP","CP_Voz")</f>
        <v>CP_Voz</v>
      </c>
      <c r="E145" s="1325"/>
      <c r="F145" s="1345"/>
      <c r="G145" s="1345"/>
      <c r="H145" s="1345"/>
      <c r="I145" s="1345"/>
      <c r="J145" s="1345"/>
      <c r="K145" s="1345"/>
      <c r="L145" s="1345"/>
      <c r="M145" s="1345"/>
      <c r="N145" s="1345"/>
      <c r="O145" s="1325"/>
      <c r="P145" s="1345">
        <f>IF(SUM(Calculos_cuotas!K77:N77,Calculos_cuotas!R77)&gt;0,0,1)</f>
        <v>1</v>
      </c>
      <c r="Z145" s="2021"/>
      <c r="DS145" s="841"/>
      <c r="DT145" s="841"/>
      <c r="DU145" s="841"/>
      <c r="DV145" s="841"/>
      <c r="DW145" s="841"/>
      <c r="DX145" s="841"/>
      <c r="DY145" s="841"/>
      <c r="DZ145" s="841"/>
      <c r="EA145" s="841"/>
      <c r="EB145" s="841"/>
      <c r="EC145" s="841"/>
      <c r="ED145" s="841"/>
      <c r="EE145" s="841"/>
      <c r="EF145" s="841"/>
      <c r="EG145" s="841"/>
      <c r="EH145" s="841"/>
      <c r="EI145" s="841"/>
      <c r="EJ145" s="841"/>
      <c r="EK145" s="841"/>
      <c r="EL145" s="841"/>
      <c r="EM145" s="841"/>
      <c r="EN145" s="841"/>
      <c r="EO145" s="841"/>
      <c r="EP145" s="841"/>
      <c r="EQ145" s="841"/>
      <c r="ER145" s="841"/>
      <c r="ES145" s="841"/>
      <c r="ET145" s="841"/>
      <c r="EU145" s="841"/>
      <c r="EV145" s="841"/>
      <c r="EW145" s="841"/>
      <c r="EX145" s="841"/>
      <c r="EY145" s="841"/>
      <c r="EZ145" s="841"/>
      <c r="FA145" s="841"/>
      <c r="FB145" s="841"/>
      <c r="FC145" s="841"/>
      <c r="FD145" s="841"/>
      <c r="FE145" s="841"/>
      <c r="FF145" s="841"/>
      <c r="FG145" s="841"/>
      <c r="FH145" s="841"/>
      <c r="FI145" s="841"/>
      <c r="FJ145" s="841"/>
      <c r="FK145" s="841"/>
      <c r="FL145" s="841"/>
      <c r="FM145" s="841"/>
      <c r="FN145" s="841"/>
      <c r="FO145" s="841"/>
      <c r="FP145" s="841"/>
      <c r="FQ145" s="841"/>
      <c r="FR145" s="841"/>
      <c r="FS145" s="841"/>
      <c r="FT145" s="841"/>
      <c r="FU145" s="841"/>
      <c r="FV145" s="841"/>
      <c r="FW145" s="841"/>
      <c r="FX145" s="841"/>
      <c r="FY145" s="841"/>
      <c r="FZ145" s="841"/>
      <c r="GA145" s="841"/>
      <c r="GB145" s="841"/>
      <c r="GC145" s="841"/>
      <c r="GD145" s="841"/>
      <c r="GE145" s="841"/>
      <c r="GF145" s="841"/>
      <c r="GG145" s="841"/>
      <c r="GH145" s="841"/>
      <c r="GI145" s="841"/>
      <c r="GJ145" s="841"/>
      <c r="GK145" s="841"/>
      <c r="GL145" s="841"/>
      <c r="GM145" s="841"/>
      <c r="GN145" s="841"/>
      <c r="GO145" s="841"/>
      <c r="GP145" s="841"/>
      <c r="GQ145" s="841"/>
      <c r="GR145" s="841"/>
      <c r="GS145" s="841"/>
      <c r="GT145" s="841"/>
      <c r="GU145" s="841"/>
      <c r="GV145" s="841"/>
      <c r="GW145" s="841"/>
      <c r="GX145" s="841"/>
      <c r="GY145" s="841"/>
      <c r="GZ145" s="841"/>
      <c r="HA145" s="841"/>
      <c r="HB145" s="841"/>
      <c r="HC145" s="841"/>
      <c r="HD145" s="841"/>
      <c r="HE145" s="841"/>
      <c r="HF145" s="841"/>
      <c r="HG145" s="841"/>
      <c r="HH145" s="841"/>
      <c r="HI145" s="841"/>
      <c r="HJ145" s="841"/>
      <c r="HK145" s="841"/>
      <c r="HL145" s="841"/>
      <c r="HM145" s="841"/>
      <c r="HN145" s="841"/>
      <c r="HO145" s="841"/>
    </row>
    <row r="146" spans="2:223" ht="21" thickBot="1">
      <c r="B146" s="870"/>
      <c r="D146" s="870"/>
      <c r="E146" s="868" t="e">
        <f>IF(OR(D146=$CH$48,D146=#REF!,D146=$CH$54),1,0)</f>
        <v>#REF!</v>
      </c>
      <c r="F146" s="870"/>
      <c r="H146" s="1512"/>
      <c r="J146" s="1512"/>
      <c r="L146" s="1512"/>
      <c r="N146" s="1346">
        <f>IF(SUM(H146+J146)&gt;4,1,0)</f>
        <v>0</v>
      </c>
      <c r="O146" s="1325">
        <f>IF(D145="CP_IP",16,20000000)</f>
        <v>20000000</v>
      </c>
      <c r="P146" s="870"/>
      <c r="R146" s="870"/>
      <c r="T146" s="870"/>
      <c r="V146" s="870"/>
      <c r="X146" s="884">
        <f>IF(ISBLANK(D146),0,VLOOKUP(D146,Calculos_cuotas!$A$105:$B$129,2,FALSE))+IF(OR(ISBLANK(F146),F146="No disponible"),0,VLOOKUP(F146,Calculos_cuotas!$C$105:$D$108,2,FALSE))+IF(ISBLANK(P146),0,P146*Calculos_cuotas!$F$106)+IF(ISBLANK(R146),0,R146*Calculos_cuotas!$F$114)+IF(ISBLANK(T146),0,T146*Calculos_cuotas!$F$109)+IF(ISBLANK(V146),0,V146*Calculos_cuotas!$F$108)+N146*Calculos_cuotas!$F$121+IF(ISBLANK(H146),0,H146*Calculos_cuotas!$F$119)+IF(ISBLANK(J146),0,J146*Calculos_cuotas!$F$118)+IF(ISBLANK(L146),0,L146*Calculos_cuotas!$F$117)</f>
        <v>0</v>
      </c>
      <c r="Z146" s="2021">
        <f t="shared" si="4"/>
        <v>0</v>
      </c>
      <c r="DS146" s="841"/>
      <c r="DT146" s="841"/>
      <c r="DU146" s="841"/>
      <c r="DV146" s="841"/>
      <c r="DW146" s="841"/>
      <c r="DX146" s="841"/>
      <c r="DY146" s="841"/>
      <c r="DZ146" s="841"/>
      <c r="EA146" s="841"/>
      <c r="EB146" s="841"/>
      <c r="EC146" s="841"/>
      <c r="ED146" s="841"/>
      <c r="EE146" s="841"/>
      <c r="EF146" s="841"/>
      <c r="EG146" s="841"/>
      <c r="EH146" s="841"/>
      <c r="EI146" s="841"/>
      <c r="EJ146" s="841"/>
      <c r="EK146" s="841"/>
      <c r="EL146" s="841"/>
      <c r="EM146" s="841"/>
      <c r="EN146" s="841"/>
      <c r="EO146" s="841"/>
      <c r="EP146" s="841"/>
      <c r="EQ146" s="841"/>
      <c r="ER146" s="841"/>
      <c r="ES146" s="841"/>
      <c r="ET146" s="841"/>
      <c r="EU146" s="841"/>
      <c r="EV146" s="841"/>
      <c r="EW146" s="841"/>
      <c r="EX146" s="841"/>
      <c r="EY146" s="841"/>
      <c r="EZ146" s="841"/>
      <c r="FA146" s="841"/>
      <c r="FB146" s="841"/>
      <c r="FC146" s="841"/>
      <c r="FD146" s="841"/>
      <c r="FE146" s="841"/>
      <c r="FF146" s="841"/>
      <c r="FG146" s="841"/>
      <c r="FH146" s="841"/>
      <c r="FI146" s="841"/>
      <c r="FJ146" s="841"/>
      <c r="FK146" s="841"/>
      <c r="FL146" s="841"/>
      <c r="FM146" s="841"/>
      <c r="FN146" s="841"/>
      <c r="FO146" s="841"/>
      <c r="FP146" s="841"/>
      <c r="FQ146" s="841"/>
      <c r="FR146" s="841"/>
      <c r="FS146" s="841"/>
      <c r="FT146" s="841"/>
      <c r="FU146" s="841"/>
      <c r="FV146" s="841"/>
      <c r="FW146" s="841"/>
      <c r="FX146" s="841"/>
      <c r="FY146" s="841"/>
      <c r="FZ146" s="841"/>
      <c r="GA146" s="841"/>
      <c r="GB146" s="841"/>
      <c r="GC146" s="841"/>
      <c r="GD146" s="841"/>
      <c r="GE146" s="841"/>
      <c r="GF146" s="841"/>
      <c r="GG146" s="841"/>
      <c r="GH146" s="841"/>
      <c r="GI146" s="841"/>
      <c r="GJ146" s="841"/>
      <c r="GK146" s="841"/>
      <c r="GL146" s="841"/>
      <c r="GM146" s="841"/>
      <c r="GN146" s="841"/>
      <c r="GO146" s="841"/>
      <c r="GP146" s="841"/>
      <c r="GQ146" s="841"/>
      <c r="GR146" s="841"/>
      <c r="GS146" s="841"/>
      <c r="GT146" s="841"/>
      <c r="GU146" s="841"/>
      <c r="GV146" s="841"/>
      <c r="GW146" s="841"/>
      <c r="GX146" s="841"/>
      <c r="GY146" s="841"/>
      <c r="GZ146" s="841"/>
      <c r="HA146" s="841"/>
      <c r="HB146" s="841"/>
      <c r="HC146" s="841"/>
      <c r="HD146" s="841"/>
      <c r="HE146" s="841"/>
      <c r="HF146" s="841"/>
      <c r="HG146" s="841"/>
      <c r="HH146" s="841"/>
      <c r="HI146" s="841"/>
      <c r="HJ146" s="841"/>
      <c r="HK146" s="841"/>
      <c r="HL146" s="841"/>
      <c r="HM146" s="841"/>
      <c r="HN146" s="841"/>
      <c r="HO146" s="841"/>
    </row>
    <row r="147" spans="2:223" ht="12" customHeight="1" thickTop="1">
      <c r="B147" s="1325"/>
      <c r="C147" s="1325"/>
      <c r="D147" s="1325" t="str">
        <f>IF((IFERROR(FIND("IP",D148),"CP_Voz"))&lt;&gt;"CP_Voz","CP_IP","CP_Voz")</f>
        <v>CP_Voz</v>
      </c>
      <c r="E147" s="1325"/>
      <c r="F147" s="1345"/>
      <c r="G147" s="1345"/>
      <c r="H147" s="1345"/>
      <c r="I147" s="1345"/>
      <c r="J147" s="1345"/>
      <c r="K147" s="1345"/>
      <c r="L147" s="1345"/>
      <c r="M147" s="1345"/>
      <c r="N147" s="1345"/>
      <c r="O147" s="1325"/>
      <c r="P147" s="1345">
        <f>IF(SUM(Calculos_cuotas!K79:N79,Calculos_cuotas!R79)&gt;0,0,1)</f>
        <v>1</v>
      </c>
      <c r="Z147" s="2021"/>
      <c r="DS147" s="841"/>
      <c r="DT147" s="841"/>
      <c r="DU147" s="841"/>
      <c r="DV147" s="841"/>
      <c r="DW147" s="841"/>
      <c r="DX147" s="841"/>
      <c r="DY147" s="841"/>
      <c r="DZ147" s="841"/>
      <c r="EA147" s="841"/>
      <c r="EB147" s="841"/>
      <c r="EC147" s="841"/>
      <c r="ED147" s="841"/>
      <c r="EE147" s="841"/>
      <c r="EF147" s="841"/>
      <c r="EG147" s="841"/>
      <c r="EH147" s="841"/>
      <c r="EI147" s="841"/>
      <c r="EJ147" s="841"/>
      <c r="EK147" s="841"/>
      <c r="EL147" s="841"/>
      <c r="EM147" s="841"/>
      <c r="EN147" s="841"/>
      <c r="EO147" s="841"/>
      <c r="EP147" s="841"/>
      <c r="EQ147" s="841"/>
      <c r="ER147" s="841"/>
      <c r="ES147" s="841"/>
      <c r="ET147" s="841"/>
      <c r="EU147" s="841"/>
      <c r="EV147" s="841"/>
      <c r="EW147" s="841"/>
      <c r="EX147" s="841"/>
      <c r="EY147" s="841"/>
      <c r="EZ147" s="841"/>
      <c r="FA147" s="841"/>
      <c r="FB147" s="841"/>
      <c r="FC147" s="841"/>
      <c r="FD147" s="841"/>
      <c r="FE147" s="841"/>
      <c r="FF147" s="841"/>
      <c r="FG147" s="841"/>
      <c r="FH147" s="841"/>
      <c r="FI147" s="841"/>
      <c r="FJ147" s="841"/>
      <c r="FK147" s="841"/>
      <c r="FL147" s="841"/>
      <c r="FM147" s="841"/>
      <c r="FN147" s="841"/>
      <c r="FO147" s="841"/>
      <c r="FP147" s="841"/>
      <c r="FQ147" s="841"/>
      <c r="FR147" s="841"/>
      <c r="FS147" s="841"/>
      <c r="FT147" s="841"/>
      <c r="FU147" s="841"/>
      <c r="FV147" s="841"/>
      <c r="FW147" s="841"/>
      <c r="FX147" s="841"/>
      <c r="FY147" s="841"/>
      <c r="FZ147" s="841"/>
      <c r="GA147" s="841"/>
      <c r="GB147" s="841"/>
      <c r="GC147" s="841"/>
      <c r="GD147" s="841"/>
      <c r="GE147" s="841"/>
      <c r="GF147" s="841"/>
      <c r="GG147" s="841"/>
      <c r="GH147" s="841"/>
      <c r="GI147" s="841"/>
      <c r="GJ147" s="841"/>
      <c r="GK147" s="841"/>
      <c r="GL147" s="841"/>
      <c r="GM147" s="841"/>
      <c r="GN147" s="841"/>
      <c r="GO147" s="841"/>
      <c r="GP147" s="841"/>
      <c r="GQ147" s="841"/>
      <c r="GR147" s="841"/>
      <c r="GS147" s="841"/>
      <c r="GT147" s="841"/>
      <c r="GU147" s="841"/>
      <c r="GV147" s="841"/>
      <c r="GW147" s="841"/>
      <c r="GX147" s="841"/>
      <c r="GY147" s="841"/>
      <c r="GZ147" s="841"/>
      <c r="HA147" s="841"/>
      <c r="HB147" s="841"/>
      <c r="HC147" s="841"/>
      <c r="HD147" s="841"/>
      <c r="HE147" s="841"/>
      <c r="HF147" s="841"/>
      <c r="HG147" s="841"/>
      <c r="HH147" s="841"/>
      <c r="HI147" s="841"/>
      <c r="HJ147" s="841"/>
      <c r="HK147" s="841"/>
      <c r="HL147" s="841"/>
      <c r="HM147" s="841"/>
      <c r="HN147" s="841"/>
      <c r="HO147" s="841"/>
    </row>
    <row r="148" spans="2:223" ht="21" hidden="1" thickBot="1">
      <c r="B148" s="870"/>
      <c r="D148" s="870"/>
      <c r="E148" s="868" t="e">
        <f>IF(OR(D148=$CH$48,D148=#REF!,D148=$CH$54),1,0)</f>
        <v>#REF!</v>
      </c>
      <c r="F148" s="870"/>
      <c r="H148" s="1512"/>
      <c r="J148" s="1512"/>
      <c r="L148" s="1512"/>
      <c r="N148" s="1346">
        <f>IF(SUM(H148+J148)&gt;4,1,0)</f>
        <v>0</v>
      </c>
      <c r="O148" s="1325">
        <f>IF(D147="CP_IP",16,20000000)</f>
        <v>20000000</v>
      </c>
      <c r="P148" s="870"/>
      <c r="R148" s="870"/>
      <c r="T148" s="870"/>
      <c r="V148" s="870"/>
      <c r="X148" s="884">
        <f>IF(ISBLANK(D148),0,VLOOKUP(D148,Calculos_cuotas!$A$105:$B$129,2,FALSE))+IF(OR(ISBLANK(F148),F148="No disponible"),0,VLOOKUP(F148,Calculos_cuotas!$C$105:$D$108,2,FALSE))+IF(ISBLANK(P148),0,P148*Calculos_cuotas!$F$106)+IF(ISBLANK(R148),0,R148*Calculos_cuotas!$F$114)+IF(ISBLANK(T148),0,T148*Calculos_cuotas!$F$109)+IF(ISBLANK(V148),0,V148*Calculos_cuotas!$F$108)+N148*Calculos_cuotas!$F$121+IF(ISBLANK(H148),0,H148*Calculos_cuotas!$F$119)+IF(ISBLANK(J148),0,J148*Calculos_cuotas!$F$118)+IF(ISBLANK(L148),0,L148*Calculos_cuotas!$F$117)</f>
        <v>0</v>
      </c>
      <c r="Z148" s="2021">
        <f t="shared" si="4"/>
        <v>0</v>
      </c>
      <c r="DS148" s="841"/>
      <c r="DT148" s="841"/>
      <c r="DU148" s="841"/>
      <c r="DV148" s="841"/>
      <c r="DW148" s="841"/>
      <c r="DX148" s="841"/>
      <c r="DY148" s="841"/>
      <c r="DZ148" s="841"/>
      <c r="EA148" s="841"/>
      <c r="EB148" s="841"/>
      <c r="EC148" s="841"/>
      <c r="ED148" s="841"/>
      <c r="EE148" s="841"/>
      <c r="EF148" s="841"/>
      <c r="EG148" s="841"/>
      <c r="EH148" s="841"/>
      <c r="EI148" s="841"/>
      <c r="EJ148" s="841"/>
      <c r="EK148" s="841"/>
      <c r="EL148" s="841"/>
      <c r="EM148" s="841"/>
      <c r="EN148" s="841"/>
      <c r="EO148" s="841"/>
      <c r="EP148" s="841"/>
      <c r="EQ148" s="841"/>
      <c r="ER148" s="841"/>
      <c r="ES148" s="841"/>
      <c r="ET148" s="841"/>
      <c r="EU148" s="841"/>
      <c r="EV148" s="841"/>
      <c r="EW148" s="841"/>
      <c r="EX148" s="841"/>
      <c r="EY148" s="841"/>
      <c r="EZ148" s="841"/>
      <c r="FA148" s="841"/>
      <c r="FB148" s="841"/>
      <c r="FC148" s="841"/>
      <c r="FD148" s="841"/>
      <c r="FE148" s="841"/>
      <c r="FF148" s="841"/>
      <c r="FG148" s="841"/>
      <c r="FH148" s="841"/>
      <c r="FI148" s="841"/>
      <c r="FJ148" s="841"/>
      <c r="FK148" s="841"/>
      <c r="FL148" s="841"/>
      <c r="FM148" s="841"/>
      <c r="FN148" s="841"/>
      <c r="FO148" s="841"/>
      <c r="FP148" s="841"/>
      <c r="FQ148" s="841"/>
      <c r="FR148" s="841"/>
      <c r="FS148" s="841"/>
      <c r="FT148" s="841"/>
      <c r="FU148" s="841"/>
      <c r="FV148" s="841"/>
      <c r="FW148" s="841"/>
      <c r="FX148" s="841"/>
      <c r="FY148" s="841"/>
      <c r="FZ148" s="841"/>
      <c r="GA148" s="841"/>
      <c r="GB148" s="841"/>
      <c r="GC148" s="841"/>
      <c r="GD148" s="841"/>
      <c r="GE148" s="841"/>
      <c r="GF148" s="841"/>
      <c r="GG148" s="841"/>
      <c r="GH148" s="841"/>
      <c r="GI148" s="841"/>
      <c r="GJ148" s="841"/>
      <c r="GK148" s="841"/>
      <c r="GL148" s="841"/>
      <c r="GM148" s="841"/>
      <c r="GN148" s="841"/>
      <c r="GO148" s="841"/>
      <c r="GP148" s="841"/>
      <c r="GQ148" s="841"/>
      <c r="GR148" s="841"/>
      <c r="GS148" s="841"/>
      <c r="GT148" s="841"/>
      <c r="GU148" s="841"/>
      <c r="GV148" s="841"/>
      <c r="GW148" s="841"/>
      <c r="GX148" s="841"/>
      <c r="GY148" s="841"/>
      <c r="GZ148" s="841"/>
      <c r="HA148" s="841"/>
      <c r="HB148" s="841"/>
      <c r="HC148" s="841"/>
      <c r="HD148" s="841"/>
      <c r="HE148" s="841"/>
      <c r="HF148" s="841"/>
      <c r="HG148" s="841"/>
      <c r="HH148" s="841"/>
      <c r="HI148" s="841"/>
      <c r="HJ148" s="841"/>
      <c r="HK148" s="841"/>
      <c r="HL148" s="841"/>
      <c r="HM148" s="841"/>
      <c r="HN148" s="841"/>
      <c r="HO148" s="841"/>
    </row>
    <row r="149" spans="2:223" ht="12" hidden="1" customHeight="1" thickTop="1">
      <c r="B149" s="1325"/>
      <c r="C149" s="1325"/>
      <c r="D149" s="1325" t="str">
        <f>IF((IFERROR(FIND("IP",D150),"CP_Voz"))&lt;&gt;"CP_Voz","CP_IP","CP_Voz")</f>
        <v>CP_Voz</v>
      </c>
      <c r="E149" s="1325"/>
      <c r="F149" s="1345"/>
      <c r="G149" s="1345"/>
      <c r="H149" s="1345"/>
      <c r="I149" s="1345"/>
      <c r="J149" s="1345"/>
      <c r="K149" s="1345"/>
      <c r="L149" s="1345"/>
      <c r="M149" s="1345"/>
      <c r="N149" s="1345"/>
      <c r="O149" s="1325"/>
      <c r="P149" s="1345">
        <f>IF(SUM(Calculos_cuotas!K81:N81,Calculos_cuotas!R81)&gt;0,0,1)</f>
        <v>1</v>
      </c>
      <c r="Z149" s="2021"/>
      <c r="DS149" s="841"/>
      <c r="DT149" s="841"/>
      <c r="DU149" s="841"/>
      <c r="DV149" s="841"/>
      <c r="DW149" s="841"/>
      <c r="DX149" s="841"/>
      <c r="DY149" s="841"/>
      <c r="DZ149" s="841"/>
      <c r="EA149" s="841"/>
      <c r="EB149" s="841"/>
      <c r="EC149" s="841"/>
      <c r="ED149" s="841"/>
      <c r="EE149" s="841"/>
      <c r="EF149" s="841"/>
      <c r="EG149" s="841"/>
      <c r="EH149" s="841"/>
      <c r="EI149" s="841"/>
      <c r="EJ149" s="841"/>
      <c r="EK149" s="841"/>
      <c r="EL149" s="841"/>
      <c r="EM149" s="841"/>
      <c r="EN149" s="841"/>
      <c r="EO149" s="841"/>
      <c r="EP149" s="841"/>
      <c r="EQ149" s="841"/>
      <c r="ER149" s="841"/>
      <c r="ES149" s="841"/>
      <c r="ET149" s="841"/>
      <c r="EU149" s="841"/>
      <c r="EV149" s="841"/>
      <c r="EW149" s="841"/>
      <c r="EX149" s="841"/>
      <c r="EY149" s="841"/>
      <c r="EZ149" s="841"/>
      <c r="FA149" s="841"/>
      <c r="FB149" s="841"/>
      <c r="FC149" s="841"/>
      <c r="FD149" s="841"/>
      <c r="FE149" s="841"/>
      <c r="FF149" s="841"/>
      <c r="FG149" s="841"/>
      <c r="FH149" s="841"/>
      <c r="FI149" s="841"/>
      <c r="FJ149" s="841"/>
      <c r="FK149" s="841"/>
      <c r="FL149" s="841"/>
      <c r="FM149" s="841"/>
      <c r="FN149" s="841"/>
      <c r="FO149" s="841"/>
      <c r="FP149" s="841"/>
      <c r="FQ149" s="841"/>
      <c r="FR149" s="841"/>
      <c r="FS149" s="841"/>
      <c r="FT149" s="841"/>
      <c r="FU149" s="841"/>
      <c r="FV149" s="841"/>
      <c r="FW149" s="841"/>
      <c r="FX149" s="841"/>
      <c r="FY149" s="841"/>
      <c r="FZ149" s="841"/>
      <c r="GA149" s="841"/>
      <c r="GB149" s="841"/>
      <c r="GC149" s="841"/>
      <c r="GD149" s="841"/>
      <c r="GE149" s="841"/>
      <c r="GF149" s="841"/>
      <c r="GG149" s="841"/>
      <c r="GH149" s="841"/>
      <c r="GI149" s="841"/>
      <c r="GJ149" s="841"/>
      <c r="GK149" s="841"/>
      <c r="GL149" s="841"/>
      <c r="GM149" s="841"/>
      <c r="GN149" s="841"/>
      <c r="GO149" s="841"/>
      <c r="GP149" s="841"/>
      <c r="GQ149" s="841"/>
      <c r="GR149" s="841"/>
      <c r="GS149" s="841"/>
      <c r="GT149" s="841"/>
      <c r="GU149" s="841"/>
      <c r="GV149" s="841"/>
      <c r="GW149" s="841"/>
      <c r="GX149" s="841"/>
      <c r="GY149" s="841"/>
      <c r="GZ149" s="841"/>
      <c r="HA149" s="841"/>
      <c r="HB149" s="841"/>
      <c r="HC149" s="841"/>
      <c r="HD149" s="841"/>
      <c r="HE149" s="841"/>
      <c r="HF149" s="841"/>
      <c r="HG149" s="841"/>
      <c r="HH149" s="841"/>
      <c r="HI149" s="841"/>
      <c r="HJ149" s="841"/>
      <c r="HK149" s="841"/>
      <c r="HL149" s="841"/>
      <c r="HM149" s="841"/>
      <c r="HN149" s="841"/>
      <c r="HO149" s="841"/>
    </row>
    <row r="150" spans="2:223" ht="21" hidden="1" thickBot="1">
      <c r="B150" s="870"/>
      <c r="D150" s="870"/>
      <c r="E150" s="868" t="e">
        <f>IF(OR(D150=$CH$48,D150=#REF!,D150=$CH$54),1,0)</f>
        <v>#REF!</v>
      </c>
      <c r="F150" s="870"/>
      <c r="H150" s="1512"/>
      <c r="J150" s="1512"/>
      <c r="L150" s="1512"/>
      <c r="N150" s="1346">
        <f>IF(SUM(H150+J150)&gt;4,1,0)</f>
        <v>0</v>
      </c>
      <c r="O150" s="1325">
        <f>IF(D149="CP_IP",16,20000000)</f>
        <v>20000000</v>
      </c>
      <c r="P150" s="870"/>
      <c r="R150" s="870"/>
      <c r="T150" s="870"/>
      <c r="V150" s="870"/>
      <c r="X150" s="884">
        <f>IF(ISBLANK(D150),0,VLOOKUP(D150,Calculos_cuotas!$A$105:$B$129,2,FALSE))+IF(OR(ISBLANK(F150),F150="No disponible"),0,VLOOKUP(F150,Calculos_cuotas!$C$105:$D$108,2,FALSE))+IF(ISBLANK(P150),0,P150*Calculos_cuotas!$F$106)+IF(ISBLANK(R150),0,R150*Calculos_cuotas!$F$114)+IF(ISBLANK(T150),0,T150*Calculos_cuotas!$F$109)+IF(ISBLANK(V150),0,V150*Calculos_cuotas!$F$108)+N150*Calculos_cuotas!$F$121+IF(ISBLANK(H150),0,H150*Calculos_cuotas!$F$119)+IF(ISBLANK(J150),0,J150*Calculos_cuotas!$F$118)+IF(ISBLANK(L150),0,L150*Calculos_cuotas!$F$117)</f>
        <v>0</v>
      </c>
      <c r="Z150" s="2021">
        <f t="shared" si="4"/>
        <v>0</v>
      </c>
      <c r="DS150" s="841"/>
      <c r="DT150" s="841"/>
      <c r="DU150" s="841"/>
      <c r="DV150" s="841"/>
      <c r="DW150" s="841"/>
      <c r="DX150" s="841"/>
      <c r="DY150" s="841"/>
      <c r="DZ150" s="841"/>
      <c r="EA150" s="841"/>
      <c r="EB150" s="841"/>
      <c r="EC150" s="841"/>
      <c r="ED150" s="841"/>
      <c r="EE150" s="841"/>
      <c r="EF150" s="841"/>
      <c r="EG150" s="841"/>
      <c r="EH150" s="841"/>
      <c r="EI150" s="841"/>
      <c r="EJ150" s="841"/>
      <c r="EK150" s="841"/>
      <c r="EL150" s="841"/>
      <c r="EM150" s="841"/>
      <c r="EN150" s="841"/>
      <c r="EO150" s="841"/>
      <c r="EP150" s="841"/>
      <c r="EQ150" s="841"/>
      <c r="ER150" s="841"/>
      <c r="ES150" s="841"/>
      <c r="ET150" s="841"/>
      <c r="EU150" s="841"/>
      <c r="EV150" s="841"/>
      <c r="EW150" s="841"/>
      <c r="EX150" s="841"/>
      <c r="EY150" s="841"/>
      <c r="EZ150" s="841"/>
      <c r="FA150" s="841"/>
      <c r="FB150" s="841"/>
      <c r="FC150" s="841"/>
      <c r="FD150" s="841"/>
      <c r="FE150" s="841"/>
      <c r="FF150" s="841"/>
      <c r="FG150" s="841"/>
      <c r="FH150" s="841"/>
      <c r="FI150" s="841"/>
      <c r="FJ150" s="841"/>
      <c r="FK150" s="841"/>
      <c r="FL150" s="841"/>
      <c r="FM150" s="841"/>
      <c r="FN150" s="841"/>
      <c r="FO150" s="841"/>
      <c r="FP150" s="841"/>
      <c r="FQ150" s="841"/>
      <c r="FR150" s="841"/>
      <c r="FS150" s="841"/>
      <c r="FT150" s="841"/>
      <c r="FU150" s="841"/>
      <c r="FV150" s="841"/>
      <c r="FW150" s="841"/>
      <c r="FX150" s="841"/>
      <c r="FY150" s="841"/>
      <c r="FZ150" s="841"/>
      <c r="GA150" s="841"/>
      <c r="GB150" s="841"/>
      <c r="GC150" s="841"/>
      <c r="GD150" s="841"/>
      <c r="GE150" s="841"/>
      <c r="GF150" s="841"/>
      <c r="GG150" s="841"/>
      <c r="GH150" s="841"/>
      <c r="GI150" s="841"/>
      <c r="GJ150" s="841"/>
      <c r="GK150" s="841"/>
      <c r="GL150" s="841"/>
      <c r="GM150" s="841"/>
      <c r="GN150" s="841"/>
      <c r="GO150" s="841"/>
      <c r="GP150" s="841"/>
      <c r="GQ150" s="841"/>
      <c r="GR150" s="841"/>
      <c r="GS150" s="841"/>
      <c r="GT150" s="841"/>
      <c r="GU150" s="841"/>
      <c r="GV150" s="841"/>
      <c r="GW150" s="841"/>
      <c r="GX150" s="841"/>
      <c r="GY150" s="841"/>
      <c r="GZ150" s="841"/>
      <c r="HA150" s="841"/>
      <c r="HB150" s="841"/>
      <c r="HC150" s="841"/>
      <c r="HD150" s="841"/>
      <c r="HE150" s="841"/>
      <c r="HF150" s="841"/>
      <c r="HG150" s="841"/>
      <c r="HH150" s="841"/>
      <c r="HI150" s="841"/>
      <c r="HJ150" s="841"/>
      <c r="HK150" s="841"/>
      <c r="HL150" s="841"/>
      <c r="HM150" s="841"/>
      <c r="HN150" s="841"/>
      <c r="HO150" s="841"/>
    </row>
    <row r="151" spans="2:223" ht="12" hidden="1" customHeight="1" thickTop="1">
      <c r="B151" s="1325"/>
      <c r="C151" s="1325"/>
      <c r="D151" s="1325" t="str">
        <f>IF((IFERROR(FIND("IP",D152),"CP_Voz"))&lt;&gt;"CP_Voz","CP_IP","CP_Voz")</f>
        <v>CP_Voz</v>
      </c>
      <c r="E151" s="1325"/>
      <c r="F151" s="1345"/>
      <c r="G151" s="1345"/>
      <c r="H151" s="1345"/>
      <c r="I151" s="1345"/>
      <c r="J151" s="1345"/>
      <c r="K151" s="1345"/>
      <c r="L151" s="1345"/>
      <c r="M151" s="1345"/>
      <c r="N151" s="1345"/>
      <c r="O151" s="1325"/>
      <c r="P151" s="1345">
        <f>IF(SUM(Calculos_cuotas!K83:N83,Calculos_cuotas!R83)&gt;0,0,1)</f>
        <v>1</v>
      </c>
      <c r="Z151" s="2021"/>
      <c r="DS151" s="841"/>
      <c r="DT151" s="841"/>
      <c r="DU151" s="841"/>
      <c r="DV151" s="841"/>
      <c r="DW151" s="841"/>
      <c r="DX151" s="841"/>
      <c r="DY151" s="841"/>
      <c r="DZ151" s="841"/>
      <c r="EA151" s="841"/>
      <c r="EB151" s="841"/>
      <c r="EC151" s="841"/>
      <c r="ED151" s="841"/>
      <c r="EE151" s="841"/>
      <c r="EF151" s="841"/>
      <c r="EG151" s="841"/>
      <c r="EH151" s="841"/>
      <c r="EI151" s="841"/>
      <c r="EJ151" s="841"/>
      <c r="EK151" s="841"/>
      <c r="EL151" s="841"/>
      <c r="EM151" s="841"/>
      <c r="EN151" s="841"/>
      <c r="EO151" s="841"/>
      <c r="EP151" s="841"/>
      <c r="EQ151" s="841"/>
      <c r="ER151" s="841"/>
      <c r="ES151" s="841"/>
      <c r="ET151" s="841"/>
      <c r="EU151" s="841"/>
      <c r="EV151" s="841"/>
      <c r="EW151" s="841"/>
      <c r="EX151" s="841"/>
      <c r="EY151" s="841"/>
      <c r="EZ151" s="841"/>
      <c r="FA151" s="841"/>
      <c r="FB151" s="841"/>
      <c r="FC151" s="841"/>
      <c r="FD151" s="841"/>
      <c r="FE151" s="841"/>
      <c r="FF151" s="841"/>
      <c r="FG151" s="841"/>
      <c r="FH151" s="841"/>
      <c r="FI151" s="841"/>
      <c r="FJ151" s="841"/>
      <c r="FK151" s="841"/>
      <c r="FL151" s="841"/>
      <c r="FM151" s="841"/>
      <c r="FN151" s="841"/>
      <c r="FO151" s="841"/>
      <c r="FP151" s="841"/>
      <c r="FQ151" s="841"/>
      <c r="FR151" s="841"/>
      <c r="FS151" s="841"/>
      <c r="FT151" s="841"/>
      <c r="FU151" s="841"/>
      <c r="FV151" s="841"/>
      <c r="FW151" s="841"/>
      <c r="FX151" s="841"/>
      <c r="FY151" s="841"/>
      <c r="FZ151" s="841"/>
      <c r="GA151" s="841"/>
      <c r="GB151" s="841"/>
      <c r="GC151" s="841"/>
      <c r="GD151" s="841"/>
      <c r="GE151" s="841"/>
      <c r="GF151" s="841"/>
      <c r="GG151" s="841"/>
      <c r="GH151" s="841"/>
      <c r="GI151" s="841"/>
      <c r="GJ151" s="841"/>
      <c r="GK151" s="841"/>
      <c r="GL151" s="841"/>
      <c r="GM151" s="841"/>
      <c r="GN151" s="841"/>
      <c r="GO151" s="841"/>
      <c r="GP151" s="841"/>
      <c r="GQ151" s="841"/>
      <c r="GR151" s="841"/>
      <c r="GS151" s="841"/>
      <c r="GT151" s="841"/>
      <c r="GU151" s="841"/>
      <c r="GV151" s="841"/>
      <c r="GW151" s="841"/>
      <c r="GX151" s="841"/>
      <c r="GY151" s="841"/>
      <c r="GZ151" s="841"/>
      <c r="HA151" s="841"/>
      <c r="HB151" s="841"/>
      <c r="HC151" s="841"/>
      <c r="HD151" s="841"/>
      <c r="HE151" s="841"/>
      <c r="HF151" s="841"/>
      <c r="HG151" s="841"/>
      <c r="HH151" s="841"/>
      <c r="HI151" s="841"/>
      <c r="HJ151" s="841"/>
      <c r="HK151" s="841"/>
      <c r="HL151" s="841"/>
      <c r="HM151" s="841"/>
      <c r="HN151" s="841"/>
      <c r="HO151" s="841"/>
    </row>
    <row r="152" spans="2:223" ht="21" hidden="1" thickBot="1">
      <c r="B152" s="870"/>
      <c r="D152" s="870"/>
      <c r="E152" s="868" t="e">
        <f>IF(OR(D152=$CH$48,D152=#REF!,D152=$CH$54),1,0)</f>
        <v>#REF!</v>
      </c>
      <c r="F152" s="870"/>
      <c r="H152" s="1512"/>
      <c r="J152" s="1512"/>
      <c r="L152" s="1512"/>
      <c r="N152" s="1346">
        <f>IF(SUM(H152+J152)&gt;4,1,0)</f>
        <v>0</v>
      </c>
      <c r="O152" s="1325">
        <f>IF(D151="CP_IP",16,20000000)</f>
        <v>20000000</v>
      </c>
      <c r="P152" s="870"/>
      <c r="R152" s="870"/>
      <c r="T152" s="870"/>
      <c r="V152" s="870"/>
      <c r="X152" s="884">
        <f>IF(ISBLANK(D152),0,VLOOKUP(D152,Calculos_cuotas!$A$105:$B$129,2,FALSE))+IF(OR(ISBLANK(F152),F152="No disponible"),0,VLOOKUP(F152,Calculos_cuotas!$C$105:$D$108,2,FALSE))+IF(ISBLANK(P152),0,P152*Calculos_cuotas!$F$106)+IF(ISBLANK(R152),0,R152*Calculos_cuotas!$F$114)+IF(ISBLANK(T152),0,T152*Calculos_cuotas!$F$109)+IF(ISBLANK(V152),0,V152*Calculos_cuotas!$F$108)+N152*Calculos_cuotas!$F$121+IF(ISBLANK(H152),0,H152*Calculos_cuotas!$F$119)+IF(ISBLANK(J152),0,J152*Calculos_cuotas!$F$118)+IF(ISBLANK(L152),0,L152*Calculos_cuotas!$F$117)</f>
        <v>0</v>
      </c>
      <c r="Z152" s="2021">
        <f t="shared" si="4"/>
        <v>0</v>
      </c>
      <c r="DS152" s="841"/>
      <c r="DT152" s="841"/>
      <c r="DU152" s="841"/>
      <c r="DV152" s="841"/>
      <c r="DW152" s="841"/>
      <c r="DX152" s="841"/>
      <c r="DY152" s="841"/>
      <c r="DZ152" s="841"/>
      <c r="EA152" s="841"/>
      <c r="EB152" s="841"/>
      <c r="EC152" s="841"/>
      <c r="ED152" s="841"/>
      <c r="EE152" s="841"/>
      <c r="EF152" s="841"/>
      <c r="EG152" s="841"/>
      <c r="EH152" s="841"/>
      <c r="EI152" s="841"/>
      <c r="EJ152" s="841"/>
      <c r="EK152" s="841"/>
      <c r="EL152" s="841"/>
      <c r="EM152" s="841"/>
      <c r="EN152" s="841"/>
      <c r="EO152" s="841"/>
      <c r="EP152" s="841"/>
      <c r="EQ152" s="841"/>
      <c r="ER152" s="841"/>
      <c r="ES152" s="841"/>
      <c r="ET152" s="841"/>
      <c r="EU152" s="841"/>
      <c r="EV152" s="841"/>
      <c r="EW152" s="841"/>
      <c r="EX152" s="841"/>
      <c r="EY152" s="841"/>
      <c r="EZ152" s="841"/>
      <c r="FA152" s="841"/>
      <c r="FB152" s="841"/>
      <c r="FC152" s="841"/>
      <c r="FD152" s="841"/>
      <c r="FE152" s="841"/>
      <c r="FF152" s="841"/>
      <c r="FG152" s="841"/>
      <c r="FH152" s="841"/>
      <c r="FI152" s="841"/>
      <c r="FJ152" s="841"/>
      <c r="FK152" s="841"/>
      <c r="FL152" s="841"/>
      <c r="FM152" s="841"/>
      <c r="FN152" s="841"/>
      <c r="FO152" s="841"/>
      <c r="FP152" s="841"/>
      <c r="FQ152" s="841"/>
      <c r="FR152" s="841"/>
      <c r="FS152" s="841"/>
      <c r="FT152" s="841"/>
      <c r="FU152" s="841"/>
      <c r="FV152" s="841"/>
      <c r="FW152" s="841"/>
      <c r="FX152" s="841"/>
      <c r="FY152" s="841"/>
      <c r="FZ152" s="841"/>
      <c r="GA152" s="841"/>
      <c r="GB152" s="841"/>
      <c r="GC152" s="841"/>
      <c r="GD152" s="841"/>
      <c r="GE152" s="841"/>
      <c r="GF152" s="841"/>
      <c r="GG152" s="841"/>
      <c r="GH152" s="841"/>
      <c r="GI152" s="841"/>
      <c r="GJ152" s="841"/>
      <c r="GK152" s="841"/>
      <c r="GL152" s="841"/>
      <c r="GM152" s="841"/>
      <c r="GN152" s="841"/>
      <c r="GO152" s="841"/>
      <c r="GP152" s="841"/>
      <c r="GQ152" s="841"/>
      <c r="GR152" s="841"/>
      <c r="GS152" s="841"/>
      <c r="GT152" s="841"/>
      <c r="GU152" s="841"/>
      <c r="GV152" s="841"/>
      <c r="GW152" s="841"/>
      <c r="GX152" s="841"/>
      <c r="GY152" s="841"/>
      <c r="GZ152" s="841"/>
      <c r="HA152" s="841"/>
      <c r="HB152" s="841"/>
      <c r="HC152" s="841"/>
      <c r="HD152" s="841"/>
      <c r="HE152" s="841"/>
      <c r="HF152" s="841"/>
      <c r="HG152" s="841"/>
      <c r="HH152" s="841"/>
      <c r="HI152" s="841"/>
      <c r="HJ152" s="841"/>
      <c r="HK152" s="841"/>
      <c r="HL152" s="841"/>
      <c r="HM152" s="841"/>
      <c r="HN152" s="841"/>
      <c r="HO152" s="841"/>
    </row>
    <row r="153" spans="2:223" ht="12" hidden="1" customHeight="1" thickTop="1">
      <c r="B153" s="1325"/>
      <c r="C153" s="1325"/>
      <c r="D153" s="1325" t="str">
        <f>IF((IFERROR(FIND("IP",D154),"CP_Voz"))&lt;&gt;"CP_Voz","CP_IP","CP_Voz")</f>
        <v>CP_Voz</v>
      </c>
      <c r="E153" s="1325"/>
      <c r="F153" s="1345"/>
      <c r="G153" s="1345"/>
      <c r="H153" s="1345"/>
      <c r="I153" s="1345"/>
      <c r="J153" s="1345"/>
      <c r="K153" s="1345"/>
      <c r="L153" s="1345"/>
      <c r="M153" s="1345"/>
      <c r="N153" s="1345"/>
      <c r="O153" s="1325"/>
      <c r="P153" s="1345">
        <f>IF(SUM(Calculos_cuotas!K85:N85,Calculos_cuotas!R85)&gt;0,0,1)</f>
        <v>1</v>
      </c>
      <c r="Z153" s="2021"/>
      <c r="DS153" s="841"/>
      <c r="DT153" s="841"/>
      <c r="DU153" s="841"/>
      <c r="DV153" s="841"/>
      <c r="DW153" s="841"/>
      <c r="DX153" s="841"/>
      <c r="DY153" s="841"/>
      <c r="DZ153" s="841"/>
      <c r="EA153" s="841"/>
      <c r="EB153" s="841"/>
      <c r="EC153" s="841"/>
      <c r="ED153" s="841"/>
      <c r="EE153" s="841"/>
      <c r="EF153" s="841"/>
      <c r="EG153" s="841"/>
      <c r="EH153" s="841"/>
      <c r="EI153" s="841"/>
      <c r="EJ153" s="841"/>
      <c r="EK153" s="841"/>
      <c r="EL153" s="841"/>
      <c r="EM153" s="841"/>
      <c r="EN153" s="841"/>
      <c r="EO153" s="841"/>
      <c r="EP153" s="841"/>
      <c r="EQ153" s="841"/>
      <c r="ER153" s="841"/>
      <c r="ES153" s="841"/>
      <c r="ET153" s="841"/>
      <c r="EU153" s="841"/>
      <c r="EV153" s="841"/>
      <c r="EW153" s="841"/>
      <c r="EX153" s="841"/>
      <c r="EY153" s="841"/>
      <c r="EZ153" s="841"/>
      <c r="FA153" s="841"/>
      <c r="FB153" s="841"/>
      <c r="FC153" s="841"/>
      <c r="FD153" s="841"/>
      <c r="FE153" s="841"/>
      <c r="FF153" s="841"/>
      <c r="FG153" s="841"/>
      <c r="FH153" s="841"/>
      <c r="FI153" s="841"/>
      <c r="FJ153" s="841"/>
      <c r="FK153" s="841"/>
      <c r="FL153" s="841"/>
      <c r="FM153" s="841"/>
      <c r="FN153" s="841"/>
      <c r="FO153" s="841"/>
      <c r="FP153" s="841"/>
      <c r="FQ153" s="841"/>
      <c r="FR153" s="841"/>
      <c r="FS153" s="841"/>
      <c r="FT153" s="841"/>
      <c r="FU153" s="841"/>
      <c r="FV153" s="841"/>
      <c r="FW153" s="841"/>
      <c r="FX153" s="841"/>
      <c r="FY153" s="841"/>
      <c r="FZ153" s="841"/>
      <c r="GA153" s="841"/>
      <c r="GB153" s="841"/>
      <c r="GC153" s="841"/>
      <c r="GD153" s="841"/>
      <c r="GE153" s="841"/>
      <c r="GF153" s="841"/>
      <c r="GG153" s="841"/>
      <c r="GH153" s="841"/>
      <c r="GI153" s="841"/>
      <c r="GJ153" s="841"/>
      <c r="GK153" s="841"/>
      <c r="GL153" s="841"/>
      <c r="GM153" s="841"/>
      <c r="GN153" s="841"/>
      <c r="GO153" s="841"/>
      <c r="GP153" s="841"/>
      <c r="GQ153" s="841"/>
      <c r="GR153" s="841"/>
      <c r="GS153" s="841"/>
      <c r="GT153" s="841"/>
      <c r="GU153" s="841"/>
      <c r="GV153" s="841"/>
      <c r="GW153" s="841"/>
      <c r="GX153" s="841"/>
      <c r="GY153" s="841"/>
      <c r="GZ153" s="841"/>
      <c r="HA153" s="841"/>
      <c r="HB153" s="841"/>
      <c r="HC153" s="841"/>
      <c r="HD153" s="841"/>
      <c r="HE153" s="841"/>
      <c r="HF153" s="841"/>
      <c r="HG153" s="841"/>
      <c r="HH153" s="841"/>
      <c r="HI153" s="841"/>
      <c r="HJ153" s="841"/>
      <c r="HK153" s="841"/>
      <c r="HL153" s="841"/>
      <c r="HM153" s="841"/>
      <c r="HN153" s="841"/>
      <c r="HO153" s="841"/>
    </row>
    <row r="154" spans="2:223" ht="21" hidden="1" thickBot="1">
      <c r="B154" s="870"/>
      <c r="D154" s="870"/>
      <c r="E154" s="868" t="e">
        <f>IF(OR(D154=$CH$48,D154=#REF!,D154=$CH$54),1,0)</f>
        <v>#REF!</v>
      </c>
      <c r="F154" s="870"/>
      <c r="H154" s="1512"/>
      <c r="J154" s="1512"/>
      <c r="L154" s="1512"/>
      <c r="N154" s="1346">
        <f>IF(SUM(H154+J154)&gt;4,1,0)</f>
        <v>0</v>
      </c>
      <c r="O154" s="1325">
        <f>IF(D153="CP_IP",16,20000000)</f>
        <v>20000000</v>
      </c>
      <c r="P154" s="870"/>
      <c r="R154" s="870"/>
      <c r="T154" s="870"/>
      <c r="V154" s="870"/>
      <c r="X154" s="884">
        <f>IF(ISBLANK(D154),0,VLOOKUP(D154,Calculos_cuotas!$A$105:$B$129,2,FALSE))+IF(OR(ISBLANK(F154),F154="No disponible"),0,VLOOKUP(F154,Calculos_cuotas!$C$105:$D$108,2,FALSE))+IF(ISBLANK(P154),0,P154*Calculos_cuotas!$F$106)+IF(ISBLANK(R154),0,R154*Calculos_cuotas!$F$114)+IF(ISBLANK(T154),0,T154*Calculos_cuotas!$F$109)+IF(ISBLANK(V154),0,V154*Calculos_cuotas!$F$108)+N154*Calculos_cuotas!$F$121+IF(ISBLANK(H154),0,H154*Calculos_cuotas!$F$119)+IF(ISBLANK(J154),0,J154*Calculos_cuotas!$F$118)+IF(ISBLANK(L154),0,L154*Calculos_cuotas!$F$117)</f>
        <v>0</v>
      </c>
      <c r="Z154" s="2021">
        <f t="shared" si="4"/>
        <v>0</v>
      </c>
      <c r="DS154" s="841"/>
      <c r="DT154" s="841"/>
      <c r="DU154" s="841"/>
      <c r="DV154" s="841"/>
      <c r="DW154" s="841"/>
      <c r="DX154" s="841"/>
      <c r="DY154" s="841"/>
      <c r="DZ154" s="841"/>
      <c r="EA154" s="841"/>
      <c r="EB154" s="841"/>
      <c r="EC154" s="841"/>
      <c r="ED154" s="841"/>
      <c r="EE154" s="841"/>
      <c r="EF154" s="841"/>
      <c r="EG154" s="841"/>
      <c r="EH154" s="841"/>
      <c r="EI154" s="841"/>
      <c r="EJ154" s="841"/>
      <c r="EK154" s="841"/>
      <c r="EL154" s="841"/>
      <c r="EM154" s="841"/>
      <c r="EN154" s="841"/>
      <c r="EO154" s="841"/>
      <c r="EP154" s="841"/>
      <c r="EQ154" s="841"/>
      <c r="ER154" s="841"/>
      <c r="ES154" s="841"/>
      <c r="ET154" s="841"/>
      <c r="EU154" s="841"/>
      <c r="EV154" s="841"/>
      <c r="EW154" s="841"/>
      <c r="EX154" s="841"/>
      <c r="EY154" s="841"/>
      <c r="EZ154" s="841"/>
      <c r="FA154" s="841"/>
      <c r="FB154" s="841"/>
      <c r="FC154" s="841"/>
      <c r="FD154" s="841"/>
      <c r="FE154" s="841"/>
      <c r="FF154" s="841"/>
      <c r="FG154" s="841"/>
      <c r="FH154" s="841"/>
      <c r="FI154" s="841"/>
      <c r="FJ154" s="841"/>
      <c r="FK154" s="841"/>
      <c r="FL154" s="841"/>
      <c r="FM154" s="841"/>
      <c r="FN154" s="841"/>
      <c r="FO154" s="841"/>
      <c r="FP154" s="841"/>
      <c r="FQ154" s="841"/>
      <c r="FR154" s="841"/>
      <c r="FS154" s="841"/>
      <c r="FT154" s="841"/>
      <c r="FU154" s="841"/>
      <c r="FV154" s="841"/>
      <c r="FW154" s="841"/>
      <c r="FX154" s="841"/>
      <c r="FY154" s="841"/>
      <c r="FZ154" s="841"/>
      <c r="GA154" s="841"/>
      <c r="GB154" s="841"/>
      <c r="GC154" s="841"/>
      <c r="GD154" s="841"/>
      <c r="GE154" s="841"/>
      <c r="GF154" s="841"/>
      <c r="GG154" s="841"/>
      <c r="GH154" s="841"/>
      <c r="GI154" s="841"/>
      <c r="GJ154" s="841"/>
      <c r="GK154" s="841"/>
      <c r="GL154" s="841"/>
      <c r="GM154" s="841"/>
      <c r="GN154" s="841"/>
      <c r="GO154" s="841"/>
      <c r="GP154" s="841"/>
      <c r="GQ154" s="841"/>
      <c r="GR154" s="841"/>
      <c r="GS154" s="841"/>
      <c r="GT154" s="841"/>
      <c r="GU154" s="841"/>
      <c r="GV154" s="841"/>
      <c r="GW154" s="841"/>
      <c r="GX154" s="841"/>
      <c r="GY154" s="841"/>
      <c r="GZ154" s="841"/>
      <c r="HA154" s="841"/>
      <c r="HB154" s="841"/>
      <c r="HC154" s="841"/>
      <c r="HD154" s="841"/>
      <c r="HE154" s="841"/>
      <c r="HF154" s="841"/>
      <c r="HG154" s="841"/>
      <c r="HH154" s="841"/>
      <c r="HI154" s="841"/>
      <c r="HJ154" s="841"/>
      <c r="HK154" s="841"/>
      <c r="HL154" s="841"/>
      <c r="HM154" s="841"/>
      <c r="HN154" s="841"/>
      <c r="HO154" s="841"/>
    </row>
    <row r="155" spans="2:223" ht="12" hidden="1" customHeight="1" thickTop="1">
      <c r="B155" s="1325"/>
      <c r="C155" s="1325"/>
      <c r="D155" s="1325" t="str">
        <f>IF((IFERROR(FIND("IP",D156),"CP_Voz"))&lt;&gt;"CP_Voz","CP_IP","CP_Voz")</f>
        <v>CP_Voz</v>
      </c>
      <c r="E155" s="1325"/>
      <c r="F155" s="1345"/>
      <c r="G155" s="1345"/>
      <c r="H155" s="1345"/>
      <c r="I155" s="1345"/>
      <c r="J155" s="1345"/>
      <c r="K155" s="1345"/>
      <c r="L155" s="1345"/>
      <c r="M155" s="1345"/>
      <c r="N155" s="1345"/>
      <c r="O155" s="1325"/>
      <c r="P155" s="1345">
        <f>IF(SUM(Calculos_cuotas!K87:N87,Calculos_cuotas!R87)&gt;0,0,1)</f>
        <v>1</v>
      </c>
      <c r="Z155" s="2021"/>
      <c r="DS155" s="841"/>
      <c r="DT155" s="841"/>
      <c r="DU155" s="841"/>
      <c r="DV155" s="841"/>
      <c r="DW155" s="841"/>
      <c r="DX155" s="841"/>
      <c r="DY155" s="841"/>
      <c r="DZ155" s="841"/>
      <c r="EA155" s="841"/>
      <c r="EB155" s="841"/>
      <c r="EC155" s="841"/>
      <c r="ED155" s="841"/>
      <c r="EE155" s="841"/>
      <c r="EF155" s="841"/>
      <c r="EG155" s="841"/>
      <c r="EH155" s="841"/>
      <c r="EI155" s="841"/>
      <c r="EJ155" s="841"/>
      <c r="EK155" s="841"/>
      <c r="EL155" s="841"/>
      <c r="EM155" s="841"/>
      <c r="EN155" s="841"/>
      <c r="EO155" s="841"/>
      <c r="EP155" s="841"/>
      <c r="EQ155" s="841"/>
      <c r="ER155" s="841"/>
      <c r="ES155" s="841"/>
      <c r="ET155" s="841"/>
      <c r="EU155" s="841"/>
      <c r="EV155" s="841"/>
      <c r="EW155" s="841"/>
      <c r="EX155" s="841"/>
      <c r="EY155" s="841"/>
      <c r="EZ155" s="841"/>
      <c r="FA155" s="841"/>
      <c r="FB155" s="841"/>
      <c r="FC155" s="841"/>
      <c r="FD155" s="841"/>
      <c r="FE155" s="841"/>
      <c r="FF155" s="841"/>
      <c r="FG155" s="841"/>
      <c r="FH155" s="841"/>
      <c r="FI155" s="841"/>
      <c r="FJ155" s="841"/>
      <c r="FK155" s="841"/>
      <c r="FL155" s="841"/>
      <c r="FM155" s="841"/>
      <c r="FN155" s="841"/>
      <c r="FO155" s="841"/>
      <c r="FP155" s="841"/>
      <c r="FQ155" s="841"/>
      <c r="FR155" s="841"/>
      <c r="FS155" s="841"/>
      <c r="FT155" s="841"/>
      <c r="FU155" s="841"/>
      <c r="FV155" s="841"/>
      <c r="FW155" s="841"/>
      <c r="FX155" s="841"/>
      <c r="FY155" s="841"/>
      <c r="FZ155" s="841"/>
      <c r="GA155" s="841"/>
      <c r="GB155" s="841"/>
      <c r="GC155" s="841"/>
      <c r="GD155" s="841"/>
      <c r="GE155" s="841"/>
      <c r="GF155" s="841"/>
      <c r="GG155" s="841"/>
      <c r="GH155" s="841"/>
      <c r="GI155" s="841"/>
      <c r="GJ155" s="841"/>
      <c r="GK155" s="841"/>
      <c r="GL155" s="841"/>
      <c r="GM155" s="841"/>
      <c r="GN155" s="841"/>
      <c r="GO155" s="841"/>
      <c r="GP155" s="841"/>
      <c r="GQ155" s="841"/>
      <c r="GR155" s="841"/>
      <c r="GS155" s="841"/>
      <c r="GT155" s="841"/>
      <c r="GU155" s="841"/>
      <c r="GV155" s="841"/>
      <c r="GW155" s="841"/>
      <c r="GX155" s="841"/>
      <c r="GY155" s="841"/>
      <c r="GZ155" s="841"/>
      <c r="HA155" s="841"/>
      <c r="HB155" s="841"/>
      <c r="HC155" s="841"/>
      <c r="HD155" s="841"/>
      <c r="HE155" s="841"/>
      <c r="HF155" s="841"/>
      <c r="HG155" s="841"/>
      <c r="HH155" s="841"/>
      <c r="HI155" s="841"/>
      <c r="HJ155" s="841"/>
      <c r="HK155" s="841"/>
      <c r="HL155" s="841"/>
      <c r="HM155" s="841"/>
      <c r="HN155" s="841"/>
      <c r="HO155" s="841"/>
    </row>
    <row r="156" spans="2:223" ht="21" hidden="1" thickBot="1">
      <c r="B156" s="870"/>
      <c r="D156" s="870"/>
      <c r="E156" s="868" t="e">
        <f>IF(OR(D156=$CH$48,D156=#REF!,D156=$CH$54),1,0)</f>
        <v>#REF!</v>
      </c>
      <c r="F156" s="870"/>
      <c r="H156" s="1512"/>
      <c r="J156" s="1512"/>
      <c r="L156" s="1512"/>
      <c r="N156" s="1346">
        <f>IF(SUM(H156+J156)&gt;4,1,0)</f>
        <v>0</v>
      </c>
      <c r="O156" s="1325">
        <f>IF(D155="CP_IP",16,20000000)</f>
        <v>20000000</v>
      </c>
      <c r="P156" s="870"/>
      <c r="R156" s="870"/>
      <c r="T156" s="870"/>
      <c r="V156" s="870"/>
      <c r="X156" s="884">
        <f>IF(ISBLANK(D156),0,VLOOKUP(D156,Calculos_cuotas!$A$105:$B$129,2,FALSE))+IF(OR(ISBLANK(F156),F156="No disponible"),0,VLOOKUP(F156,Calculos_cuotas!$C$105:$D$108,2,FALSE))+IF(ISBLANK(P156),0,P156*Calculos_cuotas!$F$106)+IF(ISBLANK(R156),0,R156*Calculos_cuotas!$F$114)+IF(ISBLANK(T156),0,T156*Calculos_cuotas!$F$109)+IF(ISBLANK(V156),0,V156*Calculos_cuotas!$F$108)+N156*Calculos_cuotas!$F$121+IF(ISBLANK(H156),0,H156*Calculos_cuotas!$F$119)+IF(ISBLANK(J156),0,J156*Calculos_cuotas!$F$118)+IF(ISBLANK(L156),0,L156*Calculos_cuotas!$F$117)</f>
        <v>0</v>
      </c>
      <c r="Z156" s="2021">
        <f t="shared" si="4"/>
        <v>0</v>
      </c>
      <c r="DS156" s="841"/>
      <c r="DT156" s="841"/>
      <c r="DU156" s="841"/>
      <c r="DV156" s="841"/>
      <c r="DW156" s="841"/>
      <c r="DX156" s="841"/>
      <c r="DY156" s="841"/>
      <c r="DZ156" s="841"/>
      <c r="EA156" s="841"/>
      <c r="EB156" s="841"/>
      <c r="EC156" s="841"/>
      <c r="ED156" s="841"/>
      <c r="EE156" s="841"/>
      <c r="EF156" s="841"/>
      <c r="EG156" s="841"/>
      <c r="EH156" s="841"/>
      <c r="EI156" s="841"/>
      <c r="EJ156" s="841"/>
      <c r="EK156" s="841"/>
      <c r="EL156" s="841"/>
      <c r="EM156" s="841"/>
      <c r="EN156" s="841"/>
      <c r="EO156" s="841"/>
      <c r="EP156" s="841"/>
      <c r="EQ156" s="841"/>
      <c r="ER156" s="841"/>
      <c r="ES156" s="841"/>
      <c r="ET156" s="841"/>
      <c r="EU156" s="841"/>
      <c r="EV156" s="841"/>
      <c r="EW156" s="841"/>
      <c r="EX156" s="841"/>
      <c r="EY156" s="841"/>
      <c r="EZ156" s="841"/>
      <c r="FA156" s="841"/>
      <c r="FB156" s="841"/>
      <c r="FC156" s="841"/>
      <c r="FD156" s="841"/>
      <c r="FE156" s="841"/>
      <c r="FF156" s="841"/>
      <c r="FG156" s="841"/>
      <c r="FH156" s="841"/>
      <c r="FI156" s="841"/>
      <c r="FJ156" s="841"/>
      <c r="FK156" s="841"/>
      <c r="FL156" s="841"/>
      <c r="FM156" s="841"/>
      <c r="FN156" s="841"/>
      <c r="FO156" s="841"/>
      <c r="FP156" s="841"/>
      <c r="FQ156" s="841"/>
      <c r="FR156" s="841"/>
      <c r="FS156" s="841"/>
      <c r="FT156" s="841"/>
      <c r="FU156" s="841"/>
      <c r="FV156" s="841"/>
      <c r="FW156" s="841"/>
      <c r="FX156" s="841"/>
      <c r="FY156" s="841"/>
      <c r="FZ156" s="841"/>
      <c r="GA156" s="841"/>
      <c r="GB156" s="841"/>
      <c r="GC156" s="841"/>
      <c r="GD156" s="841"/>
      <c r="GE156" s="841"/>
      <c r="GF156" s="841"/>
      <c r="GG156" s="841"/>
      <c r="GH156" s="841"/>
      <c r="GI156" s="841"/>
      <c r="GJ156" s="841"/>
      <c r="GK156" s="841"/>
      <c r="GL156" s="841"/>
      <c r="GM156" s="841"/>
      <c r="GN156" s="841"/>
      <c r="GO156" s="841"/>
      <c r="GP156" s="841"/>
      <c r="GQ156" s="841"/>
      <c r="GR156" s="841"/>
      <c r="GS156" s="841"/>
      <c r="GT156" s="841"/>
      <c r="GU156" s="841"/>
      <c r="GV156" s="841"/>
      <c r="GW156" s="841"/>
      <c r="GX156" s="841"/>
      <c r="GY156" s="841"/>
      <c r="GZ156" s="841"/>
      <c r="HA156" s="841"/>
      <c r="HB156" s="841"/>
      <c r="HC156" s="841"/>
      <c r="HD156" s="841"/>
      <c r="HE156" s="841"/>
      <c r="HF156" s="841"/>
      <c r="HG156" s="841"/>
      <c r="HH156" s="841"/>
      <c r="HI156" s="841"/>
      <c r="HJ156" s="841"/>
      <c r="HK156" s="841"/>
      <c r="HL156" s="841"/>
      <c r="HM156" s="841"/>
      <c r="HN156" s="841"/>
      <c r="HO156" s="841"/>
    </row>
    <row r="157" spans="2:223" ht="12" hidden="1" customHeight="1" thickTop="1">
      <c r="B157" s="1325"/>
      <c r="C157" s="1325"/>
      <c r="D157" s="1325" t="str">
        <f>IF((IFERROR(FIND("IP",D158),"CP_Voz"))&lt;&gt;"CP_Voz","CP_IP","CP_Voz")</f>
        <v>CP_Voz</v>
      </c>
      <c r="E157" s="1325"/>
      <c r="F157" s="1345"/>
      <c r="G157" s="1345"/>
      <c r="H157" s="1345"/>
      <c r="I157" s="1345"/>
      <c r="J157" s="1345"/>
      <c r="K157" s="1345"/>
      <c r="L157" s="1345"/>
      <c r="M157" s="1345"/>
      <c r="N157" s="1345"/>
      <c r="O157" s="1325"/>
      <c r="P157" s="1345">
        <f>IF(SUM(Calculos_cuotas!K89:N89,Calculos_cuotas!R89)&gt;0,0,1)</f>
        <v>1</v>
      </c>
      <c r="Z157" s="2021"/>
      <c r="DS157" s="841"/>
      <c r="DT157" s="841"/>
      <c r="DU157" s="841"/>
      <c r="DV157" s="841"/>
      <c r="DW157" s="841"/>
      <c r="DX157" s="841"/>
      <c r="DY157" s="841"/>
      <c r="DZ157" s="841"/>
      <c r="EA157" s="841"/>
      <c r="EB157" s="841"/>
      <c r="EC157" s="841"/>
      <c r="ED157" s="841"/>
      <c r="EE157" s="841"/>
      <c r="EF157" s="841"/>
      <c r="EG157" s="841"/>
      <c r="EH157" s="841"/>
      <c r="EI157" s="841"/>
      <c r="EJ157" s="841"/>
      <c r="EK157" s="841"/>
      <c r="EL157" s="841"/>
      <c r="EM157" s="841"/>
      <c r="EN157" s="841"/>
      <c r="EO157" s="841"/>
      <c r="EP157" s="841"/>
      <c r="EQ157" s="841"/>
      <c r="ER157" s="841"/>
      <c r="ES157" s="841"/>
      <c r="ET157" s="841"/>
      <c r="EU157" s="841"/>
      <c r="EV157" s="841"/>
      <c r="EW157" s="841"/>
      <c r="EX157" s="841"/>
      <c r="EY157" s="841"/>
      <c r="EZ157" s="841"/>
      <c r="FA157" s="841"/>
      <c r="FB157" s="841"/>
      <c r="FC157" s="841"/>
      <c r="FD157" s="841"/>
      <c r="FE157" s="841"/>
      <c r="FF157" s="841"/>
      <c r="FG157" s="841"/>
      <c r="FH157" s="841"/>
      <c r="FI157" s="841"/>
      <c r="FJ157" s="841"/>
      <c r="FK157" s="841"/>
      <c r="FL157" s="841"/>
      <c r="FM157" s="841"/>
      <c r="FN157" s="841"/>
      <c r="FO157" s="841"/>
      <c r="FP157" s="841"/>
      <c r="FQ157" s="841"/>
      <c r="FR157" s="841"/>
      <c r="FS157" s="841"/>
      <c r="FT157" s="841"/>
      <c r="FU157" s="841"/>
      <c r="FV157" s="841"/>
      <c r="FW157" s="841"/>
      <c r="FX157" s="841"/>
      <c r="FY157" s="841"/>
      <c r="FZ157" s="841"/>
      <c r="GA157" s="841"/>
      <c r="GB157" s="841"/>
      <c r="GC157" s="841"/>
      <c r="GD157" s="841"/>
      <c r="GE157" s="841"/>
      <c r="GF157" s="841"/>
      <c r="GG157" s="841"/>
      <c r="GH157" s="841"/>
      <c r="GI157" s="841"/>
      <c r="GJ157" s="841"/>
      <c r="GK157" s="841"/>
      <c r="GL157" s="841"/>
      <c r="GM157" s="841"/>
      <c r="GN157" s="841"/>
      <c r="GO157" s="841"/>
      <c r="GP157" s="841"/>
      <c r="GQ157" s="841"/>
      <c r="GR157" s="841"/>
      <c r="GS157" s="841"/>
      <c r="GT157" s="841"/>
      <c r="GU157" s="841"/>
      <c r="GV157" s="841"/>
      <c r="GW157" s="841"/>
      <c r="GX157" s="841"/>
      <c r="GY157" s="841"/>
      <c r="GZ157" s="841"/>
      <c r="HA157" s="841"/>
      <c r="HB157" s="841"/>
      <c r="HC157" s="841"/>
      <c r="HD157" s="841"/>
      <c r="HE157" s="841"/>
      <c r="HF157" s="841"/>
      <c r="HG157" s="841"/>
      <c r="HH157" s="841"/>
      <c r="HI157" s="841"/>
      <c r="HJ157" s="841"/>
      <c r="HK157" s="841"/>
      <c r="HL157" s="841"/>
      <c r="HM157" s="841"/>
      <c r="HN157" s="841"/>
      <c r="HO157" s="841"/>
    </row>
    <row r="158" spans="2:223" ht="21" hidden="1" thickBot="1">
      <c r="B158" s="870"/>
      <c r="D158" s="870"/>
      <c r="E158" s="868" t="e">
        <f>IF(OR(D158=$CH$48,D158=#REF!,D158=$CH$54),1,0)</f>
        <v>#REF!</v>
      </c>
      <c r="F158" s="870"/>
      <c r="H158" s="1512"/>
      <c r="J158" s="1512"/>
      <c r="L158" s="1512"/>
      <c r="N158" s="1346">
        <f>IF(SUM(H158+J158)&gt;4,1,0)</f>
        <v>0</v>
      </c>
      <c r="O158" s="1325">
        <f>IF(D157="CP_IP",16,20000000)</f>
        <v>20000000</v>
      </c>
      <c r="P158" s="870"/>
      <c r="R158" s="870"/>
      <c r="T158" s="870"/>
      <c r="V158" s="870"/>
      <c r="X158" s="884">
        <f>IF(ISBLANK(D158),0,VLOOKUP(D158,Calculos_cuotas!$A$105:$B$129,2,FALSE))+IF(OR(ISBLANK(F158),F158="No disponible"),0,VLOOKUP(F158,Calculos_cuotas!$C$105:$D$108,2,FALSE))+IF(ISBLANK(P158),0,P158*Calculos_cuotas!$F$106)+IF(ISBLANK(R158),0,R158*Calculos_cuotas!$F$114)+IF(ISBLANK(T158),0,T158*Calculos_cuotas!$F$109)+IF(ISBLANK(V158),0,V158*Calculos_cuotas!$F$108)+N158*Calculos_cuotas!$F$121+IF(ISBLANK(H158),0,H158*Calculos_cuotas!$F$119)+IF(ISBLANK(J158),0,J158*Calculos_cuotas!$F$118)+IF(ISBLANK(L158),0,L158*Calculos_cuotas!$F$117)</f>
        <v>0</v>
      </c>
      <c r="Z158" s="2021">
        <f t="shared" si="4"/>
        <v>0</v>
      </c>
      <c r="DS158" s="841"/>
      <c r="DT158" s="841"/>
      <c r="DU158" s="841"/>
      <c r="DV158" s="841"/>
      <c r="DW158" s="841"/>
      <c r="DX158" s="841"/>
      <c r="DY158" s="841"/>
      <c r="DZ158" s="841"/>
      <c r="EA158" s="841"/>
      <c r="EB158" s="841"/>
      <c r="EC158" s="841"/>
      <c r="ED158" s="841"/>
      <c r="EE158" s="841"/>
      <c r="EF158" s="841"/>
      <c r="EG158" s="841"/>
      <c r="EH158" s="841"/>
      <c r="EI158" s="841"/>
      <c r="EJ158" s="841"/>
      <c r="EK158" s="841"/>
      <c r="EL158" s="841"/>
      <c r="EM158" s="841"/>
      <c r="EN158" s="841"/>
      <c r="EO158" s="841"/>
      <c r="EP158" s="841"/>
      <c r="EQ158" s="841"/>
      <c r="ER158" s="841"/>
      <c r="ES158" s="841"/>
      <c r="ET158" s="841"/>
      <c r="EU158" s="841"/>
      <c r="EV158" s="841"/>
      <c r="EW158" s="841"/>
      <c r="EX158" s="841"/>
      <c r="EY158" s="841"/>
      <c r="EZ158" s="841"/>
      <c r="FA158" s="841"/>
      <c r="FB158" s="841"/>
      <c r="FC158" s="841"/>
      <c r="FD158" s="841"/>
      <c r="FE158" s="841"/>
      <c r="FF158" s="841"/>
      <c r="FG158" s="841"/>
      <c r="FH158" s="841"/>
      <c r="FI158" s="841"/>
      <c r="FJ158" s="841"/>
      <c r="FK158" s="841"/>
      <c r="FL158" s="841"/>
      <c r="FM158" s="841"/>
      <c r="FN158" s="841"/>
      <c r="FO158" s="841"/>
      <c r="FP158" s="841"/>
      <c r="FQ158" s="841"/>
      <c r="FR158" s="841"/>
      <c r="FS158" s="841"/>
      <c r="FT158" s="841"/>
      <c r="FU158" s="841"/>
      <c r="FV158" s="841"/>
      <c r="FW158" s="841"/>
      <c r="FX158" s="841"/>
      <c r="FY158" s="841"/>
      <c r="FZ158" s="841"/>
      <c r="GA158" s="841"/>
      <c r="GB158" s="841"/>
      <c r="GC158" s="841"/>
      <c r="GD158" s="841"/>
      <c r="GE158" s="841"/>
      <c r="GF158" s="841"/>
      <c r="GG158" s="841"/>
      <c r="GH158" s="841"/>
      <c r="GI158" s="841"/>
      <c r="GJ158" s="841"/>
      <c r="GK158" s="841"/>
      <c r="GL158" s="841"/>
      <c r="GM158" s="841"/>
      <c r="GN158" s="841"/>
      <c r="GO158" s="841"/>
      <c r="GP158" s="841"/>
      <c r="GQ158" s="841"/>
      <c r="GR158" s="841"/>
      <c r="GS158" s="841"/>
      <c r="GT158" s="841"/>
      <c r="GU158" s="841"/>
      <c r="GV158" s="841"/>
      <c r="GW158" s="841"/>
      <c r="GX158" s="841"/>
      <c r="GY158" s="841"/>
      <c r="GZ158" s="841"/>
      <c r="HA158" s="841"/>
      <c r="HB158" s="841"/>
      <c r="HC158" s="841"/>
      <c r="HD158" s="841"/>
      <c r="HE158" s="841"/>
      <c r="HF158" s="841"/>
      <c r="HG158" s="841"/>
      <c r="HH158" s="841"/>
      <c r="HI158" s="841"/>
      <c r="HJ158" s="841"/>
      <c r="HK158" s="841"/>
      <c r="HL158" s="841"/>
      <c r="HM158" s="841"/>
      <c r="HN158" s="841"/>
      <c r="HO158" s="841"/>
    </row>
    <row r="159" spans="2:223" ht="12" hidden="1" customHeight="1" thickTop="1">
      <c r="B159" s="1325"/>
      <c r="C159" s="1325"/>
      <c r="D159" s="1325" t="str">
        <f>IF((IFERROR(FIND("IP",D160),"CP_Voz"))&lt;&gt;"CP_Voz","CP_IP","CP_Voz")</f>
        <v>CP_Voz</v>
      </c>
      <c r="E159" s="1325"/>
      <c r="F159" s="1345"/>
      <c r="G159" s="1345"/>
      <c r="H159" s="1345"/>
      <c r="I159" s="1345"/>
      <c r="J159" s="1345"/>
      <c r="K159" s="1345"/>
      <c r="L159" s="1345"/>
      <c r="M159" s="1345"/>
      <c r="N159" s="1345"/>
      <c r="O159" s="1325"/>
      <c r="P159" s="1345">
        <f>IF(SUM(Calculos_cuotas!K91:N91,Calculos_cuotas!R91)&gt;0,0,1)</f>
        <v>1</v>
      </c>
      <c r="Z159" s="2021"/>
      <c r="DS159" s="841"/>
      <c r="DT159" s="841"/>
      <c r="DU159" s="841"/>
      <c r="DV159" s="841"/>
      <c r="DW159" s="841"/>
      <c r="DX159" s="841"/>
      <c r="DY159" s="841"/>
      <c r="DZ159" s="841"/>
      <c r="EA159" s="841"/>
      <c r="EB159" s="841"/>
      <c r="EC159" s="841"/>
      <c r="ED159" s="841"/>
      <c r="EE159" s="841"/>
      <c r="EF159" s="841"/>
      <c r="EG159" s="841"/>
      <c r="EH159" s="841"/>
      <c r="EI159" s="841"/>
      <c r="EJ159" s="841"/>
      <c r="EK159" s="841"/>
      <c r="EL159" s="841"/>
      <c r="EM159" s="841"/>
      <c r="EN159" s="841"/>
      <c r="EO159" s="841"/>
      <c r="EP159" s="841"/>
      <c r="EQ159" s="841"/>
      <c r="ER159" s="841"/>
      <c r="ES159" s="841"/>
      <c r="ET159" s="841"/>
      <c r="EU159" s="841"/>
      <c r="EV159" s="841"/>
      <c r="EW159" s="841"/>
      <c r="EX159" s="841"/>
      <c r="EY159" s="841"/>
      <c r="EZ159" s="841"/>
      <c r="FA159" s="841"/>
      <c r="FB159" s="841"/>
      <c r="FC159" s="841"/>
      <c r="FD159" s="841"/>
      <c r="FE159" s="841"/>
      <c r="FF159" s="841"/>
      <c r="FG159" s="841"/>
      <c r="FH159" s="841"/>
      <c r="FI159" s="841"/>
      <c r="FJ159" s="841"/>
      <c r="FK159" s="841"/>
      <c r="FL159" s="841"/>
      <c r="FM159" s="841"/>
      <c r="FN159" s="841"/>
      <c r="FO159" s="841"/>
      <c r="FP159" s="841"/>
      <c r="FQ159" s="841"/>
      <c r="FR159" s="841"/>
      <c r="FS159" s="841"/>
      <c r="FT159" s="841"/>
      <c r="FU159" s="841"/>
      <c r="FV159" s="841"/>
      <c r="FW159" s="841"/>
      <c r="FX159" s="841"/>
      <c r="FY159" s="841"/>
      <c r="FZ159" s="841"/>
      <c r="GA159" s="841"/>
      <c r="GB159" s="841"/>
      <c r="GC159" s="841"/>
      <c r="GD159" s="841"/>
      <c r="GE159" s="841"/>
      <c r="GF159" s="841"/>
      <c r="GG159" s="841"/>
      <c r="GH159" s="841"/>
      <c r="GI159" s="841"/>
      <c r="GJ159" s="841"/>
      <c r="GK159" s="841"/>
      <c r="GL159" s="841"/>
      <c r="GM159" s="841"/>
      <c r="GN159" s="841"/>
      <c r="GO159" s="841"/>
      <c r="GP159" s="841"/>
      <c r="GQ159" s="841"/>
      <c r="GR159" s="841"/>
      <c r="GS159" s="841"/>
      <c r="GT159" s="841"/>
      <c r="GU159" s="841"/>
      <c r="GV159" s="841"/>
      <c r="GW159" s="841"/>
      <c r="GX159" s="841"/>
      <c r="GY159" s="841"/>
      <c r="GZ159" s="841"/>
      <c r="HA159" s="841"/>
      <c r="HB159" s="841"/>
      <c r="HC159" s="841"/>
      <c r="HD159" s="841"/>
      <c r="HE159" s="841"/>
      <c r="HF159" s="841"/>
      <c r="HG159" s="841"/>
      <c r="HH159" s="841"/>
      <c r="HI159" s="841"/>
      <c r="HJ159" s="841"/>
      <c r="HK159" s="841"/>
      <c r="HL159" s="841"/>
      <c r="HM159" s="841"/>
      <c r="HN159" s="841"/>
      <c r="HO159" s="841"/>
    </row>
    <row r="160" spans="2:223" ht="21" hidden="1" thickBot="1">
      <c r="B160" s="870"/>
      <c r="D160" s="870"/>
      <c r="E160" s="868" t="e">
        <f>IF(OR(D160=$CH$48,D160=#REF!,D160=$CH$54),1,0)</f>
        <v>#REF!</v>
      </c>
      <c r="F160" s="870"/>
      <c r="H160" s="1512"/>
      <c r="J160" s="1512"/>
      <c r="L160" s="1512"/>
      <c r="N160" s="1346">
        <f>IF(SUM(H160+J160)&gt;4,1,0)</f>
        <v>0</v>
      </c>
      <c r="O160" s="1325">
        <f>IF(D159="CP_IP",16,20000000)</f>
        <v>20000000</v>
      </c>
      <c r="P160" s="870"/>
      <c r="R160" s="870"/>
      <c r="T160" s="870"/>
      <c r="V160" s="870"/>
      <c r="X160" s="884">
        <f>IF(ISBLANK(D160),0,VLOOKUP(D160,Calculos_cuotas!$A$105:$B$129,2,FALSE))+IF(OR(ISBLANK(F160),F160="No disponible"),0,VLOOKUP(F160,Calculos_cuotas!$C$105:$D$108,2,FALSE))+IF(ISBLANK(P160),0,P160*Calculos_cuotas!$F$106)+IF(ISBLANK(R160),0,R160*Calculos_cuotas!$F$114)+IF(ISBLANK(T160),0,T160*Calculos_cuotas!$F$109)+IF(ISBLANK(V160),0,V160*Calculos_cuotas!$F$108)+N160*Calculos_cuotas!$F$121+IF(ISBLANK(H160),0,H160*Calculos_cuotas!$F$119)+IF(ISBLANK(J160),0,J160*Calculos_cuotas!$F$118)+IF(ISBLANK(L160),0,L160*Calculos_cuotas!$F$117)</f>
        <v>0</v>
      </c>
      <c r="Z160" s="2021">
        <f t="shared" si="4"/>
        <v>0</v>
      </c>
      <c r="DS160" s="841"/>
      <c r="DT160" s="841"/>
      <c r="DU160" s="841"/>
      <c r="DV160" s="841"/>
      <c r="DW160" s="841"/>
      <c r="DX160" s="841"/>
      <c r="DY160" s="841"/>
      <c r="DZ160" s="841"/>
      <c r="EA160" s="841"/>
      <c r="EB160" s="841"/>
      <c r="EC160" s="841"/>
      <c r="ED160" s="841"/>
      <c r="EE160" s="841"/>
      <c r="EF160" s="841"/>
      <c r="EG160" s="841"/>
      <c r="EH160" s="841"/>
      <c r="EI160" s="841"/>
      <c r="EJ160" s="841"/>
      <c r="EK160" s="841"/>
      <c r="EL160" s="841"/>
      <c r="EM160" s="841"/>
      <c r="EN160" s="841"/>
      <c r="EO160" s="841"/>
      <c r="EP160" s="841"/>
      <c r="EQ160" s="841"/>
      <c r="ER160" s="841"/>
      <c r="ES160" s="841"/>
      <c r="ET160" s="841"/>
      <c r="EU160" s="841"/>
      <c r="EV160" s="841"/>
      <c r="EW160" s="841"/>
      <c r="EX160" s="841"/>
      <c r="EY160" s="841"/>
      <c r="EZ160" s="841"/>
      <c r="FA160" s="841"/>
      <c r="FB160" s="841"/>
      <c r="FC160" s="841"/>
      <c r="FD160" s="841"/>
      <c r="FE160" s="841"/>
      <c r="FF160" s="841"/>
      <c r="FG160" s="841"/>
      <c r="FH160" s="841"/>
      <c r="FI160" s="841"/>
      <c r="FJ160" s="841"/>
      <c r="FK160" s="841"/>
      <c r="FL160" s="841"/>
      <c r="FM160" s="841"/>
      <c r="FN160" s="841"/>
      <c r="FO160" s="841"/>
      <c r="FP160" s="841"/>
      <c r="FQ160" s="841"/>
      <c r="FR160" s="841"/>
      <c r="FS160" s="841"/>
      <c r="FT160" s="841"/>
      <c r="FU160" s="841"/>
      <c r="FV160" s="841"/>
      <c r="FW160" s="841"/>
      <c r="FX160" s="841"/>
      <c r="FY160" s="841"/>
      <c r="FZ160" s="841"/>
      <c r="GA160" s="841"/>
      <c r="GB160" s="841"/>
      <c r="GC160" s="841"/>
      <c r="GD160" s="841"/>
      <c r="GE160" s="841"/>
      <c r="GF160" s="841"/>
      <c r="GG160" s="841"/>
      <c r="GH160" s="841"/>
      <c r="GI160" s="841"/>
      <c r="GJ160" s="841"/>
      <c r="GK160" s="841"/>
      <c r="GL160" s="841"/>
      <c r="GM160" s="841"/>
      <c r="GN160" s="841"/>
      <c r="GO160" s="841"/>
      <c r="GP160" s="841"/>
      <c r="GQ160" s="841"/>
      <c r="GR160" s="841"/>
      <c r="GS160" s="841"/>
      <c r="GT160" s="841"/>
      <c r="GU160" s="841"/>
      <c r="GV160" s="841"/>
      <c r="GW160" s="841"/>
      <c r="GX160" s="841"/>
      <c r="GY160" s="841"/>
      <c r="GZ160" s="841"/>
      <c r="HA160" s="841"/>
      <c r="HB160" s="841"/>
      <c r="HC160" s="841"/>
      <c r="HD160" s="841"/>
      <c r="HE160" s="841"/>
      <c r="HF160" s="841"/>
      <c r="HG160" s="841"/>
      <c r="HH160" s="841"/>
      <c r="HI160" s="841"/>
      <c r="HJ160" s="841"/>
      <c r="HK160" s="841"/>
      <c r="HL160" s="841"/>
      <c r="HM160" s="841"/>
      <c r="HN160" s="841"/>
      <c r="HO160" s="841"/>
    </row>
    <row r="161" spans="1:223" ht="12" hidden="1" customHeight="1" thickTop="1">
      <c r="B161" s="1325"/>
      <c r="C161" s="1325"/>
      <c r="D161" s="1325" t="str">
        <f>IF((IFERROR(FIND("IP",D162),"CP_Voz"))&lt;&gt;"CP_Voz","CP_IP","CP_Voz")</f>
        <v>CP_Voz</v>
      </c>
      <c r="E161" s="1325"/>
      <c r="F161" s="1345"/>
      <c r="G161" s="1345"/>
      <c r="H161" s="1345"/>
      <c r="I161" s="1345"/>
      <c r="J161" s="1345"/>
      <c r="K161" s="1345"/>
      <c r="L161" s="1345"/>
      <c r="M161" s="1345"/>
      <c r="N161" s="1345"/>
      <c r="O161" s="1325"/>
      <c r="P161" s="1345">
        <f>IF(SUM(Calculos_cuotas!K93:N93,Calculos_cuotas!R93)&gt;0,0,1)</f>
        <v>1</v>
      </c>
      <c r="Z161" s="2021"/>
      <c r="DS161" s="841"/>
      <c r="DT161" s="841"/>
      <c r="DU161" s="841"/>
      <c r="DV161" s="841"/>
      <c r="DW161" s="841"/>
      <c r="DX161" s="841"/>
      <c r="DY161" s="841"/>
      <c r="DZ161" s="841"/>
      <c r="EA161" s="841"/>
      <c r="EB161" s="841"/>
      <c r="EC161" s="841"/>
      <c r="ED161" s="841"/>
      <c r="EE161" s="841"/>
      <c r="EF161" s="841"/>
      <c r="EG161" s="841"/>
      <c r="EH161" s="841"/>
      <c r="EI161" s="841"/>
      <c r="EJ161" s="841"/>
      <c r="EK161" s="841"/>
      <c r="EL161" s="841"/>
      <c r="EM161" s="841"/>
      <c r="EN161" s="841"/>
      <c r="EO161" s="841"/>
      <c r="EP161" s="841"/>
      <c r="EQ161" s="841"/>
      <c r="ER161" s="841"/>
      <c r="ES161" s="841"/>
      <c r="ET161" s="841"/>
      <c r="EU161" s="841"/>
      <c r="EV161" s="841"/>
      <c r="EW161" s="841"/>
      <c r="EX161" s="841"/>
      <c r="EY161" s="841"/>
      <c r="EZ161" s="841"/>
      <c r="FA161" s="841"/>
      <c r="FB161" s="841"/>
      <c r="FC161" s="841"/>
      <c r="FD161" s="841"/>
      <c r="FE161" s="841"/>
      <c r="FF161" s="841"/>
      <c r="FG161" s="841"/>
      <c r="FH161" s="841"/>
      <c r="FI161" s="841"/>
      <c r="FJ161" s="841"/>
      <c r="FK161" s="841"/>
      <c r="FL161" s="841"/>
      <c r="FM161" s="841"/>
      <c r="FN161" s="841"/>
      <c r="FO161" s="841"/>
      <c r="FP161" s="841"/>
      <c r="FQ161" s="841"/>
      <c r="FR161" s="841"/>
      <c r="FS161" s="841"/>
      <c r="FT161" s="841"/>
      <c r="FU161" s="841"/>
      <c r="FV161" s="841"/>
      <c r="FW161" s="841"/>
      <c r="FX161" s="841"/>
      <c r="FY161" s="841"/>
      <c r="FZ161" s="841"/>
      <c r="GA161" s="841"/>
      <c r="GB161" s="841"/>
      <c r="GC161" s="841"/>
      <c r="GD161" s="841"/>
      <c r="GE161" s="841"/>
      <c r="GF161" s="841"/>
      <c r="GG161" s="841"/>
      <c r="GH161" s="841"/>
      <c r="GI161" s="841"/>
      <c r="GJ161" s="841"/>
      <c r="GK161" s="841"/>
      <c r="GL161" s="841"/>
      <c r="GM161" s="841"/>
      <c r="GN161" s="841"/>
      <c r="GO161" s="841"/>
      <c r="GP161" s="841"/>
      <c r="GQ161" s="841"/>
      <c r="GR161" s="841"/>
      <c r="GS161" s="841"/>
      <c r="GT161" s="841"/>
      <c r="GU161" s="841"/>
      <c r="GV161" s="841"/>
      <c r="GW161" s="841"/>
      <c r="GX161" s="841"/>
      <c r="GY161" s="841"/>
      <c r="GZ161" s="841"/>
      <c r="HA161" s="841"/>
      <c r="HB161" s="841"/>
      <c r="HC161" s="841"/>
      <c r="HD161" s="841"/>
      <c r="HE161" s="841"/>
      <c r="HF161" s="841"/>
      <c r="HG161" s="841"/>
      <c r="HH161" s="841"/>
      <c r="HI161" s="841"/>
      <c r="HJ161" s="841"/>
      <c r="HK161" s="841"/>
      <c r="HL161" s="841"/>
      <c r="HM161" s="841"/>
      <c r="HN161" s="841"/>
      <c r="HO161" s="841"/>
    </row>
    <row r="162" spans="1:223" ht="21" hidden="1" thickBot="1">
      <c r="B162" s="870"/>
      <c r="D162" s="870"/>
      <c r="E162" s="868" t="e">
        <f>IF(OR(D162=$CH$48,D162=#REF!,D162=$CH$54),1,0)</f>
        <v>#REF!</v>
      </c>
      <c r="F162" s="870"/>
      <c r="H162" s="1512"/>
      <c r="J162" s="1512"/>
      <c r="L162" s="1512"/>
      <c r="N162" s="1346">
        <f>IF(SUM(H162+J162)&gt;4,1,0)</f>
        <v>0</v>
      </c>
      <c r="O162" s="1325">
        <f>IF(D161="CP_IP",16,20000000)</f>
        <v>20000000</v>
      </c>
      <c r="P162" s="870"/>
      <c r="R162" s="870"/>
      <c r="T162" s="870"/>
      <c r="V162" s="870"/>
      <c r="X162" s="884">
        <f>IF(ISBLANK(D162),0,VLOOKUP(D162,Calculos_cuotas!$A$105:$B$129,2,FALSE))+IF(OR(ISBLANK(F162),F162="No disponible"),0,VLOOKUP(F162,Calculos_cuotas!$C$105:$D$108,2,FALSE))+IF(ISBLANK(P162),0,P162*Calculos_cuotas!$F$106)+IF(ISBLANK(R162),0,R162*Calculos_cuotas!$F$114)+IF(ISBLANK(T162),0,T162*Calculos_cuotas!$F$109)+IF(ISBLANK(V162),0,V162*Calculos_cuotas!$F$108)+N162*Calculos_cuotas!$F$121+IF(ISBLANK(H162),0,H162*Calculos_cuotas!$F$119)+IF(ISBLANK(J162),0,J162*Calculos_cuotas!$F$118)+IF(ISBLANK(L162),0,L162*Calculos_cuotas!$F$117)</f>
        <v>0</v>
      </c>
      <c r="Z162" s="2021">
        <f t="shared" si="4"/>
        <v>0</v>
      </c>
      <c r="DS162" s="841"/>
      <c r="DT162" s="841"/>
      <c r="DU162" s="841"/>
      <c r="DV162" s="841"/>
      <c r="DW162" s="841"/>
      <c r="DX162" s="841"/>
      <c r="DY162" s="841"/>
      <c r="DZ162" s="841"/>
      <c r="EA162" s="841"/>
      <c r="EB162" s="841"/>
      <c r="EC162" s="841"/>
      <c r="ED162" s="841"/>
      <c r="EE162" s="841"/>
      <c r="EF162" s="841"/>
      <c r="EG162" s="841"/>
      <c r="EH162" s="841"/>
      <c r="EI162" s="841"/>
      <c r="EJ162" s="841"/>
      <c r="EK162" s="841"/>
      <c r="EL162" s="841"/>
      <c r="EM162" s="841"/>
      <c r="EN162" s="841"/>
      <c r="EO162" s="841"/>
      <c r="EP162" s="841"/>
      <c r="EQ162" s="841"/>
      <c r="ER162" s="841"/>
      <c r="ES162" s="841"/>
      <c r="ET162" s="841"/>
      <c r="EU162" s="841"/>
      <c r="EV162" s="841"/>
      <c r="EW162" s="841"/>
      <c r="EX162" s="841"/>
      <c r="EY162" s="841"/>
      <c r="EZ162" s="841"/>
      <c r="FA162" s="841"/>
      <c r="FB162" s="841"/>
      <c r="FC162" s="841"/>
      <c r="FD162" s="841"/>
      <c r="FE162" s="841"/>
      <c r="FF162" s="841"/>
      <c r="FG162" s="841"/>
      <c r="FH162" s="841"/>
      <c r="FI162" s="841"/>
      <c r="FJ162" s="841"/>
      <c r="FK162" s="841"/>
      <c r="FL162" s="841"/>
      <c r="FM162" s="841"/>
      <c r="FN162" s="841"/>
      <c r="FO162" s="841"/>
      <c r="FP162" s="841"/>
      <c r="FQ162" s="841"/>
      <c r="FR162" s="841"/>
      <c r="FS162" s="841"/>
      <c r="FT162" s="841"/>
      <c r="FU162" s="841"/>
      <c r="FV162" s="841"/>
      <c r="FW162" s="841"/>
      <c r="FX162" s="841"/>
      <c r="FY162" s="841"/>
      <c r="FZ162" s="841"/>
      <c r="GA162" s="841"/>
      <c r="GB162" s="841"/>
      <c r="GC162" s="841"/>
      <c r="GD162" s="841"/>
      <c r="GE162" s="841"/>
      <c r="GF162" s="841"/>
      <c r="GG162" s="841"/>
      <c r="GH162" s="841"/>
      <c r="GI162" s="841"/>
      <c r="GJ162" s="841"/>
      <c r="GK162" s="841"/>
      <c r="GL162" s="841"/>
      <c r="GM162" s="841"/>
      <c r="GN162" s="841"/>
      <c r="GO162" s="841"/>
      <c r="GP162" s="841"/>
      <c r="GQ162" s="841"/>
      <c r="GR162" s="841"/>
      <c r="GS162" s="841"/>
      <c r="GT162" s="841"/>
      <c r="GU162" s="841"/>
      <c r="GV162" s="841"/>
      <c r="GW162" s="841"/>
      <c r="GX162" s="841"/>
      <c r="GY162" s="841"/>
      <c r="GZ162" s="841"/>
      <c r="HA162" s="841"/>
      <c r="HB162" s="841"/>
      <c r="HC162" s="841"/>
      <c r="HD162" s="841"/>
      <c r="HE162" s="841"/>
      <c r="HF162" s="841"/>
      <c r="HG162" s="841"/>
      <c r="HH162" s="841"/>
      <c r="HI162" s="841"/>
      <c r="HJ162" s="841"/>
      <c r="HK162" s="841"/>
      <c r="HL162" s="841"/>
      <c r="HM162" s="841"/>
      <c r="HN162" s="841"/>
      <c r="HO162" s="841"/>
    </row>
    <row r="163" spans="1:223" ht="12" hidden="1" customHeight="1" thickTop="1">
      <c r="B163" s="1325"/>
      <c r="C163" s="1325"/>
      <c r="D163" s="1325" t="str">
        <f>IF((IFERROR(FIND("IP",D164),"CP_Voz"))&lt;&gt;"CP_Voz","CP_IP","CP_Voz")</f>
        <v>CP_Voz</v>
      </c>
      <c r="E163" s="1325"/>
      <c r="F163" s="1345"/>
      <c r="G163" s="1345"/>
      <c r="H163" s="1345"/>
      <c r="I163" s="1345"/>
      <c r="J163" s="1345"/>
      <c r="K163" s="1345"/>
      <c r="L163" s="1345"/>
      <c r="M163" s="1345"/>
      <c r="N163" s="1345"/>
      <c r="O163" s="1325"/>
      <c r="P163" s="1345">
        <f>IF(SUM(Calculos_cuotas!K95:N95,Calculos_cuotas!R95)&gt;0,0,1)</f>
        <v>1</v>
      </c>
      <c r="Z163" s="2021"/>
      <c r="DS163" s="841"/>
      <c r="DT163" s="841"/>
      <c r="DU163" s="841"/>
      <c r="DV163" s="841"/>
      <c r="DW163" s="841"/>
      <c r="DX163" s="841"/>
      <c r="DY163" s="841"/>
      <c r="DZ163" s="841"/>
      <c r="EA163" s="841"/>
      <c r="EB163" s="841"/>
      <c r="EC163" s="841"/>
      <c r="ED163" s="841"/>
      <c r="EE163" s="841"/>
      <c r="EF163" s="841"/>
      <c r="EG163" s="841"/>
      <c r="EH163" s="841"/>
      <c r="EI163" s="841"/>
      <c r="EJ163" s="841"/>
      <c r="EK163" s="841"/>
      <c r="EL163" s="841"/>
      <c r="EM163" s="841"/>
      <c r="EN163" s="841"/>
      <c r="EO163" s="841"/>
      <c r="EP163" s="841"/>
      <c r="EQ163" s="841"/>
      <c r="ER163" s="841"/>
      <c r="ES163" s="841"/>
      <c r="ET163" s="841"/>
      <c r="EU163" s="841"/>
      <c r="EV163" s="841"/>
      <c r="EW163" s="841"/>
      <c r="EX163" s="841"/>
      <c r="EY163" s="841"/>
      <c r="EZ163" s="841"/>
      <c r="FA163" s="841"/>
      <c r="FB163" s="841"/>
      <c r="FC163" s="841"/>
      <c r="FD163" s="841"/>
      <c r="FE163" s="841"/>
      <c r="FF163" s="841"/>
      <c r="FG163" s="841"/>
      <c r="FH163" s="841"/>
      <c r="FI163" s="841"/>
      <c r="FJ163" s="841"/>
      <c r="FK163" s="841"/>
      <c r="FL163" s="841"/>
      <c r="FM163" s="841"/>
      <c r="FN163" s="841"/>
      <c r="FO163" s="841"/>
      <c r="FP163" s="841"/>
      <c r="FQ163" s="841"/>
      <c r="FR163" s="841"/>
      <c r="FS163" s="841"/>
      <c r="FT163" s="841"/>
      <c r="FU163" s="841"/>
      <c r="FV163" s="841"/>
      <c r="FW163" s="841"/>
      <c r="FX163" s="841"/>
      <c r="FY163" s="841"/>
      <c r="FZ163" s="841"/>
      <c r="GA163" s="841"/>
      <c r="GB163" s="841"/>
      <c r="GC163" s="841"/>
      <c r="GD163" s="841"/>
      <c r="GE163" s="841"/>
      <c r="GF163" s="841"/>
      <c r="GG163" s="841"/>
      <c r="GH163" s="841"/>
      <c r="GI163" s="841"/>
      <c r="GJ163" s="841"/>
      <c r="GK163" s="841"/>
      <c r="GL163" s="841"/>
      <c r="GM163" s="841"/>
      <c r="GN163" s="841"/>
      <c r="GO163" s="841"/>
      <c r="GP163" s="841"/>
      <c r="GQ163" s="841"/>
      <c r="GR163" s="841"/>
      <c r="GS163" s="841"/>
      <c r="GT163" s="841"/>
      <c r="GU163" s="841"/>
      <c r="GV163" s="841"/>
      <c r="GW163" s="841"/>
      <c r="GX163" s="841"/>
      <c r="GY163" s="841"/>
      <c r="GZ163" s="841"/>
      <c r="HA163" s="841"/>
      <c r="HB163" s="841"/>
      <c r="HC163" s="841"/>
      <c r="HD163" s="841"/>
      <c r="HE163" s="841"/>
      <c r="HF163" s="841"/>
      <c r="HG163" s="841"/>
      <c r="HH163" s="841"/>
      <c r="HI163" s="841"/>
      <c r="HJ163" s="841"/>
      <c r="HK163" s="841"/>
      <c r="HL163" s="841"/>
      <c r="HM163" s="841"/>
      <c r="HN163" s="841"/>
      <c r="HO163" s="841"/>
    </row>
    <row r="164" spans="1:223" ht="21" hidden="1" thickBot="1">
      <c r="B164" s="870"/>
      <c r="D164" s="870"/>
      <c r="E164" s="868" t="e">
        <f>IF(OR(D164=$CH$48,D164=#REF!,D164=$CH$54),1,0)</f>
        <v>#REF!</v>
      </c>
      <c r="F164" s="870"/>
      <c r="H164" s="1512"/>
      <c r="J164" s="1512"/>
      <c r="L164" s="1512"/>
      <c r="N164" s="1346">
        <f>IF(SUM(H164+J164)&gt;4,1,0)</f>
        <v>0</v>
      </c>
      <c r="O164" s="1325">
        <f>IF(D163="CP_IP",16,20000000)</f>
        <v>20000000</v>
      </c>
      <c r="P164" s="870"/>
      <c r="R164" s="870"/>
      <c r="T164" s="870"/>
      <c r="V164" s="870"/>
      <c r="X164" s="884">
        <f>IF(ISBLANK(D164),0,VLOOKUP(D164,Calculos_cuotas!$A$105:$B$129,2,FALSE))+IF(OR(ISBLANK(F164),F164="No disponible"),0,VLOOKUP(F164,Calculos_cuotas!$C$105:$D$108,2,FALSE))+IF(ISBLANK(P164),0,P164*Calculos_cuotas!$F$106)+IF(ISBLANK(R164),0,R164*Calculos_cuotas!$F$114)+IF(ISBLANK(T164),0,T164*Calculos_cuotas!$F$109)+IF(ISBLANK(V164),0,V164*Calculos_cuotas!$F$108)+N164*Calculos_cuotas!$F$121+IF(ISBLANK(H164),0,H164*Calculos_cuotas!$F$119)+IF(ISBLANK(J164),0,J164*Calculos_cuotas!$F$118)+IF(ISBLANK(L164),0,L164*Calculos_cuotas!$F$117)</f>
        <v>0</v>
      </c>
      <c r="Z164" s="2021">
        <f t="shared" si="4"/>
        <v>0</v>
      </c>
      <c r="DS164" s="841"/>
      <c r="DT164" s="841"/>
      <c r="DU164" s="841"/>
      <c r="DV164" s="841"/>
      <c r="DW164" s="841"/>
      <c r="DX164" s="841"/>
      <c r="DY164" s="841"/>
      <c r="DZ164" s="841"/>
      <c r="EA164" s="841"/>
      <c r="EB164" s="841"/>
      <c r="EC164" s="841"/>
      <c r="ED164" s="841"/>
      <c r="EE164" s="841"/>
      <c r="EF164" s="841"/>
      <c r="EG164" s="841"/>
      <c r="EH164" s="841"/>
      <c r="EI164" s="841"/>
      <c r="EJ164" s="841"/>
      <c r="EK164" s="841"/>
      <c r="EL164" s="841"/>
      <c r="EM164" s="841"/>
      <c r="EN164" s="841"/>
      <c r="EO164" s="841"/>
      <c r="EP164" s="841"/>
      <c r="EQ164" s="841"/>
      <c r="ER164" s="841"/>
      <c r="ES164" s="841"/>
      <c r="ET164" s="841"/>
      <c r="EU164" s="841"/>
      <c r="EV164" s="841"/>
      <c r="EW164" s="841"/>
      <c r="EX164" s="841"/>
      <c r="EY164" s="841"/>
      <c r="EZ164" s="841"/>
      <c r="FA164" s="841"/>
      <c r="FB164" s="841"/>
      <c r="FC164" s="841"/>
      <c r="FD164" s="841"/>
      <c r="FE164" s="841"/>
      <c r="FF164" s="841"/>
      <c r="FG164" s="841"/>
      <c r="FH164" s="841"/>
      <c r="FI164" s="841"/>
      <c r="FJ164" s="841"/>
      <c r="FK164" s="841"/>
      <c r="FL164" s="841"/>
      <c r="FM164" s="841"/>
      <c r="FN164" s="841"/>
      <c r="FO164" s="841"/>
      <c r="FP164" s="841"/>
      <c r="FQ164" s="841"/>
      <c r="FR164" s="841"/>
      <c r="FS164" s="841"/>
      <c r="FT164" s="841"/>
      <c r="FU164" s="841"/>
      <c r="FV164" s="841"/>
      <c r="FW164" s="841"/>
      <c r="FX164" s="841"/>
      <c r="FY164" s="841"/>
      <c r="FZ164" s="841"/>
      <c r="GA164" s="841"/>
      <c r="GB164" s="841"/>
      <c r="GC164" s="841"/>
      <c r="GD164" s="841"/>
      <c r="GE164" s="841"/>
      <c r="GF164" s="841"/>
      <c r="GG164" s="841"/>
      <c r="GH164" s="841"/>
      <c r="GI164" s="841"/>
      <c r="GJ164" s="841"/>
      <c r="GK164" s="841"/>
      <c r="GL164" s="841"/>
      <c r="GM164" s="841"/>
      <c r="GN164" s="841"/>
      <c r="GO164" s="841"/>
      <c r="GP164" s="841"/>
      <c r="GQ164" s="841"/>
      <c r="GR164" s="841"/>
      <c r="GS164" s="841"/>
      <c r="GT164" s="841"/>
      <c r="GU164" s="841"/>
      <c r="GV164" s="841"/>
      <c r="GW164" s="841"/>
      <c r="GX164" s="841"/>
      <c r="GY164" s="841"/>
      <c r="GZ164" s="841"/>
      <c r="HA164" s="841"/>
      <c r="HB164" s="841"/>
      <c r="HC164" s="841"/>
      <c r="HD164" s="841"/>
      <c r="HE164" s="841"/>
      <c r="HF164" s="841"/>
      <c r="HG164" s="841"/>
      <c r="HH164" s="841"/>
      <c r="HI164" s="841"/>
      <c r="HJ164" s="841"/>
      <c r="HK164" s="841"/>
      <c r="HL164" s="841"/>
      <c r="HM164" s="841"/>
      <c r="HN164" s="841"/>
      <c r="HO164" s="841"/>
    </row>
    <row r="165" spans="1:223" ht="12" hidden="1" customHeight="1" thickTop="1">
      <c r="B165" s="1325"/>
      <c r="C165" s="1325"/>
      <c r="D165" s="1325" t="str">
        <f>IF((IFERROR(FIND("IP",D166),"CP_Voz"))&lt;&gt;"CP_Voz","CP_IP","CP_Voz")</f>
        <v>CP_Voz</v>
      </c>
      <c r="E165" s="1325"/>
      <c r="F165" s="1345"/>
      <c r="G165" s="1345"/>
      <c r="H165" s="1345"/>
      <c r="I165" s="1345"/>
      <c r="J165" s="1345"/>
      <c r="K165" s="1345"/>
      <c r="L165" s="1345"/>
      <c r="M165" s="1345"/>
      <c r="N165" s="1345"/>
      <c r="O165" s="1325"/>
      <c r="P165" s="1345">
        <f>IF(SUM(Calculos_cuotas!K97:N97,Calculos_cuotas!R97)&gt;0,0,1)</f>
        <v>1</v>
      </c>
      <c r="Z165" s="2021"/>
      <c r="DS165" s="841"/>
      <c r="DT165" s="841"/>
      <c r="DU165" s="841"/>
      <c r="DV165" s="841"/>
      <c r="DW165" s="841"/>
      <c r="DX165" s="841"/>
      <c r="DY165" s="841"/>
      <c r="DZ165" s="841"/>
      <c r="EA165" s="841"/>
      <c r="EB165" s="841"/>
      <c r="EC165" s="841"/>
      <c r="ED165" s="841"/>
      <c r="EE165" s="841"/>
      <c r="EF165" s="841"/>
      <c r="EG165" s="841"/>
      <c r="EH165" s="841"/>
      <c r="EI165" s="841"/>
      <c r="EJ165" s="841"/>
      <c r="EK165" s="841"/>
      <c r="EL165" s="841"/>
      <c r="EM165" s="841"/>
      <c r="EN165" s="841"/>
      <c r="EO165" s="841"/>
      <c r="EP165" s="841"/>
      <c r="EQ165" s="841"/>
      <c r="ER165" s="841"/>
      <c r="ES165" s="841"/>
      <c r="ET165" s="841"/>
      <c r="EU165" s="841"/>
      <c r="EV165" s="841"/>
      <c r="EW165" s="841"/>
      <c r="EX165" s="841"/>
      <c r="EY165" s="841"/>
      <c r="EZ165" s="841"/>
      <c r="FA165" s="841"/>
      <c r="FB165" s="841"/>
      <c r="FC165" s="841"/>
      <c r="FD165" s="841"/>
      <c r="FE165" s="841"/>
      <c r="FF165" s="841"/>
      <c r="FG165" s="841"/>
      <c r="FH165" s="841"/>
      <c r="FI165" s="841"/>
      <c r="FJ165" s="841"/>
      <c r="FK165" s="841"/>
      <c r="FL165" s="841"/>
      <c r="FM165" s="841"/>
      <c r="FN165" s="841"/>
      <c r="FO165" s="841"/>
      <c r="FP165" s="841"/>
      <c r="FQ165" s="841"/>
      <c r="FR165" s="841"/>
      <c r="FS165" s="841"/>
      <c r="FT165" s="841"/>
      <c r="FU165" s="841"/>
      <c r="FV165" s="841"/>
      <c r="FW165" s="841"/>
      <c r="FX165" s="841"/>
      <c r="FY165" s="841"/>
      <c r="FZ165" s="841"/>
      <c r="GA165" s="841"/>
      <c r="GB165" s="841"/>
      <c r="GC165" s="841"/>
      <c r="GD165" s="841"/>
      <c r="GE165" s="841"/>
      <c r="GF165" s="841"/>
      <c r="GG165" s="841"/>
      <c r="GH165" s="841"/>
      <c r="GI165" s="841"/>
      <c r="GJ165" s="841"/>
      <c r="GK165" s="841"/>
      <c r="GL165" s="841"/>
      <c r="GM165" s="841"/>
      <c r="GN165" s="841"/>
      <c r="GO165" s="841"/>
      <c r="GP165" s="841"/>
      <c r="GQ165" s="841"/>
      <c r="GR165" s="841"/>
      <c r="GS165" s="841"/>
      <c r="GT165" s="841"/>
      <c r="GU165" s="841"/>
      <c r="GV165" s="841"/>
      <c r="GW165" s="841"/>
      <c r="GX165" s="841"/>
      <c r="GY165" s="841"/>
      <c r="GZ165" s="841"/>
      <c r="HA165" s="841"/>
      <c r="HB165" s="841"/>
      <c r="HC165" s="841"/>
      <c r="HD165" s="841"/>
      <c r="HE165" s="841"/>
      <c r="HF165" s="841"/>
      <c r="HG165" s="841"/>
      <c r="HH165" s="841"/>
      <c r="HI165" s="841"/>
      <c r="HJ165" s="841"/>
      <c r="HK165" s="841"/>
      <c r="HL165" s="841"/>
      <c r="HM165" s="841"/>
      <c r="HN165" s="841"/>
      <c r="HO165" s="841"/>
    </row>
    <row r="166" spans="1:223" ht="21" hidden="1" thickBot="1">
      <c r="B166" s="870"/>
      <c r="D166" s="870"/>
      <c r="E166" s="868" t="e">
        <f>IF(OR(D166=$CH$48,D166=#REF!,D166=$CH$54),1,0)</f>
        <v>#REF!</v>
      </c>
      <c r="F166" s="870"/>
      <c r="H166" s="1512"/>
      <c r="J166" s="1512"/>
      <c r="L166" s="1512"/>
      <c r="N166" s="1346">
        <f>IF(SUM(H166+J166)&gt;4,1,0)</f>
        <v>0</v>
      </c>
      <c r="O166" s="1325">
        <f>IF(D165="CP_IP",16,20000000)</f>
        <v>20000000</v>
      </c>
      <c r="P166" s="870"/>
      <c r="R166" s="870"/>
      <c r="T166" s="870"/>
      <c r="V166" s="870"/>
      <c r="X166" s="884">
        <f>IF(ISBLANK(D166),0,VLOOKUP(D166,Calculos_cuotas!$A$105:$B$129,2,FALSE))+IF(OR(ISBLANK(F166),F166="No disponible"),0,VLOOKUP(F166,Calculos_cuotas!$C$105:$D$108,2,FALSE))+IF(ISBLANK(P166),0,P166*Calculos_cuotas!$F$106)+IF(ISBLANK(R166),0,R166*Calculos_cuotas!$F$114)+IF(ISBLANK(T166),0,T166*Calculos_cuotas!$F$109)+IF(ISBLANK(V166),0,V166*Calculos_cuotas!$F$108)+N166*Calculos_cuotas!$F$121+IF(ISBLANK(H166),0,H166*Calculos_cuotas!$F$119)+IF(ISBLANK(J166),0,J166*Calculos_cuotas!$F$118)+IF(ISBLANK(L166),0,L166*Calculos_cuotas!$F$117)</f>
        <v>0</v>
      </c>
      <c r="Z166" s="2021">
        <f t="shared" si="4"/>
        <v>0</v>
      </c>
      <c r="DS166" s="841"/>
      <c r="DT166" s="841"/>
      <c r="DU166" s="841"/>
      <c r="DV166" s="841"/>
      <c r="DW166" s="841"/>
      <c r="DX166" s="841"/>
      <c r="DY166" s="841"/>
      <c r="DZ166" s="841"/>
      <c r="EA166" s="841"/>
      <c r="EB166" s="841"/>
      <c r="EC166" s="841"/>
      <c r="ED166" s="841"/>
      <c r="EE166" s="841"/>
      <c r="EF166" s="841"/>
      <c r="EG166" s="841"/>
      <c r="EH166" s="841"/>
      <c r="EI166" s="841"/>
      <c r="EJ166" s="841"/>
      <c r="EK166" s="841"/>
      <c r="EL166" s="841"/>
      <c r="EM166" s="841"/>
      <c r="EN166" s="841"/>
      <c r="EO166" s="841"/>
      <c r="EP166" s="841"/>
      <c r="EQ166" s="841"/>
      <c r="ER166" s="841"/>
      <c r="ES166" s="841"/>
      <c r="ET166" s="841"/>
      <c r="EU166" s="841"/>
      <c r="EV166" s="841"/>
      <c r="EW166" s="841"/>
      <c r="EX166" s="841"/>
      <c r="EY166" s="841"/>
      <c r="EZ166" s="841"/>
      <c r="FA166" s="841"/>
      <c r="FB166" s="841"/>
      <c r="FC166" s="841"/>
      <c r="FD166" s="841"/>
      <c r="FE166" s="841"/>
      <c r="FF166" s="841"/>
      <c r="FG166" s="841"/>
      <c r="FH166" s="841"/>
      <c r="FI166" s="841"/>
      <c r="FJ166" s="841"/>
      <c r="FK166" s="841"/>
      <c r="FL166" s="841"/>
      <c r="FM166" s="841"/>
      <c r="FN166" s="841"/>
      <c r="FO166" s="841"/>
      <c r="FP166" s="841"/>
      <c r="FQ166" s="841"/>
      <c r="FR166" s="841"/>
      <c r="FS166" s="841"/>
      <c r="FT166" s="841"/>
      <c r="FU166" s="841"/>
      <c r="FV166" s="841"/>
      <c r="FW166" s="841"/>
      <c r="FX166" s="841"/>
      <c r="FY166" s="841"/>
      <c r="FZ166" s="841"/>
      <c r="GA166" s="841"/>
      <c r="GB166" s="841"/>
      <c r="GC166" s="841"/>
      <c r="GD166" s="841"/>
      <c r="GE166" s="841"/>
      <c r="GF166" s="841"/>
      <c r="GG166" s="841"/>
      <c r="GH166" s="841"/>
      <c r="GI166" s="841"/>
      <c r="GJ166" s="841"/>
      <c r="GK166" s="841"/>
      <c r="GL166" s="841"/>
      <c r="GM166" s="841"/>
      <c r="GN166" s="841"/>
      <c r="GO166" s="841"/>
      <c r="GP166" s="841"/>
      <c r="GQ166" s="841"/>
      <c r="GR166" s="841"/>
      <c r="GS166" s="841"/>
      <c r="GT166" s="841"/>
      <c r="GU166" s="841"/>
      <c r="GV166" s="841"/>
      <c r="GW166" s="841"/>
      <c r="GX166" s="841"/>
      <c r="GY166" s="841"/>
      <c r="GZ166" s="841"/>
      <c r="HA166" s="841"/>
      <c r="HB166" s="841"/>
      <c r="HC166" s="841"/>
      <c r="HD166" s="841"/>
      <c r="HE166" s="841"/>
      <c r="HF166" s="841"/>
      <c r="HG166" s="841"/>
      <c r="HH166" s="841"/>
      <c r="HI166" s="841"/>
      <c r="HJ166" s="841"/>
      <c r="HK166" s="841"/>
      <c r="HL166" s="841"/>
      <c r="HM166" s="841"/>
      <c r="HN166" s="841"/>
      <c r="HO166" s="841"/>
    </row>
    <row r="167" spans="1:223" ht="12" customHeight="1" thickBot="1">
      <c r="E167" s="868"/>
      <c r="Z167" s="1218"/>
      <c r="DS167" s="841"/>
      <c r="DT167" s="841"/>
      <c r="DU167" s="841"/>
      <c r="DV167" s="841"/>
      <c r="DW167" s="841"/>
      <c r="DX167" s="841"/>
      <c r="DY167" s="841"/>
      <c r="DZ167" s="841"/>
      <c r="EA167" s="841"/>
      <c r="EB167" s="841"/>
      <c r="EC167" s="841"/>
      <c r="ED167" s="841"/>
      <c r="EE167" s="841"/>
      <c r="EF167" s="841"/>
      <c r="EG167" s="841"/>
      <c r="EH167" s="841"/>
      <c r="EI167" s="841"/>
      <c r="EJ167" s="841"/>
      <c r="EK167" s="841"/>
      <c r="EL167" s="841"/>
      <c r="EM167" s="841"/>
      <c r="EN167" s="841"/>
      <c r="EO167" s="841"/>
      <c r="EP167" s="841"/>
      <c r="EQ167" s="841"/>
      <c r="ER167" s="841"/>
      <c r="ES167" s="841"/>
      <c r="ET167" s="841"/>
      <c r="EU167" s="841"/>
      <c r="EV167" s="841"/>
      <c r="EW167" s="841"/>
      <c r="EX167" s="841"/>
      <c r="EY167" s="841"/>
      <c r="EZ167" s="841"/>
      <c r="FA167" s="841"/>
      <c r="FB167" s="841"/>
      <c r="FC167" s="841"/>
      <c r="FD167" s="841"/>
      <c r="FE167" s="841"/>
      <c r="FF167" s="841"/>
      <c r="FG167" s="841"/>
      <c r="FH167" s="841"/>
      <c r="FI167" s="841"/>
      <c r="FJ167" s="841"/>
      <c r="FK167" s="841"/>
      <c r="FL167" s="841"/>
      <c r="FM167" s="841"/>
      <c r="FN167" s="841"/>
      <c r="FO167" s="841"/>
      <c r="FP167" s="841"/>
      <c r="FQ167" s="841"/>
      <c r="FR167" s="841"/>
      <c r="FS167" s="841"/>
      <c r="FT167" s="841"/>
      <c r="FU167" s="841"/>
      <c r="FV167" s="841"/>
      <c r="FW167" s="841"/>
      <c r="FX167" s="841"/>
      <c r="FY167" s="841"/>
      <c r="FZ167" s="841"/>
      <c r="GA167" s="841"/>
      <c r="GB167" s="841"/>
      <c r="GC167" s="841"/>
      <c r="GD167" s="841"/>
      <c r="GE167" s="841"/>
      <c r="GF167" s="841"/>
      <c r="GG167" s="841"/>
      <c r="GH167" s="841"/>
      <c r="GI167" s="841"/>
      <c r="GJ167" s="841"/>
      <c r="GK167" s="841"/>
      <c r="GL167" s="841"/>
      <c r="GM167" s="841"/>
      <c r="GN167" s="841"/>
      <c r="GO167" s="841"/>
      <c r="GP167" s="841"/>
      <c r="GQ167" s="841"/>
      <c r="GR167" s="841"/>
      <c r="GS167" s="841"/>
      <c r="GT167" s="841"/>
      <c r="GU167" s="841"/>
      <c r="GV167" s="841"/>
      <c r="GW167" s="841"/>
      <c r="GX167" s="841"/>
      <c r="GY167" s="841"/>
      <c r="GZ167" s="841"/>
      <c r="HA167" s="841"/>
      <c r="HB167" s="841"/>
      <c r="HC167" s="841"/>
      <c r="HD167" s="841"/>
      <c r="HE167" s="841"/>
      <c r="HF167" s="841"/>
      <c r="HG167" s="841"/>
      <c r="HH167" s="841"/>
      <c r="HI167" s="841"/>
      <c r="HJ167" s="841"/>
      <c r="HK167" s="841"/>
      <c r="HL167" s="841"/>
      <c r="HM167" s="841"/>
      <c r="HN167" s="841"/>
      <c r="HO167" s="841"/>
    </row>
    <row r="168" spans="1:223" s="841" customFormat="1" ht="65.45" customHeight="1" thickBot="1">
      <c r="A168" s="840"/>
      <c r="B168" s="896"/>
      <c r="C168" s="840"/>
      <c r="D168" s="840"/>
      <c r="E168" s="840"/>
      <c r="F168" s="840"/>
      <c r="G168" s="840"/>
      <c r="H168" s="2168" t="s">
        <v>2030</v>
      </c>
      <c r="I168" s="2169"/>
      <c r="J168" s="2169"/>
      <c r="K168" s="2169"/>
      <c r="L168" s="2169"/>
      <c r="M168" s="2169"/>
      <c r="N168" s="2169"/>
      <c r="O168" s="2169"/>
      <c r="P168" s="2169"/>
      <c r="Q168" s="840"/>
      <c r="R168" s="2159" t="s">
        <v>1014</v>
      </c>
      <c r="S168" s="2160"/>
      <c r="T168" s="2161"/>
      <c r="U168" s="840"/>
      <c r="V168" s="897">
        <f>Calculos_cuotas!AD100</f>
        <v>0</v>
      </c>
      <c r="W168" s="840"/>
      <c r="X168" s="898">
        <f>SUM(X138:X166)-V168</f>
        <v>44.95</v>
      </c>
      <c r="Y168" s="840"/>
      <c r="Z168" s="2022">
        <f>SUM(Z138:Z166)</f>
        <v>0</v>
      </c>
      <c r="AA168" s="1212"/>
      <c r="AB168" s="1212"/>
      <c r="AC168" s="1212"/>
      <c r="AD168" s="1212"/>
      <c r="AE168" s="1212"/>
      <c r="AF168" s="1212"/>
      <c r="AG168" s="1212"/>
      <c r="AH168" s="1212"/>
      <c r="AI168" s="840"/>
      <c r="AJ168" s="840"/>
      <c r="AK168" s="840"/>
      <c r="AL168" s="840"/>
      <c r="AM168" s="840"/>
      <c r="AN168" s="840"/>
      <c r="AO168" s="840"/>
      <c r="AP168" s="840"/>
      <c r="AQ168" s="840"/>
      <c r="AR168" s="840"/>
      <c r="AS168" s="840"/>
      <c r="CD168" s="1489"/>
      <c r="CE168" s="1490"/>
      <c r="CF168" s="1489"/>
      <c r="CG168" s="1489"/>
      <c r="CH168" s="1501"/>
      <c r="CI168" s="1489"/>
      <c r="CJ168" s="1489"/>
      <c r="CK168" s="1489"/>
      <c r="CL168" s="1489"/>
      <c r="CM168" s="1489"/>
      <c r="CN168" s="1489"/>
      <c r="CO168" s="1489"/>
      <c r="CP168" s="1489"/>
      <c r="CQ168" s="1489"/>
      <c r="CR168" s="1489"/>
      <c r="CS168" s="1489"/>
      <c r="CT168" s="1507"/>
      <c r="CU168" s="1507"/>
      <c r="CV168" s="1507"/>
      <c r="CW168" s="1507"/>
      <c r="CX168" s="1507"/>
      <c r="CY168" s="1507"/>
      <c r="CZ168" s="1507"/>
      <c r="DA168" s="1507"/>
      <c r="DB168" s="1507"/>
      <c r="DC168" s="1507"/>
      <c r="DD168" s="1507"/>
    </row>
    <row r="169" spans="1:223" s="841" customFormat="1">
      <c r="A169" s="840"/>
      <c r="B169" s="840"/>
      <c r="C169" s="840"/>
      <c r="D169" s="840"/>
      <c r="E169" s="840"/>
      <c r="F169" s="840"/>
      <c r="G169" s="840"/>
      <c r="H169" s="840"/>
      <c r="I169" s="840"/>
      <c r="J169" s="840"/>
      <c r="K169" s="840"/>
      <c r="L169" s="840"/>
      <c r="M169" s="840"/>
      <c r="N169" s="840"/>
      <c r="O169" s="840"/>
      <c r="P169" s="840"/>
      <c r="Q169" s="840"/>
      <c r="R169" s="840"/>
      <c r="S169" s="840"/>
      <c r="T169" s="840"/>
      <c r="U169" s="840"/>
      <c r="V169" s="840"/>
      <c r="W169" s="840"/>
      <c r="X169" s="840"/>
      <c r="Y169" s="840"/>
      <c r="Z169" s="1212"/>
      <c r="AA169" s="1212"/>
      <c r="AB169" s="1212"/>
      <c r="AC169" s="1212"/>
      <c r="AD169" s="1212"/>
      <c r="AE169" s="1212"/>
      <c r="AF169" s="1212"/>
      <c r="AG169" s="1212"/>
      <c r="AH169" s="1212"/>
      <c r="AI169" s="840"/>
      <c r="AJ169" s="840"/>
      <c r="AK169" s="840"/>
      <c r="AL169" s="840"/>
      <c r="AM169" s="840"/>
      <c r="AN169" s="840"/>
      <c r="AO169" s="840"/>
      <c r="AP169" s="840"/>
      <c r="AQ169" s="840"/>
      <c r="AR169" s="840"/>
      <c r="AS169" s="840"/>
      <c r="CD169" s="1489"/>
      <c r="CE169" s="1490"/>
      <c r="CF169" s="1489"/>
      <c r="CG169" s="1489"/>
      <c r="CH169" s="1501"/>
      <c r="CI169" s="1489"/>
      <c r="CJ169" s="1489"/>
      <c r="CK169" s="1489"/>
      <c r="CL169" s="1489"/>
      <c r="CM169" s="1489"/>
      <c r="CN169" s="1489"/>
      <c r="CO169" s="1489"/>
      <c r="CP169" s="1489"/>
      <c r="CQ169" s="1489"/>
      <c r="CR169" s="1489"/>
      <c r="CS169" s="1489"/>
      <c r="CT169" s="1507"/>
      <c r="CU169" s="1507"/>
      <c r="CV169" s="1507"/>
      <c r="CW169" s="1507"/>
      <c r="CX169" s="1507"/>
      <c r="CY169" s="1507"/>
      <c r="CZ169" s="1507"/>
      <c r="DA169" s="1507"/>
      <c r="DB169" s="1507"/>
      <c r="DC169" s="1507"/>
      <c r="DD169" s="1507"/>
    </row>
    <row r="170" spans="1:223" ht="30">
      <c r="B170" s="2121" t="s">
        <v>1218</v>
      </c>
      <c r="C170" s="2121"/>
      <c r="D170" s="2121"/>
      <c r="E170" s="2121"/>
      <c r="F170" s="2121"/>
      <c r="G170" s="2121"/>
      <c r="H170" s="2121"/>
      <c r="I170" s="2121"/>
      <c r="J170" s="2121"/>
      <c r="K170" s="2121"/>
      <c r="L170" s="2121"/>
      <c r="M170" s="2121"/>
      <c r="N170" s="2121"/>
      <c r="O170" s="2121"/>
      <c r="P170" s="2121"/>
      <c r="Q170" s="2121"/>
      <c r="R170" s="2121"/>
      <c r="S170" s="2121"/>
      <c r="T170" s="2121"/>
      <c r="U170" s="2121"/>
      <c r="V170" s="2121"/>
      <c r="W170" s="2121"/>
      <c r="X170" s="2121"/>
      <c r="Y170" s="2121"/>
      <c r="Z170" s="2121"/>
      <c r="AA170" s="2121"/>
      <c r="AB170" s="2121"/>
      <c r="AC170" s="2121"/>
      <c r="AD170" s="2121"/>
      <c r="AE170" s="2121"/>
      <c r="AF170" s="2121"/>
      <c r="AG170" s="2121"/>
      <c r="AH170" s="2121"/>
      <c r="AI170" s="2121"/>
      <c r="AJ170" s="2121"/>
      <c r="AK170" s="2121"/>
      <c r="AL170" s="2121"/>
      <c r="AM170" s="2121"/>
      <c r="AN170" s="2121"/>
      <c r="AO170" s="2121"/>
      <c r="AP170" s="2121"/>
      <c r="AQ170" s="2121"/>
      <c r="AR170" s="1344"/>
      <c r="DS170" s="841"/>
      <c r="DT170" s="841"/>
      <c r="DU170" s="841"/>
      <c r="DV170" s="841"/>
      <c r="DW170" s="841"/>
      <c r="DX170" s="841"/>
      <c r="DY170" s="841"/>
      <c r="DZ170" s="841"/>
      <c r="EA170" s="841"/>
      <c r="EB170" s="841"/>
      <c r="EC170" s="841"/>
      <c r="ED170" s="841"/>
      <c r="EE170" s="841"/>
      <c r="EF170" s="841"/>
      <c r="EG170" s="841"/>
      <c r="EH170" s="841"/>
      <c r="EI170" s="841"/>
      <c r="EJ170" s="841"/>
      <c r="EK170" s="841"/>
      <c r="EL170" s="841"/>
      <c r="EM170" s="841"/>
      <c r="EN170" s="841"/>
      <c r="EO170" s="841"/>
      <c r="EP170" s="841"/>
      <c r="EQ170" s="841"/>
      <c r="ER170" s="841"/>
      <c r="ES170" s="841"/>
      <c r="ET170" s="841"/>
      <c r="EU170" s="841"/>
      <c r="EV170" s="841"/>
      <c r="EW170" s="841"/>
      <c r="EX170" s="841"/>
      <c r="EY170" s="841"/>
      <c r="EZ170" s="841"/>
      <c r="FA170" s="841"/>
      <c r="FB170" s="841"/>
      <c r="FC170" s="841"/>
      <c r="FD170" s="841"/>
      <c r="FE170" s="841"/>
      <c r="FF170" s="841"/>
      <c r="FG170" s="841"/>
      <c r="FH170" s="841"/>
      <c r="FI170" s="841"/>
      <c r="FJ170" s="841"/>
      <c r="FK170" s="841"/>
      <c r="FL170" s="841"/>
      <c r="FM170" s="841"/>
      <c r="FN170" s="841"/>
      <c r="FO170" s="841"/>
      <c r="FP170" s="841"/>
      <c r="FQ170" s="841"/>
      <c r="FR170" s="841"/>
      <c r="FS170" s="841"/>
      <c r="FT170" s="841"/>
      <c r="FU170" s="841"/>
      <c r="FV170" s="841"/>
      <c r="FW170" s="841"/>
      <c r="FX170" s="841"/>
      <c r="FY170" s="841"/>
      <c r="FZ170" s="841"/>
      <c r="GA170" s="841"/>
      <c r="GB170" s="841"/>
      <c r="GC170" s="841"/>
      <c r="GD170" s="841"/>
      <c r="GE170" s="841"/>
      <c r="GF170" s="841"/>
      <c r="GG170" s="841"/>
      <c r="GH170" s="841"/>
      <c r="GI170" s="841"/>
      <c r="GJ170" s="841"/>
      <c r="GK170" s="841"/>
      <c r="GL170" s="841"/>
      <c r="GM170" s="841"/>
      <c r="GN170" s="841"/>
      <c r="GO170" s="841"/>
      <c r="GP170" s="841"/>
      <c r="GQ170" s="841"/>
      <c r="GR170" s="841"/>
      <c r="GS170" s="841"/>
      <c r="GT170" s="841"/>
      <c r="GU170" s="841"/>
      <c r="GV170" s="841"/>
      <c r="GW170" s="841"/>
      <c r="GX170" s="841"/>
      <c r="GY170" s="841"/>
      <c r="GZ170" s="841"/>
      <c r="HA170" s="841"/>
      <c r="HB170" s="841"/>
      <c r="HC170" s="841"/>
      <c r="HD170" s="841"/>
      <c r="HE170" s="841"/>
      <c r="HF170" s="841"/>
      <c r="HG170" s="841"/>
      <c r="HH170" s="841"/>
      <c r="HI170" s="841"/>
      <c r="HJ170" s="841"/>
      <c r="HK170" s="841"/>
      <c r="HL170" s="841"/>
      <c r="HM170" s="841"/>
      <c r="HN170" s="841"/>
      <c r="HO170" s="841"/>
    </row>
    <row r="171" spans="1:223" s="841" customFormat="1">
      <c r="A171" s="840"/>
      <c r="B171" s="840"/>
      <c r="C171" s="840"/>
      <c r="D171" s="1485"/>
      <c r="E171" s="840"/>
      <c r="F171" s="840"/>
      <c r="G171" s="840"/>
      <c r="H171" s="840"/>
      <c r="I171" s="840"/>
      <c r="J171" s="840"/>
      <c r="K171" s="840"/>
      <c r="L171" s="840"/>
      <c r="M171" s="840"/>
      <c r="N171" s="840"/>
      <c r="O171" s="840"/>
      <c r="P171" s="840"/>
      <c r="Q171" s="840"/>
      <c r="R171" s="840"/>
      <c r="S171" s="840"/>
      <c r="T171" s="840"/>
      <c r="U171" s="840"/>
      <c r="V171" s="840"/>
      <c r="W171" s="840"/>
      <c r="X171" s="840"/>
      <c r="Y171" s="840"/>
      <c r="Z171" s="1212"/>
      <c r="AA171" s="1212"/>
      <c r="AB171" s="1212"/>
      <c r="AC171" s="1212"/>
      <c r="AD171" s="1212"/>
      <c r="AE171" s="1212"/>
      <c r="AF171" s="1212"/>
      <c r="AG171" s="1212"/>
      <c r="AH171" s="1212"/>
      <c r="AI171" s="840"/>
      <c r="AJ171" s="840"/>
      <c r="AK171" s="840"/>
      <c r="AL171" s="840"/>
      <c r="AM171" s="840"/>
      <c r="AN171" s="840"/>
      <c r="AO171" s="840"/>
      <c r="AP171" s="840"/>
      <c r="AQ171" s="840"/>
      <c r="AR171" s="840"/>
      <c r="AS171" s="840"/>
      <c r="CD171" s="1489"/>
      <c r="CE171" s="1490"/>
      <c r="CF171" s="1489"/>
      <c r="CG171" s="1489"/>
      <c r="CH171" s="1501"/>
      <c r="CI171" s="1489"/>
      <c r="CJ171" s="1489"/>
      <c r="CK171" s="1489"/>
      <c r="CL171" s="1489"/>
      <c r="CM171" s="1489"/>
      <c r="CN171" s="1489"/>
      <c r="CO171" s="1489"/>
      <c r="CP171" s="1489"/>
      <c r="CQ171" s="1489"/>
      <c r="CR171" s="1489"/>
      <c r="CS171" s="1489"/>
      <c r="CT171" s="1507"/>
      <c r="CU171" s="1507"/>
      <c r="CV171" s="1507"/>
      <c r="CW171" s="1507"/>
      <c r="CX171" s="1507"/>
      <c r="CY171" s="1507"/>
      <c r="CZ171" s="1507"/>
      <c r="DA171" s="1507"/>
      <c r="DB171" s="1507"/>
      <c r="DC171" s="1507"/>
      <c r="DD171" s="1507"/>
    </row>
    <row r="172" spans="1:223" s="841" customFormat="1" ht="47.25" customHeight="1" thickBot="1">
      <c r="A172" s="840"/>
      <c r="B172" s="840"/>
      <c r="C172" s="840"/>
      <c r="D172" s="840"/>
      <c r="E172" s="840"/>
      <c r="F172" s="840"/>
      <c r="G172" s="840"/>
      <c r="H172" s="840"/>
      <c r="I172" s="840"/>
      <c r="J172" s="840"/>
      <c r="K172" s="840"/>
      <c r="L172" s="840"/>
      <c r="M172" s="840"/>
      <c r="N172" s="840"/>
      <c r="O172" s="840"/>
      <c r="P172" s="840"/>
      <c r="Q172" s="840"/>
      <c r="R172" s="840"/>
      <c r="S172" s="840"/>
      <c r="T172" s="840"/>
      <c r="U172" s="840"/>
      <c r="V172" s="840"/>
      <c r="W172" s="840"/>
      <c r="X172" s="840"/>
      <c r="Y172" s="840"/>
      <c r="Z172" s="1212"/>
      <c r="AA172" s="1212"/>
      <c r="AB172" s="1212"/>
      <c r="AC172" s="1212"/>
      <c r="AD172" s="1212"/>
      <c r="AE172" s="1212"/>
      <c r="AF172" s="1212"/>
      <c r="AG172" s="1212"/>
      <c r="AH172" s="1212"/>
      <c r="AI172" s="840"/>
      <c r="AJ172" s="840"/>
      <c r="AK172" s="840"/>
      <c r="AL172" s="840"/>
      <c r="AM172" s="840"/>
      <c r="AN172" s="840"/>
      <c r="AO172" s="840"/>
      <c r="AP172" s="840"/>
      <c r="AQ172" s="840"/>
      <c r="AR172" s="840"/>
      <c r="AS172" s="840"/>
      <c r="CD172" s="1489"/>
      <c r="CE172" s="1490"/>
      <c r="CF172" s="1489"/>
      <c r="CG172" s="1489"/>
      <c r="CH172" s="1501"/>
      <c r="CI172" s="1489"/>
      <c r="CJ172" s="1489"/>
      <c r="CK172" s="1489"/>
      <c r="CL172" s="1489"/>
      <c r="CM172" s="1489"/>
      <c r="CN172" s="1489"/>
      <c r="CO172" s="1489"/>
      <c r="CP172" s="1489"/>
      <c r="CQ172" s="1489"/>
      <c r="CR172" s="1489"/>
      <c r="CS172" s="1489"/>
      <c r="CT172" s="1507"/>
      <c r="CU172" s="1507"/>
      <c r="CV172" s="1507"/>
      <c r="CW172" s="1507"/>
      <c r="CX172" s="1507"/>
      <c r="CY172" s="1507"/>
      <c r="CZ172" s="1507"/>
      <c r="DA172" s="1507"/>
      <c r="DB172" s="1507"/>
      <c r="DC172" s="1507"/>
      <c r="DD172" s="1507"/>
    </row>
    <row r="173" spans="1:223" s="841" customFormat="1" ht="22.5" customHeight="1" thickBot="1">
      <c r="A173" s="840"/>
      <c r="B173" s="840"/>
      <c r="C173" s="840"/>
      <c r="D173" s="840"/>
      <c r="E173" s="840"/>
      <c r="F173" s="2171" t="s">
        <v>1370</v>
      </c>
      <c r="G173" s="2172"/>
      <c r="H173" s="2172"/>
      <c r="I173" s="2172"/>
      <c r="J173" s="2172"/>
      <c r="K173" s="2172"/>
      <c r="L173" s="2172"/>
      <c r="M173" s="2172"/>
      <c r="N173" s="2172"/>
      <c r="O173" s="2172"/>
      <c r="P173" s="2173"/>
      <c r="Q173" s="840"/>
      <c r="R173" s="2171" t="s">
        <v>1345</v>
      </c>
      <c r="S173" s="2172"/>
      <c r="T173" s="2172"/>
      <c r="U173" s="2172"/>
      <c r="V173" s="2172"/>
      <c r="W173" s="2172"/>
      <c r="X173" s="2173"/>
      <c r="Y173" s="840"/>
      <c r="Z173" s="2171" t="s">
        <v>1346</v>
      </c>
      <c r="AA173" s="2172"/>
      <c r="AB173" s="2172"/>
      <c r="AC173" s="2172"/>
      <c r="AD173" s="2172"/>
      <c r="AE173" s="2172"/>
      <c r="AF173" s="2172"/>
      <c r="AG173" s="2172"/>
      <c r="AH173" s="2172"/>
      <c r="AI173" s="2172"/>
      <c r="AJ173" s="2172"/>
      <c r="AK173" s="2172"/>
      <c r="AL173" s="2172"/>
      <c r="AM173" s="2172"/>
      <c r="AN173" s="2173"/>
      <c r="AO173" s="840"/>
      <c r="AP173" s="840"/>
      <c r="AQ173" s="840"/>
      <c r="AR173" s="840"/>
      <c r="AS173" s="840"/>
      <c r="CD173" s="1489"/>
      <c r="CE173" s="1490"/>
      <c r="CF173" s="1489"/>
      <c r="CG173" s="1489"/>
      <c r="CH173" s="1501"/>
      <c r="CI173" s="1489"/>
      <c r="CJ173" s="1489"/>
      <c r="CK173" s="1489"/>
      <c r="CL173" s="1489"/>
      <c r="CM173" s="1489"/>
      <c r="CN173" s="1489"/>
      <c r="CO173" s="1489"/>
      <c r="CP173" s="1489"/>
      <c r="CQ173" s="1489"/>
      <c r="CR173" s="1489"/>
      <c r="CS173" s="1489"/>
      <c r="CT173" s="1507"/>
      <c r="CU173" s="1507"/>
      <c r="CV173" s="1507"/>
      <c r="CW173" s="1507"/>
      <c r="CX173" s="1507"/>
      <c r="CY173" s="1507"/>
      <c r="CZ173" s="1507"/>
      <c r="DA173" s="1507"/>
      <c r="DB173" s="1507"/>
      <c r="DC173" s="1507"/>
      <c r="DD173" s="1507"/>
    </row>
    <row r="174" spans="1:223" s="841" customFormat="1" ht="11.25" customHeight="1" thickBot="1">
      <c r="A174" s="840"/>
      <c r="B174" s="840"/>
      <c r="C174" s="840"/>
      <c r="D174" s="840"/>
      <c r="E174" s="840"/>
      <c r="F174" s="840"/>
      <c r="G174" s="840"/>
      <c r="H174" s="840"/>
      <c r="I174" s="840"/>
      <c r="J174" s="840"/>
      <c r="K174" s="840"/>
      <c r="L174" s="840"/>
      <c r="M174" s="840"/>
      <c r="N174" s="840"/>
      <c r="O174" s="840"/>
      <c r="P174" s="840"/>
      <c r="Q174" s="840"/>
      <c r="R174" s="840"/>
      <c r="S174" s="840"/>
      <c r="T174" s="840"/>
      <c r="U174" s="840"/>
      <c r="V174" s="840"/>
      <c r="W174" s="840"/>
      <c r="X174" s="840"/>
      <c r="Y174" s="840"/>
      <c r="Z174" s="1212"/>
      <c r="AA174" s="1212"/>
      <c r="AB174" s="1212"/>
      <c r="AC174" s="1212"/>
      <c r="AD174" s="1212"/>
      <c r="AE174" s="1212"/>
      <c r="AF174" s="1212"/>
      <c r="AG174" s="1212"/>
      <c r="AH174" s="1212"/>
      <c r="AI174" s="840"/>
      <c r="AJ174" s="840"/>
      <c r="AK174" s="840"/>
      <c r="AL174" s="840"/>
      <c r="AM174" s="840"/>
      <c r="AN174" s="840"/>
      <c r="AO174" s="840"/>
      <c r="AP174" s="840"/>
      <c r="AQ174" s="840"/>
      <c r="AR174" s="840"/>
      <c r="AS174" s="840"/>
      <c r="CD174" s="1489"/>
      <c r="CE174" s="1490"/>
      <c r="CF174" s="1489"/>
      <c r="CG174" s="1489"/>
      <c r="CH174" s="1501"/>
      <c r="CI174" s="1489"/>
      <c r="CJ174" s="1489"/>
      <c r="CK174" s="1489"/>
      <c r="CL174" s="1489"/>
      <c r="CM174" s="1489"/>
      <c r="CN174" s="1489"/>
      <c r="CO174" s="1489"/>
      <c r="CP174" s="1489"/>
      <c r="CQ174" s="1489"/>
      <c r="CR174" s="1489"/>
      <c r="CS174" s="1489"/>
      <c r="CT174" s="1507"/>
      <c r="CU174" s="1507"/>
      <c r="CV174" s="1507"/>
      <c r="CW174" s="1507"/>
      <c r="CX174" s="1507"/>
      <c r="CY174" s="1507"/>
      <c r="CZ174" s="1507"/>
      <c r="DA174" s="1507"/>
      <c r="DB174" s="1507"/>
      <c r="DC174" s="1507"/>
      <c r="DD174" s="1507"/>
    </row>
    <row r="175" spans="1:223" s="841" customFormat="1" ht="46.5" customHeight="1" thickBot="1">
      <c r="A175" s="840"/>
      <c r="B175" s="864" t="s">
        <v>419</v>
      </c>
      <c r="C175" s="891"/>
      <c r="D175" s="864" t="s">
        <v>420</v>
      </c>
      <c r="E175" s="891"/>
      <c r="F175" s="864" t="s">
        <v>1367</v>
      </c>
      <c r="G175" s="891"/>
      <c r="H175" s="864" t="s">
        <v>1368</v>
      </c>
      <c r="I175" s="891"/>
      <c r="J175" s="864" t="s">
        <v>1369</v>
      </c>
      <c r="K175" s="891"/>
      <c r="L175" s="864" t="s">
        <v>1338</v>
      </c>
      <c r="M175" s="891"/>
      <c r="N175" s="864" t="s">
        <v>1339</v>
      </c>
      <c r="O175" s="891"/>
      <c r="P175" s="864" t="s">
        <v>1340</v>
      </c>
      <c r="Q175" s="891"/>
      <c r="R175" s="864" t="s">
        <v>1341</v>
      </c>
      <c r="S175" s="891"/>
      <c r="T175" s="864" t="s">
        <v>1342</v>
      </c>
      <c r="U175" s="891"/>
      <c r="V175" s="864" t="s">
        <v>1343</v>
      </c>
      <c r="W175" s="891"/>
      <c r="X175" s="864" t="s">
        <v>1344</v>
      </c>
      <c r="Y175" s="840"/>
      <c r="Z175" s="864" t="s">
        <v>1432</v>
      </c>
      <c r="AA175" s="891"/>
      <c r="AB175" s="864" t="s">
        <v>1329</v>
      </c>
      <c r="AC175" s="892"/>
      <c r="AD175" s="864" t="s">
        <v>1433</v>
      </c>
      <c r="AE175" s="891"/>
      <c r="AF175" s="864" t="s">
        <v>1331</v>
      </c>
      <c r="AG175" s="891"/>
      <c r="AH175" s="864" t="s">
        <v>1332</v>
      </c>
      <c r="AI175" s="891"/>
      <c r="AJ175" s="864" t="s">
        <v>1366</v>
      </c>
      <c r="AK175" s="891"/>
      <c r="AL175" s="864" t="s">
        <v>1334</v>
      </c>
      <c r="AM175" s="840"/>
      <c r="AN175" s="864" t="s">
        <v>1327</v>
      </c>
      <c r="AO175" s="840"/>
      <c r="AP175" s="865" t="s">
        <v>51</v>
      </c>
      <c r="AQ175" s="840"/>
      <c r="AR175" s="840"/>
      <c r="AS175" s="840"/>
      <c r="CD175" s="1489"/>
      <c r="CE175" s="1490"/>
      <c r="CF175" s="1489"/>
      <c r="CG175" s="1489"/>
      <c r="CH175" s="1501"/>
      <c r="CI175" s="1489"/>
      <c r="CJ175" s="1489"/>
      <c r="CK175" s="1489"/>
      <c r="CL175" s="1489"/>
      <c r="CM175" s="1489"/>
      <c r="CN175" s="1489"/>
      <c r="CO175" s="1489"/>
      <c r="CP175" s="1489"/>
      <c r="CQ175" s="1489"/>
      <c r="CR175" s="1489"/>
      <c r="CS175" s="1489"/>
      <c r="CT175" s="1507"/>
      <c r="CU175" s="1507"/>
      <c r="CV175" s="1507"/>
      <c r="CW175" s="1507"/>
      <c r="CX175" s="1507"/>
      <c r="CY175" s="1507"/>
      <c r="CZ175" s="1507"/>
      <c r="DA175" s="1507"/>
      <c r="DB175" s="1507"/>
      <c r="DC175" s="1507"/>
      <c r="DD175" s="1507"/>
    </row>
    <row r="176" spans="1:223" s="841" customFormat="1" ht="11.25" customHeight="1">
      <c r="A176" s="840"/>
      <c r="B176" s="1325"/>
      <c r="C176" s="840"/>
      <c r="D176" s="1345">
        <f>Calculos_cuotas!U1302</f>
        <v>0</v>
      </c>
      <c r="E176" s="1345">
        <f>Calculos_cuotas!V1302</f>
        <v>0</v>
      </c>
      <c r="F176" s="1325"/>
      <c r="G176" s="840"/>
      <c r="H176" s="1325"/>
      <c r="I176" s="840"/>
      <c r="J176" s="1325"/>
      <c r="K176" s="840"/>
      <c r="L176" s="1325"/>
      <c r="M176" s="840"/>
      <c r="N176" s="1325"/>
      <c r="O176" s="840"/>
      <c r="P176" s="1325"/>
      <c r="Q176" s="840"/>
      <c r="R176" s="1360"/>
      <c r="S176" s="840"/>
      <c r="T176" s="1325"/>
      <c r="U176" s="840"/>
      <c r="V176" s="1325"/>
      <c r="W176" s="840"/>
      <c r="X176" s="1325"/>
      <c r="Y176" s="840"/>
      <c r="Z176" s="1325"/>
      <c r="AA176" s="1212"/>
      <c r="AB176" s="1325"/>
      <c r="AC176" s="1212"/>
      <c r="AD176" s="1325"/>
      <c r="AE176" s="1212"/>
      <c r="AF176" s="1325"/>
      <c r="AG176" s="1212"/>
      <c r="AH176" s="1325"/>
      <c r="AI176" s="840"/>
      <c r="AJ176" s="1325"/>
      <c r="AK176" s="840"/>
      <c r="AL176" s="1325"/>
      <c r="AM176" s="840"/>
      <c r="AN176" s="1325"/>
      <c r="AO176" s="840"/>
      <c r="AP176" s="1325"/>
      <c r="AQ176" s="840"/>
      <c r="AR176" s="840"/>
      <c r="AS176" s="840"/>
      <c r="CD176" s="1489"/>
      <c r="CE176" s="1490"/>
      <c r="CF176" s="1489"/>
      <c r="CG176" s="1489"/>
      <c r="CH176" s="1501"/>
      <c r="CI176" s="1489"/>
      <c r="CJ176" s="1489"/>
      <c r="CK176" s="1489"/>
      <c r="CL176" s="1489"/>
      <c r="CM176" s="1489"/>
      <c r="CN176" s="1489"/>
      <c r="CO176" s="1489"/>
      <c r="CP176" s="1489"/>
      <c r="CQ176" s="1489"/>
      <c r="CR176" s="1489"/>
      <c r="CS176" s="1489"/>
      <c r="CT176" s="1507"/>
      <c r="CU176" s="1507"/>
      <c r="CV176" s="1507"/>
      <c r="CW176" s="1507"/>
      <c r="CX176" s="1507"/>
      <c r="CY176" s="1507"/>
      <c r="CZ176" s="1507"/>
      <c r="DA176" s="1507"/>
      <c r="DB176" s="1507"/>
      <c r="DC176" s="1507"/>
      <c r="DD176" s="1507"/>
    </row>
    <row r="177" spans="1:108" s="841" customFormat="1" ht="21" customHeight="1" thickBot="1">
      <c r="A177" s="840"/>
      <c r="B177" s="870"/>
      <c r="C177" s="840"/>
      <c r="D177" s="870"/>
      <c r="E177" s="840"/>
      <c r="F177" s="870"/>
      <c r="G177" s="840"/>
      <c r="H177" s="870"/>
      <c r="I177" s="840"/>
      <c r="J177" s="870"/>
      <c r="K177" s="840"/>
      <c r="L177" s="870"/>
      <c r="M177" s="840"/>
      <c r="N177" s="870"/>
      <c r="O177" s="840"/>
      <c r="P177" s="870"/>
      <c r="Q177" s="840"/>
      <c r="R177" s="870"/>
      <c r="S177" s="840"/>
      <c r="T177" s="870"/>
      <c r="U177" s="840"/>
      <c r="V177" s="870"/>
      <c r="W177" s="840"/>
      <c r="X177" s="870"/>
      <c r="Y177" s="840"/>
      <c r="Z177" s="870"/>
      <c r="AA177" s="1212"/>
      <c r="AB177" s="870"/>
      <c r="AC177" s="1212"/>
      <c r="AD177" s="870"/>
      <c r="AE177" s="1212"/>
      <c r="AF177" s="870"/>
      <c r="AG177" s="1212"/>
      <c r="AH177" s="870"/>
      <c r="AI177" s="840"/>
      <c r="AJ177" s="870"/>
      <c r="AK177" s="840"/>
      <c r="AL177" s="870"/>
      <c r="AM177" s="840"/>
      <c r="AN177" s="870"/>
      <c r="AO177" s="840"/>
      <c r="AP177" s="884">
        <f>Calculos_cuotas!T1320</f>
        <v>0</v>
      </c>
      <c r="AQ177" s="840"/>
      <c r="AR177" s="1364" t="str">
        <f>IF(ISBLANK(D177),"",IF(SUM(Z177:AH177)&lt;1,"Error: al menos debe haber 1 puesto fijo",IF(SUM(Z177:AN177)&lt;Calculos_cuotas!T1302,CONCATENATE("Error: al menos debe haber ",Calculos_cuotas!T1302," puestos"),"")))</f>
        <v/>
      </c>
      <c r="AS177" s="840"/>
      <c r="CD177" s="1489"/>
      <c r="CE177" s="1490"/>
      <c r="CF177" s="1489"/>
      <c r="CG177" s="1489"/>
      <c r="CH177" s="1501"/>
      <c r="CI177" s="1489"/>
      <c r="CJ177" s="1489"/>
      <c r="CK177" s="1489"/>
      <c r="CL177" s="1489"/>
      <c r="CM177" s="1489"/>
      <c r="CN177" s="1489"/>
      <c r="CO177" s="1489"/>
      <c r="CP177" s="1489"/>
      <c r="CQ177" s="1489"/>
      <c r="CR177" s="1489"/>
      <c r="CS177" s="1489"/>
      <c r="CT177" s="1507"/>
      <c r="CU177" s="1507"/>
      <c r="CV177" s="1507"/>
      <c r="CW177" s="1507"/>
      <c r="CX177" s="1507"/>
      <c r="CY177" s="1507"/>
      <c r="CZ177" s="1507"/>
      <c r="DA177" s="1507"/>
      <c r="DB177" s="1507"/>
      <c r="DC177" s="1507"/>
      <c r="DD177" s="1507"/>
    </row>
    <row r="178" spans="1:108" s="841" customFormat="1" ht="11.25" customHeight="1" thickTop="1">
      <c r="A178" s="840"/>
      <c r="B178" s="1325"/>
      <c r="C178" s="840"/>
      <c r="D178" s="1345">
        <f>Calculos_cuotas!U1303</f>
        <v>0</v>
      </c>
      <c r="E178" s="1345">
        <f>Calculos_cuotas!V1303</f>
        <v>0</v>
      </c>
      <c r="F178" s="1325"/>
      <c r="G178" s="840"/>
      <c r="H178" s="1325"/>
      <c r="I178" s="840"/>
      <c r="J178" s="1325"/>
      <c r="K178" s="840"/>
      <c r="L178" s="1325"/>
      <c r="M178" s="840"/>
      <c r="N178" s="1325"/>
      <c r="O178" s="840"/>
      <c r="P178" s="1325"/>
      <c r="Q178" s="840"/>
      <c r="R178" s="1360"/>
      <c r="S178" s="840"/>
      <c r="T178" s="1325"/>
      <c r="U178" s="840"/>
      <c r="V178" s="1325"/>
      <c r="W178" s="840"/>
      <c r="X178" s="1325"/>
      <c r="Y178" s="840"/>
      <c r="Z178" s="1325"/>
      <c r="AA178" s="1212"/>
      <c r="AB178" s="1325"/>
      <c r="AC178" s="1212"/>
      <c r="AD178" s="1325"/>
      <c r="AE178" s="1212"/>
      <c r="AF178" s="1325"/>
      <c r="AG178" s="1212"/>
      <c r="AH178" s="1325"/>
      <c r="AI178" s="840"/>
      <c r="AJ178" s="1325"/>
      <c r="AK178" s="840"/>
      <c r="AL178" s="1325"/>
      <c r="AM178" s="840"/>
      <c r="AN178" s="1325"/>
      <c r="AO178" s="840"/>
      <c r="AP178" s="1325"/>
      <c r="AQ178" s="840"/>
      <c r="AR178" s="1364"/>
      <c r="AS178" s="840"/>
      <c r="CD178" s="1489"/>
      <c r="CE178" s="1490"/>
      <c r="CF178" s="1489"/>
      <c r="CG178" s="1489"/>
      <c r="CH178" s="1501"/>
      <c r="CI178" s="1489"/>
      <c r="CJ178" s="1489"/>
      <c r="CK178" s="1489"/>
      <c r="CL178" s="1489"/>
      <c r="CM178" s="1489"/>
      <c r="CN178" s="1489"/>
      <c r="CO178" s="1489"/>
      <c r="CP178" s="1489"/>
      <c r="CQ178" s="1489"/>
      <c r="CR178" s="1489"/>
      <c r="CS178" s="1489"/>
      <c r="CT178" s="1507"/>
      <c r="CU178" s="1507"/>
      <c r="CV178" s="1507"/>
      <c r="CW178" s="1507"/>
      <c r="CX178" s="1507"/>
      <c r="CY178" s="1507"/>
      <c r="CZ178" s="1507"/>
      <c r="DA178" s="1507"/>
      <c r="DB178" s="1507"/>
      <c r="DC178" s="1507"/>
      <c r="DD178" s="1507"/>
    </row>
    <row r="179" spans="1:108" s="841" customFormat="1" ht="21" customHeight="1" thickBot="1">
      <c r="A179" s="840"/>
      <c r="B179" s="870"/>
      <c r="C179" s="840"/>
      <c r="D179" s="870"/>
      <c r="E179" s="840"/>
      <c r="F179" s="870"/>
      <c r="G179" s="840"/>
      <c r="H179" s="870"/>
      <c r="I179" s="840"/>
      <c r="J179" s="870"/>
      <c r="K179" s="840"/>
      <c r="L179" s="870"/>
      <c r="M179" s="840"/>
      <c r="N179" s="870"/>
      <c r="O179" s="840"/>
      <c r="P179" s="870"/>
      <c r="Q179" s="840"/>
      <c r="R179" s="870"/>
      <c r="S179" s="840"/>
      <c r="T179" s="870"/>
      <c r="U179" s="840"/>
      <c r="V179" s="870"/>
      <c r="W179" s="840"/>
      <c r="X179" s="870"/>
      <c r="Y179" s="840"/>
      <c r="Z179" s="870"/>
      <c r="AA179" s="1212"/>
      <c r="AB179" s="870"/>
      <c r="AC179" s="1212"/>
      <c r="AD179" s="870"/>
      <c r="AE179" s="1212"/>
      <c r="AF179" s="870"/>
      <c r="AG179" s="1212"/>
      <c r="AH179" s="870"/>
      <c r="AI179" s="840"/>
      <c r="AJ179" s="870"/>
      <c r="AK179" s="840"/>
      <c r="AL179" s="870"/>
      <c r="AM179" s="840"/>
      <c r="AN179" s="870"/>
      <c r="AO179" s="840"/>
      <c r="AP179" s="884">
        <f>Calculos_cuotas!T1321</f>
        <v>0</v>
      </c>
      <c r="AQ179" s="840"/>
      <c r="AR179" s="1364" t="str">
        <f>IF(ISBLANK(D179),"",IF(SUM(Z179:AH179)&lt;1,"Error: al menos debe haber 1 puesto fijo",IF(SUM(Z179:AN179)&lt;Calculos_cuotas!T1303,CONCATENATE("Error: al menos debe haber ",Calculos_cuotas!T1303," puestos"),"")))</f>
        <v/>
      </c>
      <c r="AS179" s="840"/>
      <c r="CD179" s="1489"/>
      <c r="CE179" s="1490"/>
      <c r="CF179" s="1489"/>
      <c r="CG179" s="1489"/>
      <c r="CH179" s="1501"/>
      <c r="CI179" s="1489"/>
      <c r="CJ179" s="1489"/>
      <c r="CK179" s="1489"/>
      <c r="CL179" s="1489"/>
      <c r="CM179" s="1489"/>
      <c r="CN179" s="1489"/>
      <c r="CO179" s="1489"/>
      <c r="CP179" s="1489"/>
      <c r="CQ179" s="1489"/>
      <c r="CR179" s="1489"/>
      <c r="CS179" s="1489"/>
      <c r="CT179" s="1507"/>
      <c r="CU179" s="1507"/>
      <c r="CV179" s="1507"/>
      <c r="CW179" s="1507"/>
      <c r="CX179" s="1507"/>
      <c r="CY179" s="1507"/>
      <c r="CZ179" s="1507"/>
      <c r="DA179" s="1507"/>
      <c r="DB179" s="1507"/>
      <c r="DC179" s="1507"/>
      <c r="DD179" s="1507"/>
    </row>
    <row r="180" spans="1:108" s="841" customFormat="1" ht="11.25" customHeight="1" thickTop="1">
      <c r="A180" s="840"/>
      <c r="B180" s="1325"/>
      <c r="C180" s="840"/>
      <c r="D180" s="1345">
        <f>Calculos_cuotas!U1304</f>
        <v>0</v>
      </c>
      <c r="E180" s="1345">
        <f>Calculos_cuotas!V1304</f>
        <v>0</v>
      </c>
      <c r="F180" s="1325"/>
      <c r="G180" s="840"/>
      <c r="H180" s="1325"/>
      <c r="I180" s="840"/>
      <c r="J180" s="1325"/>
      <c r="K180" s="840"/>
      <c r="L180" s="1325"/>
      <c r="M180" s="840"/>
      <c r="N180" s="1325"/>
      <c r="O180" s="840"/>
      <c r="P180" s="1325"/>
      <c r="Q180" s="840"/>
      <c r="R180" s="1360"/>
      <c r="S180" s="840"/>
      <c r="T180" s="1325"/>
      <c r="U180" s="840"/>
      <c r="V180" s="1325"/>
      <c r="W180" s="840"/>
      <c r="X180" s="1325"/>
      <c r="Y180" s="840"/>
      <c r="Z180" s="1325"/>
      <c r="AA180" s="1212"/>
      <c r="AB180" s="1325"/>
      <c r="AC180" s="1212"/>
      <c r="AD180" s="1325"/>
      <c r="AE180" s="1212"/>
      <c r="AF180" s="1325"/>
      <c r="AG180" s="1212"/>
      <c r="AH180" s="1325"/>
      <c r="AI180" s="840"/>
      <c r="AJ180" s="1325"/>
      <c r="AK180" s="840"/>
      <c r="AL180" s="1325"/>
      <c r="AM180" s="840"/>
      <c r="AN180" s="1325"/>
      <c r="AO180" s="840"/>
      <c r="AP180" s="1325"/>
      <c r="AQ180" s="840"/>
      <c r="AR180" s="1364"/>
      <c r="AS180" s="840"/>
      <c r="CD180" s="1489"/>
      <c r="CE180" s="1490"/>
      <c r="CF180" s="1489"/>
      <c r="CG180" s="1489"/>
      <c r="CH180" s="1501"/>
      <c r="CI180" s="1489"/>
      <c r="CJ180" s="1489"/>
      <c r="CK180" s="1489"/>
      <c r="CL180" s="1489"/>
      <c r="CM180" s="1489"/>
      <c r="CN180" s="1489"/>
      <c r="CO180" s="1489"/>
      <c r="CP180" s="1489"/>
      <c r="CQ180" s="1489"/>
      <c r="CR180" s="1489"/>
      <c r="CS180" s="1489"/>
      <c r="CT180" s="1507"/>
      <c r="CU180" s="1507"/>
      <c r="CV180" s="1507"/>
      <c r="CW180" s="1507"/>
      <c r="CX180" s="1507"/>
      <c r="CY180" s="1507"/>
      <c r="CZ180" s="1507"/>
      <c r="DA180" s="1507"/>
      <c r="DB180" s="1507"/>
      <c r="DC180" s="1507"/>
      <c r="DD180" s="1507"/>
    </row>
    <row r="181" spans="1:108" s="841" customFormat="1" ht="21" customHeight="1" thickBot="1">
      <c r="A181" s="840"/>
      <c r="B181" s="870"/>
      <c r="C181" s="840"/>
      <c r="D181" s="870"/>
      <c r="E181" s="840"/>
      <c r="F181" s="870"/>
      <c r="G181" s="840"/>
      <c r="H181" s="870"/>
      <c r="I181" s="840"/>
      <c r="J181" s="870"/>
      <c r="K181" s="840"/>
      <c r="L181" s="870"/>
      <c r="M181" s="840"/>
      <c r="N181" s="870"/>
      <c r="O181" s="840"/>
      <c r="P181" s="870"/>
      <c r="Q181" s="840"/>
      <c r="R181" s="870"/>
      <c r="S181" s="840"/>
      <c r="T181" s="870"/>
      <c r="U181" s="840"/>
      <c r="V181" s="870"/>
      <c r="W181" s="840"/>
      <c r="X181" s="870"/>
      <c r="Y181" s="840"/>
      <c r="Z181" s="870"/>
      <c r="AA181" s="1212"/>
      <c r="AB181" s="870"/>
      <c r="AC181" s="1212"/>
      <c r="AD181" s="870"/>
      <c r="AE181" s="1212"/>
      <c r="AF181" s="870"/>
      <c r="AG181" s="1212"/>
      <c r="AH181" s="870"/>
      <c r="AI181" s="840"/>
      <c r="AJ181" s="870"/>
      <c r="AK181" s="840"/>
      <c r="AL181" s="870"/>
      <c r="AM181" s="840"/>
      <c r="AN181" s="870"/>
      <c r="AO181" s="840"/>
      <c r="AP181" s="884">
        <f>Calculos_cuotas!T1322</f>
        <v>0</v>
      </c>
      <c r="AQ181" s="840"/>
      <c r="AR181" s="1364" t="str">
        <f>IF(ISBLANK(D181),"",IF(SUM(Z181:AH181)&lt;1,"Error: al menos debe haber 1 puesto fijo",IF(SUM(Z181:AN181)&lt;Calculos_cuotas!T1304,CONCATENATE("Error: al menos debe haber ",Calculos_cuotas!T1304," puestos"),"")))</f>
        <v/>
      </c>
      <c r="AS181" s="840"/>
      <c r="CD181" s="1489"/>
      <c r="CE181" s="1490"/>
      <c r="CF181" s="1489"/>
      <c r="CG181" s="1489"/>
      <c r="CH181" s="1501"/>
      <c r="CI181" s="1489"/>
      <c r="CJ181" s="1489"/>
      <c r="CK181" s="1489"/>
      <c r="CL181" s="1489"/>
      <c r="CM181" s="1489"/>
      <c r="CN181" s="1489"/>
      <c r="CO181" s="1489"/>
      <c r="CP181" s="1489"/>
      <c r="CQ181" s="1489"/>
      <c r="CR181" s="1489"/>
      <c r="CS181" s="1489"/>
      <c r="CT181" s="1507"/>
      <c r="CU181" s="1507"/>
      <c r="CV181" s="1507"/>
      <c r="CW181" s="1507"/>
      <c r="CX181" s="1507"/>
      <c r="CY181" s="1507"/>
      <c r="CZ181" s="1507"/>
      <c r="DA181" s="1507"/>
      <c r="DB181" s="1507"/>
      <c r="DC181" s="1507"/>
      <c r="DD181" s="1507"/>
    </row>
    <row r="182" spans="1:108" s="841" customFormat="1" ht="11.25" customHeight="1" thickTop="1">
      <c r="A182" s="840"/>
      <c r="B182" s="1325"/>
      <c r="C182" s="840"/>
      <c r="D182" s="1345">
        <f>Calculos_cuotas!U1305</f>
        <v>0</v>
      </c>
      <c r="E182" s="1345">
        <f>Calculos_cuotas!V1305</f>
        <v>0</v>
      </c>
      <c r="F182" s="1325"/>
      <c r="G182" s="840"/>
      <c r="H182" s="1325"/>
      <c r="I182" s="840"/>
      <c r="J182" s="1325"/>
      <c r="K182" s="840"/>
      <c r="L182" s="1325"/>
      <c r="M182" s="840"/>
      <c r="N182" s="1325"/>
      <c r="O182" s="840"/>
      <c r="P182" s="1325"/>
      <c r="Q182" s="840"/>
      <c r="R182" s="1360"/>
      <c r="S182" s="840"/>
      <c r="T182" s="1325"/>
      <c r="U182" s="840"/>
      <c r="V182" s="1325"/>
      <c r="W182" s="840"/>
      <c r="X182" s="1325"/>
      <c r="Y182" s="840"/>
      <c r="Z182" s="1325"/>
      <c r="AA182" s="1212"/>
      <c r="AB182" s="1325"/>
      <c r="AC182" s="1212"/>
      <c r="AD182" s="1325"/>
      <c r="AE182" s="1212"/>
      <c r="AF182" s="1325"/>
      <c r="AG182" s="1212"/>
      <c r="AH182" s="1325"/>
      <c r="AI182" s="840"/>
      <c r="AJ182" s="1325"/>
      <c r="AK182" s="840"/>
      <c r="AL182" s="1325"/>
      <c r="AM182" s="840"/>
      <c r="AN182" s="1325"/>
      <c r="AO182" s="840"/>
      <c r="AP182" s="1325"/>
      <c r="AQ182" s="840"/>
      <c r="AR182" s="1364"/>
      <c r="AS182" s="840"/>
      <c r="CD182" s="1489"/>
      <c r="CE182" s="1490"/>
      <c r="CF182" s="1489"/>
      <c r="CG182" s="1489"/>
      <c r="CH182" s="1501"/>
      <c r="CI182" s="1489"/>
      <c r="CJ182" s="1489"/>
      <c r="CK182" s="1489"/>
      <c r="CL182" s="1489"/>
      <c r="CM182" s="1489"/>
      <c r="CN182" s="1489"/>
      <c r="CO182" s="1489"/>
      <c r="CP182" s="1489"/>
      <c r="CQ182" s="1489"/>
      <c r="CR182" s="1489"/>
      <c r="CS182" s="1489"/>
      <c r="CT182" s="1507"/>
      <c r="CU182" s="1507"/>
      <c r="CV182" s="1507"/>
      <c r="CW182" s="1507"/>
      <c r="CX182" s="1507"/>
      <c r="CY182" s="1507"/>
      <c r="CZ182" s="1507"/>
      <c r="DA182" s="1507"/>
      <c r="DB182" s="1507"/>
      <c r="DC182" s="1507"/>
      <c r="DD182" s="1507"/>
    </row>
    <row r="183" spans="1:108" s="841" customFormat="1" ht="21" customHeight="1" thickBot="1">
      <c r="A183" s="840"/>
      <c r="B183" s="870"/>
      <c r="C183" s="840"/>
      <c r="D183" s="870"/>
      <c r="E183" s="840"/>
      <c r="F183" s="870"/>
      <c r="G183" s="840"/>
      <c r="H183" s="870"/>
      <c r="I183" s="840"/>
      <c r="J183" s="870"/>
      <c r="K183" s="840"/>
      <c r="L183" s="870"/>
      <c r="M183" s="840"/>
      <c r="N183" s="870"/>
      <c r="O183" s="840"/>
      <c r="P183" s="870"/>
      <c r="Q183" s="840"/>
      <c r="R183" s="870"/>
      <c r="S183" s="840"/>
      <c r="T183" s="870"/>
      <c r="U183" s="840"/>
      <c r="V183" s="870"/>
      <c r="W183" s="840"/>
      <c r="X183" s="870"/>
      <c r="Y183" s="840"/>
      <c r="Z183" s="870"/>
      <c r="AA183" s="1212"/>
      <c r="AB183" s="870"/>
      <c r="AC183" s="1212"/>
      <c r="AD183" s="870"/>
      <c r="AE183" s="1212"/>
      <c r="AF183" s="870"/>
      <c r="AG183" s="1212"/>
      <c r="AH183" s="870"/>
      <c r="AI183" s="840"/>
      <c r="AJ183" s="870"/>
      <c r="AK183" s="840"/>
      <c r="AL183" s="870"/>
      <c r="AM183" s="840"/>
      <c r="AN183" s="870"/>
      <c r="AO183" s="840"/>
      <c r="AP183" s="884">
        <f>Calculos_cuotas!T1323</f>
        <v>0</v>
      </c>
      <c r="AQ183" s="840"/>
      <c r="AR183" s="1364" t="str">
        <f>IF(ISBLANK(D183),"",IF(SUM(Z183:AH183)&lt;1,"Error: al menos debe haber 1 puesto fijo",IF(SUM(Z183:AN183)&lt;Calculos_cuotas!T1305,CONCATENATE("Error: al menos debe haber ",Calculos_cuotas!T1305," puestos"),"")))</f>
        <v/>
      </c>
      <c r="AS183" s="840"/>
      <c r="CD183" s="1489"/>
      <c r="CE183" s="1490"/>
      <c r="CF183" s="1489"/>
      <c r="CG183" s="1489"/>
      <c r="CH183" s="1501"/>
      <c r="CI183" s="1489"/>
      <c r="CJ183" s="1489"/>
      <c r="CK183" s="1489"/>
      <c r="CL183" s="1489"/>
      <c r="CM183" s="1489"/>
      <c r="CN183" s="1489"/>
      <c r="CO183" s="1489"/>
      <c r="CP183" s="1489"/>
      <c r="CQ183" s="1489"/>
      <c r="CR183" s="1489"/>
      <c r="CS183" s="1489"/>
      <c r="CT183" s="1507"/>
      <c r="CU183" s="1507"/>
      <c r="CV183" s="1507"/>
      <c r="CW183" s="1507"/>
      <c r="CX183" s="1507"/>
      <c r="CY183" s="1507"/>
      <c r="CZ183" s="1507"/>
      <c r="DA183" s="1507"/>
      <c r="DB183" s="1507"/>
      <c r="DC183" s="1507"/>
      <c r="DD183" s="1507"/>
    </row>
    <row r="184" spans="1:108" s="841" customFormat="1" ht="11.25" customHeight="1" thickTop="1">
      <c r="A184" s="840"/>
      <c r="B184" s="1325"/>
      <c r="C184" s="840"/>
      <c r="D184" s="1345">
        <f>Calculos_cuotas!U1306</f>
        <v>0</v>
      </c>
      <c r="E184" s="1345">
        <f>Calculos_cuotas!V1306</f>
        <v>0</v>
      </c>
      <c r="F184" s="1325"/>
      <c r="G184" s="840"/>
      <c r="H184" s="1325"/>
      <c r="I184" s="840"/>
      <c r="J184" s="1325"/>
      <c r="K184" s="840"/>
      <c r="L184" s="1325"/>
      <c r="M184" s="840"/>
      <c r="N184" s="1325"/>
      <c r="O184" s="840"/>
      <c r="P184" s="1325"/>
      <c r="Q184" s="840"/>
      <c r="R184" s="1360"/>
      <c r="S184" s="840"/>
      <c r="T184" s="1325"/>
      <c r="U184" s="840"/>
      <c r="V184" s="1325"/>
      <c r="W184" s="840"/>
      <c r="X184" s="1325"/>
      <c r="Y184" s="840"/>
      <c r="Z184" s="1325"/>
      <c r="AA184" s="1212"/>
      <c r="AB184" s="1325"/>
      <c r="AC184" s="1212"/>
      <c r="AD184" s="1325"/>
      <c r="AE184" s="1212"/>
      <c r="AF184" s="1325"/>
      <c r="AG184" s="1212"/>
      <c r="AH184" s="1325"/>
      <c r="AI184" s="840"/>
      <c r="AJ184" s="1325"/>
      <c r="AK184" s="840"/>
      <c r="AL184" s="1325"/>
      <c r="AM184" s="840"/>
      <c r="AN184" s="1325"/>
      <c r="AO184" s="840"/>
      <c r="AP184" s="1325"/>
      <c r="AQ184" s="840"/>
      <c r="AR184" s="1364"/>
      <c r="AS184" s="840"/>
      <c r="CD184" s="1489"/>
      <c r="CE184" s="1490"/>
      <c r="CF184" s="1489"/>
      <c r="CG184" s="1489"/>
      <c r="CH184" s="1501"/>
      <c r="CI184" s="1489"/>
      <c r="CJ184" s="1489"/>
      <c r="CK184" s="1489"/>
      <c r="CL184" s="1489"/>
      <c r="CM184" s="1489"/>
      <c r="CN184" s="1489"/>
      <c r="CO184" s="1489"/>
      <c r="CP184" s="1489"/>
      <c r="CQ184" s="1489"/>
      <c r="CR184" s="1489"/>
      <c r="CS184" s="1489"/>
      <c r="CT184" s="1507"/>
      <c r="CU184" s="1507"/>
      <c r="CV184" s="1507"/>
      <c r="CW184" s="1507"/>
      <c r="CX184" s="1507"/>
      <c r="CY184" s="1507"/>
      <c r="CZ184" s="1507"/>
      <c r="DA184" s="1507"/>
      <c r="DB184" s="1507"/>
      <c r="DC184" s="1507"/>
      <c r="DD184" s="1507"/>
    </row>
    <row r="185" spans="1:108" s="841" customFormat="1" ht="21" customHeight="1" thickBot="1">
      <c r="A185" s="840"/>
      <c r="B185" s="870"/>
      <c r="C185" s="840"/>
      <c r="D185" s="870"/>
      <c r="E185" s="840"/>
      <c r="F185" s="870"/>
      <c r="G185" s="840"/>
      <c r="H185" s="870"/>
      <c r="I185" s="840"/>
      <c r="J185" s="870"/>
      <c r="K185" s="840"/>
      <c r="L185" s="870"/>
      <c r="M185" s="840"/>
      <c r="N185" s="870"/>
      <c r="O185" s="840"/>
      <c r="P185" s="870"/>
      <c r="Q185" s="840"/>
      <c r="R185" s="870"/>
      <c r="S185" s="840"/>
      <c r="T185" s="870"/>
      <c r="U185" s="840"/>
      <c r="V185" s="870"/>
      <c r="W185" s="840"/>
      <c r="X185" s="870"/>
      <c r="Y185" s="840"/>
      <c r="Z185" s="870"/>
      <c r="AA185" s="1212"/>
      <c r="AB185" s="870"/>
      <c r="AC185" s="1212"/>
      <c r="AD185" s="870"/>
      <c r="AE185" s="1212"/>
      <c r="AF185" s="870"/>
      <c r="AG185" s="1212"/>
      <c r="AH185" s="870"/>
      <c r="AI185" s="840"/>
      <c r="AJ185" s="870"/>
      <c r="AK185" s="840"/>
      <c r="AL185" s="870"/>
      <c r="AM185" s="840"/>
      <c r="AN185" s="870"/>
      <c r="AO185" s="840"/>
      <c r="AP185" s="884">
        <f>Calculos_cuotas!T1324</f>
        <v>0</v>
      </c>
      <c r="AQ185" s="840"/>
      <c r="AR185" s="1364" t="str">
        <f>IF(ISBLANK(D185),"",IF(SUM(Z185:AH185)&lt;1,"Error: al menos debe haber 1 puesto fijo",IF(SUM(Z185:AN185)&lt;Calculos_cuotas!T1306,CONCATENATE("Error: al menos debe haber ",Calculos_cuotas!T1306," puestos"),"")))</f>
        <v/>
      </c>
      <c r="AS185" s="840"/>
      <c r="CD185" s="1489"/>
      <c r="CE185" s="1490"/>
      <c r="CF185" s="1489"/>
      <c r="CG185" s="1489"/>
      <c r="CH185" s="1501"/>
      <c r="CI185" s="1489"/>
      <c r="CJ185" s="1489"/>
      <c r="CK185" s="1489"/>
      <c r="CL185" s="1489"/>
      <c r="CM185" s="1489"/>
      <c r="CN185" s="1489"/>
      <c r="CO185" s="1489"/>
      <c r="CP185" s="1489"/>
      <c r="CQ185" s="1489"/>
      <c r="CR185" s="1489"/>
      <c r="CS185" s="1489"/>
      <c r="CT185" s="1507"/>
      <c r="CU185" s="1507"/>
      <c r="CV185" s="1507"/>
      <c r="CW185" s="1507"/>
      <c r="CX185" s="1507"/>
      <c r="CY185" s="1507"/>
      <c r="CZ185" s="1507"/>
      <c r="DA185" s="1507"/>
      <c r="DB185" s="1507"/>
      <c r="DC185" s="1507"/>
      <c r="DD185" s="1507"/>
    </row>
    <row r="186" spans="1:108" s="841" customFormat="1" ht="11.25" customHeight="1" thickTop="1">
      <c r="A186" s="840"/>
      <c r="B186" s="1325"/>
      <c r="C186" s="840"/>
      <c r="D186" s="1345">
        <f>Calculos_cuotas!U1307</f>
        <v>0</v>
      </c>
      <c r="E186" s="1345">
        <f>Calculos_cuotas!V1307</f>
        <v>0</v>
      </c>
      <c r="F186" s="1325"/>
      <c r="G186" s="840"/>
      <c r="H186" s="1325"/>
      <c r="I186" s="840"/>
      <c r="J186" s="1325"/>
      <c r="K186" s="840"/>
      <c r="L186" s="1325"/>
      <c r="M186" s="840"/>
      <c r="N186" s="1325"/>
      <c r="O186" s="840"/>
      <c r="P186" s="1325"/>
      <c r="Q186" s="840"/>
      <c r="R186" s="1360"/>
      <c r="S186" s="840"/>
      <c r="T186" s="1325"/>
      <c r="U186" s="840"/>
      <c r="V186" s="1325"/>
      <c r="W186" s="840"/>
      <c r="X186" s="1325"/>
      <c r="Y186" s="840"/>
      <c r="Z186" s="1325"/>
      <c r="AA186" s="1212"/>
      <c r="AB186" s="1325"/>
      <c r="AC186" s="1212"/>
      <c r="AD186" s="1325"/>
      <c r="AE186" s="1212"/>
      <c r="AF186" s="1325"/>
      <c r="AG186" s="1212"/>
      <c r="AH186" s="1325"/>
      <c r="AI186" s="840"/>
      <c r="AJ186" s="1325"/>
      <c r="AK186" s="840"/>
      <c r="AL186" s="1325"/>
      <c r="AM186" s="840"/>
      <c r="AN186" s="1325"/>
      <c r="AO186" s="840"/>
      <c r="AP186" s="1325"/>
      <c r="AQ186" s="840"/>
      <c r="AR186" s="1364"/>
      <c r="AS186" s="840"/>
      <c r="CD186" s="1489"/>
      <c r="CE186" s="1490"/>
      <c r="CF186" s="1489"/>
      <c r="CG186" s="1489"/>
      <c r="CH186" s="1501"/>
      <c r="CI186" s="1489"/>
      <c r="CJ186" s="1489"/>
      <c r="CK186" s="1489"/>
      <c r="CL186" s="1489"/>
      <c r="CM186" s="1489"/>
      <c r="CN186" s="1489"/>
      <c r="CO186" s="1489"/>
      <c r="CP186" s="1489"/>
      <c r="CQ186" s="1489"/>
      <c r="CR186" s="1489"/>
      <c r="CS186" s="1489"/>
      <c r="CT186" s="1507"/>
      <c r="CU186" s="1507"/>
      <c r="CV186" s="1507"/>
      <c r="CW186" s="1507"/>
      <c r="CX186" s="1507"/>
      <c r="CY186" s="1507"/>
      <c r="CZ186" s="1507"/>
      <c r="DA186" s="1507"/>
      <c r="DB186" s="1507"/>
      <c r="DC186" s="1507"/>
      <c r="DD186" s="1507"/>
    </row>
    <row r="187" spans="1:108" s="841" customFormat="1" ht="21" hidden="1" customHeight="1" thickBot="1">
      <c r="A187" s="840"/>
      <c r="B187" s="870"/>
      <c r="C187" s="840"/>
      <c r="D187" s="870"/>
      <c r="E187" s="840"/>
      <c r="F187" s="870"/>
      <c r="G187" s="840"/>
      <c r="H187" s="870"/>
      <c r="I187" s="840"/>
      <c r="J187" s="870"/>
      <c r="K187" s="840"/>
      <c r="L187" s="870"/>
      <c r="M187" s="840"/>
      <c r="N187" s="870"/>
      <c r="O187" s="840"/>
      <c r="P187" s="870"/>
      <c r="Q187" s="840"/>
      <c r="R187" s="870"/>
      <c r="S187" s="840"/>
      <c r="T187" s="870"/>
      <c r="U187" s="840"/>
      <c r="V187" s="870"/>
      <c r="W187" s="840"/>
      <c r="X187" s="870"/>
      <c r="Y187" s="840"/>
      <c r="Z187" s="870"/>
      <c r="AA187" s="1212"/>
      <c r="AB187" s="870"/>
      <c r="AC187" s="1212"/>
      <c r="AD187" s="870"/>
      <c r="AE187" s="1212"/>
      <c r="AF187" s="870"/>
      <c r="AG187" s="1212"/>
      <c r="AH187" s="870"/>
      <c r="AI187" s="840"/>
      <c r="AJ187" s="870"/>
      <c r="AK187" s="840"/>
      <c r="AL187" s="870"/>
      <c r="AM187" s="840"/>
      <c r="AN187" s="870"/>
      <c r="AO187" s="840"/>
      <c r="AP187" s="884">
        <f>Calculos_cuotas!T1325</f>
        <v>0</v>
      </c>
      <c r="AQ187" s="840"/>
      <c r="AR187" s="1364" t="str">
        <f>IF(ISBLANK(D187),"",IF(SUM(Z187:AH187)&lt;1,"Error: al menos debe haber 1 puesto fijo",IF(SUM(Z187:AN187)&lt;Calculos_cuotas!T1307,CONCATENATE("Error: al menos debe haber ",Calculos_cuotas!T1307," puestos"),"")))</f>
        <v/>
      </c>
      <c r="AS187" s="840"/>
      <c r="CD187" s="1489"/>
      <c r="CE187" s="1490"/>
      <c r="CF187" s="1489"/>
      <c r="CG187" s="1489"/>
      <c r="CH187" s="1501"/>
      <c r="CI187" s="1489"/>
      <c r="CJ187" s="1489"/>
      <c r="CK187" s="1489"/>
      <c r="CL187" s="1489"/>
      <c r="CM187" s="1489"/>
      <c r="CN187" s="1489"/>
      <c r="CO187" s="1489"/>
      <c r="CP187" s="1489"/>
      <c r="CQ187" s="1489"/>
      <c r="CR187" s="1489"/>
      <c r="CS187" s="1489"/>
      <c r="CT187" s="1507"/>
      <c r="CU187" s="1507"/>
      <c r="CV187" s="1507"/>
      <c r="CW187" s="1507"/>
      <c r="CX187" s="1507"/>
      <c r="CY187" s="1507"/>
      <c r="CZ187" s="1507"/>
      <c r="DA187" s="1507"/>
      <c r="DB187" s="1507"/>
      <c r="DC187" s="1507"/>
      <c r="DD187" s="1507"/>
    </row>
    <row r="188" spans="1:108" s="841" customFormat="1" ht="11.25" hidden="1" customHeight="1" thickTop="1">
      <c r="A188" s="840"/>
      <c r="B188" s="1325"/>
      <c r="C188" s="840"/>
      <c r="D188" s="1345">
        <f>Calculos_cuotas!U1308</f>
        <v>0</v>
      </c>
      <c r="E188" s="1345">
        <f>Calculos_cuotas!V1308</f>
        <v>0</v>
      </c>
      <c r="F188" s="1325"/>
      <c r="G188" s="840"/>
      <c r="H188" s="1325"/>
      <c r="I188" s="840"/>
      <c r="J188" s="1325"/>
      <c r="K188" s="840"/>
      <c r="L188" s="1325"/>
      <c r="M188" s="840"/>
      <c r="N188" s="1325"/>
      <c r="O188" s="840"/>
      <c r="P188" s="1325"/>
      <c r="Q188" s="840"/>
      <c r="R188" s="1360"/>
      <c r="S188" s="840"/>
      <c r="T188" s="1325"/>
      <c r="U188" s="840"/>
      <c r="V188" s="1325"/>
      <c r="W188" s="840"/>
      <c r="X188" s="1325"/>
      <c r="Y188" s="840"/>
      <c r="Z188" s="1325"/>
      <c r="AA188" s="1212"/>
      <c r="AB188" s="1325"/>
      <c r="AC188" s="1212"/>
      <c r="AD188" s="1325"/>
      <c r="AE188" s="1212"/>
      <c r="AF188" s="1325"/>
      <c r="AG188" s="1212"/>
      <c r="AH188" s="1325"/>
      <c r="AI188" s="840"/>
      <c r="AJ188" s="1325"/>
      <c r="AK188" s="840"/>
      <c r="AL188" s="1325"/>
      <c r="AM188" s="840"/>
      <c r="AN188" s="1325"/>
      <c r="AO188" s="840"/>
      <c r="AP188" s="1325"/>
      <c r="AQ188" s="840"/>
      <c r="AR188" s="1364"/>
      <c r="AS188" s="840"/>
      <c r="CD188" s="1489"/>
      <c r="CE188" s="1490"/>
      <c r="CF188" s="1489"/>
      <c r="CG188" s="1489"/>
      <c r="CH188" s="1501"/>
      <c r="CI188" s="1489"/>
      <c r="CJ188" s="1489"/>
      <c r="CK188" s="1489"/>
      <c r="CL188" s="1489"/>
      <c r="CM188" s="1489"/>
      <c r="CN188" s="1489"/>
      <c r="CO188" s="1489"/>
      <c r="CP188" s="1489"/>
      <c r="CQ188" s="1489"/>
      <c r="CR188" s="1489"/>
      <c r="CS188" s="1489"/>
      <c r="CT188" s="1507"/>
      <c r="CU188" s="1507"/>
      <c r="CV188" s="1507"/>
      <c r="CW188" s="1507"/>
      <c r="CX188" s="1507"/>
      <c r="CY188" s="1507"/>
      <c r="CZ188" s="1507"/>
      <c r="DA188" s="1507"/>
      <c r="DB188" s="1507"/>
      <c r="DC188" s="1507"/>
      <c r="DD188" s="1507"/>
    </row>
    <row r="189" spans="1:108" s="841" customFormat="1" ht="21" hidden="1" customHeight="1" thickBot="1">
      <c r="A189" s="840"/>
      <c r="B189" s="870"/>
      <c r="C189" s="840"/>
      <c r="D189" s="870"/>
      <c r="E189" s="840"/>
      <c r="F189" s="870"/>
      <c r="G189" s="840"/>
      <c r="H189" s="870"/>
      <c r="I189" s="840"/>
      <c r="J189" s="870"/>
      <c r="K189" s="840"/>
      <c r="L189" s="870"/>
      <c r="M189" s="840"/>
      <c r="N189" s="870"/>
      <c r="O189" s="840"/>
      <c r="P189" s="870"/>
      <c r="Q189" s="840"/>
      <c r="R189" s="870"/>
      <c r="S189" s="840"/>
      <c r="T189" s="870"/>
      <c r="U189" s="840"/>
      <c r="V189" s="870"/>
      <c r="W189" s="840"/>
      <c r="X189" s="870"/>
      <c r="Y189" s="840"/>
      <c r="Z189" s="870"/>
      <c r="AA189" s="1212"/>
      <c r="AB189" s="870"/>
      <c r="AC189" s="1212"/>
      <c r="AD189" s="870"/>
      <c r="AE189" s="1212"/>
      <c r="AF189" s="870"/>
      <c r="AG189" s="1212"/>
      <c r="AH189" s="870"/>
      <c r="AI189" s="840"/>
      <c r="AJ189" s="870"/>
      <c r="AK189" s="840"/>
      <c r="AL189" s="870"/>
      <c r="AM189" s="840"/>
      <c r="AN189" s="870"/>
      <c r="AO189" s="840"/>
      <c r="AP189" s="884">
        <f>Calculos_cuotas!T1326</f>
        <v>0</v>
      </c>
      <c r="AQ189" s="840"/>
      <c r="AR189" s="1364" t="str">
        <f>IF(ISBLANK(D189),"",IF(SUM(Z189:AH189)&lt;1,"Error: al menos debe haber 1 puesto fijo",IF(SUM(Z189:AN189)&lt;Calculos_cuotas!T1308,CONCATENATE("Error: al menos debe haber ",Calculos_cuotas!T1308," puestos"),"")))</f>
        <v/>
      </c>
      <c r="AS189" s="840"/>
      <c r="CD189" s="1489"/>
      <c r="CE189" s="1490"/>
      <c r="CF189" s="1489"/>
      <c r="CG189" s="1489"/>
      <c r="CH189" s="1501"/>
      <c r="CI189" s="1489"/>
      <c r="CJ189" s="1489"/>
      <c r="CK189" s="1489"/>
      <c r="CL189" s="1489"/>
      <c r="CM189" s="1489"/>
      <c r="CN189" s="1489"/>
      <c r="CO189" s="1489"/>
      <c r="CP189" s="1489"/>
      <c r="CQ189" s="1489"/>
      <c r="CR189" s="1489"/>
      <c r="CS189" s="1489"/>
      <c r="CT189" s="1507"/>
      <c r="CU189" s="1507"/>
      <c r="CV189" s="1507"/>
      <c r="CW189" s="1507"/>
      <c r="CX189" s="1507"/>
      <c r="CY189" s="1507"/>
      <c r="CZ189" s="1507"/>
      <c r="DA189" s="1507"/>
      <c r="DB189" s="1507"/>
      <c r="DC189" s="1507"/>
      <c r="DD189" s="1507"/>
    </row>
    <row r="190" spans="1:108" s="841" customFormat="1" ht="11.25" hidden="1" customHeight="1" thickTop="1">
      <c r="A190" s="840"/>
      <c r="B190" s="1325"/>
      <c r="C190" s="840"/>
      <c r="D190" s="1345">
        <f>Calculos_cuotas!U1309</f>
        <v>0</v>
      </c>
      <c r="E190" s="1345">
        <f>Calculos_cuotas!V1309</f>
        <v>0</v>
      </c>
      <c r="F190" s="1325"/>
      <c r="G190" s="840"/>
      <c r="H190" s="1325"/>
      <c r="I190" s="840"/>
      <c r="J190" s="1325"/>
      <c r="K190" s="840"/>
      <c r="L190" s="1325"/>
      <c r="M190" s="840"/>
      <c r="N190" s="1325"/>
      <c r="O190" s="840"/>
      <c r="P190" s="1325"/>
      <c r="Q190" s="840"/>
      <c r="R190" s="1360"/>
      <c r="S190" s="840"/>
      <c r="T190" s="1325"/>
      <c r="U190" s="840"/>
      <c r="V190" s="1325"/>
      <c r="W190" s="840"/>
      <c r="X190" s="1325"/>
      <c r="Y190" s="840"/>
      <c r="Z190" s="1325"/>
      <c r="AA190" s="1212"/>
      <c r="AB190" s="1325"/>
      <c r="AC190" s="1212"/>
      <c r="AD190" s="1325"/>
      <c r="AE190" s="1212"/>
      <c r="AF190" s="1325"/>
      <c r="AG190" s="1212"/>
      <c r="AH190" s="1325"/>
      <c r="AI190" s="840"/>
      <c r="AJ190" s="1325"/>
      <c r="AK190" s="840"/>
      <c r="AL190" s="1325"/>
      <c r="AM190" s="840"/>
      <c r="AN190" s="1325"/>
      <c r="AO190" s="840"/>
      <c r="AP190" s="1325"/>
      <c r="AQ190" s="840"/>
      <c r="AR190" s="1364"/>
      <c r="AS190" s="840"/>
      <c r="CD190" s="1489"/>
      <c r="CE190" s="1490"/>
      <c r="CF190" s="1489"/>
      <c r="CG190" s="1489"/>
      <c r="CH190" s="1501"/>
      <c r="CI190" s="1489"/>
      <c r="CJ190" s="1489"/>
      <c r="CK190" s="1489"/>
      <c r="CL190" s="1489"/>
      <c r="CM190" s="1489"/>
      <c r="CN190" s="1489"/>
      <c r="CO190" s="1489"/>
      <c r="CP190" s="1489"/>
      <c r="CQ190" s="1489"/>
      <c r="CR190" s="1489"/>
      <c r="CS190" s="1489"/>
      <c r="CT190" s="1507"/>
      <c r="CU190" s="1507"/>
      <c r="CV190" s="1507"/>
      <c r="CW190" s="1507"/>
      <c r="CX190" s="1507"/>
      <c r="CY190" s="1507"/>
      <c r="CZ190" s="1507"/>
      <c r="DA190" s="1507"/>
      <c r="DB190" s="1507"/>
      <c r="DC190" s="1507"/>
      <c r="DD190" s="1507"/>
    </row>
    <row r="191" spans="1:108" s="841" customFormat="1" ht="21" hidden="1" customHeight="1" thickBot="1">
      <c r="A191" s="840"/>
      <c r="B191" s="870"/>
      <c r="C191" s="840"/>
      <c r="D191" s="870"/>
      <c r="E191" s="840"/>
      <c r="F191" s="870"/>
      <c r="G191" s="840"/>
      <c r="H191" s="870"/>
      <c r="I191" s="840"/>
      <c r="J191" s="870"/>
      <c r="K191" s="840"/>
      <c r="L191" s="870"/>
      <c r="M191" s="840"/>
      <c r="N191" s="870"/>
      <c r="O191" s="840"/>
      <c r="P191" s="870"/>
      <c r="Q191" s="840"/>
      <c r="R191" s="870"/>
      <c r="S191" s="840"/>
      <c r="T191" s="870"/>
      <c r="U191" s="840"/>
      <c r="V191" s="870"/>
      <c r="W191" s="840"/>
      <c r="X191" s="870"/>
      <c r="Y191" s="840"/>
      <c r="Z191" s="870"/>
      <c r="AA191" s="1212"/>
      <c r="AB191" s="870"/>
      <c r="AC191" s="1212"/>
      <c r="AD191" s="870"/>
      <c r="AE191" s="1212"/>
      <c r="AF191" s="870"/>
      <c r="AG191" s="1212"/>
      <c r="AH191" s="870"/>
      <c r="AI191" s="840"/>
      <c r="AJ191" s="870"/>
      <c r="AK191" s="840"/>
      <c r="AL191" s="870"/>
      <c r="AM191" s="840"/>
      <c r="AN191" s="870"/>
      <c r="AO191" s="840"/>
      <c r="AP191" s="884">
        <f>Calculos_cuotas!T1327</f>
        <v>0</v>
      </c>
      <c r="AQ191" s="840"/>
      <c r="AR191" s="1364" t="str">
        <f>IF(ISBLANK(D191),"",IF(SUM(Z191:AH191)&lt;1,"Error: al menos debe haber 1 puesto fijo",IF(SUM(Z191:AN191)&lt;Calculos_cuotas!T1309,CONCATENATE("Error: al menos debe haber ",Calculos_cuotas!T1309," puestos"),"")))</f>
        <v/>
      </c>
      <c r="AS191" s="840"/>
      <c r="CD191" s="1489"/>
      <c r="CE191" s="1490"/>
      <c r="CF191" s="1489"/>
      <c r="CG191" s="1489"/>
      <c r="CH191" s="1501"/>
      <c r="CI191" s="1489"/>
      <c r="CJ191" s="1489"/>
      <c r="CK191" s="1489"/>
      <c r="CL191" s="1489"/>
      <c r="CM191" s="1489"/>
      <c r="CN191" s="1489"/>
      <c r="CO191" s="1489"/>
      <c r="CP191" s="1489"/>
      <c r="CQ191" s="1489"/>
      <c r="CR191" s="1489"/>
      <c r="CS191" s="1489"/>
      <c r="CT191" s="1507"/>
      <c r="CU191" s="1507"/>
      <c r="CV191" s="1507"/>
      <c r="CW191" s="1507"/>
      <c r="CX191" s="1507"/>
      <c r="CY191" s="1507"/>
      <c r="CZ191" s="1507"/>
      <c r="DA191" s="1507"/>
      <c r="DB191" s="1507"/>
      <c r="DC191" s="1507"/>
      <c r="DD191" s="1507"/>
    </row>
    <row r="192" spans="1:108" s="841" customFormat="1" ht="11.25" hidden="1" customHeight="1" thickTop="1">
      <c r="A192" s="840"/>
      <c r="B192" s="1325"/>
      <c r="C192" s="840"/>
      <c r="D192" s="1345">
        <f>Calculos_cuotas!U1310</f>
        <v>0</v>
      </c>
      <c r="E192" s="1345">
        <f>Calculos_cuotas!V1310</f>
        <v>0</v>
      </c>
      <c r="F192" s="1325"/>
      <c r="G192" s="840"/>
      <c r="H192" s="1325"/>
      <c r="I192" s="840"/>
      <c r="J192" s="1325"/>
      <c r="K192" s="840"/>
      <c r="L192" s="1325"/>
      <c r="M192" s="840"/>
      <c r="N192" s="1325"/>
      <c r="O192" s="840"/>
      <c r="P192" s="1325"/>
      <c r="Q192" s="840"/>
      <c r="R192" s="1360"/>
      <c r="S192" s="840"/>
      <c r="T192" s="1325"/>
      <c r="U192" s="840"/>
      <c r="V192" s="1325"/>
      <c r="W192" s="840"/>
      <c r="X192" s="1325"/>
      <c r="Y192" s="840"/>
      <c r="Z192" s="1325"/>
      <c r="AA192" s="1212"/>
      <c r="AB192" s="1325"/>
      <c r="AC192" s="1212"/>
      <c r="AD192" s="1325"/>
      <c r="AE192" s="1212"/>
      <c r="AF192" s="1325"/>
      <c r="AG192" s="1212"/>
      <c r="AH192" s="1325"/>
      <c r="AI192" s="840"/>
      <c r="AJ192" s="1325"/>
      <c r="AK192" s="840"/>
      <c r="AL192" s="1325"/>
      <c r="AM192" s="840"/>
      <c r="AN192" s="1325"/>
      <c r="AO192" s="840"/>
      <c r="AP192" s="1325"/>
      <c r="AQ192" s="840"/>
      <c r="AR192" s="1364"/>
      <c r="AS192" s="840"/>
      <c r="CD192" s="1489"/>
      <c r="CE192" s="1490"/>
      <c r="CF192" s="1489"/>
      <c r="CG192" s="1489"/>
      <c r="CH192" s="1501"/>
      <c r="CI192" s="1489"/>
      <c r="CJ192" s="1489"/>
      <c r="CK192" s="1489"/>
      <c r="CL192" s="1489"/>
      <c r="CM192" s="1489"/>
      <c r="CN192" s="1489"/>
      <c r="CO192" s="1489"/>
      <c r="CP192" s="1489"/>
      <c r="CQ192" s="1489"/>
      <c r="CR192" s="1489"/>
      <c r="CS192" s="1489"/>
      <c r="CT192" s="1507"/>
      <c r="CU192" s="1507"/>
      <c r="CV192" s="1507"/>
      <c r="CW192" s="1507"/>
      <c r="CX192" s="1507"/>
      <c r="CY192" s="1507"/>
      <c r="CZ192" s="1507"/>
      <c r="DA192" s="1507"/>
      <c r="DB192" s="1507"/>
      <c r="DC192" s="1507"/>
      <c r="DD192" s="1507"/>
    </row>
    <row r="193" spans="1:108" s="841" customFormat="1" ht="21" hidden="1" customHeight="1" thickBot="1">
      <c r="A193" s="840"/>
      <c r="B193" s="870"/>
      <c r="C193" s="840"/>
      <c r="D193" s="870"/>
      <c r="E193" s="840"/>
      <c r="F193" s="870"/>
      <c r="G193" s="840"/>
      <c r="H193" s="870"/>
      <c r="I193" s="840"/>
      <c r="J193" s="870"/>
      <c r="K193" s="840"/>
      <c r="L193" s="870"/>
      <c r="M193" s="840"/>
      <c r="N193" s="870"/>
      <c r="O193" s="840"/>
      <c r="P193" s="870"/>
      <c r="Q193" s="840"/>
      <c r="R193" s="870"/>
      <c r="S193" s="840"/>
      <c r="T193" s="870"/>
      <c r="U193" s="840"/>
      <c r="V193" s="870"/>
      <c r="W193" s="840"/>
      <c r="X193" s="870"/>
      <c r="Y193" s="840"/>
      <c r="Z193" s="870"/>
      <c r="AA193" s="1212"/>
      <c r="AB193" s="870"/>
      <c r="AC193" s="1212"/>
      <c r="AD193" s="870"/>
      <c r="AE193" s="1212"/>
      <c r="AF193" s="870"/>
      <c r="AG193" s="1212"/>
      <c r="AH193" s="870"/>
      <c r="AI193" s="840"/>
      <c r="AJ193" s="870"/>
      <c r="AK193" s="840"/>
      <c r="AL193" s="870"/>
      <c r="AM193" s="840"/>
      <c r="AN193" s="870"/>
      <c r="AO193" s="840"/>
      <c r="AP193" s="884">
        <f>Calculos_cuotas!T1328</f>
        <v>0</v>
      </c>
      <c r="AQ193" s="840"/>
      <c r="AR193" s="1364" t="str">
        <f>IF(ISBLANK(D193),"",IF(SUM(Z193:AH193)&lt;1,"Error: al menos debe haber 1 puesto fijo",IF(SUM(Z193:AN193)&lt;Calculos_cuotas!T1310,CONCATENATE("Error: al menos debe haber ",Calculos_cuotas!T1310," puestos"),"")))</f>
        <v/>
      </c>
      <c r="AS193" s="840"/>
      <c r="CD193" s="1489"/>
      <c r="CE193" s="1490"/>
      <c r="CF193" s="1489"/>
      <c r="CG193" s="1489"/>
      <c r="CH193" s="1501"/>
      <c r="CI193" s="1489"/>
      <c r="CJ193" s="1489"/>
      <c r="CK193" s="1489"/>
      <c r="CL193" s="1489"/>
      <c r="CM193" s="1489"/>
      <c r="CN193" s="1489"/>
      <c r="CO193" s="1489"/>
      <c r="CP193" s="1489"/>
      <c r="CQ193" s="1489"/>
      <c r="CR193" s="1489"/>
      <c r="CS193" s="1489"/>
      <c r="CT193" s="1507"/>
      <c r="CU193" s="1507"/>
      <c r="CV193" s="1507"/>
      <c r="CW193" s="1507"/>
      <c r="CX193" s="1507"/>
      <c r="CY193" s="1507"/>
      <c r="CZ193" s="1507"/>
      <c r="DA193" s="1507"/>
      <c r="DB193" s="1507"/>
      <c r="DC193" s="1507"/>
      <c r="DD193" s="1507"/>
    </row>
    <row r="194" spans="1:108" s="841" customFormat="1" ht="11.25" hidden="1" customHeight="1" thickTop="1">
      <c r="A194" s="840"/>
      <c r="B194" s="1325"/>
      <c r="C194" s="840"/>
      <c r="D194" s="1345">
        <f>Calculos_cuotas!U1311</f>
        <v>0</v>
      </c>
      <c r="E194" s="1345">
        <f>Calculos_cuotas!V1311</f>
        <v>0</v>
      </c>
      <c r="F194" s="1325"/>
      <c r="G194" s="840"/>
      <c r="H194" s="1325"/>
      <c r="I194" s="840"/>
      <c r="J194" s="1325"/>
      <c r="K194" s="840"/>
      <c r="L194" s="1325"/>
      <c r="M194" s="840"/>
      <c r="N194" s="1325"/>
      <c r="O194" s="840"/>
      <c r="P194" s="1325"/>
      <c r="Q194" s="840"/>
      <c r="R194" s="1360"/>
      <c r="S194" s="840"/>
      <c r="T194" s="1325"/>
      <c r="U194" s="840"/>
      <c r="V194" s="1325"/>
      <c r="W194" s="840"/>
      <c r="X194" s="1325"/>
      <c r="Y194" s="840"/>
      <c r="Z194" s="1325"/>
      <c r="AA194" s="1212"/>
      <c r="AB194" s="1325"/>
      <c r="AC194" s="1212"/>
      <c r="AD194" s="1325"/>
      <c r="AE194" s="1212"/>
      <c r="AF194" s="1325"/>
      <c r="AG194" s="1212"/>
      <c r="AH194" s="1325"/>
      <c r="AI194" s="840"/>
      <c r="AJ194" s="1325"/>
      <c r="AK194" s="840"/>
      <c r="AL194" s="1325"/>
      <c r="AM194" s="840"/>
      <c r="AN194" s="1325"/>
      <c r="AO194" s="840"/>
      <c r="AP194" s="1325"/>
      <c r="AQ194" s="840"/>
      <c r="AR194" s="1364"/>
      <c r="AS194" s="840"/>
      <c r="CD194" s="1489"/>
      <c r="CE194" s="1490"/>
      <c r="CF194" s="1489"/>
      <c r="CG194" s="1489"/>
      <c r="CH194" s="1501"/>
      <c r="CI194" s="1489"/>
      <c r="CJ194" s="1489"/>
      <c r="CK194" s="1489"/>
      <c r="CL194" s="1489"/>
      <c r="CM194" s="1489"/>
      <c r="CN194" s="1489"/>
      <c r="CO194" s="1489"/>
      <c r="CP194" s="1489"/>
      <c r="CQ194" s="1489"/>
      <c r="CR194" s="1489"/>
      <c r="CS194" s="1489"/>
      <c r="CT194" s="1507"/>
      <c r="CU194" s="1507"/>
      <c r="CV194" s="1507"/>
      <c r="CW194" s="1507"/>
      <c r="CX194" s="1507"/>
      <c r="CY194" s="1507"/>
      <c r="CZ194" s="1507"/>
      <c r="DA194" s="1507"/>
      <c r="DB194" s="1507"/>
      <c r="DC194" s="1507"/>
      <c r="DD194" s="1507"/>
    </row>
    <row r="195" spans="1:108" s="841" customFormat="1" ht="21" hidden="1" customHeight="1" thickBot="1">
      <c r="A195" s="840"/>
      <c r="B195" s="870"/>
      <c r="C195" s="840"/>
      <c r="D195" s="870"/>
      <c r="E195" s="840"/>
      <c r="F195" s="870"/>
      <c r="G195" s="840"/>
      <c r="H195" s="870"/>
      <c r="I195" s="840"/>
      <c r="J195" s="870"/>
      <c r="K195" s="840"/>
      <c r="L195" s="870"/>
      <c r="M195" s="840"/>
      <c r="N195" s="870"/>
      <c r="O195" s="840"/>
      <c r="P195" s="870"/>
      <c r="Q195" s="840"/>
      <c r="R195" s="870"/>
      <c r="S195" s="840"/>
      <c r="T195" s="870"/>
      <c r="U195" s="840"/>
      <c r="V195" s="870"/>
      <c r="W195" s="840"/>
      <c r="X195" s="870"/>
      <c r="Y195" s="840"/>
      <c r="Z195" s="870"/>
      <c r="AA195" s="1212"/>
      <c r="AB195" s="870"/>
      <c r="AC195" s="1212"/>
      <c r="AD195" s="870"/>
      <c r="AE195" s="1212"/>
      <c r="AF195" s="870"/>
      <c r="AG195" s="1212"/>
      <c r="AH195" s="870"/>
      <c r="AI195" s="840"/>
      <c r="AJ195" s="870"/>
      <c r="AK195" s="840"/>
      <c r="AL195" s="870"/>
      <c r="AM195" s="840"/>
      <c r="AN195" s="870"/>
      <c r="AO195" s="840"/>
      <c r="AP195" s="884">
        <f>Calculos_cuotas!T1329</f>
        <v>0</v>
      </c>
      <c r="AQ195" s="840"/>
      <c r="AR195" s="1364" t="str">
        <f>IF(ISBLANK(D195),"",IF(SUM(Z195:AH195)&lt;1,"Error: al menos debe haber 1 puesto fijo",IF(SUM(Z195:AN195)&lt;Calculos_cuotas!T1311,CONCATENATE("Error: al menos debe haber ",Calculos_cuotas!T1311," puestos"),"")))</f>
        <v/>
      </c>
      <c r="AS195" s="840"/>
      <c r="CD195" s="1489"/>
      <c r="CE195" s="1490"/>
      <c r="CF195" s="1489"/>
      <c r="CG195" s="1489"/>
      <c r="CH195" s="1501"/>
      <c r="CI195" s="1489"/>
      <c r="CJ195" s="1489"/>
      <c r="CK195" s="1489"/>
      <c r="CL195" s="1489"/>
      <c r="CM195" s="1489"/>
      <c r="CN195" s="1489"/>
      <c r="CO195" s="1489"/>
      <c r="CP195" s="1489"/>
      <c r="CQ195" s="1489"/>
      <c r="CR195" s="1489"/>
      <c r="CS195" s="1489"/>
      <c r="CT195" s="1507"/>
      <c r="CU195" s="1507"/>
      <c r="CV195" s="1507"/>
      <c r="CW195" s="1507"/>
      <c r="CX195" s="1507"/>
      <c r="CY195" s="1507"/>
      <c r="CZ195" s="1507"/>
      <c r="DA195" s="1507"/>
      <c r="DB195" s="1507"/>
      <c r="DC195" s="1507"/>
      <c r="DD195" s="1507"/>
    </row>
    <row r="196" spans="1:108" s="841" customFormat="1" ht="11.25" hidden="1" customHeight="1" thickTop="1">
      <c r="A196" s="840"/>
      <c r="B196" s="1325"/>
      <c r="C196" s="840"/>
      <c r="D196" s="1345">
        <f>Calculos_cuotas!U1312</f>
        <v>0</v>
      </c>
      <c r="E196" s="1345">
        <f>Calculos_cuotas!V1312</f>
        <v>0</v>
      </c>
      <c r="F196" s="1325"/>
      <c r="G196" s="840"/>
      <c r="H196" s="1325"/>
      <c r="I196" s="840"/>
      <c r="J196" s="1325"/>
      <c r="K196" s="840"/>
      <c r="L196" s="1325"/>
      <c r="M196" s="840"/>
      <c r="N196" s="1325"/>
      <c r="O196" s="840"/>
      <c r="P196" s="1325"/>
      <c r="Q196" s="840"/>
      <c r="R196" s="1360"/>
      <c r="S196" s="840"/>
      <c r="T196" s="1325"/>
      <c r="U196" s="840"/>
      <c r="V196" s="1325"/>
      <c r="W196" s="840"/>
      <c r="X196" s="1325"/>
      <c r="Y196" s="840"/>
      <c r="Z196" s="1325"/>
      <c r="AA196" s="1212"/>
      <c r="AB196" s="1325"/>
      <c r="AC196" s="1212"/>
      <c r="AD196" s="1325"/>
      <c r="AE196" s="1212"/>
      <c r="AF196" s="1325"/>
      <c r="AG196" s="1212"/>
      <c r="AH196" s="1325"/>
      <c r="AI196" s="840"/>
      <c r="AJ196" s="1325"/>
      <c r="AK196" s="840"/>
      <c r="AL196" s="1325"/>
      <c r="AM196" s="840"/>
      <c r="AN196" s="1325"/>
      <c r="AO196" s="840"/>
      <c r="AP196" s="1325"/>
      <c r="AQ196" s="840"/>
      <c r="AR196" s="1364"/>
      <c r="AS196" s="840"/>
      <c r="CD196" s="1489"/>
      <c r="CE196" s="1490"/>
      <c r="CF196" s="1489"/>
      <c r="CG196" s="1489"/>
      <c r="CH196" s="1501"/>
      <c r="CI196" s="1489"/>
      <c r="CJ196" s="1489"/>
      <c r="CK196" s="1489"/>
      <c r="CL196" s="1489"/>
      <c r="CM196" s="1489"/>
      <c r="CN196" s="1489"/>
      <c r="CO196" s="1489"/>
      <c r="CP196" s="1489"/>
      <c r="CQ196" s="1489"/>
      <c r="CR196" s="1489"/>
      <c r="CS196" s="1489"/>
      <c r="CT196" s="1507"/>
      <c r="CU196" s="1507"/>
      <c r="CV196" s="1507"/>
      <c r="CW196" s="1507"/>
      <c r="CX196" s="1507"/>
      <c r="CY196" s="1507"/>
      <c r="CZ196" s="1507"/>
      <c r="DA196" s="1507"/>
      <c r="DB196" s="1507"/>
      <c r="DC196" s="1507"/>
      <c r="DD196" s="1507"/>
    </row>
    <row r="197" spans="1:108" s="841" customFormat="1" ht="21" hidden="1" customHeight="1" thickBot="1">
      <c r="A197" s="840"/>
      <c r="B197" s="870"/>
      <c r="C197" s="840"/>
      <c r="D197" s="870"/>
      <c r="E197" s="840"/>
      <c r="F197" s="870"/>
      <c r="G197" s="840"/>
      <c r="H197" s="870"/>
      <c r="I197" s="840"/>
      <c r="J197" s="870"/>
      <c r="K197" s="840"/>
      <c r="L197" s="870"/>
      <c r="M197" s="840"/>
      <c r="N197" s="870"/>
      <c r="O197" s="840"/>
      <c r="P197" s="870"/>
      <c r="Q197" s="840"/>
      <c r="R197" s="870"/>
      <c r="S197" s="840"/>
      <c r="T197" s="870"/>
      <c r="U197" s="840"/>
      <c r="V197" s="870"/>
      <c r="W197" s="840"/>
      <c r="X197" s="870"/>
      <c r="Y197" s="840"/>
      <c r="Z197" s="870"/>
      <c r="AA197" s="1212"/>
      <c r="AB197" s="870"/>
      <c r="AC197" s="1212"/>
      <c r="AD197" s="870"/>
      <c r="AE197" s="1212"/>
      <c r="AF197" s="870"/>
      <c r="AG197" s="1212"/>
      <c r="AH197" s="870"/>
      <c r="AI197" s="840"/>
      <c r="AJ197" s="870"/>
      <c r="AK197" s="840"/>
      <c r="AL197" s="870"/>
      <c r="AM197" s="840"/>
      <c r="AN197" s="870"/>
      <c r="AO197" s="840"/>
      <c r="AP197" s="884">
        <f>Calculos_cuotas!T1330</f>
        <v>0</v>
      </c>
      <c r="AQ197" s="840"/>
      <c r="AR197" s="1364" t="str">
        <f>IF(ISBLANK(D197),"",IF(SUM(Z197:AH197)&lt;1,"Error: al menos debe haber 1 puesto fijo",IF(SUM(Z197:AN197)&lt;Calculos_cuotas!T1312,CONCATENATE("Error: al menos debe haber ",Calculos_cuotas!T1312," puestos"),"")))</f>
        <v/>
      </c>
      <c r="AS197" s="840"/>
      <c r="CD197" s="1489"/>
      <c r="CE197" s="1490"/>
      <c r="CF197" s="1489"/>
      <c r="CG197" s="1489"/>
      <c r="CH197" s="1501"/>
      <c r="CI197" s="1489"/>
      <c r="CJ197" s="1489"/>
      <c r="CK197" s="1489"/>
      <c r="CL197" s="1489"/>
      <c r="CM197" s="1489"/>
      <c r="CN197" s="1489"/>
      <c r="CO197" s="1489"/>
      <c r="CP197" s="1489"/>
      <c r="CQ197" s="1489"/>
      <c r="CR197" s="1489"/>
      <c r="CS197" s="1489"/>
      <c r="CT197" s="1507"/>
      <c r="CU197" s="1507"/>
      <c r="CV197" s="1507"/>
      <c r="CW197" s="1507"/>
      <c r="CX197" s="1507"/>
      <c r="CY197" s="1507"/>
      <c r="CZ197" s="1507"/>
      <c r="DA197" s="1507"/>
      <c r="DB197" s="1507"/>
      <c r="DC197" s="1507"/>
      <c r="DD197" s="1507"/>
    </row>
    <row r="198" spans="1:108" s="841" customFormat="1" ht="11.25" hidden="1" customHeight="1" thickTop="1">
      <c r="A198" s="840"/>
      <c r="B198" s="1325"/>
      <c r="C198" s="840"/>
      <c r="D198" s="1345">
        <f>Calculos_cuotas!U1313</f>
        <v>0</v>
      </c>
      <c r="E198" s="1345">
        <f>Calculos_cuotas!V1313</f>
        <v>0</v>
      </c>
      <c r="F198" s="1325"/>
      <c r="G198" s="840"/>
      <c r="H198" s="1325"/>
      <c r="I198" s="840"/>
      <c r="J198" s="1325"/>
      <c r="K198" s="840"/>
      <c r="L198" s="1325"/>
      <c r="M198" s="840"/>
      <c r="N198" s="1325"/>
      <c r="O198" s="840"/>
      <c r="P198" s="1325"/>
      <c r="Q198" s="840"/>
      <c r="R198" s="1360"/>
      <c r="S198" s="840"/>
      <c r="T198" s="1325"/>
      <c r="U198" s="840"/>
      <c r="V198" s="1325"/>
      <c r="W198" s="840"/>
      <c r="X198" s="1325"/>
      <c r="Y198" s="840"/>
      <c r="Z198" s="1325"/>
      <c r="AA198" s="1212"/>
      <c r="AB198" s="1325"/>
      <c r="AC198" s="1212"/>
      <c r="AD198" s="1325"/>
      <c r="AE198" s="1212"/>
      <c r="AF198" s="1325"/>
      <c r="AG198" s="1212"/>
      <c r="AH198" s="1325"/>
      <c r="AI198" s="840"/>
      <c r="AJ198" s="1325"/>
      <c r="AK198" s="840"/>
      <c r="AL198" s="1325"/>
      <c r="AM198" s="840"/>
      <c r="AN198" s="1325"/>
      <c r="AO198" s="840"/>
      <c r="AP198" s="1325"/>
      <c r="AQ198" s="840"/>
      <c r="AR198" s="1364"/>
      <c r="AS198" s="840"/>
      <c r="CD198" s="1489"/>
      <c r="CE198" s="1490"/>
      <c r="CF198" s="1489"/>
      <c r="CG198" s="1489"/>
      <c r="CH198" s="1501"/>
      <c r="CI198" s="1489"/>
      <c r="CJ198" s="1489"/>
      <c r="CK198" s="1489"/>
      <c r="CL198" s="1489"/>
      <c r="CM198" s="1489"/>
      <c r="CN198" s="1489"/>
      <c r="CO198" s="1489"/>
      <c r="CP198" s="1489"/>
      <c r="CQ198" s="1489"/>
      <c r="CR198" s="1489"/>
      <c r="CS198" s="1489"/>
      <c r="CT198" s="1507"/>
      <c r="CU198" s="1507"/>
      <c r="CV198" s="1507"/>
      <c r="CW198" s="1507"/>
      <c r="CX198" s="1507"/>
      <c r="CY198" s="1507"/>
      <c r="CZ198" s="1507"/>
      <c r="DA198" s="1507"/>
      <c r="DB198" s="1507"/>
      <c r="DC198" s="1507"/>
      <c r="DD198" s="1507"/>
    </row>
    <row r="199" spans="1:108" s="841" customFormat="1" ht="21" hidden="1" customHeight="1" thickBot="1">
      <c r="A199" s="840"/>
      <c r="B199" s="870"/>
      <c r="C199" s="840"/>
      <c r="D199" s="870"/>
      <c r="E199" s="840"/>
      <c r="F199" s="870"/>
      <c r="G199" s="840"/>
      <c r="H199" s="870"/>
      <c r="I199" s="840"/>
      <c r="J199" s="870"/>
      <c r="K199" s="840"/>
      <c r="L199" s="870"/>
      <c r="M199" s="840"/>
      <c r="N199" s="870"/>
      <c r="O199" s="840"/>
      <c r="P199" s="870"/>
      <c r="Q199" s="840"/>
      <c r="R199" s="870"/>
      <c r="S199" s="840"/>
      <c r="T199" s="870"/>
      <c r="U199" s="840"/>
      <c r="V199" s="870"/>
      <c r="W199" s="840"/>
      <c r="X199" s="870"/>
      <c r="Y199" s="840"/>
      <c r="Z199" s="870"/>
      <c r="AA199" s="1212"/>
      <c r="AB199" s="870"/>
      <c r="AC199" s="1212"/>
      <c r="AD199" s="870"/>
      <c r="AE199" s="1212"/>
      <c r="AF199" s="870"/>
      <c r="AG199" s="1212"/>
      <c r="AH199" s="870"/>
      <c r="AI199" s="840"/>
      <c r="AJ199" s="870"/>
      <c r="AK199" s="840"/>
      <c r="AL199" s="870"/>
      <c r="AM199" s="840"/>
      <c r="AN199" s="870"/>
      <c r="AO199" s="840"/>
      <c r="AP199" s="884">
        <f>Calculos_cuotas!T1331</f>
        <v>0</v>
      </c>
      <c r="AQ199" s="840"/>
      <c r="AR199" s="1364" t="str">
        <f>IF(ISBLANK(D199),"",IF(SUM(Z199:AH199)&lt;1,"Error: al menos debe haber 1 puesto fijo",IF(SUM(Z199:AN199)&lt;Calculos_cuotas!T1313,CONCATENATE("Error: al menos debe haber ",Calculos_cuotas!T1313," puestos"),"")))</f>
        <v/>
      </c>
      <c r="AS199" s="840"/>
      <c r="CD199" s="1489"/>
      <c r="CE199" s="1490"/>
      <c r="CF199" s="1489"/>
      <c r="CG199" s="1489"/>
      <c r="CH199" s="1501"/>
      <c r="CI199" s="1489"/>
      <c r="CJ199" s="1489"/>
      <c r="CK199" s="1489"/>
      <c r="CL199" s="1489"/>
      <c r="CM199" s="1489"/>
      <c r="CN199" s="1489"/>
      <c r="CO199" s="1489"/>
      <c r="CP199" s="1489"/>
      <c r="CQ199" s="1489"/>
      <c r="CR199" s="1489"/>
      <c r="CS199" s="1489"/>
      <c r="CT199" s="1507"/>
      <c r="CU199" s="1507"/>
      <c r="CV199" s="1507"/>
      <c r="CW199" s="1507"/>
      <c r="CX199" s="1507"/>
      <c r="CY199" s="1507"/>
      <c r="CZ199" s="1507"/>
      <c r="DA199" s="1507"/>
      <c r="DB199" s="1507"/>
      <c r="DC199" s="1507"/>
      <c r="DD199" s="1507"/>
    </row>
    <row r="200" spans="1:108" s="841" customFormat="1" ht="11.25" hidden="1" customHeight="1" thickTop="1">
      <c r="A200" s="840"/>
      <c r="B200" s="1325"/>
      <c r="C200" s="840"/>
      <c r="D200" s="1345">
        <f>Calculos_cuotas!U1314</f>
        <v>0</v>
      </c>
      <c r="E200" s="1345">
        <f>Calculos_cuotas!V1314</f>
        <v>0</v>
      </c>
      <c r="F200" s="1325"/>
      <c r="G200" s="840"/>
      <c r="H200" s="1325"/>
      <c r="I200" s="840"/>
      <c r="J200" s="1325"/>
      <c r="K200" s="840"/>
      <c r="L200" s="1325"/>
      <c r="M200" s="840"/>
      <c r="N200" s="1325"/>
      <c r="O200" s="840"/>
      <c r="P200" s="1325"/>
      <c r="Q200" s="840"/>
      <c r="R200" s="1360"/>
      <c r="S200" s="840"/>
      <c r="T200" s="1325"/>
      <c r="U200" s="840"/>
      <c r="V200" s="1325"/>
      <c r="W200" s="840"/>
      <c r="X200" s="1325"/>
      <c r="Y200" s="840"/>
      <c r="Z200" s="1325"/>
      <c r="AA200" s="1212"/>
      <c r="AB200" s="1325"/>
      <c r="AC200" s="1212"/>
      <c r="AD200" s="1325"/>
      <c r="AE200" s="1212"/>
      <c r="AF200" s="1325"/>
      <c r="AG200" s="1212"/>
      <c r="AH200" s="1325"/>
      <c r="AI200" s="840"/>
      <c r="AJ200" s="1325"/>
      <c r="AK200" s="840"/>
      <c r="AL200" s="1325"/>
      <c r="AM200" s="840"/>
      <c r="AN200" s="1325"/>
      <c r="AO200" s="840"/>
      <c r="AP200" s="1325"/>
      <c r="AQ200" s="840"/>
      <c r="AR200" s="1364"/>
      <c r="AS200" s="840"/>
      <c r="CD200" s="1489"/>
      <c r="CE200" s="1490"/>
      <c r="CF200" s="1489"/>
      <c r="CG200" s="1489"/>
      <c r="CH200" s="1501"/>
      <c r="CI200" s="1489"/>
      <c r="CJ200" s="1489"/>
      <c r="CK200" s="1489"/>
      <c r="CL200" s="1489"/>
      <c r="CM200" s="1489"/>
      <c r="CN200" s="1489"/>
      <c r="CO200" s="1489"/>
      <c r="CP200" s="1489"/>
      <c r="CQ200" s="1489"/>
      <c r="CR200" s="1489"/>
      <c r="CS200" s="1489"/>
      <c r="CT200" s="1507"/>
      <c r="CU200" s="1507"/>
      <c r="CV200" s="1507"/>
      <c r="CW200" s="1507"/>
      <c r="CX200" s="1507"/>
      <c r="CY200" s="1507"/>
      <c r="CZ200" s="1507"/>
      <c r="DA200" s="1507"/>
      <c r="DB200" s="1507"/>
      <c r="DC200" s="1507"/>
      <c r="DD200" s="1507"/>
    </row>
    <row r="201" spans="1:108" s="841" customFormat="1" ht="21" hidden="1" customHeight="1" thickBot="1">
      <c r="A201" s="840"/>
      <c r="B201" s="870"/>
      <c r="C201" s="840"/>
      <c r="D201" s="870"/>
      <c r="E201" s="840"/>
      <c r="F201" s="870"/>
      <c r="G201" s="840"/>
      <c r="H201" s="870"/>
      <c r="I201" s="840"/>
      <c r="J201" s="870"/>
      <c r="K201" s="840"/>
      <c r="L201" s="870"/>
      <c r="M201" s="840"/>
      <c r="N201" s="870"/>
      <c r="O201" s="840"/>
      <c r="P201" s="870"/>
      <c r="Q201" s="840"/>
      <c r="R201" s="870"/>
      <c r="S201" s="840"/>
      <c r="T201" s="870"/>
      <c r="U201" s="840"/>
      <c r="V201" s="870"/>
      <c r="W201" s="840"/>
      <c r="X201" s="870"/>
      <c r="Y201" s="840"/>
      <c r="Z201" s="870"/>
      <c r="AA201" s="1212"/>
      <c r="AB201" s="870"/>
      <c r="AC201" s="1212"/>
      <c r="AD201" s="870"/>
      <c r="AE201" s="1212"/>
      <c r="AF201" s="870"/>
      <c r="AG201" s="1212"/>
      <c r="AH201" s="870"/>
      <c r="AI201" s="840"/>
      <c r="AJ201" s="870"/>
      <c r="AK201" s="840"/>
      <c r="AL201" s="870"/>
      <c r="AM201" s="840"/>
      <c r="AN201" s="870"/>
      <c r="AO201" s="840"/>
      <c r="AP201" s="884">
        <f>Calculos_cuotas!T1332</f>
        <v>0</v>
      </c>
      <c r="AQ201" s="840"/>
      <c r="AR201" s="1364" t="str">
        <f>IF(ISBLANK(D201),"",IF(SUM(Z201:AH201)&lt;1,"Error: al menos debe haber 1 puesto fijo",IF(SUM(Z201:AN201)&lt;Calculos_cuotas!T1314,CONCATENATE("Error: al menos debe haber ",Calculos_cuotas!T1314," puestos"),"")))</f>
        <v/>
      </c>
      <c r="AS201" s="840"/>
      <c r="CD201" s="1489"/>
      <c r="CE201" s="1490"/>
      <c r="CF201" s="1489"/>
      <c r="CG201" s="1489"/>
      <c r="CH201" s="1501"/>
      <c r="CI201" s="1489"/>
      <c r="CJ201" s="1489"/>
      <c r="CK201" s="1489"/>
      <c r="CL201" s="1489"/>
      <c r="CM201" s="1489"/>
      <c r="CN201" s="1489"/>
      <c r="CO201" s="1489"/>
      <c r="CP201" s="1489"/>
      <c r="CQ201" s="1489"/>
      <c r="CR201" s="1489"/>
      <c r="CS201" s="1489"/>
      <c r="CT201" s="1507"/>
      <c r="CU201" s="1507"/>
      <c r="CV201" s="1507"/>
      <c r="CW201" s="1507"/>
      <c r="CX201" s="1507"/>
      <c r="CY201" s="1507"/>
      <c r="CZ201" s="1507"/>
      <c r="DA201" s="1507"/>
      <c r="DB201" s="1507"/>
      <c r="DC201" s="1507"/>
      <c r="DD201" s="1507"/>
    </row>
    <row r="202" spans="1:108" s="841" customFormat="1" ht="11.25" hidden="1" customHeight="1" thickTop="1">
      <c r="A202" s="840"/>
      <c r="B202" s="1325"/>
      <c r="C202" s="840"/>
      <c r="D202" s="1345">
        <f>Calculos_cuotas!U1315</f>
        <v>0</v>
      </c>
      <c r="E202" s="1345">
        <f>Calculos_cuotas!V1315</f>
        <v>0</v>
      </c>
      <c r="F202" s="1325"/>
      <c r="G202" s="840"/>
      <c r="H202" s="1325"/>
      <c r="I202" s="840"/>
      <c r="J202" s="1325"/>
      <c r="K202" s="840"/>
      <c r="L202" s="1325"/>
      <c r="M202" s="840"/>
      <c r="N202" s="1325"/>
      <c r="O202" s="840"/>
      <c r="P202" s="1325"/>
      <c r="Q202" s="840"/>
      <c r="R202" s="1360"/>
      <c r="S202" s="840"/>
      <c r="T202" s="1325"/>
      <c r="U202" s="840"/>
      <c r="V202" s="1325"/>
      <c r="W202" s="840"/>
      <c r="X202" s="1325"/>
      <c r="Y202" s="840"/>
      <c r="Z202" s="1325"/>
      <c r="AA202" s="1212"/>
      <c r="AB202" s="1325"/>
      <c r="AC202" s="1212"/>
      <c r="AD202" s="1325"/>
      <c r="AE202" s="1212"/>
      <c r="AF202" s="1325"/>
      <c r="AG202" s="1212"/>
      <c r="AH202" s="1325"/>
      <c r="AI202" s="840"/>
      <c r="AJ202" s="1325"/>
      <c r="AK202" s="840"/>
      <c r="AL202" s="1325"/>
      <c r="AM202" s="840"/>
      <c r="AN202" s="1325"/>
      <c r="AO202" s="840"/>
      <c r="AP202" s="1325"/>
      <c r="AQ202" s="840"/>
      <c r="AR202" s="1364"/>
      <c r="AS202" s="840"/>
      <c r="CD202" s="1489"/>
      <c r="CE202" s="1490"/>
      <c r="CF202" s="1489"/>
      <c r="CG202" s="1489"/>
      <c r="CH202" s="1501"/>
      <c r="CI202" s="1489"/>
      <c r="CJ202" s="1489"/>
      <c r="CK202" s="1489"/>
      <c r="CL202" s="1489"/>
      <c r="CM202" s="1489"/>
      <c r="CN202" s="1489"/>
      <c r="CO202" s="1489"/>
      <c r="CP202" s="1489"/>
      <c r="CQ202" s="1489"/>
      <c r="CR202" s="1489"/>
      <c r="CS202" s="1489"/>
      <c r="CT202" s="1507"/>
      <c r="CU202" s="1507"/>
      <c r="CV202" s="1507"/>
      <c r="CW202" s="1507"/>
      <c r="CX202" s="1507"/>
      <c r="CY202" s="1507"/>
      <c r="CZ202" s="1507"/>
      <c r="DA202" s="1507"/>
      <c r="DB202" s="1507"/>
      <c r="DC202" s="1507"/>
      <c r="DD202" s="1507"/>
    </row>
    <row r="203" spans="1:108" s="841" customFormat="1" ht="21" hidden="1" customHeight="1" thickBot="1">
      <c r="A203" s="840"/>
      <c r="B203" s="870"/>
      <c r="C203" s="840"/>
      <c r="D203" s="870"/>
      <c r="E203" s="840"/>
      <c r="F203" s="870"/>
      <c r="G203" s="840"/>
      <c r="H203" s="870"/>
      <c r="I203" s="840"/>
      <c r="J203" s="870"/>
      <c r="K203" s="840"/>
      <c r="L203" s="870"/>
      <c r="M203" s="840"/>
      <c r="N203" s="870"/>
      <c r="O203" s="840"/>
      <c r="P203" s="870"/>
      <c r="Q203" s="840"/>
      <c r="R203" s="870"/>
      <c r="S203" s="840"/>
      <c r="T203" s="870"/>
      <c r="U203" s="840"/>
      <c r="V203" s="870"/>
      <c r="W203" s="840"/>
      <c r="X203" s="870"/>
      <c r="Y203" s="840"/>
      <c r="Z203" s="870"/>
      <c r="AA203" s="1212"/>
      <c r="AB203" s="870"/>
      <c r="AC203" s="1212"/>
      <c r="AD203" s="870"/>
      <c r="AE203" s="1212"/>
      <c r="AF203" s="870"/>
      <c r="AG203" s="1212"/>
      <c r="AH203" s="870"/>
      <c r="AI203" s="840"/>
      <c r="AJ203" s="870"/>
      <c r="AK203" s="840"/>
      <c r="AL203" s="870"/>
      <c r="AM203" s="840"/>
      <c r="AN203" s="870"/>
      <c r="AO203" s="840"/>
      <c r="AP203" s="884">
        <f>Calculos_cuotas!T1333</f>
        <v>0</v>
      </c>
      <c r="AQ203" s="840"/>
      <c r="AR203" s="1364" t="str">
        <f>IF(ISBLANK(D203),"",IF(SUM(Z203:AH203)&lt;1,"Error: al menos debe haber 1 puesto fijo",IF(SUM(Z203:AN203)&lt;Calculos_cuotas!T1315,CONCATENATE("Error: al menos debe haber ",Calculos_cuotas!T1315," puestos"),"")))</f>
        <v/>
      </c>
      <c r="AS203" s="840"/>
      <c r="CD203" s="1489"/>
      <c r="CE203" s="1490"/>
      <c r="CF203" s="1489"/>
      <c r="CG203" s="1489"/>
      <c r="CH203" s="1501"/>
      <c r="CI203" s="1489"/>
      <c r="CJ203" s="1489"/>
      <c r="CK203" s="1489"/>
      <c r="CL203" s="1489"/>
      <c r="CM203" s="1489"/>
      <c r="CN203" s="1489"/>
      <c r="CO203" s="1489"/>
      <c r="CP203" s="1489"/>
      <c r="CQ203" s="1489"/>
      <c r="CR203" s="1489"/>
      <c r="CS203" s="1489"/>
      <c r="CT203" s="1507"/>
      <c r="CU203" s="1507"/>
      <c r="CV203" s="1507"/>
      <c r="CW203" s="1507"/>
      <c r="CX203" s="1507"/>
      <c r="CY203" s="1507"/>
      <c r="CZ203" s="1507"/>
      <c r="DA203" s="1507"/>
      <c r="DB203" s="1507"/>
      <c r="DC203" s="1507"/>
      <c r="DD203" s="1507"/>
    </row>
    <row r="204" spans="1:108" s="841" customFormat="1" ht="11.25" hidden="1" customHeight="1" thickTop="1">
      <c r="A204" s="840"/>
      <c r="B204" s="1325"/>
      <c r="C204" s="840"/>
      <c r="D204" s="1345">
        <f>Calculos_cuotas!U1316</f>
        <v>0</v>
      </c>
      <c r="E204" s="1345">
        <f>Calculos_cuotas!V1316</f>
        <v>0</v>
      </c>
      <c r="F204" s="1325"/>
      <c r="G204" s="840"/>
      <c r="H204" s="1325"/>
      <c r="I204" s="840"/>
      <c r="J204" s="1325"/>
      <c r="K204" s="840"/>
      <c r="L204" s="1325"/>
      <c r="M204" s="840"/>
      <c r="N204" s="1325"/>
      <c r="O204" s="840"/>
      <c r="P204" s="1325"/>
      <c r="Q204" s="840"/>
      <c r="R204" s="1360"/>
      <c r="S204" s="840"/>
      <c r="T204" s="1325"/>
      <c r="U204" s="840"/>
      <c r="V204" s="1325"/>
      <c r="W204" s="840"/>
      <c r="X204" s="1325"/>
      <c r="Y204" s="840"/>
      <c r="Z204" s="1325"/>
      <c r="AA204" s="1212"/>
      <c r="AB204" s="1325"/>
      <c r="AC204" s="1212"/>
      <c r="AD204" s="1325"/>
      <c r="AE204" s="1212"/>
      <c r="AF204" s="1325"/>
      <c r="AG204" s="1212"/>
      <c r="AH204" s="1325"/>
      <c r="AI204" s="840"/>
      <c r="AJ204" s="1325"/>
      <c r="AK204" s="840"/>
      <c r="AL204" s="1325"/>
      <c r="AM204" s="840"/>
      <c r="AN204" s="1325"/>
      <c r="AO204" s="840"/>
      <c r="AP204" s="1325"/>
      <c r="AQ204" s="840"/>
      <c r="AR204" s="1364"/>
      <c r="AS204" s="840"/>
      <c r="CD204" s="1489"/>
      <c r="CE204" s="1490"/>
      <c r="CF204" s="1489"/>
      <c r="CG204" s="1489"/>
      <c r="CH204" s="1501"/>
      <c r="CI204" s="1489"/>
      <c r="CJ204" s="1489"/>
      <c r="CK204" s="1489"/>
      <c r="CL204" s="1489"/>
      <c r="CM204" s="1489"/>
      <c r="CN204" s="1489"/>
      <c r="CO204" s="1489"/>
      <c r="CP204" s="1489"/>
      <c r="CQ204" s="1489"/>
      <c r="CR204" s="1489"/>
      <c r="CS204" s="1489"/>
      <c r="CT204" s="1507"/>
      <c r="CU204" s="1507"/>
      <c r="CV204" s="1507"/>
      <c r="CW204" s="1507"/>
      <c r="CX204" s="1507"/>
      <c r="CY204" s="1507"/>
      <c r="CZ204" s="1507"/>
      <c r="DA204" s="1507"/>
      <c r="DB204" s="1507"/>
      <c r="DC204" s="1507"/>
      <c r="DD204" s="1507"/>
    </row>
    <row r="205" spans="1:108" s="841" customFormat="1" ht="21" hidden="1" customHeight="1" thickBot="1">
      <c r="A205" s="840"/>
      <c r="B205" s="870"/>
      <c r="C205" s="840"/>
      <c r="D205" s="870"/>
      <c r="E205" s="840"/>
      <c r="F205" s="870"/>
      <c r="G205" s="840"/>
      <c r="H205" s="870"/>
      <c r="I205" s="840"/>
      <c r="J205" s="870"/>
      <c r="K205" s="840"/>
      <c r="L205" s="870"/>
      <c r="M205" s="840"/>
      <c r="N205" s="870"/>
      <c r="O205" s="840"/>
      <c r="P205" s="870"/>
      <c r="Q205" s="840"/>
      <c r="R205" s="870"/>
      <c r="S205" s="840"/>
      <c r="T205" s="870"/>
      <c r="U205" s="840"/>
      <c r="V205" s="870"/>
      <c r="W205" s="840"/>
      <c r="X205" s="870"/>
      <c r="Y205" s="840"/>
      <c r="Z205" s="870"/>
      <c r="AA205" s="1212"/>
      <c r="AB205" s="870"/>
      <c r="AC205" s="1212"/>
      <c r="AD205" s="870"/>
      <c r="AE205" s="1212"/>
      <c r="AF205" s="870"/>
      <c r="AG205" s="1212"/>
      <c r="AH205" s="870"/>
      <c r="AI205" s="840"/>
      <c r="AJ205" s="870"/>
      <c r="AK205" s="840"/>
      <c r="AL205" s="870"/>
      <c r="AM205" s="840"/>
      <c r="AN205" s="870"/>
      <c r="AO205" s="840"/>
      <c r="AP205" s="884">
        <f>Calculos_cuotas!T1334</f>
        <v>0</v>
      </c>
      <c r="AQ205" s="840"/>
      <c r="AR205" s="1364" t="str">
        <f>IF(ISBLANK(D205),"",IF(SUM(Z205:AH205)&lt;1,"Error: al menos debe haber 1 puesto fijo",IF(SUM(Z205:AN205)&lt;Calculos_cuotas!T1316,CONCATENATE("Error: al menos debe haber ",Calculos_cuotas!T1316," puestos"),"")))</f>
        <v/>
      </c>
      <c r="AS205" s="840"/>
      <c r="CD205" s="1489"/>
      <c r="CE205" s="1490"/>
      <c r="CF205" s="1489"/>
      <c r="CG205" s="1489"/>
      <c r="CH205" s="1501"/>
      <c r="CI205" s="1489"/>
      <c r="CJ205" s="1489"/>
      <c r="CK205" s="1489"/>
      <c r="CL205" s="1489"/>
      <c r="CM205" s="1489"/>
      <c r="CN205" s="1489"/>
      <c r="CO205" s="1489"/>
      <c r="CP205" s="1489"/>
      <c r="CQ205" s="1489"/>
      <c r="CR205" s="1489"/>
      <c r="CS205" s="1489"/>
      <c r="CT205" s="1507"/>
      <c r="CU205" s="1507"/>
      <c r="CV205" s="1507"/>
      <c r="CW205" s="1507"/>
      <c r="CX205" s="1507"/>
      <c r="CY205" s="1507"/>
      <c r="CZ205" s="1507"/>
      <c r="DA205" s="1507"/>
      <c r="DB205" s="1507"/>
      <c r="DC205" s="1507"/>
      <c r="DD205" s="1507"/>
    </row>
    <row r="206" spans="1:108" s="841" customFormat="1">
      <c r="A206" s="840"/>
      <c r="B206" s="840"/>
      <c r="C206" s="840"/>
      <c r="D206" s="840"/>
      <c r="E206" s="840"/>
      <c r="F206" s="840"/>
      <c r="G206" s="840"/>
      <c r="H206" s="840"/>
      <c r="I206" s="840"/>
      <c r="J206" s="840"/>
      <c r="K206" s="840"/>
      <c r="L206" s="840"/>
      <c r="M206" s="840"/>
      <c r="N206" s="840"/>
      <c r="O206" s="840"/>
      <c r="P206" s="840"/>
      <c r="Q206" s="840"/>
      <c r="R206" s="840"/>
      <c r="S206" s="840"/>
      <c r="T206" s="840"/>
      <c r="U206" s="840"/>
      <c r="V206" s="840"/>
      <c r="W206" s="840"/>
      <c r="X206" s="840"/>
      <c r="Y206" s="840"/>
      <c r="Z206" s="1212"/>
      <c r="AA206" s="1212"/>
      <c r="AB206" s="1212"/>
      <c r="AC206" s="1212"/>
      <c r="AD206" s="1212"/>
      <c r="AE206" s="1212"/>
      <c r="AF206" s="1212"/>
      <c r="AG206" s="1212"/>
      <c r="AH206" s="1212"/>
      <c r="AI206" s="840"/>
      <c r="AJ206" s="840"/>
      <c r="AK206" s="840"/>
      <c r="AL206" s="840"/>
      <c r="AM206" s="840"/>
      <c r="AN206" s="840"/>
      <c r="AO206" s="840"/>
      <c r="AP206" s="840"/>
      <c r="AQ206" s="840"/>
      <c r="AR206" s="840"/>
      <c r="AS206" s="840"/>
      <c r="CD206" s="1489"/>
      <c r="CE206" s="1490"/>
      <c r="CF206" s="1489"/>
      <c r="CG206" s="1489"/>
      <c r="CH206" s="1501"/>
      <c r="CI206" s="1489"/>
      <c r="CJ206" s="1489"/>
      <c r="CK206" s="1489"/>
      <c r="CL206" s="1489"/>
      <c r="CM206" s="1489"/>
      <c r="CN206" s="1489"/>
      <c r="CO206" s="1489"/>
      <c r="CP206" s="1489"/>
      <c r="CQ206" s="1489"/>
      <c r="CR206" s="1489"/>
      <c r="CS206" s="1489"/>
      <c r="CT206" s="1507"/>
      <c r="CU206" s="1507"/>
      <c r="CV206" s="1507"/>
      <c r="CW206" s="1507"/>
      <c r="CX206" s="1507"/>
      <c r="CY206" s="1507"/>
      <c r="CZ206" s="1507"/>
      <c r="DA206" s="1507"/>
      <c r="DB206" s="1507"/>
      <c r="DC206" s="1507"/>
      <c r="DD206" s="1507"/>
    </row>
    <row r="207" spans="1:108" s="841" customFormat="1" ht="45.75" customHeight="1" thickBot="1">
      <c r="A207" s="840"/>
      <c r="B207" s="840"/>
      <c r="C207" s="840"/>
      <c r="D207" s="840"/>
      <c r="E207" s="840"/>
      <c r="F207" s="840"/>
      <c r="G207" s="840"/>
      <c r="H207" s="840"/>
      <c r="I207" s="840"/>
      <c r="J207" s="840"/>
      <c r="K207" s="840"/>
      <c r="L207" s="840"/>
      <c r="M207" s="840"/>
      <c r="N207" s="840"/>
      <c r="O207" s="840"/>
      <c r="P207" s="840"/>
      <c r="Q207" s="840"/>
      <c r="R207" s="840"/>
      <c r="S207" s="840"/>
      <c r="T207" s="840"/>
      <c r="U207" s="840"/>
      <c r="V207" s="840"/>
      <c r="W207" s="840"/>
      <c r="X207" s="840"/>
      <c r="Y207" s="840"/>
      <c r="Z207" s="1212"/>
      <c r="AA207" s="1212"/>
      <c r="AB207" s="1212"/>
      <c r="AC207" s="1212"/>
      <c r="AD207" s="1212"/>
      <c r="AE207" s="1212"/>
      <c r="AF207" s="1212"/>
      <c r="AG207" s="1212"/>
      <c r="AH207" s="1212"/>
      <c r="AI207" s="840"/>
      <c r="AJ207" s="840"/>
      <c r="AK207" s="840"/>
      <c r="AL207" s="840"/>
      <c r="AM207" s="840"/>
      <c r="AN207" s="1355" t="s">
        <v>51</v>
      </c>
      <c r="AO207" s="840"/>
      <c r="AP207" s="1480">
        <f>SUM(AP177:AP205)</f>
        <v>0</v>
      </c>
      <c r="AQ207" s="840"/>
      <c r="AR207" s="840"/>
      <c r="AS207" s="840"/>
      <c r="CD207" s="1489"/>
      <c r="CE207" s="1490"/>
      <c r="CF207" s="1489"/>
      <c r="CG207" s="1489"/>
      <c r="CH207" s="1501"/>
      <c r="CI207" s="1489"/>
      <c r="CJ207" s="1489"/>
      <c r="CK207" s="1489"/>
      <c r="CL207" s="1489"/>
      <c r="CM207" s="1489"/>
      <c r="CN207" s="1489"/>
      <c r="CO207" s="1489"/>
      <c r="CP207" s="1489"/>
      <c r="CQ207" s="1489"/>
      <c r="CR207" s="1489"/>
      <c r="CS207" s="1489"/>
      <c r="CT207" s="1507"/>
      <c r="CU207" s="1507"/>
      <c r="CV207" s="1507"/>
      <c r="CW207" s="1507"/>
      <c r="CX207" s="1507"/>
      <c r="CY207" s="1507"/>
      <c r="CZ207" s="1507"/>
      <c r="DA207" s="1507"/>
      <c r="DB207" s="1507"/>
      <c r="DC207" s="1507"/>
      <c r="DD207" s="1507"/>
    </row>
    <row r="208" spans="1:108" s="841" customFormat="1" ht="21" thickTop="1">
      <c r="A208" s="840"/>
      <c r="B208" s="840"/>
      <c r="C208" s="840"/>
      <c r="D208" s="840"/>
      <c r="E208" s="840"/>
      <c r="F208" s="840"/>
      <c r="G208" s="840"/>
      <c r="H208" s="840"/>
      <c r="I208" s="840"/>
      <c r="J208" s="840"/>
      <c r="K208" s="840"/>
      <c r="L208" s="840"/>
      <c r="M208" s="840"/>
      <c r="N208" s="840"/>
      <c r="O208" s="840"/>
      <c r="P208" s="840"/>
      <c r="Q208" s="840"/>
      <c r="R208" s="840"/>
      <c r="S208" s="840"/>
      <c r="T208" s="840"/>
      <c r="U208" s="840"/>
      <c r="V208" s="840"/>
      <c r="W208" s="840"/>
      <c r="X208" s="840"/>
      <c r="Y208" s="840"/>
      <c r="Z208" s="1212"/>
      <c r="AA208" s="1212"/>
      <c r="AB208" s="1212"/>
      <c r="AC208" s="1212"/>
      <c r="AD208" s="1212"/>
      <c r="AE208" s="1212"/>
      <c r="AF208" s="1212"/>
      <c r="AG208" s="1212"/>
      <c r="AH208" s="1212"/>
      <c r="AI208" s="840"/>
      <c r="AJ208" s="840"/>
      <c r="AK208" s="840"/>
      <c r="AL208" s="840"/>
      <c r="AM208" s="840"/>
      <c r="AN208" s="840"/>
      <c r="AO208" s="840"/>
      <c r="AP208" s="840"/>
      <c r="AQ208" s="840"/>
      <c r="AR208" s="840"/>
      <c r="AS208" s="840"/>
      <c r="CD208" s="1489"/>
      <c r="CE208" s="1490"/>
      <c r="CF208" s="1489"/>
      <c r="CG208" s="1489"/>
      <c r="CH208" s="1501"/>
      <c r="CI208" s="1489"/>
      <c r="CJ208" s="1489"/>
      <c r="CK208" s="1489"/>
      <c r="CL208" s="1489"/>
      <c r="CM208" s="1489"/>
      <c r="CN208" s="1489"/>
      <c r="CO208" s="1489"/>
      <c r="CP208" s="1489"/>
      <c r="CQ208" s="1489"/>
      <c r="CR208" s="1489"/>
      <c r="CS208" s="1489"/>
      <c r="CT208" s="1507"/>
      <c r="CU208" s="1507"/>
      <c r="CV208" s="1507"/>
      <c r="CW208" s="1507"/>
      <c r="CX208" s="1507"/>
      <c r="CY208" s="1507"/>
      <c r="CZ208" s="1507"/>
      <c r="DA208" s="1507"/>
      <c r="DB208" s="1507"/>
      <c r="DC208" s="1507"/>
      <c r="DD208" s="1507"/>
    </row>
    <row r="209" spans="2:223" ht="30">
      <c r="B209" s="2121" t="s">
        <v>1754</v>
      </c>
      <c r="C209" s="2121"/>
      <c r="D209" s="2121"/>
      <c r="E209" s="2121"/>
      <c r="F209" s="2121"/>
      <c r="G209" s="2121"/>
      <c r="H209" s="2121"/>
      <c r="I209" s="2121"/>
      <c r="J209" s="2121"/>
      <c r="K209" s="2121"/>
      <c r="L209" s="2121"/>
      <c r="M209" s="2121"/>
      <c r="N209" s="2121"/>
      <c r="O209" s="2121"/>
      <c r="P209" s="2121"/>
      <c r="Q209" s="2121"/>
      <c r="R209" s="2121"/>
      <c r="S209" s="2121"/>
      <c r="T209" s="2121"/>
      <c r="U209" s="2121"/>
      <c r="V209" s="2121"/>
      <c r="W209" s="2121"/>
      <c r="X209" s="2121"/>
      <c r="Y209" s="2121"/>
      <c r="Z209" s="2121"/>
      <c r="AA209" s="2121"/>
      <c r="AB209" s="2121"/>
      <c r="AC209" s="2121"/>
      <c r="AD209" s="2121"/>
      <c r="AE209" s="2121"/>
      <c r="AF209" s="2121"/>
      <c r="AG209" s="2121"/>
      <c r="AH209" s="2121"/>
      <c r="AI209" s="2121"/>
      <c r="AJ209" s="2121"/>
      <c r="AK209" s="2121"/>
      <c r="AL209" s="2121"/>
      <c r="AM209" s="2121"/>
      <c r="AN209" s="2121"/>
      <c r="AO209" s="2121"/>
      <c r="AP209" s="2121"/>
      <c r="AQ209" s="2121"/>
      <c r="AR209" s="1344"/>
      <c r="DS209" s="841"/>
      <c r="DT209" s="841"/>
      <c r="DU209" s="841"/>
      <c r="DV209" s="841"/>
      <c r="DW209" s="841"/>
      <c r="DX209" s="841"/>
      <c r="DY209" s="841"/>
      <c r="DZ209" s="841"/>
      <c r="EA209" s="841"/>
      <c r="EB209" s="841"/>
      <c r="EC209" s="841"/>
      <c r="ED209" s="841"/>
      <c r="EE209" s="841"/>
      <c r="EF209" s="841"/>
      <c r="EG209" s="841"/>
      <c r="EH209" s="841"/>
      <c r="EI209" s="841"/>
      <c r="EJ209" s="841"/>
      <c r="EK209" s="841"/>
      <c r="EL209" s="841"/>
      <c r="EM209" s="841"/>
      <c r="EN209" s="841"/>
      <c r="EO209" s="841"/>
      <c r="EP209" s="841"/>
      <c r="EQ209" s="841"/>
      <c r="ER209" s="841"/>
      <c r="ES209" s="841"/>
      <c r="ET209" s="841"/>
      <c r="EU209" s="841"/>
      <c r="EV209" s="841"/>
      <c r="EW209" s="841"/>
      <c r="EX209" s="841"/>
      <c r="EY209" s="841"/>
      <c r="EZ209" s="841"/>
      <c r="FA209" s="841"/>
      <c r="FB209" s="841"/>
      <c r="FC209" s="841"/>
      <c r="FD209" s="841"/>
      <c r="FE209" s="841"/>
      <c r="FF209" s="841"/>
      <c r="FG209" s="841"/>
      <c r="FH209" s="841"/>
      <c r="FI209" s="841"/>
      <c r="FJ209" s="841"/>
      <c r="FK209" s="841"/>
      <c r="FL209" s="841"/>
      <c r="FM209" s="841"/>
      <c r="FN209" s="841"/>
      <c r="FO209" s="841"/>
      <c r="FP209" s="841"/>
      <c r="FQ209" s="841"/>
      <c r="FR209" s="841"/>
      <c r="FS209" s="841"/>
      <c r="FT209" s="841"/>
      <c r="FU209" s="841"/>
      <c r="FV209" s="841"/>
      <c r="FW209" s="841"/>
      <c r="FX209" s="841"/>
      <c r="FY209" s="841"/>
      <c r="FZ209" s="841"/>
      <c r="GA209" s="841"/>
      <c r="GB209" s="841"/>
      <c r="GC209" s="841"/>
      <c r="GD209" s="841"/>
      <c r="GE209" s="841"/>
      <c r="GF209" s="841"/>
      <c r="GG209" s="841"/>
      <c r="GH209" s="841"/>
      <c r="GI209" s="841"/>
      <c r="GJ209" s="841"/>
      <c r="GK209" s="841"/>
      <c r="GL209" s="841"/>
      <c r="GM209" s="841"/>
      <c r="GN209" s="841"/>
      <c r="GO209" s="841"/>
      <c r="GP209" s="841"/>
      <c r="GQ209" s="841"/>
      <c r="GR209" s="841"/>
      <c r="GS209" s="841"/>
      <c r="GT209" s="841"/>
      <c r="GU209" s="841"/>
      <c r="GV209" s="841"/>
      <c r="GW209" s="841"/>
      <c r="GX209" s="841"/>
      <c r="GY209" s="841"/>
      <c r="GZ209" s="841"/>
      <c r="HA209" s="841"/>
      <c r="HB209" s="841"/>
      <c r="HC209" s="841"/>
      <c r="HD209" s="841"/>
      <c r="HE209" s="841"/>
      <c r="HF209" s="841"/>
      <c r="HG209" s="841"/>
      <c r="HH209" s="841"/>
      <c r="HI209" s="841"/>
      <c r="HJ209" s="841"/>
      <c r="HK209" s="841"/>
      <c r="HL209" s="841"/>
      <c r="HM209" s="841"/>
      <c r="HN209" s="841"/>
      <c r="HO209" s="841"/>
    </row>
    <row r="210" spans="2:223" ht="21" thickBot="1">
      <c r="B210" s="868"/>
      <c r="DS210" s="841"/>
      <c r="DT210" s="841"/>
      <c r="DU210" s="841"/>
      <c r="DV210" s="841"/>
      <c r="DW210" s="841"/>
      <c r="DX210" s="841"/>
      <c r="DY210" s="841"/>
      <c r="DZ210" s="841"/>
      <c r="EA210" s="841"/>
      <c r="EB210" s="841"/>
      <c r="EC210" s="841"/>
      <c r="ED210" s="841"/>
      <c r="EE210" s="841"/>
      <c r="EF210" s="841"/>
      <c r="EG210" s="841"/>
      <c r="EH210" s="841"/>
      <c r="EI210" s="841"/>
      <c r="EJ210" s="841"/>
      <c r="EK210" s="841"/>
      <c r="EL210" s="841"/>
      <c r="EM210" s="841"/>
      <c r="EN210" s="841"/>
      <c r="EO210" s="841"/>
      <c r="EP210" s="841"/>
      <c r="EQ210" s="841"/>
      <c r="ER210" s="841"/>
      <c r="ES210" s="841"/>
      <c r="ET210" s="841"/>
      <c r="EU210" s="841"/>
      <c r="EV210" s="841"/>
      <c r="EW210" s="841"/>
      <c r="EX210" s="841"/>
      <c r="EY210" s="841"/>
      <c r="EZ210" s="841"/>
      <c r="FA210" s="841"/>
      <c r="FB210" s="841"/>
      <c r="FC210" s="841"/>
      <c r="FD210" s="841"/>
      <c r="FE210" s="841"/>
      <c r="FF210" s="841"/>
      <c r="FG210" s="841"/>
      <c r="FH210" s="841"/>
      <c r="FI210" s="841"/>
      <c r="FJ210" s="841"/>
      <c r="FK210" s="841"/>
      <c r="FL210" s="841"/>
      <c r="FM210" s="841"/>
      <c r="FN210" s="841"/>
      <c r="FO210" s="841"/>
      <c r="FP210" s="841"/>
      <c r="FQ210" s="841"/>
      <c r="FR210" s="841"/>
      <c r="FS210" s="841"/>
      <c r="FT210" s="841"/>
      <c r="FU210" s="841"/>
      <c r="FV210" s="841"/>
      <c r="FW210" s="841"/>
      <c r="FX210" s="841"/>
      <c r="FY210" s="841"/>
      <c r="FZ210" s="841"/>
      <c r="GA210" s="841"/>
      <c r="GB210" s="841"/>
      <c r="GC210" s="841"/>
      <c r="GD210" s="841"/>
      <c r="GE210" s="841"/>
      <c r="GF210" s="841"/>
      <c r="GG210" s="841"/>
      <c r="GH210" s="841"/>
      <c r="GI210" s="841"/>
      <c r="GJ210" s="841"/>
      <c r="GK210" s="841"/>
      <c r="GL210" s="841"/>
      <c r="GM210" s="841"/>
      <c r="GN210" s="841"/>
      <c r="GO210" s="841"/>
      <c r="GP210" s="841"/>
      <c r="GQ210" s="841"/>
      <c r="GR210" s="841"/>
      <c r="GS210" s="841"/>
      <c r="GT210" s="841"/>
      <c r="GU210" s="841"/>
      <c r="GV210" s="841"/>
      <c r="GW210" s="841"/>
      <c r="GX210" s="841"/>
      <c r="GY210" s="841"/>
      <c r="GZ210" s="841"/>
      <c r="HA210" s="841"/>
      <c r="HB210" s="841"/>
      <c r="HC210" s="841"/>
      <c r="HD210" s="841"/>
      <c r="HE210" s="841"/>
      <c r="HF210" s="841"/>
      <c r="HG210" s="841"/>
      <c r="HH210" s="841"/>
      <c r="HI210" s="841"/>
      <c r="HJ210" s="841"/>
      <c r="HK210" s="841"/>
      <c r="HL210" s="841"/>
      <c r="HM210" s="841"/>
      <c r="HN210" s="841"/>
      <c r="HO210" s="841"/>
    </row>
    <row r="211" spans="2:223" ht="30.75" thickBot="1">
      <c r="B211" s="864" t="s">
        <v>419</v>
      </c>
      <c r="D211" s="864" t="s">
        <v>1088</v>
      </c>
      <c r="F211" s="864" t="s">
        <v>1752</v>
      </c>
      <c r="G211" s="891"/>
      <c r="H211" s="864" t="s">
        <v>1281</v>
      </c>
      <c r="I211" s="891"/>
      <c r="J211" s="864" t="s">
        <v>1742</v>
      </c>
      <c r="K211" s="891"/>
      <c r="L211" s="864" t="s">
        <v>1743</v>
      </c>
      <c r="M211" s="892"/>
      <c r="N211" s="864" t="s">
        <v>1744</v>
      </c>
      <c r="O211" s="891"/>
      <c r="P211" s="864" t="s">
        <v>1745</v>
      </c>
      <c r="Q211" s="891"/>
      <c r="R211" s="864" t="s">
        <v>1746</v>
      </c>
      <c r="S211" s="891"/>
      <c r="T211" s="864" t="s">
        <v>1747</v>
      </c>
      <c r="V211" s="864" t="s">
        <v>1748</v>
      </c>
      <c r="X211" s="864" t="s">
        <v>68</v>
      </c>
      <c r="Y211" s="891"/>
      <c r="Z211" s="864" t="s">
        <v>1749</v>
      </c>
      <c r="AA211" s="869"/>
      <c r="AB211" s="864" t="s">
        <v>1750</v>
      </c>
      <c r="AC211" s="1779"/>
      <c r="AD211" s="864" t="s">
        <v>1751</v>
      </c>
      <c r="AF211" s="1211" t="s">
        <v>51</v>
      </c>
      <c r="DS211" s="841"/>
      <c r="DT211" s="841"/>
      <c r="DU211" s="841"/>
      <c r="DV211" s="841"/>
      <c r="DW211" s="841"/>
      <c r="DX211" s="841"/>
      <c r="DY211" s="841"/>
      <c r="DZ211" s="841"/>
      <c r="EA211" s="841"/>
      <c r="EB211" s="841"/>
      <c r="EC211" s="841"/>
      <c r="ED211" s="841"/>
      <c r="EE211" s="841"/>
      <c r="EF211" s="841"/>
      <c r="EG211" s="841"/>
      <c r="EH211" s="841"/>
      <c r="EI211" s="841"/>
      <c r="EJ211" s="841"/>
      <c r="EK211" s="841"/>
      <c r="EL211" s="841"/>
      <c r="EM211" s="841"/>
      <c r="EN211" s="841"/>
      <c r="EO211" s="841"/>
      <c r="EP211" s="841"/>
      <c r="EQ211" s="841"/>
      <c r="ER211" s="841"/>
      <c r="ES211" s="841"/>
      <c r="ET211" s="841"/>
      <c r="EU211" s="841"/>
      <c r="EV211" s="841"/>
      <c r="EW211" s="841"/>
      <c r="EX211" s="841"/>
      <c r="EY211" s="841"/>
      <c r="EZ211" s="841"/>
      <c r="FA211" s="841"/>
      <c r="FB211" s="841"/>
      <c r="FC211" s="841"/>
      <c r="FD211" s="841"/>
      <c r="FE211" s="841"/>
      <c r="FF211" s="841"/>
      <c r="FG211" s="841"/>
      <c r="FH211" s="841"/>
      <c r="FI211" s="841"/>
      <c r="FJ211" s="841"/>
      <c r="FK211" s="841"/>
      <c r="FL211" s="841"/>
      <c r="FM211" s="841"/>
      <c r="FN211" s="841"/>
      <c r="FO211" s="841"/>
      <c r="FP211" s="841"/>
      <c r="FQ211" s="841"/>
      <c r="FR211" s="841"/>
      <c r="FS211" s="841"/>
      <c r="FT211" s="841"/>
      <c r="FU211" s="841"/>
      <c r="FV211" s="841"/>
      <c r="FW211" s="841"/>
      <c r="FX211" s="841"/>
      <c r="FY211" s="841"/>
      <c r="FZ211" s="841"/>
      <c r="GA211" s="841"/>
      <c r="GB211" s="841"/>
      <c r="GC211" s="841"/>
      <c r="GD211" s="841"/>
      <c r="GE211" s="841"/>
      <c r="GF211" s="841"/>
      <c r="GG211" s="841"/>
      <c r="GH211" s="841"/>
      <c r="GI211" s="841"/>
      <c r="GJ211" s="841"/>
      <c r="GK211" s="841"/>
      <c r="GL211" s="841"/>
      <c r="GM211" s="841"/>
      <c r="GN211" s="841"/>
      <c r="GO211" s="841"/>
      <c r="GP211" s="841"/>
      <c r="GQ211" s="841"/>
      <c r="GR211" s="841"/>
      <c r="GS211" s="841"/>
      <c r="GT211" s="841"/>
      <c r="GU211" s="841"/>
      <c r="GV211" s="841"/>
      <c r="GW211" s="841"/>
      <c r="GX211" s="841"/>
      <c r="GY211" s="841"/>
      <c r="GZ211" s="841"/>
      <c r="HA211" s="841"/>
      <c r="HB211" s="841"/>
      <c r="HC211" s="841"/>
      <c r="HD211" s="841"/>
      <c r="HE211" s="841"/>
      <c r="HF211" s="841"/>
      <c r="HG211" s="841"/>
      <c r="HH211" s="841"/>
      <c r="HI211" s="841"/>
      <c r="HJ211" s="841"/>
      <c r="HK211" s="841"/>
      <c r="HL211" s="841"/>
      <c r="HM211" s="841"/>
      <c r="HN211" s="841"/>
      <c r="HO211" s="841"/>
    </row>
    <row r="212" spans="2:223" ht="9.75" customHeight="1">
      <c r="B212" s="868"/>
      <c r="Z212" s="1779"/>
      <c r="AA212" s="1779"/>
      <c r="AB212" s="1779"/>
      <c r="AC212" s="1779"/>
      <c r="AD212" s="1779"/>
      <c r="DS212" s="841"/>
      <c r="DT212" s="841"/>
      <c r="DU212" s="841"/>
      <c r="DV212" s="841"/>
      <c r="DW212" s="841"/>
      <c r="DX212" s="841"/>
      <c r="DY212" s="841"/>
      <c r="DZ212" s="841"/>
      <c r="EA212" s="841"/>
      <c r="EB212" s="841"/>
      <c r="EC212" s="841"/>
      <c r="ED212" s="841"/>
      <c r="EE212" s="841"/>
      <c r="EF212" s="841"/>
      <c r="EG212" s="841"/>
      <c r="EH212" s="841"/>
      <c r="EI212" s="841"/>
      <c r="EJ212" s="841"/>
      <c r="EK212" s="841"/>
      <c r="EL212" s="841"/>
      <c r="EM212" s="841"/>
      <c r="EN212" s="841"/>
      <c r="EO212" s="841"/>
      <c r="EP212" s="841"/>
      <c r="EQ212" s="841"/>
      <c r="ER212" s="841"/>
      <c r="ES212" s="841"/>
      <c r="ET212" s="841"/>
      <c r="EU212" s="841"/>
      <c r="EV212" s="841"/>
      <c r="EW212" s="841"/>
      <c r="EX212" s="841"/>
      <c r="EY212" s="841"/>
      <c r="EZ212" s="841"/>
      <c r="FA212" s="841"/>
      <c r="FB212" s="841"/>
      <c r="FC212" s="841"/>
      <c r="FD212" s="841"/>
      <c r="FE212" s="841"/>
      <c r="FF212" s="841"/>
      <c r="FG212" s="841"/>
      <c r="FH212" s="841"/>
      <c r="FI212" s="841"/>
      <c r="FJ212" s="841"/>
      <c r="FK212" s="841"/>
      <c r="FL212" s="841"/>
      <c r="FM212" s="841"/>
      <c r="FN212" s="841"/>
      <c r="FO212" s="841"/>
      <c r="FP212" s="841"/>
      <c r="FQ212" s="841"/>
      <c r="FR212" s="841"/>
      <c r="FS212" s="841"/>
      <c r="FT212" s="841"/>
      <c r="FU212" s="841"/>
      <c r="FV212" s="841"/>
      <c r="FW212" s="841"/>
      <c r="FX212" s="841"/>
      <c r="FY212" s="841"/>
      <c r="FZ212" s="841"/>
      <c r="GA212" s="841"/>
      <c r="GB212" s="841"/>
      <c r="GC212" s="841"/>
      <c r="GD212" s="841"/>
      <c r="GE212" s="841"/>
      <c r="GF212" s="841"/>
      <c r="GG212" s="841"/>
      <c r="GH212" s="841"/>
      <c r="GI212" s="841"/>
      <c r="GJ212" s="841"/>
      <c r="GK212" s="841"/>
      <c r="GL212" s="841"/>
      <c r="GM212" s="841"/>
      <c r="GN212" s="841"/>
      <c r="GO212" s="841"/>
      <c r="GP212" s="841"/>
      <c r="GQ212" s="841"/>
      <c r="GR212" s="841"/>
      <c r="GS212" s="841"/>
      <c r="GT212" s="841"/>
      <c r="GU212" s="841"/>
      <c r="GV212" s="841"/>
      <c r="GW212" s="841"/>
      <c r="GX212" s="841"/>
      <c r="GY212" s="841"/>
      <c r="GZ212" s="841"/>
      <c r="HA212" s="841"/>
      <c r="HB212" s="841"/>
      <c r="HC212" s="841"/>
      <c r="HD212" s="841"/>
      <c r="HE212" s="841"/>
      <c r="HF212" s="841"/>
      <c r="HG212" s="841"/>
      <c r="HH212" s="841"/>
      <c r="HI212" s="841"/>
      <c r="HJ212" s="841"/>
      <c r="HK212" s="841"/>
      <c r="HL212" s="841"/>
      <c r="HM212" s="841"/>
      <c r="HN212" s="841"/>
      <c r="HO212" s="841"/>
    </row>
    <row r="213" spans="2:223" ht="21" thickBot="1">
      <c r="B213" s="870"/>
      <c r="D213" s="870"/>
      <c r="F213" s="870"/>
      <c r="H213" s="870"/>
      <c r="J213" s="870"/>
      <c r="L213" s="870"/>
      <c r="N213" s="870"/>
      <c r="P213" s="870"/>
      <c r="R213" s="870"/>
      <c r="T213" s="870"/>
      <c r="V213" s="870"/>
      <c r="X213" s="870"/>
      <c r="Z213" s="870"/>
      <c r="AA213" s="1779"/>
      <c r="AB213" s="870"/>
      <c r="AC213" s="1779"/>
      <c r="AD213" s="870"/>
      <c r="AF213" s="1233">
        <f>IF(ISBLANK(D213),0,Calculos_cuotas!O1177)</f>
        <v>0</v>
      </c>
      <c r="DS213" s="841"/>
      <c r="DT213" s="841"/>
      <c r="DU213" s="841"/>
      <c r="DV213" s="841"/>
      <c r="DW213" s="841"/>
      <c r="DX213" s="841"/>
      <c r="DY213" s="841"/>
      <c r="DZ213" s="841"/>
      <c r="EA213" s="841"/>
      <c r="EB213" s="841"/>
      <c r="EC213" s="841"/>
      <c r="ED213" s="841"/>
      <c r="EE213" s="841"/>
      <c r="EF213" s="841"/>
      <c r="EG213" s="841"/>
      <c r="EH213" s="841"/>
      <c r="EI213" s="841"/>
      <c r="EJ213" s="841"/>
      <c r="EK213" s="841"/>
      <c r="EL213" s="841"/>
      <c r="EM213" s="841"/>
      <c r="EN213" s="841"/>
      <c r="EO213" s="841"/>
      <c r="EP213" s="841"/>
      <c r="EQ213" s="841"/>
      <c r="ER213" s="841"/>
      <c r="ES213" s="841"/>
      <c r="ET213" s="841"/>
      <c r="EU213" s="841"/>
      <c r="EV213" s="841"/>
      <c r="EW213" s="841"/>
      <c r="EX213" s="841"/>
      <c r="EY213" s="841"/>
      <c r="EZ213" s="841"/>
      <c r="FA213" s="841"/>
      <c r="FB213" s="841"/>
      <c r="FC213" s="841"/>
      <c r="FD213" s="841"/>
      <c r="FE213" s="841"/>
      <c r="FF213" s="841"/>
      <c r="FG213" s="841"/>
      <c r="FH213" s="841"/>
      <c r="FI213" s="841"/>
      <c r="FJ213" s="841"/>
      <c r="FK213" s="841"/>
      <c r="FL213" s="841"/>
      <c r="FM213" s="841"/>
      <c r="FN213" s="841"/>
      <c r="FO213" s="841"/>
      <c r="FP213" s="841"/>
      <c r="FQ213" s="841"/>
      <c r="FR213" s="841"/>
      <c r="FS213" s="841"/>
      <c r="FT213" s="841"/>
      <c r="FU213" s="841"/>
      <c r="FV213" s="841"/>
      <c r="FW213" s="841"/>
      <c r="FX213" s="841"/>
      <c r="FY213" s="841"/>
      <c r="FZ213" s="841"/>
      <c r="GA213" s="841"/>
      <c r="GB213" s="841"/>
      <c r="GC213" s="841"/>
      <c r="GD213" s="841"/>
      <c r="GE213" s="841"/>
      <c r="GF213" s="841"/>
      <c r="GG213" s="841"/>
      <c r="GH213" s="841"/>
      <c r="GI213" s="841"/>
      <c r="GJ213" s="841"/>
      <c r="GK213" s="841"/>
      <c r="GL213" s="841"/>
      <c r="GM213" s="841"/>
      <c r="GN213" s="841"/>
      <c r="GO213" s="841"/>
      <c r="GP213" s="841"/>
      <c r="GQ213" s="841"/>
      <c r="GR213" s="841"/>
      <c r="GS213" s="841"/>
      <c r="GT213" s="841"/>
      <c r="GU213" s="841"/>
      <c r="GV213" s="841"/>
      <c r="GW213" s="841"/>
      <c r="GX213" s="841"/>
      <c r="GY213" s="841"/>
      <c r="GZ213" s="841"/>
      <c r="HA213" s="841"/>
      <c r="HB213" s="841"/>
      <c r="HC213" s="841"/>
      <c r="HD213" s="841"/>
      <c r="HE213" s="841"/>
      <c r="HF213" s="841"/>
      <c r="HG213" s="841"/>
      <c r="HH213" s="841"/>
      <c r="HI213" s="841"/>
      <c r="HJ213" s="841"/>
      <c r="HK213" s="841"/>
      <c r="HL213" s="841"/>
      <c r="HM213" s="841"/>
      <c r="HN213" s="841"/>
      <c r="HO213" s="841"/>
    </row>
    <row r="214" spans="2:223" ht="9.75" customHeight="1" thickTop="1">
      <c r="B214" s="868"/>
      <c r="Z214" s="1779"/>
      <c r="AA214" s="1779"/>
      <c r="AB214" s="1779"/>
      <c r="AC214" s="1779"/>
      <c r="AD214" s="1779"/>
      <c r="DS214" s="841"/>
      <c r="DT214" s="841"/>
      <c r="DU214" s="841"/>
      <c r="DV214" s="841"/>
      <c r="DW214" s="841"/>
      <c r="DX214" s="841"/>
      <c r="DY214" s="841"/>
      <c r="DZ214" s="841"/>
      <c r="EA214" s="841"/>
      <c r="EB214" s="841"/>
      <c r="EC214" s="841"/>
      <c r="ED214" s="841"/>
      <c r="EE214" s="841"/>
      <c r="EF214" s="841"/>
      <c r="EG214" s="841"/>
      <c r="EH214" s="841"/>
      <c r="EI214" s="841"/>
      <c r="EJ214" s="841"/>
      <c r="EK214" s="841"/>
      <c r="EL214" s="841"/>
      <c r="EM214" s="841"/>
      <c r="EN214" s="841"/>
      <c r="EO214" s="841"/>
      <c r="EP214" s="841"/>
      <c r="EQ214" s="841"/>
      <c r="ER214" s="841"/>
      <c r="ES214" s="841"/>
      <c r="ET214" s="841"/>
      <c r="EU214" s="841"/>
      <c r="EV214" s="841"/>
      <c r="EW214" s="841"/>
      <c r="EX214" s="841"/>
      <c r="EY214" s="841"/>
      <c r="EZ214" s="841"/>
      <c r="FA214" s="841"/>
      <c r="FB214" s="841"/>
      <c r="FC214" s="841"/>
      <c r="FD214" s="841"/>
      <c r="FE214" s="841"/>
      <c r="FF214" s="841"/>
      <c r="FG214" s="841"/>
      <c r="FH214" s="841"/>
      <c r="FI214" s="841"/>
      <c r="FJ214" s="841"/>
      <c r="FK214" s="841"/>
      <c r="FL214" s="841"/>
      <c r="FM214" s="841"/>
      <c r="FN214" s="841"/>
      <c r="FO214" s="841"/>
      <c r="FP214" s="841"/>
      <c r="FQ214" s="841"/>
      <c r="FR214" s="841"/>
      <c r="FS214" s="841"/>
      <c r="FT214" s="841"/>
      <c r="FU214" s="841"/>
      <c r="FV214" s="841"/>
      <c r="FW214" s="841"/>
      <c r="FX214" s="841"/>
      <c r="FY214" s="841"/>
      <c r="FZ214" s="841"/>
      <c r="GA214" s="841"/>
      <c r="GB214" s="841"/>
      <c r="GC214" s="841"/>
      <c r="GD214" s="841"/>
      <c r="GE214" s="841"/>
      <c r="GF214" s="841"/>
      <c r="GG214" s="841"/>
      <c r="GH214" s="841"/>
      <c r="GI214" s="841"/>
      <c r="GJ214" s="841"/>
      <c r="GK214" s="841"/>
      <c r="GL214" s="841"/>
      <c r="GM214" s="841"/>
      <c r="GN214" s="841"/>
      <c r="GO214" s="841"/>
      <c r="GP214" s="841"/>
      <c r="GQ214" s="841"/>
      <c r="GR214" s="841"/>
      <c r="GS214" s="841"/>
      <c r="GT214" s="841"/>
      <c r="GU214" s="841"/>
      <c r="GV214" s="841"/>
      <c r="GW214" s="841"/>
      <c r="GX214" s="841"/>
      <c r="GY214" s="841"/>
      <c r="GZ214" s="841"/>
      <c r="HA214" s="841"/>
      <c r="HB214" s="841"/>
      <c r="HC214" s="841"/>
      <c r="HD214" s="841"/>
      <c r="HE214" s="841"/>
      <c r="HF214" s="841"/>
      <c r="HG214" s="841"/>
      <c r="HH214" s="841"/>
      <c r="HI214" s="841"/>
      <c r="HJ214" s="841"/>
      <c r="HK214" s="841"/>
      <c r="HL214" s="841"/>
      <c r="HM214" s="841"/>
      <c r="HN214" s="841"/>
      <c r="HO214" s="841"/>
    </row>
    <row r="215" spans="2:223" ht="21" thickBot="1">
      <c r="B215" s="870"/>
      <c r="D215" s="870"/>
      <c r="F215" s="870"/>
      <c r="H215" s="870"/>
      <c r="J215" s="870"/>
      <c r="L215" s="870"/>
      <c r="N215" s="870"/>
      <c r="P215" s="870"/>
      <c r="R215" s="870"/>
      <c r="T215" s="870"/>
      <c r="V215" s="870"/>
      <c r="X215" s="870"/>
      <c r="Z215" s="870"/>
      <c r="AA215" s="1779"/>
      <c r="AB215" s="870"/>
      <c r="AC215" s="1779"/>
      <c r="AD215" s="870"/>
      <c r="AF215" s="1233">
        <f>IF(ISBLANK(D215),0,Calculos_cuotas!O1178)</f>
        <v>0</v>
      </c>
      <c r="DS215" s="841"/>
      <c r="DT215" s="841"/>
      <c r="DU215" s="841"/>
      <c r="DV215" s="841"/>
      <c r="DW215" s="841"/>
      <c r="DX215" s="841"/>
      <c r="DY215" s="841"/>
      <c r="DZ215" s="841"/>
      <c r="EA215" s="841"/>
      <c r="EB215" s="841"/>
      <c r="EC215" s="841"/>
      <c r="ED215" s="841"/>
      <c r="EE215" s="841"/>
      <c r="EF215" s="841"/>
      <c r="EG215" s="841"/>
      <c r="EH215" s="841"/>
      <c r="EI215" s="841"/>
      <c r="EJ215" s="841"/>
      <c r="EK215" s="841"/>
      <c r="EL215" s="841"/>
      <c r="EM215" s="841"/>
      <c r="EN215" s="841"/>
      <c r="EO215" s="841"/>
      <c r="EP215" s="841"/>
      <c r="EQ215" s="841"/>
      <c r="ER215" s="841"/>
      <c r="ES215" s="841"/>
      <c r="ET215" s="841"/>
      <c r="EU215" s="841"/>
      <c r="EV215" s="841"/>
      <c r="EW215" s="841"/>
      <c r="EX215" s="841"/>
      <c r="EY215" s="841"/>
      <c r="EZ215" s="841"/>
      <c r="FA215" s="841"/>
      <c r="FB215" s="841"/>
      <c r="FC215" s="841"/>
      <c r="FD215" s="841"/>
      <c r="FE215" s="841"/>
      <c r="FF215" s="841"/>
      <c r="FG215" s="841"/>
      <c r="FH215" s="841"/>
      <c r="FI215" s="841"/>
      <c r="FJ215" s="841"/>
      <c r="FK215" s="841"/>
      <c r="FL215" s="841"/>
      <c r="FM215" s="841"/>
      <c r="FN215" s="841"/>
      <c r="FO215" s="841"/>
      <c r="FP215" s="841"/>
      <c r="FQ215" s="841"/>
      <c r="FR215" s="841"/>
      <c r="FS215" s="841"/>
      <c r="FT215" s="841"/>
      <c r="FU215" s="841"/>
      <c r="FV215" s="841"/>
      <c r="FW215" s="841"/>
      <c r="FX215" s="841"/>
      <c r="FY215" s="841"/>
      <c r="FZ215" s="841"/>
      <c r="GA215" s="841"/>
      <c r="GB215" s="841"/>
      <c r="GC215" s="841"/>
      <c r="GD215" s="841"/>
      <c r="GE215" s="841"/>
      <c r="GF215" s="841"/>
      <c r="GG215" s="841"/>
      <c r="GH215" s="841"/>
      <c r="GI215" s="841"/>
      <c r="GJ215" s="841"/>
      <c r="GK215" s="841"/>
      <c r="GL215" s="841"/>
      <c r="GM215" s="841"/>
      <c r="GN215" s="841"/>
      <c r="GO215" s="841"/>
      <c r="GP215" s="841"/>
      <c r="GQ215" s="841"/>
      <c r="GR215" s="841"/>
      <c r="GS215" s="841"/>
      <c r="GT215" s="841"/>
      <c r="GU215" s="841"/>
      <c r="GV215" s="841"/>
      <c r="GW215" s="841"/>
      <c r="GX215" s="841"/>
      <c r="GY215" s="841"/>
      <c r="GZ215" s="841"/>
      <c r="HA215" s="841"/>
      <c r="HB215" s="841"/>
      <c r="HC215" s="841"/>
      <c r="HD215" s="841"/>
      <c r="HE215" s="841"/>
      <c r="HF215" s="841"/>
      <c r="HG215" s="841"/>
      <c r="HH215" s="841"/>
      <c r="HI215" s="841"/>
      <c r="HJ215" s="841"/>
      <c r="HK215" s="841"/>
      <c r="HL215" s="841"/>
      <c r="HM215" s="841"/>
      <c r="HN215" s="841"/>
      <c r="HO215" s="841"/>
    </row>
    <row r="216" spans="2:223" ht="9.75" customHeight="1" thickTop="1">
      <c r="B216" s="868"/>
      <c r="Z216" s="1779"/>
      <c r="AA216" s="1779"/>
      <c r="AB216" s="1779"/>
      <c r="AC216" s="1779"/>
      <c r="AD216" s="1779"/>
      <c r="DS216" s="841"/>
      <c r="DT216" s="841"/>
      <c r="DU216" s="841"/>
      <c r="DV216" s="841"/>
      <c r="DW216" s="841"/>
      <c r="DX216" s="841"/>
      <c r="DY216" s="841"/>
      <c r="DZ216" s="841"/>
      <c r="EA216" s="841"/>
      <c r="EB216" s="841"/>
      <c r="EC216" s="841"/>
      <c r="ED216" s="841"/>
      <c r="EE216" s="841"/>
      <c r="EF216" s="841"/>
      <c r="EG216" s="841"/>
      <c r="EH216" s="841"/>
      <c r="EI216" s="841"/>
      <c r="EJ216" s="841"/>
      <c r="EK216" s="841"/>
      <c r="EL216" s="841"/>
      <c r="EM216" s="841"/>
      <c r="EN216" s="841"/>
      <c r="EO216" s="841"/>
      <c r="EP216" s="841"/>
      <c r="EQ216" s="841"/>
      <c r="ER216" s="841"/>
      <c r="ES216" s="841"/>
      <c r="ET216" s="841"/>
      <c r="EU216" s="841"/>
      <c r="EV216" s="841"/>
      <c r="EW216" s="841"/>
      <c r="EX216" s="841"/>
      <c r="EY216" s="841"/>
      <c r="EZ216" s="841"/>
      <c r="FA216" s="841"/>
      <c r="FB216" s="841"/>
      <c r="FC216" s="841"/>
      <c r="FD216" s="841"/>
      <c r="FE216" s="841"/>
      <c r="FF216" s="841"/>
      <c r="FG216" s="841"/>
      <c r="FH216" s="841"/>
      <c r="FI216" s="841"/>
      <c r="FJ216" s="841"/>
      <c r="FK216" s="841"/>
      <c r="FL216" s="841"/>
      <c r="FM216" s="841"/>
      <c r="FN216" s="841"/>
      <c r="FO216" s="841"/>
      <c r="FP216" s="841"/>
      <c r="FQ216" s="841"/>
      <c r="FR216" s="841"/>
      <c r="FS216" s="841"/>
      <c r="FT216" s="841"/>
      <c r="FU216" s="841"/>
      <c r="FV216" s="841"/>
      <c r="FW216" s="841"/>
      <c r="FX216" s="841"/>
      <c r="FY216" s="841"/>
      <c r="FZ216" s="841"/>
      <c r="GA216" s="841"/>
      <c r="GB216" s="841"/>
      <c r="GC216" s="841"/>
      <c r="GD216" s="841"/>
      <c r="GE216" s="841"/>
      <c r="GF216" s="841"/>
      <c r="GG216" s="841"/>
      <c r="GH216" s="841"/>
      <c r="GI216" s="841"/>
      <c r="GJ216" s="841"/>
      <c r="GK216" s="841"/>
      <c r="GL216" s="841"/>
      <c r="GM216" s="841"/>
      <c r="GN216" s="841"/>
      <c r="GO216" s="841"/>
      <c r="GP216" s="841"/>
      <c r="GQ216" s="841"/>
      <c r="GR216" s="841"/>
      <c r="GS216" s="841"/>
      <c r="GT216" s="841"/>
      <c r="GU216" s="841"/>
      <c r="GV216" s="841"/>
      <c r="GW216" s="841"/>
      <c r="GX216" s="841"/>
      <c r="GY216" s="841"/>
      <c r="GZ216" s="841"/>
      <c r="HA216" s="841"/>
      <c r="HB216" s="841"/>
      <c r="HC216" s="841"/>
      <c r="HD216" s="841"/>
      <c r="HE216" s="841"/>
      <c r="HF216" s="841"/>
      <c r="HG216" s="841"/>
      <c r="HH216" s="841"/>
      <c r="HI216" s="841"/>
      <c r="HJ216" s="841"/>
      <c r="HK216" s="841"/>
      <c r="HL216" s="841"/>
      <c r="HM216" s="841"/>
      <c r="HN216" s="841"/>
      <c r="HO216" s="841"/>
    </row>
    <row r="217" spans="2:223" ht="21" thickBot="1">
      <c r="B217" s="870"/>
      <c r="D217" s="870"/>
      <c r="F217" s="870"/>
      <c r="H217" s="870"/>
      <c r="J217" s="870"/>
      <c r="L217" s="870"/>
      <c r="N217" s="870"/>
      <c r="P217" s="870"/>
      <c r="R217" s="870"/>
      <c r="T217" s="870"/>
      <c r="V217" s="870"/>
      <c r="X217" s="870"/>
      <c r="Z217" s="870"/>
      <c r="AA217" s="1779"/>
      <c r="AB217" s="870"/>
      <c r="AC217" s="1779"/>
      <c r="AD217" s="870"/>
      <c r="AF217" s="1233">
        <f>IF(ISBLANK(D217),0,Calculos_cuotas!O1179)</f>
        <v>0</v>
      </c>
      <c r="DS217" s="841"/>
      <c r="DT217" s="841"/>
      <c r="DU217" s="841"/>
      <c r="DV217" s="841"/>
      <c r="DW217" s="841"/>
      <c r="DX217" s="841"/>
      <c r="DY217" s="841"/>
      <c r="DZ217" s="841"/>
      <c r="EA217" s="841"/>
      <c r="EB217" s="841"/>
      <c r="EC217" s="841"/>
      <c r="ED217" s="841"/>
      <c r="EE217" s="841"/>
      <c r="EF217" s="841"/>
      <c r="EG217" s="841"/>
      <c r="EH217" s="841"/>
      <c r="EI217" s="841"/>
      <c r="EJ217" s="841"/>
      <c r="EK217" s="841"/>
      <c r="EL217" s="841"/>
      <c r="EM217" s="841"/>
      <c r="EN217" s="841"/>
      <c r="EO217" s="841"/>
      <c r="EP217" s="841"/>
      <c r="EQ217" s="841"/>
      <c r="ER217" s="841"/>
      <c r="ES217" s="841"/>
      <c r="ET217" s="841"/>
      <c r="EU217" s="841"/>
      <c r="EV217" s="841"/>
      <c r="EW217" s="841"/>
      <c r="EX217" s="841"/>
      <c r="EY217" s="841"/>
      <c r="EZ217" s="841"/>
      <c r="FA217" s="841"/>
      <c r="FB217" s="841"/>
      <c r="FC217" s="841"/>
      <c r="FD217" s="841"/>
      <c r="FE217" s="841"/>
      <c r="FF217" s="841"/>
      <c r="FG217" s="841"/>
      <c r="FH217" s="841"/>
      <c r="FI217" s="841"/>
      <c r="FJ217" s="841"/>
      <c r="FK217" s="841"/>
      <c r="FL217" s="841"/>
      <c r="FM217" s="841"/>
      <c r="FN217" s="841"/>
      <c r="FO217" s="841"/>
      <c r="FP217" s="841"/>
      <c r="FQ217" s="841"/>
      <c r="FR217" s="841"/>
      <c r="FS217" s="841"/>
      <c r="FT217" s="841"/>
      <c r="FU217" s="841"/>
      <c r="FV217" s="841"/>
      <c r="FW217" s="841"/>
      <c r="FX217" s="841"/>
      <c r="FY217" s="841"/>
      <c r="FZ217" s="841"/>
      <c r="GA217" s="841"/>
      <c r="GB217" s="841"/>
      <c r="GC217" s="841"/>
      <c r="GD217" s="841"/>
      <c r="GE217" s="841"/>
      <c r="GF217" s="841"/>
      <c r="GG217" s="841"/>
      <c r="GH217" s="841"/>
      <c r="GI217" s="841"/>
      <c r="GJ217" s="841"/>
      <c r="GK217" s="841"/>
      <c r="GL217" s="841"/>
      <c r="GM217" s="841"/>
      <c r="GN217" s="841"/>
      <c r="GO217" s="841"/>
      <c r="GP217" s="841"/>
      <c r="GQ217" s="841"/>
      <c r="GR217" s="841"/>
      <c r="GS217" s="841"/>
      <c r="GT217" s="841"/>
      <c r="GU217" s="841"/>
      <c r="GV217" s="841"/>
      <c r="GW217" s="841"/>
      <c r="GX217" s="841"/>
      <c r="GY217" s="841"/>
      <c r="GZ217" s="841"/>
      <c r="HA217" s="841"/>
      <c r="HB217" s="841"/>
      <c r="HC217" s="841"/>
      <c r="HD217" s="841"/>
      <c r="HE217" s="841"/>
      <c r="HF217" s="841"/>
      <c r="HG217" s="841"/>
      <c r="HH217" s="841"/>
      <c r="HI217" s="841"/>
      <c r="HJ217" s="841"/>
      <c r="HK217" s="841"/>
      <c r="HL217" s="841"/>
      <c r="HM217" s="841"/>
      <c r="HN217" s="841"/>
      <c r="HO217" s="841"/>
    </row>
    <row r="218" spans="2:223" ht="9.75" customHeight="1" thickTop="1">
      <c r="B218" s="868"/>
      <c r="Z218" s="1779"/>
      <c r="AA218" s="1779"/>
      <c r="AB218" s="1779"/>
      <c r="AC218" s="1779"/>
      <c r="AD218" s="1779"/>
      <c r="DS218" s="841"/>
      <c r="DT218" s="841"/>
      <c r="DU218" s="841"/>
      <c r="DV218" s="841"/>
      <c r="DW218" s="841"/>
      <c r="DX218" s="841"/>
      <c r="DY218" s="841"/>
      <c r="DZ218" s="841"/>
      <c r="EA218" s="841"/>
      <c r="EB218" s="841"/>
      <c r="EC218" s="841"/>
      <c r="ED218" s="841"/>
      <c r="EE218" s="841"/>
      <c r="EF218" s="841"/>
      <c r="EG218" s="841"/>
      <c r="EH218" s="841"/>
      <c r="EI218" s="841"/>
      <c r="EJ218" s="841"/>
      <c r="EK218" s="841"/>
      <c r="EL218" s="841"/>
      <c r="EM218" s="841"/>
      <c r="EN218" s="841"/>
      <c r="EO218" s="841"/>
      <c r="EP218" s="841"/>
      <c r="EQ218" s="841"/>
      <c r="ER218" s="841"/>
      <c r="ES218" s="841"/>
      <c r="ET218" s="841"/>
      <c r="EU218" s="841"/>
      <c r="EV218" s="841"/>
      <c r="EW218" s="841"/>
      <c r="EX218" s="841"/>
      <c r="EY218" s="841"/>
      <c r="EZ218" s="841"/>
      <c r="FA218" s="841"/>
      <c r="FB218" s="841"/>
      <c r="FC218" s="841"/>
      <c r="FD218" s="841"/>
      <c r="FE218" s="841"/>
      <c r="FF218" s="841"/>
      <c r="FG218" s="841"/>
      <c r="FH218" s="841"/>
      <c r="FI218" s="841"/>
      <c r="FJ218" s="841"/>
      <c r="FK218" s="841"/>
      <c r="FL218" s="841"/>
      <c r="FM218" s="841"/>
      <c r="FN218" s="841"/>
      <c r="FO218" s="841"/>
      <c r="FP218" s="841"/>
      <c r="FQ218" s="841"/>
      <c r="FR218" s="841"/>
      <c r="FS218" s="841"/>
      <c r="FT218" s="841"/>
      <c r="FU218" s="841"/>
      <c r="FV218" s="841"/>
      <c r="FW218" s="841"/>
      <c r="FX218" s="841"/>
      <c r="FY218" s="841"/>
      <c r="FZ218" s="841"/>
      <c r="GA218" s="841"/>
      <c r="GB218" s="841"/>
      <c r="GC218" s="841"/>
      <c r="GD218" s="841"/>
      <c r="GE218" s="841"/>
      <c r="GF218" s="841"/>
      <c r="GG218" s="841"/>
      <c r="GH218" s="841"/>
      <c r="GI218" s="841"/>
      <c r="GJ218" s="841"/>
      <c r="GK218" s="841"/>
      <c r="GL218" s="841"/>
      <c r="GM218" s="841"/>
      <c r="GN218" s="841"/>
      <c r="GO218" s="841"/>
      <c r="GP218" s="841"/>
      <c r="GQ218" s="841"/>
      <c r="GR218" s="841"/>
      <c r="GS218" s="841"/>
      <c r="GT218" s="841"/>
      <c r="GU218" s="841"/>
      <c r="GV218" s="841"/>
      <c r="GW218" s="841"/>
      <c r="GX218" s="841"/>
      <c r="GY218" s="841"/>
      <c r="GZ218" s="841"/>
      <c r="HA218" s="841"/>
      <c r="HB218" s="841"/>
      <c r="HC218" s="841"/>
      <c r="HD218" s="841"/>
      <c r="HE218" s="841"/>
      <c r="HF218" s="841"/>
      <c r="HG218" s="841"/>
      <c r="HH218" s="841"/>
      <c r="HI218" s="841"/>
      <c r="HJ218" s="841"/>
      <c r="HK218" s="841"/>
      <c r="HL218" s="841"/>
      <c r="HM218" s="841"/>
      <c r="HN218" s="841"/>
      <c r="HO218" s="841"/>
    </row>
    <row r="219" spans="2:223" ht="21" thickBot="1">
      <c r="B219" s="870"/>
      <c r="D219" s="870"/>
      <c r="F219" s="870"/>
      <c r="H219" s="870"/>
      <c r="J219" s="870"/>
      <c r="L219" s="870"/>
      <c r="N219" s="870"/>
      <c r="P219" s="870"/>
      <c r="R219" s="870"/>
      <c r="T219" s="870"/>
      <c r="V219" s="870"/>
      <c r="X219" s="870"/>
      <c r="Z219" s="870"/>
      <c r="AA219" s="1779"/>
      <c r="AB219" s="870"/>
      <c r="AC219" s="1779"/>
      <c r="AD219" s="870"/>
      <c r="AF219" s="1233">
        <f>IF(ISBLANK(D219),0,Calculos_cuotas!O1180)</f>
        <v>0</v>
      </c>
      <c r="DS219" s="841"/>
      <c r="DT219" s="841"/>
      <c r="DU219" s="841"/>
      <c r="DV219" s="841"/>
      <c r="DW219" s="841"/>
      <c r="DX219" s="841"/>
      <c r="DY219" s="841"/>
      <c r="DZ219" s="841"/>
      <c r="EA219" s="841"/>
      <c r="EB219" s="841"/>
      <c r="EC219" s="841"/>
      <c r="ED219" s="841"/>
      <c r="EE219" s="841"/>
      <c r="EF219" s="841"/>
      <c r="EG219" s="841"/>
      <c r="EH219" s="841"/>
      <c r="EI219" s="841"/>
      <c r="EJ219" s="841"/>
      <c r="EK219" s="841"/>
      <c r="EL219" s="841"/>
      <c r="EM219" s="841"/>
      <c r="EN219" s="841"/>
      <c r="EO219" s="841"/>
      <c r="EP219" s="841"/>
      <c r="EQ219" s="841"/>
      <c r="ER219" s="841"/>
      <c r="ES219" s="841"/>
      <c r="ET219" s="841"/>
      <c r="EU219" s="841"/>
      <c r="EV219" s="841"/>
      <c r="EW219" s="841"/>
      <c r="EX219" s="841"/>
      <c r="EY219" s="841"/>
      <c r="EZ219" s="841"/>
      <c r="FA219" s="841"/>
      <c r="FB219" s="841"/>
      <c r="FC219" s="841"/>
      <c r="FD219" s="841"/>
      <c r="FE219" s="841"/>
      <c r="FF219" s="841"/>
      <c r="FG219" s="841"/>
      <c r="FH219" s="841"/>
      <c r="FI219" s="841"/>
      <c r="FJ219" s="841"/>
      <c r="FK219" s="841"/>
      <c r="FL219" s="841"/>
      <c r="FM219" s="841"/>
      <c r="FN219" s="841"/>
      <c r="FO219" s="841"/>
      <c r="FP219" s="841"/>
      <c r="FQ219" s="841"/>
      <c r="FR219" s="841"/>
      <c r="FS219" s="841"/>
      <c r="FT219" s="841"/>
      <c r="FU219" s="841"/>
      <c r="FV219" s="841"/>
      <c r="FW219" s="841"/>
      <c r="FX219" s="841"/>
      <c r="FY219" s="841"/>
      <c r="FZ219" s="841"/>
      <c r="GA219" s="841"/>
      <c r="GB219" s="841"/>
      <c r="GC219" s="841"/>
      <c r="GD219" s="841"/>
      <c r="GE219" s="841"/>
      <c r="GF219" s="841"/>
      <c r="GG219" s="841"/>
      <c r="GH219" s="841"/>
      <c r="GI219" s="841"/>
      <c r="GJ219" s="841"/>
      <c r="GK219" s="841"/>
      <c r="GL219" s="841"/>
      <c r="GM219" s="841"/>
      <c r="GN219" s="841"/>
      <c r="GO219" s="841"/>
      <c r="GP219" s="841"/>
      <c r="GQ219" s="841"/>
      <c r="GR219" s="841"/>
      <c r="GS219" s="841"/>
      <c r="GT219" s="841"/>
      <c r="GU219" s="841"/>
      <c r="GV219" s="841"/>
      <c r="GW219" s="841"/>
      <c r="GX219" s="841"/>
      <c r="GY219" s="841"/>
      <c r="GZ219" s="841"/>
      <c r="HA219" s="841"/>
      <c r="HB219" s="841"/>
      <c r="HC219" s="841"/>
      <c r="HD219" s="841"/>
      <c r="HE219" s="841"/>
      <c r="HF219" s="841"/>
      <c r="HG219" s="841"/>
      <c r="HH219" s="841"/>
      <c r="HI219" s="841"/>
      <c r="HJ219" s="841"/>
      <c r="HK219" s="841"/>
      <c r="HL219" s="841"/>
      <c r="HM219" s="841"/>
      <c r="HN219" s="841"/>
      <c r="HO219" s="841"/>
    </row>
    <row r="220" spans="2:223" ht="9.75" customHeight="1" thickTop="1">
      <c r="B220" s="868"/>
      <c r="Z220" s="1779"/>
      <c r="AA220" s="1779"/>
      <c r="AB220" s="1779"/>
      <c r="AC220" s="1779"/>
      <c r="AD220" s="1779"/>
      <c r="DS220" s="841"/>
      <c r="DT220" s="841"/>
      <c r="DU220" s="841"/>
      <c r="DV220" s="841"/>
      <c r="DW220" s="841"/>
      <c r="DX220" s="841"/>
      <c r="DY220" s="841"/>
      <c r="DZ220" s="841"/>
      <c r="EA220" s="841"/>
      <c r="EB220" s="841"/>
      <c r="EC220" s="841"/>
      <c r="ED220" s="841"/>
      <c r="EE220" s="841"/>
      <c r="EF220" s="841"/>
      <c r="EG220" s="841"/>
      <c r="EH220" s="841"/>
      <c r="EI220" s="841"/>
      <c r="EJ220" s="841"/>
      <c r="EK220" s="841"/>
      <c r="EL220" s="841"/>
      <c r="EM220" s="841"/>
      <c r="EN220" s="841"/>
      <c r="EO220" s="841"/>
      <c r="EP220" s="841"/>
      <c r="EQ220" s="841"/>
      <c r="ER220" s="841"/>
      <c r="ES220" s="841"/>
      <c r="ET220" s="841"/>
      <c r="EU220" s="841"/>
      <c r="EV220" s="841"/>
      <c r="EW220" s="841"/>
      <c r="EX220" s="841"/>
      <c r="EY220" s="841"/>
      <c r="EZ220" s="841"/>
      <c r="FA220" s="841"/>
      <c r="FB220" s="841"/>
      <c r="FC220" s="841"/>
      <c r="FD220" s="841"/>
      <c r="FE220" s="841"/>
      <c r="FF220" s="841"/>
      <c r="FG220" s="841"/>
      <c r="FH220" s="841"/>
      <c r="FI220" s="841"/>
      <c r="FJ220" s="841"/>
      <c r="FK220" s="841"/>
      <c r="FL220" s="841"/>
      <c r="FM220" s="841"/>
      <c r="FN220" s="841"/>
      <c r="FO220" s="841"/>
      <c r="FP220" s="841"/>
      <c r="FQ220" s="841"/>
      <c r="FR220" s="841"/>
      <c r="FS220" s="841"/>
      <c r="FT220" s="841"/>
      <c r="FU220" s="841"/>
      <c r="FV220" s="841"/>
      <c r="FW220" s="841"/>
      <c r="FX220" s="841"/>
      <c r="FY220" s="841"/>
      <c r="FZ220" s="841"/>
      <c r="GA220" s="841"/>
      <c r="GB220" s="841"/>
      <c r="GC220" s="841"/>
      <c r="GD220" s="841"/>
      <c r="GE220" s="841"/>
      <c r="GF220" s="841"/>
      <c r="GG220" s="841"/>
      <c r="GH220" s="841"/>
      <c r="GI220" s="841"/>
      <c r="GJ220" s="841"/>
      <c r="GK220" s="841"/>
      <c r="GL220" s="841"/>
      <c r="GM220" s="841"/>
      <c r="GN220" s="841"/>
      <c r="GO220" s="841"/>
      <c r="GP220" s="841"/>
      <c r="GQ220" s="841"/>
      <c r="GR220" s="841"/>
      <c r="GS220" s="841"/>
      <c r="GT220" s="841"/>
      <c r="GU220" s="841"/>
      <c r="GV220" s="841"/>
      <c r="GW220" s="841"/>
      <c r="GX220" s="841"/>
      <c r="GY220" s="841"/>
      <c r="GZ220" s="841"/>
      <c r="HA220" s="841"/>
      <c r="HB220" s="841"/>
      <c r="HC220" s="841"/>
      <c r="HD220" s="841"/>
      <c r="HE220" s="841"/>
      <c r="HF220" s="841"/>
      <c r="HG220" s="841"/>
      <c r="HH220" s="841"/>
      <c r="HI220" s="841"/>
      <c r="HJ220" s="841"/>
      <c r="HK220" s="841"/>
      <c r="HL220" s="841"/>
      <c r="HM220" s="841"/>
      <c r="HN220" s="841"/>
      <c r="HO220" s="841"/>
    </row>
    <row r="221" spans="2:223" ht="21" thickBot="1">
      <c r="B221" s="870"/>
      <c r="D221" s="870"/>
      <c r="F221" s="870"/>
      <c r="H221" s="870"/>
      <c r="J221" s="870"/>
      <c r="L221" s="870"/>
      <c r="N221" s="870"/>
      <c r="P221" s="870"/>
      <c r="R221" s="870"/>
      <c r="T221" s="870"/>
      <c r="V221" s="870"/>
      <c r="X221" s="870"/>
      <c r="Z221" s="870"/>
      <c r="AA221" s="1779"/>
      <c r="AB221" s="870"/>
      <c r="AC221" s="1779"/>
      <c r="AD221" s="870"/>
      <c r="AF221" s="1233">
        <f>IF(ISBLANK(D221),0,Calculos_cuotas!O1181)</f>
        <v>0</v>
      </c>
      <c r="DS221" s="841"/>
      <c r="DT221" s="841"/>
      <c r="DU221" s="841"/>
      <c r="DV221" s="841"/>
      <c r="DW221" s="841"/>
      <c r="DX221" s="841"/>
      <c r="DY221" s="841"/>
      <c r="DZ221" s="841"/>
      <c r="EA221" s="841"/>
      <c r="EB221" s="841"/>
      <c r="EC221" s="841"/>
      <c r="ED221" s="841"/>
      <c r="EE221" s="841"/>
      <c r="EF221" s="841"/>
      <c r="EG221" s="841"/>
      <c r="EH221" s="841"/>
      <c r="EI221" s="841"/>
      <c r="EJ221" s="841"/>
      <c r="EK221" s="841"/>
      <c r="EL221" s="841"/>
      <c r="EM221" s="841"/>
      <c r="EN221" s="841"/>
      <c r="EO221" s="841"/>
      <c r="EP221" s="841"/>
      <c r="EQ221" s="841"/>
      <c r="ER221" s="841"/>
      <c r="ES221" s="841"/>
      <c r="ET221" s="841"/>
      <c r="EU221" s="841"/>
      <c r="EV221" s="841"/>
      <c r="EW221" s="841"/>
      <c r="EX221" s="841"/>
      <c r="EY221" s="841"/>
      <c r="EZ221" s="841"/>
      <c r="FA221" s="841"/>
      <c r="FB221" s="841"/>
      <c r="FC221" s="841"/>
      <c r="FD221" s="841"/>
      <c r="FE221" s="841"/>
      <c r="FF221" s="841"/>
      <c r="FG221" s="841"/>
      <c r="FH221" s="841"/>
      <c r="FI221" s="841"/>
      <c r="FJ221" s="841"/>
      <c r="FK221" s="841"/>
      <c r="FL221" s="841"/>
      <c r="FM221" s="841"/>
      <c r="FN221" s="841"/>
      <c r="FO221" s="841"/>
      <c r="FP221" s="841"/>
      <c r="FQ221" s="841"/>
      <c r="FR221" s="841"/>
      <c r="FS221" s="841"/>
      <c r="FT221" s="841"/>
      <c r="FU221" s="841"/>
      <c r="FV221" s="841"/>
      <c r="FW221" s="841"/>
      <c r="FX221" s="841"/>
      <c r="FY221" s="841"/>
      <c r="FZ221" s="841"/>
      <c r="GA221" s="841"/>
      <c r="GB221" s="841"/>
      <c r="GC221" s="841"/>
      <c r="GD221" s="841"/>
      <c r="GE221" s="841"/>
      <c r="GF221" s="841"/>
      <c r="GG221" s="841"/>
      <c r="GH221" s="841"/>
      <c r="GI221" s="841"/>
      <c r="GJ221" s="841"/>
      <c r="GK221" s="841"/>
      <c r="GL221" s="841"/>
      <c r="GM221" s="841"/>
      <c r="GN221" s="841"/>
      <c r="GO221" s="841"/>
      <c r="GP221" s="841"/>
      <c r="GQ221" s="841"/>
      <c r="GR221" s="841"/>
      <c r="GS221" s="841"/>
      <c r="GT221" s="841"/>
      <c r="GU221" s="841"/>
      <c r="GV221" s="841"/>
      <c r="GW221" s="841"/>
      <c r="GX221" s="841"/>
      <c r="GY221" s="841"/>
      <c r="GZ221" s="841"/>
      <c r="HA221" s="841"/>
      <c r="HB221" s="841"/>
      <c r="HC221" s="841"/>
      <c r="HD221" s="841"/>
      <c r="HE221" s="841"/>
      <c r="HF221" s="841"/>
      <c r="HG221" s="841"/>
      <c r="HH221" s="841"/>
      <c r="HI221" s="841"/>
      <c r="HJ221" s="841"/>
      <c r="HK221" s="841"/>
      <c r="HL221" s="841"/>
      <c r="HM221" s="841"/>
      <c r="HN221" s="841"/>
      <c r="HO221" s="841"/>
    </row>
    <row r="222" spans="2:223" ht="9.75" customHeight="1" thickTop="1">
      <c r="B222" s="868"/>
      <c r="Z222" s="1779"/>
      <c r="AA222" s="1779"/>
      <c r="AB222" s="1779"/>
      <c r="AC222" s="1779"/>
      <c r="AD222" s="1779"/>
      <c r="DS222" s="841"/>
      <c r="DT222" s="841"/>
      <c r="DU222" s="841"/>
      <c r="DV222" s="841"/>
      <c r="DW222" s="841"/>
      <c r="DX222" s="841"/>
      <c r="DY222" s="841"/>
      <c r="DZ222" s="841"/>
      <c r="EA222" s="841"/>
      <c r="EB222" s="841"/>
      <c r="EC222" s="841"/>
      <c r="ED222" s="841"/>
      <c r="EE222" s="841"/>
      <c r="EF222" s="841"/>
      <c r="EG222" s="841"/>
      <c r="EH222" s="841"/>
      <c r="EI222" s="841"/>
      <c r="EJ222" s="841"/>
      <c r="EK222" s="841"/>
      <c r="EL222" s="841"/>
      <c r="EM222" s="841"/>
      <c r="EN222" s="841"/>
      <c r="EO222" s="841"/>
      <c r="EP222" s="841"/>
      <c r="EQ222" s="841"/>
      <c r="ER222" s="841"/>
      <c r="ES222" s="841"/>
      <c r="ET222" s="841"/>
      <c r="EU222" s="841"/>
      <c r="EV222" s="841"/>
      <c r="EW222" s="841"/>
      <c r="EX222" s="841"/>
      <c r="EY222" s="841"/>
      <c r="EZ222" s="841"/>
      <c r="FA222" s="841"/>
      <c r="FB222" s="841"/>
      <c r="FC222" s="841"/>
      <c r="FD222" s="841"/>
      <c r="FE222" s="841"/>
      <c r="FF222" s="841"/>
      <c r="FG222" s="841"/>
      <c r="FH222" s="841"/>
      <c r="FI222" s="841"/>
      <c r="FJ222" s="841"/>
      <c r="FK222" s="841"/>
      <c r="FL222" s="841"/>
      <c r="FM222" s="841"/>
      <c r="FN222" s="841"/>
      <c r="FO222" s="841"/>
      <c r="FP222" s="841"/>
      <c r="FQ222" s="841"/>
      <c r="FR222" s="841"/>
      <c r="FS222" s="841"/>
      <c r="FT222" s="841"/>
      <c r="FU222" s="841"/>
      <c r="FV222" s="841"/>
      <c r="FW222" s="841"/>
      <c r="FX222" s="841"/>
      <c r="FY222" s="841"/>
      <c r="FZ222" s="841"/>
      <c r="GA222" s="841"/>
      <c r="GB222" s="841"/>
      <c r="GC222" s="841"/>
      <c r="GD222" s="841"/>
      <c r="GE222" s="841"/>
      <c r="GF222" s="841"/>
      <c r="GG222" s="841"/>
      <c r="GH222" s="841"/>
      <c r="GI222" s="841"/>
      <c r="GJ222" s="841"/>
      <c r="GK222" s="841"/>
      <c r="GL222" s="841"/>
      <c r="GM222" s="841"/>
      <c r="GN222" s="841"/>
      <c r="GO222" s="841"/>
      <c r="GP222" s="841"/>
      <c r="GQ222" s="841"/>
      <c r="GR222" s="841"/>
      <c r="GS222" s="841"/>
      <c r="GT222" s="841"/>
      <c r="GU222" s="841"/>
      <c r="GV222" s="841"/>
      <c r="GW222" s="841"/>
      <c r="GX222" s="841"/>
      <c r="GY222" s="841"/>
      <c r="GZ222" s="841"/>
      <c r="HA222" s="841"/>
      <c r="HB222" s="841"/>
      <c r="HC222" s="841"/>
      <c r="HD222" s="841"/>
      <c r="HE222" s="841"/>
      <c r="HF222" s="841"/>
      <c r="HG222" s="841"/>
      <c r="HH222" s="841"/>
      <c r="HI222" s="841"/>
      <c r="HJ222" s="841"/>
      <c r="HK222" s="841"/>
      <c r="HL222" s="841"/>
      <c r="HM222" s="841"/>
      <c r="HN222" s="841"/>
      <c r="HO222" s="841"/>
    </row>
    <row r="223" spans="2:223" ht="21" thickBot="1">
      <c r="B223" s="870"/>
      <c r="D223" s="870"/>
      <c r="F223" s="870"/>
      <c r="H223" s="870"/>
      <c r="J223" s="870"/>
      <c r="L223" s="870"/>
      <c r="N223" s="870"/>
      <c r="P223" s="870"/>
      <c r="R223" s="870"/>
      <c r="T223" s="870"/>
      <c r="V223" s="870"/>
      <c r="X223" s="870"/>
      <c r="Z223" s="870"/>
      <c r="AA223" s="1779"/>
      <c r="AB223" s="870"/>
      <c r="AC223" s="1779"/>
      <c r="AD223" s="870"/>
      <c r="AF223" s="1233">
        <f>IF(ISBLANK(D223),0,Calculos_cuotas!O1182)</f>
        <v>0</v>
      </c>
      <c r="DS223" s="841"/>
      <c r="DT223" s="841"/>
      <c r="DU223" s="841"/>
      <c r="DV223" s="841"/>
      <c r="DW223" s="841"/>
      <c r="DX223" s="841"/>
      <c r="DY223" s="841"/>
      <c r="DZ223" s="841"/>
      <c r="EA223" s="841"/>
      <c r="EB223" s="841"/>
      <c r="EC223" s="841"/>
      <c r="ED223" s="841"/>
      <c r="EE223" s="841"/>
      <c r="EF223" s="841"/>
      <c r="EG223" s="841"/>
      <c r="EH223" s="841"/>
      <c r="EI223" s="841"/>
      <c r="EJ223" s="841"/>
      <c r="EK223" s="841"/>
      <c r="EL223" s="841"/>
      <c r="EM223" s="841"/>
      <c r="EN223" s="841"/>
      <c r="EO223" s="841"/>
      <c r="EP223" s="841"/>
      <c r="EQ223" s="841"/>
      <c r="ER223" s="841"/>
      <c r="ES223" s="841"/>
      <c r="ET223" s="841"/>
      <c r="EU223" s="841"/>
      <c r="EV223" s="841"/>
      <c r="EW223" s="841"/>
      <c r="EX223" s="841"/>
      <c r="EY223" s="841"/>
      <c r="EZ223" s="841"/>
      <c r="FA223" s="841"/>
      <c r="FB223" s="841"/>
      <c r="FC223" s="841"/>
      <c r="FD223" s="841"/>
      <c r="FE223" s="841"/>
      <c r="FF223" s="841"/>
      <c r="FG223" s="841"/>
      <c r="FH223" s="841"/>
      <c r="FI223" s="841"/>
      <c r="FJ223" s="841"/>
      <c r="FK223" s="841"/>
      <c r="FL223" s="841"/>
      <c r="FM223" s="841"/>
      <c r="FN223" s="841"/>
      <c r="FO223" s="841"/>
      <c r="FP223" s="841"/>
      <c r="FQ223" s="841"/>
      <c r="FR223" s="841"/>
      <c r="FS223" s="841"/>
      <c r="FT223" s="841"/>
      <c r="FU223" s="841"/>
      <c r="FV223" s="841"/>
      <c r="FW223" s="841"/>
      <c r="FX223" s="841"/>
      <c r="FY223" s="841"/>
      <c r="FZ223" s="841"/>
      <c r="GA223" s="841"/>
      <c r="GB223" s="841"/>
      <c r="GC223" s="841"/>
      <c r="GD223" s="841"/>
      <c r="GE223" s="841"/>
      <c r="GF223" s="841"/>
      <c r="GG223" s="841"/>
      <c r="GH223" s="841"/>
      <c r="GI223" s="841"/>
      <c r="GJ223" s="841"/>
      <c r="GK223" s="841"/>
      <c r="GL223" s="841"/>
      <c r="GM223" s="841"/>
      <c r="GN223" s="841"/>
      <c r="GO223" s="841"/>
      <c r="GP223" s="841"/>
      <c r="GQ223" s="841"/>
      <c r="GR223" s="841"/>
      <c r="GS223" s="841"/>
      <c r="GT223" s="841"/>
      <c r="GU223" s="841"/>
      <c r="GV223" s="841"/>
      <c r="GW223" s="841"/>
      <c r="GX223" s="841"/>
      <c r="GY223" s="841"/>
      <c r="GZ223" s="841"/>
      <c r="HA223" s="841"/>
      <c r="HB223" s="841"/>
      <c r="HC223" s="841"/>
      <c r="HD223" s="841"/>
      <c r="HE223" s="841"/>
      <c r="HF223" s="841"/>
      <c r="HG223" s="841"/>
      <c r="HH223" s="841"/>
      <c r="HI223" s="841"/>
      <c r="HJ223" s="841"/>
      <c r="HK223" s="841"/>
      <c r="HL223" s="841"/>
      <c r="HM223" s="841"/>
      <c r="HN223" s="841"/>
      <c r="HO223" s="841"/>
    </row>
    <row r="224" spans="2:223" ht="9.75" customHeight="1" thickTop="1">
      <c r="B224" s="868"/>
      <c r="Z224" s="1779"/>
      <c r="AA224" s="1779"/>
      <c r="AB224" s="1779"/>
      <c r="AC224" s="1779"/>
      <c r="AD224" s="1779"/>
      <c r="DS224" s="841"/>
      <c r="DT224" s="841"/>
      <c r="DU224" s="841"/>
      <c r="DV224" s="841"/>
      <c r="DW224" s="841"/>
      <c r="DX224" s="841"/>
      <c r="DY224" s="841"/>
      <c r="DZ224" s="841"/>
      <c r="EA224" s="841"/>
      <c r="EB224" s="841"/>
      <c r="EC224" s="841"/>
      <c r="ED224" s="841"/>
      <c r="EE224" s="841"/>
      <c r="EF224" s="841"/>
      <c r="EG224" s="841"/>
      <c r="EH224" s="841"/>
      <c r="EI224" s="841"/>
      <c r="EJ224" s="841"/>
      <c r="EK224" s="841"/>
      <c r="EL224" s="841"/>
      <c r="EM224" s="841"/>
      <c r="EN224" s="841"/>
      <c r="EO224" s="841"/>
      <c r="EP224" s="841"/>
      <c r="EQ224" s="841"/>
      <c r="ER224" s="841"/>
      <c r="ES224" s="841"/>
      <c r="ET224" s="841"/>
      <c r="EU224" s="841"/>
      <c r="EV224" s="841"/>
      <c r="EW224" s="841"/>
      <c r="EX224" s="841"/>
      <c r="EY224" s="841"/>
      <c r="EZ224" s="841"/>
      <c r="FA224" s="841"/>
      <c r="FB224" s="841"/>
      <c r="FC224" s="841"/>
      <c r="FD224" s="841"/>
      <c r="FE224" s="841"/>
      <c r="FF224" s="841"/>
      <c r="FG224" s="841"/>
      <c r="FH224" s="841"/>
      <c r="FI224" s="841"/>
      <c r="FJ224" s="841"/>
      <c r="FK224" s="841"/>
      <c r="FL224" s="841"/>
      <c r="FM224" s="841"/>
      <c r="FN224" s="841"/>
      <c r="FO224" s="841"/>
      <c r="FP224" s="841"/>
      <c r="FQ224" s="841"/>
      <c r="FR224" s="841"/>
      <c r="FS224" s="841"/>
      <c r="FT224" s="841"/>
      <c r="FU224" s="841"/>
      <c r="FV224" s="841"/>
      <c r="FW224" s="841"/>
      <c r="FX224" s="841"/>
      <c r="FY224" s="841"/>
      <c r="FZ224" s="841"/>
      <c r="GA224" s="841"/>
      <c r="GB224" s="841"/>
      <c r="GC224" s="841"/>
      <c r="GD224" s="841"/>
      <c r="GE224" s="841"/>
      <c r="GF224" s="841"/>
      <c r="GG224" s="841"/>
      <c r="GH224" s="841"/>
      <c r="GI224" s="841"/>
      <c r="GJ224" s="841"/>
      <c r="GK224" s="841"/>
      <c r="GL224" s="841"/>
      <c r="GM224" s="841"/>
      <c r="GN224" s="841"/>
      <c r="GO224" s="841"/>
      <c r="GP224" s="841"/>
      <c r="GQ224" s="841"/>
      <c r="GR224" s="841"/>
      <c r="GS224" s="841"/>
      <c r="GT224" s="841"/>
      <c r="GU224" s="841"/>
      <c r="GV224" s="841"/>
      <c r="GW224" s="841"/>
      <c r="GX224" s="841"/>
      <c r="GY224" s="841"/>
      <c r="GZ224" s="841"/>
      <c r="HA224" s="841"/>
      <c r="HB224" s="841"/>
      <c r="HC224" s="841"/>
      <c r="HD224" s="841"/>
      <c r="HE224" s="841"/>
      <c r="HF224" s="841"/>
      <c r="HG224" s="841"/>
      <c r="HH224" s="841"/>
      <c r="HI224" s="841"/>
      <c r="HJ224" s="841"/>
      <c r="HK224" s="841"/>
      <c r="HL224" s="841"/>
      <c r="HM224" s="841"/>
      <c r="HN224" s="841"/>
      <c r="HO224" s="841"/>
    </row>
    <row r="225" spans="2:223" ht="21" thickBot="1">
      <c r="B225" s="870"/>
      <c r="D225" s="870"/>
      <c r="F225" s="870"/>
      <c r="H225" s="870"/>
      <c r="J225" s="870"/>
      <c r="L225" s="870"/>
      <c r="N225" s="870"/>
      <c r="P225" s="870"/>
      <c r="R225" s="870"/>
      <c r="T225" s="870"/>
      <c r="V225" s="870"/>
      <c r="X225" s="870"/>
      <c r="Z225" s="870"/>
      <c r="AA225" s="1779"/>
      <c r="AB225" s="870"/>
      <c r="AC225" s="1779"/>
      <c r="AD225" s="870"/>
      <c r="AF225" s="1233">
        <f>IF(ISBLANK(D225),0,Calculos_cuotas!O1183)</f>
        <v>0</v>
      </c>
      <c r="DS225" s="841"/>
      <c r="DT225" s="841"/>
      <c r="DU225" s="841"/>
      <c r="DV225" s="841"/>
      <c r="DW225" s="841"/>
      <c r="DX225" s="841"/>
      <c r="DY225" s="841"/>
      <c r="DZ225" s="841"/>
      <c r="EA225" s="841"/>
      <c r="EB225" s="841"/>
      <c r="EC225" s="841"/>
      <c r="ED225" s="841"/>
      <c r="EE225" s="841"/>
      <c r="EF225" s="841"/>
      <c r="EG225" s="841"/>
      <c r="EH225" s="841"/>
      <c r="EI225" s="841"/>
      <c r="EJ225" s="841"/>
      <c r="EK225" s="841"/>
      <c r="EL225" s="841"/>
      <c r="EM225" s="841"/>
      <c r="EN225" s="841"/>
      <c r="EO225" s="841"/>
      <c r="EP225" s="841"/>
      <c r="EQ225" s="841"/>
      <c r="ER225" s="841"/>
      <c r="ES225" s="841"/>
      <c r="ET225" s="841"/>
      <c r="EU225" s="841"/>
      <c r="EV225" s="841"/>
      <c r="EW225" s="841"/>
      <c r="EX225" s="841"/>
      <c r="EY225" s="841"/>
      <c r="EZ225" s="841"/>
      <c r="FA225" s="841"/>
      <c r="FB225" s="841"/>
      <c r="FC225" s="841"/>
      <c r="FD225" s="841"/>
      <c r="FE225" s="841"/>
      <c r="FF225" s="841"/>
      <c r="FG225" s="841"/>
      <c r="FH225" s="841"/>
      <c r="FI225" s="841"/>
      <c r="FJ225" s="841"/>
      <c r="FK225" s="841"/>
      <c r="FL225" s="841"/>
      <c r="FM225" s="841"/>
      <c r="FN225" s="841"/>
      <c r="FO225" s="841"/>
      <c r="FP225" s="841"/>
      <c r="FQ225" s="841"/>
      <c r="FR225" s="841"/>
      <c r="FS225" s="841"/>
      <c r="FT225" s="841"/>
      <c r="FU225" s="841"/>
      <c r="FV225" s="841"/>
      <c r="FW225" s="841"/>
      <c r="FX225" s="841"/>
      <c r="FY225" s="841"/>
      <c r="FZ225" s="841"/>
      <c r="GA225" s="841"/>
      <c r="GB225" s="841"/>
      <c r="GC225" s="841"/>
      <c r="GD225" s="841"/>
      <c r="GE225" s="841"/>
      <c r="GF225" s="841"/>
      <c r="GG225" s="841"/>
      <c r="GH225" s="841"/>
      <c r="GI225" s="841"/>
      <c r="GJ225" s="841"/>
      <c r="GK225" s="841"/>
      <c r="GL225" s="841"/>
      <c r="GM225" s="841"/>
      <c r="GN225" s="841"/>
      <c r="GO225" s="841"/>
      <c r="GP225" s="841"/>
      <c r="GQ225" s="841"/>
      <c r="GR225" s="841"/>
      <c r="GS225" s="841"/>
      <c r="GT225" s="841"/>
      <c r="GU225" s="841"/>
      <c r="GV225" s="841"/>
      <c r="GW225" s="841"/>
      <c r="GX225" s="841"/>
      <c r="GY225" s="841"/>
      <c r="GZ225" s="841"/>
      <c r="HA225" s="841"/>
      <c r="HB225" s="841"/>
      <c r="HC225" s="841"/>
      <c r="HD225" s="841"/>
      <c r="HE225" s="841"/>
      <c r="HF225" s="841"/>
      <c r="HG225" s="841"/>
      <c r="HH225" s="841"/>
      <c r="HI225" s="841"/>
      <c r="HJ225" s="841"/>
      <c r="HK225" s="841"/>
      <c r="HL225" s="841"/>
      <c r="HM225" s="841"/>
      <c r="HN225" s="841"/>
      <c r="HO225" s="841"/>
    </row>
    <row r="226" spans="2:223" ht="9.75" customHeight="1" thickTop="1">
      <c r="B226" s="868"/>
      <c r="Z226" s="1779"/>
      <c r="AA226" s="1779"/>
      <c r="AB226" s="1779"/>
      <c r="AC226" s="1779"/>
      <c r="AD226" s="1779"/>
      <c r="DS226" s="841"/>
      <c r="DT226" s="841"/>
      <c r="DU226" s="841"/>
      <c r="DV226" s="841"/>
      <c r="DW226" s="841"/>
      <c r="DX226" s="841"/>
      <c r="DY226" s="841"/>
      <c r="DZ226" s="841"/>
      <c r="EA226" s="841"/>
      <c r="EB226" s="841"/>
      <c r="EC226" s="841"/>
      <c r="ED226" s="841"/>
      <c r="EE226" s="841"/>
      <c r="EF226" s="841"/>
      <c r="EG226" s="841"/>
      <c r="EH226" s="841"/>
      <c r="EI226" s="841"/>
      <c r="EJ226" s="841"/>
      <c r="EK226" s="841"/>
      <c r="EL226" s="841"/>
      <c r="EM226" s="841"/>
      <c r="EN226" s="841"/>
      <c r="EO226" s="841"/>
      <c r="EP226" s="841"/>
      <c r="EQ226" s="841"/>
      <c r="ER226" s="841"/>
      <c r="ES226" s="841"/>
      <c r="ET226" s="841"/>
      <c r="EU226" s="841"/>
      <c r="EV226" s="841"/>
      <c r="EW226" s="841"/>
      <c r="EX226" s="841"/>
      <c r="EY226" s="841"/>
      <c r="EZ226" s="841"/>
      <c r="FA226" s="841"/>
      <c r="FB226" s="841"/>
      <c r="FC226" s="841"/>
      <c r="FD226" s="841"/>
      <c r="FE226" s="841"/>
      <c r="FF226" s="841"/>
      <c r="FG226" s="841"/>
      <c r="FH226" s="841"/>
      <c r="FI226" s="841"/>
      <c r="FJ226" s="841"/>
      <c r="FK226" s="841"/>
      <c r="FL226" s="841"/>
      <c r="FM226" s="841"/>
      <c r="FN226" s="841"/>
      <c r="FO226" s="841"/>
      <c r="FP226" s="841"/>
      <c r="FQ226" s="841"/>
      <c r="FR226" s="841"/>
      <c r="FS226" s="841"/>
      <c r="FT226" s="841"/>
      <c r="FU226" s="841"/>
      <c r="FV226" s="841"/>
      <c r="FW226" s="841"/>
      <c r="FX226" s="841"/>
      <c r="FY226" s="841"/>
      <c r="FZ226" s="841"/>
      <c r="GA226" s="841"/>
      <c r="GB226" s="841"/>
      <c r="GC226" s="841"/>
      <c r="GD226" s="841"/>
      <c r="GE226" s="841"/>
      <c r="GF226" s="841"/>
      <c r="GG226" s="841"/>
      <c r="GH226" s="841"/>
      <c r="GI226" s="841"/>
      <c r="GJ226" s="841"/>
      <c r="GK226" s="841"/>
      <c r="GL226" s="841"/>
      <c r="GM226" s="841"/>
      <c r="GN226" s="841"/>
      <c r="GO226" s="841"/>
      <c r="GP226" s="841"/>
      <c r="GQ226" s="841"/>
      <c r="GR226" s="841"/>
      <c r="GS226" s="841"/>
      <c r="GT226" s="841"/>
      <c r="GU226" s="841"/>
      <c r="GV226" s="841"/>
      <c r="GW226" s="841"/>
      <c r="GX226" s="841"/>
      <c r="GY226" s="841"/>
      <c r="GZ226" s="841"/>
      <c r="HA226" s="841"/>
      <c r="HB226" s="841"/>
      <c r="HC226" s="841"/>
      <c r="HD226" s="841"/>
      <c r="HE226" s="841"/>
      <c r="HF226" s="841"/>
      <c r="HG226" s="841"/>
      <c r="HH226" s="841"/>
      <c r="HI226" s="841"/>
      <c r="HJ226" s="841"/>
      <c r="HK226" s="841"/>
      <c r="HL226" s="841"/>
      <c r="HM226" s="841"/>
      <c r="HN226" s="841"/>
      <c r="HO226" s="841"/>
    </row>
    <row r="227" spans="2:223" ht="21" thickBot="1">
      <c r="B227" s="870"/>
      <c r="D227" s="870"/>
      <c r="F227" s="870"/>
      <c r="H227" s="870"/>
      <c r="J227" s="870"/>
      <c r="L227" s="870"/>
      <c r="N227" s="870"/>
      <c r="P227" s="870"/>
      <c r="R227" s="870"/>
      <c r="T227" s="870"/>
      <c r="V227" s="870"/>
      <c r="X227" s="870"/>
      <c r="Z227" s="870"/>
      <c r="AA227" s="1779"/>
      <c r="AB227" s="870"/>
      <c r="AC227" s="1779"/>
      <c r="AD227" s="870"/>
      <c r="AF227" s="1233">
        <f>IF(ISBLANK(D227),0,Calculos_cuotas!O1184)</f>
        <v>0</v>
      </c>
      <c r="DS227" s="841"/>
      <c r="DT227" s="841"/>
      <c r="DU227" s="841"/>
      <c r="DV227" s="841"/>
      <c r="DW227" s="841"/>
      <c r="DX227" s="841"/>
      <c r="DY227" s="841"/>
      <c r="DZ227" s="841"/>
      <c r="EA227" s="841"/>
      <c r="EB227" s="841"/>
      <c r="EC227" s="841"/>
      <c r="ED227" s="841"/>
      <c r="EE227" s="841"/>
      <c r="EF227" s="841"/>
      <c r="EG227" s="841"/>
      <c r="EH227" s="841"/>
      <c r="EI227" s="841"/>
      <c r="EJ227" s="841"/>
      <c r="EK227" s="841"/>
      <c r="EL227" s="841"/>
      <c r="EM227" s="841"/>
      <c r="EN227" s="841"/>
      <c r="EO227" s="841"/>
      <c r="EP227" s="841"/>
      <c r="EQ227" s="841"/>
      <c r="ER227" s="841"/>
      <c r="ES227" s="841"/>
      <c r="ET227" s="841"/>
      <c r="EU227" s="841"/>
      <c r="EV227" s="841"/>
      <c r="EW227" s="841"/>
      <c r="EX227" s="841"/>
      <c r="EY227" s="841"/>
      <c r="EZ227" s="841"/>
      <c r="FA227" s="841"/>
      <c r="FB227" s="841"/>
      <c r="FC227" s="841"/>
      <c r="FD227" s="841"/>
      <c r="FE227" s="841"/>
      <c r="FF227" s="841"/>
      <c r="FG227" s="841"/>
      <c r="FH227" s="841"/>
      <c r="FI227" s="841"/>
      <c r="FJ227" s="841"/>
      <c r="FK227" s="841"/>
      <c r="FL227" s="841"/>
      <c r="FM227" s="841"/>
      <c r="FN227" s="841"/>
      <c r="FO227" s="841"/>
      <c r="FP227" s="841"/>
      <c r="FQ227" s="841"/>
      <c r="FR227" s="841"/>
      <c r="FS227" s="841"/>
      <c r="FT227" s="841"/>
      <c r="FU227" s="841"/>
      <c r="FV227" s="841"/>
      <c r="FW227" s="841"/>
      <c r="FX227" s="841"/>
      <c r="FY227" s="841"/>
      <c r="FZ227" s="841"/>
      <c r="GA227" s="841"/>
      <c r="GB227" s="841"/>
      <c r="GC227" s="841"/>
      <c r="GD227" s="841"/>
      <c r="GE227" s="841"/>
      <c r="GF227" s="841"/>
      <c r="GG227" s="841"/>
      <c r="GH227" s="841"/>
      <c r="GI227" s="841"/>
      <c r="GJ227" s="841"/>
      <c r="GK227" s="841"/>
      <c r="GL227" s="841"/>
      <c r="GM227" s="841"/>
      <c r="GN227" s="841"/>
      <c r="GO227" s="841"/>
      <c r="GP227" s="841"/>
      <c r="GQ227" s="841"/>
      <c r="GR227" s="841"/>
      <c r="GS227" s="841"/>
      <c r="GT227" s="841"/>
      <c r="GU227" s="841"/>
      <c r="GV227" s="841"/>
      <c r="GW227" s="841"/>
      <c r="GX227" s="841"/>
      <c r="GY227" s="841"/>
      <c r="GZ227" s="841"/>
      <c r="HA227" s="841"/>
      <c r="HB227" s="841"/>
      <c r="HC227" s="841"/>
      <c r="HD227" s="841"/>
      <c r="HE227" s="841"/>
      <c r="HF227" s="841"/>
      <c r="HG227" s="841"/>
      <c r="HH227" s="841"/>
      <c r="HI227" s="841"/>
      <c r="HJ227" s="841"/>
      <c r="HK227" s="841"/>
      <c r="HL227" s="841"/>
      <c r="HM227" s="841"/>
      <c r="HN227" s="841"/>
      <c r="HO227" s="841"/>
    </row>
    <row r="228" spans="2:223" ht="9.75" customHeight="1" thickTop="1">
      <c r="B228" s="868"/>
      <c r="Z228" s="1779"/>
      <c r="AA228" s="1779"/>
      <c r="AB228" s="1779"/>
      <c r="AC228" s="1779"/>
      <c r="AD228" s="1779"/>
      <c r="DS228" s="841"/>
      <c r="DT228" s="841"/>
      <c r="DU228" s="841"/>
      <c r="DV228" s="841"/>
      <c r="DW228" s="841"/>
      <c r="DX228" s="841"/>
      <c r="DY228" s="841"/>
      <c r="DZ228" s="841"/>
      <c r="EA228" s="841"/>
      <c r="EB228" s="841"/>
      <c r="EC228" s="841"/>
      <c r="ED228" s="841"/>
      <c r="EE228" s="841"/>
      <c r="EF228" s="841"/>
      <c r="EG228" s="841"/>
      <c r="EH228" s="841"/>
      <c r="EI228" s="841"/>
      <c r="EJ228" s="841"/>
      <c r="EK228" s="841"/>
      <c r="EL228" s="841"/>
      <c r="EM228" s="841"/>
      <c r="EN228" s="841"/>
      <c r="EO228" s="841"/>
      <c r="EP228" s="841"/>
      <c r="EQ228" s="841"/>
      <c r="ER228" s="841"/>
      <c r="ES228" s="841"/>
      <c r="ET228" s="841"/>
      <c r="EU228" s="841"/>
      <c r="EV228" s="841"/>
      <c r="EW228" s="841"/>
      <c r="EX228" s="841"/>
      <c r="EY228" s="841"/>
      <c r="EZ228" s="841"/>
      <c r="FA228" s="841"/>
      <c r="FB228" s="841"/>
      <c r="FC228" s="841"/>
      <c r="FD228" s="841"/>
      <c r="FE228" s="841"/>
      <c r="FF228" s="841"/>
      <c r="FG228" s="841"/>
      <c r="FH228" s="841"/>
      <c r="FI228" s="841"/>
      <c r="FJ228" s="841"/>
      <c r="FK228" s="841"/>
      <c r="FL228" s="841"/>
      <c r="FM228" s="841"/>
      <c r="FN228" s="841"/>
      <c r="FO228" s="841"/>
      <c r="FP228" s="841"/>
      <c r="FQ228" s="841"/>
      <c r="FR228" s="841"/>
      <c r="FS228" s="841"/>
      <c r="FT228" s="841"/>
      <c r="FU228" s="841"/>
      <c r="FV228" s="841"/>
      <c r="FW228" s="841"/>
      <c r="FX228" s="841"/>
      <c r="FY228" s="841"/>
      <c r="FZ228" s="841"/>
      <c r="GA228" s="841"/>
      <c r="GB228" s="841"/>
      <c r="GC228" s="841"/>
      <c r="GD228" s="841"/>
      <c r="GE228" s="841"/>
      <c r="GF228" s="841"/>
      <c r="GG228" s="841"/>
      <c r="GH228" s="841"/>
      <c r="GI228" s="841"/>
      <c r="GJ228" s="841"/>
      <c r="GK228" s="841"/>
      <c r="GL228" s="841"/>
      <c r="GM228" s="841"/>
      <c r="GN228" s="841"/>
      <c r="GO228" s="841"/>
      <c r="GP228" s="841"/>
      <c r="GQ228" s="841"/>
      <c r="GR228" s="841"/>
      <c r="GS228" s="841"/>
      <c r="GT228" s="841"/>
      <c r="GU228" s="841"/>
      <c r="GV228" s="841"/>
      <c r="GW228" s="841"/>
      <c r="GX228" s="841"/>
      <c r="GY228" s="841"/>
      <c r="GZ228" s="841"/>
      <c r="HA228" s="841"/>
      <c r="HB228" s="841"/>
      <c r="HC228" s="841"/>
      <c r="HD228" s="841"/>
      <c r="HE228" s="841"/>
      <c r="HF228" s="841"/>
      <c r="HG228" s="841"/>
      <c r="HH228" s="841"/>
      <c r="HI228" s="841"/>
      <c r="HJ228" s="841"/>
      <c r="HK228" s="841"/>
      <c r="HL228" s="841"/>
      <c r="HM228" s="841"/>
      <c r="HN228" s="841"/>
      <c r="HO228" s="841"/>
    </row>
    <row r="229" spans="2:223" ht="21" thickBot="1">
      <c r="B229" s="870"/>
      <c r="D229" s="870"/>
      <c r="F229" s="870"/>
      <c r="H229" s="870"/>
      <c r="J229" s="870"/>
      <c r="L229" s="870"/>
      <c r="N229" s="870"/>
      <c r="P229" s="870"/>
      <c r="R229" s="870"/>
      <c r="T229" s="870"/>
      <c r="V229" s="870"/>
      <c r="X229" s="870"/>
      <c r="Z229" s="870"/>
      <c r="AA229" s="1779"/>
      <c r="AB229" s="870"/>
      <c r="AC229" s="1779"/>
      <c r="AD229" s="870"/>
      <c r="AF229" s="1233">
        <f>IF(ISBLANK(D229),0,Calculos_cuotas!O1185)</f>
        <v>0</v>
      </c>
      <c r="DS229" s="841"/>
      <c r="DT229" s="841"/>
      <c r="DU229" s="841"/>
      <c r="DV229" s="841"/>
      <c r="DW229" s="841"/>
      <c r="DX229" s="841"/>
      <c r="DY229" s="841"/>
      <c r="DZ229" s="841"/>
      <c r="EA229" s="841"/>
      <c r="EB229" s="841"/>
      <c r="EC229" s="841"/>
      <c r="ED229" s="841"/>
      <c r="EE229" s="841"/>
      <c r="EF229" s="841"/>
      <c r="EG229" s="841"/>
      <c r="EH229" s="841"/>
      <c r="EI229" s="841"/>
      <c r="EJ229" s="841"/>
      <c r="EK229" s="841"/>
      <c r="EL229" s="841"/>
      <c r="EM229" s="841"/>
      <c r="EN229" s="841"/>
      <c r="EO229" s="841"/>
      <c r="EP229" s="841"/>
      <c r="EQ229" s="841"/>
      <c r="ER229" s="841"/>
      <c r="ES229" s="841"/>
      <c r="ET229" s="841"/>
      <c r="EU229" s="841"/>
      <c r="EV229" s="841"/>
      <c r="EW229" s="841"/>
      <c r="EX229" s="841"/>
      <c r="EY229" s="841"/>
      <c r="EZ229" s="841"/>
      <c r="FA229" s="841"/>
      <c r="FB229" s="841"/>
      <c r="FC229" s="841"/>
      <c r="FD229" s="841"/>
      <c r="FE229" s="841"/>
      <c r="FF229" s="841"/>
      <c r="FG229" s="841"/>
      <c r="FH229" s="841"/>
      <c r="FI229" s="841"/>
      <c r="FJ229" s="841"/>
      <c r="FK229" s="841"/>
      <c r="FL229" s="841"/>
      <c r="FM229" s="841"/>
      <c r="FN229" s="841"/>
      <c r="FO229" s="841"/>
      <c r="FP229" s="841"/>
      <c r="FQ229" s="841"/>
      <c r="FR229" s="841"/>
      <c r="FS229" s="841"/>
      <c r="FT229" s="841"/>
      <c r="FU229" s="841"/>
      <c r="FV229" s="841"/>
      <c r="FW229" s="841"/>
      <c r="FX229" s="841"/>
      <c r="FY229" s="841"/>
      <c r="FZ229" s="841"/>
      <c r="GA229" s="841"/>
      <c r="GB229" s="841"/>
      <c r="GC229" s="841"/>
      <c r="GD229" s="841"/>
      <c r="GE229" s="841"/>
      <c r="GF229" s="841"/>
      <c r="GG229" s="841"/>
      <c r="GH229" s="841"/>
      <c r="GI229" s="841"/>
      <c r="GJ229" s="841"/>
      <c r="GK229" s="841"/>
      <c r="GL229" s="841"/>
      <c r="GM229" s="841"/>
      <c r="GN229" s="841"/>
      <c r="GO229" s="841"/>
      <c r="GP229" s="841"/>
      <c r="GQ229" s="841"/>
      <c r="GR229" s="841"/>
      <c r="GS229" s="841"/>
      <c r="GT229" s="841"/>
      <c r="GU229" s="841"/>
      <c r="GV229" s="841"/>
      <c r="GW229" s="841"/>
      <c r="GX229" s="841"/>
      <c r="GY229" s="841"/>
      <c r="GZ229" s="841"/>
      <c r="HA229" s="841"/>
      <c r="HB229" s="841"/>
      <c r="HC229" s="841"/>
      <c r="HD229" s="841"/>
      <c r="HE229" s="841"/>
      <c r="HF229" s="841"/>
      <c r="HG229" s="841"/>
      <c r="HH229" s="841"/>
      <c r="HI229" s="841"/>
      <c r="HJ229" s="841"/>
      <c r="HK229" s="841"/>
      <c r="HL229" s="841"/>
      <c r="HM229" s="841"/>
      <c r="HN229" s="841"/>
      <c r="HO229" s="841"/>
    </row>
    <row r="230" spans="2:223" ht="9.75" customHeight="1" thickTop="1">
      <c r="B230" s="868"/>
      <c r="Z230" s="1779"/>
      <c r="AA230" s="1779"/>
      <c r="AB230" s="1779"/>
      <c r="AC230" s="1779"/>
      <c r="AD230" s="1779"/>
      <c r="DS230" s="841"/>
      <c r="DT230" s="841"/>
      <c r="DU230" s="841"/>
      <c r="DV230" s="841"/>
      <c r="DW230" s="841"/>
      <c r="DX230" s="841"/>
      <c r="DY230" s="841"/>
      <c r="DZ230" s="841"/>
      <c r="EA230" s="841"/>
      <c r="EB230" s="841"/>
      <c r="EC230" s="841"/>
      <c r="ED230" s="841"/>
      <c r="EE230" s="841"/>
      <c r="EF230" s="841"/>
      <c r="EG230" s="841"/>
      <c r="EH230" s="841"/>
      <c r="EI230" s="841"/>
      <c r="EJ230" s="841"/>
      <c r="EK230" s="841"/>
      <c r="EL230" s="841"/>
      <c r="EM230" s="841"/>
      <c r="EN230" s="841"/>
      <c r="EO230" s="841"/>
      <c r="EP230" s="841"/>
      <c r="EQ230" s="841"/>
      <c r="ER230" s="841"/>
      <c r="ES230" s="841"/>
      <c r="ET230" s="841"/>
      <c r="EU230" s="841"/>
      <c r="EV230" s="841"/>
      <c r="EW230" s="841"/>
      <c r="EX230" s="841"/>
      <c r="EY230" s="841"/>
      <c r="EZ230" s="841"/>
      <c r="FA230" s="841"/>
      <c r="FB230" s="841"/>
      <c r="FC230" s="841"/>
      <c r="FD230" s="841"/>
      <c r="FE230" s="841"/>
      <c r="FF230" s="841"/>
      <c r="FG230" s="841"/>
      <c r="FH230" s="841"/>
      <c r="FI230" s="841"/>
      <c r="FJ230" s="841"/>
      <c r="FK230" s="841"/>
      <c r="FL230" s="841"/>
      <c r="FM230" s="841"/>
      <c r="FN230" s="841"/>
      <c r="FO230" s="841"/>
      <c r="FP230" s="841"/>
      <c r="FQ230" s="841"/>
      <c r="FR230" s="841"/>
      <c r="FS230" s="841"/>
      <c r="FT230" s="841"/>
      <c r="FU230" s="841"/>
      <c r="FV230" s="841"/>
      <c r="FW230" s="841"/>
      <c r="FX230" s="841"/>
      <c r="FY230" s="841"/>
      <c r="FZ230" s="841"/>
      <c r="GA230" s="841"/>
      <c r="GB230" s="841"/>
      <c r="GC230" s="841"/>
      <c r="GD230" s="841"/>
      <c r="GE230" s="841"/>
      <c r="GF230" s="841"/>
      <c r="GG230" s="841"/>
      <c r="GH230" s="841"/>
      <c r="GI230" s="841"/>
      <c r="GJ230" s="841"/>
      <c r="GK230" s="841"/>
      <c r="GL230" s="841"/>
      <c r="GM230" s="841"/>
      <c r="GN230" s="841"/>
      <c r="GO230" s="841"/>
      <c r="GP230" s="841"/>
      <c r="GQ230" s="841"/>
      <c r="GR230" s="841"/>
      <c r="GS230" s="841"/>
      <c r="GT230" s="841"/>
      <c r="GU230" s="841"/>
      <c r="GV230" s="841"/>
      <c r="GW230" s="841"/>
      <c r="GX230" s="841"/>
      <c r="GY230" s="841"/>
      <c r="GZ230" s="841"/>
      <c r="HA230" s="841"/>
      <c r="HB230" s="841"/>
      <c r="HC230" s="841"/>
      <c r="HD230" s="841"/>
      <c r="HE230" s="841"/>
      <c r="HF230" s="841"/>
      <c r="HG230" s="841"/>
      <c r="HH230" s="841"/>
      <c r="HI230" s="841"/>
      <c r="HJ230" s="841"/>
      <c r="HK230" s="841"/>
      <c r="HL230" s="841"/>
      <c r="HM230" s="841"/>
      <c r="HN230" s="841"/>
      <c r="HO230" s="841"/>
    </row>
    <row r="231" spans="2:223" ht="21" thickBot="1">
      <c r="B231" s="870"/>
      <c r="D231" s="870"/>
      <c r="F231" s="870"/>
      <c r="H231" s="870"/>
      <c r="J231" s="870"/>
      <c r="L231" s="870"/>
      <c r="N231" s="870"/>
      <c r="P231" s="870"/>
      <c r="R231" s="870"/>
      <c r="T231" s="870"/>
      <c r="V231" s="870"/>
      <c r="X231" s="870"/>
      <c r="Z231" s="870"/>
      <c r="AA231" s="1779"/>
      <c r="AB231" s="870"/>
      <c r="AC231" s="1779"/>
      <c r="AD231" s="870"/>
      <c r="AF231" s="1233">
        <f>IF(ISBLANK(D231),0,Calculos_cuotas!O1186)</f>
        <v>0</v>
      </c>
      <c r="DS231" s="841"/>
      <c r="DT231" s="841"/>
      <c r="DU231" s="841"/>
      <c r="DV231" s="841"/>
      <c r="DW231" s="841"/>
      <c r="DX231" s="841"/>
      <c r="DY231" s="841"/>
      <c r="DZ231" s="841"/>
      <c r="EA231" s="841"/>
      <c r="EB231" s="841"/>
      <c r="EC231" s="841"/>
      <c r="ED231" s="841"/>
      <c r="EE231" s="841"/>
      <c r="EF231" s="841"/>
      <c r="EG231" s="841"/>
      <c r="EH231" s="841"/>
      <c r="EI231" s="841"/>
      <c r="EJ231" s="841"/>
      <c r="EK231" s="841"/>
      <c r="EL231" s="841"/>
      <c r="EM231" s="841"/>
      <c r="EN231" s="841"/>
      <c r="EO231" s="841"/>
      <c r="EP231" s="841"/>
      <c r="EQ231" s="841"/>
      <c r="ER231" s="841"/>
      <c r="ES231" s="841"/>
      <c r="ET231" s="841"/>
      <c r="EU231" s="841"/>
      <c r="EV231" s="841"/>
      <c r="EW231" s="841"/>
      <c r="EX231" s="841"/>
      <c r="EY231" s="841"/>
      <c r="EZ231" s="841"/>
      <c r="FA231" s="841"/>
      <c r="FB231" s="841"/>
      <c r="FC231" s="841"/>
      <c r="FD231" s="841"/>
      <c r="FE231" s="841"/>
      <c r="FF231" s="841"/>
      <c r="FG231" s="841"/>
      <c r="FH231" s="841"/>
      <c r="FI231" s="841"/>
      <c r="FJ231" s="841"/>
      <c r="FK231" s="841"/>
      <c r="FL231" s="841"/>
      <c r="FM231" s="841"/>
      <c r="FN231" s="841"/>
      <c r="FO231" s="841"/>
      <c r="FP231" s="841"/>
      <c r="FQ231" s="841"/>
      <c r="FR231" s="841"/>
      <c r="FS231" s="841"/>
      <c r="FT231" s="841"/>
      <c r="FU231" s="841"/>
      <c r="FV231" s="841"/>
      <c r="FW231" s="841"/>
      <c r="FX231" s="841"/>
      <c r="FY231" s="841"/>
      <c r="FZ231" s="841"/>
      <c r="GA231" s="841"/>
      <c r="GB231" s="841"/>
      <c r="GC231" s="841"/>
      <c r="GD231" s="841"/>
      <c r="GE231" s="841"/>
      <c r="GF231" s="841"/>
      <c r="GG231" s="841"/>
      <c r="GH231" s="841"/>
      <c r="GI231" s="841"/>
      <c r="GJ231" s="841"/>
      <c r="GK231" s="841"/>
      <c r="GL231" s="841"/>
      <c r="GM231" s="841"/>
      <c r="GN231" s="841"/>
      <c r="GO231" s="841"/>
      <c r="GP231" s="841"/>
      <c r="GQ231" s="841"/>
      <c r="GR231" s="841"/>
      <c r="GS231" s="841"/>
      <c r="GT231" s="841"/>
      <c r="GU231" s="841"/>
      <c r="GV231" s="841"/>
      <c r="GW231" s="841"/>
      <c r="GX231" s="841"/>
      <c r="GY231" s="841"/>
      <c r="GZ231" s="841"/>
      <c r="HA231" s="841"/>
      <c r="HB231" s="841"/>
      <c r="HC231" s="841"/>
      <c r="HD231" s="841"/>
      <c r="HE231" s="841"/>
      <c r="HF231" s="841"/>
      <c r="HG231" s="841"/>
      <c r="HH231" s="841"/>
      <c r="HI231" s="841"/>
      <c r="HJ231" s="841"/>
      <c r="HK231" s="841"/>
      <c r="HL231" s="841"/>
      <c r="HM231" s="841"/>
      <c r="HN231" s="841"/>
      <c r="HO231" s="841"/>
    </row>
    <row r="232" spans="2:223" ht="9.75" customHeight="1" thickTop="1">
      <c r="B232" s="868"/>
      <c r="Z232" s="1779"/>
      <c r="AA232" s="1779"/>
      <c r="AB232" s="1779"/>
      <c r="AC232" s="1779"/>
      <c r="AD232" s="1779"/>
      <c r="DS232" s="841"/>
      <c r="DT232" s="841"/>
      <c r="DU232" s="841"/>
      <c r="DV232" s="841"/>
      <c r="DW232" s="841"/>
      <c r="DX232" s="841"/>
      <c r="DY232" s="841"/>
      <c r="DZ232" s="841"/>
      <c r="EA232" s="841"/>
      <c r="EB232" s="841"/>
      <c r="EC232" s="841"/>
      <c r="ED232" s="841"/>
      <c r="EE232" s="841"/>
      <c r="EF232" s="841"/>
      <c r="EG232" s="841"/>
      <c r="EH232" s="841"/>
      <c r="EI232" s="841"/>
      <c r="EJ232" s="841"/>
      <c r="EK232" s="841"/>
      <c r="EL232" s="841"/>
      <c r="EM232" s="841"/>
      <c r="EN232" s="841"/>
      <c r="EO232" s="841"/>
      <c r="EP232" s="841"/>
      <c r="EQ232" s="841"/>
      <c r="ER232" s="841"/>
      <c r="ES232" s="841"/>
      <c r="ET232" s="841"/>
      <c r="EU232" s="841"/>
      <c r="EV232" s="841"/>
      <c r="EW232" s="841"/>
      <c r="EX232" s="841"/>
      <c r="EY232" s="841"/>
      <c r="EZ232" s="841"/>
      <c r="FA232" s="841"/>
      <c r="FB232" s="841"/>
      <c r="FC232" s="841"/>
      <c r="FD232" s="841"/>
      <c r="FE232" s="841"/>
      <c r="FF232" s="841"/>
      <c r="FG232" s="841"/>
      <c r="FH232" s="841"/>
      <c r="FI232" s="841"/>
      <c r="FJ232" s="841"/>
      <c r="FK232" s="841"/>
      <c r="FL232" s="841"/>
      <c r="FM232" s="841"/>
      <c r="FN232" s="841"/>
      <c r="FO232" s="841"/>
      <c r="FP232" s="841"/>
      <c r="FQ232" s="841"/>
      <c r="FR232" s="841"/>
      <c r="FS232" s="841"/>
      <c r="FT232" s="841"/>
      <c r="FU232" s="841"/>
      <c r="FV232" s="841"/>
      <c r="FW232" s="841"/>
      <c r="FX232" s="841"/>
      <c r="FY232" s="841"/>
      <c r="FZ232" s="841"/>
      <c r="GA232" s="841"/>
      <c r="GB232" s="841"/>
      <c r="GC232" s="841"/>
      <c r="GD232" s="841"/>
      <c r="GE232" s="841"/>
      <c r="GF232" s="841"/>
      <c r="GG232" s="841"/>
      <c r="GH232" s="841"/>
      <c r="GI232" s="841"/>
      <c r="GJ232" s="841"/>
      <c r="GK232" s="841"/>
      <c r="GL232" s="841"/>
      <c r="GM232" s="841"/>
      <c r="GN232" s="841"/>
      <c r="GO232" s="841"/>
      <c r="GP232" s="841"/>
      <c r="GQ232" s="841"/>
      <c r="GR232" s="841"/>
      <c r="GS232" s="841"/>
      <c r="GT232" s="841"/>
      <c r="GU232" s="841"/>
      <c r="GV232" s="841"/>
      <c r="GW232" s="841"/>
      <c r="GX232" s="841"/>
      <c r="GY232" s="841"/>
      <c r="GZ232" s="841"/>
      <c r="HA232" s="841"/>
      <c r="HB232" s="841"/>
      <c r="HC232" s="841"/>
      <c r="HD232" s="841"/>
      <c r="HE232" s="841"/>
      <c r="HF232" s="841"/>
      <c r="HG232" s="841"/>
      <c r="HH232" s="841"/>
      <c r="HI232" s="841"/>
      <c r="HJ232" s="841"/>
      <c r="HK232" s="841"/>
      <c r="HL232" s="841"/>
      <c r="HM232" s="841"/>
      <c r="HN232" s="841"/>
      <c r="HO232" s="841"/>
    </row>
    <row r="233" spans="2:223" ht="21" thickBot="1">
      <c r="B233" s="870"/>
      <c r="D233" s="870"/>
      <c r="F233" s="870"/>
      <c r="H233" s="870"/>
      <c r="J233" s="870"/>
      <c r="L233" s="870"/>
      <c r="N233" s="870"/>
      <c r="P233" s="870"/>
      <c r="R233" s="870"/>
      <c r="T233" s="870"/>
      <c r="V233" s="870"/>
      <c r="X233" s="870"/>
      <c r="Z233" s="870"/>
      <c r="AA233" s="1779"/>
      <c r="AB233" s="870"/>
      <c r="AC233" s="1779"/>
      <c r="AD233" s="870"/>
      <c r="AF233" s="1233">
        <f>IF(ISBLANK(D233),0,Calculos_cuotas!O1187)</f>
        <v>0</v>
      </c>
      <c r="DS233" s="841"/>
      <c r="DT233" s="841"/>
      <c r="DU233" s="841"/>
      <c r="DV233" s="841"/>
      <c r="DW233" s="841"/>
      <c r="DX233" s="841"/>
      <c r="DY233" s="841"/>
      <c r="DZ233" s="841"/>
      <c r="EA233" s="841"/>
      <c r="EB233" s="841"/>
      <c r="EC233" s="841"/>
      <c r="ED233" s="841"/>
      <c r="EE233" s="841"/>
      <c r="EF233" s="841"/>
      <c r="EG233" s="841"/>
      <c r="EH233" s="841"/>
      <c r="EI233" s="841"/>
      <c r="EJ233" s="841"/>
      <c r="EK233" s="841"/>
      <c r="EL233" s="841"/>
      <c r="EM233" s="841"/>
      <c r="EN233" s="841"/>
      <c r="EO233" s="841"/>
      <c r="EP233" s="841"/>
      <c r="EQ233" s="841"/>
      <c r="ER233" s="841"/>
      <c r="ES233" s="841"/>
      <c r="ET233" s="841"/>
      <c r="EU233" s="841"/>
      <c r="EV233" s="841"/>
      <c r="EW233" s="841"/>
      <c r="EX233" s="841"/>
      <c r="EY233" s="841"/>
      <c r="EZ233" s="841"/>
      <c r="FA233" s="841"/>
      <c r="FB233" s="841"/>
      <c r="FC233" s="841"/>
      <c r="FD233" s="841"/>
      <c r="FE233" s="841"/>
      <c r="FF233" s="841"/>
      <c r="FG233" s="841"/>
      <c r="FH233" s="841"/>
      <c r="FI233" s="841"/>
      <c r="FJ233" s="841"/>
      <c r="FK233" s="841"/>
      <c r="FL233" s="841"/>
      <c r="FM233" s="841"/>
      <c r="FN233" s="841"/>
      <c r="FO233" s="841"/>
      <c r="FP233" s="841"/>
      <c r="FQ233" s="841"/>
      <c r="FR233" s="841"/>
      <c r="FS233" s="841"/>
      <c r="FT233" s="841"/>
      <c r="FU233" s="841"/>
      <c r="FV233" s="841"/>
      <c r="FW233" s="841"/>
      <c r="FX233" s="841"/>
      <c r="FY233" s="841"/>
      <c r="FZ233" s="841"/>
      <c r="GA233" s="841"/>
      <c r="GB233" s="841"/>
      <c r="GC233" s="841"/>
      <c r="GD233" s="841"/>
      <c r="GE233" s="841"/>
      <c r="GF233" s="841"/>
      <c r="GG233" s="841"/>
      <c r="GH233" s="841"/>
      <c r="GI233" s="841"/>
      <c r="GJ233" s="841"/>
      <c r="GK233" s="841"/>
      <c r="GL233" s="841"/>
      <c r="GM233" s="841"/>
      <c r="GN233" s="841"/>
      <c r="GO233" s="841"/>
      <c r="GP233" s="841"/>
      <c r="GQ233" s="841"/>
      <c r="GR233" s="841"/>
      <c r="GS233" s="841"/>
      <c r="GT233" s="841"/>
      <c r="GU233" s="841"/>
      <c r="GV233" s="841"/>
      <c r="GW233" s="841"/>
      <c r="GX233" s="841"/>
      <c r="GY233" s="841"/>
      <c r="GZ233" s="841"/>
      <c r="HA233" s="841"/>
      <c r="HB233" s="841"/>
      <c r="HC233" s="841"/>
      <c r="HD233" s="841"/>
      <c r="HE233" s="841"/>
      <c r="HF233" s="841"/>
      <c r="HG233" s="841"/>
      <c r="HH233" s="841"/>
      <c r="HI233" s="841"/>
      <c r="HJ233" s="841"/>
      <c r="HK233" s="841"/>
      <c r="HL233" s="841"/>
      <c r="HM233" s="841"/>
      <c r="HN233" s="841"/>
      <c r="HO233" s="841"/>
    </row>
    <row r="234" spans="2:223" ht="21" thickTop="1">
      <c r="B234" s="868"/>
      <c r="DS234" s="841"/>
      <c r="DT234" s="841"/>
      <c r="DU234" s="841"/>
      <c r="DV234" s="841"/>
      <c r="DW234" s="841"/>
      <c r="DX234" s="841"/>
      <c r="DY234" s="841"/>
      <c r="DZ234" s="841"/>
      <c r="EA234" s="841"/>
      <c r="EB234" s="841"/>
      <c r="EC234" s="841"/>
      <c r="ED234" s="841"/>
      <c r="EE234" s="841"/>
      <c r="EF234" s="841"/>
      <c r="EG234" s="841"/>
      <c r="EH234" s="841"/>
      <c r="EI234" s="841"/>
      <c r="EJ234" s="841"/>
      <c r="EK234" s="841"/>
      <c r="EL234" s="841"/>
      <c r="EM234" s="841"/>
      <c r="EN234" s="841"/>
      <c r="EO234" s="841"/>
      <c r="EP234" s="841"/>
      <c r="EQ234" s="841"/>
      <c r="ER234" s="841"/>
      <c r="ES234" s="841"/>
      <c r="ET234" s="841"/>
      <c r="EU234" s="841"/>
      <c r="EV234" s="841"/>
      <c r="EW234" s="841"/>
      <c r="EX234" s="841"/>
      <c r="EY234" s="841"/>
      <c r="EZ234" s="841"/>
      <c r="FA234" s="841"/>
      <c r="FB234" s="841"/>
      <c r="FC234" s="841"/>
      <c r="FD234" s="841"/>
      <c r="FE234" s="841"/>
      <c r="FF234" s="841"/>
      <c r="FG234" s="841"/>
      <c r="FH234" s="841"/>
      <c r="FI234" s="841"/>
      <c r="FJ234" s="841"/>
      <c r="FK234" s="841"/>
      <c r="FL234" s="841"/>
      <c r="FM234" s="841"/>
      <c r="FN234" s="841"/>
      <c r="FO234" s="841"/>
      <c r="FP234" s="841"/>
      <c r="FQ234" s="841"/>
      <c r="FR234" s="841"/>
      <c r="FS234" s="841"/>
      <c r="FT234" s="841"/>
      <c r="FU234" s="841"/>
      <c r="FV234" s="841"/>
      <c r="FW234" s="841"/>
      <c r="FX234" s="841"/>
      <c r="FY234" s="841"/>
      <c r="FZ234" s="841"/>
      <c r="GA234" s="841"/>
      <c r="GB234" s="841"/>
      <c r="GC234" s="841"/>
      <c r="GD234" s="841"/>
      <c r="GE234" s="841"/>
      <c r="GF234" s="841"/>
      <c r="GG234" s="841"/>
      <c r="GH234" s="841"/>
      <c r="GI234" s="841"/>
      <c r="GJ234" s="841"/>
      <c r="GK234" s="841"/>
      <c r="GL234" s="841"/>
      <c r="GM234" s="841"/>
      <c r="GN234" s="841"/>
      <c r="GO234" s="841"/>
      <c r="GP234" s="841"/>
      <c r="GQ234" s="841"/>
      <c r="GR234" s="841"/>
      <c r="GS234" s="841"/>
      <c r="GT234" s="841"/>
      <c r="GU234" s="841"/>
      <c r="GV234" s="841"/>
      <c r="GW234" s="841"/>
      <c r="GX234" s="841"/>
      <c r="GY234" s="841"/>
      <c r="GZ234" s="841"/>
      <c r="HA234" s="841"/>
      <c r="HB234" s="841"/>
      <c r="HC234" s="841"/>
      <c r="HD234" s="841"/>
      <c r="HE234" s="841"/>
      <c r="HF234" s="841"/>
      <c r="HG234" s="841"/>
      <c r="HH234" s="841"/>
      <c r="HI234" s="841"/>
      <c r="HJ234" s="841"/>
      <c r="HK234" s="841"/>
      <c r="HL234" s="841"/>
      <c r="HM234" s="841"/>
      <c r="HN234" s="841"/>
      <c r="HO234" s="841"/>
    </row>
    <row r="235" spans="2:223" ht="25.5" customHeight="1" thickBot="1">
      <c r="B235" s="868"/>
      <c r="AF235" s="898">
        <f>SUM(AF213:AF233)</f>
        <v>0</v>
      </c>
      <c r="DS235" s="841"/>
      <c r="DT235" s="841"/>
      <c r="DU235" s="841"/>
      <c r="DV235" s="841"/>
      <c r="DW235" s="841"/>
      <c r="DX235" s="841"/>
      <c r="DY235" s="841"/>
      <c r="DZ235" s="841"/>
      <c r="EA235" s="841"/>
      <c r="EB235" s="841"/>
      <c r="EC235" s="841"/>
      <c r="ED235" s="841"/>
      <c r="EE235" s="841"/>
      <c r="EF235" s="841"/>
      <c r="EG235" s="841"/>
      <c r="EH235" s="841"/>
      <c r="EI235" s="841"/>
      <c r="EJ235" s="841"/>
      <c r="EK235" s="841"/>
      <c r="EL235" s="841"/>
      <c r="EM235" s="841"/>
      <c r="EN235" s="841"/>
      <c r="EO235" s="841"/>
      <c r="EP235" s="841"/>
      <c r="EQ235" s="841"/>
      <c r="ER235" s="841"/>
      <c r="ES235" s="841"/>
      <c r="ET235" s="841"/>
      <c r="EU235" s="841"/>
      <c r="EV235" s="841"/>
      <c r="EW235" s="841"/>
      <c r="EX235" s="841"/>
      <c r="EY235" s="841"/>
      <c r="EZ235" s="841"/>
      <c r="FA235" s="841"/>
      <c r="FB235" s="841"/>
      <c r="FC235" s="841"/>
      <c r="FD235" s="841"/>
      <c r="FE235" s="841"/>
      <c r="FF235" s="841"/>
      <c r="FG235" s="841"/>
      <c r="FH235" s="841"/>
      <c r="FI235" s="841"/>
      <c r="FJ235" s="841"/>
      <c r="FK235" s="841"/>
      <c r="FL235" s="841"/>
      <c r="FM235" s="841"/>
      <c r="FN235" s="841"/>
      <c r="FO235" s="841"/>
      <c r="FP235" s="841"/>
      <c r="FQ235" s="841"/>
      <c r="FR235" s="841"/>
      <c r="FS235" s="841"/>
      <c r="FT235" s="841"/>
      <c r="FU235" s="841"/>
      <c r="FV235" s="841"/>
      <c r="FW235" s="841"/>
      <c r="FX235" s="841"/>
      <c r="FY235" s="841"/>
      <c r="FZ235" s="841"/>
      <c r="GA235" s="841"/>
      <c r="GB235" s="841"/>
      <c r="GC235" s="841"/>
      <c r="GD235" s="841"/>
      <c r="GE235" s="841"/>
      <c r="GF235" s="841"/>
      <c r="GG235" s="841"/>
      <c r="GH235" s="841"/>
      <c r="GI235" s="841"/>
      <c r="GJ235" s="841"/>
      <c r="GK235" s="841"/>
      <c r="GL235" s="841"/>
      <c r="GM235" s="841"/>
      <c r="GN235" s="841"/>
      <c r="GO235" s="841"/>
      <c r="GP235" s="841"/>
      <c r="GQ235" s="841"/>
      <c r="GR235" s="841"/>
      <c r="GS235" s="841"/>
      <c r="GT235" s="841"/>
      <c r="GU235" s="841"/>
      <c r="GV235" s="841"/>
      <c r="GW235" s="841"/>
      <c r="GX235" s="841"/>
      <c r="GY235" s="841"/>
      <c r="GZ235" s="841"/>
      <c r="HA235" s="841"/>
      <c r="HB235" s="841"/>
      <c r="HC235" s="841"/>
      <c r="HD235" s="841"/>
      <c r="HE235" s="841"/>
      <c r="HF235" s="841"/>
      <c r="HG235" s="841"/>
      <c r="HH235" s="841"/>
      <c r="HI235" s="841"/>
      <c r="HJ235" s="841"/>
      <c r="HK235" s="841"/>
      <c r="HL235" s="841"/>
      <c r="HM235" s="841"/>
      <c r="HN235" s="841"/>
      <c r="HO235" s="841"/>
    </row>
    <row r="236" spans="2:223" ht="21" thickTop="1">
      <c r="B236" s="868"/>
      <c r="DS236" s="841"/>
      <c r="DT236" s="841"/>
      <c r="DU236" s="841"/>
      <c r="DV236" s="841"/>
      <c r="DW236" s="841"/>
      <c r="DX236" s="841"/>
      <c r="DY236" s="841"/>
      <c r="DZ236" s="841"/>
      <c r="EA236" s="841"/>
      <c r="EB236" s="841"/>
      <c r="EC236" s="841"/>
      <c r="ED236" s="841"/>
      <c r="EE236" s="841"/>
      <c r="EF236" s="841"/>
      <c r="EG236" s="841"/>
      <c r="EH236" s="841"/>
      <c r="EI236" s="841"/>
      <c r="EJ236" s="841"/>
      <c r="EK236" s="841"/>
      <c r="EL236" s="841"/>
      <c r="EM236" s="841"/>
      <c r="EN236" s="841"/>
      <c r="EO236" s="841"/>
      <c r="EP236" s="841"/>
      <c r="EQ236" s="841"/>
      <c r="ER236" s="841"/>
      <c r="ES236" s="841"/>
      <c r="ET236" s="841"/>
      <c r="EU236" s="841"/>
      <c r="EV236" s="841"/>
      <c r="EW236" s="841"/>
      <c r="EX236" s="841"/>
      <c r="EY236" s="841"/>
      <c r="EZ236" s="841"/>
      <c r="FA236" s="841"/>
      <c r="FB236" s="841"/>
      <c r="FC236" s="841"/>
      <c r="FD236" s="841"/>
      <c r="FE236" s="841"/>
      <c r="FF236" s="841"/>
      <c r="FG236" s="841"/>
      <c r="FH236" s="841"/>
      <c r="FI236" s="841"/>
      <c r="FJ236" s="841"/>
      <c r="FK236" s="841"/>
      <c r="FL236" s="841"/>
      <c r="FM236" s="841"/>
      <c r="FN236" s="841"/>
      <c r="FO236" s="841"/>
      <c r="FP236" s="841"/>
      <c r="FQ236" s="841"/>
      <c r="FR236" s="841"/>
      <c r="FS236" s="841"/>
      <c r="FT236" s="841"/>
      <c r="FU236" s="841"/>
      <c r="FV236" s="841"/>
      <c r="FW236" s="841"/>
      <c r="FX236" s="841"/>
      <c r="FY236" s="841"/>
      <c r="FZ236" s="841"/>
      <c r="GA236" s="841"/>
      <c r="GB236" s="841"/>
      <c r="GC236" s="841"/>
      <c r="GD236" s="841"/>
      <c r="GE236" s="841"/>
      <c r="GF236" s="841"/>
      <c r="GG236" s="841"/>
      <c r="GH236" s="841"/>
      <c r="GI236" s="841"/>
      <c r="GJ236" s="841"/>
      <c r="GK236" s="841"/>
      <c r="GL236" s="841"/>
      <c r="GM236" s="841"/>
      <c r="GN236" s="841"/>
      <c r="GO236" s="841"/>
      <c r="GP236" s="841"/>
      <c r="GQ236" s="841"/>
      <c r="GR236" s="841"/>
      <c r="GS236" s="841"/>
      <c r="GT236" s="841"/>
      <c r="GU236" s="841"/>
      <c r="GV236" s="841"/>
      <c r="GW236" s="841"/>
      <c r="GX236" s="841"/>
      <c r="GY236" s="841"/>
      <c r="GZ236" s="841"/>
      <c r="HA236" s="841"/>
      <c r="HB236" s="841"/>
      <c r="HC236" s="841"/>
      <c r="HD236" s="841"/>
      <c r="HE236" s="841"/>
      <c r="HF236" s="841"/>
      <c r="HG236" s="841"/>
      <c r="HH236" s="841"/>
      <c r="HI236" s="841"/>
      <c r="HJ236" s="841"/>
      <c r="HK236" s="841"/>
      <c r="HL236" s="841"/>
      <c r="HM236" s="841"/>
      <c r="HN236" s="841"/>
      <c r="HO236" s="841"/>
    </row>
    <row r="237" spans="2:223">
      <c r="B237" s="868"/>
      <c r="DS237" s="841"/>
      <c r="DT237" s="841"/>
      <c r="DU237" s="841"/>
      <c r="DV237" s="841"/>
      <c r="DW237" s="841"/>
      <c r="DX237" s="841"/>
      <c r="DY237" s="841"/>
      <c r="DZ237" s="841"/>
      <c r="EA237" s="841"/>
      <c r="EB237" s="841"/>
      <c r="EC237" s="841"/>
      <c r="ED237" s="841"/>
      <c r="EE237" s="841"/>
      <c r="EF237" s="841"/>
      <c r="EG237" s="841"/>
      <c r="EH237" s="841"/>
      <c r="EI237" s="841"/>
      <c r="EJ237" s="841"/>
      <c r="EK237" s="841"/>
      <c r="EL237" s="841"/>
      <c r="EM237" s="841"/>
      <c r="EN237" s="841"/>
      <c r="EO237" s="841"/>
      <c r="EP237" s="841"/>
      <c r="EQ237" s="841"/>
      <c r="ER237" s="841"/>
      <c r="ES237" s="841"/>
      <c r="ET237" s="841"/>
      <c r="EU237" s="841"/>
      <c r="EV237" s="841"/>
      <c r="EW237" s="841"/>
      <c r="EX237" s="841"/>
      <c r="EY237" s="841"/>
      <c r="EZ237" s="841"/>
      <c r="FA237" s="841"/>
      <c r="FB237" s="841"/>
      <c r="FC237" s="841"/>
      <c r="FD237" s="841"/>
      <c r="FE237" s="841"/>
      <c r="FF237" s="841"/>
      <c r="FG237" s="841"/>
      <c r="FH237" s="841"/>
      <c r="FI237" s="841"/>
      <c r="FJ237" s="841"/>
      <c r="FK237" s="841"/>
      <c r="FL237" s="841"/>
      <c r="FM237" s="841"/>
      <c r="FN237" s="841"/>
      <c r="FO237" s="841"/>
      <c r="FP237" s="841"/>
      <c r="FQ237" s="841"/>
      <c r="FR237" s="841"/>
      <c r="FS237" s="841"/>
      <c r="FT237" s="841"/>
      <c r="FU237" s="841"/>
      <c r="FV237" s="841"/>
      <c r="FW237" s="841"/>
      <c r="FX237" s="841"/>
      <c r="FY237" s="841"/>
      <c r="FZ237" s="841"/>
      <c r="GA237" s="841"/>
      <c r="GB237" s="841"/>
      <c r="GC237" s="841"/>
      <c r="GD237" s="841"/>
      <c r="GE237" s="841"/>
      <c r="GF237" s="841"/>
      <c r="GG237" s="841"/>
      <c r="GH237" s="841"/>
      <c r="GI237" s="841"/>
      <c r="GJ237" s="841"/>
      <c r="GK237" s="841"/>
      <c r="GL237" s="841"/>
      <c r="GM237" s="841"/>
      <c r="GN237" s="841"/>
      <c r="GO237" s="841"/>
      <c r="GP237" s="841"/>
      <c r="GQ237" s="841"/>
      <c r="GR237" s="841"/>
      <c r="GS237" s="841"/>
      <c r="GT237" s="841"/>
      <c r="GU237" s="841"/>
      <c r="GV237" s="841"/>
      <c r="GW237" s="841"/>
      <c r="GX237" s="841"/>
      <c r="GY237" s="841"/>
      <c r="GZ237" s="841"/>
      <c r="HA237" s="841"/>
      <c r="HB237" s="841"/>
      <c r="HC237" s="841"/>
      <c r="HD237" s="841"/>
      <c r="HE237" s="841"/>
      <c r="HF237" s="841"/>
      <c r="HG237" s="841"/>
      <c r="HH237" s="841"/>
      <c r="HI237" s="841"/>
      <c r="HJ237" s="841"/>
      <c r="HK237" s="841"/>
      <c r="HL237" s="841"/>
      <c r="HM237" s="841"/>
      <c r="HN237" s="841"/>
      <c r="HO237" s="841"/>
    </row>
    <row r="238" spans="2:223" ht="30">
      <c r="B238" s="2121" t="s">
        <v>1098</v>
      </c>
      <c r="C238" s="2121"/>
      <c r="D238" s="2121"/>
      <c r="E238" s="2121"/>
      <c r="F238" s="2121"/>
      <c r="G238" s="2121"/>
      <c r="H238" s="2121"/>
      <c r="I238" s="2121"/>
      <c r="J238" s="2121"/>
      <c r="K238" s="2121"/>
      <c r="L238" s="2121"/>
      <c r="M238" s="2121"/>
      <c r="N238" s="2121"/>
      <c r="O238" s="2121"/>
      <c r="P238" s="2121"/>
      <c r="Q238" s="2121"/>
      <c r="R238" s="2121"/>
      <c r="S238" s="2121"/>
      <c r="T238" s="2121"/>
      <c r="U238" s="2121"/>
      <c r="V238" s="2121"/>
      <c r="W238" s="2121"/>
      <c r="X238" s="2121"/>
      <c r="Y238" s="2121"/>
      <c r="Z238" s="2121"/>
      <c r="AA238" s="2121"/>
      <c r="AB238" s="2121"/>
      <c r="AC238" s="2121"/>
      <c r="AD238" s="2121"/>
      <c r="AE238" s="2121"/>
      <c r="AF238" s="2121"/>
      <c r="AG238" s="2121"/>
      <c r="AH238" s="2121"/>
      <c r="DS238" s="841"/>
      <c r="DT238" s="841"/>
      <c r="DU238" s="841"/>
      <c r="DV238" s="841"/>
      <c r="DW238" s="841"/>
      <c r="DX238" s="841"/>
      <c r="DY238" s="841"/>
      <c r="DZ238" s="841"/>
      <c r="EA238" s="841"/>
      <c r="EB238" s="841"/>
      <c r="EC238" s="841"/>
      <c r="ED238" s="841"/>
      <c r="EE238" s="841"/>
      <c r="EF238" s="841"/>
      <c r="EG238" s="841"/>
      <c r="EH238" s="841"/>
      <c r="EI238" s="841"/>
      <c r="EJ238" s="841"/>
      <c r="EK238" s="841"/>
      <c r="EL238" s="841"/>
      <c r="EM238" s="841"/>
      <c r="EN238" s="841"/>
      <c r="EO238" s="841"/>
      <c r="EP238" s="841"/>
      <c r="EQ238" s="841"/>
      <c r="ER238" s="841"/>
      <c r="ES238" s="841"/>
      <c r="ET238" s="841"/>
      <c r="EU238" s="841"/>
      <c r="EV238" s="841"/>
      <c r="EW238" s="841"/>
      <c r="EX238" s="841"/>
      <c r="EY238" s="841"/>
      <c r="EZ238" s="841"/>
      <c r="FA238" s="841"/>
      <c r="FB238" s="841"/>
      <c r="FC238" s="841"/>
      <c r="FD238" s="841"/>
      <c r="FE238" s="841"/>
      <c r="FF238" s="841"/>
      <c r="FG238" s="841"/>
      <c r="FH238" s="841"/>
      <c r="FI238" s="841"/>
      <c r="FJ238" s="841"/>
      <c r="FK238" s="841"/>
      <c r="FL238" s="841"/>
      <c r="FM238" s="841"/>
      <c r="FN238" s="841"/>
      <c r="FO238" s="841"/>
      <c r="FP238" s="841"/>
      <c r="FQ238" s="841"/>
      <c r="FR238" s="841"/>
      <c r="FS238" s="841"/>
      <c r="FT238" s="841"/>
      <c r="FU238" s="841"/>
      <c r="FV238" s="841"/>
      <c r="FW238" s="841"/>
      <c r="FX238" s="841"/>
      <c r="FY238" s="841"/>
      <c r="FZ238" s="841"/>
      <c r="GA238" s="841"/>
      <c r="GB238" s="841"/>
      <c r="GC238" s="841"/>
      <c r="GD238" s="841"/>
      <c r="GE238" s="841"/>
      <c r="GF238" s="841"/>
      <c r="GG238" s="841"/>
      <c r="GH238" s="841"/>
      <c r="GI238" s="841"/>
      <c r="GJ238" s="841"/>
      <c r="GK238" s="841"/>
      <c r="GL238" s="841"/>
      <c r="GM238" s="841"/>
      <c r="GN238" s="841"/>
      <c r="GO238" s="841"/>
      <c r="GP238" s="841"/>
      <c r="GQ238" s="841"/>
      <c r="GR238" s="841"/>
      <c r="GS238" s="841"/>
      <c r="GT238" s="841"/>
      <c r="GU238" s="841"/>
      <c r="GV238" s="841"/>
      <c r="GW238" s="841"/>
      <c r="GX238" s="841"/>
      <c r="GY238" s="841"/>
      <c r="GZ238" s="841"/>
      <c r="HA238" s="841"/>
      <c r="HB238" s="841"/>
      <c r="HC238" s="841"/>
      <c r="HD238" s="841"/>
      <c r="HE238" s="841"/>
      <c r="HF238" s="841"/>
      <c r="HG238" s="841"/>
      <c r="HH238" s="841"/>
      <c r="HI238" s="841"/>
      <c r="HJ238" s="841"/>
      <c r="HK238" s="841"/>
      <c r="HL238" s="841"/>
      <c r="HM238" s="841"/>
      <c r="HN238" s="841"/>
      <c r="HO238" s="841"/>
    </row>
    <row r="239" spans="2:223" ht="21" thickBot="1">
      <c r="DS239" s="841"/>
      <c r="DT239" s="841"/>
      <c r="DU239" s="841"/>
      <c r="DV239" s="841"/>
      <c r="DW239" s="841"/>
      <c r="DX239" s="841"/>
      <c r="DY239" s="841"/>
      <c r="DZ239" s="841"/>
      <c r="EA239" s="841"/>
      <c r="EB239" s="841"/>
      <c r="EC239" s="841"/>
      <c r="ED239" s="841"/>
      <c r="EE239" s="841"/>
      <c r="EF239" s="841"/>
      <c r="EG239" s="841"/>
      <c r="EH239" s="841"/>
      <c r="EI239" s="841"/>
      <c r="EJ239" s="841"/>
      <c r="EK239" s="841"/>
      <c r="EL239" s="841"/>
      <c r="EM239" s="841"/>
      <c r="EN239" s="841"/>
      <c r="EO239" s="841"/>
      <c r="EP239" s="841"/>
      <c r="EQ239" s="841"/>
      <c r="ER239" s="841"/>
      <c r="ES239" s="841"/>
      <c r="ET239" s="841"/>
      <c r="EU239" s="841"/>
      <c r="EV239" s="841"/>
      <c r="EW239" s="841"/>
      <c r="EX239" s="841"/>
      <c r="EY239" s="841"/>
      <c r="EZ239" s="841"/>
      <c r="FA239" s="841"/>
      <c r="FB239" s="841"/>
      <c r="FC239" s="841"/>
      <c r="FD239" s="841"/>
      <c r="FE239" s="841"/>
      <c r="FF239" s="841"/>
      <c r="FG239" s="841"/>
      <c r="FH239" s="841"/>
      <c r="FI239" s="841"/>
      <c r="FJ239" s="841"/>
      <c r="FK239" s="841"/>
      <c r="FL239" s="841"/>
      <c r="FM239" s="841"/>
      <c r="FN239" s="841"/>
      <c r="FO239" s="841"/>
      <c r="FP239" s="841"/>
      <c r="FQ239" s="841"/>
      <c r="FR239" s="841"/>
      <c r="FS239" s="841"/>
      <c r="FT239" s="841"/>
      <c r="FU239" s="841"/>
      <c r="FV239" s="841"/>
      <c r="FW239" s="841"/>
      <c r="FX239" s="841"/>
      <c r="FY239" s="841"/>
      <c r="FZ239" s="841"/>
      <c r="GA239" s="841"/>
      <c r="GB239" s="841"/>
      <c r="GC239" s="841"/>
      <c r="GD239" s="841"/>
      <c r="GE239" s="841"/>
      <c r="GF239" s="841"/>
      <c r="GG239" s="841"/>
      <c r="GH239" s="841"/>
      <c r="GI239" s="841"/>
      <c r="GJ239" s="841"/>
      <c r="GK239" s="841"/>
      <c r="GL239" s="841"/>
      <c r="GM239" s="841"/>
      <c r="GN239" s="841"/>
      <c r="GO239" s="841"/>
      <c r="GP239" s="841"/>
      <c r="GQ239" s="841"/>
      <c r="GR239" s="841"/>
      <c r="GS239" s="841"/>
      <c r="GT239" s="841"/>
      <c r="GU239" s="841"/>
      <c r="GV239" s="841"/>
      <c r="GW239" s="841"/>
      <c r="GX239" s="841"/>
      <c r="GY239" s="841"/>
      <c r="GZ239" s="841"/>
      <c r="HA239" s="841"/>
      <c r="HB239" s="841"/>
      <c r="HC239" s="841"/>
      <c r="HD239" s="841"/>
      <c r="HE239" s="841"/>
      <c r="HF239" s="841"/>
      <c r="HG239" s="841"/>
      <c r="HH239" s="841"/>
      <c r="HI239" s="841"/>
      <c r="HJ239" s="841"/>
      <c r="HK239" s="841"/>
      <c r="HL239" s="841"/>
      <c r="HM239" s="841"/>
      <c r="HN239" s="841"/>
      <c r="HO239" s="841"/>
    </row>
    <row r="240" spans="2:223" ht="37.15" customHeight="1" thickBot="1">
      <c r="B240" s="864" t="s">
        <v>1087</v>
      </c>
      <c r="D240" s="864" t="s">
        <v>1100</v>
      </c>
      <c r="F240" s="864" t="s">
        <v>1101</v>
      </c>
      <c r="H240" s="865" t="s">
        <v>51</v>
      </c>
      <c r="DS240" s="841"/>
      <c r="DT240" s="841"/>
      <c r="DU240" s="841"/>
      <c r="DV240" s="841"/>
      <c r="DW240" s="841"/>
      <c r="DX240" s="841"/>
      <c r="DY240" s="841"/>
      <c r="DZ240" s="841"/>
      <c r="EA240" s="841"/>
      <c r="EB240" s="841"/>
      <c r="EC240" s="841"/>
      <c r="ED240" s="841"/>
      <c r="EE240" s="841"/>
      <c r="EF240" s="841"/>
      <c r="EG240" s="841"/>
      <c r="EH240" s="841"/>
      <c r="EI240" s="841"/>
      <c r="EJ240" s="841"/>
      <c r="EK240" s="841"/>
      <c r="EL240" s="841"/>
      <c r="EM240" s="841"/>
      <c r="EN240" s="841"/>
      <c r="EO240" s="841"/>
      <c r="EP240" s="841"/>
      <c r="EQ240" s="841"/>
      <c r="ER240" s="841"/>
      <c r="ES240" s="841"/>
      <c r="ET240" s="841"/>
      <c r="EU240" s="841"/>
      <c r="EV240" s="841"/>
      <c r="EW240" s="841"/>
      <c r="EX240" s="841"/>
      <c r="EY240" s="841"/>
      <c r="EZ240" s="841"/>
      <c r="FA240" s="841"/>
      <c r="FB240" s="841"/>
      <c r="FC240" s="841"/>
      <c r="FD240" s="841"/>
      <c r="FE240" s="841"/>
      <c r="FF240" s="841"/>
      <c r="FG240" s="841"/>
      <c r="FH240" s="841"/>
      <c r="FI240" s="841"/>
      <c r="FJ240" s="841"/>
      <c r="FK240" s="841"/>
      <c r="FL240" s="841"/>
      <c r="FM240" s="841"/>
      <c r="FN240" s="841"/>
      <c r="FO240" s="841"/>
      <c r="FP240" s="841"/>
      <c r="FQ240" s="841"/>
      <c r="FR240" s="841"/>
      <c r="FS240" s="841"/>
      <c r="FT240" s="841"/>
      <c r="FU240" s="841"/>
      <c r="FV240" s="841"/>
      <c r="FW240" s="841"/>
      <c r="FX240" s="841"/>
      <c r="FY240" s="841"/>
      <c r="FZ240" s="841"/>
      <c r="GA240" s="841"/>
      <c r="GB240" s="841"/>
      <c r="GC240" s="841"/>
      <c r="GD240" s="841"/>
      <c r="GE240" s="841"/>
      <c r="GF240" s="841"/>
      <c r="GG240" s="841"/>
      <c r="GH240" s="841"/>
      <c r="GI240" s="841"/>
      <c r="GJ240" s="841"/>
      <c r="GK240" s="841"/>
      <c r="GL240" s="841"/>
      <c r="GM240" s="841"/>
      <c r="GN240" s="841"/>
      <c r="GO240" s="841"/>
      <c r="GP240" s="841"/>
      <c r="GQ240" s="841"/>
      <c r="GR240" s="841"/>
      <c r="GS240" s="841"/>
      <c r="GT240" s="841"/>
      <c r="GU240" s="841"/>
      <c r="GV240" s="841"/>
      <c r="GW240" s="841"/>
      <c r="GX240" s="841"/>
      <c r="GY240" s="841"/>
      <c r="GZ240" s="841"/>
      <c r="HA240" s="841"/>
      <c r="HB240" s="841"/>
      <c r="HC240" s="841"/>
      <c r="HD240" s="841"/>
      <c r="HE240" s="841"/>
      <c r="HF240" s="841"/>
      <c r="HG240" s="841"/>
      <c r="HH240" s="841"/>
      <c r="HI240" s="841"/>
      <c r="HJ240" s="841"/>
      <c r="HK240" s="841"/>
      <c r="HL240" s="841"/>
      <c r="HM240" s="841"/>
      <c r="HN240" s="841"/>
      <c r="HO240" s="841"/>
    </row>
    <row r="241" spans="2:223">
      <c r="DS241" s="841"/>
      <c r="DT241" s="841"/>
      <c r="DU241" s="841"/>
      <c r="DV241" s="841"/>
      <c r="DW241" s="841"/>
      <c r="DX241" s="841"/>
      <c r="DY241" s="841"/>
      <c r="DZ241" s="841"/>
      <c r="EA241" s="841"/>
      <c r="EB241" s="841"/>
      <c r="EC241" s="841"/>
      <c r="ED241" s="841"/>
      <c r="EE241" s="841"/>
      <c r="EF241" s="841"/>
      <c r="EG241" s="841"/>
      <c r="EH241" s="841"/>
      <c r="EI241" s="841"/>
      <c r="EJ241" s="841"/>
      <c r="EK241" s="841"/>
      <c r="EL241" s="841"/>
      <c r="EM241" s="841"/>
      <c r="EN241" s="841"/>
      <c r="EO241" s="841"/>
      <c r="EP241" s="841"/>
      <c r="EQ241" s="841"/>
      <c r="ER241" s="841"/>
      <c r="ES241" s="841"/>
      <c r="ET241" s="841"/>
      <c r="EU241" s="841"/>
      <c r="EV241" s="841"/>
      <c r="EW241" s="841"/>
      <c r="EX241" s="841"/>
      <c r="EY241" s="841"/>
      <c r="EZ241" s="841"/>
      <c r="FA241" s="841"/>
      <c r="FB241" s="841"/>
      <c r="FC241" s="841"/>
      <c r="FD241" s="841"/>
      <c r="FE241" s="841"/>
      <c r="FF241" s="841"/>
      <c r="FG241" s="841"/>
      <c r="FH241" s="841"/>
      <c r="FI241" s="841"/>
      <c r="FJ241" s="841"/>
      <c r="FK241" s="841"/>
      <c r="FL241" s="841"/>
      <c r="FM241" s="841"/>
      <c r="FN241" s="841"/>
      <c r="FO241" s="841"/>
      <c r="FP241" s="841"/>
      <c r="FQ241" s="841"/>
      <c r="FR241" s="841"/>
      <c r="FS241" s="841"/>
      <c r="FT241" s="841"/>
      <c r="FU241" s="841"/>
      <c r="FV241" s="841"/>
      <c r="FW241" s="841"/>
      <c r="FX241" s="841"/>
      <c r="FY241" s="841"/>
      <c r="FZ241" s="841"/>
      <c r="GA241" s="841"/>
      <c r="GB241" s="841"/>
      <c r="GC241" s="841"/>
      <c r="GD241" s="841"/>
      <c r="GE241" s="841"/>
      <c r="GF241" s="841"/>
      <c r="GG241" s="841"/>
      <c r="GH241" s="841"/>
      <c r="GI241" s="841"/>
      <c r="GJ241" s="841"/>
      <c r="GK241" s="841"/>
      <c r="GL241" s="841"/>
      <c r="GM241" s="841"/>
      <c r="GN241" s="841"/>
      <c r="GO241" s="841"/>
      <c r="GP241" s="841"/>
      <c r="GQ241" s="841"/>
      <c r="GR241" s="841"/>
      <c r="GS241" s="841"/>
      <c r="GT241" s="841"/>
      <c r="GU241" s="841"/>
      <c r="GV241" s="841"/>
      <c r="GW241" s="841"/>
      <c r="GX241" s="841"/>
      <c r="GY241" s="841"/>
      <c r="GZ241" s="841"/>
      <c r="HA241" s="841"/>
      <c r="HB241" s="841"/>
      <c r="HC241" s="841"/>
      <c r="HD241" s="841"/>
      <c r="HE241" s="841"/>
      <c r="HF241" s="841"/>
      <c r="HG241" s="841"/>
      <c r="HH241" s="841"/>
      <c r="HI241" s="841"/>
      <c r="HJ241" s="841"/>
      <c r="HK241" s="841"/>
      <c r="HL241" s="841"/>
      <c r="HM241" s="841"/>
      <c r="HN241" s="841"/>
      <c r="HO241" s="841"/>
    </row>
    <row r="242" spans="2:223" ht="21" thickBot="1">
      <c r="B242" s="870"/>
      <c r="D242" s="1147">
        <f>IF(ISBLANK(B242),0,VLOOKUP(B242,Calculos_cuotas!$A$294:$B$299,2,FALSE))</f>
        <v>0</v>
      </c>
      <c r="F242" s="870"/>
      <c r="H242" s="884">
        <f>F242*D242</f>
        <v>0</v>
      </c>
      <c r="DS242" s="841"/>
      <c r="DT242" s="841"/>
      <c r="DU242" s="841"/>
      <c r="DV242" s="841"/>
      <c r="DW242" s="841"/>
      <c r="DX242" s="841"/>
      <c r="DY242" s="841"/>
      <c r="DZ242" s="841"/>
      <c r="EA242" s="841"/>
      <c r="EB242" s="841"/>
      <c r="EC242" s="841"/>
      <c r="ED242" s="841"/>
      <c r="EE242" s="841"/>
      <c r="EF242" s="841"/>
      <c r="EG242" s="841"/>
      <c r="EH242" s="841"/>
      <c r="EI242" s="841"/>
      <c r="EJ242" s="841"/>
      <c r="EK242" s="841"/>
      <c r="EL242" s="841"/>
      <c r="EM242" s="841"/>
      <c r="EN242" s="841"/>
      <c r="EO242" s="841"/>
      <c r="EP242" s="841"/>
      <c r="EQ242" s="841"/>
      <c r="ER242" s="841"/>
      <c r="ES242" s="841"/>
      <c r="ET242" s="841"/>
      <c r="EU242" s="841"/>
      <c r="EV242" s="841"/>
      <c r="EW242" s="841"/>
      <c r="EX242" s="841"/>
      <c r="EY242" s="841"/>
      <c r="EZ242" s="841"/>
      <c r="FA242" s="841"/>
      <c r="FB242" s="841"/>
      <c r="FC242" s="841"/>
      <c r="FD242" s="841"/>
      <c r="FE242" s="841"/>
      <c r="FF242" s="841"/>
      <c r="FG242" s="841"/>
      <c r="FH242" s="841"/>
      <c r="FI242" s="841"/>
      <c r="FJ242" s="841"/>
      <c r="FK242" s="841"/>
      <c r="FL242" s="841"/>
      <c r="FM242" s="841"/>
      <c r="FN242" s="841"/>
      <c r="FO242" s="841"/>
      <c r="FP242" s="841"/>
      <c r="FQ242" s="841"/>
      <c r="FR242" s="841"/>
      <c r="FS242" s="841"/>
      <c r="FT242" s="841"/>
      <c r="FU242" s="841"/>
      <c r="FV242" s="841"/>
      <c r="FW242" s="841"/>
      <c r="FX242" s="841"/>
      <c r="FY242" s="841"/>
      <c r="FZ242" s="841"/>
      <c r="GA242" s="841"/>
      <c r="GB242" s="841"/>
      <c r="GC242" s="841"/>
      <c r="GD242" s="841"/>
      <c r="GE242" s="841"/>
      <c r="GF242" s="841"/>
      <c r="GG242" s="841"/>
      <c r="GH242" s="841"/>
      <c r="GI242" s="841"/>
      <c r="GJ242" s="841"/>
      <c r="GK242" s="841"/>
      <c r="GL242" s="841"/>
      <c r="GM242" s="841"/>
      <c r="GN242" s="841"/>
      <c r="GO242" s="841"/>
      <c r="GP242" s="841"/>
      <c r="GQ242" s="841"/>
      <c r="GR242" s="841"/>
      <c r="GS242" s="841"/>
      <c r="GT242" s="841"/>
      <c r="GU242" s="841"/>
      <c r="GV242" s="841"/>
      <c r="GW242" s="841"/>
      <c r="GX242" s="841"/>
      <c r="GY242" s="841"/>
      <c r="GZ242" s="841"/>
      <c r="HA242" s="841"/>
      <c r="HB242" s="841"/>
      <c r="HC242" s="841"/>
      <c r="HD242" s="841"/>
      <c r="HE242" s="841"/>
      <c r="HF242" s="841"/>
      <c r="HG242" s="841"/>
      <c r="HH242" s="841"/>
      <c r="HI242" s="841"/>
      <c r="HJ242" s="841"/>
      <c r="HK242" s="841"/>
      <c r="HL242" s="841"/>
      <c r="HM242" s="841"/>
      <c r="HN242" s="841"/>
      <c r="HO242" s="841"/>
    </row>
    <row r="243" spans="2:223" ht="8.4499999999999993" customHeight="1" thickTop="1">
      <c r="DS243" s="841"/>
      <c r="DT243" s="841"/>
      <c r="DU243" s="841"/>
      <c r="DV243" s="841"/>
      <c r="DW243" s="841"/>
      <c r="DX243" s="841"/>
      <c r="DY243" s="841"/>
      <c r="DZ243" s="841"/>
      <c r="EA243" s="841"/>
      <c r="EB243" s="841"/>
      <c r="EC243" s="841"/>
      <c r="ED243" s="841"/>
      <c r="EE243" s="841"/>
      <c r="EF243" s="841"/>
      <c r="EG243" s="841"/>
      <c r="EH243" s="841"/>
      <c r="EI243" s="841"/>
      <c r="EJ243" s="841"/>
      <c r="EK243" s="841"/>
      <c r="EL243" s="841"/>
      <c r="EM243" s="841"/>
      <c r="EN243" s="841"/>
      <c r="EO243" s="841"/>
      <c r="EP243" s="841"/>
      <c r="EQ243" s="841"/>
      <c r="ER243" s="841"/>
      <c r="ES243" s="841"/>
      <c r="ET243" s="841"/>
      <c r="EU243" s="841"/>
      <c r="EV243" s="841"/>
      <c r="EW243" s="841"/>
      <c r="EX243" s="841"/>
      <c r="EY243" s="841"/>
      <c r="EZ243" s="841"/>
      <c r="FA243" s="841"/>
      <c r="FB243" s="841"/>
      <c r="FC243" s="841"/>
      <c r="FD243" s="841"/>
      <c r="FE243" s="841"/>
      <c r="FF243" s="841"/>
      <c r="FG243" s="841"/>
      <c r="FH243" s="841"/>
      <c r="FI243" s="841"/>
      <c r="FJ243" s="841"/>
      <c r="FK243" s="841"/>
      <c r="FL243" s="841"/>
      <c r="FM243" s="841"/>
      <c r="FN243" s="841"/>
      <c r="FO243" s="841"/>
      <c r="FP243" s="841"/>
      <c r="FQ243" s="841"/>
      <c r="FR243" s="841"/>
      <c r="FS243" s="841"/>
      <c r="FT243" s="841"/>
      <c r="FU243" s="841"/>
      <c r="FV243" s="841"/>
      <c r="FW243" s="841"/>
      <c r="FX243" s="841"/>
      <c r="FY243" s="841"/>
      <c r="FZ243" s="841"/>
      <c r="GA243" s="841"/>
      <c r="GB243" s="841"/>
      <c r="GC243" s="841"/>
      <c r="GD243" s="841"/>
      <c r="GE243" s="841"/>
      <c r="GF243" s="841"/>
      <c r="GG243" s="841"/>
      <c r="GH243" s="841"/>
      <c r="GI243" s="841"/>
      <c r="GJ243" s="841"/>
      <c r="GK243" s="841"/>
      <c r="GL243" s="841"/>
      <c r="GM243" s="841"/>
      <c r="GN243" s="841"/>
      <c r="GO243" s="841"/>
      <c r="GP243" s="841"/>
      <c r="GQ243" s="841"/>
      <c r="GR243" s="841"/>
      <c r="GS243" s="841"/>
      <c r="GT243" s="841"/>
      <c r="GU243" s="841"/>
      <c r="GV243" s="841"/>
      <c r="GW243" s="841"/>
      <c r="GX243" s="841"/>
      <c r="GY243" s="841"/>
      <c r="GZ243" s="841"/>
      <c r="HA243" s="841"/>
      <c r="HB243" s="841"/>
      <c r="HC243" s="841"/>
      <c r="HD243" s="841"/>
      <c r="HE243" s="841"/>
      <c r="HF243" s="841"/>
      <c r="HG243" s="841"/>
      <c r="HH243" s="841"/>
      <c r="HI243" s="841"/>
      <c r="HJ243" s="841"/>
      <c r="HK243" s="841"/>
      <c r="HL243" s="841"/>
      <c r="HM243" s="841"/>
      <c r="HN243" s="841"/>
      <c r="HO243" s="841"/>
    </row>
    <row r="244" spans="2:223" ht="21" thickBot="1">
      <c r="B244" s="870"/>
      <c r="D244" s="1147">
        <f>IF(ISBLANK(B244),0,VLOOKUP(B244,Calculos_cuotas!$A$294:$B$299,2,FALSE))</f>
        <v>0</v>
      </c>
      <c r="F244" s="870"/>
      <c r="H244" s="884">
        <f>F244*D244</f>
        <v>0</v>
      </c>
      <c r="DS244" s="841"/>
      <c r="DT244" s="841"/>
      <c r="DU244" s="841"/>
      <c r="DV244" s="841"/>
      <c r="DW244" s="841"/>
      <c r="DX244" s="841"/>
      <c r="DY244" s="841"/>
      <c r="DZ244" s="841"/>
      <c r="EA244" s="841"/>
      <c r="EB244" s="841"/>
      <c r="EC244" s="841"/>
      <c r="ED244" s="841"/>
      <c r="EE244" s="841"/>
      <c r="EF244" s="841"/>
      <c r="EG244" s="841"/>
      <c r="EH244" s="841"/>
      <c r="EI244" s="841"/>
      <c r="EJ244" s="841"/>
      <c r="EK244" s="841"/>
      <c r="EL244" s="841"/>
      <c r="EM244" s="841"/>
      <c r="EN244" s="841"/>
      <c r="EO244" s="841"/>
      <c r="EP244" s="841"/>
      <c r="EQ244" s="841"/>
      <c r="ER244" s="841"/>
      <c r="ES244" s="841"/>
      <c r="ET244" s="841"/>
      <c r="EU244" s="841"/>
      <c r="EV244" s="841"/>
      <c r="EW244" s="841"/>
      <c r="EX244" s="841"/>
      <c r="EY244" s="841"/>
      <c r="EZ244" s="841"/>
      <c r="FA244" s="841"/>
      <c r="FB244" s="841"/>
      <c r="FC244" s="841"/>
      <c r="FD244" s="841"/>
      <c r="FE244" s="841"/>
      <c r="FF244" s="841"/>
      <c r="FG244" s="841"/>
      <c r="FH244" s="841"/>
      <c r="FI244" s="841"/>
      <c r="FJ244" s="841"/>
      <c r="FK244" s="841"/>
      <c r="FL244" s="841"/>
      <c r="FM244" s="841"/>
      <c r="FN244" s="841"/>
      <c r="FO244" s="841"/>
      <c r="FP244" s="841"/>
      <c r="FQ244" s="841"/>
      <c r="FR244" s="841"/>
      <c r="FS244" s="841"/>
      <c r="FT244" s="841"/>
      <c r="FU244" s="841"/>
      <c r="FV244" s="841"/>
      <c r="FW244" s="841"/>
      <c r="FX244" s="841"/>
      <c r="FY244" s="841"/>
      <c r="FZ244" s="841"/>
      <c r="GA244" s="841"/>
      <c r="GB244" s="841"/>
      <c r="GC244" s="841"/>
      <c r="GD244" s="841"/>
      <c r="GE244" s="841"/>
      <c r="GF244" s="841"/>
      <c r="GG244" s="841"/>
      <c r="GH244" s="841"/>
      <c r="GI244" s="841"/>
      <c r="GJ244" s="841"/>
      <c r="GK244" s="841"/>
      <c r="GL244" s="841"/>
      <c r="GM244" s="841"/>
      <c r="GN244" s="841"/>
      <c r="GO244" s="841"/>
      <c r="GP244" s="841"/>
      <c r="GQ244" s="841"/>
      <c r="GR244" s="841"/>
      <c r="GS244" s="841"/>
      <c r="GT244" s="841"/>
      <c r="GU244" s="841"/>
      <c r="GV244" s="841"/>
      <c r="GW244" s="841"/>
      <c r="GX244" s="841"/>
      <c r="GY244" s="841"/>
      <c r="GZ244" s="841"/>
      <c r="HA244" s="841"/>
      <c r="HB244" s="841"/>
      <c r="HC244" s="841"/>
      <c r="HD244" s="841"/>
      <c r="HE244" s="841"/>
      <c r="HF244" s="841"/>
      <c r="HG244" s="841"/>
      <c r="HH244" s="841"/>
      <c r="HI244" s="841"/>
      <c r="HJ244" s="841"/>
      <c r="HK244" s="841"/>
      <c r="HL244" s="841"/>
      <c r="HM244" s="841"/>
      <c r="HN244" s="841"/>
      <c r="HO244" s="841"/>
    </row>
    <row r="245" spans="2:223" ht="7.15" customHeight="1" thickTop="1">
      <c r="DS245" s="841"/>
      <c r="DT245" s="841"/>
      <c r="DU245" s="841"/>
      <c r="DV245" s="841"/>
      <c r="DW245" s="841"/>
      <c r="DX245" s="841"/>
      <c r="DY245" s="841"/>
      <c r="DZ245" s="841"/>
      <c r="EA245" s="841"/>
      <c r="EB245" s="841"/>
      <c r="EC245" s="841"/>
      <c r="ED245" s="841"/>
      <c r="EE245" s="841"/>
      <c r="EF245" s="841"/>
      <c r="EG245" s="841"/>
      <c r="EH245" s="841"/>
      <c r="EI245" s="841"/>
      <c r="EJ245" s="841"/>
      <c r="EK245" s="841"/>
      <c r="EL245" s="841"/>
      <c r="EM245" s="841"/>
      <c r="EN245" s="841"/>
      <c r="EO245" s="841"/>
      <c r="EP245" s="841"/>
      <c r="EQ245" s="841"/>
      <c r="ER245" s="841"/>
      <c r="ES245" s="841"/>
      <c r="ET245" s="841"/>
      <c r="EU245" s="841"/>
      <c r="EV245" s="841"/>
      <c r="EW245" s="841"/>
      <c r="EX245" s="841"/>
      <c r="EY245" s="841"/>
      <c r="EZ245" s="841"/>
      <c r="FA245" s="841"/>
      <c r="FB245" s="841"/>
      <c r="FC245" s="841"/>
      <c r="FD245" s="841"/>
      <c r="FE245" s="841"/>
      <c r="FF245" s="841"/>
      <c r="FG245" s="841"/>
      <c r="FH245" s="841"/>
      <c r="FI245" s="841"/>
      <c r="FJ245" s="841"/>
      <c r="FK245" s="841"/>
      <c r="FL245" s="841"/>
      <c r="FM245" s="841"/>
      <c r="FN245" s="841"/>
      <c r="FO245" s="841"/>
      <c r="FP245" s="841"/>
      <c r="FQ245" s="841"/>
      <c r="FR245" s="841"/>
      <c r="FS245" s="841"/>
      <c r="FT245" s="841"/>
      <c r="FU245" s="841"/>
      <c r="FV245" s="841"/>
      <c r="FW245" s="841"/>
      <c r="FX245" s="841"/>
      <c r="FY245" s="841"/>
      <c r="FZ245" s="841"/>
      <c r="GA245" s="841"/>
      <c r="GB245" s="841"/>
      <c r="GC245" s="841"/>
      <c r="GD245" s="841"/>
      <c r="GE245" s="841"/>
      <c r="GF245" s="841"/>
      <c r="GG245" s="841"/>
      <c r="GH245" s="841"/>
      <c r="GI245" s="841"/>
      <c r="GJ245" s="841"/>
      <c r="GK245" s="841"/>
      <c r="GL245" s="841"/>
      <c r="GM245" s="841"/>
      <c r="GN245" s="841"/>
      <c r="GO245" s="841"/>
      <c r="GP245" s="841"/>
      <c r="GQ245" s="841"/>
      <c r="GR245" s="841"/>
      <c r="GS245" s="841"/>
      <c r="GT245" s="841"/>
      <c r="GU245" s="841"/>
      <c r="GV245" s="841"/>
      <c r="GW245" s="841"/>
      <c r="GX245" s="841"/>
      <c r="GY245" s="841"/>
      <c r="GZ245" s="841"/>
      <c r="HA245" s="841"/>
      <c r="HB245" s="841"/>
      <c r="HC245" s="841"/>
      <c r="HD245" s="841"/>
      <c r="HE245" s="841"/>
      <c r="HF245" s="841"/>
      <c r="HG245" s="841"/>
      <c r="HH245" s="841"/>
      <c r="HI245" s="841"/>
      <c r="HJ245" s="841"/>
      <c r="HK245" s="841"/>
      <c r="HL245" s="841"/>
      <c r="HM245" s="841"/>
      <c r="HN245" s="841"/>
      <c r="HO245" s="841"/>
    </row>
    <row r="246" spans="2:223" ht="21" thickBot="1">
      <c r="B246" s="870"/>
      <c r="D246" s="1147">
        <f>IF(ISBLANK(B246),0,VLOOKUP(B246,Calculos_cuotas!$A$294:$B$299,2,FALSE))</f>
        <v>0</v>
      </c>
      <c r="F246" s="870"/>
      <c r="H246" s="884">
        <f>F246*D246</f>
        <v>0</v>
      </c>
      <c r="DS246" s="841"/>
      <c r="DT246" s="841"/>
      <c r="DU246" s="841"/>
      <c r="DV246" s="841"/>
      <c r="DW246" s="841"/>
      <c r="DX246" s="841"/>
      <c r="DY246" s="841"/>
      <c r="DZ246" s="841"/>
      <c r="EA246" s="841"/>
      <c r="EB246" s="841"/>
      <c r="EC246" s="841"/>
      <c r="ED246" s="841"/>
      <c r="EE246" s="841"/>
      <c r="EF246" s="841"/>
      <c r="EG246" s="841"/>
      <c r="EH246" s="841"/>
      <c r="EI246" s="841"/>
      <c r="EJ246" s="841"/>
      <c r="EK246" s="841"/>
      <c r="EL246" s="841"/>
      <c r="EM246" s="841"/>
      <c r="EN246" s="841"/>
      <c r="EO246" s="841"/>
      <c r="EP246" s="841"/>
      <c r="EQ246" s="841"/>
      <c r="ER246" s="841"/>
      <c r="ES246" s="841"/>
      <c r="ET246" s="841"/>
      <c r="EU246" s="841"/>
      <c r="EV246" s="841"/>
      <c r="EW246" s="841"/>
      <c r="EX246" s="841"/>
      <c r="EY246" s="841"/>
      <c r="EZ246" s="841"/>
      <c r="FA246" s="841"/>
      <c r="FB246" s="841"/>
      <c r="FC246" s="841"/>
      <c r="FD246" s="841"/>
      <c r="FE246" s="841"/>
      <c r="FF246" s="841"/>
      <c r="FG246" s="841"/>
      <c r="FH246" s="841"/>
      <c r="FI246" s="841"/>
      <c r="FJ246" s="841"/>
      <c r="FK246" s="841"/>
      <c r="FL246" s="841"/>
      <c r="FM246" s="841"/>
      <c r="FN246" s="841"/>
      <c r="FO246" s="841"/>
      <c r="FP246" s="841"/>
      <c r="FQ246" s="841"/>
      <c r="FR246" s="841"/>
      <c r="FS246" s="841"/>
      <c r="FT246" s="841"/>
      <c r="FU246" s="841"/>
      <c r="FV246" s="841"/>
      <c r="FW246" s="841"/>
      <c r="FX246" s="841"/>
      <c r="FY246" s="841"/>
      <c r="FZ246" s="841"/>
      <c r="GA246" s="841"/>
      <c r="GB246" s="841"/>
      <c r="GC246" s="841"/>
      <c r="GD246" s="841"/>
      <c r="GE246" s="841"/>
      <c r="GF246" s="841"/>
      <c r="GG246" s="841"/>
      <c r="GH246" s="841"/>
      <c r="GI246" s="841"/>
      <c r="GJ246" s="841"/>
      <c r="GK246" s="841"/>
      <c r="GL246" s="841"/>
      <c r="GM246" s="841"/>
      <c r="GN246" s="841"/>
      <c r="GO246" s="841"/>
      <c r="GP246" s="841"/>
      <c r="GQ246" s="841"/>
      <c r="GR246" s="841"/>
      <c r="GS246" s="841"/>
      <c r="GT246" s="841"/>
      <c r="GU246" s="841"/>
      <c r="GV246" s="841"/>
      <c r="GW246" s="841"/>
      <c r="GX246" s="841"/>
      <c r="GY246" s="841"/>
      <c r="GZ246" s="841"/>
      <c r="HA246" s="841"/>
      <c r="HB246" s="841"/>
      <c r="HC246" s="841"/>
      <c r="HD246" s="841"/>
      <c r="HE246" s="841"/>
      <c r="HF246" s="841"/>
      <c r="HG246" s="841"/>
      <c r="HH246" s="841"/>
      <c r="HI246" s="841"/>
      <c r="HJ246" s="841"/>
      <c r="HK246" s="841"/>
      <c r="HL246" s="841"/>
      <c r="HM246" s="841"/>
      <c r="HN246" s="841"/>
      <c r="HO246" s="841"/>
    </row>
    <row r="247" spans="2:223" ht="9" customHeight="1" thickTop="1">
      <c r="DS247" s="841"/>
      <c r="DT247" s="841"/>
      <c r="DU247" s="841"/>
      <c r="DV247" s="841"/>
      <c r="DW247" s="841"/>
      <c r="DX247" s="841"/>
      <c r="DY247" s="841"/>
      <c r="DZ247" s="841"/>
      <c r="EA247" s="841"/>
      <c r="EB247" s="841"/>
      <c r="EC247" s="841"/>
      <c r="ED247" s="841"/>
      <c r="EE247" s="841"/>
      <c r="EF247" s="841"/>
      <c r="EG247" s="841"/>
      <c r="EH247" s="841"/>
      <c r="EI247" s="841"/>
      <c r="EJ247" s="841"/>
      <c r="EK247" s="841"/>
      <c r="EL247" s="841"/>
      <c r="EM247" s="841"/>
      <c r="EN247" s="841"/>
      <c r="EO247" s="841"/>
      <c r="EP247" s="841"/>
      <c r="EQ247" s="841"/>
      <c r="ER247" s="841"/>
      <c r="ES247" s="841"/>
      <c r="ET247" s="841"/>
      <c r="EU247" s="841"/>
      <c r="EV247" s="841"/>
      <c r="EW247" s="841"/>
      <c r="EX247" s="841"/>
      <c r="EY247" s="841"/>
      <c r="EZ247" s="841"/>
      <c r="FA247" s="841"/>
      <c r="FB247" s="841"/>
      <c r="FC247" s="841"/>
      <c r="FD247" s="841"/>
      <c r="FE247" s="841"/>
      <c r="FF247" s="841"/>
      <c r="FG247" s="841"/>
      <c r="FH247" s="841"/>
      <c r="FI247" s="841"/>
      <c r="FJ247" s="841"/>
      <c r="FK247" s="841"/>
      <c r="FL247" s="841"/>
      <c r="FM247" s="841"/>
      <c r="FN247" s="841"/>
      <c r="FO247" s="841"/>
      <c r="FP247" s="841"/>
      <c r="FQ247" s="841"/>
      <c r="FR247" s="841"/>
      <c r="FS247" s="841"/>
      <c r="FT247" s="841"/>
      <c r="FU247" s="841"/>
      <c r="FV247" s="841"/>
      <c r="FW247" s="841"/>
      <c r="FX247" s="841"/>
      <c r="FY247" s="841"/>
      <c r="FZ247" s="841"/>
      <c r="GA247" s="841"/>
      <c r="GB247" s="841"/>
      <c r="GC247" s="841"/>
      <c r="GD247" s="841"/>
      <c r="GE247" s="841"/>
      <c r="GF247" s="841"/>
      <c r="GG247" s="841"/>
      <c r="GH247" s="841"/>
      <c r="GI247" s="841"/>
      <c r="GJ247" s="841"/>
      <c r="GK247" s="841"/>
      <c r="GL247" s="841"/>
      <c r="GM247" s="841"/>
      <c r="GN247" s="841"/>
      <c r="GO247" s="841"/>
      <c r="GP247" s="841"/>
      <c r="GQ247" s="841"/>
      <c r="GR247" s="841"/>
      <c r="GS247" s="841"/>
      <c r="GT247" s="841"/>
      <c r="GU247" s="841"/>
      <c r="GV247" s="841"/>
      <c r="GW247" s="841"/>
      <c r="GX247" s="841"/>
      <c r="GY247" s="841"/>
      <c r="GZ247" s="841"/>
      <c r="HA247" s="841"/>
      <c r="HB247" s="841"/>
      <c r="HC247" s="841"/>
      <c r="HD247" s="841"/>
      <c r="HE247" s="841"/>
      <c r="HF247" s="841"/>
      <c r="HG247" s="841"/>
      <c r="HH247" s="841"/>
      <c r="HI247" s="841"/>
      <c r="HJ247" s="841"/>
      <c r="HK247" s="841"/>
      <c r="HL247" s="841"/>
      <c r="HM247" s="841"/>
      <c r="HN247" s="841"/>
      <c r="HO247" s="841"/>
    </row>
    <row r="248" spans="2:223" ht="21" thickBot="1">
      <c r="B248" s="870"/>
      <c r="D248" s="1147">
        <f>IF(ISBLANK(B248),0,VLOOKUP(B248,Calculos_cuotas!$A$294:$B$299,2,FALSE))</f>
        <v>0</v>
      </c>
      <c r="F248" s="870"/>
      <c r="H248" s="884">
        <f>F248*D248</f>
        <v>0</v>
      </c>
      <c r="DS248" s="841"/>
      <c r="DT248" s="841"/>
      <c r="DU248" s="841"/>
      <c r="DV248" s="841"/>
      <c r="DW248" s="841"/>
      <c r="DX248" s="841"/>
      <c r="DY248" s="841"/>
      <c r="DZ248" s="841"/>
      <c r="EA248" s="841"/>
      <c r="EB248" s="841"/>
      <c r="EC248" s="841"/>
      <c r="ED248" s="841"/>
      <c r="EE248" s="841"/>
      <c r="EF248" s="841"/>
      <c r="EG248" s="841"/>
      <c r="EH248" s="841"/>
      <c r="EI248" s="841"/>
      <c r="EJ248" s="841"/>
      <c r="EK248" s="841"/>
      <c r="EL248" s="841"/>
      <c r="EM248" s="841"/>
      <c r="EN248" s="841"/>
      <c r="EO248" s="841"/>
      <c r="EP248" s="841"/>
      <c r="EQ248" s="841"/>
      <c r="ER248" s="841"/>
      <c r="ES248" s="841"/>
      <c r="ET248" s="841"/>
      <c r="EU248" s="841"/>
      <c r="EV248" s="841"/>
      <c r="EW248" s="841"/>
      <c r="EX248" s="841"/>
      <c r="EY248" s="841"/>
      <c r="EZ248" s="841"/>
      <c r="FA248" s="841"/>
      <c r="FB248" s="841"/>
      <c r="FC248" s="841"/>
      <c r="FD248" s="841"/>
      <c r="FE248" s="841"/>
      <c r="FF248" s="841"/>
      <c r="FG248" s="841"/>
      <c r="FH248" s="841"/>
      <c r="FI248" s="841"/>
      <c r="FJ248" s="841"/>
      <c r="FK248" s="841"/>
      <c r="FL248" s="841"/>
      <c r="FM248" s="841"/>
      <c r="FN248" s="841"/>
      <c r="FO248" s="841"/>
      <c r="FP248" s="841"/>
      <c r="FQ248" s="841"/>
      <c r="FR248" s="841"/>
      <c r="FS248" s="841"/>
      <c r="FT248" s="841"/>
      <c r="FU248" s="841"/>
      <c r="FV248" s="841"/>
      <c r="FW248" s="841"/>
      <c r="FX248" s="841"/>
      <c r="FY248" s="841"/>
      <c r="FZ248" s="841"/>
      <c r="GA248" s="841"/>
      <c r="GB248" s="841"/>
      <c r="GC248" s="841"/>
      <c r="GD248" s="841"/>
      <c r="GE248" s="841"/>
      <c r="GF248" s="841"/>
      <c r="GG248" s="841"/>
      <c r="GH248" s="841"/>
      <c r="GI248" s="841"/>
      <c r="GJ248" s="841"/>
      <c r="GK248" s="841"/>
      <c r="GL248" s="841"/>
      <c r="GM248" s="841"/>
      <c r="GN248" s="841"/>
      <c r="GO248" s="841"/>
      <c r="GP248" s="841"/>
      <c r="GQ248" s="841"/>
      <c r="GR248" s="841"/>
      <c r="GS248" s="841"/>
      <c r="GT248" s="841"/>
      <c r="GU248" s="841"/>
      <c r="GV248" s="841"/>
      <c r="GW248" s="841"/>
      <c r="GX248" s="841"/>
      <c r="GY248" s="841"/>
      <c r="GZ248" s="841"/>
      <c r="HA248" s="841"/>
      <c r="HB248" s="841"/>
      <c r="HC248" s="841"/>
      <c r="HD248" s="841"/>
      <c r="HE248" s="841"/>
      <c r="HF248" s="841"/>
      <c r="HG248" s="841"/>
      <c r="HH248" s="841"/>
      <c r="HI248" s="841"/>
      <c r="HJ248" s="841"/>
      <c r="HK248" s="841"/>
      <c r="HL248" s="841"/>
      <c r="HM248" s="841"/>
      <c r="HN248" s="841"/>
      <c r="HO248" s="841"/>
    </row>
    <row r="249" spans="2:223" ht="6.6" customHeight="1" thickTop="1">
      <c r="DS249" s="841"/>
      <c r="DT249" s="841"/>
      <c r="DU249" s="841"/>
      <c r="DV249" s="841"/>
      <c r="DW249" s="841"/>
      <c r="DX249" s="841"/>
      <c r="DY249" s="841"/>
      <c r="DZ249" s="841"/>
      <c r="EA249" s="841"/>
      <c r="EB249" s="841"/>
      <c r="EC249" s="841"/>
      <c r="ED249" s="841"/>
      <c r="EE249" s="841"/>
      <c r="EF249" s="841"/>
      <c r="EG249" s="841"/>
      <c r="EH249" s="841"/>
      <c r="EI249" s="841"/>
      <c r="EJ249" s="841"/>
      <c r="EK249" s="841"/>
      <c r="EL249" s="841"/>
      <c r="EM249" s="841"/>
      <c r="EN249" s="841"/>
      <c r="EO249" s="841"/>
      <c r="EP249" s="841"/>
      <c r="EQ249" s="841"/>
      <c r="ER249" s="841"/>
      <c r="ES249" s="841"/>
      <c r="ET249" s="841"/>
      <c r="EU249" s="841"/>
      <c r="EV249" s="841"/>
      <c r="EW249" s="841"/>
      <c r="EX249" s="841"/>
      <c r="EY249" s="841"/>
      <c r="EZ249" s="841"/>
      <c r="FA249" s="841"/>
      <c r="FB249" s="841"/>
      <c r="FC249" s="841"/>
      <c r="FD249" s="841"/>
      <c r="FE249" s="841"/>
      <c r="FF249" s="841"/>
      <c r="FG249" s="841"/>
      <c r="FH249" s="841"/>
      <c r="FI249" s="841"/>
      <c r="FJ249" s="841"/>
      <c r="FK249" s="841"/>
      <c r="FL249" s="841"/>
      <c r="FM249" s="841"/>
      <c r="FN249" s="841"/>
      <c r="FO249" s="841"/>
      <c r="FP249" s="841"/>
      <c r="FQ249" s="841"/>
      <c r="FR249" s="841"/>
      <c r="FS249" s="841"/>
      <c r="FT249" s="841"/>
      <c r="FU249" s="841"/>
      <c r="FV249" s="841"/>
      <c r="FW249" s="841"/>
      <c r="FX249" s="841"/>
      <c r="FY249" s="841"/>
      <c r="FZ249" s="841"/>
      <c r="GA249" s="841"/>
      <c r="GB249" s="841"/>
      <c r="GC249" s="841"/>
      <c r="GD249" s="841"/>
      <c r="GE249" s="841"/>
      <c r="GF249" s="841"/>
      <c r="GG249" s="841"/>
      <c r="GH249" s="841"/>
      <c r="GI249" s="841"/>
      <c r="GJ249" s="841"/>
      <c r="GK249" s="841"/>
      <c r="GL249" s="841"/>
      <c r="GM249" s="841"/>
      <c r="GN249" s="841"/>
      <c r="GO249" s="841"/>
      <c r="GP249" s="841"/>
      <c r="GQ249" s="841"/>
      <c r="GR249" s="841"/>
      <c r="GS249" s="841"/>
      <c r="GT249" s="841"/>
      <c r="GU249" s="841"/>
      <c r="GV249" s="841"/>
      <c r="GW249" s="841"/>
      <c r="GX249" s="841"/>
      <c r="GY249" s="841"/>
      <c r="GZ249" s="841"/>
      <c r="HA249" s="841"/>
      <c r="HB249" s="841"/>
      <c r="HC249" s="841"/>
      <c r="HD249" s="841"/>
      <c r="HE249" s="841"/>
      <c r="HF249" s="841"/>
      <c r="HG249" s="841"/>
      <c r="HH249" s="841"/>
      <c r="HI249" s="841"/>
      <c r="HJ249" s="841"/>
      <c r="HK249" s="841"/>
      <c r="HL249" s="841"/>
      <c r="HM249" s="841"/>
      <c r="HN249" s="841"/>
      <c r="HO249" s="841"/>
    </row>
    <row r="250" spans="2:223" ht="21" thickBot="1">
      <c r="B250" s="870"/>
      <c r="D250" s="1147">
        <f>IF(ISBLANK(B250),0,VLOOKUP(B250,Calculos_cuotas!$A$294:$B$299,2,FALSE))</f>
        <v>0</v>
      </c>
      <c r="F250" s="870"/>
      <c r="H250" s="884">
        <f>F250*D250</f>
        <v>0</v>
      </c>
      <c r="DS250" s="841"/>
      <c r="DT250" s="841"/>
      <c r="DU250" s="841"/>
      <c r="DV250" s="841"/>
      <c r="DW250" s="841"/>
      <c r="DX250" s="841"/>
      <c r="DY250" s="841"/>
      <c r="DZ250" s="841"/>
      <c r="EA250" s="841"/>
      <c r="EB250" s="841"/>
      <c r="EC250" s="841"/>
      <c r="ED250" s="841"/>
      <c r="EE250" s="841"/>
      <c r="EF250" s="841"/>
      <c r="EG250" s="841"/>
      <c r="EH250" s="841"/>
      <c r="EI250" s="841"/>
      <c r="EJ250" s="841"/>
      <c r="EK250" s="841"/>
      <c r="EL250" s="841"/>
      <c r="EM250" s="841"/>
      <c r="EN250" s="841"/>
      <c r="EO250" s="841"/>
      <c r="EP250" s="841"/>
      <c r="EQ250" s="841"/>
      <c r="ER250" s="841"/>
      <c r="ES250" s="841"/>
      <c r="ET250" s="841"/>
      <c r="EU250" s="841"/>
      <c r="EV250" s="841"/>
      <c r="EW250" s="841"/>
      <c r="EX250" s="841"/>
      <c r="EY250" s="841"/>
      <c r="EZ250" s="841"/>
      <c r="FA250" s="841"/>
      <c r="FB250" s="841"/>
      <c r="FC250" s="841"/>
      <c r="FD250" s="841"/>
      <c r="FE250" s="841"/>
      <c r="FF250" s="841"/>
      <c r="FG250" s="841"/>
      <c r="FH250" s="841"/>
      <c r="FI250" s="841"/>
      <c r="FJ250" s="841"/>
      <c r="FK250" s="841"/>
      <c r="FL250" s="841"/>
      <c r="FM250" s="841"/>
      <c r="FN250" s="841"/>
      <c r="FO250" s="841"/>
      <c r="FP250" s="841"/>
      <c r="FQ250" s="841"/>
      <c r="FR250" s="841"/>
      <c r="FS250" s="841"/>
      <c r="FT250" s="841"/>
      <c r="FU250" s="841"/>
      <c r="FV250" s="841"/>
      <c r="FW250" s="841"/>
      <c r="FX250" s="841"/>
      <c r="FY250" s="841"/>
      <c r="FZ250" s="841"/>
      <c r="GA250" s="841"/>
      <c r="GB250" s="841"/>
      <c r="GC250" s="841"/>
      <c r="GD250" s="841"/>
      <c r="GE250" s="841"/>
      <c r="GF250" s="841"/>
      <c r="GG250" s="841"/>
      <c r="GH250" s="841"/>
      <c r="GI250" s="841"/>
      <c r="GJ250" s="841"/>
      <c r="GK250" s="841"/>
      <c r="GL250" s="841"/>
      <c r="GM250" s="841"/>
      <c r="GN250" s="841"/>
      <c r="GO250" s="841"/>
      <c r="GP250" s="841"/>
      <c r="GQ250" s="841"/>
      <c r="GR250" s="841"/>
      <c r="GS250" s="841"/>
      <c r="GT250" s="841"/>
      <c r="GU250" s="841"/>
      <c r="GV250" s="841"/>
      <c r="GW250" s="841"/>
      <c r="GX250" s="841"/>
      <c r="GY250" s="841"/>
      <c r="GZ250" s="841"/>
      <c r="HA250" s="841"/>
      <c r="HB250" s="841"/>
      <c r="HC250" s="841"/>
      <c r="HD250" s="841"/>
      <c r="HE250" s="841"/>
      <c r="HF250" s="841"/>
      <c r="HG250" s="841"/>
      <c r="HH250" s="841"/>
      <c r="HI250" s="841"/>
      <c r="HJ250" s="841"/>
      <c r="HK250" s="841"/>
      <c r="HL250" s="841"/>
      <c r="HM250" s="841"/>
      <c r="HN250" s="841"/>
      <c r="HO250" s="841"/>
    </row>
    <row r="251" spans="2:223" ht="21" thickTop="1">
      <c r="DS251" s="841"/>
      <c r="DT251" s="841"/>
      <c r="DU251" s="841"/>
      <c r="DV251" s="841"/>
      <c r="DW251" s="841"/>
      <c r="DX251" s="841"/>
      <c r="DY251" s="841"/>
      <c r="DZ251" s="841"/>
      <c r="EA251" s="841"/>
      <c r="EB251" s="841"/>
      <c r="EC251" s="841"/>
      <c r="ED251" s="841"/>
      <c r="EE251" s="841"/>
      <c r="EF251" s="841"/>
      <c r="EG251" s="841"/>
      <c r="EH251" s="841"/>
      <c r="EI251" s="841"/>
      <c r="EJ251" s="841"/>
      <c r="EK251" s="841"/>
      <c r="EL251" s="841"/>
      <c r="EM251" s="841"/>
      <c r="EN251" s="841"/>
      <c r="EO251" s="841"/>
      <c r="EP251" s="841"/>
      <c r="EQ251" s="841"/>
      <c r="ER251" s="841"/>
      <c r="ES251" s="841"/>
      <c r="ET251" s="841"/>
      <c r="EU251" s="841"/>
      <c r="EV251" s="841"/>
      <c r="EW251" s="841"/>
      <c r="EX251" s="841"/>
      <c r="EY251" s="841"/>
      <c r="EZ251" s="841"/>
      <c r="FA251" s="841"/>
      <c r="FB251" s="841"/>
      <c r="FC251" s="841"/>
      <c r="FD251" s="841"/>
      <c r="FE251" s="841"/>
      <c r="FF251" s="841"/>
      <c r="FG251" s="841"/>
      <c r="FH251" s="841"/>
      <c r="FI251" s="841"/>
      <c r="FJ251" s="841"/>
      <c r="FK251" s="841"/>
      <c r="FL251" s="841"/>
      <c r="FM251" s="841"/>
      <c r="FN251" s="841"/>
      <c r="FO251" s="841"/>
      <c r="FP251" s="841"/>
      <c r="FQ251" s="841"/>
      <c r="FR251" s="841"/>
      <c r="FS251" s="841"/>
      <c r="FT251" s="841"/>
      <c r="FU251" s="841"/>
      <c r="FV251" s="841"/>
      <c r="FW251" s="841"/>
      <c r="FX251" s="841"/>
      <c r="FY251" s="841"/>
      <c r="FZ251" s="841"/>
      <c r="GA251" s="841"/>
      <c r="GB251" s="841"/>
      <c r="GC251" s="841"/>
      <c r="GD251" s="841"/>
      <c r="GE251" s="841"/>
      <c r="GF251" s="841"/>
      <c r="GG251" s="841"/>
      <c r="GH251" s="841"/>
      <c r="GI251" s="841"/>
      <c r="GJ251" s="841"/>
      <c r="GK251" s="841"/>
      <c r="GL251" s="841"/>
      <c r="GM251" s="841"/>
      <c r="GN251" s="841"/>
      <c r="GO251" s="841"/>
      <c r="GP251" s="841"/>
      <c r="GQ251" s="841"/>
      <c r="GR251" s="841"/>
      <c r="GS251" s="841"/>
      <c r="GT251" s="841"/>
      <c r="GU251" s="841"/>
      <c r="GV251" s="841"/>
      <c r="GW251" s="841"/>
      <c r="GX251" s="841"/>
      <c r="GY251" s="841"/>
      <c r="GZ251" s="841"/>
      <c r="HA251" s="841"/>
      <c r="HB251" s="841"/>
      <c r="HC251" s="841"/>
      <c r="HD251" s="841"/>
      <c r="HE251" s="841"/>
      <c r="HF251" s="841"/>
      <c r="HG251" s="841"/>
      <c r="HH251" s="841"/>
      <c r="HI251" s="841"/>
      <c r="HJ251" s="841"/>
      <c r="HK251" s="841"/>
      <c r="HL251" s="841"/>
      <c r="HM251" s="841"/>
      <c r="HN251" s="841"/>
      <c r="HO251" s="841"/>
    </row>
    <row r="252" spans="2:223" ht="43.9" customHeight="1" thickBot="1">
      <c r="F252" s="878" t="s">
        <v>158</v>
      </c>
      <c r="H252" s="898">
        <f>SUM(H242:H250)</f>
        <v>0</v>
      </c>
      <c r="DS252" s="841"/>
      <c r="DT252" s="841"/>
      <c r="DU252" s="841"/>
      <c r="DV252" s="841"/>
      <c r="DW252" s="841"/>
      <c r="DX252" s="841"/>
      <c r="DY252" s="841"/>
      <c r="DZ252" s="841"/>
      <c r="EA252" s="841"/>
      <c r="EB252" s="841"/>
      <c r="EC252" s="841"/>
      <c r="ED252" s="841"/>
      <c r="EE252" s="841"/>
      <c r="EF252" s="841"/>
      <c r="EG252" s="841"/>
      <c r="EH252" s="841"/>
      <c r="EI252" s="841"/>
      <c r="EJ252" s="841"/>
      <c r="EK252" s="841"/>
      <c r="EL252" s="841"/>
      <c r="EM252" s="841"/>
      <c r="EN252" s="841"/>
      <c r="EO252" s="841"/>
      <c r="EP252" s="841"/>
      <c r="EQ252" s="841"/>
      <c r="ER252" s="841"/>
      <c r="ES252" s="841"/>
      <c r="ET252" s="841"/>
      <c r="EU252" s="841"/>
      <c r="EV252" s="841"/>
      <c r="EW252" s="841"/>
      <c r="EX252" s="841"/>
      <c r="EY252" s="841"/>
      <c r="EZ252" s="841"/>
      <c r="FA252" s="841"/>
      <c r="FB252" s="841"/>
      <c r="FC252" s="841"/>
      <c r="FD252" s="841"/>
      <c r="FE252" s="841"/>
      <c r="FF252" s="841"/>
      <c r="FG252" s="841"/>
      <c r="FH252" s="841"/>
      <c r="FI252" s="841"/>
      <c r="FJ252" s="841"/>
      <c r="FK252" s="841"/>
      <c r="FL252" s="841"/>
      <c r="FM252" s="841"/>
      <c r="FN252" s="841"/>
      <c r="FO252" s="841"/>
      <c r="FP252" s="841"/>
      <c r="FQ252" s="841"/>
      <c r="FR252" s="841"/>
      <c r="FS252" s="841"/>
      <c r="FT252" s="841"/>
      <c r="FU252" s="841"/>
      <c r="FV252" s="841"/>
      <c r="FW252" s="841"/>
      <c r="FX252" s="841"/>
      <c r="FY252" s="841"/>
      <c r="FZ252" s="841"/>
      <c r="GA252" s="841"/>
      <c r="GB252" s="841"/>
      <c r="GC252" s="841"/>
      <c r="GD252" s="841"/>
      <c r="GE252" s="841"/>
      <c r="GF252" s="841"/>
      <c r="GG252" s="841"/>
      <c r="GH252" s="841"/>
      <c r="GI252" s="841"/>
      <c r="GJ252" s="841"/>
      <c r="GK252" s="841"/>
      <c r="GL252" s="841"/>
      <c r="GM252" s="841"/>
      <c r="GN252" s="841"/>
      <c r="GO252" s="841"/>
      <c r="GP252" s="841"/>
      <c r="GQ252" s="841"/>
      <c r="GR252" s="841"/>
      <c r="GS252" s="841"/>
      <c r="GT252" s="841"/>
      <c r="GU252" s="841"/>
      <c r="GV252" s="841"/>
      <c r="GW252" s="841"/>
      <c r="GX252" s="841"/>
      <c r="GY252" s="841"/>
      <c r="GZ252" s="841"/>
      <c r="HA252" s="841"/>
      <c r="HB252" s="841"/>
      <c r="HC252" s="841"/>
      <c r="HD252" s="841"/>
      <c r="HE252" s="841"/>
      <c r="HF252" s="841"/>
      <c r="HG252" s="841"/>
      <c r="HH252" s="841"/>
      <c r="HI252" s="841"/>
      <c r="HJ252" s="841"/>
      <c r="HK252" s="841"/>
      <c r="HL252" s="841"/>
      <c r="HM252" s="841"/>
      <c r="HN252" s="841"/>
      <c r="HO252" s="841"/>
    </row>
    <row r="253" spans="2:223" ht="43.9" customHeight="1" thickTop="1">
      <c r="DS253" s="841"/>
      <c r="DT253" s="841"/>
      <c r="DU253" s="841"/>
      <c r="DV253" s="841"/>
      <c r="DW253" s="841"/>
      <c r="DX253" s="841"/>
      <c r="DY253" s="841"/>
      <c r="DZ253" s="841"/>
      <c r="EA253" s="841"/>
      <c r="EB253" s="841"/>
      <c r="EC253" s="841"/>
      <c r="ED253" s="841"/>
      <c r="EE253" s="841"/>
      <c r="EF253" s="841"/>
      <c r="EG253" s="841"/>
      <c r="EH253" s="841"/>
      <c r="EI253" s="841"/>
      <c r="EJ253" s="841"/>
      <c r="EK253" s="841"/>
      <c r="EL253" s="841"/>
      <c r="EM253" s="841"/>
      <c r="EN253" s="841"/>
      <c r="EO253" s="841"/>
      <c r="EP253" s="841"/>
      <c r="EQ253" s="841"/>
      <c r="ER253" s="841"/>
      <c r="ES253" s="841"/>
      <c r="ET253" s="841"/>
      <c r="EU253" s="841"/>
      <c r="EV253" s="841"/>
      <c r="EW253" s="841"/>
      <c r="EX253" s="841"/>
      <c r="EY253" s="841"/>
      <c r="EZ253" s="841"/>
      <c r="FA253" s="841"/>
      <c r="FB253" s="841"/>
      <c r="FC253" s="841"/>
      <c r="FD253" s="841"/>
      <c r="FE253" s="841"/>
      <c r="FF253" s="841"/>
      <c r="FG253" s="841"/>
      <c r="FH253" s="841"/>
      <c r="FI253" s="841"/>
      <c r="FJ253" s="841"/>
      <c r="FK253" s="841"/>
      <c r="FL253" s="841"/>
      <c r="FM253" s="841"/>
      <c r="FN253" s="841"/>
      <c r="FO253" s="841"/>
      <c r="FP253" s="841"/>
      <c r="FQ253" s="841"/>
      <c r="FR253" s="841"/>
      <c r="FS253" s="841"/>
      <c r="FT253" s="841"/>
      <c r="FU253" s="841"/>
      <c r="FV253" s="841"/>
      <c r="FW253" s="841"/>
      <c r="FX253" s="841"/>
      <c r="FY253" s="841"/>
      <c r="FZ253" s="841"/>
      <c r="GA253" s="841"/>
      <c r="GB253" s="841"/>
      <c r="GC253" s="841"/>
      <c r="GD253" s="841"/>
      <c r="GE253" s="841"/>
      <c r="GF253" s="841"/>
      <c r="GG253" s="841"/>
      <c r="GH253" s="841"/>
      <c r="GI253" s="841"/>
      <c r="GJ253" s="841"/>
      <c r="GK253" s="841"/>
      <c r="GL253" s="841"/>
      <c r="GM253" s="841"/>
      <c r="GN253" s="841"/>
      <c r="GO253" s="841"/>
      <c r="GP253" s="841"/>
      <c r="GQ253" s="841"/>
      <c r="GR253" s="841"/>
      <c r="GS253" s="841"/>
      <c r="GT253" s="841"/>
      <c r="GU253" s="841"/>
      <c r="GV253" s="841"/>
      <c r="GW253" s="841"/>
      <c r="GX253" s="841"/>
      <c r="GY253" s="841"/>
      <c r="GZ253" s="841"/>
      <c r="HA253" s="841"/>
      <c r="HB253" s="841"/>
      <c r="HC253" s="841"/>
      <c r="HD253" s="841"/>
      <c r="HE253" s="841"/>
      <c r="HF253" s="841"/>
      <c r="HG253" s="841"/>
      <c r="HH253" s="841"/>
      <c r="HI253" s="841"/>
      <c r="HJ253" s="841"/>
      <c r="HK253" s="841"/>
      <c r="HL253" s="841"/>
      <c r="HM253" s="841"/>
      <c r="HN253" s="841"/>
      <c r="HO253" s="841"/>
    </row>
    <row r="254" spans="2:223" ht="30">
      <c r="B254" s="2121" t="s">
        <v>1099</v>
      </c>
      <c r="C254" s="2121"/>
      <c r="D254" s="2121"/>
      <c r="E254" s="2121"/>
      <c r="F254" s="2121"/>
      <c r="G254" s="2121"/>
      <c r="H254" s="2121"/>
      <c r="I254" s="2121"/>
      <c r="J254" s="2121"/>
      <c r="K254" s="2121"/>
      <c r="L254" s="2121"/>
      <c r="M254" s="2121"/>
      <c r="N254" s="2121"/>
      <c r="O254" s="2121"/>
      <c r="P254" s="2121"/>
      <c r="Q254" s="2121"/>
      <c r="R254" s="2121"/>
      <c r="S254" s="2121"/>
      <c r="T254" s="2121"/>
      <c r="U254" s="2121"/>
      <c r="V254" s="2121"/>
      <c r="W254" s="2121"/>
      <c r="X254" s="2121"/>
      <c r="Y254" s="2121"/>
      <c r="Z254" s="2121"/>
      <c r="AA254" s="2121"/>
      <c r="AB254" s="2121"/>
      <c r="AC254" s="2121"/>
      <c r="AD254" s="2121"/>
      <c r="AE254" s="2121"/>
      <c r="AF254" s="2121"/>
      <c r="AG254" s="2121"/>
      <c r="AH254" s="2121"/>
      <c r="DS254" s="841"/>
      <c r="DT254" s="841"/>
      <c r="DU254" s="841"/>
      <c r="DV254" s="841"/>
      <c r="DW254" s="841"/>
      <c r="DX254" s="841"/>
      <c r="DY254" s="841"/>
      <c r="DZ254" s="841"/>
      <c r="EA254" s="841"/>
      <c r="EB254" s="841"/>
      <c r="EC254" s="841"/>
      <c r="ED254" s="841"/>
      <c r="EE254" s="841"/>
      <c r="EF254" s="841"/>
      <c r="EG254" s="841"/>
      <c r="EH254" s="841"/>
      <c r="EI254" s="841"/>
      <c r="EJ254" s="841"/>
      <c r="EK254" s="841"/>
      <c r="EL254" s="841"/>
      <c r="EM254" s="841"/>
      <c r="EN254" s="841"/>
      <c r="EO254" s="841"/>
      <c r="EP254" s="841"/>
      <c r="EQ254" s="841"/>
      <c r="ER254" s="841"/>
      <c r="ES254" s="841"/>
      <c r="ET254" s="841"/>
      <c r="EU254" s="841"/>
      <c r="EV254" s="841"/>
      <c r="EW254" s="841"/>
      <c r="EX254" s="841"/>
      <c r="EY254" s="841"/>
      <c r="EZ254" s="841"/>
      <c r="FA254" s="841"/>
      <c r="FB254" s="841"/>
      <c r="FC254" s="841"/>
      <c r="FD254" s="841"/>
      <c r="FE254" s="841"/>
      <c r="FF254" s="841"/>
      <c r="FG254" s="841"/>
      <c r="FH254" s="841"/>
      <c r="FI254" s="841"/>
      <c r="FJ254" s="841"/>
      <c r="FK254" s="841"/>
      <c r="FL254" s="841"/>
      <c r="FM254" s="841"/>
      <c r="FN254" s="841"/>
      <c r="FO254" s="841"/>
      <c r="FP254" s="841"/>
      <c r="FQ254" s="841"/>
      <c r="FR254" s="841"/>
      <c r="FS254" s="841"/>
      <c r="FT254" s="841"/>
      <c r="FU254" s="841"/>
      <c r="FV254" s="841"/>
      <c r="FW254" s="841"/>
      <c r="FX254" s="841"/>
      <c r="FY254" s="841"/>
      <c r="FZ254" s="841"/>
      <c r="GA254" s="841"/>
      <c r="GB254" s="841"/>
      <c r="GC254" s="841"/>
      <c r="GD254" s="841"/>
      <c r="GE254" s="841"/>
      <c r="GF254" s="841"/>
      <c r="GG254" s="841"/>
      <c r="GH254" s="841"/>
      <c r="GI254" s="841"/>
      <c r="GJ254" s="841"/>
      <c r="GK254" s="841"/>
      <c r="GL254" s="841"/>
      <c r="GM254" s="841"/>
      <c r="GN254" s="841"/>
      <c r="GO254" s="841"/>
      <c r="GP254" s="841"/>
      <c r="GQ254" s="841"/>
      <c r="GR254" s="841"/>
      <c r="GS254" s="841"/>
      <c r="GT254" s="841"/>
      <c r="GU254" s="841"/>
      <c r="GV254" s="841"/>
      <c r="GW254" s="841"/>
      <c r="GX254" s="841"/>
      <c r="GY254" s="841"/>
      <c r="GZ254" s="841"/>
      <c r="HA254" s="841"/>
      <c r="HB254" s="841"/>
      <c r="HC254" s="841"/>
      <c r="HD254" s="841"/>
      <c r="HE254" s="841"/>
      <c r="HF254" s="841"/>
      <c r="HG254" s="841"/>
      <c r="HH254" s="841"/>
      <c r="HI254" s="841"/>
      <c r="HJ254" s="841"/>
      <c r="HK254" s="841"/>
      <c r="HL254" s="841"/>
      <c r="HM254" s="841"/>
      <c r="HN254" s="841"/>
      <c r="HO254" s="841"/>
    </row>
    <row r="255" spans="2:223" ht="21" thickBot="1">
      <c r="J255" s="1780"/>
      <c r="K255" s="1780"/>
      <c r="L255" s="1780"/>
      <c r="M255" s="1146"/>
      <c r="N255" s="1780"/>
      <c r="O255" s="1780"/>
      <c r="P255" s="1780"/>
      <c r="Q255" s="1780"/>
      <c r="R255" s="1780"/>
      <c r="S255" s="1780"/>
      <c r="T255" s="1780"/>
      <c r="DS255" s="841"/>
      <c r="DT255" s="841"/>
      <c r="DU255" s="841"/>
      <c r="DV255" s="841"/>
      <c r="DW255" s="841"/>
      <c r="DX255" s="841"/>
      <c r="DY255" s="841"/>
      <c r="DZ255" s="841"/>
      <c r="EA255" s="841"/>
      <c r="EB255" s="841"/>
      <c r="EC255" s="841"/>
      <c r="ED255" s="841"/>
      <c r="EE255" s="841"/>
      <c r="EF255" s="841"/>
      <c r="EG255" s="841"/>
      <c r="EH255" s="841"/>
      <c r="EI255" s="841"/>
      <c r="EJ255" s="841"/>
      <c r="EK255" s="841"/>
      <c r="EL255" s="841"/>
      <c r="EM255" s="841"/>
      <c r="EN255" s="841"/>
      <c r="EO255" s="841"/>
      <c r="EP255" s="841"/>
      <c r="EQ255" s="841"/>
      <c r="ER255" s="841"/>
      <c r="ES255" s="841"/>
      <c r="ET255" s="841"/>
      <c r="EU255" s="841"/>
      <c r="EV255" s="841"/>
      <c r="EW255" s="841"/>
      <c r="EX255" s="841"/>
      <c r="EY255" s="841"/>
      <c r="EZ255" s="841"/>
      <c r="FA255" s="841"/>
      <c r="FB255" s="841"/>
      <c r="FC255" s="841"/>
      <c r="FD255" s="841"/>
      <c r="FE255" s="841"/>
      <c r="FF255" s="841"/>
      <c r="FG255" s="841"/>
      <c r="FH255" s="841"/>
      <c r="FI255" s="841"/>
      <c r="FJ255" s="841"/>
      <c r="FK255" s="841"/>
      <c r="FL255" s="841"/>
      <c r="FM255" s="841"/>
      <c r="FN255" s="841"/>
      <c r="FO255" s="841"/>
      <c r="FP255" s="841"/>
      <c r="FQ255" s="841"/>
      <c r="FR255" s="841"/>
      <c r="FS255" s="841"/>
      <c r="FT255" s="841"/>
      <c r="FU255" s="841"/>
      <c r="FV255" s="841"/>
      <c r="FW255" s="841"/>
      <c r="FX255" s="841"/>
      <c r="FY255" s="841"/>
      <c r="FZ255" s="841"/>
      <c r="GA255" s="841"/>
      <c r="GB255" s="841"/>
      <c r="GC255" s="841"/>
      <c r="GD255" s="841"/>
      <c r="GE255" s="841"/>
      <c r="GF255" s="841"/>
      <c r="GG255" s="841"/>
      <c r="GH255" s="841"/>
      <c r="GI255" s="841"/>
      <c r="GJ255" s="841"/>
      <c r="GK255" s="841"/>
      <c r="GL255" s="841"/>
      <c r="GM255" s="841"/>
      <c r="GN255" s="841"/>
      <c r="GO255" s="841"/>
      <c r="GP255" s="841"/>
      <c r="GQ255" s="841"/>
      <c r="GR255" s="841"/>
      <c r="GS255" s="841"/>
      <c r="GT255" s="841"/>
      <c r="GU255" s="841"/>
      <c r="GV255" s="841"/>
      <c r="GW255" s="841"/>
      <c r="GX255" s="841"/>
      <c r="GY255" s="841"/>
      <c r="GZ255" s="841"/>
      <c r="HA255" s="841"/>
      <c r="HB255" s="841"/>
      <c r="HC255" s="841"/>
      <c r="HD255" s="841"/>
      <c r="HE255" s="841"/>
      <c r="HF255" s="841"/>
      <c r="HG255" s="841"/>
      <c r="HH255" s="841"/>
      <c r="HI255" s="841"/>
      <c r="HJ255" s="841"/>
      <c r="HK255" s="841"/>
      <c r="HL255" s="841"/>
      <c r="HM255" s="841"/>
      <c r="HN255" s="841"/>
      <c r="HO255" s="841"/>
    </row>
    <row r="256" spans="2:223" ht="21" thickBot="1">
      <c r="F256" s="911"/>
      <c r="G256" s="911"/>
      <c r="H256" s="911"/>
      <c r="I256" s="911"/>
      <c r="J256" s="911"/>
      <c r="K256" s="1780"/>
      <c r="L256" s="2162" t="s">
        <v>1840</v>
      </c>
      <c r="M256" s="2163"/>
      <c r="N256" s="2163"/>
      <c r="O256" s="2163"/>
      <c r="P256" s="2163"/>
      <c r="Q256" s="2163"/>
      <c r="R256" s="2164"/>
      <c r="S256" s="1780"/>
      <c r="T256" s="1780"/>
      <c r="DS256" s="841"/>
      <c r="DT256" s="841"/>
      <c r="DU256" s="841"/>
      <c r="DV256" s="841"/>
      <c r="DW256" s="841"/>
      <c r="DX256" s="841"/>
      <c r="DY256" s="841"/>
      <c r="DZ256" s="841"/>
      <c r="EA256" s="841"/>
      <c r="EB256" s="841"/>
      <c r="EC256" s="841"/>
      <c r="ED256" s="841"/>
      <c r="EE256" s="841"/>
      <c r="EF256" s="841"/>
      <c r="EG256" s="841"/>
      <c r="EH256" s="841"/>
      <c r="EI256" s="841"/>
      <c r="EJ256" s="841"/>
      <c r="EK256" s="841"/>
      <c r="EL256" s="841"/>
      <c r="EM256" s="841"/>
      <c r="EN256" s="841"/>
      <c r="EO256" s="841"/>
      <c r="EP256" s="841"/>
      <c r="EQ256" s="841"/>
      <c r="ER256" s="841"/>
      <c r="ES256" s="841"/>
      <c r="ET256" s="841"/>
      <c r="EU256" s="841"/>
      <c r="EV256" s="841"/>
      <c r="EW256" s="841"/>
      <c r="EX256" s="841"/>
      <c r="EY256" s="841"/>
      <c r="EZ256" s="841"/>
      <c r="FA256" s="841"/>
      <c r="FB256" s="841"/>
      <c r="FC256" s="841"/>
      <c r="FD256" s="841"/>
      <c r="FE256" s="841"/>
      <c r="FF256" s="841"/>
      <c r="FG256" s="841"/>
      <c r="FH256" s="841"/>
      <c r="FI256" s="841"/>
      <c r="FJ256" s="841"/>
      <c r="FK256" s="841"/>
      <c r="FL256" s="841"/>
      <c r="FM256" s="841"/>
      <c r="FN256" s="841"/>
      <c r="FO256" s="841"/>
      <c r="FP256" s="841"/>
      <c r="FQ256" s="841"/>
      <c r="FR256" s="841"/>
      <c r="FS256" s="841"/>
      <c r="FT256" s="841"/>
      <c r="FU256" s="841"/>
      <c r="FV256" s="841"/>
      <c r="FW256" s="841"/>
      <c r="FX256" s="841"/>
      <c r="FY256" s="841"/>
      <c r="FZ256" s="841"/>
      <c r="GA256" s="841"/>
      <c r="GB256" s="841"/>
      <c r="GC256" s="841"/>
      <c r="GD256" s="841"/>
      <c r="GE256" s="841"/>
      <c r="GF256" s="841"/>
      <c r="GG256" s="841"/>
      <c r="GH256" s="841"/>
      <c r="GI256" s="841"/>
      <c r="GJ256" s="841"/>
      <c r="GK256" s="841"/>
      <c r="GL256" s="841"/>
      <c r="GM256" s="841"/>
      <c r="GN256" s="841"/>
      <c r="GO256" s="841"/>
      <c r="GP256" s="841"/>
      <c r="GQ256" s="841"/>
      <c r="GR256" s="841"/>
      <c r="GS256" s="841"/>
      <c r="GT256" s="841"/>
      <c r="GU256" s="841"/>
      <c r="GV256" s="841"/>
      <c r="GW256" s="841"/>
      <c r="GX256" s="841"/>
      <c r="GY256" s="841"/>
      <c r="GZ256" s="841"/>
      <c r="HA256" s="841"/>
      <c r="HB256" s="841"/>
      <c r="HC256" s="841"/>
      <c r="HD256" s="841"/>
      <c r="HE256" s="841"/>
      <c r="HF256" s="841"/>
      <c r="HG256" s="841"/>
      <c r="HH256" s="841"/>
      <c r="HI256" s="841"/>
      <c r="HJ256" s="841"/>
      <c r="HK256" s="841"/>
      <c r="HL256" s="841"/>
      <c r="HM256" s="841"/>
      <c r="HN256" s="841"/>
      <c r="HO256" s="841"/>
    </row>
    <row r="257" spans="1:223" ht="6.75" customHeight="1" thickBot="1">
      <c r="J257" s="1780"/>
      <c r="K257" s="1780"/>
      <c r="L257" s="1780"/>
      <c r="M257" s="1146"/>
      <c r="N257" s="1780"/>
      <c r="O257" s="1780"/>
      <c r="P257" s="1780"/>
      <c r="Q257" s="1780"/>
      <c r="R257" s="1780"/>
      <c r="S257" s="1780"/>
      <c r="T257" s="1780"/>
      <c r="DS257" s="841"/>
      <c r="DT257" s="841"/>
      <c r="DU257" s="841"/>
      <c r="DV257" s="841"/>
      <c r="DW257" s="841"/>
      <c r="DX257" s="841"/>
      <c r="DY257" s="841"/>
      <c r="DZ257" s="841"/>
      <c r="EA257" s="841"/>
      <c r="EB257" s="841"/>
      <c r="EC257" s="841"/>
      <c r="ED257" s="841"/>
      <c r="EE257" s="841"/>
      <c r="EF257" s="841"/>
      <c r="EG257" s="841"/>
      <c r="EH257" s="841"/>
      <c r="EI257" s="841"/>
      <c r="EJ257" s="841"/>
      <c r="EK257" s="841"/>
      <c r="EL257" s="841"/>
      <c r="EM257" s="841"/>
      <c r="EN257" s="841"/>
      <c r="EO257" s="841"/>
      <c r="EP257" s="841"/>
      <c r="EQ257" s="841"/>
      <c r="ER257" s="841"/>
      <c r="ES257" s="841"/>
      <c r="ET257" s="841"/>
      <c r="EU257" s="841"/>
      <c r="EV257" s="841"/>
      <c r="EW257" s="841"/>
      <c r="EX257" s="841"/>
      <c r="EY257" s="841"/>
      <c r="EZ257" s="841"/>
      <c r="FA257" s="841"/>
      <c r="FB257" s="841"/>
      <c r="FC257" s="841"/>
      <c r="FD257" s="841"/>
      <c r="FE257" s="841"/>
      <c r="FF257" s="841"/>
      <c r="FG257" s="841"/>
      <c r="FH257" s="841"/>
      <c r="FI257" s="841"/>
      <c r="FJ257" s="841"/>
      <c r="FK257" s="841"/>
      <c r="FL257" s="841"/>
      <c r="FM257" s="841"/>
      <c r="FN257" s="841"/>
      <c r="FO257" s="841"/>
      <c r="FP257" s="841"/>
      <c r="FQ257" s="841"/>
      <c r="FR257" s="841"/>
      <c r="FS257" s="841"/>
      <c r="FT257" s="841"/>
      <c r="FU257" s="841"/>
      <c r="FV257" s="841"/>
      <c r="FW257" s="841"/>
      <c r="FX257" s="841"/>
      <c r="FY257" s="841"/>
      <c r="FZ257" s="841"/>
      <c r="GA257" s="841"/>
      <c r="GB257" s="841"/>
      <c r="GC257" s="841"/>
      <c r="GD257" s="841"/>
      <c r="GE257" s="841"/>
      <c r="GF257" s="841"/>
      <c r="GG257" s="841"/>
      <c r="GH257" s="841"/>
      <c r="GI257" s="841"/>
      <c r="GJ257" s="841"/>
      <c r="GK257" s="841"/>
      <c r="GL257" s="841"/>
      <c r="GM257" s="841"/>
      <c r="GN257" s="841"/>
      <c r="GO257" s="841"/>
      <c r="GP257" s="841"/>
      <c r="GQ257" s="841"/>
      <c r="GR257" s="841"/>
      <c r="GS257" s="841"/>
      <c r="GT257" s="841"/>
      <c r="GU257" s="841"/>
      <c r="GV257" s="841"/>
      <c r="GW257" s="841"/>
      <c r="GX257" s="841"/>
      <c r="GY257" s="841"/>
      <c r="GZ257" s="841"/>
      <c r="HA257" s="841"/>
      <c r="HB257" s="841"/>
      <c r="HC257" s="841"/>
      <c r="HD257" s="841"/>
      <c r="HE257" s="841"/>
      <c r="HF257" s="841"/>
      <c r="HG257" s="841"/>
      <c r="HH257" s="841"/>
      <c r="HI257" s="841"/>
      <c r="HJ257" s="841"/>
      <c r="HK257" s="841"/>
      <c r="HL257" s="841"/>
      <c r="HM257" s="841"/>
      <c r="HN257" s="841"/>
      <c r="HO257" s="841"/>
    </row>
    <row r="258" spans="1:223" ht="21" thickBot="1">
      <c r="F258" s="2162" t="s">
        <v>1839</v>
      </c>
      <c r="G258" s="2163"/>
      <c r="H258" s="2163"/>
      <c r="I258" s="2163"/>
      <c r="J258" s="2164"/>
      <c r="K258" s="1780"/>
      <c r="L258" s="2165" t="s">
        <v>1842</v>
      </c>
      <c r="M258" s="2166"/>
      <c r="N258" s="2166"/>
      <c r="O258" s="2166"/>
      <c r="P258" s="2166"/>
      <c r="Q258" s="2166"/>
      <c r="R258" s="2167"/>
      <c r="S258" s="1780"/>
      <c r="T258" s="1780"/>
      <c r="DS258" s="841"/>
      <c r="DT258" s="841"/>
      <c r="DU258" s="841"/>
      <c r="DV258" s="841"/>
      <c r="DW258" s="841"/>
      <c r="DX258" s="841"/>
      <c r="DY258" s="841"/>
      <c r="DZ258" s="841"/>
      <c r="EA258" s="841"/>
      <c r="EB258" s="841"/>
      <c r="EC258" s="841"/>
      <c r="ED258" s="841"/>
      <c r="EE258" s="841"/>
      <c r="EF258" s="841"/>
      <c r="EG258" s="841"/>
      <c r="EH258" s="841"/>
      <c r="EI258" s="841"/>
      <c r="EJ258" s="841"/>
      <c r="EK258" s="841"/>
      <c r="EL258" s="841"/>
      <c r="EM258" s="841"/>
      <c r="EN258" s="841"/>
      <c r="EO258" s="841"/>
      <c r="EP258" s="841"/>
      <c r="EQ258" s="841"/>
      <c r="ER258" s="841"/>
      <c r="ES258" s="841"/>
      <c r="ET258" s="841"/>
      <c r="EU258" s="841"/>
      <c r="EV258" s="841"/>
      <c r="EW258" s="841"/>
      <c r="EX258" s="841"/>
      <c r="EY258" s="841"/>
      <c r="EZ258" s="841"/>
      <c r="FA258" s="841"/>
      <c r="FB258" s="841"/>
      <c r="FC258" s="841"/>
      <c r="FD258" s="841"/>
      <c r="FE258" s="841"/>
      <c r="FF258" s="841"/>
      <c r="FG258" s="841"/>
      <c r="FH258" s="841"/>
      <c r="FI258" s="841"/>
      <c r="FJ258" s="841"/>
      <c r="FK258" s="841"/>
      <c r="FL258" s="841"/>
      <c r="FM258" s="841"/>
      <c r="FN258" s="841"/>
      <c r="FO258" s="841"/>
      <c r="FP258" s="841"/>
      <c r="FQ258" s="841"/>
      <c r="FR258" s="841"/>
      <c r="FS258" s="841"/>
      <c r="FT258" s="841"/>
      <c r="FU258" s="841"/>
      <c r="FV258" s="841"/>
      <c r="FW258" s="841"/>
      <c r="FX258" s="841"/>
      <c r="FY258" s="841"/>
      <c r="FZ258" s="841"/>
      <c r="GA258" s="841"/>
      <c r="GB258" s="841"/>
      <c r="GC258" s="841"/>
      <c r="GD258" s="841"/>
      <c r="GE258" s="841"/>
      <c r="GF258" s="841"/>
      <c r="GG258" s="841"/>
      <c r="GH258" s="841"/>
      <c r="GI258" s="841"/>
      <c r="GJ258" s="841"/>
      <c r="GK258" s="841"/>
      <c r="GL258" s="841"/>
      <c r="GM258" s="841"/>
      <c r="GN258" s="841"/>
      <c r="GO258" s="841"/>
      <c r="GP258" s="841"/>
      <c r="GQ258" s="841"/>
      <c r="GR258" s="841"/>
      <c r="GS258" s="841"/>
      <c r="GT258" s="841"/>
      <c r="GU258" s="841"/>
      <c r="GV258" s="841"/>
      <c r="GW258" s="841"/>
      <c r="GX258" s="841"/>
      <c r="GY258" s="841"/>
      <c r="GZ258" s="841"/>
      <c r="HA258" s="841"/>
      <c r="HB258" s="841"/>
      <c r="HC258" s="841"/>
      <c r="HD258" s="841"/>
      <c r="HE258" s="841"/>
      <c r="HF258" s="841"/>
      <c r="HG258" s="841"/>
      <c r="HH258" s="841"/>
      <c r="HI258" s="841"/>
      <c r="HJ258" s="841"/>
      <c r="HK258" s="841"/>
      <c r="HL258" s="841"/>
      <c r="HM258" s="841"/>
      <c r="HN258" s="841"/>
      <c r="HO258" s="841"/>
    </row>
    <row r="259" spans="1:223" ht="9.75" customHeight="1" thickBot="1">
      <c r="J259" s="1780"/>
      <c r="K259" s="1780"/>
      <c r="L259" s="1780"/>
      <c r="M259" s="1146"/>
      <c r="N259" s="1780"/>
      <c r="O259" s="1780"/>
      <c r="P259" s="1780"/>
      <c r="Q259" s="1780"/>
      <c r="R259" s="1780"/>
      <c r="S259" s="1780"/>
      <c r="T259" s="1780"/>
      <c r="DS259" s="841"/>
      <c r="DT259" s="841"/>
      <c r="DU259" s="841"/>
      <c r="DV259" s="841"/>
      <c r="DW259" s="841"/>
      <c r="DX259" s="841"/>
      <c r="DY259" s="841"/>
      <c r="DZ259" s="841"/>
      <c r="EA259" s="841"/>
      <c r="EB259" s="841"/>
      <c r="EC259" s="841"/>
      <c r="ED259" s="841"/>
      <c r="EE259" s="841"/>
      <c r="EF259" s="841"/>
      <c r="EG259" s="841"/>
      <c r="EH259" s="841"/>
      <c r="EI259" s="841"/>
      <c r="EJ259" s="841"/>
      <c r="EK259" s="841"/>
      <c r="EL259" s="841"/>
      <c r="EM259" s="841"/>
      <c r="EN259" s="841"/>
      <c r="EO259" s="841"/>
      <c r="EP259" s="841"/>
      <c r="EQ259" s="841"/>
      <c r="ER259" s="841"/>
      <c r="ES259" s="841"/>
      <c r="ET259" s="841"/>
      <c r="EU259" s="841"/>
      <c r="EV259" s="841"/>
      <c r="EW259" s="841"/>
      <c r="EX259" s="841"/>
      <c r="EY259" s="841"/>
      <c r="EZ259" s="841"/>
      <c r="FA259" s="841"/>
      <c r="FB259" s="841"/>
      <c r="FC259" s="841"/>
      <c r="FD259" s="841"/>
      <c r="FE259" s="841"/>
      <c r="FF259" s="841"/>
      <c r="FG259" s="841"/>
      <c r="FH259" s="841"/>
      <c r="FI259" s="841"/>
      <c r="FJ259" s="841"/>
      <c r="FK259" s="841"/>
      <c r="FL259" s="841"/>
      <c r="FM259" s="841"/>
      <c r="FN259" s="841"/>
      <c r="FO259" s="841"/>
      <c r="FP259" s="841"/>
      <c r="FQ259" s="841"/>
      <c r="FR259" s="841"/>
      <c r="FS259" s="841"/>
      <c r="FT259" s="841"/>
      <c r="FU259" s="841"/>
      <c r="FV259" s="841"/>
      <c r="FW259" s="841"/>
      <c r="FX259" s="841"/>
      <c r="FY259" s="841"/>
      <c r="FZ259" s="841"/>
      <c r="GA259" s="841"/>
      <c r="GB259" s="841"/>
      <c r="GC259" s="841"/>
      <c r="GD259" s="841"/>
      <c r="GE259" s="841"/>
      <c r="GF259" s="841"/>
      <c r="GG259" s="841"/>
      <c r="GH259" s="841"/>
      <c r="GI259" s="841"/>
      <c r="GJ259" s="841"/>
      <c r="GK259" s="841"/>
      <c r="GL259" s="841"/>
      <c r="GM259" s="841"/>
      <c r="GN259" s="841"/>
      <c r="GO259" s="841"/>
      <c r="GP259" s="841"/>
      <c r="GQ259" s="841"/>
      <c r="GR259" s="841"/>
      <c r="GS259" s="841"/>
      <c r="GT259" s="841"/>
      <c r="GU259" s="841"/>
      <c r="GV259" s="841"/>
      <c r="GW259" s="841"/>
      <c r="GX259" s="841"/>
      <c r="GY259" s="841"/>
      <c r="GZ259" s="841"/>
      <c r="HA259" s="841"/>
      <c r="HB259" s="841"/>
      <c r="HC259" s="841"/>
      <c r="HD259" s="841"/>
      <c r="HE259" s="841"/>
      <c r="HF259" s="841"/>
      <c r="HG259" s="841"/>
      <c r="HH259" s="841"/>
      <c r="HI259" s="841"/>
      <c r="HJ259" s="841"/>
      <c r="HK259" s="841"/>
      <c r="HL259" s="841"/>
      <c r="HM259" s="841"/>
      <c r="HN259" s="841"/>
      <c r="HO259" s="841"/>
    </row>
    <row r="260" spans="1:223" ht="37.15" customHeight="1" thickBot="1">
      <c r="B260" s="864" t="s">
        <v>1838</v>
      </c>
      <c r="D260" s="864" t="s">
        <v>1088</v>
      </c>
      <c r="F260" s="864" t="s">
        <v>293</v>
      </c>
      <c r="H260" s="864" t="s">
        <v>1836</v>
      </c>
      <c r="J260" s="864" t="s">
        <v>1837</v>
      </c>
      <c r="L260" s="864" t="s">
        <v>1843</v>
      </c>
      <c r="N260" s="864" t="s">
        <v>1844</v>
      </c>
      <c r="P260" s="864" t="s">
        <v>1845</v>
      </c>
      <c r="R260" s="864" t="s">
        <v>1846</v>
      </c>
      <c r="T260" s="865" t="s">
        <v>1104</v>
      </c>
      <c r="DS260" s="841"/>
      <c r="DT260" s="841"/>
      <c r="DU260" s="841"/>
      <c r="DV260" s="841"/>
      <c r="DW260" s="841"/>
      <c r="DX260" s="841"/>
      <c r="DY260" s="841"/>
      <c r="DZ260" s="841"/>
      <c r="EA260" s="841"/>
      <c r="EB260" s="841"/>
      <c r="EC260" s="841"/>
      <c r="ED260" s="841"/>
      <c r="EE260" s="841"/>
      <c r="EF260" s="841"/>
      <c r="EG260" s="841"/>
      <c r="EH260" s="841"/>
      <c r="EI260" s="841"/>
      <c r="EJ260" s="841"/>
      <c r="EK260" s="841"/>
      <c r="EL260" s="841"/>
      <c r="EM260" s="841"/>
      <c r="EN260" s="841"/>
      <c r="EO260" s="841"/>
      <c r="EP260" s="841"/>
      <c r="EQ260" s="841"/>
      <c r="ER260" s="841"/>
      <c r="ES260" s="841"/>
      <c r="ET260" s="841"/>
      <c r="EU260" s="841"/>
      <c r="EV260" s="841"/>
      <c r="EW260" s="841"/>
      <c r="EX260" s="841"/>
      <c r="EY260" s="841"/>
      <c r="EZ260" s="841"/>
      <c r="FA260" s="841"/>
      <c r="FB260" s="841"/>
      <c r="FC260" s="841"/>
      <c r="FD260" s="841"/>
      <c r="FE260" s="841"/>
      <c r="FF260" s="841"/>
      <c r="FG260" s="841"/>
      <c r="FH260" s="841"/>
      <c r="FI260" s="841"/>
      <c r="FJ260" s="841"/>
      <c r="FK260" s="841"/>
      <c r="FL260" s="841"/>
      <c r="FM260" s="841"/>
      <c r="FN260" s="841"/>
      <c r="FO260" s="841"/>
      <c r="FP260" s="841"/>
      <c r="FQ260" s="841"/>
      <c r="FR260" s="841"/>
      <c r="FS260" s="841"/>
      <c r="FT260" s="841"/>
      <c r="FU260" s="841"/>
      <c r="FV260" s="841"/>
      <c r="FW260" s="841"/>
      <c r="FX260" s="841"/>
      <c r="FY260" s="841"/>
      <c r="FZ260" s="841"/>
      <c r="GA260" s="841"/>
      <c r="GB260" s="841"/>
      <c r="GC260" s="841"/>
      <c r="GD260" s="841"/>
      <c r="GE260" s="841"/>
      <c r="GF260" s="841"/>
      <c r="GG260" s="841"/>
      <c r="GH260" s="841"/>
      <c r="GI260" s="841"/>
      <c r="GJ260" s="841"/>
      <c r="GK260" s="841"/>
      <c r="GL260" s="841"/>
      <c r="GM260" s="841"/>
      <c r="GN260" s="841"/>
      <c r="GO260" s="841"/>
      <c r="GP260" s="841"/>
      <c r="GQ260" s="841"/>
      <c r="GR260" s="841"/>
      <c r="GS260" s="841"/>
      <c r="GT260" s="841"/>
      <c r="GU260" s="841"/>
      <c r="GV260" s="841"/>
      <c r="GW260" s="841"/>
      <c r="GX260" s="841"/>
      <c r="GY260" s="841"/>
      <c r="GZ260" s="841"/>
      <c r="HA260" s="841"/>
      <c r="HB260" s="841"/>
      <c r="HC260" s="841"/>
      <c r="HD260" s="841"/>
      <c r="HE260" s="841"/>
      <c r="HF260" s="841"/>
      <c r="HG260" s="841"/>
      <c r="HH260" s="841"/>
      <c r="HI260" s="841"/>
      <c r="HJ260" s="841"/>
      <c r="HK260" s="841"/>
      <c r="HL260" s="841"/>
      <c r="HM260" s="841"/>
      <c r="HN260" s="841"/>
      <c r="HO260" s="841"/>
    </row>
    <row r="261" spans="1:223" ht="8.25" customHeight="1">
      <c r="DS261" s="841"/>
      <c r="DT261" s="841"/>
      <c r="DU261" s="841"/>
      <c r="DV261" s="841"/>
      <c r="DW261" s="841"/>
      <c r="DX261" s="841"/>
      <c r="DY261" s="841"/>
      <c r="DZ261" s="841"/>
      <c r="EA261" s="841"/>
      <c r="EB261" s="841"/>
      <c r="EC261" s="841"/>
      <c r="ED261" s="841"/>
      <c r="EE261" s="841"/>
      <c r="EF261" s="841"/>
      <c r="EG261" s="841"/>
      <c r="EH261" s="841"/>
      <c r="EI261" s="841"/>
      <c r="EJ261" s="841"/>
      <c r="EK261" s="841"/>
      <c r="EL261" s="841"/>
      <c r="EM261" s="841"/>
      <c r="EN261" s="841"/>
      <c r="EO261" s="841"/>
      <c r="EP261" s="841"/>
      <c r="EQ261" s="841"/>
      <c r="ER261" s="841"/>
      <c r="ES261" s="841"/>
      <c r="ET261" s="841"/>
      <c r="EU261" s="841"/>
      <c r="EV261" s="841"/>
      <c r="EW261" s="841"/>
      <c r="EX261" s="841"/>
      <c r="EY261" s="841"/>
      <c r="EZ261" s="841"/>
      <c r="FA261" s="841"/>
      <c r="FB261" s="841"/>
      <c r="FC261" s="841"/>
      <c r="FD261" s="841"/>
      <c r="FE261" s="841"/>
      <c r="FF261" s="841"/>
      <c r="FG261" s="841"/>
      <c r="FH261" s="841"/>
      <c r="FI261" s="841"/>
      <c r="FJ261" s="841"/>
      <c r="FK261" s="841"/>
      <c r="FL261" s="841"/>
      <c r="FM261" s="841"/>
      <c r="FN261" s="841"/>
      <c r="FO261" s="841"/>
      <c r="FP261" s="841"/>
      <c r="FQ261" s="841"/>
      <c r="FR261" s="841"/>
      <c r="FS261" s="841"/>
      <c r="FT261" s="841"/>
      <c r="FU261" s="841"/>
      <c r="FV261" s="841"/>
      <c r="FW261" s="841"/>
      <c r="FX261" s="841"/>
      <c r="FY261" s="841"/>
      <c r="FZ261" s="841"/>
      <c r="GA261" s="841"/>
      <c r="GB261" s="841"/>
      <c r="GC261" s="841"/>
      <c r="GD261" s="841"/>
      <c r="GE261" s="841"/>
      <c r="GF261" s="841"/>
      <c r="GG261" s="841"/>
      <c r="GH261" s="841"/>
      <c r="GI261" s="841"/>
      <c r="GJ261" s="841"/>
      <c r="GK261" s="841"/>
      <c r="GL261" s="841"/>
      <c r="GM261" s="841"/>
      <c r="GN261" s="841"/>
      <c r="GO261" s="841"/>
      <c r="GP261" s="841"/>
      <c r="GQ261" s="841"/>
      <c r="GR261" s="841"/>
      <c r="GS261" s="841"/>
      <c r="GT261" s="841"/>
      <c r="GU261" s="841"/>
      <c r="GV261" s="841"/>
      <c r="GW261" s="841"/>
      <c r="GX261" s="841"/>
      <c r="GY261" s="841"/>
      <c r="GZ261" s="841"/>
      <c r="HA261" s="841"/>
      <c r="HB261" s="841"/>
      <c r="HC261" s="841"/>
      <c r="HD261" s="841"/>
      <c r="HE261" s="841"/>
      <c r="HF261" s="841"/>
      <c r="HG261" s="841"/>
      <c r="HH261" s="841"/>
      <c r="HI261" s="841"/>
      <c r="HJ261" s="841"/>
      <c r="HK261" s="841"/>
      <c r="HL261" s="841"/>
      <c r="HM261" s="841"/>
      <c r="HN261" s="841"/>
      <c r="HO261" s="841"/>
    </row>
    <row r="262" spans="1:223" ht="34.9" customHeight="1" thickBot="1">
      <c r="B262" s="870"/>
      <c r="D262" s="1147" t="s">
        <v>1859</v>
      </c>
      <c r="F262" s="1147">
        <f>Calculos_cuotas!D288</f>
        <v>15</v>
      </c>
      <c r="H262" s="1148"/>
      <c r="J262" s="1147">
        <f>Calculos_cuotas!C291</f>
        <v>0</v>
      </c>
      <c r="L262" s="1822"/>
      <c r="N262" s="1822"/>
      <c r="P262" s="1822"/>
      <c r="R262" s="1822"/>
      <c r="S262" s="875">
        <f>SUM(L262:R262)</f>
        <v>0</v>
      </c>
      <c r="T262" s="898">
        <f>IF(OR(B262=0,H262=0),0,IF(B262="Estándar",IF(H262&gt;Calculos_cuotas!B285,(H262-Calculos_cuotas!B285)*J262+F262,F262),IF(SUM(L266:R266)&lt;&gt;1,0,H262*SUMPRODUCT(L262:R262,L266:R266))))</f>
        <v>0</v>
      </c>
      <c r="DS262" s="841"/>
      <c r="DT262" s="841"/>
      <c r="DU262" s="841"/>
      <c r="DV262" s="841"/>
      <c r="DW262" s="841"/>
      <c r="DX262" s="841"/>
      <c r="DY262" s="841"/>
      <c r="DZ262" s="841"/>
      <c r="EA262" s="841"/>
      <c r="EB262" s="841"/>
      <c r="EC262" s="841"/>
      <c r="ED262" s="841"/>
      <c r="EE262" s="841"/>
      <c r="EF262" s="841"/>
      <c r="EG262" s="841"/>
      <c r="EH262" s="841"/>
      <c r="EI262" s="841"/>
      <c r="EJ262" s="841"/>
      <c r="EK262" s="841"/>
      <c r="EL262" s="841"/>
      <c r="EM262" s="841"/>
      <c r="EN262" s="841"/>
      <c r="EO262" s="841"/>
      <c r="EP262" s="841"/>
      <c r="EQ262" s="841"/>
      <c r="ER262" s="841"/>
      <c r="ES262" s="841"/>
      <c r="ET262" s="841"/>
      <c r="EU262" s="841"/>
      <c r="EV262" s="841"/>
      <c r="EW262" s="841"/>
      <c r="EX262" s="841"/>
      <c r="EY262" s="841"/>
      <c r="EZ262" s="841"/>
      <c r="FA262" s="841"/>
      <c r="FB262" s="841"/>
      <c r="FC262" s="841"/>
      <c r="FD262" s="841"/>
      <c r="FE262" s="841"/>
      <c r="FF262" s="841"/>
      <c r="FG262" s="841"/>
      <c r="FH262" s="841"/>
      <c r="FI262" s="841"/>
      <c r="FJ262" s="841"/>
      <c r="FK262" s="841"/>
      <c r="FL262" s="841"/>
      <c r="FM262" s="841"/>
      <c r="FN262" s="841"/>
      <c r="FO262" s="841"/>
      <c r="FP262" s="841"/>
      <c r="FQ262" s="841"/>
      <c r="FR262" s="841"/>
      <c r="FS262" s="841"/>
      <c r="FT262" s="841"/>
      <c r="FU262" s="841"/>
      <c r="FV262" s="841"/>
      <c r="FW262" s="841"/>
      <c r="FX262" s="841"/>
      <c r="FY262" s="841"/>
      <c r="FZ262" s="841"/>
      <c r="GA262" s="841"/>
      <c r="GB262" s="841"/>
      <c r="GC262" s="841"/>
      <c r="GD262" s="841"/>
      <c r="GE262" s="841"/>
      <c r="GF262" s="841"/>
      <c r="GG262" s="841"/>
      <c r="GH262" s="841"/>
      <c r="GI262" s="841"/>
      <c r="GJ262" s="841"/>
      <c r="GK262" s="841"/>
      <c r="GL262" s="841"/>
      <c r="GM262" s="841"/>
      <c r="GN262" s="841"/>
      <c r="GO262" s="841"/>
      <c r="GP262" s="841"/>
      <c r="GQ262" s="841"/>
      <c r="GR262" s="841"/>
      <c r="GS262" s="841"/>
      <c r="GT262" s="841"/>
      <c r="GU262" s="841"/>
      <c r="GV262" s="841"/>
      <c r="GW262" s="841"/>
      <c r="GX262" s="841"/>
      <c r="GY262" s="841"/>
      <c r="GZ262" s="841"/>
      <c r="HA262" s="841"/>
      <c r="HB262" s="841"/>
      <c r="HC262" s="841"/>
      <c r="HD262" s="841"/>
      <c r="HE262" s="841"/>
      <c r="HF262" s="841"/>
      <c r="HG262" s="841"/>
      <c r="HH262" s="841"/>
      <c r="HI262" s="841"/>
      <c r="HJ262" s="841"/>
      <c r="HK262" s="841"/>
      <c r="HL262" s="841"/>
      <c r="HM262" s="841"/>
      <c r="HN262" s="841"/>
      <c r="HO262" s="841"/>
    </row>
    <row r="263" spans="1:223" s="1183" customFormat="1" ht="9.75" customHeight="1" thickTop="1" thickBot="1">
      <c r="A263" s="1180"/>
      <c r="B263" s="1180"/>
      <c r="C263" s="1180"/>
      <c r="D263" s="1180"/>
      <c r="E263" s="1180"/>
      <c r="F263" s="1180"/>
      <c r="G263" s="1180"/>
      <c r="H263" s="1180"/>
      <c r="I263" s="1180"/>
      <c r="J263" s="1180"/>
      <c r="K263" s="1180"/>
      <c r="L263" s="1180"/>
      <c r="M263" s="1180"/>
      <c r="N263" s="1180"/>
      <c r="O263" s="1180"/>
      <c r="P263" s="1180"/>
      <c r="Q263" s="1180"/>
      <c r="R263" s="1180"/>
      <c r="S263" s="1180"/>
      <c r="T263" s="1180"/>
      <c r="U263" s="1180"/>
      <c r="V263" s="1180"/>
      <c r="W263" s="1180"/>
      <c r="X263" s="1180"/>
      <c r="Y263" s="1180"/>
      <c r="Z263" s="1234"/>
      <c r="AA263" s="1234"/>
      <c r="AB263" s="1234"/>
      <c r="AC263" s="1234"/>
      <c r="AD263" s="1234"/>
      <c r="AE263" s="1234"/>
      <c r="AF263" s="1234"/>
      <c r="AG263" s="1234"/>
      <c r="AH263" s="1234"/>
      <c r="AI263" s="1180"/>
      <c r="AJ263" s="1180"/>
      <c r="AK263" s="1180"/>
      <c r="AL263" s="1180"/>
      <c r="AM263" s="1180"/>
      <c r="AN263" s="1180"/>
      <c r="AO263" s="1180"/>
      <c r="AP263" s="1180"/>
      <c r="AQ263" s="1180"/>
      <c r="AR263" s="1180"/>
      <c r="AS263" s="1351"/>
      <c r="AT263" s="1182"/>
      <c r="AU263" s="1182"/>
      <c r="AV263" s="1182"/>
      <c r="AW263" s="1182"/>
      <c r="AX263" s="1182"/>
      <c r="AY263" s="1182"/>
      <c r="AZ263" s="1182"/>
      <c r="BA263" s="1182"/>
      <c r="BB263" s="1182"/>
      <c r="BC263" s="1182"/>
      <c r="BD263" s="1182"/>
      <c r="BE263" s="1182"/>
      <c r="BF263" s="1182"/>
      <c r="BG263" s="1182"/>
      <c r="BH263" s="1182"/>
      <c r="BI263" s="1182"/>
      <c r="BJ263" s="1182"/>
      <c r="BK263" s="1182"/>
      <c r="BL263" s="1182"/>
      <c r="BM263" s="1182"/>
      <c r="BN263" s="1182"/>
      <c r="BO263" s="1182"/>
      <c r="BP263" s="1182"/>
      <c r="BQ263" s="1182"/>
      <c r="BR263" s="1182"/>
      <c r="BS263" s="1182"/>
      <c r="BT263" s="1182"/>
      <c r="BU263" s="1182"/>
      <c r="BV263" s="1182"/>
      <c r="BW263" s="1182"/>
      <c r="BX263" s="1182"/>
      <c r="BY263" s="1182"/>
      <c r="BZ263" s="1181"/>
      <c r="CA263" s="1181"/>
      <c r="CB263" s="1181"/>
      <c r="CC263" s="1181"/>
      <c r="CD263" s="1508"/>
      <c r="CE263" s="1509"/>
      <c r="CF263" s="1508"/>
      <c r="CG263" s="1508"/>
      <c r="CH263" s="2020"/>
      <c r="CI263" s="1508"/>
      <c r="CJ263" s="1508"/>
      <c r="CK263" s="1508"/>
      <c r="CL263" s="1508"/>
      <c r="CM263" s="1508"/>
      <c r="CN263" s="1508"/>
      <c r="CO263" s="1508"/>
      <c r="CP263" s="1508"/>
      <c r="CQ263" s="1508"/>
      <c r="CR263" s="1510"/>
      <c r="CS263" s="1510"/>
      <c r="CT263" s="1511"/>
      <c r="CU263" s="1511"/>
      <c r="CV263" s="1511"/>
      <c r="CW263" s="1511"/>
      <c r="CX263" s="1511"/>
      <c r="CY263" s="1511"/>
      <c r="CZ263" s="1511"/>
      <c r="DA263" s="1511"/>
      <c r="DB263" s="1511"/>
      <c r="DC263" s="1511"/>
      <c r="DD263" s="1511"/>
      <c r="DE263" s="1182"/>
      <c r="DF263" s="1182"/>
      <c r="DG263" s="1182"/>
      <c r="DH263" s="1182"/>
      <c r="DI263" s="1182"/>
      <c r="DJ263" s="1182"/>
      <c r="DK263" s="1182"/>
      <c r="DL263" s="1182"/>
      <c r="DM263" s="1182"/>
      <c r="DN263" s="1182"/>
      <c r="DO263" s="1182"/>
      <c r="DP263" s="1182"/>
      <c r="DQ263" s="1182"/>
      <c r="DR263" s="1182"/>
      <c r="DS263" s="1181"/>
      <c r="DT263" s="1181"/>
      <c r="DU263" s="1181"/>
      <c r="DV263" s="1181"/>
      <c r="DW263" s="1181"/>
      <c r="DX263" s="1181"/>
      <c r="DY263" s="1181"/>
      <c r="DZ263" s="1181"/>
      <c r="EA263" s="1181"/>
      <c r="EB263" s="1181"/>
      <c r="EC263" s="1181"/>
      <c r="ED263" s="1181"/>
      <c r="EE263" s="1181"/>
      <c r="EF263" s="1181"/>
      <c r="EG263" s="1181"/>
      <c r="EH263" s="1181"/>
      <c r="EI263" s="1181"/>
      <c r="EJ263" s="1181"/>
      <c r="EK263" s="1181"/>
      <c r="EL263" s="1181"/>
      <c r="EM263" s="1181"/>
      <c r="EN263" s="1181"/>
      <c r="EO263" s="1181"/>
      <c r="EP263" s="1181"/>
      <c r="EQ263" s="1181"/>
      <c r="ER263" s="1181"/>
      <c r="ES263" s="1181"/>
      <c r="ET263" s="1181"/>
      <c r="EU263" s="1181"/>
      <c r="EV263" s="1181"/>
      <c r="EW263" s="1181"/>
      <c r="EX263" s="1181"/>
      <c r="EY263" s="1181"/>
      <c r="EZ263" s="1181"/>
      <c r="FA263" s="1181"/>
      <c r="FB263" s="1181"/>
      <c r="FC263" s="1181"/>
      <c r="FD263" s="1181"/>
      <c r="FE263" s="1181"/>
      <c r="FF263" s="1181"/>
      <c r="FG263" s="1181"/>
      <c r="FH263" s="1181"/>
      <c r="FI263" s="1181"/>
      <c r="FJ263" s="1181"/>
      <c r="FK263" s="1181"/>
      <c r="FL263" s="1181"/>
      <c r="FM263" s="1181"/>
      <c r="FN263" s="1181"/>
      <c r="FO263" s="1181"/>
      <c r="FP263" s="1181"/>
      <c r="FQ263" s="1181"/>
      <c r="FR263" s="1181"/>
      <c r="FS263" s="1181"/>
      <c r="FT263" s="1181"/>
      <c r="FU263" s="1181"/>
      <c r="FV263" s="1181"/>
      <c r="FW263" s="1181"/>
      <c r="FX263" s="1181"/>
      <c r="FY263" s="1181"/>
      <c r="FZ263" s="1181"/>
      <c r="GA263" s="1181"/>
      <c r="GB263" s="1181"/>
      <c r="GC263" s="1181"/>
      <c r="GD263" s="1181"/>
      <c r="GE263" s="1181"/>
      <c r="GF263" s="1181"/>
      <c r="GG263" s="1181"/>
      <c r="GH263" s="1181"/>
      <c r="GI263" s="1181"/>
      <c r="GJ263" s="1181"/>
      <c r="GK263" s="1181"/>
      <c r="GL263" s="1181"/>
      <c r="GM263" s="1181"/>
      <c r="GN263" s="1181"/>
      <c r="GO263" s="1181"/>
      <c r="GP263" s="1181"/>
      <c r="GQ263" s="1181"/>
      <c r="GR263" s="1181"/>
      <c r="GS263" s="1181"/>
      <c r="GT263" s="1181"/>
      <c r="GU263" s="1181"/>
      <c r="GV263" s="1181"/>
      <c r="GW263" s="1181"/>
      <c r="GX263" s="1181"/>
      <c r="GY263" s="1181"/>
      <c r="GZ263" s="1181"/>
      <c r="HA263" s="1181"/>
      <c r="HB263" s="1181"/>
      <c r="HC263" s="1181"/>
      <c r="HD263" s="1181"/>
      <c r="HE263" s="1181"/>
      <c r="HF263" s="1181"/>
      <c r="HG263" s="1181"/>
      <c r="HH263" s="1181"/>
      <c r="HI263" s="1181"/>
      <c r="HJ263" s="1181"/>
      <c r="HK263" s="1181"/>
      <c r="HL263" s="1181"/>
      <c r="HM263" s="1181"/>
      <c r="HN263" s="1181"/>
      <c r="HO263" s="1181"/>
    </row>
    <row r="264" spans="1:223" s="1183" customFormat="1" ht="21" thickBot="1">
      <c r="A264" s="1180"/>
      <c r="B264" s="1180"/>
      <c r="C264" s="1180"/>
      <c r="D264" s="1180"/>
      <c r="E264" s="1180"/>
      <c r="F264" s="1180"/>
      <c r="G264" s="1180"/>
      <c r="H264" s="1180"/>
      <c r="I264" s="1180"/>
      <c r="J264" s="1180"/>
      <c r="K264" s="1180"/>
      <c r="L264" s="2165" t="s">
        <v>1841</v>
      </c>
      <c r="M264" s="2166"/>
      <c r="N264" s="2166"/>
      <c r="O264" s="2166"/>
      <c r="P264" s="2166"/>
      <c r="Q264" s="2166"/>
      <c r="R264" s="2167"/>
      <c r="S264" s="1180"/>
      <c r="T264" s="1180"/>
      <c r="U264" s="1180"/>
      <c r="V264" s="1180"/>
      <c r="W264" s="1180"/>
      <c r="X264" s="1180"/>
      <c r="Y264" s="1180"/>
      <c r="Z264" s="1234"/>
      <c r="AA264" s="1234"/>
      <c r="AB264" s="1234"/>
      <c r="AC264" s="1234"/>
      <c r="AD264" s="1234"/>
      <c r="AE264" s="1234"/>
      <c r="AF264" s="1234"/>
      <c r="AG264" s="1234"/>
      <c r="AH264" s="1234"/>
      <c r="AI264" s="1180"/>
      <c r="AJ264" s="1180"/>
      <c r="AK264" s="1180"/>
      <c r="AL264" s="1180"/>
      <c r="AM264" s="1180"/>
      <c r="AN264" s="1180"/>
      <c r="AO264" s="1180"/>
      <c r="AP264" s="1180"/>
      <c r="AQ264" s="1180"/>
      <c r="AR264" s="1180"/>
      <c r="AS264" s="1351"/>
      <c r="AT264" s="1182"/>
      <c r="AU264" s="1182"/>
      <c r="AV264" s="1182"/>
      <c r="AW264" s="1182"/>
      <c r="AX264" s="1182"/>
      <c r="AY264" s="1182"/>
      <c r="AZ264" s="1182"/>
      <c r="BA264" s="1182"/>
      <c r="BB264" s="1182"/>
      <c r="BC264" s="1182"/>
      <c r="BD264" s="1182"/>
      <c r="BE264" s="1182"/>
      <c r="BF264" s="1182"/>
      <c r="BG264" s="1182"/>
      <c r="BH264" s="1182"/>
      <c r="BI264" s="1182"/>
      <c r="BJ264" s="1182"/>
      <c r="BK264" s="1182"/>
      <c r="BL264" s="1182"/>
      <c r="BM264" s="1182"/>
      <c r="BN264" s="1182"/>
      <c r="BO264" s="1182"/>
      <c r="BP264" s="1182"/>
      <c r="BQ264" s="1182"/>
      <c r="BR264" s="1182"/>
      <c r="BS264" s="1182"/>
      <c r="BT264" s="1182"/>
      <c r="BU264" s="1182"/>
      <c r="BV264" s="1182"/>
      <c r="BW264" s="1182"/>
      <c r="BX264" s="1182"/>
      <c r="BY264" s="1182"/>
      <c r="BZ264" s="1181"/>
      <c r="CA264" s="1181"/>
      <c r="CB264" s="1181"/>
      <c r="CC264" s="1181"/>
      <c r="CD264" s="1508"/>
      <c r="CE264" s="1509"/>
      <c r="CF264" s="1508"/>
      <c r="CG264" s="1508"/>
      <c r="CH264" s="2020"/>
      <c r="CI264" s="1508"/>
      <c r="CJ264" s="1508"/>
      <c r="CK264" s="1508"/>
      <c r="CL264" s="1508"/>
      <c r="CM264" s="1508"/>
      <c r="CN264" s="1508"/>
      <c r="CO264" s="1508"/>
      <c r="CP264" s="1508"/>
      <c r="CQ264" s="1508"/>
      <c r="CR264" s="1510"/>
      <c r="CS264" s="1510"/>
      <c r="CT264" s="1511"/>
      <c r="CU264" s="1511"/>
      <c r="CV264" s="1511"/>
      <c r="CW264" s="1511"/>
      <c r="CX264" s="1511"/>
      <c r="CY264" s="1511"/>
      <c r="CZ264" s="1511"/>
      <c r="DA264" s="1511"/>
      <c r="DB264" s="1511"/>
      <c r="DC264" s="1511"/>
      <c r="DD264" s="1511"/>
      <c r="DE264" s="1182"/>
      <c r="DF264" s="1182"/>
      <c r="DG264" s="1182"/>
      <c r="DH264" s="1182"/>
      <c r="DI264" s="1182"/>
      <c r="DJ264" s="1182"/>
      <c r="DK264" s="1182"/>
      <c r="DL264" s="1182"/>
      <c r="DM264" s="1182"/>
      <c r="DN264" s="1182"/>
      <c r="DO264" s="1182"/>
      <c r="DP264" s="1182"/>
      <c r="DQ264" s="1182"/>
      <c r="DR264" s="1182"/>
      <c r="DS264" s="1181"/>
      <c r="DT264" s="1181"/>
      <c r="DU264" s="1181"/>
      <c r="DV264" s="1181"/>
      <c r="DW264" s="1181"/>
      <c r="DX264" s="1181"/>
      <c r="DY264" s="1181"/>
      <c r="DZ264" s="1181"/>
      <c r="EA264" s="1181"/>
      <c r="EB264" s="1181"/>
      <c r="EC264" s="1181"/>
      <c r="ED264" s="1181"/>
      <c r="EE264" s="1181"/>
      <c r="EF264" s="1181"/>
      <c r="EG264" s="1181"/>
      <c r="EH264" s="1181"/>
      <c r="EI264" s="1181"/>
      <c r="EJ264" s="1181"/>
      <c r="EK264" s="1181"/>
      <c r="EL264" s="1181"/>
      <c r="EM264" s="1181"/>
      <c r="EN264" s="1181"/>
      <c r="EO264" s="1181"/>
      <c r="EP264" s="1181"/>
      <c r="EQ264" s="1181"/>
      <c r="ER264" s="1181"/>
      <c r="ES264" s="1181"/>
      <c r="ET264" s="1181"/>
      <c r="EU264" s="1181"/>
      <c r="EV264" s="1181"/>
      <c r="EW264" s="1181"/>
      <c r="EX264" s="1181"/>
      <c r="EY264" s="1181"/>
      <c r="EZ264" s="1181"/>
      <c r="FA264" s="1181"/>
      <c r="FB264" s="1181"/>
      <c r="FC264" s="1181"/>
      <c r="FD264" s="1181"/>
      <c r="FE264" s="1181"/>
      <c r="FF264" s="1181"/>
      <c r="FG264" s="1181"/>
      <c r="FH264" s="1181"/>
      <c r="FI264" s="1181"/>
      <c r="FJ264" s="1181"/>
      <c r="FK264" s="1181"/>
      <c r="FL264" s="1181"/>
      <c r="FM264" s="1181"/>
      <c r="FN264" s="1181"/>
      <c r="FO264" s="1181"/>
      <c r="FP264" s="1181"/>
      <c r="FQ264" s="1181"/>
      <c r="FR264" s="1181"/>
      <c r="FS264" s="1181"/>
      <c r="FT264" s="1181"/>
      <c r="FU264" s="1181"/>
      <c r="FV264" s="1181"/>
      <c r="FW264" s="1181"/>
      <c r="FX264" s="1181"/>
      <c r="FY264" s="1181"/>
      <c r="FZ264" s="1181"/>
      <c r="GA264" s="1181"/>
      <c r="GB264" s="1181"/>
      <c r="GC264" s="1181"/>
      <c r="GD264" s="1181"/>
      <c r="GE264" s="1181"/>
      <c r="GF264" s="1181"/>
      <c r="GG264" s="1181"/>
      <c r="GH264" s="1181"/>
      <c r="GI264" s="1181"/>
      <c r="GJ264" s="1181"/>
      <c r="GK264" s="1181"/>
      <c r="GL264" s="1181"/>
      <c r="GM264" s="1181"/>
      <c r="GN264" s="1181"/>
      <c r="GO264" s="1181"/>
      <c r="GP264" s="1181"/>
      <c r="GQ264" s="1181"/>
      <c r="GR264" s="1181"/>
      <c r="GS264" s="1181"/>
      <c r="GT264" s="1181"/>
      <c r="GU264" s="1181"/>
      <c r="GV264" s="1181"/>
      <c r="GW264" s="1181"/>
      <c r="GX264" s="1181"/>
      <c r="GY264" s="1181"/>
      <c r="GZ264" s="1181"/>
      <c r="HA264" s="1181"/>
      <c r="HB264" s="1181"/>
      <c r="HC264" s="1181"/>
      <c r="HD264" s="1181"/>
      <c r="HE264" s="1181"/>
      <c r="HF264" s="1181"/>
      <c r="HG264" s="1181"/>
      <c r="HH264" s="1181"/>
      <c r="HI264" s="1181"/>
      <c r="HJ264" s="1181"/>
      <c r="HK264" s="1181"/>
      <c r="HL264" s="1181"/>
      <c r="HM264" s="1181"/>
      <c r="HN264" s="1181"/>
      <c r="HO264" s="1181"/>
    </row>
    <row r="265" spans="1:223" s="1183" customFormat="1" ht="9" customHeight="1">
      <c r="A265" s="1180"/>
      <c r="B265" s="1180"/>
      <c r="C265" s="1180"/>
      <c r="D265" s="1180"/>
      <c r="E265" s="1180"/>
      <c r="F265" s="1180"/>
      <c r="G265" s="1180"/>
      <c r="H265" s="1180"/>
      <c r="I265" s="1180"/>
      <c r="J265" s="1180"/>
      <c r="K265" s="1180"/>
      <c r="L265" s="1180"/>
      <c r="M265" s="1184"/>
      <c r="N265" s="1781"/>
      <c r="O265" s="1781"/>
      <c r="P265" s="1781"/>
      <c r="Q265" s="1781"/>
      <c r="R265" s="1781"/>
      <c r="S265" s="1781"/>
      <c r="T265" s="1781"/>
      <c r="U265" s="1180"/>
      <c r="V265" s="1180"/>
      <c r="W265" s="1180"/>
      <c r="X265" s="1180"/>
      <c r="Y265" s="1180"/>
      <c r="Z265" s="1234"/>
      <c r="AA265" s="1234"/>
      <c r="AB265" s="1234"/>
      <c r="AC265" s="1234"/>
      <c r="AD265" s="1234"/>
      <c r="AE265" s="1234"/>
      <c r="AF265" s="1234"/>
      <c r="AG265" s="1234"/>
      <c r="AH265" s="1234"/>
      <c r="AI265" s="1180"/>
      <c r="AJ265" s="1180"/>
      <c r="AK265" s="1180"/>
      <c r="AL265" s="1180"/>
      <c r="AM265" s="1180"/>
      <c r="AN265" s="1180"/>
      <c r="AO265" s="1180"/>
      <c r="AP265" s="1180"/>
      <c r="AQ265" s="1180"/>
      <c r="AR265" s="1180"/>
      <c r="AS265" s="1351"/>
      <c r="AT265" s="1182"/>
      <c r="AU265" s="1182"/>
      <c r="AV265" s="1182"/>
      <c r="AW265" s="1182"/>
      <c r="AX265" s="1182"/>
      <c r="AY265" s="1182"/>
      <c r="AZ265" s="1182"/>
      <c r="BA265" s="1182"/>
      <c r="BB265" s="1182"/>
      <c r="BC265" s="1182"/>
      <c r="BD265" s="1182"/>
      <c r="BE265" s="1182"/>
      <c r="BF265" s="1182"/>
      <c r="BG265" s="1182"/>
      <c r="BH265" s="1182"/>
      <c r="BI265" s="1182"/>
      <c r="BJ265" s="1182"/>
      <c r="BK265" s="1182"/>
      <c r="BL265" s="1182"/>
      <c r="BM265" s="1182"/>
      <c r="BN265" s="1182"/>
      <c r="BO265" s="1182"/>
      <c r="BP265" s="1182"/>
      <c r="BQ265" s="1182"/>
      <c r="BR265" s="1182"/>
      <c r="BS265" s="1182"/>
      <c r="BT265" s="1182"/>
      <c r="BU265" s="1182"/>
      <c r="BV265" s="1182"/>
      <c r="BW265" s="1182"/>
      <c r="BX265" s="1182"/>
      <c r="BY265" s="1182"/>
      <c r="BZ265" s="1181"/>
      <c r="CA265" s="1181"/>
      <c r="CB265" s="1181"/>
      <c r="CC265" s="1181"/>
      <c r="CD265" s="1508"/>
      <c r="CE265" s="1509"/>
      <c r="CF265" s="1508"/>
      <c r="CG265" s="1508"/>
      <c r="CH265" s="2020"/>
      <c r="CI265" s="1508"/>
      <c r="CJ265" s="1508"/>
      <c r="CK265" s="1508"/>
      <c r="CL265" s="1508"/>
      <c r="CM265" s="1508"/>
      <c r="CN265" s="1508"/>
      <c r="CO265" s="1508"/>
      <c r="CP265" s="1508"/>
      <c r="CQ265" s="1508"/>
      <c r="CR265" s="1510"/>
      <c r="CS265" s="1510"/>
      <c r="CT265" s="1511"/>
      <c r="CU265" s="1511"/>
      <c r="CV265" s="1511"/>
      <c r="CW265" s="1511"/>
      <c r="CX265" s="1511"/>
      <c r="CY265" s="1511"/>
      <c r="CZ265" s="1511"/>
      <c r="DA265" s="1511"/>
      <c r="DB265" s="1511"/>
      <c r="DC265" s="1511"/>
      <c r="DD265" s="1511"/>
      <c r="DE265" s="1182"/>
      <c r="DF265" s="1182"/>
      <c r="DG265" s="1182"/>
      <c r="DH265" s="1182"/>
      <c r="DI265" s="1182"/>
      <c r="DJ265" s="1182"/>
      <c r="DK265" s="1182"/>
      <c r="DL265" s="1182"/>
      <c r="DM265" s="1182"/>
      <c r="DN265" s="1182"/>
      <c r="DO265" s="1182"/>
      <c r="DP265" s="1182"/>
      <c r="DQ265" s="1182"/>
      <c r="DR265" s="1182"/>
      <c r="DS265" s="1181"/>
      <c r="DT265" s="1181"/>
      <c r="DU265" s="1181"/>
      <c r="DV265" s="1181"/>
      <c r="DW265" s="1181"/>
      <c r="DX265" s="1181"/>
      <c r="DY265" s="1181"/>
      <c r="DZ265" s="1181"/>
      <c r="EA265" s="1181"/>
      <c r="EB265" s="1181"/>
      <c r="EC265" s="1181"/>
      <c r="ED265" s="1181"/>
      <c r="EE265" s="1181"/>
      <c r="EF265" s="1181"/>
      <c r="EG265" s="1181"/>
      <c r="EH265" s="1181"/>
      <c r="EI265" s="1181"/>
      <c r="EJ265" s="1181"/>
      <c r="EK265" s="1181"/>
      <c r="EL265" s="1181"/>
      <c r="EM265" s="1181"/>
      <c r="EN265" s="1181"/>
      <c r="EO265" s="1181"/>
      <c r="EP265" s="1181"/>
      <c r="EQ265" s="1181"/>
      <c r="ER265" s="1181"/>
      <c r="ES265" s="1181"/>
      <c r="ET265" s="1181"/>
      <c r="EU265" s="1181"/>
      <c r="EV265" s="1181"/>
      <c r="EW265" s="1181"/>
      <c r="EX265" s="1181"/>
      <c r="EY265" s="1181"/>
      <c r="EZ265" s="1181"/>
      <c r="FA265" s="1181"/>
      <c r="FB265" s="1181"/>
      <c r="FC265" s="1181"/>
      <c r="FD265" s="1181"/>
      <c r="FE265" s="1181"/>
      <c r="FF265" s="1181"/>
      <c r="FG265" s="1181"/>
      <c r="FH265" s="1181"/>
      <c r="FI265" s="1181"/>
      <c r="FJ265" s="1181"/>
      <c r="FK265" s="1181"/>
      <c r="FL265" s="1181"/>
      <c r="FM265" s="1181"/>
      <c r="FN265" s="1181"/>
      <c r="FO265" s="1181"/>
      <c r="FP265" s="1181"/>
      <c r="FQ265" s="1181"/>
      <c r="FR265" s="1181"/>
      <c r="FS265" s="1181"/>
      <c r="FT265" s="1181"/>
      <c r="FU265" s="1181"/>
      <c r="FV265" s="1181"/>
      <c r="FW265" s="1181"/>
      <c r="FX265" s="1181"/>
      <c r="FY265" s="1181"/>
      <c r="FZ265" s="1181"/>
      <c r="GA265" s="1181"/>
      <c r="GB265" s="1181"/>
      <c r="GC265" s="1181"/>
      <c r="GD265" s="1181"/>
      <c r="GE265" s="1181"/>
      <c r="GF265" s="1181"/>
      <c r="GG265" s="1181"/>
      <c r="GH265" s="1181"/>
      <c r="GI265" s="1181"/>
      <c r="GJ265" s="1181"/>
      <c r="GK265" s="1181"/>
      <c r="GL265" s="1181"/>
      <c r="GM265" s="1181"/>
      <c r="GN265" s="1181"/>
      <c r="GO265" s="1181"/>
      <c r="GP265" s="1181"/>
      <c r="GQ265" s="1181"/>
      <c r="GR265" s="1181"/>
      <c r="GS265" s="1181"/>
      <c r="GT265" s="1181"/>
      <c r="GU265" s="1181"/>
      <c r="GV265" s="1181"/>
      <c r="GW265" s="1181"/>
      <c r="GX265" s="1181"/>
      <c r="GY265" s="1181"/>
      <c r="GZ265" s="1181"/>
      <c r="HA265" s="1181"/>
      <c r="HB265" s="1181"/>
      <c r="HC265" s="1181"/>
      <c r="HD265" s="1181"/>
      <c r="HE265" s="1181"/>
      <c r="HF265" s="1181"/>
      <c r="HG265" s="1181"/>
      <c r="HH265" s="1181"/>
      <c r="HI265" s="1181"/>
      <c r="HJ265" s="1181"/>
      <c r="HK265" s="1181"/>
      <c r="HL265" s="1181"/>
      <c r="HM265" s="1181"/>
      <c r="HN265" s="1181"/>
      <c r="HO265" s="1181"/>
    </row>
    <row r="266" spans="1:223" s="1183" customFormat="1" ht="30.75" customHeight="1" thickBot="1">
      <c r="A266" s="1180"/>
      <c r="B266" s="1180"/>
      <c r="C266" s="1180"/>
      <c r="D266" s="1180"/>
      <c r="E266" s="1180"/>
      <c r="F266" s="1180"/>
      <c r="G266" s="1180"/>
      <c r="H266" s="1180"/>
      <c r="I266" s="1180"/>
      <c r="J266" s="1180"/>
      <c r="K266" s="1180"/>
      <c r="L266" s="1823"/>
      <c r="M266" s="1180"/>
      <c r="N266" s="1823"/>
      <c r="O266" s="1180"/>
      <c r="P266" s="1823"/>
      <c r="Q266" s="1180"/>
      <c r="R266" s="1823"/>
      <c r="S266" s="1180"/>
      <c r="T266" s="1185" t="str">
        <f>IF(AND(B262="A medida",(L266+N266+P266+R266)&lt;&gt;1),"DEBE SUMAR 100%","")</f>
        <v/>
      </c>
      <c r="U266" s="1180"/>
      <c r="V266" s="1180"/>
      <c r="W266" s="1180"/>
      <c r="X266" s="1180"/>
      <c r="Y266" s="1180"/>
      <c r="Z266" s="1234"/>
      <c r="AA266" s="1234"/>
      <c r="AB266" s="1234"/>
      <c r="AC266" s="1234"/>
      <c r="AD266" s="1234"/>
      <c r="AE266" s="1234"/>
      <c r="AF266" s="1234"/>
      <c r="AG266" s="1234"/>
      <c r="AH266" s="1234"/>
      <c r="AI266" s="1180"/>
      <c r="AJ266" s="1180"/>
      <c r="AK266" s="1180"/>
      <c r="AL266" s="1180"/>
      <c r="AM266" s="1180"/>
      <c r="AN266" s="1180"/>
      <c r="AO266" s="1180"/>
      <c r="AP266" s="1180"/>
      <c r="AQ266" s="1180"/>
      <c r="AR266" s="1180"/>
      <c r="AS266" s="1351"/>
      <c r="AT266" s="1182"/>
      <c r="AU266" s="1182"/>
      <c r="AV266" s="1182"/>
      <c r="AW266" s="1182"/>
      <c r="AX266" s="1182"/>
      <c r="AY266" s="1182"/>
      <c r="AZ266" s="1182"/>
      <c r="BA266" s="1182"/>
      <c r="BB266" s="1182"/>
      <c r="BC266" s="1182"/>
      <c r="BD266" s="1182"/>
      <c r="BE266" s="1182"/>
      <c r="BF266" s="1182"/>
      <c r="BG266" s="1182"/>
      <c r="BH266" s="1182"/>
      <c r="BI266" s="1182"/>
      <c r="BJ266" s="1182"/>
      <c r="BK266" s="1182"/>
      <c r="BL266" s="1182"/>
      <c r="BM266" s="1182"/>
      <c r="BN266" s="1182"/>
      <c r="BO266" s="1182"/>
      <c r="BP266" s="1182"/>
      <c r="BQ266" s="1182"/>
      <c r="BR266" s="1182"/>
      <c r="BS266" s="1182"/>
      <c r="BT266" s="1182"/>
      <c r="BU266" s="1182"/>
      <c r="BV266" s="1182"/>
      <c r="BW266" s="1182"/>
      <c r="BX266" s="1182"/>
      <c r="BY266" s="1182"/>
      <c r="BZ266" s="1181"/>
      <c r="CA266" s="1181"/>
      <c r="CB266" s="1181"/>
      <c r="CC266" s="1181"/>
      <c r="CD266" s="1508"/>
      <c r="CE266" s="1509"/>
      <c r="CF266" s="1508"/>
      <c r="CG266" s="1508"/>
      <c r="CH266" s="2020"/>
      <c r="CI266" s="1508"/>
      <c r="CJ266" s="1508"/>
      <c r="CK266" s="1508"/>
      <c r="CL266" s="1508"/>
      <c r="CM266" s="1508"/>
      <c r="CN266" s="1508"/>
      <c r="CO266" s="1508"/>
      <c r="CP266" s="1508"/>
      <c r="CQ266" s="1508"/>
      <c r="CR266" s="1510"/>
      <c r="CS266" s="1510"/>
      <c r="CT266" s="1511"/>
      <c r="CU266" s="1511"/>
      <c r="CV266" s="1511"/>
      <c r="CW266" s="1511"/>
      <c r="CX266" s="1511"/>
      <c r="CY266" s="1511"/>
      <c r="CZ266" s="1511"/>
      <c r="DA266" s="1511"/>
      <c r="DB266" s="1511"/>
      <c r="DC266" s="1511"/>
      <c r="DD266" s="1511"/>
      <c r="DE266" s="1182"/>
      <c r="DF266" s="1182"/>
      <c r="DG266" s="1182"/>
      <c r="DH266" s="1182"/>
      <c r="DI266" s="1182"/>
      <c r="DJ266" s="1182"/>
      <c r="DK266" s="1182"/>
      <c r="DL266" s="1182"/>
      <c r="DM266" s="1182"/>
      <c r="DN266" s="1182"/>
      <c r="DO266" s="1182"/>
      <c r="DP266" s="1182"/>
      <c r="DQ266" s="1182"/>
      <c r="DR266" s="1182"/>
      <c r="DS266" s="1181"/>
      <c r="DT266" s="1181"/>
      <c r="DU266" s="1181"/>
      <c r="DV266" s="1181"/>
      <c r="DW266" s="1181"/>
      <c r="DX266" s="1181"/>
      <c r="DY266" s="1181"/>
      <c r="DZ266" s="1181"/>
      <c r="EA266" s="1181"/>
      <c r="EB266" s="1181"/>
      <c r="EC266" s="1181"/>
      <c r="ED266" s="1181"/>
      <c r="EE266" s="1181"/>
      <c r="EF266" s="1181"/>
      <c r="EG266" s="1181"/>
      <c r="EH266" s="1181"/>
      <c r="EI266" s="1181"/>
      <c r="EJ266" s="1181"/>
      <c r="EK266" s="1181"/>
      <c r="EL266" s="1181"/>
      <c r="EM266" s="1181"/>
      <c r="EN266" s="1181"/>
      <c r="EO266" s="1181"/>
      <c r="EP266" s="1181"/>
      <c r="EQ266" s="1181"/>
      <c r="ER266" s="1181"/>
      <c r="ES266" s="1181"/>
      <c r="ET266" s="1181"/>
      <c r="EU266" s="1181"/>
      <c r="EV266" s="1181"/>
      <c r="EW266" s="1181"/>
      <c r="EX266" s="1181"/>
      <c r="EY266" s="1181"/>
      <c r="EZ266" s="1181"/>
      <c r="FA266" s="1181"/>
      <c r="FB266" s="1181"/>
      <c r="FC266" s="1181"/>
      <c r="FD266" s="1181"/>
      <c r="FE266" s="1181"/>
      <c r="FF266" s="1181"/>
      <c r="FG266" s="1181"/>
      <c r="FH266" s="1181"/>
      <c r="FI266" s="1181"/>
      <c r="FJ266" s="1181"/>
      <c r="FK266" s="1181"/>
      <c r="FL266" s="1181"/>
      <c r="FM266" s="1181"/>
      <c r="FN266" s="1181"/>
      <c r="FO266" s="1181"/>
      <c r="FP266" s="1181"/>
      <c r="FQ266" s="1181"/>
      <c r="FR266" s="1181"/>
      <c r="FS266" s="1181"/>
      <c r="FT266" s="1181"/>
      <c r="FU266" s="1181"/>
      <c r="FV266" s="1181"/>
      <c r="FW266" s="1181"/>
      <c r="FX266" s="1181"/>
      <c r="FY266" s="1181"/>
      <c r="FZ266" s="1181"/>
      <c r="GA266" s="1181"/>
      <c r="GB266" s="1181"/>
      <c r="GC266" s="1181"/>
      <c r="GD266" s="1181"/>
      <c r="GE266" s="1181"/>
      <c r="GF266" s="1181"/>
      <c r="GG266" s="1181"/>
      <c r="GH266" s="1181"/>
      <c r="GI266" s="1181"/>
      <c r="GJ266" s="1181"/>
      <c r="GK266" s="1181"/>
      <c r="GL266" s="1181"/>
      <c r="GM266" s="1181"/>
      <c r="GN266" s="1181"/>
      <c r="GO266" s="1181"/>
      <c r="GP266" s="1181"/>
      <c r="GQ266" s="1181"/>
      <c r="GR266" s="1181"/>
      <c r="GS266" s="1181"/>
      <c r="GT266" s="1181"/>
      <c r="GU266" s="1181"/>
      <c r="GV266" s="1181"/>
      <c r="GW266" s="1181"/>
      <c r="GX266" s="1181"/>
      <c r="GY266" s="1181"/>
      <c r="GZ266" s="1181"/>
      <c r="HA266" s="1181"/>
      <c r="HB266" s="1181"/>
      <c r="HC266" s="1181"/>
      <c r="HD266" s="1181"/>
      <c r="HE266" s="1181"/>
      <c r="HF266" s="1181"/>
      <c r="HG266" s="1181"/>
      <c r="HH266" s="1181"/>
      <c r="HI266" s="1181"/>
      <c r="HJ266" s="1181"/>
      <c r="HK266" s="1181"/>
      <c r="HL266" s="1181"/>
      <c r="HM266" s="1181"/>
      <c r="HN266" s="1181"/>
      <c r="HO266" s="1181"/>
    </row>
    <row r="267" spans="1:223" s="1183" customFormat="1" ht="21" thickTop="1">
      <c r="A267" s="1180"/>
      <c r="B267" s="1180"/>
      <c r="C267" s="1180"/>
      <c r="D267" s="1180"/>
      <c r="E267" s="1180"/>
      <c r="F267" s="1180"/>
      <c r="G267" s="1180"/>
      <c r="H267" s="1180"/>
      <c r="I267" s="1180"/>
      <c r="J267" s="1180"/>
      <c r="K267" s="1180"/>
      <c r="L267" s="1180"/>
      <c r="M267" s="1180"/>
      <c r="N267" s="1180"/>
      <c r="O267" s="1180"/>
      <c r="P267" s="1180"/>
      <c r="Q267" s="1180"/>
      <c r="R267" s="1180"/>
      <c r="S267" s="1180"/>
      <c r="T267" s="1180"/>
      <c r="U267" s="1180"/>
      <c r="V267" s="1180"/>
      <c r="W267" s="1180"/>
      <c r="X267" s="1180"/>
      <c r="Y267" s="1180"/>
      <c r="Z267" s="1234"/>
      <c r="AA267" s="1234"/>
      <c r="AB267" s="1234"/>
      <c r="AC267" s="1234"/>
      <c r="AD267" s="1234"/>
      <c r="AE267" s="1234"/>
      <c r="AF267" s="1234"/>
      <c r="AG267" s="1234"/>
      <c r="AH267" s="1234"/>
      <c r="AI267" s="1180"/>
      <c r="AJ267" s="1180"/>
      <c r="AK267" s="1180"/>
      <c r="AL267" s="1180"/>
      <c r="AM267" s="1180"/>
      <c r="AN267" s="1180"/>
      <c r="AO267" s="1180"/>
      <c r="AP267" s="1180"/>
      <c r="AQ267" s="1180"/>
      <c r="AR267" s="1180"/>
      <c r="AS267" s="1351"/>
      <c r="AT267" s="1182"/>
      <c r="AU267" s="1182"/>
      <c r="AV267" s="1182"/>
      <c r="AW267" s="1182"/>
      <c r="AX267" s="1182"/>
      <c r="AY267" s="1182"/>
      <c r="AZ267" s="1182"/>
      <c r="BA267" s="1182"/>
      <c r="BB267" s="1182"/>
      <c r="BC267" s="1182"/>
      <c r="BD267" s="1182"/>
      <c r="BE267" s="1182"/>
      <c r="BF267" s="1182"/>
      <c r="BG267" s="1182"/>
      <c r="BH267" s="1182"/>
      <c r="BI267" s="1182"/>
      <c r="BJ267" s="1182"/>
      <c r="BK267" s="1182"/>
      <c r="BL267" s="1182"/>
      <c r="BM267" s="1182"/>
      <c r="BN267" s="1182"/>
      <c r="BO267" s="1182"/>
      <c r="BP267" s="1182"/>
      <c r="BQ267" s="1182"/>
      <c r="BR267" s="1182"/>
      <c r="BS267" s="1182"/>
      <c r="BT267" s="1182"/>
      <c r="BU267" s="1182"/>
      <c r="BV267" s="1182"/>
      <c r="BW267" s="1182"/>
      <c r="BX267" s="1182"/>
      <c r="BY267" s="1182"/>
      <c r="BZ267" s="1181"/>
      <c r="CA267" s="1181"/>
      <c r="CB267" s="1181"/>
      <c r="CC267" s="1181"/>
      <c r="CD267" s="1508"/>
      <c r="CE267" s="1509"/>
      <c r="CF267" s="1508"/>
      <c r="CG267" s="1508"/>
      <c r="CH267" s="2020"/>
      <c r="CI267" s="1508"/>
      <c r="CJ267" s="1508"/>
      <c r="CK267" s="1508"/>
      <c r="CL267" s="1508"/>
      <c r="CM267" s="1508"/>
      <c r="CN267" s="1508"/>
      <c r="CO267" s="1508"/>
      <c r="CP267" s="1508"/>
      <c r="CQ267" s="1508"/>
      <c r="CR267" s="1510"/>
      <c r="CS267" s="1510"/>
      <c r="CT267" s="1511"/>
      <c r="CU267" s="1511"/>
      <c r="CV267" s="1511"/>
      <c r="CW267" s="1511"/>
      <c r="CX267" s="1511"/>
      <c r="CY267" s="1511"/>
      <c r="CZ267" s="1511"/>
      <c r="DA267" s="1511"/>
      <c r="DB267" s="1511"/>
      <c r="DC267" s="1511"/>
      <c r="DD267" s="1511"/>
      <c r="DE267" s="1182"/>
      <c r="DF267" s="1182"/>
      <c r="DG267" s="1182"/>
      <c r="DH267" s="1182"/>
      <c r="DI267" s="1182"/>
      <c r="DJ267" s="1182"/>
      <c r="DK267" s="1182"/>
      <c r="DL267" s="1182"/>
      <c r="DM267" s="1182"/>
      <c r="DN267" s="1182"/>
      <c r="DO267" s="1182"/>
      <c r="DP267" s="1182"/>
      <c r="DQ267" s="1182"/>
      <c r="DR267" s="1182"/>
      <c r="DS267" s="1181"/>
      <c r="DT267" s="1181"/>
      <c r="DU267" s="1181"/>
      <c r="DV267" s="1181"/>
      <c r="DW267" s="1181"/>
      <c r="DX267" s="1181"/>
      <c r="DY267" s="1181"/>
      <c r="DZ267" s="1181"/>
      <c r="EA267" s="1181"/>
      <c r="EB267" s="1181"/>
      <c r="EC267" s="1181"/>
      <c r="ED267" s="1181"/>
      <c r="EE267" s="1181"/>
      <c r="EF267" s="1181"/>
      <c r="EG267" s="1181"/>
      <c r="EH267" s="1181"/>
      <c r="EI267" s="1181"/>
      <c r="EJ267" s="1181"/>
      <c r="EK267" s="1181"/>
      <c r="EL267" s="1181"/>
      <c r="EM267" s="1181"/>
      <c r="EN267" s="1181"/>
      <c r="EO267" s="1181"/>
      <c r="EP267" s="1181"/>
      <c r="EQ267" s="1181"/>
      <c r="ER267" s="1181"/>
      <c r="ES267" s="1181"/>
      <c r="ET267" s="1181"/>
      <c r="EU267" s="1181"/>
      <c r="EV267" s="1181"/>
      <c r="EW267" s="1181"/>
      <c r="EX267" s="1181"/>
      <c r="EY267" s="1181"/>
      <c r="EZ267" s="1181"/>
      <c r="FA267" s="1181"/>
      <c r="FB267" s="1181"/>
      <c r="FC267" s="1181"/>
      <c r="FD267" s="1181"/>
      <c r="FE267" s="1181"/>
      <c r="FF267" s="1181"/>
      <c r="FG267" s="1181"/>
      <c r="FH267" s="1181"/>
      <c r="FI267" s="1181"/>
      <c r="FJ267" s="1181"/>
      <c r="FK267" s="1181"/>
      <c r="FL267" s="1181"/>
      <c r="FM267" s="1181"/>
      <c r="FN267" s="1181"/>
      <c r="FO267" s="1181"/>
      <c r="FP267" s="1181"/>
      <c r="FQ267" s="1181"/>
      <c r="FR267" s="1181"/>
      <c r="FS267" s="1181"/>
      <c r="FT267" s="1181"/>
      <c r="FU267" s="1181"/>
      <c r="FV267" s="1181"/>
      <c r="FW267" s="1181"/>
      <c r="FX267" s="1181"/>
      <c r="FY267" s="1181"/>
      <c r="FZ267" s="1181"/>
      <c r="GA267" s="1181"/>
      <c r="GB267" s="1181"/>
      <c r="GC267" s="1181"/>
      <c r="GD267" s="1181"/>
      <c r="GE267" s="1181"/>
      <c r="GF267" s="1181"/>
      <c r="GG267" s="1181"/>
      <c r="GH267" s="1181"/>
      <c r="GI267" s="1181"/>
      <c r="GJ267" s="1181"/>
      <c r="GK267" s="1181"/>
      <c r="GL267" s="1181"/>
      <c r="GM267" s="1181"/>
      <c r="GN267" s="1181"/>
      <c r="GO267" s="1181"/>
      <c r="GP267" s="1181"/>
      <c r="GQ267" s="1181"/>
      <c r="GR267" s="1181"/>
      <c r="GS267" s="1181"/>
      <c r="GT267" s="1181"/>
      <c r="GU267" s="1181"/>
      <c r="GV267" s="1181"/>
      <c r="GW267" s="1181"/>
      <c r="GX267" s="1181"/>
      <c r="GY267" s="1181"/>
      <c r="GZ267" s="1181"/>
      <c r="HA267" s="1181"/>
      <c r="HB267" s="1181"/>
      <c r="HC267" s="1181"/>
      <c r="HD267" s="1181"/>
      <c r="HE267" s="1181"/>
      <c r="HF267" s="1181"/>
      <c r="HG267" s="1181"/>
      <c r="HH267" s="1181"/>
      <c r="HI267" s="1181"/>
      <c r="HJ267" s="1181"/>
      <c r="HK267" s="1181"/>
      <c r="HL267" s="1181"/>
      <c r="HM267" s="1181"/>
      <c r="HN267" s="1181"/>
      <c r="HO267" s="1181"/>
    </row>
    <row r="268" spans="1:223" s="1183" customFormat="1" ht="30">
      <c r="A268" s="1180"/>
      <c r="B268" s="2156" t="s">
        <v>431</v>
      </c>
      <c r="C268" s="2156"/>
      <c r="D268" s="2156"/>
      <c r="E268" s="2156"/>
      <c r="F268" s="2156"/>
      <c r="G268" s="2156"/>
      <c r="H268" s="2156"/>
      <c r="I268" s="2156"/>
      <c r="J268" s="2156"/>
      <c r="K268" s="2156"/>
      <c r="L268" s="2156"/>
      <c r="M268" s="2156"/>
      <c r="N268" s="2156"/>
      <c r="O268" s="2156"/>
      <c r="P268" s="2156"/>
      <c r="Q268" s="2156"/>
      <c r="R268" s="2156"/>
      <c r="S268" s="2156"/>
      <c r="T268" s="2156"/>
      <c r="U268" s="2156"/>
      <c r="V268" s="2156"/>
      <c r="W268" s="2156"/>
      <c r="X268" s="2156"/>
      <c r="Y268" s="2156"/>
      <c r="Z268" s="2156"/>
      <c r="AA268" s="2156"/>
      <c r="AB268" s="2156"/>
      <c r="AC268" s="2156"/>
      <c r="AD268" s="2156"/>
      <c r="AE268" s="2156"/>
      <c r="AF268" s="2156"/>
      <c r="AG268" s="2156"/>
      <c r="AH268" s="2156"/>
      <c r="AI268" s="1180"/>
      <c r="AJ268" s="1180"/>
      <c r="AK268" s="1180"/>
      <c r="AL268" s="1180"/>
      <c r="AM268" s="1180"/>
      <c r="AN268" s="1180"/>
      <c r="AO268" s="1180"/>
      <c r="AP268" s="1180"/>
      <c r="AQ268" s="1180"/>
      <c r="AR268" s="1180"/>
      <c r="AS268" s="1351"/>
      <c r="AT268" s="1182"/>
      <c r="AU268" s="1182"/>
      <c r="AV268" s="1182"/>
      <c r="AW268" s="1182"/>
      <c r="AX268" s="1182"/>
      <c r="AY268" s="1182"/>
      <c r="AZ268" s="1182"/>
      <c r="BA268" s="1182"/>
      <c r="BB268" s="1182"/>
      <c r="BC268" s="1182"/>
      <c r="BD268" s="1182"/>
      <c r="BE268" s="1182"/>
      <c r="BF268" s="1182"/>
      <c r="BG268" s="1182"/>
      <c r="BH268" s="1182"/>
      <c r="BI268" s="1182"/>
      <c r="BJ268" s="1182"/>
      <c r="BK268" s="1182"/>
      <c r="BL268" s="1182"/>
      <c r="BM268" s="1182"/>
      <c r="BN268" s="1182"/>
      <c r="BO268" s="1182"/>
      <c r="BP268" s="1182"/>
      <c r="BQ268" s="1182"/>
      <c r="BR268" s="1182"/>
      <c r="BS268" s="1182"/>
      <c r="BT268" s="1182"/>
      <c r="BU268" s="1182"/>
      <c r="BV268" s="1182"/>
      <c r="BW268" s="1182"/>
      <c r="BX268" s="1182"/>
      <c r="BY268" s="1182"/>
      <c r="BZ268" s="1181"/>
      <c r="CA268" s="1181"/>
      <c r="CB268" s="1181"/>
      <c r="CC268" s="1181"/>
      <c r="CD268" s="1508"/>
      <c r="CE268" s="1509"/>
      <c r="CF268" s="1508"/>
      <c r="CG268" s="1508"/>
      <c r="CH268" s="2020"/>
      <c r="CI268" s="1508"/>
      <c r="CJ268" s="1508"/>
      <c r="CK268" s="1508"/>
      <c r="CL268" s="1508"/>
      <c r="CM268" s="1508"/>
      <c r="CN268" s="1508"/>
      <c r="CO268" s="1508"/>
      <c r="CP268" s="1508"/>
      <c r="CQ268" s="1508"/>
      <c r="CR268" s="1510"/>
      <c r="CS268" s="1510"/>
      <c r="CT268" s="1511"/>
      <c r="CU268" s="1511"/>
      <c r="CV268" s="1511"/>
      <c r="CW268" s="1511"/>
      <c r="CX268" s="1511"/>
      <c r="CY268" s="1511"/>
      <c r="CZ268" s="1511"/>
      <c r="DA268" s="1511"/>
      <c r="DB268" s="1511"/>
      <c r="DC268" s="1511"/>
      <c r="DD268" s="1511"/>
      <c r="DE268" s="1182"/>
      <c r="DF268" s="1182"/>
      <c r="DG268" s="1182"/>
      <c r="DH268" s="1182"/>
      <c r="DI268" s="1182"/>
      <c r="DJ268" s="1182"/>
      <c r="DK268" s="1182"/>
      <c r="DL268" s="1182"/>
      <c r="DM268" s="1182"/>
      <c r="DN268" s="1182"/>
      <c r="DO268" s="1182"/>
      <c r="DP268" s="1182"/>
      <c r="DQ268" s="1182"/>
      <c r="DR268" s="1182"/>
      <c r="DS268" s="1181"/>
      <c r="DT268" s="1181"/>
      <c r="DU268" s="1181"/>
      <c r="DV268" s="1181"/>
      <c r="DW268" s="1181"/>
      <c r="DX268" s="1181"/>
      <c r="DY268" s="1181"/>
      <c r="DZ268" s="1181"/>
      <c r="EA268" s="1181"/>
      <c r="EB268" s="1181"/>
      <c r="EC268" s="1181"/>
      <c r="ED268" s="1181"/>
      <c r="EE268" s="1181"/>
      <c r="EF268" s="1181"/>
      <c r="EG268" s="1181"/>
      <c r="EH268" s="1181"/>
      <c r="EI268" s="1181"/>
      <c r="EJ268" s="1181"/>
      <c r="EK268" s="1181"/>
      <c r="EL268" s="1181"/>
      <c r="EM268" s="1181"/>
      <c r="EN268" s="1181"/>
      <c r="EO268" s="1181"/>
      <c r="EP268" s="1181"/>
      <c r="EQ268" s="1181"/>
      <c r="ER268" s="1181"/>
      <c r="ES268" s="1181"/>
      <c r="ET268" s="1181"/>
      <c r="EU268" s="1181"/>
      <c r="EV268" s="1181"/>
      <c r="EW268" s="1181"/>
      <c r="EX268" s="1181"/>
      <c r="EY268" s="1181"/>
      <c r="EZ268" s="1181"/>
      <c r="FA268" s="1181"/>
      <c r="FB268" s="1181"/>
      <c r="FC268" s="1181"/>
      <c r="FD268" s="1181"/>
      <c r="FE268" s="1181"/>
      <c r="FF268" s="1181"/>
      <c r="FG268" s="1181"/>
      <c r="FH268" s="1181"/>
      <c r="FI268" s="1181"/>
      <c r="FJ268" s="1181"/>
      <c r="FK268" s="1181"/>
      <c r="FL268" s="1181"/>
      <c r="FM268" s="1181"/>
      <c r="FN268" s="1181"/>
      <c r="FO268" s="1181"/>
      <c r="FP268" s="1181"/>
      <c r="FQ268" s="1181"/>
      <c r="FR268" s="1181"/>
      <c r="FS268" s="1181"/>
      <c r="FT268" s="1181"/>
      <c r="FU268" s="1181"/>
      <c r="FV268" s="1181"/>
      <c r="FW268" s="1181"/>
      <c r="FX268" s="1181"/>
      <c r="FY268" s="1181"/>
      <c r="FZ268" s="1181"/>
      <c r="GA268" s="1181"/>
      <c r="GB268" s="1181"/>
      <c r="GC268" s="1181"/>
      <c r="GD268" s="1181"/>
      <c r="GE268" s="1181"/>
      <c r="GF268" s="1181"/>
      <c r="GG268" s="1181"/>
      <c r="GH268" s="1181"/>
      <c r="GI268" s="1181"/>
      <c r="GJ268" s="1181"/>
      <c r="GK268" s="1181"/>
      <c r="GL268" s="1181"/>
      <c r="GM268" s="1181"/>
      <c r="GN268" s="1181"/>
      <c r="GO268" s="1181"/>
      <c r="GP268" s="1181"/>
      <c r="GQ268" s="1181"/>
      <c r="GR268" s="1181"/>
      <c r="GS268" s="1181"/>
      <c r="GT268" s="1181"/>
      <c r="GU268" s="1181"/>
      <c r="GV268" s="1181"/>
      <c r="GW268" s="1181"/>
      <c r="GX268" s="1181"/>
      <c r="GY268" s="1181"/>
      <c r="GZ268" s="1181"/>
      <c r="HA268" s="1181"/>
      <c r="HB268" s="1181"/>
      <c r="HC268" s="1181"/>
      <c r="HD268" s="1181"/>
      <c r="HE268" s="1181"/>
      <c r="HF268" s="1181"/>
      <c r="HG268" s="1181"/>
      <c r="HH268" s="1181"/>
      <c r="HI268" s="1181"/>
      <c r="HJ268" s="1181"/>
      <c r="HK268" s="1181"/>
      <c r="HL268" s="1181"/>
      <c r="HM268" s="1181"/>
      <c r="HN268" s="1181"/>
      <c r="HO268" s="1181"/>
    </row>
    <row r="269" spans="1:223" s="1183" customFormat="1">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234"/>
      <c r="AA269" s="1234"/>
      <c r="AB269" s="1234"/>
      <c r="AC269" s="1234"/>
      <c r="AD269" s="1234"/>
      <c r="AE269" s="1234"/>
      <c r="AF269" s="1234"/>
      <c r="AG269" s="1234"/>
      <c r="AH269" s="1234"/>
      <c r="AI269" s="1180"/>
      <c r="AJ269" s="1180"/>
      <c r="AK269" s="1180"/>
      <c r="AL269" s="1180"/>
      <c r="AM269" s="1180"/>
      <c r="AN269" s="1180"/>
      <c r="AO269" s="1180"/>
      <c r="AP269" s="1180"/>
      <c r="AQ269" s="1180"/>
      <c r="AR269" s="1180"/>
      <c r="AS269" s="1351"/>
      <c r="AT269" s="1182"/>
      <c r="AU269" s="1182"/>
      <c r="AV269" s="1182"/>
      <c r="AW269" s="1182"/>
      <c r="AX269" s="1182"/>
      <c r="AY269" s="1182"/>
      <c r="AZ269" s="1182"/>
      <c r="BA269" s="1182"/>
      <c r="BB269" s="1182"/>
      <c r="BC269" s="1182"/>
      <c r="BD269" s="1182"/>
      <c r="BE269" s="1182"/>
      <c r="BF269" s="1182"/>
      <c r="BG269" s="1182"/>
      <c r="BH269" s="1182"/>
      <c r="BI269" s="1182"/>
      <c r="BJ269" s="1182"/>
      <c r="BK269" s="1182"/>
      <c r="BL269" s="1182"/>
      <c r="BM269" s="1182"/>
      <c r="BN269" s="1182"/>
      <c r="BO269" s="1182"/>
      <c r="BP269" s="1182"/>
      <c r="BQ269" s="1182"/>
      <c r="BR269" s="1182"/>
      <c r="BS269" s="1182"/>
      <c r="BT269" s="1182"/>
      <c r="BU269" s="1182"/>
      <c r="BV269" s="1182"/>
      <c r="BW269" s="1182"/>
      <c r="BX269" s="1182"/>
      <c r="BY269" s="1182"/>
      <c r="BZ269" s="1181"/>
      <c r="CA269" s="1181"/>
      <c r="CB269" s="1181"/>
      <c r="CC269" s="1181"/>
      <c r="CD269" s="1508"/>
      <c r="CE269" s="1509"/>
      <c r="CF269" s="1508"/>
      <c r="CG269" s="1508"/>
      <c r="CH269" s="2020"/>
      <c r="CI269" s="1508"/>
      <c r="CJ269" s="1508"/>
      <c r="CK269" s="1508"/>
      <c r="CL269" s="1508"/>
      <c r="CM269" s="1508"/>
      <c r="CN269" s="1508"/>
      <c r="CO269" s="1508"/>
      <c r="CP269" s="1508"/>
      <c r="CQ269" s="1508"/>
      <c r="CR269" s="1510"/>
      <c r="CS269" s="1510"/>
      <c r="CT269" s="1511"/>
      <c r="CU269" s="1511"/>
      <c r="CV269" s="1511"/>
      <c r="CW269" s="1511"/>
      <c r="CX269" s="1511"/>
      <c r="CY269" s="1511"/>
      <c r="CZ269" s="1511"/>
      <c r="DA269" s="1511"/>
      <c r="DB269" s="1511"/>
      <c r="DC269" s="1511"/>
      <c r="DD269" s="1511"/>
      <c r="DE269" s="1182"/>
      <c r="DF269" s="1182"/>
      <c r="DG269" s="1182"/>
      <c r="DH269" s="1182"/>
      <c r="DI269" s="1182"/>
      <c r="DJ269" s="1182"/>
      <c r="DK269" s="1182"/>
      <c r="DL269" s="1182"/>
      <c r="DM269" s="1182"/>
      <c r="DN269" s="1182"/>
      <c r="DO269" s="1182"/>
      <c r="DP269" s="1182"/>
      <c r="DQ269" s="1182"/>
      <c r="DR269" s="1182"/>
      <c r="DS269" s="1181"/>
      <c r="DT269" s="1181"/>
      <c r="DU269" s="1181"/>
      <c r="DV269" s="1181"/>
      <c r="DW269" s="1181"/>
      <c r="DX269" s="1181"/>
      <c r="DY269" s="1181"/>
      <c r="DZ269" s="1181"/>
      <c r="EA269" s="1181"/>
      <c r="EB269" s="1181"/>
      <c r="EC269" s="1181"/>
      <c r="ED269" s="1181"/>
      <c r="EE269" s="1181"/>
      <c r="EF269" s="1181"/>
      <c r="EG269" s="1181"/>
      <c r="EH269" s="1181"/>
      <c r="EI269" s="1181"/>
      <c r="EJ269" s="1181"/>
      <c r="EK269" s="1181"/>
      <c r="EL269" s="1181"/>
      <c r="EM269" s="1181"/>
      <c r="EN269" s="1181"/>
      <c r="EO269" s="1181"/>
      <c r="EP269" s="1181"/>
      <c r="EQ269" s="1181"/>
      <c r="ER269" s="1181"/>
      <c r="ES269" s="1181"/>
      <c r="ET269" s="1181"/>
      <c r="EU269" s="1181"/>
      <c r="EV269" s="1181"/>
      <c r="EW269" s="1181"/>
      <c r="EX269" s="1181"/>
      <c r="EY269" s="1181"/>
      <c r="EZ269" s="1181"/>
      <c r="FA269" s="1181"/>
      <c r="FB269" s="1181"/>
      <c r="FC269" s="1181"/>
      <c r="FD269" s="1181"/>
      <c r="FE269" s="1181"/>
      <c r="FF269" s="1181"/>
      <c r="FG269" s="1181"/>
      <c r="FH269" s="1181"/>
      <c r="FI269" s="1181"/>
      <c r="FJ269" s="1181"/>
      <c r="FK269" s="1181"/>
      <c r="FL269" s="1181"/>
      <c r="FM269" s="1181"/>
      <c r="FN269" s="1181"/>
      <c r="FO269" s="1181"/>
      <c r="FP269" s="1181"/>
      <c r="FQ269" s="1181"/>
      <c r="FR269" s="1181"/>
      <c r="FS269" s="1181"/>
      <c r="FT269" s="1181"/>
      <c r="FU269" s="1181"/>
      <c r="FV269" s="1181"/>
      <c r="FW269" s="1181"/>
      <c r="FX269" s="1181"/>
      <c r="FY269" s="1181"/>
      <c r="FZ269" s="1181"/>
      <c r="GA269" s="1181"/>
      <c r="GB269" s="1181"/>
      <c r="GC269" s="1181"/>
      <c r="GD269" s="1181"/>
      <c r="GE269" s="1181"/>
      <c r="GF269" s="1181"/>
      <c r="GG269" s="1181"/>
      <c r="GH269" s="1181"/>
      <c r="GI269" s="1181"/>
      <c r="GJ269" s="1181"/>
      <c r="GK269" s="1181"/>
      <c r="GL269" s="1181"/>
      <c r="GM269" s="1181"/>
      <c r="GN269" s="1181"/>
      <c r="GO269" s="1181"/>
      <c r="GP269" s="1181"/>
      <c r="GQ269" s="1181"/>
      <c r="GR269" s="1181"/>
      <c r="GS269" s="1181"/>
      <c r="GT269" s="1181"/>
      <c r="GU269" s="1181"/>
      <c r="GV269" s="1181"/>
      <c r="GW269" s="1181"/>
      <c r="GX269" s="1181"/>
      <c r="GY269" s="1181"/>
      <c r="GZ269" s="1181"/>
      <c r="HA269" s="1181"/>
      <c r="HB269" s="1181"/>
      <c r="HC269" s="1181"/>
      <c r="HD269" s="1181"/>
      <c r="HE269" s="1181"/>
      <c r="HF269" s="1181"/>
      <c r="HG269" s="1181"/>
      <c r="HH269" s="1181"/>
      <c r="HI269" s="1181"/>
      <c r="HJ269" s="1181"/>
      <c r="HK269" s="1181"/>
      <c r="HL269" s="1181"/>
      <c r="HM269" s="1181"/>
      <c r="HN269" s="1181"/>
      <c r="HO269" s="1181"/>
    </row>
    <row r="270" spans="1:223" s="1183" customFormat="1" ht="21" thickBot="1">
      <c r="A270" s="1180"/>
      <c r="B270" s="1186" t="s">
        <v>174</v>
      </c>
      <c r="C270" s="1180"/>
      <c r="D270" s="1199">
        <f>X168+IF(F91="4G en tu negocio",L91,0)+IF(F93="4G en tu negocio",L93,0)+IF(F95="4G en tu negocio",L95,0)+IF(F97="4G en tu negocio",L97,0)+IF(F99="4G en tu negocio",L99,0)+AF235+AP207</f>
        <v>44.95</v>
      </c>
      <c r="E270" s="1180"/>
      <c r="F270" s="1180" t="str">
        <f>IF(P101&lt;&gt;0,"El servicio 4G de Orange en tu negocio se considera fijo (sólo disponible para acceso desde oficina, no en movilidad)","")</f>
        <v/>
      </c>
      <c r="G270" s="1180"/>
      <c r="H270" s="1180"/>
      <c r="I270" s="1180"/>
      <c r="J270" s="1180"/>
      <c r="K270" s="1180"/>
      <c r="L270" s="1180"/>
      <c r="M270" s="1180"/>
      <c r="N270" s="1180"/>
      <c r="O270" s="1180"/>
      <c r="P270" s="1180"/>
      <c r="Q270" s="1180"/>
      <c r="R270" s="1180"/>
      <c r="S270" s="1180"/>
      <c r="T270" s="1180"/>
      <c r="U270" s="1180"/>
      <c r="V270" s="1180"/>
      <c r="W270" s="1180"/>
      <c r="X270" s="1180"/>
      <c r="Y270" s="1180"/>
      <c r="Z270" s="1234"/>
      <c r="AA270" s="1234"/>
      <c r="AB270" s="1234"/>
      <c r="AC270" s="1234"/>
      <c r="AD270" s="1234"/>
      <c r="AE270" s="1234"/>
      <c r="AF270" s="1234"/>
      <c r="AG270" s="1234"/>
      <c r="AH270" s="1234"/>
      <c r="AI270" s="1180"/>
      <c r="AJ270" s="1180"/>
      <c r="AK270" s="1180"/>
      <c r="AL270" s="1180"/>
      <c r="AM270" s="1180"/>
      <c r="AN270" s="1180"/>
      <c r="AO270" s="1180"/>
      <c r="AP270" s="1180"/>
      <c r="AQ270" s="1180"/>
      <c r="AR270" s="1180"/>
      <c r="AS270" s="1351"/>
      <c r="AT270" s="1182"/>
      <c r="AU270" s="1182"/>
      <c r="AV270" s="1182"/>
      <c r="AW270" s="1182"/>
      <c r="AX270" s="1182"/>
      <c r="AY270" s="1182"/>
      <c r="AZ270" s="1182"/>
      <c r="BA270" s="1182"/>
      <c r="BB270" s="1182"/>
      <c r="BC270" s="1182"/>
      <c r="BD270" s="1182"/>
      <c r="BE270" s="1182"/>
      <c r="BF270" s="1182"/>
      <c r="BG270" s="1182"/>
      <c r="BH270" s="1182"/>
      <c r="BI270" s="1182"/>
      <c r="BJ270" s="1182"/>
      <c r="BK270" s="1182"/>
      <c r="BL270" s="1182"/>
      <c r="BM270" s="1182"/>
      <c r="BN270" s="1182"/>
      <c r="BO270" s="1182"/>
      <c r="BP270" s="1182"/>
      <c r="BQ270" s="1182"/>
      <c r="BR270" s="1182"/>
      <c r="BS270" s="1182"/>
      <c r="BT270" s="1182"/>
      <c r="BU270" s="1182"/>
      <c r="BV270" s="1182"/>
      <c r="BW270" s="1182"/>
      <c r="BX270" s="1182"/>
      <c r="BY270" s="1182"/>
      <c r="BZ270" s="1181"/>
      <c r="CA270" s="1181"/>
      <c r="CB270" s="1181"/>
      <c r="CC270" s="1181"/>
      <c r="CD270" s="1508"/>
      <c r="CE270" s="1509"/>
      <c r="CF270" s="1508"/>
      <c r="CG270" s="1508"/>
      <c r="CH270" s="2020"/>
      <c r="CI270" s="1508"/>
      <c r="CJ270" s="1508"/>
      <c r="CK270" s="1508"/>
      <c r="CL270" s="1508"/>
      <c r="CM270" s="1508"/>
      <c r="CN270" s="1508"/>
      <c r="CO270" s="1508"/>
      <c r="CP270" s="1508"/>
      <c r="CQ270" s="1508"/>
      <c r="CR270" s="1510"/>
      <c r="CS270" s="1510"/>
      <c r="CT270" s="1511"/>
      <c r="CU270" s="1511"/>
      <c r="CV270" s="1511"/>
      <c r="CW270" s="1511"/>
      <c r="CX270" s="1511"/>
      <c r="CY270" s="1511"/>
      <c r="CZ270" s="1511"/>
      <c r="DA270" s="1511"/>
      <c r="DB270" s="1511"/>
      <c r="DC270" s="1511"/>
      <c r="DD270" s="1511"/>
      <c r="DE270" s="1182"/>
      <c r="DF270" s="1182"/>
      <c r="DG270" s="1182"/>
      <c r="DH270" s="1182"/>
      <c r="DI270" s="1182"/>
      <c r="DJ270" s="1182"/>
      <c r="DK270" s="1182"/>
      <c r="DL270" s="1182"/>
      <c r="DM270" s="1182"/>
      <c r="DN270" s="1182"/>
      <c r="DO270" s="1182"/>
      <c r="DP270" s="1182"/>
      <c r="DQ270" s="1182"/>
      <c r="DR270" s="1182"/>
      <c r="DS270" s="1181"/>
      <c r="DT270" s="1181"/>
      <c r="DU270" s="1181"/>
      <c r="DV270" s="1181"/>
      <c r="DW270" s="1181"/>
      <c r="DX270" s="1181"/>
      <c r="DY270" s="1181"/>
      <c r="DZ270" s="1181"/>
      <c r="EA270" s="1181"/>
      <c r="EB270" s="1181"/>
      <c r="EC270" s="1181"/>
      <c r="ED270" s="1181"/>
      <c r="EE270" s="1181"/>
      <c r="EF270" s="1181"/>
      <c r="EG270" s="1181"/>
      <c r="EH270" s="1181"/>
      <c r="EI270" s="1181"/>
      <c r="EJ270" s="1181"/>
      <c r="EK270" s="1181"/>
      <c r="EL270" s="1181"/>
      <c r="EM270" s="1181"/>
      <c r="EN270" s="1181"/>
      <c r="EO270" s="1181"/>
      <c r="EP270" s="1181"/>
      <c r="EQ270" s="1181"/>
      <c r="ER270" s="1181"/>
      <c r="ES270" s="1181"/>
      <c r="ET270" s="1181"/>
      <c r="EU270" s="1181"/>
      <c r="EV270" s="1181"/>
      <c r="EW270" s="1181"/>
      <c r="EX270" s="1181"/>
      <c r="EY270" s="1181"/>
      <c r="EZ270" s="1181"/>
      <c r="FA270" s="1181"/>
      <c r="FB270" s="1181"/>
      <c r="FC270" s="1181"/>
      <c r="FD270" s="1181"/>
      <c r="FE270" s="1181"/>
      <c r="FF270" s="1181"/>
      <c r="FG270" s="1181"/>
      <c r="FH270" s="1181"/>
      <c r="FI270" s="1181"/>
      <c r="FJ270" s="1181"/>
      <c r="FK270" s="1181"/>
      <c r="FL270" s="1181"/>
      <c r="FM270" s="1181"/>
      <c r="FN270" s="1181"/>
      <c r="FO270" s="1181"/>
      <c r="FP270" s="1181"/>
      <c r="FQ270" s="1181"/>
      <c r="FR270" s="1181"/>
      <c r="FS270" s="1181"/>
      <c r="FT270" s="1181"/>
      <c r="FU270" s="1181"/>
      <c r="FV270" s="1181"/>
      <c r="FW270" s="1181"/>
      <c r="FX270" s="1181"/>
      <c r="FY270" s="1181"/>
      <c r="FZ270" s="1181"/>
      <c r="GA270" s="1181"/>
      <c r="GB270" s="1181"/>
      <c r="GC270" s="1181"/>
      <c r="GD270" s="1181"/>
      <c r="GE270" s="1181"/>
      <c r="GF270" s="1181"/>
      <c r="GG270" s="1181"/>
      <c r="GH270" s="1181"/>
      <c r="GI270" s="1181"/>
      <c r="GJ270" s="1181"/>
      <c r="GK270" s="1181"/>
      <c r="GL270" s="1181"/>
      <c r="GM270" s="1181"/>
      <c r="GN270" s="1181"/>
      <c r="GO270" s="1181"/>
      <c r="GP270" s="1181"/>
      <c r="GQ270" s="1181"/>
      <c r="GR270" s="1181"/>
      <c r="GS270" s="1181"/>
      <c r="GT270" s="1181"/>
      <c r="GU270" s="1181"/>
      <c r="GV270" s="1181"/>
      <c r="GW270" s="1181"/>
      <c r="GX270" s="1181"/>
      <c r="GY270" s="1181"/>
      <c r="GZ270" s="1181"/>
      <c r="HA270" s="1181"/>
      <c r="HB270" s="1181"/>
      <c r="HC270" s="1181"/>
      <c r="HD270" s="1181"/>
      <c r="HE270" s="1181"/>
      <c r="HF270" s="1181"/>
      <c r="HG270" s="1181"/>
      <c r="HH270" s="1181"/>
      <c r="HI270" s="1181"/>
      <c r="HJ270" s="1181"/>
      <c r="HK270" s="1181"/>
      <c r="HL270" s="1181"/>
      <c r="HM270" s="1181"/>
      <c r="HN270" s="1181"/>
      <c r="HO270" s="1181"/>
    </row>
    <row r="271" spans="1:223" s="1183" customFormat="1" ht="21" thickTop="1">
      <c r="A271" s="1180"/>
      <c r="B271" s="1187"/>
      <c r="C271" s="1180"/>
      <c r="D271" s="1180"/>
      <c r="E271" s="1180"/>
      <c r="F271" s="1180"/>
      <c r="G271" s="1180"/>
      <c r="H271" s="1180"/>
      <c r="I271" s="1180"/>
      <c r="J271" s="1180"/>
      <c r="K271" s="1180"/>
      <c r="L271" s="1180"/>
      <c r="M271" s="1180"/>
      <c r="N271" s="1180"/>
      <c r="O271" s="1180"/>
      <c r="P271" s="1180"/>
      <c r="Q271" s="1180"/>
      <c r="R271" s="1180"/>
      <c r="S271" s="1180"/>
      <c r="T271" s="1180"/>
      <c r="U271" s="1180"/>
      <c r="V271" s="1180"/>
      <c r="W271" s="1180"/>
      <c r="X271" s="1180"/>
      <c r="Y271" s="1180"/>
      <c r="Z271" s="1234"/>
      <c r="AA271" s="1234"/>
      <c r="AB271" s="1234"/>
      <c r="AC271" s="1234"/>
      <c r="AD271" s="1234"/>
      <c r="AE271" s="1234"/>
      <c r="AF271" s="1234"/>
      <c r="AG271" s="1234"/>
      <c r="AH271" s="1234"/>
      <c r="AI271" s="1180"/>
      <c r="AJ271" s="1180"/>
      <c r="AK271" s="1180"/>
      <c r="AL271" s="1180"/>
      <c r="AM271" s="1180"/>
      <c r="AN271" s="1180"/>
      <c r="AO271" s="1180"/>
      <c r="AP271" s="1180"/>
      <c r="AQ271" s="1180"/>
      <c r="AR271" s="1180"/>
      <c r="AS271" s="1351"/>
      <c r="AT271" s="1182"/>
      <c r="AU271" s="1182"/>
      <c r="AV271" s="1182"/>
      <c r="AW271" s="1182"/>
      <c r="AX271" s="1182"/>
      <c r="AY271" s="1182"/>
      <c r="AZ271" s="1182"/>
      <c r="BA271" s="1182"/>
      <c r="BB271" s="1182"/>
      <c r="BC271" s="1182"/>
      <c r="BD271" s="1182"/>
      <c r="BE271" s="1182"/>
      <c r="BF271" s="1182"/>
      <c r="BG271" s="1182"/>
      <c r="BH271" s="1182"/>
      <c r="BI271" s="1182"/>
      <c r="BJ271" s="1182"/>
      <c r="BK271" s="1182"/>
      <c r="BL271" s="1182"/>
      <c r="BM271" s="1182"/>
      <c r="BN271" s="1182"/>
      <c r="BO271" s="1182"/>
      <c r="BP271" s="1182"/>
      <c r="BQ271" s="1182"/>
      <c r="BR271" s="1182"/>
      <c r="BS271" s="1182"/>
      <c r="BT271" s="1182"/>
      <c r="BU271" s="1182"/>
      <c r="BV271" s="1182"/>
      <c r="BW271" s="1182"/>
      <c r="BX271" s="1182"/>
      <c r="BY271" s="1182"/>
      <c r="BZ271" s="1181"/>
      <c r="CA271" s="1181"/>
      <c r="CB271" s="1181"/>
      <c r="CC271" s="1181"/>
      <c r="CD271" s="1508"/>
      <c r="CE271" s="1509"/>
      <c r="CF271" s="1508"/>
      <c r="CG271" s="1508"/>
      <c r="CH271" s="2020"/>
      <c r="CI271" s="1508"/>
      <c r="CJ271" s="1508"/>
      <c r="CK271" s="1508"/>
      <c r="CL271" s="1508"/>
      <c r="CM271" s="1508"/>
      <c r="CN271" s="1508"/>
      <c r="CO271" s="1508"/>
      <c r="CP271" s="1508"/>
      <c r="CQ271" s="1508"/>
      <c r="CR271" s="1510"/>
      <c r="CS271" s="1510"/>
      <c r="CT271" s="1511"/>
      <c r="CU271" s="1511"/>
      <c r="CV271" s="1511"/>
      <c r="CW271" s="1511"/>
      <c r="CX271" s="1511"/>
      <c r="CY271" s="1511"/>
      <c r="CZ271" s="1511"/>
      <c r="DA271" s="1511"/>
      <c r="DB271" s="1511"/>
      <c r="DC271" s="1511"/>
      <c r="DD271" s="1511"/>
      <c r="DE271" s="1182"/>
      <c r="DF271" s="1182"/>
      <c r="DG271" s="1182"/>
      <c r="DH271" s="1182"/>
      <c r="DI271" s="1182"/>
      <c r="DJ271" s="1182"/>
      <c r="DK271" s="1182"/>
      <c r="DL271" s="1182"/>
      <c r="DM271" s="1182"/>
      <c r="DN271" s="1182"/>
      <c r="DO271" s="1182"/>
      <c r="DP271" s="1182"/>
      <c r="DQ271" s="1182"/>
      <c r="DR271" s="1182"/>
      <c r="DS271" s="1181"/>
      <c r="DT271" s="1181"/>
      <c r="DU271" s="1181"/>
      <c r="DV271" s="1181"/>
      <c r="DW271" s="1181"/>
      <c r="DX271" s="1181"/>
      <c r="DY271" s="1181"/>
      <c r="DZ271" s="1181"/>
      <c r="EA271" s="1181"/>
      <c r="EB271" s="1181"/>
      <c r="EC271" s="1181"/>
      <c r="ED271" s="1181"/>
      <c r="EE271" s="1181"/>
      <c r="EF271" s="1181"/>
      <c r="EG271" s="1181"/>
      <c r="EH271" s="1181"/>
      <c r="EI271" s="1181"/>
      <c r="EJ271" s="1181"/>
      <c r="EK271" s="1181"/>
      <c r="EL271" s="1181"/>
      <c r="EM271" s="1181"/>
      <c r="EN271" s="1181"/>
      <c r="EO271" s="1181"/>
      <c r="EP271" s="1181"/>
      <c r="EQ271" s="1181"/>
      <c r="ER271" s="1181"/>
      <c r="ES271" s="1181"/>
      <c r="ET271" s="1181"/>
      <c r="EU271" s="1181"/>
      <c r="EV271" s="1181"/>
      <c r="EW271" s="1181"/>
      <c r="EX271" s="1181"/>
      <c r="EY271" s="1181"/>
      <c r="EZ271" s="1181"/>
      <c r="FA271" s="1181"/>
      <c r="FB271" s="1181"/>
      <c r="FC271" s="1181"/>
      <c r="FD271" s="1181"/>
      <c r="FE271" s="1181"/>
      <c r="FF271" s="1181"/>
      <c r="FG271" s="1181"/>
      <c r="FH271" s="1181"/>
      <c r="FI271" s="1181"/>
      <c r="FJ271" s="1181"/>
      <c r="FK271" s="1181"/>
      <c r="FL271" s="1181"/>
      <c r="FM271" s="1181"/>
      <c r="FN271" s="1181"/>
      <c r="FO271" s="1181"/>
      <c r="FP271" s="1181"/>
      <c r="FQ271" s="1181"/>
      <c r="FR271" s="1181"/>
      <c r="FS271" s="1181"/>
      <c r="FT271" s="1181"/>
      <c r="FU271" s="1181"/>
      <c r="FV271" s="1181"/>
      <c r="FW271" s="1181"/>
      <c r="FX271" s="1181"/>
      <c r="FY271" s="1181"/>
      <c r="FZ271" s="1181"/>
      <c r="GA271" s="1181"/>
      <c r="GB271" s="1181"/>
      <c r="GC271" s="1181"/>
      <c r="GD271" s="1181"/>
      <c r="GE271" s="1181"/>
      <c r="GF271" s="1181"/>
      <c r="GG271" s="1181"/>
      <c r="GH271" s="1181"/>
      <c r="GI271" s="1181"/>
      <c r="GJ271" s="1181"/>
      <c r="GK271" s="1181"/>
      <c r="GL271" s="1181"/>
      <c r="GM271" s="1181"/>
      <c r="GN271" s="1181"/>
      <c r="GO271" s="1181"/>
      <c r="GP271" s="1181"/>
      <c r="GQ271" s="1181"/>
      <c r="GR271" s="1181"/>
      <c r="GS271" s="1181"/>
      <c r="GT271" s="1181"/>
      <c r="GU271" s="1181"/>
      <c r="GV271" s="1181"/>
      <c r="GW271" s="1181"/>
      <c r="GX271" s="1181"/>
      <c r="GY271" s="1181"/>
      <c r="GZ271" s="1181"/>
      <c r="HA271" s="1181"/>
      <c r="HB271" s="1181"/>
      <c r="HC271" s="1181"/>
      <c r="HD271" s="1181"/>
      <c r="HE271" s="1181"/>
      <c r="HF271" s="1181"/>
      <c r="HG271" s="1181"/>
      <c r="HH271" s="1181"/>
      <c r="HI271" s="1181"/>
      <c r="HJ271" s="1181"/>
      <c r="HK271" s="1181"/>
      <c r="HL271" s="1181"/>
      <c r="HM271" s="1181"/>
      <c r="HN271" s="1181"/>
      <c r="HO271" s="1181"/>
    </row>
    <row r="272" spans="1:223" s="1183" customFormat="1" ht="21" thickBot="1">
      <c r="A272" s="1180"/>
      <c r="B272" s="1186" t="s">
        <v>432</v>
      </c>
      <c r="C272" s="1180"/>
      <c r="D272" s="1199">
        <f>F123-IF(F91="4G en tu negocio",L91,0)-IF(F93="4G en tu negocio",L93,0)-IF(F95="4G en tu negocio",L95,0)-IF(F97="4G en tu negocio",L97,0)-IF(F99="4G en tu negocio",L99,0)</f>
        <v>155.20000000000005</v>
      </c>
      <c r="E272" s="1180"/>
      <c r="F272" s="1268"/>
      <c r="G272" s="1180"/>
      <c r="H272" s="1180"/>
      <c r="I272" s="1180"/>
      <c r="J272" s="1180"/>
      <c r="K272" s="1180"/>
      <c r="L272" s="1180"/>
      <c r="M272" s="1180"/>
      <c r="N272" s="1180"/>
      <c r="O272" s="1180"/>
      <c r="P272" s="1180"/>
      <c r="Q272" s="1180"/>
      <c r="R272" s="1180"/>
      <c r="S272" s="1180"/>
      <c r="T272" s="1180"/>
      <c r="U272" s="1180"/>
      <c r="V272" s="1180"/>
      <c r="W272" s="1180"/>
      <c r="X272" s="1180"/>
      <c r="Y272" s="1180"/>
      <c r="Z272" s="1234"/>
      <c r="AA272" s="1234"/>
      <c r="AB272" s="1234"/>
      <c r="AC272" s="1234"/>
      <c r="AD272" s="1234"/>
      <c r="AE272" s="1234"/>
      <c r="AF272" s="1234"/>
      <c r="AG272" s="1234"/>
      <c r="AH272" s="1234"/>
      <c r="AI272" s="1180"/>
      <c r="AJ272" s="1180"/>
      <c r="AK272" s="1180"/>
      <c r="AL272" s="1180"/>
      <c r="AM272" s="1180"/>
      <c r="AN272" s="1180"/>
      <c r="AO272" s="1180"/>
      <c r="AP272" s="1180"/>
      <c r="AQ272" s="1180"/>
      <c r="AR272" s="1180"/>
      <c r="AS272" s="1351"/>
      <c r="AT272" s="1182"/>
      <c r="AU272" s="1182"/>
      <c r="AV272" s="1182"/>
      <c r="AW272" s="1182"/>
      <c r="AX272" s="1182"/>
      <c r="AY272" s="1182"/>
      <c r="AZ272" s="1182"/>
      <c r="BA272" s="1182"/>
      <c r="BB272" s="1182"/>
      <c r="BC272" s="1182"/>
      <c r="BD272" s="1182"/>
      <c r="BE272" s="1182"/>
      <c r="BF272" s="1182"/>
      <c r="BG272" s="1182"/>
      <c r="BH272" s="1182"/>
      <c r="BI272" s="1182"/>
      <c r="BJ272" s="1182"/>
      <c r="BK272" s="1182"/>
      <c r="BL272" s="1182"/>
      <c r="BM272" s="1182"/>
      <c r="BN272" s="1182"/>
      <c r="BO272" s="1182"/>
      <c r="BP272" s="1182"/>
      <c r="BQ272" s="1182"/>
      <c r="BR272" s="1182"/>
      <c r="BS272" s="1182"/>
      <c r="BT272" s="1182"/>
      <c r="BU272" s="1182"/>
      <c r="BV272" s="1182"/>
      <c r="BW272" s="1182"/>
      <c r="BX272" s="1182"/>
      <c r="BY272" s="1182"/>
      <c r="BZ272" s="1181"/>
      <c r="CA272" s="1181"/>
      <c r="CB272" s="1181"/>
      <c r="CC272" s="1181"/>
      <c r="CD272" s="1508"/>
      <c r="CE272" s="1509"/>
      <c r="CF272" s="1508"/>
      <c r="CG272" s="1508"/>
      <c r="CH272" s="2020"/>
      <c r="CI272" s="1508"/>
      <c r="CJ272" s="1508"/>
      <c r="CK272" s="1508"/>
      <c r="CL272" s="1508"/>
      <c r="CM272" s="1508"/>
      <c r="CN272" s="1508"/>
      <c r="CO272" s="1508"/>
      <c r="CP272" s="1508"/>
      <c r="CQ272" s="1508"/>
      <c r="CR272" s="1510"/>
      <c r="CS272" s="1510"/>
      <c r="CT272" s="1511"/>
      <c r="CU272" s="1511"/>
      <c r="CV272" s="1511"/>
      <c r="CW272" s="1511"/>
      <c r="CX272" s="1511"/>
      <c r="CY272" s="1511"/>
      <c r="CZ272" s="1511"/>
      <c r="DA272" s="1511"/>
      <c r="DB272" s="1511"/>
      <c r="DC272" s="1511"/>
      <c r="DD272" s="1511"/>
      <c r="DE272" s="1182"/>
      <c r="DF272" s="1182"/>
      <c r="DG272" s="1182"/>
      <c r="DH272" s="1182"/>
      <c r="DI272" s="1182"/>
      <c r="DJ272" s="1182"/>
      <c r="DK272" s="1182"/>
      <c r="DL272" s="1182"/>
      <c r="DM272" s="1182"/>
      <c r="DN272" s="1182"/>
      <c r="DO272" s="1182"/>
      <c r="DP272" s="1182"/>
      <c r="DQ272" s="1182"/>
      <c r="DR272" s="1182"/>
      <c r="DS272" s="1181"/>
      <c r="DT272" s="1181"/>
      <c r="DU272" s="1181"/>
      <c r="DV272" s="1181"/>
      <c r="DW272" s="1181"/>
      <c r="DX272" s="1181"/>
      <c r="DY272" s="1181"/>
      <c r="DZ272" s="1181"/>
      <c r="EA272" s="1181"/>
      <c r="EB272" s="1181"/>
      <c r="EC272" s="1181"/>
      <c r="ED272" s="1181"/>
      <c r="EE272" s="1181"/>
      <c r="EF272" s="1181"/>
      <c r="EG272" s="1181"/>
      <c r="EH272" s="1181"/>
      <c r="EI272" s="1181"/>
      <c r="EJ272" s="1181"/>
      <c r="EK272" s="1181"/>
      <c r="EL272" s="1181"/>
      <c r="EM272" s="1181"/>
      <c r="EN272" s="1181"/>
      <c r="EO272" s="1181"/>
      <c r="EP272" s="1181"/>
      <c r="EQ272" s="1181"/>
      <c r="ER272" s="1181"/>
      <c r="ES272" s="1181"/>
      <c r="ET272" s="1181"/>
      <c r="EU272" s="1181"/>
      <c r="EV272" s="1181"/>
      <c r="EW272" s="1181"/>
      <c r="EX272" s="1181"/>
      <c r="EY272" s="1181"/>
      <c r="EZ272" s="1181"/>
      <c r="FA272" s="1181"/>
      <c r="FB272" s="1181"/>
      <c r="FC272" s="1181"/>
      <c r="FD272" s="1181"/>
      <c r="FE272" s="1181"/>
      <c r="FF272" s="1181"/>
      <c r="FG272" s="1181"/>
      <c r="FH272" s="1181"/>
      <c r="FI272" s="1181"/>
      <c r="FJ272" s="1181"/>
      <c r="FK272" s="1181"/>
      <c r="FL272" s="1181"/>
      <c r="FM272" s="1181"/>
      <c r="FN272" s="1181"/>
      <c r="FO272" s="1181"/>
      <c r="FP272" s="1181"/>
      <c r="FQ272" s="1181"/>
      <c r="FR272" s="1181"/>
      <c r="FS272" s="1181"/>
      <c r="FT272" s="1181"/>
      <c r="FU272" s="1181"/>
      <c r="FV272" s="1181"/>
      <c r="FW272" s="1181"/>
      <c r="FX272" s="1181"/>
      <c r="FY272" s="1181"/>
      <c r="FZ272" s="1181"/>
      <c r="GA272" s="1181"/>
      <c r="GB272" s="1181"/>
      <c r="GC272" s="1181"/>
      <c r="GD272" s="1181"/>
      <c r="GE272" s="1181"/>
      <c r="GF272" s="1181"/>
      <c r="GG272" s="1181"/>
      <c r="GH272" s="1181"/>
      <c r="GI272" s="1181"/>
      <c r="GJ272" s="1181"/>
      <c r="GK272" s="1181"/>
      <c r="GL272" s="1181"/>
      <c r="GM272" s="1181"/>
      <c r="GN272" s="1181"/>
      <c r="GO272" s="1181"/>
      <c r="GP272" s="1181"/>
      <c r="GQ272" s="1181"/>
      <c r="GR272" s="1181"/>
      <c r="GS272" s="1181"/>
      <c r="GT272" s="1181"/>
      <c r="GU272" s="1181"/>
      <c r="GV272" s="1181"/>
      <c r="GW272" s="1181"/>
      <c r="GX272" s="1181"/>
      <c r="GY272" s="1181"/>
      <c r="GZ272" s="1181"/>
      <c r="HA272" s="1181"/>
      <c r="HB272" s="1181"/>
      <c r="HC272" s="1181"/>
      <c r="HD272" s="1181"/>
      <c r="HE272" s="1181"/>
      <c r="HF272" s="1181"/>
      <c r="HG272" s="1181"/>
      <c r="HH272" s="1181"/>
      <c r="HI272" s="1181"/>
      <c r="HJ272" s="1181"/>
      <c r="HK272" s="1181"/>
      <c r="HL272" s="1181"/>
      <c r="HM272" s="1181"/>
      <c r="HN272" s="1181"/>
      <c r="HO272" s="1181"/>
    </row>
    <row r="273" spans="1:223" s="1183" customFormat="1" ht="21" thickTop="1">
      <c r="A273" s="1180"/>
      <c r="B273" s="1187"/>
      <c r="C273" s="1180"/>
      <c r="D273" s="1180"/>
      <c r="E273" s="1180"/>
      <c r="F273" s="1180"/>
      <c r="G273" s="1180"/>
      <c r="H273" s="1180"/>
      <c r="I273" s="1180"/>
      <c r="J273" s="1180"/>
      <c r="K273" s="1180"/>
      <c r="L273" s="1180"/>
      <c r="M273" s="1180"/>
      <c r="N273" s="1180"/>
      <c r="O273" s="1180"/>
      <c r="P273" s="1180"/>
      <c r="Q273" s="1180"/>
      <c r="R273" s="1180"/>
      <c r="S273" s="1180"/>
      <c r="T273" s="1180"/>
      <c r="U273" s="1180"/>
      <c r="V273" s="1180"/>
      <c r="W273" s="1180"/>
      <c r="X273" s="1180"/>
      <c r="Y273" s="1180"/>
      <c r="Z273" s="1234"/>
      <c r="AA273" s="1234"/>
      <c r="AB273" s="1234"/>
      <c r="AC273" s="1234"/>
      <c r="AD273" s="1234"/>
      <c r="AE273" s="1234"/>
      <c r="AF273" s="1234"/>
      <c r="AG273" s="1234"/>
      <c r="AH273" s="1234"/>
      <c r="AI273" s="1180"/>
      <c r="AJ273" s="1180"/>
      <c r="AK273" s="1180"/>
      <c r="AL273" s="1180"/>
      <c r="AM273" s="1180"/>
      <c r="AN273" s="1180"/>
      <c r="AO273" s="1180"/>
      <c r="AP273" s="1180"/>
      <c r="AQ273" s="1180"/>
      <c r="AR273" s="1180"/>
      <c r="AS273" s="1351"/>
      <c r="AT273" s="1182"/>
      <c r="AU273" s="1182"/>
      <c r="AV273" s="1182"/>
      <c r="AW273" s="1182"/>
      <c r="AX273" s="1182"/>
      <c r="AY273" s="1182"/>
      <c r="AZ273" s="1182"/>
      <c r="BA273" s="1182"/>
      <c r="BB273" s="1182"/>
      <c r="BC273" s="1182"/>
      <c r="BD273" s="1182"/>
      <c r="BE273" s="1182"/>
      <c r="BF273" s="1182"/>
      <c r="BG273" s="1182"/>
      <c r="BH273" s="1182"/>
      <c r="BI273" s="1182"/>
      <c r="BJ273" s="1182"/>
      <c r="BK273" s="1182"/>
      <c r="BL273" s="1182"/>
      <c r="BM273" s="1182"/>
      <c r="BN273" s="1182"/>
      <c r="BO273" s="1182"/>
      <c r="BP273" s="1182"/>
      <c r="BQ273" s="1182"/>
      <c r="BR273" s="1182"/>
      <c r="BS273" s="1182"/>
      <c r="BT273" s="1182"/>
      <c r="BU273" s="1182"/>
      <c r="BV273" s="1182"/>
      <c r="BW273" s="1182"/>
      <c r="BX273" s="1182"/>
      <c r="BY273" s="1182"/>
      <c r="BZ273" s="1181"/>
      <c r="CA273" s="1181"/>
      <c r="CB273" s="1181"/>
      <c r="CC273" s="1181"/>
      <c r="CD273" s="1508"/>
      <c r="CE273" s="1509"/>
      <c r="CF273" s="1508"/>
      <c r="CG273" s="1508"/>
      <c r="CH273" s="2020"/>
      <c r="CI273" s="1508"/>
      <c r="CJ273" s="1508"/>
      <c r="CK273" s="1508"/>
      <c r="CL273" s="1508"/>
      <c r="CM273" s="1508"/>
      <c r="CN273" s="1508"/>
      <c r="CO273" s="1508"/>
      <c r="CP273" s="1508"/>
      <c r="CQ273" s="1508"/>
      <c r="CR273" s="1510"/>
      <c r="CS273" s="1510"/>
      <c r="CT273" s="1511"/>
      <c r="CU273" s="1511"/>
      <c r="CV273" s="1511"/>
      <c r="CW273" s="1511"/>
      <c r="CX273" s="1511"/>
      <c r="CY273" s="1511"/>
      <c r="CZ273" s="1511"/>
      <c r="DA273" s="1511"/>
      <c r="DB273" s="1511"/>
      <c r="DC273" s="1511"/>
      <c r="DD273" s="1511"/>
      <c r="DE273" s="1182"/>
      <c r="DF273" s="1182"/>
      <c r="DG273" s="1182"/>
      <c r="DH273" s="1182"/>
      <c r="DI273" s="1182"/>
      <c r="DJ273" s="1182"/>
      <c r="DK273" s="1182"/>
      <c r="DL273" s="1182"/>
      <c r="DM273" s="1182"/>
      <c r="DN273" s="1182"/>
      <c r="DO273" s="1182"/>
      <c r="DP273" s="1182"/>
      <c r="DQ273" s="1182"/>
      <c r="DR273" s="1182"/>
      <c r="DS273" s="1181"/>
      <c r="DT273" s="1181"/>
      <c r="DU273" s="1181"/>
      <c r="DV273" s="1181"/>
      <c r="DW273" s="1181"/>
      <c r="DX273" s="1181"/>
      <c r="DY273" s="1181"/>
      <c r="DZ273" s="1181"/>
      <c r="EA273" s="1181"/>
      <c r="EB273" s="1181"/>
      <c r="EC273" s="1181"/>
      <c r="ED273" s="1181"/>
      <c r="EE273" s="1181"/>
      <c r="EF273" s="1181"/>
      <c r="EG273" s="1181"/>
      <c r="EH273" s="1181"/>
      <c r="EI273" s="1181"/>
      <c r="EJ273" s="1181"/>
      <c r="EK273" s="1181"/>
      <c r="EL273" s="1181"/>
      <c r="EM273" s="1181"/>
      <c r="EN273" s="1181"/>
      <c r="EO273" s="1181"/>
      <c r="EP273" s="1181"/>
      <c r="EQ273" s="1181"/>
      <c r="ER273" s="1181"/>
      <c r="ES273" s="1181"/>
      <c r="ET273" s="1181"/>
      <c r="EU273" s="1181"/>
      <c r="EV273" s="1181"/>
      <c r="EW273" s="1181"/>
      <c r="EX273" s="1181"/>
      <c r="EY273" s="1181"/>
      <c r="EZ273" s="1181"/>
      <c r="FA273" s="1181"/>
      <c r="FB273" s="1181"/>
      <c r="FC273" s="1181"/>
      <c r="FD273" s="1181"/>
      <c r="FE273" s="1181"/>
      <c r="FF273" s="1181"/>
      <c r="FG273" s="1181"/>
      <c r="FH273" s="1181"/>
      <c r="FI273" s="1181"/>
      <c r="FJ273" s="1181"/>
      <c r="FK273" s="1181"/>
      <c r="FL273" s="1181"/>
      <c r="FM273" s="1181"/>
      <c r="FN273" s="1181"/>
      <c r="FO273" s="1181"/>
      <c r="FP273" s="1181"/>
      <c r="FQ273" s="1181"/>
      <c r="FR273" s="1181"/>
      <c r="FS273" s="1181"/>
      <c r="FT273" s="1181"/>
      <c r="FU273" s="1181"/>
      <c r="FV273" s="1181"/>
      <c r="FW273" s="1181"/>
      <c r="FX273" s="1181"/>
      <c r="FY273" s="1181"/>
      <c r="FZ273" s="1181"/>
      <c r="GA273" s="1181"/>
      <c r="GB273" s="1181"/>
      <c r="GC273" s="1181"/>
      <c r="GD273" s="1181"/>
      <c r="GE273" s="1181"/>
      <c r="GF273" s="1181"/>
      <c r="GG273" s="1181"/>
      <c r="GH273" s="1181"/>
      <c r="GI273" s="1181"/>
      <c r="GJ273" s="1181"/>
      <c r="GK273" s="1181"/>
      <c r="GL273" s="1181"/>
      <c r="GM273" s="1181"/>
      <c r="GN273" s="1181"/>
      <c r="GO273" s="1181"/>
      <c r="GP273" s="1181"/>
      <c r="GQ273" s="1181"/>
      <c r="GR273" s="1181"/>
      <c r="GS273" s="1181"/>
      <c r="GT273" s="1181"/>
      <c r="GU273" s="1181"/>
      <c r="GV273" s="1181"/>
      <c r="GW273" s="1181"/>
      <c r="GX273" s="1181"/>
      <c r="GY273" s="1181"/>
      <c r="GZ273" s="1181"/>
      <c r="HA273" s="1181"/>
      <c r="HB273" s="1181"/>
      <c r="HC273" s="1181"/>
      <c r="HD273" s="1181"/>
      <c r="HE273" s="1181"/>
      <c r="HF273" s="1181"/>
      <c r="HG273" s="1181"/>
      <c r="HH273" s="1181"/>
      <c r="HI273" s="1181"/>
      <c r="HJ273" s="1181"/>
      <c r="HK273" s="1181"/>
      <c r="HL273" s="1181"/>
      <c r="HM273" s="1181"/>
      <c r="HN273" s="1181"/>
      <c r="HO273" s="1181"/>
    </row>
    <row r="274" spans="1:223" s="1183" customFormat="1" ht="21" thickBot="1">
      <c r="A274" s="1180"/>
      <c r="B274" s="1186" t="s">
        <v>1086</v>
      </c>
      <c r="C274" s="1180"/>
      <c r="D274" s="1199">
        <f>H252+T262</f>
        <v>0</v>
      </c>
      <c r="E274" s="1180"/>
      <c r="F274" s="1180"/>
      <c r="G274" s="1180"/>
      <c r="H274" s="1180"/>
      <c r="I274" s="1180"/>
      <c r="J274" s="1180"/>
      <c r="K274" s="1180"/>
      <c r="L274" s="1180"/>
      <c r="M274" s="1180"/>
      <c r="N274" s="1180"/>
      <c r="O274" s="1180"/>
      <c r="P274" s="1180"/>
      <c r="Q274" s="1180"/>
      <c r="R274" s="1180"/>
      <c r="S274" s="1180"/>
      <c r="T274" s="1180"/>
      <c r="U274" s="1180"/>
      <c r="V274" s="1180"/>
      <c r="W274" s="1180"/>
      <c r="X274" s="1180"/>
      <c r="Y274" s="1180"/>
      <c r="Z274" s="1234"/>
      <c r="AA274" s="1234"/>
      <c r="AB274" s="1234"/>
      <c r="AC274" s="1234"/>
      <c r="AD274" s="1234"/>
      <c r="AE274" s="1234"/>
      <c r="AF274" s="1234"/>
      <c r="AG274" s="1234"/>
      <c r="AH274" s="1234"/>
      <c r="AI274" s="1180"/>
      <c r="AJ274" s="1180"/>
      <c r="AK274" s="1180"/>
      <c r="AL274" s="1180"/>
      <c r="AM274" s="1180"/>
      <c r="AN274" s="1180"/>
      <c r="AO274" s="1180"/>
      <c r="AP274" s="1180"/>
      <c r="AQ274" s="1180"/>
      <c r="AR274" s="1180"/>
      <c r="AS274" s="1351"/>
      <c r="AT274" s="1182"/>
      <c r="AU274" s="1182"/>
      <c r="AV274" s="1182"/>
      <c r="AW274" s="1182"/>
      <c r="AX274" s="1182"/>
      <c r="AY274" s="1182"/>
      <c r="AZ274" s="1182"/>
      <c r="BA274" s="1182"/>
      <c r="BB274" s="1182"/>
      <c r="BC274" s="1182"/>
      <c r="BD274" s="1182"/>
      <c r="BE274" s="1182"/>
      <c r="BF274" s="1182"/>
      <c r="BG274" s="1182"/>
      <c r="BH274" s="1182"/>
      <c r="BI274" s="1182"/>
      <c r="BJ274" s="1182"/>
      <c r="BK274" s="1182"/>
      <c r="BL274" s="1182"/>
      <c r="BM274" s="1182"/>
      <c r="BN274" s="1182"/>
      <c r="BO274" s="1182"/>
      <c r="BP274" s="1182"/>
      <c r="BQ274" s="1182"/>
      <c r="BR274" s="1182"/>
      <c r="BS274" s="1182"/>
      <c r="BT274" s="1182"/>
      <c r="BU274" s="1182"/>
      <c r="BV274" s="1182"/>
      <c r="BW274" s="1182"/>
      <c r="BX274" s="1182"/>
      <c r="BY274" s="1182"/>
      <c r="BZ274" s="1181"/>
      <c r="CA274" s="1181"/>
      <c r="CB274" s="1181"/>
      <c r="CC274" s="1181"/>
      <c r="CD274" s="1508"/>
      <c r="CE274" s="1509"/>
      <c r="CF274" s="1508"/>
      <c r="CG274" s="1508"/>
      <c r="CH274" s="2020"/>
      <c r="CI274" s="1508"/>
      <c r="CJ274" s="1508"/>
      <c r="CK274" s="1508"/>
      <c r="CL274" s="1508"/>
      <c r="CM274" s="1508"/>
      <c r="CN274" s="1508"/>
      <c r="CO274" s="1508"/>
      <c r="CP274" s="1508"/>
      <c r="CQ274" s="1508"/>
      <c r="CR274" s="1510"/>
      <c r="CS274" s="1510"/>
      <c r="CT274" s="1511"/>
      <c r="CU274" s="1511"/>
      <c r="CV274" s="1511"/>
      <c r="CW274" s="1511"/>
      <c r="CX274" s="1511"/>
      <c r="CY274" s="1511"/>
      <c r="CZ274" s="1511"/>
      <c r="DA274" s="1511"/>
      <c r="DB274" s="1511"/>
      <c r="DC274" s="1511"/>
      <c r="DD274" s="1511"/>
      <c r="DE274" s="1182"/>
      <c r="DF274" s="1182"/>
      <c r="DG274" s="1182"/>
      <c r="DH274" s="1182"/>
      <c r="DI274" s="1182"/>
      <c r="DJ274" s="1182"/>
      <c r="DK274" s="1182"/>
      <c r="DL274" s="1182"/>
      <c r="DM274" s="1182"/>
      <c r="DN274" s="1182"/>
      <c r="DO274" s="1182"/>
      <c r="DP274" s="1182"/>
      <c r="DQ274" s="1182"/>
      <c r="DR274" s="1182"/>
      <c r="DS274" s="1181"/>
      <c r="DT274" s="1181"/>
      <c r="DU274" s="1181"/>
      <c r="DV274" s="1181"/>
      <c r="DW274" s="1181"/>
      <c r="DX274" s="1181"/>
      <c r="DY274" s="1181"/>
      <c r="DZ274" s="1181"/>
      <c r="EA274" s="1181"/>
      <c r="EB274" s="1181"/>
      <c r="EC274" s="1181"/>
      <c r="ED274" s="1181"/>
      <c r="EE274" s="1181"/>
      <c r="EF274" s="1181"/>
      <c r="EG274" s="1181"/>
      <c r="EH274" s="1181"/>
      <c r="EI274" s="1181"/>
      <c r="EJ274" s="1181"/>
      <c r="EK274" s="1181"/>
      <c r="EL274" s="1181"/>
      <c r="EM274" s="1181"/>
      <c r="EN274" s="1181"/>
      <c r="EO274" s="1181"/>
      <c r="EP274" s="1181"/>
      <c r="EQ274" s="1181"/>
      <c r="ER274" s="1181"/>
      <c r="ES274" s="1181"/>
      <c r="ET274" s="1181"/>
      <c r="EU274" s="1181"/>
      <c r="EV274" s="1181"/>
      <c r="EW274" s="1181"/>
      <c r="EX274" s="1181"/>
      <c r="EY274" s="1181"/>
      <c r="EZ274" s="1181"/>
      <c r="FA274" s="1181"/>
      <c r="FB274" s="1181"/>
      <c r="FC274" s="1181"/>
      <c r="FD274" s="1181"/>
      <c r="FE274" s="1181"/>
      <c r="FF274" s="1181"/>
      <c r="FG274" s="1181"/>
      <c r="FH274" s="1181"/>
      <c r="FI274" s="1181"/>
      <c r="FJ274" s="1181"/>
      <c r="FK274" s="1181"/>
      <c r="FL274" s="1181"/>
      <c r="FM274" s="1181"/>
      <c r="FN274" s="1181"/>
      <c r="FO274" s="1181"/>
      <c r="FP274" s="1181"/>
      <c r="FQ274" s="1181"/>
      <c r="FR274" s="1181"/>
      <c r="FS274" s="1181"/>
      <c r="FT274" s="1181"/>
      <c r="FU274" s="1181"/>
      <c r="FV274" s="1181"/>
      <c r="FW274" s="1181"/>
      <c r="FX274" s="1181"/>
      <c r="FY274" s="1181"/>
      <c r="FZ274" s="1181"/>
      <c r="GA274" s="1181"/>
      <c r="GB274" s="1181"/>
      <c r="GC274" s="1181"/>
      <c r="GD274" s="1181"/>
      <c r="GE274" s="1181"/>
      <c r="GF274" s="1181"/>
      <c r="GG274" s="1181"/>
      <c r="GH274" s="1181"/>
      <c r="GI274" s="1181"/>
      <c r="GJ274" s="1181"/>
      <c r="GK274" s="1181"/>
      <c r="GL274" s="1181"/>
      <c r="GM274" s="1181"/>
      <c r="GN274" s="1181"/>
      <c r="GO274" s="1181"/>
      <c r="GP274" s="1181"/>
      <c r="GQ274" s="1181"/>
      <c r="GR274" s="1181"/>
      <c r="GS274" s="1181"/>
      <c r="GT274" s="1181"/>
      <c r="GU274" s="1181"/>
      <c r="GV274" s="1181"/>
      <c r="GW274" s="1181"/>
      <c r="GX274" s="1181"/>
      <c r="GY274" s="1181"/>
      <c r="GZ274" s="1181"/>
      <c r="HA274" s="1181"/>
      <c r="HB274" s="1181"/>
      <c r="HC274" s="1181"/>
      <c r="HD274" s="1181"/>
      <c r="HE274" s="1181"/>
      <c r="HF274" s="1181"/>
      <c r="HG274" s="1181"/>
      <c r="HH274" s="1181"/>
      <c r="HI274" s="1181"/>
      <c r="HJ274" s="1181"/>
      <c r="HK274" s="1181"/>
      <c r="HL274" s="1181"/>
      <c r="HM274" s="1181"/>
      <c r="HN274" s="1181"/>
      <c r="HO274" s="1181"/>
    </row>
    <row r="275" spans="1:223" s="1183" customFormat="1" ht="21" thickTop="1">
      <c r="A275" s="1180"/>
      <c r="B275" s="1187"/>
      <c r="C275" s="1180"/>
      <c r="D275" s="1180"/>
      <c r="E275" s="1180"/>
      <c r="F275" s="1180"/>
      <c r="G275" s="1180"/>
      <c r="H275" s="1180"/>
      <c r="I275" s="1180"/>
      <c r="J275" s="1180"/>
      <c r="K275" s="1180"/>
      <c r="L275" s="1180"/>
      <c r="M275" s="1180"/>
      <c r="N275" s="1180"/>
      <c r="O275" s="1180"/>
      <c r="P275" s="1180"/>
      <c r="Q275" s="1180"/>
      <c r="R275" s="1180"/>
      <c r="S275" s="1180"/>
      <c r="T275" s="1180"/>
      <c r="U275" s="1180"/>
      <c r="V275" s="1180"/>
      <c r="W275" s="1180"/>
      <c r="X275" s="1180"/>
      <c r="Y275" s="1180"/>
      <c r="Z275" s="1234"/>
      <c r="AA275" s="1234"/>
      <c r="AB275" s="1234"/>
      <c r="AC275" s="1234"/>
      <c r="AD275" s="1234"/>
      <c r="AE275" s="1234"/>
      <c r="AF275" s="1234"/>
      <c r="AG275" s="1234"/>
      <c r="AH275" s="1234"/>
      <c r="AI275" s="1180"/>
      <c r="AJ275" s="1180"/>
      <c r="AK275" s="1180"/>
      <c r="AL275" s="1180"/>
      <c r="AM275" s="1180"/>
      <c r="AN275" s="1180"/>
      <c r="AO275" s="1180"/>
      <c r="AP275" s="1180"/>
      <c r="AQ275" s="1180"/>
      <c r="AR275" s="1180"/>
      <c r="AS275" s="1351"/>
      <c r="AT275" s="1182"/>
      <c r="AU275" s="1182"/>
      <c r="AV275" s="1182"/>
      <c r="AW275" s="1182"/>
      <c r="AX275" s="1182"/>
      <c r="AY275" s="1182"/>
      <c r="AZ275" s="1182"/>
      <c r="BA275" s="1182"/>
      <c r="BB275" s="1182"/>
      <c r="BC275" s="1182"/>
      <c r="BD275" s="1182"/>
      <c r="BE275" s="1182"/>
      <c r="BF275" s="1182"/>
      <c r="BG275" s="1182"/>
      <c r="BH275" s="1182"/>
      <c r="BI275" s="1182"/>
      <c r="BJ275" s="1182"/>
      <c r="BK275" s="1182"/>
      <c r="BL275" s="1182"/>
      <c r="BM275" s="1182"/>
      <c r="BN275" s="1182"/>
      <c r="BO275" s="1182"/>
      <c r="BP275" s="1182"/>
      <c r="BQ275" s="1182"/>
      <c r="BR275" s="1182"/>
      <c r="BS275" s="1182"/>
      <c r="BT275" s="1182"/>
      <c r="BU275" s="1182"/>
      <c r="BV275" s="1182"/>
      <c r="BW275" s="1182"/>
      <c r="BX275" s="1182"/>
      <c r="BY275" s="1182"/>
      <c r="BZ275" s="1181"/>
      <c r="CA275" s="1181"/>
      <c r="CB275" s="1181"/>
      <c r="CC275" s="1181"/>
      <c r="CD275" s="1508"/>
      <c r="CE275" s="1509"/>
      <c r="CF275" s="1508"/>
      <c r="CG275" s="1508"/>
      <c r="CH275" s="2020"/>
      <c r="CI275" s="1508"/>
      <c r="CJ275" s="1508"/>
      <c r="CK275" s="1508"/>
      <c r="CL275" s="1508"/>
      <c r="CM275" s="1508"/>
      <c r="CN275" s="1508"/>
      <c r="CO275" s="1508"/>
      <c r="CP275" s="1508"/>
      <c r="CQ275" s="1508"/>
      <c r="CR275" s="1510"/>
      <c r="CS275" s="1510"/>
      <c r="CT275" s="1511"/>
      <c r="CU275" s="1511"/>
      <c r="CV275" s="1511"/>
      <c r="CW275" s="1511"/>
      <c r="CX275" s="1511"/>
      <c r="CY275" s="1511"/>
      <c r="CZ275" s="1511"/>
      <c r="DA275" s="1511"/>
      <c r="DB275" s="1511"/>
      <c r="DC275" s="1511"/>
      <c r="DD275" s="1511"/>
      <c r="DE275" s="1182"/>
      <c r="DF275" s="1182"/>
      <c r="DG275" s="1182"/>
      <c r="DH275" s="1182"/>
      <c r="DI275" s="1182"/>
      <c r="DJ275" s="1182"/>
      <c r="DK275" s="1182"/>
      <c r="DL275" s="1182"/>
      <c r="DM275" s="1182"/>
      <c r="DN275" s="1182"/>
      <c r="DO275" s="1182"/>
      <c r="DP275" s="1182"/>
      <c r="DQ275" s="1182"/>
      <c r="DR275" s="1182"/>
      <c r="DS275" s="1181"/>
      <c r="DT275" s="1181"/>
      <c r="DU275" s="1181"/>
      <c r="DV275" s="1181"/>
      <c r="DW275" s="1181"/>
      <c r="DX275" s="1181"/>
      <c r="DY275" s="1181"/>
      <c r="DZ275" s="1181"/>
      <c r="EA275" s="1181"/>
      <c r="EB275" s="1181"/>
      <c r="EC275" s="1181"/>
      <c r="ED275" s="1181"/>
      <c r="EE275" s="1181"/>
      <c r="EF275" s="1181"/>
      <c r="EG275" s="1181"/>
      <c r="EH275" s="1181"/>
      <c r="EI275" s="1181"/>
      <c r="EJ275" s="1181"/>
      <c r="EK275" s="1181"/>
      <c r="EL275" s="1181"/>
      <c r="EM275" s="1181"/>
      <c r="EN275" s="1181"/>
      <c r="EO275" s="1181"/>
      <c r="EP275" s="1181"/>
      <c r="EQ275" s="1181"/>
      <c r="ER275" s="1181"/>
      <c r="ES275" s="1181"/>
      <c r="ET275" s="1181"/>
      <c r="EU275" s="1181"/>
      <c r="EV275" s="1181"/>
      <c r="EW275" s="1181"/>
      <c r="EX275" s="1181"/>
      <c r="EY275" s="1181"/>
      <c r="EZ275" s="1181"/>
      <c r="FA275" s="1181"/>
      <c r="FB275" s="1181"/>
      <c r="FC275" s="1181"/>
      <c r="FD275" s="1181"/>
      <c r="FE275" s="1181"/>
      <c r="FF275" s="1181"/>
      <c r="FG275" s="1181"/>
      <c r="FH275" s="1181"/>
      <c r="FI275" s="1181"/>
      <c r="FJ275" s="1181"/>
      <c r="FK275" s="1181"/>
      <c r="FL275" s="1181"/>
      <c r="FM275" s="1181"/>
      <c r="FN275" s="1181"/>
      <c r="FO275" s="1181"/>
      <c r="FP275" s="1181"/>
      <c r="FQ275" s="1181"/>
      <c r="FR275" s="1181"/>
      <c r="FS275" s="1181"/>
      <c r="FT275" s="1181"/>
      <c r="FU275" s="1181"/>
      <c r="FV275" s="1181"/>
      <c r="FW275" s="1181"/>
      <c r="FX275" s="1181"/>
      <c r="FY275" s="1181"/>
      <c r="FZ275" s="1181"/>
      <c r="GA275" s="1181"/>
      <c r="GB275" s="1181"/>
      <c r="GC275" s="1181"/>
      <c r="GD275" s="1181"/>
      <c r="GE275" s="1181"/>
      <c r="GF275" s="1181"/>
      <c r="GG275" s="1181"/>
      <c r="GH275" s="1181"/>
      <c r="GI275" s="1181"/>
      <c r="GJ275" s="1181"/>
      <c r="GK275" s="1181"/>
      <c r="GL275" s="1181"/>
      <c r="GM275" s="1181"/>
      <c r="GN275" s="1181"/>
      <c r="GO275" s="1181"/>
      <c r="GP275" s="1181"/>
      <c r="GQ275" s="1181"/>
      <c r="GR275" s="1181"/>
      <c r="GS275" s="1181"/>
      <c r="GT275" s="1181"/>
      <c r="GU275" s="1181"/>
      <c r="GV275" s="1181"/>
      <c r="GW275" s="1181"/>
      <c r="GX275" s="1181"/>
      <c r="GY275" s="1181"/>
      <c r="GZ275" s="1181"/>
      <c r="HA275" s="1181"/>
      <c r="HB275" s="1181"/>
      <c r="HC275" s="1181"/>
      <c r="HD275" s="1181"/>
      <c r="HE275" s="1181"/>
      <c r="HF275" s="1181"/>
      <c r="HG275" s="1181"/>
      <c r="HH275" s="1181"/>
      <c r="HI275" s="1181"/>
      <c r="HJ275" s="1181"/>
      <c r="HK275" s="1181"/>
      <c r="HL275" s="1181"/>
      <c r="HM275" s="1181"/>
      <c r="HN275" s="1181"/>
      <c r="HO275" s="1181"/>
    </row>
    <row r="276" spans="1:223" s="1183" customFormat="1" ht="21" thickBot="1">
      <c r="A276" s="1180"/>
      <c r="B276" s="1186" t="s">
        <v>295</v>
      </c>
      <c r="C276" s="1180"/>
      <c r="D276" s="1199">
        <f>D270+D272+D274</f>
        <v>200.15000000000003</v>
      </c>
      <c r="E276" s="1180"/>
      <c r="F276" s="1180"/>
      <c r="G276" s="1180"/>
      <c r="H276" s="1180"/>
      <c r="I276" s="1180"/>
      <c r="J276" s="1180"/>
      <c r="K276" s="1180"/>
      <c r="L276" s="1180"/>
      <c r="M276" s="1180"/>
      <c r="N276" s="1180"/>
      <c r="O276" s="1180"/>
      <c r="P276" s="1180"/>
      <c r="Q276" s="1180"/>
      <c r="R276" s="1180"/>
      <c r="S276" s="1180"/>
      <c r="T276" s="1180"/>
      <c r="U276" s="1180"/>
      <c r="V276" s="1180"/>
      <c r="W276" s="1180"/>
      <c r="X276" s="1180"/>
      <c r="Y276" s="1180"/>
      <c r="Z276" s="1234"/>
      <c r="AA276" s="1234"/>
      <c r="AB276" s="1234"/>
      <c r="AC276" s="1234"/>
      <c r="AD276" s="1234"/>
      <c r="AE276" s="1234"/>
      <c r="AF276" s="1234"/>
      <c r="AG276" s="1234"/>
      <c r="AH276" s="1234"/>
      <c r="AI276" s="1180"/>
      <c r="AJ276" s="1180"/>
      <c r="AK276" s="1180"/>
      <c r="AL276" s="1180"/>
      <c r="AM276" s="1180"/>
      <c r="AN276" s="1180"/>
      <c r="AO276" s="1180"/>
      <c r="AP276" s="1180"/>
      <c r="AQ276" s="1180"/>
      <c r="AR276" s="1180"/>
      <c r="AS276" s="1351"/>
      <c r="AT276" s="1182"/>
      <c r="AU276" s="1182"/>
      <c r="AV276" s="1182"/>
      <c r="AW276" s="1182"/>
      <c r="AX276" s="1182"/>
      <c r="AY276" s="1182"/>
      <c r="AZ276" s="1182"/>
      <c r="BA276" s="1182"/>
      <c r="BB276" s="1182"/>
      <c r="BC276" s="1182"/>
      <c r="BD276" s="1182"/>
      <c r="BE276" s="1182"/>
      <c r="BF276" s="1182"/>
      <c r="BG276" s="1182"/>
      <c r="BH276" s="1182"/>
      <c r="BI276" s="1182"/>
      <c r="BJ276" s="1182"/>
      <c r="BK276" s="1182"/>
      <c r="BL276" s="1182"/>
      <c r="BM276" s="1182"/>
      <c r="BN276" s="1182"/>
      <c r="BO276" s="1182"/>
      <c r="BP276" s="1182"/>
      <c r="BQ276" s="1182"/>
      <c r="BR276" s="1182"/>
      <c r="BS276" s="1182"/>
      <c r="BT276" s="1182"/>
      <c r="BU276" s="1182"/>
      <c r="BV276" s="1182"/>
      <c r="BW276" s="1182"/>
      <c r="BX276" s="1182"/>
      <c r="BY276" s="1182"/>
      <c r="BZ276" s="1181"/>
      <c r="CA276" s="1181"/>
      <c r="CB276" s="1181"/>
      <c r="CC276" s="1181"/>
      <c r="CD276" s="1508"/>
      <c r="CE276" s="1509"/>
      <c r="CF276" s="1508"/>
      <c r="CG276" s="1508"/>
      <c r="CH276" s="2020"/>
      <c r="CI276" s="1508"/>
      <c r="CJ276" s="1508"/>
      <c r="CK276" s="1508"/>
      <c r="CL276" s="1508"/>
      <c r="CM276" s="1508"/>
      <c r="CN276" s="1508"/>
      <c r="CO276" s="1508"/>
      <c r="CP276" s="1508"/>
      <c r="CQ276" s="1508"/>
      <c r="CR276" s="1510"/>
      <c r="CS276" s="1510"/>
      <c r="CT276" s="1511"/>
      <c r="CU276" s="1511"/>
      <c r="CV276" s="1511"/>
      <c r="CW276" s="1511"/>
      <c r="CX276" s="1511"/>
      <c r="CY276" s="1511"/>
      <c r="CZ276" s="1511"/>
      <c r="DA276" s="1511"/>
      <c r="DB276" s="1511"/>
      <c r="DC276" s="1511"/>
      <c r="DD276" s="1511"/>
      <c r="DE276" s="1182"/>
      <c r="DF276" s="1182"/>
      <c r="DG276" s="1182"/>
      <c r="DH276" s="1182"/>
      <c r="DI276" s="1182"/>
      <c r="DJ276" s="1182"/>
      <c r="DK276" s="1182"/>
      <c r="DL276" s="1182"/>
      <c r="DM276" s="1182"/>
      <c r="DN276" s="1182"/>
      <c r="DO276" s="1182"/>
      <c r="DP276" s="1182"/>
      <c r="DQ276" s="1182"/>
      <c r="DR276" s="1182"/>
      <c r="DS276" s="1181"/>
      <c r="DT276" s="1181"/>
      <c r="DU276" s="1181"/>
      <c r="DV276" s="1181"/>
      <c r="DW276" s="1181"/>
      <c r="DX276" s="1181"/>
      <c r="DY276" s="1181"/>
      <c r="DZ276" s="1181"/>
      <c r="EA276" s="1181"/>
      <c r="EB276" s="1181"/>
      <c r="EC276" s="1181"/>
      <c r="ED276" s="1181"/>
      <c r="EE276" s="1181"/>
      <c r="EF276" s="1181"/>
      <c r="EG276" s="1181"/>
      <c r="EH276" s="1181"/>
      <c r="EI276" s="1181"/>
      <c r="EJ276" s="1181"/>
      <c r="EK276" s="1181"/>
      <c r="EL276" s="1181"/>
      <c r="EM276" s="1181"/>
      <c r="EN276" s="1181"/>
      <c r="EO276" s="1181"/>
      <c r="EP276" s="1181"/>
      <c r="EQ276" s="1181"/>
      <c r="ER276" s="1181"/>
      <c r="ES276" s="1181"/>
      <c r="ET276" s="1181"/>
      <c r="EU276" s="1181"/>
      <c r="EV276" s="1181"/>
      <c r="EW276" s="1181"/>
      <c r="EX276" s="1181"/>
      <c r="EY276" s="1181"/>
      <c r="EZ276" s="1181"/>
      <c r="FA276" s="1181"/>
      <c r="FB276" s="1181"/>
      <c r="FC276" s="1181"/>
      <c r="FD276" s="1181"/>
      <c r="FE276" s="1181"/>
      <c r="FF276" s="1181"/>
      <c r="FG276" s="1181"/>
      <c r="FH276" s="1181"/>
      <c r="FI276" s="1181"/>
      <c r="FJ276" s="1181"/>
      <c r="FK276" s="1181"/>
      <c r="FL276" s="1181"/>
      <c r="FM276" s="1181"/>
      <c r="FN276" s="1181"/>
      <c r="FO276" s="1181"/>
      <c r="FP276" s="1181"/>
      <c r="FQ276" s="1181"/>
      <c r="FR276" s="1181"/>
      <c r="FS276" s="1181"/>
      <c r="FT276" s="1181"/>
      <c r="FU276" s="1181"/>
      <c r="FV276" s="1181"/>
      <c r="FW276" s="1181"/>
      <c r="FX276" s="1181"/>
      <c r="FY276" s="1181"/>
      <c r="FZ276" s="1181"/>
      <c r="GA276" s="1181"/>
      <c r="GB276" s="1181"/>
      <c r="GC276" s="1181"/>
      <c r="GD276" s="1181"/>
      <c r="GE276" s="1181"/>
      <c r="GF276" s="1181"/>
      <c r="GG276" s="1181"/>
      <c r="GH276" s="1181"/>
      <c r="GI276" s="1181"/>
      <c r="GJ276" s="1181"/>
      <c r="GK276" s="1181"/>
      <c r="GL276" s="1181"/>
      <c r="GM276" s="1181"/>
      <c r="GN276" s="1181"/>
      <c r="GO276" s="1181"/>
      <c r="GP276" s="1181"/>
      <c r="GQ276" s="1181"/>
      <c r="GR276" s="1181"/>
      <c r="GS276" s="1181"/>
      <c r="GT276" s="1181"/>
      <c r="GU276" s="1181"/>
      <c r="GV276" s="1181"/>
      <c r="GW276" s="1181"/>
      <c r="GX276" s="1181"/>
      <c r="GY276" s="1181"/>
      <c r="GZ276" s="1181"/>
      <c r="HA276" s="1181"/>
      <c r="HB276" s="1181"/>
      <c r="HC276" s="1181"/>
      <c r="HD276" s="1181"/>
      <c r="HE276" s="1181"/>
      <c r="HF276" s="1181"/>
      <c r="HG276" s="1181"/>
      <c r="HH276" s="1181"/>
      <c r="HI276" s="1181"/>
      <c r="HJ276" s="1181"/>
      <c r="HK276" s="1181"/>
      <c r="HL276" s="1181"/>
      <c r="HM276" s="1181"/>
      <c r="HN276" s="1181"/>
      <c r="HO276" s="1181"/>
    </row>
    <row r="277" spans="1:223" s="1183" customFormat="1" ht="21" thickTop="1">
      <c r="A277" s="1180"/>
      <c r="B277" s="1180"/>
      <c r="C277" s="1180"/>
      <c r="D277" s="1180"/>
      <c r="E277" s="1180"/>
      <c r="F277" s="1180"/>
      <c r="G277" s="1180"/>
      <c r="H277" s="1180"/>
      <c r="I277" s="1180"/>
      <c r="J277" s="1180"/>
      <c r="K277" s="1180"/>
      <c r="L277" s="1180"/>
      <c r="M277" s="1180"/>
      <c r="N277" s="1180"/>
      <c r="O277" s="1180"/>
      <c r="P277" s="1180"/>
      <c r="Q277" s="1180"/>
      <c r="R277" s="1180"/>
      <c r="S277" s="1180"/>
      <c r="T277" s="1180"/>
      <c r="U277" s="1180"/>
      <c r="V277" s="1180"/>
      <c r="W277" s="1180"/>
      <c r="X277" s="1180"/>
      <c r="Y277" s="1180"/>
      <c r="Z277" s="1234"/>
      <c r="AA277" s="1234"/>
      <c r="AB277" s="1234"/>
      <c r="AC277" s="1234"/>
      <c r="AD277" s="1234"/>
      <c r="AE277" s="1234"/>
      <c r="AF277" s="1234"/>
      <c r="AG277" s="1234"/>
      <c r="AH277" s="1234"/>
      <c r="AI277" s="1180"/>
      <c r="AJ277" s="1180"/>
      <c r="AK277" s="1180"/>
      <c r="AL277" s="1180"/>
      <c r="AM277" s="1180"/>
      <c r="AN277" s="1180"/>
      <c r="AO277" s="1180"/>
      <c r="AP277" s="1180"/>
      <c r="AQ277" s="1180"/>
      <c r="AR277" s="1180"/>
      <c r="AS277" s="1351"/>
      <c r="AT277" s="1182"/>
      <c r="AU277" s="1182"/>
      <c r="AV277" s="1182"/>
      <c r="AW277" s="1182"/>
      <c r="AX277" s="1182"/>
      <c r="AY277" s="1182"/>
      <c r="AZ277" s="1182"/>
      <c r="BA277" s="1182"/>
      <c r="BB277" s="1182"/>
      <c r="BC277" s="1182"/>
      <c r="BD277" s="1182"/>
      <c r="BE277" s="1182"/>
      <c r="BF277" s="1182"/>
      <c r="BG277" s="1182"/>
      <c r="BH277" s="1182"/>
      <c r="BI277" s="1182"/>
      <c r="BJ277" s="1182"/>
      <c r="BK277" s="1182"/>
      <c r="BL277" s="1182"/>
      <c r="BM277" s="1182"/>
      <c r="BN277" s="1182"/>
      <c r="BO277" s="1182"/>
      <c r="BP277" s="1182"/>
      <c r="BQ277" s="1182"/>
      <c r="BR277" s="1182"/>
      <c r="BS277" s="1182"/>
      <c r="BT277" s="1182"/>
      <c r="BU277" s="1182"/>
      <c r="BV277" s="1182"/>
      <c r="BW277" s="1182"/>
      <c r="BX277" s="1182"/>
      <c r="BY277" s="1182"/>
      <c r="BZ277" s="1181"/>
      <c r="CA277" s="1181"/>
      <c r="CB277" s="1181"/>
      <c r="CC277" s="1181"/>
      <c r="CD277" s="1508"/>
      <c r="CE277" s="1509"/>
      <c r="CF277" s="1508"/>
      <c r="CG277" s="1508"/>
      <c r="CH277" s="2020"/>
      <c r="CI277" s="1508"/>
      <c r="CJ277" s="1508"/>
      <c r="CK277" s="1508"/>
      <c r="CL277" s="1508"/>
      <c r="CM277" s="1508"/>
      <c r="CN277" s="1508"/>
      <c r="CO277" s="1508"/>
      <c r="CP277" s="1508"/>
      <c r="CQ277" s="1508"/>
      <c r="CR277" s="1510"/>
      <c r="CS277" s="1510"/>
      <c r="CT277" s="1511"/>
      <c r="CU277" s="1511"/>
      <c r="CV277" s="1511"/>
      <c r="CW277" s="1511"/>
      <c r="CX277" s="1511"/>
      <c r="CY277" s="1511"/>
      <c r="CZ277" s="1511"/>
      <c r="DA277" s="1511"/>
      <c r="DB277" s="1511"/>
      <c r="DC277" s="1511"/>
      <c r="DD277" s="1511"/>
      <c r="DE277" s="1182"/>
      <c r="DF277" s="1182"/>
      <c r="DG277" s="1182"/>
      <c r="DH277" s="1182"/>
      <c r="DI277" s="1182"/>
      <c r="DJ277" s="1182"/>
      <c r="DK277" s="1182"/>
      <c r="DL277" s="1182"/>
      <c r="DM277" s="1182"/>
      <c r="DN277" s="1182"/>
      <c r="DO277" s="1182"/>
      <c r="DP277" s="1182"/>
      <c r="DQ277" s="1182"/>
      <c r="DR277" s="1182"/>
      <c r="DS277" s="1181"/>
      <c r="DT277" s="1181"/>
      <c r="DU277" s="1181"/>
      <c r="DV277" s="1181"/>
      <c r="DW277" s="1181"/>
      <c r="DX277" s="1181"/>
      <c r="DY277" s="1181"/>
      <c r="DZ277" s="1181"/>
      <c r="EA277" s="1181"/>
      <c r="EB277" s="1181"/>
      <c r="EC277" s="1181"/>
      <c r="ED277" s="1181"/>
      <c r="EE277" s="1181"/>
      <c r="EF277" s="1181"/>
      <c r="EG277" s="1181"/>
      <c r="EH277" s="1181"/>
      <c r="EI277" s="1181"/>
      <c r="EJ277" s="1181"/>
      <c r="EK277" s="1181"/>
      <c r="EL277" s="1181"/>
      <c r="EM277" s="1181"/>
      <c r="EN277" s="1181"/>
      <c r="EO277" s="1181"/>
      <c r="EP277" s="1181"/>
      <c r="EQ277" s="1181"/>
      <c r="ER277" s="1181"/>
      <c r="ES277" s="1181"/>
      <c r="ET277" s="1181"/>
      <c r="EU277" s="1181"/>
      <c r="EV277" s="1181"/>
      <c r="EW277" s="1181"/>
      <c r="EX277" s="1181"/>
      <c r="EY277" s="1181"/>
      <c r="EZ277" s="1181"/>
      <c r="FA277" s="1181"/>
      <c r="FB277" s="1181"/>
      <c r="FC277" s="1181"/>
      <c r="FD277" s="1181"/>
      <c r="FE277" s="1181"/>
      <c r="FF277" s="1181"/>
      <c r="FG277" s="1181"/>
      <c r="FH277" s="1181"/>
      <c r="FI277" s="1181"/>
      <c r="FJ277" s="1181"/>
      <c r="FK277" s="1181"/>
      <c r="FL277" s="1181"/>
      <c r="FM277" s="1181"/>
      <c r="FN277" s="1181"/>
      <c r="FO277" s="1181"/>
      <c r="FP277" s="1181"/>
      <c r="FQ277" s="1181"/>
      <c r="FR277" s="1181"/>
      <c r="FS277" s="1181"/>
      <c r="FT277" s="1181"/>
      <c r="FU277" s="1181"/>
      <c r="FV277" s="1181"/>
      <c r="FW277" s="1181"/>
      <c r="FX277" s="1181"/>
      <c r="FY277" s="1181"/>
      <c r="FZ277" s="1181"/>
      <c r="GA277" s="1181"/>
      <c r="GB277" s="1181"/>
      <c r="GC277" s="1181"/>
      <c r="GD277" s="1181"/>
      <c r="GE277" s="1181"/>
      <c r="GF277" s="1181"/>
      <c r="GG277" s="1181"/>
      <c r="GH277" s="1181"/>
      <c r="GI277" s="1181"/>
      <c r="GJ277" s="1181"/>
      <c r="GK277" s="1181"/>
      <c r="GL277" s="1181"/>
      <c r="GM277" s="1181"/>
      <c r="GN277" s="1181"/>
      <c r="GO277" s="1181"/>
      <c r="GP277" s="1181"/>
      <c r="GQ277" s="1181"/>
      <c r="GR277" s="1181"/>
      <c r="GS277" s="1181"/>
      <c r="GT277" s="1181"/>
      <c r="GU277" s="1181"/>
      <c r="GV277" s="1181"/>
      <c r="GW277" s="1181"/>
      <c r="GX277" s="1181"/>
      <c r="GY277" s="1181"/>
      <c r="GZ277" s="1181"/>
      <c r="HA277" s="1181"/>
      <c r="HB277" s="1181"/>
      <c r="HC277" s="1181"/>
      <c r="HD277" s="1181"/>
      <c r="HE277" s="1181"/>
      <c r="HF277" s="1181"/>
      <c r="HG277" s="1181"/>
      <c r="HH277" s="1181"/>
      <c r="HI277" s="1181"/>
      <c r="HJ277" s="1181"/>
      <c r="HK277" s="1181"/>
      <c r="HL277" s="1181"/>
      <c r="HM277" s="1181"/>
      <c r="HN277" s="1181"/>
      <c r="HO277" s="1181"/>
    </row>
    <row r="278" spans="1:223">
      <c r="DS278" s="841"/>
      <c r="DT278" s="841"/>
      <c r="DU278" s="841"/>
      <c r="DV278" s="841"/>
      <c r="DW278" s="841"/>
      <c r="DX278" s="841"/>
      <c r="DY278" s="841"/>
      <c r="DZ278" s="841"/>
      <c r="EA278" s="841"/>
      <c r="EB278" s="841"/>
      <c r="EC278" s="841"/>
      <c r="ED278" s="841"/>
      <c r="EE278" s="841"/>
      <c r="EF278" s="841"/>
      <c r="EG278" s="841"/>
      <c r="EH278" s="841"/>
      <c r="EI278" s="841"/>
      <c r="EJ278" s="841"/>
      <c r="EK278" s="841"/>
      <c r="EL278" s="841"/>
      <c r="EM278" s="841"/>
      <c r="EN278" s="841"/>
      <c r="EO278" s="841"/>
      <c r="EP278" s="841"/>
      <c r="EQ278" s="841"/>
      <c r="ER278" s="841"/>
      <c r="ES278" s="841"/>
      <c r="ET278" s="841"/>
      <c r="EU278" s="841"/>
      <c r="EV278" s="841"/>
      <c r="EW278" s="841"/>
      <c r="EX278" s="841"/>
      <c r="EY278" s="841"/>
      <c r="EZ278" s="841"/>
      <c r="FA278" s="841"/>
      <c r="FB278" s="841"/>
      <c r="FC278" s="841"/>
      <c r="FD278" s="841"/>
      <c r="FE278" s="841"/>
      <c r="FF278" s="841"/>
      <c r="FG278" s="841"/>
      <c r="FH278" s="841"/>
      <c r="FI278" s="841"/>
      <c r="FJ278" s="841"/>
      <c r="FK278" s="841"/>
      <c r="FL278" s="841"/>
      <c r="FM278" s="841"/>
      <c r="FN278" s="841"/>
      <c r="FO278" s="841"/>
      <c r="FP278" s="841"/>
      <c r="FQ278" s="841"/>
      <c r="FR278" s="841"/>
      <c r="FS278" s="841"/>
      <c r="FT278" s="841"/>
      <c r="FU278" s="841"/>
      <c r="FV278" s="841"/>
      <c r="FW278" s="841"/>
      <c r="FX278" s="841"/>
      <c r="FY278" s="841"/>
      <c r="FZ278" s="841"/>
      <c r="GA278" s="841"/>
      <c r="GB278" s="841"/>
      <c r="GC278" s="841"/>
      <c r="GD278" s="841"/>
      <c r="GE278" s="841"/>
      <c r="GF278" s="841"/>
      <c r="GG278" s="841"/>
      <c r="GH278" s="841"/>
      <c r="GI278" s="841"/>
      <c r="GJ278" s="841"/>
      <c r="GK278" s="841"/>
      <c r="GL278" s="841"/>
      <c r="GM278" s="841"/>
      <c r="GN278" s="841"/>
      <c r="GO278" s="841"/>
      <c r="GP278" s="841"/>
      <c r="GQ278" s="841"/>
      <c r="GR278" s="841"/>
      <c r="GS278" s="841"/>
      <c r="GT278" s="841"/>
      <c r="GU278" s="841"/>
      <c r="GV278" s="841"/>
      <c r="GW278" s="841"/>
      <c r="GX278" s="841"/>
      <c r="GY278" s="841"/>
      <c r="GZ278" s="841"/>
      <c r="HA278" s="841"/>
      <c r="HB278" s="841"/>
      <c r="HC278" s="841"/>
      <c r="HD278" s="841"/>
      <c r="HE278" s="841"/>
      <c r="HF278" s="841"/>
      <c r="HG278" s="841"/>
      <c r="HH278" s="841"/>
      <c r="HI278" s="841"/>
      <c r="HJ278" s="841"/>
      <c r="HK278" s="841"/>
      <c r="HL278" s="841"/>
      <c r="HM278" s="841"/>
      <c r="HN278" s="841"/>
      <c r="HO278" s="841"/>
    </row>
    <row r="279" spans="1:223">
      <c r="DS279" s="841"/>
      <c r="DT279" s="841"/>
      <c r="DU279" s="841"/>
      <c r="DV279" s="841"/>
      <c r="DW279" s="841"/>
      <c r="DX279" s="841"/>
      <c r="DY279" s="841"/>
      <c r="DZ279" s="841"/>
      <c r="EA279" s="841"/>
      <c r="EB279" s="841"/>
      <c r="EC279" s="841"/>
      <c r="ED279" s="841"/>
      <c r="EE279" s="841"/>
      <c r="EF279" s="841"/>
      <c r="EG279" s="841"/>
      <c r="EH279" s="841"/>
      <c r="EI279" s="841"/>
      <c r="EJ279" s="841"/>
      <c r="EK279" s="841"/>
      <c r="EL279" s="841"/>
      <c r="EM279" s="841"/>
      <c r="EN279" s="841"/>
      <c r="EO279" s="841"/>
      <c r="EP279" s="841"/>
      <c r="EQ279" s="841"/>
      <c r="ER279" s="841"/>
      <c r="ES279" s="841"/>
      <c r="ET279" s="841"/>
      <c r="EU279" s="841"/>
      <c r="EV279" s="841"/>
      <c r="EW279" s="841"/>
      <c r="EX279" s="841"/>
      <c r="EY279" s="841"/>
      <c r="EZ279" s="841"/>
      <c r="FA279" s="841"/>
      <c r="FB279" s="841"/>
      <c r="FC279" s="841"/>
      <c r="FD279" s="841"/>
      <c r="FE279" s="841"/>
      <c r="FF279" s="841"/>
      <c r="FG279" s="841"/>
      <c r="FH279" s="841"/>
      <c r="FI279" s="841"/>
      <c r="FJ279" s="841"/>
      <c r="FK279" s="841"/>
      <c r="FL279" s="841"/>
      <c r="FM279" s="841"/>
      <c r="FN279" s="841"/>
      <c r="FO279" s="841"/>
      <c r="FP279" s="841"/>
      <c r="FQ279" s="841"/>
      <c r="FR279" s="841"/>
      <c r="FS279" s="841"/>
      <c r="FT279" s="841"/>
      <c r="FU279" s="841"/>
      <c r="FV279" s="841"/>
      <c r="FW279" s="841"/>
      <c r="FX279" s="841"/>
      <c r="FY279" s="841"/>
      <c r="FZ279" s="841"/>
      <c r="GA279" s="841"/>
      <c r="GB279" s="841"/>
      <c r="GC279" s="841"/>
      <c r="GD279" s="841"/>
      <c r="GE279" s="841"/>
      <c r="GF279" s="841"/>
      <c r="GG279" s="841"/>
      <c r="GH279" s="841"/>
      <c r="GI279" s="841"/>
      <c r="GJ279" s="841"/>
      <c r="GK279" s="841"/>
      <c r="GL279" s="841"/>
      <c r="GM279" s="841"/>
      <c r="GN279" s="841"/>
      <c r="GO279" s="841"/>
      <c r="GP279" s="841"/>
      <c r="GQ279" s="841"/>
      <c r="GR279" s="841"/>
      <c r="GS279" s="841"/>
      <c r="GT279" s="841"/>
      <c r="GU279" s="841"/>
      <c r="GV279" s="841"/>
      <c r="GW279" s="841"/>
      <c r="GX279" s="841"/>
      <c r="GY279" s="841"/>
      <c r="GZ279" s="841"/>
      <c r="HA279" s="841"/>
      <c r="HB279" s="841"/>
      <c r="HC279" s="841"/>
      <c r="HD279" s="841"/>
      <c r="HE279" s="841"/>
      <c r="HF279" s="841"/>
      <c r="HG279" s="841"/>
      <c r="HH279" s="841"/>
      <c r="HI279" s="841"/>
      <c r="HJ279" s="841"/>
      <c r="HK279" s="841"/>
      <c r="HL279" s="841"/>
      <c r="HM279" s="841"/>
      <c r="HN279" s="841"/>
      <c r="HO279" s="841"/>
    </row>
    <row r="280" spans="1:223" ht="30">
      <c r="B280" s="2157" t="str">
        <f>IF(J17="Nuevo","Abono máximo en concepto de penalización (sólo para nuevos clientes)","")</f>
        <v>Abono máximo en concepto de penalización (sólo para nuevos clientes)</v>
      </c>
      <c r="C280" s="2157"/>
      <c r="D280" s="2157"/>
      <c r="E280" s="2157"/>
      <c r="F280" s="2157"/>
      <c r="G280" s="2157"/>
      <c r="H280" s="2157"/>
      <c r="I280" s="2157"/>
      <c r="J280" s="2157"/>
      <c r="K280" s="2157"/>
      <c r="L280" s="2157"/>
      <c r="M280" s="2157"/>
      <c r="N280" s="2157"/>
      <c r="O280" s="2157"/>
      <c r="P280" s="2157"/>
      <c r="Q280" s="2157"/>
      <c r="R280" s="2157"/>
      <c r="S280" s="2157"/>
      <c r="T280" s="2157"/>
      <c r="U280" s="2157"/>
      <c r="V280" s="2157"/>
      <c r="W280" s="2157"/>
      <c r="X280" s="2157"/>
      <c r="Y280" s="2157"/>
      <c r="Z280" s="2157"/>
      <c r="AA280" s="2157"/>
      <c r="AB280" s="2157"/>
      <c r="AC280" s="2157"/>
      <c r="AD280" s="2157"/>
      <c r="AE280" s="2157"/>
      <c r="AF280" s="2157"/>
      <c r="AG280" s="2157"/>
      <c r="AH280" s="2157"/>
      <c r="DS280" s="841"/>
      <c r="DT280" s="841"/>
      <c r="DU280" s="841"/>
      <c r="DV280" s="841"/>
      <c r="DW280" s="841"/>
      <c r="DX280" s="841"/>
      <c r="DY280" s="841"/>
      <c r="DZ280" s="841"/>
      <c r="EA280" s="841"/>
      <c r="EB280" s="841"/>
      <c r="EC280" s="841"/>
      <c r="ED280" s="841"/>
      <c r="EE280" s="841"/>
      <c r="EF280" s="841"/>
      <c r="EG280" s="841"/>
      <c r="EH280" s="841"/>
      <c r="EI280" s="841"/>
      <c r="EJ280" s="841"/>
      <c r="EK280" s="841"/>
      <c r="EL280" s="841"/>
      <c r="EM280" s="841"/>
      <c r="EN280" s="841"/>
      <c r="EO280" s="841"/>
      <c r="EP280" s="841"/>
      <c r="EQ280" s="841"/>
      <c r="ER280" s="841"/>
      <c r="ES280" s="841"/>
      <c r="ET280" s="841"/>
      <c r="EU280" s="841"/>
      <c r="EV280" s="841"/>
      <c r="EW280" s="841"/>
      <c r="EX280" s="841"/>
      <c r="EY280" s="841"/>
      <c r="EZ280" s="841"/>
      <c r="FA280" s="841"/>
      <c r="FB280" s="841"/>
      <c r="FC280" s="841"/>
      <c r="FD280" s="841"/>
      <c r="FE280" s="841"/>
      <c r="FF280" s="841"/>
      <c r="FG280" s="841"/>
      <c r="FH280" s="841"/>
      <c r="FI280" s="841"/>
      <c r="FJ280" s="841"/>
      <c r="FK280" s="841"/>
      <c r="FL280" s="841"/>
      <c r="FM280" s="841"/>
      <c r="FN280" s="841"/>
      <c r="FO280" s="841"/>
      <c r="FP280" s="841"/>
      <c r="FQ280" s="841"/>
      <c r="FR280" s="841"/>
      <c r="FS280" s="841"/>
      <c r="FT280" s="841"/>
      <c r="FU280" s="841"/>
      <c r="FV280" s="841"/>
      <c r="FW280" s="841"/>
      <c r="FX280" s="841"/>
      <c r="FY280" s="841"/>
      <c r="FZ280" s="841"/>
      <c r="GA280" s="841"/>
      <c r="GB280" s="841"/>
      <c r="GC280" s="841"/>
      <c r="GD280" s="841"/>
      <c r="GE280" s="841"/>
      <c r="GF280" s="841"/>
      <c r="GG280" s="841"/>
      <c r="GH280" s="841"/>
      <c r="GI280" s="841"/>
      <c r="GJ280" s="841"/>
      <c r="GK280" s="841"/>
      <c r="GL280" s="841"/>
      <c r="GM280" s="841"/>
      <c r="GN280" s="841"/>
      <c r="GO280" s="841"/>
      <c r="GP280" s="841"/>
      <c r="GQ280" s="841"/>
      <c r="GR280" s="841"/>
      <c r="GS280" s="841"/>
      <c r="GT280" s="841"/>
      <c r="GU280" s="841"/>
      <c r="GV280" s="841"/>
      <c r="GW280" s="841"/>
      <c r="GX280" s="841"/>
      <c r="GY280" s="841"/>
      <c r="GZ280" s="841"/>
      <c r="HA280" s="841"/>
      <c r="HB280" s="841"/>
      <c r="HC280" s="841"/>
      <c r="HD280" s="841"/>
      <c r="HE280" s="841"/>
      <c r="HF280" s="841"/>
      <c r="HG280" s="841"/>
      <c r="HH280" s="841"/>
      <c r="HI280" s="841"/>
      <c r="HJ280" s="841"/>
      <c r="HK280" s="841"/>
      <c r="HL280" s="841"/>
      <c r="HM280" s="841"/>
      <c r="HN280" s="841"/>
      <c r="HO280" s="841"/>
    </row>
    <row r="281" spans="1:223" ht="21" thickBot="1">
      <c r="DS281" s="841"/>
      <c r="DT281" s="841"/>
      <c r="DU281" s="841"/>
      <c r="DV281" s="841"/>
      <c r="DW281" s="841"/>
      <c r="DX281" s="841"/>
      <c r="DY281" s="841"/>
      <c r="DZ281" s="841"/>
      <c r="EA281" s="841"/>
      <c r="EB281" s="841"/>
      <c r="EC281" s="841"/>
      <c r="ED281" s="841"/>
      <c r="EE281" s="841"/>
      <c r="EF281" s="841"/>
      <c r="EG281" s="841"/>
      <c r="EH281" s="841"/>
      <c r="EI281" s="841"/>
      <c r="EJ281" s="841"/>
      <c r="EK281" s="841"/>
      <c r="EL281" s="841"/>
      <c r="EM281" s="841"/>
      <c r="EN281" s="841"/>
      <c r="EO281" s="841"/>
      <c r="EP281" s="841"/>
      <c r="EQ281" s="841"/>
      <c r="ER281" s="841"/>
      <c r="ES281" s="841"/>
      <c r="ET281" s="841"/>
      <c r="EU281" s="841"/>
      <c r="EV281" s="841"/>
      <c r="EW281" s="841"/>
      <c r="EX281" s="841"/>
      <c r="EY281" s="841"/>
      <c r="EZ281" s="841"/>
      <c r="FA281" s="841"/>
      <c r="FB281" s="841"/>
      <c r="FC281" s="841"/>
      <c r="FD281" s="841"/>
      <c r="FE281" s="841"/>
      <c r="FF281" s="841"/>
      <c r="FG281" s="841"/>
      <c r="FH281" s="841"/>
      <c r="FI281" s="841"/>
      <c r="FJ281" s="841"/>
      <c r="FK281" s="841"/>
      <c r="FL281" s="841"/>
      <c r="FM281" s="841"/>
      <c r="FN281" s="841"/>
      <c r="FO281" s="841"/>
      <c r="FP281" s="841"/>
      <c r="FQ281" s="841"/>
      <c r="FR281" s="841"/>
      <c r="FS281" s="841"/>
      <c r="FT281" s="841"/>
      <c r="FU281" s="841"/>
      <c r="FV281" s="841"/>
      <c r="FW281" s="841"/>
      <c r="FX281" s="841"/>
      <c r="FY281" s="841"/>
      <c r="FZ281" s="841"/>
      <c r="GA281" s="841"/>
      <c r="GB281" s="841"/>
      <c r="GC281" s="841"/>
      <c r="GD281" s="841"/>
      <c r="GE281" s="841"/>
      <c r="GF281" s="841"/>
      <c r="GG281" s="841"/>
      <c r="GH281" s="841"/>
      <c r="GI281" s="841"/>
      <c r="GJ281" s="841"/>
      <c r="GK281" s="841"/>
      <c r="GL281" s="841"/>
      <c r="GM281" s="841"/>
      <c r="GN281" s="841"/>
      <c r="GO281" s="841"/>
      <c r="GP281" s="841"/>
      <c r="GQ281" s="841"/>
      <c r="GR281" s="841"/>
      <c r="GS281" s="841"/>
      <c r="GT281" s="841"/>
      <c r="GU281" s="841"/>
      <c r="GV281" s="841"/>
      <c r="GW281" s="841"/>
      <c r="GX281" s="841"/>
      <c r="GY281" s="841"/>
      <c r="GZ281" s="841"/>
      <c r="HA281" s="841"/>
      <c r="HB281" s="841"/>
      <c r="HC281" s="841"/>
      <c r="HD281" s="841"/>
      <c r="HE281" s="841"/>
      <c r="HF281" s="841"/>
      <c r="HG281" s="841"/>
      <c r="HH281" s="841"/>
      <c r="HI281" s="841"/>
      <c r="HJ281" s="841"/>
      <c r="HK281" s="841"/>
      <c r="HL281" s="841"/>
      <c r="HM281" s="841"/>
      <c r="HN281" s="841"/>
      <c r="HO281" s="841"/>
    </row>
    <row r="282" spans="1:223" ht="24" thickBot="1">
      <c r="B282" s="899" t="str">
        <f>IF(J17="Nuevo","Compensación máxima al cliente como descuento en factura, por la penalización asociada a la extinción de su contrato de telefonía móvil con su actual operador:","")</f>
        <v>Compensación máxima al cliente como descuento en factura, por la penalización asociada a la extinción de su contrato de telefonía móvil con su actual operador:</v>
      </c>
      <c r="R282" s="2154">
        <f>IF(D77=1, "No disponible",IF(J17="Nuevo",Calculos_cuotas!V141,""))</f>
        <v>451.536</v>
      </c>
      <c r="S282" s="2155"/>
      <c r="DS282" s="841"/>
      <c r="DT282" s="841"/>
      <c r="DU282" s="841"/>
      <c r="DV282" s="841"/>
      <c r="DW282" s="841"/>
      <c r="DX282" s="841"/>
      <c r="DY282" s="841"/>
      <c r="DZ282" s="841"/>
      <c r="EA282" s="841"/>
      <c r="EB282" s="841"/>
      <c r="EC282" s="841"/>
      <c r="ED282" s="841"/>
      <c r="EE282" s="841"/>
      <c r="EF282" s="841"/>
      <c r="EG282" s="841"/>
      <c r="EH282" s="841"/>
      <c r="EI282" s="841"/>
      <c r="EJ282" s="841"/>
      <c r="EK282" s="841"/>
      <c r="EL282" s="841"/>
      <c r="EM282" s="841"/>
      <c r="EN282" s="841"/>
      <c r="EO282" s="841"/>
      <c r="EP282" s="841"/>
      <c r="EQ282" s="841"/>
      <c r="ER282" s="841"/>
      <c r="ES282" s="841"/>
      <c r="ET282" s="841"/>
      <c r="EU282" s="841"/>
      <c r="EV282" s="841"/>
      <c r="EW282" s="841"/>
      <c r="EX282" s="841"/>
      <c r="EY282" s="841"/>
      <c r="EZ282" s="841"/>
      <c r="FA282" s="841"/>
      <c r="FB282" s="841"/>
      <c r="FC282" s="841"/>
      <c r="FD282" s="841"/>
      <c r="FE282" s="841"/>
      <c r="FF282" s="841"/>
      <c r="FG282" s="841"/>
      <c r="FH282" s="841"/>
      <c r="FI282" s="841"/>
      <c r="FJ282" s="841"/>
      <c r="FK282" s="841"/>
      <c r="FL282" s="841"/>
      <c r="FM282" s="841"/>
      <c r="FN282" s="841"/>
      <c r="FO282" s="841"/>
      <c r="FP282" s="841"/>
      <c r="FQ282" s="841"/>
      <c r="FR282" s="841"/>
      <c r="FS282" s="841"/>
      <c r="FT282" s="841"/>
      <c r="FU282" s="841"/>
      <c r="FV282" s="841"/>
      <c r="FW282" s="841"/>
      <c r="FX282" s="841"/>
      <c r="FY282" s="841"/>
      <c r="FZ282" s="841"/>
      <c r="GA282" s="841"/>
      <c r="GB282" s="841"/>
      <c r="GC282" s="841"/>
      <c r="GD282" s="841"/>
      <c r="GE282" s="841"/>
      <c r="GF282" s="841"/>
      <c r="GG282" s="841"/>
      <c r="GH282" s="841"/>
      <c r="GI282" s="841"/>
      <c r="GJ282" s="841"/>
      <c r="GK282" s="841"/>
      <c r="GL282" s="841"/>
      <c r="GM282" s="841"/>
      <c r="GN282" s="841"/>
      <c r="GO282" s="841"/>
      <c r="GP282" s="841"/>
      <c r="GQ282" s="841"/>
      <c r="GR282" s="841"/>
      <c r="GS282" s="841"/>
      <c r="GT282" s="841"/>
      <c r="GU282" s="841"/>
      <c r="GV282" s="841"/>
      <c r="GW282" s="841"/>
      <c r="GX282" s="841"/>
      <c r="GY282" s="841"/>
      <c r="GZ282" s="841"/>
      <c r="HA282" s="841"/>
      <c r="HB282" s="841"/>
      <c r="HC282" s="841"/>
      <c r="HD282" s="841"/>
      <c r="HE282" s="841"/>
      <c r="HF282" s="841"/>
      <c r="HG282" s="841"/>
      <c r="HH282" s="841"/>
      <c r="HI282" s="841"/>
      <c r="HJ282" s="841"/>
      <c r="HK282" s="841"/>
      <c r="HL282" s="841"/>
      <c r="HM282" s="841"/>
      <c r="HN282" s="841"/>
      <c r="HO282" s="841"/>
    </row>
    <row r="283" spans="1:223">
      <c r="A283" s="900"/>
      <c r="R283" s="907"/>
      <c r="S283" s="907"/>
      <c r="AI283" s="900"/>
      <c r="DS283" s="841"/>
      <c r="DT283" s="841"/>
      <c r="DU283" s="841"/>
      <c r="DV283" s="841"/>
      <c r="DW283" s="841"/>
      <c r="DX283" s="841"/>
      <c r="DY283" s="841"/>
      <c r="DZ283" s="841"/>
      <c r="EA283" s="841"/>
      <c r="EB283" s="841"/>
      <c r="EC283" s="841"/>
      <c r="ED283" s="841"/>
      <c r="EE283" s="841"/>
      <c r="EF283" s="841"/>
      <c r="EG283" s="841"/>
      <c r="EH283" s="841"/>
      <c r="EI283" s="841"/>
      <c r="EJ283" s="841"/>
      <c r="EK283" s="841"/>
      <c r="EL283" s="841"/>
      <c r="EM283" s="841"/>
      <c r="EN283" s="841"/>
      <c r="EO283" s="841"/>
      <c r="EP283" s="841"/>
      <c r="EQ283" s="841"/>
      <c r="ER283" s="841"/>
      <c r="ES283" s="841"/>
      <c r="ET283" s="841"/>
      <c r="EU283" s="841"/>
      <c r="EV283" s="841"/>
      <c r="EW283" s="841"/>
      <c r="EX283" s="841"/>
      <c r="EY283" s="841"/>
      <c r="EZ283" s="841"/>
      <c r="FA283" s="841"/>
      <c r="FB283" s="841"/>
      <c r="FC283" s="841"/>
      <c r="FD283" s="841"/>
      <c r="FE283" s="841"/>
      <c r="FF283" s="841"/>
      <c r="FG283" s="841"/>
      <c r="FH283" s="841"/>
      <c r="FI283" s="841"/>
      <c r="FJ283" s="841"/>
      <c r="FK283" s="841"/>
      <c r="FL283" s="841"/>
      <c r="FM283" s="841"/>
      <c r="FN283" s="841"/>
      <c r="FO283" s="841"/>
      <c r="FP283" s="841"/>
      <c r="FQ283" s="841"/>
      <c r="FR283" s="841"/>
      <c r="FS283" s="841"/>
      <c r="FT283" s="841"/>
      <c r="FU283" s="841"/>
      <c r="FV283" s="841"/>
      <c r="FW283" s="841"/>
      <c r="FX283" s="841"/>
      <c r="FY283" s="841"/>
      <c r="FZ283" s="841"/>
      <c r="GA283" s="841"/>
      <c r="GB283" s="841"/>
      <c r="GC283" s="841"/>
      <c r="GD283" s="841"/>
      <c r="GE283" s="841"/>
      <c r="GF283" s="841"/>
      <c r="GG283" s="841"/>
      <c r="GH283" s="841"/>
      <c r="GI283" s="841"/>
      <c r="GJ283" s="841"/>
      <c r="GK283" s="841"/>
      <c r="GL283" s="841"/>
      <c r="GM283" s="841"/>
      <c r="GN283" s="841"/>
      <c r="GO283" s="841"/>
      <c r="GP283" s="841"/>
      <c r="GQ283" s="841"/>
      <c r="GR283" s="841"/>
      <c r="GS283" s="841"/>
      <c r="GT283" s="841"/>
      <c r="GU283" s="841"/>
      <c r="GV283" s="841"/>
      <c r="GW283" s="841"/>
      <c r="GX283" s="841"/>
      <c r="GY283" s="841"/>
      <c r="GZ283" s="841"/>
      <c r="HA283" s="841"/>
      <c r="HB283" s="841"/>
      <c r="HC283" s="841"/>
      <c r="HD283" s="841"/>
      <c r="HE283" s="841"/>
      <c r="HF283" s="841"/>
      <c r="HG283" s="841"/>
      <c r="HH283" s="841"/>
      <c r="HI283" s="841"/>
      <c r="HJ283" s="841"/>
      <c r="HK283" s="841"/>
      <c r="HL283" s="841"/>
      <c r="HM283" s="841"/>
      <c r="HN283" s="841"/>
      <c r="HO283" s="841"/>
    </row>
    <row r="284" spans="1:223">
      <c r="DS284" s="841"/>
      <c r="DT284" s="841"/>
      <c r="DU284" s="841"/>
      <c r="DV284" s="841"/>
      <c r="DW284" s="841"/>
      <c r="DX284" s="841"/>
      <c r="DY284" s="841"/>
      <c r="DZ284" s="841"/>
      <c r="EA284" s="841"/>
      <c r="EB284" s="841"/>
      <c r="EC284" s="841"/>
      <c r="ED284" s="841"/>
      <c r="EE284" s="841"/>
      <c r="EF284" s="841"/>
      <c r="EG284" s="841"/>
      <c r="EH284" s="841"/>
      <c r="EI284" s="841"/>
      <c r="EJ284" s="841"/>
      <c r="EK284" s="841"/>
      <c r="EL284" s="841"/>
      <c r="EM284" s="841"/>
      <c r="EN284" s="841"/>
      <c r="EO284" s="841"/>
      <c r="EP284" s="841"/>
      <c r="EQ284" s="841"/>
      <c r="ER284" s="841"/>
      <c r="ES284" s="841"/>
      <c r="ET284" s="841"/>
      <c r="EU284" s="841"/>
      <c r="EV284" s="841"/>
      <c r="EW284" s="841"/>
      <c r="EX284" s="841"/>
      <c r="EY284" s="841"/>
      <c r="EZ284" s="841"/>
      <c r="FA284" s="841"/>
      <c r="FB284" s="841"/>
      <c r="FC284" s="841"/>
      <c r="FD284" s="841"/>
      <c r="FE284" s="841"/>
      <c r="FF284" s="841"/>
      <c r="FG284" s="841"/>
      <c r="FH284" s="841"/>
      <c r="FI284" s="841"/>
      <c r="FJ284" s="841"/>
      <c r="FK284" s="841"/>
      <c r="FL284" s="841"/>
      <c r="FM284" s="841"/>
      <c r="FN284" s="841"/>
      <c r="FO284" s="841"/>
      <c r="FP284" s="841"/>
      <c r="FQ284" s="841"/>
      <c r="FR284" s="841"/>
      <c r="FS284" s="841"/>
      <c r="FT284" s="841"/>
      <c r="FU284" s="841"/>
      <c r="FV284" s="841"/>
      <c r="FW284" s="841"/>
      <c r="FX284" s="841"/>
      <c r="FY284" s="841"/>
      <c r="FZ284" s="841"/>
      <c r="GA284" s="841"/>
      <c r="GB284" s="841"/>
      <c r="GC284" s="841"/>
      <c r="GD284" s="841"/>
      <c r="GE284" s="841"/>
      <c r="GF284" s="841"/>
      <c r="GG284" s="841"/>
      <c r="GH284" s="841"/>
      <c r="GI284" s="841"/>
      <c r="GJ284" s="841"/>
      <c r="GK284" s="841"/>
      <c r="GL284" s="841"/>
      <c r="GM284" s="841"/>
      <c r="GN284" s="841"/>
      <c r="GO284" s="841"/>
      <c r="GP284" s="841"/>
      <c r="GQ284" s="841"/>
      <c r="GR284" s="841"/>
      <c r="GS284" s="841"/>
      <c r="GT284" s="841"/>
      <c r="GU284" s="841"/>
      <c r="GV284" s="841"/>
      <c r="GW284" s="841"/>
      <c r="GX284" s="841"/>
      <c r="GY284" s="841"/>
      <c r="GZ284" s="841"/>
      <c r="HA284" s="841"/>
      <c r="HB284" s="841"/>
      <c r="HC284" s="841"/>
      <c r="HD284" s="841"/>
      <c r="HE284" s="841"/>
      <c r="HF284" s="841"/>
      <c r="HG284" s="841"/>
      <c r="HH284" s="841"/>
      <c r="HI284" s="841"/>
      <c r="HJ284" s="841"/>
      <c r="HK284" s="841"/>
      <c r="HL284" s="841"/>
      <c r="HM284" s="841"/>
      <c r="HN284" s="841"/>
      <c r="HO284" s="841"/>
    </row>
    <row r="285" spans="1:223">
      <c r="A285" s="841"/>
      <c r="B285" s="841"/>
      <c r="C285" s="841"/>
      <c r="D285" s="841"/>
      <c r="E285" s="841"/>
      <c r="F285" s="841"/>
      <c r="G285" s="841"/>
      <c r="H285" s="841"/>
      <c r="I285" s="841"/>
      <c r="J285" s="841"/>
      <c r="K285" s="841"/>
      <c r="L285" s="841"/>
      <c r="M285" s="841"/>
      <c r="N285" s="841"/>
      <c r="O285" s="841"/>
      <c r="P285" s="841"/>
      <c r="Q285" s="841"/>
      <c r="R285" s="841"/>
      <c r="S285" s="841"/>
      <c r="T285" s="841"/>
      <c r="U285" s="841"/>
      <c r="V285" s="841"/>
      <c r="W285" s="841"/>
      <c r="X285" s="841"/>
      <c r="Y285" s="841"/>
      <c r="Z285" s="1226"/>
      <c r="AA285" s="1226"/>
      <c r="AB285" s="1226"/>
      <c r="AC285" s="1226"/>
      <c r="AD285" s="1226"/>
      <c r="AE285" s="1226"/>
      <c r="AF285" s="1226"/>
      <c r="AG285" s="1226"/>
      <c r="AH285" s="1226"/>
      <c r="AI285" s="841"/>
      <c r="AJ285" s="841"/>
      <c r="AK285" s="841"/>
      <c r="AL285" s="841"/>
      <c r="AM285" s="841"/>
      <c r="AN285" s="841"/>
      <c r="AO285" s="841"/>
      <c r="AP285" s="841"/>
      <c r="AQ285" s="841"/>
      <c r="AR285" s="841"/>
      <c r="AS285" s="842"/>
      <c r="DS285" s="841"/>
      <c r="DT285" s="841"/>
      <c r="DU285" s="841"/>
      <c r="DV285" s="841"/>
      <c r="DW285" s="841"/>
      <c r="DX285" s="841"/>
      <c r="DY285" s="841"/>
      <c r="DZ285" s="841"/>
      <c r="EA285" s="841"/>
      <c r="EB285" s="841"/>
      <c r="EC285" s="841"/>
      <c r="ED285" s="841"/>
      <c r="EE285" s="841"/>
      <c r="EF285" s="841"/>
      <c r="EG285" s="841"/>
      <c r="EH285" s="841"/>
      <c r="EI285" s="841"/>
      <c r="EJ285" s="841"/>
      <c r="EK285" s="841"/>
      <c r="EL285" s="841"/>
      <c r="EM285" s="841"/>
      <c r="EN285" s="841"/>
      <c r="EO285" s="841"/>
      <c r="EP285" s="841"/>
      <c r="EQ285" s="841"/>
      <c r="ER285" s="841"/>
      <c r="ES285" s="841"/>
      <c r="ET285" s="841"/>
      <c r="EU285" s="841"/>
      <c r="EV285" s="841"/>
      <c r="EW285" s="841"/>
      <c r="EX285" s="841"/>
      <c r="EY285" s="841"/>
      <c r="EZ285" s="841"/>
      <c r="FA285" s="841"/>
      <c r="FB285" s="841"/>
      <c r="FC285" s="841"/>
      <c r="FD285" s="841"/>
      <c r="FE285" s="841"/>
      <c r="FF285" s="841"/>
      <c r="FG285" s="841"/>
      <c r="FH285" s="841"/>
      <c r="FI285" s="841"/>
      <c r="FJ285" s="841"/>
      <c r="FK285" s="841"/>
      <c r="FL285" s="841"/>
      <c r="FM285" s="841"/>
      <c r="FN285" s="841"/>
      <c r="FO285" s="841"/>
      <c r="FP285" s="841"/>
      <c r="FQ285" s="841"/>
      <c r="FR285" s="841"/>
      <c r="FS285" s="841"/>
      <c r="FT285" s="841"/>
      <c r="FU285" s="841"/>
      <c r="FV285" s="841"/>
      <c r="FW285" s="841"/>
      <c r="FX285" s="841"/>
      <c r="FY285" s="841"/>
      <c r="FZ285" s="841"/>
      <c r="GA285" s="841"/>
      <c r="GB285" s="841"/>
      <c r="GC285" s="841"/>
      <c r="GD285" s="841"/>
      <c r="GE285" s="841"/>
      <c r="GF285" s="841"/>
      <c r="GG285" s="841"/>
      <c r="GH285" s="841"/>
      <c r="GI285" s="841"/>
      <c r="GJ285" s="841"/>
      <c r="GK285" s="841"/>
      <c r="GL285" s="841"/>
      <c r="GM285" s="841"/>
      <c r="GN285" s="841"/>
      <c r="GO285" s="841"/>
      <c r="GP285" s="841"/>
      <c r="GQ285" s="841"/>
      <c r="GR285" s="841"/>
      <c r="GS285" s="841"/>
      <c r="GT285" s="841"/>
      <c r="GU285" s="841"/>
      <c r="GV285" s="841"/>
      <c r="GW285" s="841"/>
      <c r="GX285" s="841"/>
      <c r="GY285" s="841"/>
      <c r="GZ285" s="841"/>
      <c r="HA285" s="841"/>
      <c r="HB285" s="841"/>
      <c r="HC285" s="841"/>
      <c r="HD285" s="841"/>
      <c r="HE285" s="841"/>
      <c r="HF285" s="841"/>
      <c r="HG285" s="841"/>
      <c r="HH285" s="841"/>
      <c r="HI285" s="841"/>
      <c r="HJ285" s="841"/>
      <c r="HK285" s="841"/>
      <c r="HL285" s="841"/>
      <c r="HM285" s="841"/>
      <c r="HN285" s="841"/>
      <c r="HO285" s="841"/>
    </row>
    <row r="286" spans="1:223">
      <c r="A286" s="841"/>
      <c r="B286" s="841"/>
      <c r="C286" s="841"/>
      <c r="D286" s="841"/>
      <c r="E286" s="841"/>
      <c r="F286" s="841"/>
      <c r="G286" s="841"/>
      <c r="H286" s="841"/>
      <c r="I286" s="841"/>
      <c r="J286" s="841"/>
      <c r="K286" s="841"/>
      <c r="L286" s="841"/>
      <c r="M286" s="841"/>
      <c r="N286" s="841"/>
      <c r="O286" s="841"/>
      <c r="P286" s="841"/>
      <c r="Q286" s="841"/>
      <c r="R286" s="841"/>
      <c r="S286" s="841"/>
      <c r="T286" s="841"/>
      <c r="U286" s="841"/>
      <c r="V286" s="841"/>
      <c r="W286" s="841"/>
      <c r="X286" s="841"/>
      <c r="Y286" s="841"/>
      <c r="Z286" s="1226"/>
      <c r="AA286" s="1226"/>
      <c r="AB286" s="1226"/>
      <c r="AC286" s="1226"/>
      <c r="AD286" s="1226"/>
      <c r="AE286" s="1226"/>
      <c r="AF286" s="1226"/>
      <c r="AG286" s="1226"/>
      <c r="AH286" s="1226"/>
      <c r="AI286" s="841"/>
      <c r="AJ286" s="841"/>
      <c r="AK286" s="841"/>
      <c r="AL286" s="841"/>
      <c r="AM286" s="841"/>
      <c r="AN286" s="841"/>
      <c r="AO286" s="841"/>
      <c r="AP286" s="841"/>
      <c r="AQ286" s="841"/>
      <c r="AR286" s="841"/>
      <c r="AS286" s="842"/>
      <c r="DS286" s="841"/>
      <c r="DT286" s="841"/>
      <c r="DU286" s="841"/>
      <c r="DV286" s="841"/>
      <c r="DW286" s="841"/>
      <c r="DX286" s="841"/>
      <c r="DY286" s="841"/>
      <c r="DZ286" s="841"/>
      <c r="EA286" s="841"/>
      <c r="EB286" s="841"/>
      <c r="EC286" s="841"/>
      <c r="ED286" s="841"/>
      <c r="EE286" s="841"/>
      <c r="EF286" s="841"/>
      <c r="EG286" s="841"/>
      <c r="EH286" s="841"/>
      <c r="EI286" s="841"/>
      <c r="EJ286" s="841"/>
      <c r="EK286" s="841"/>
      <c r="EL286" s="841"/>
      <c r="EM286" s="841"/>
      <c r="EN286" s="841"/>
      <c r="EO286" s="841"/>
      <c r="EP286" s="841"/>
      <c r="EQ286" s="841"/>
      <c r="ER286" s="841"/>
      <c r="ES286" s="841"/>
      <c r="ET286" s="841"/>
      <c r="EU286" s="841"/>
      <c r="EV286" s="841"/>
      <c r="EW286" s="841"/>
      <c r="EX286" s="841"/>
      <c r="EY286" s="841"/>
      <c r="EZ286" s="841"/>
      <c r="FA286" s="841"/>
      <c r="FB286" s="841"/>
      <c r="FC286" s="841"/>
      <c r="FD286" s="841"/>
      <c r="FE286" s="841"/>
      <c r="FF286" s="841"/>
      <c r="FG286" s="841"/>
      <c r="FH286" s="841"/>
      <c r="FI286" s="841"/>
      <c r="FJ286" s="841"/>
      <c r="FK286" s="841"/>
      <c r="FL286" s="841"/>
      <c r="FM286" s="841"/>
      <c r="FN286" s="841"/>
      <c r="FO286" s="841"/>
      <c r="FP286" s="841"/>
      <c r="FQ286" s="841"/>
      <c r="FR286" s="841"/>
      <c r="FS286" s="841"/>
      <c r="FT286" s="841"/>
      <c r="FU286" s="841"/>
      <c r="FV286" s="841"/>
      <c r="FW286" s="841"/>
      <c r="FX286" s="841"/>
      <c r="FY286" s="841"/>
      <c r="FZ286" s="841"/>
      <c r="GA286" s="841"/>
      <c r="GB286" s="841"/>
      <c r="GC286" s="841"/>
      <c r="GD286" s="841"/>
      <c r="GE286" s="841"/>
      <c r="GF286" s="841"/>
      <c r="GG286" s="841"/>
      <c r="GH286" s="841"/>
      <c r="GI286" s="841"/>
      <c r="GJ286" s="841"/>
      <c r="GK286" s="841"/>
      <c r="GL286" s="841"/>
      <c r="GM286" s="841"/>
      <c r="GN286" s="841"/>
      <c r="GO286" s="841"/>
      <c r="GP286" s="841"/>
      <c r="GQ286" s="841"/>
      <c r="GR286" s="841"/>
      <c r="GS286" s="841"/>
      <c r="GT286" s="841"/>
      <c r="GU286" s="841"/>
      <c r="GV286" s="841"/>
      <c r="GW286" s="841"/>
      <c r="GX286" s="841"/>
      <c r="GY286" s="841"/>
      <c r="GZ286" s="841"/>
      <c r="HA286" s="841"/>
      <c r="HB286" s="841"/>
      <c r="HC286" s="841"/>
      <c r="HD286" s="841"/>
      <c r="HE286" s="841"/>
      <c r="HF286" s="841"/>
      <c r="HG286" s="841"/>
      <c r="HH286" s="841"/>
      <c r="HI286" s="841"/>
      <c r="HJ286" s="841"/>
      <c r="HK286" s="841"/>
      <c r="HL286" s="841"/>
      <c r="HM286" s="841"/>
      <c r="HN286" s="841"/>
      <c r="HO286" s="841"/>
    </row>
    <row r="287" spans="1:223">
      <c r="A287" s="841"/>
      <c r="B287" s="841"/>
      <c r="C287" s="841"/>
      <c r="D287" s="841"/>
      <c r="E287" s="841"/>
      <c r="F287" s="841"/>
      <c r="G287" s="841"/>
      <c r="H287" s="841"/>
      <c r="I287" s="841"/>
      <c r="J287" s="841"/>
      <c r="K287" s="841"/>
      <c r="L287" s="841"/>
      <c r="M287" s="841"/>
      <c r="N287" s="841"/>
      <c r="O287" s="841"/>
      <c r="P287" s="841"/>
      <c r="Q287" s="841"/>
      <c r="R287" s="841"/>
      <c r="S287" s="841"/>
      <c r="T287" s="841"/>
      <c r="U287" s="841"/>
      <c r="V287" s="841"/>
      <c r="W287" s="841"/>
      <c r="X287" s="841"/>
      <c r="Y287" s="841"/>
      <c r="Z287" s="1226"/>
      <c r="AA287" s="1226"/>
      <c r="AB287" s="1226"/>
      <c r="AC287" s="1226"/>
      <c r="AD287" s="1226"/>
      <c r="AE287" s="1226"/>
      <c r="AF287" s="1226"/>
      <c r="AG287" s="1226"/>
      <c r="AH287" s="1226"/>
      <c r="AI287" s="841"/>
      <c r="AJ287" s="841"/>
      <c r="AK287" s="841"/>
      <c r="AL287" s="841"/>
      <c r="AM287" s="841"/>
      <c r="AN287" s="841"/>
      <c r="AO287" s="841"/>
      <c r="AP287" s="841"/>
      <c r="AQ287" s="841"/>
      <c r="AR287" s="841"/>
      <c r="AS287" s="842"/>
      <c r="DS287" s="841"/>
      <c r="DT287" s="841"/>
      <c r="DU287" s="841"/>
      <c r="DV287" s="841"/>
      <c r="DW287" s="841"/>
      <c r="DX287" s="841"/>
      <c r="DY287" s="841"/>
      <c r="DZ287" s="841"/>
      <c r="EA287" s="841"/>
      <c r="EB287" s="841"/>
      <c r="EC287" s="841"/>
      <c r="ED287" s="841"/>
      <c r="EE287" s="841"/>
      <c r="EF287" s="841"/>
      <c r="EG287" s="841"/>
      <c r="EH287" s="841"/>
      <c r="EI287" s="841"/>
      <c r="EJ287" s="841"/>
      <c r="EK287" s="841"/>
      <c r="EL287" s="841"/>
      <c r="EM287" s="841"/>
      <c r="EN287" s="841"/>
      <c r="EO287" s="841"/>
      <c r="EP287" s="841"/>
      <c r="EQ287" s="841"/>
      <c r="ER287" s="841"/>
      <c r="ES287" s="841"/>
      <c r="ET287" s="841"/>
      <c r="EU287" s="841"/>
      <c r="EV287" s="841"/>
      <c r="EW287" s="841"/>
      <c r="EX287" s="841"/>
      <c r="EY287" s="841"/>
      <c r="EZ287" s="841"/>
      <c r="FA287" s="841"/>
      <c r="FB287" s="841"/>
      <c r="FC287" s="841"/>
      <c r="FD287" s="841"/>
      <c r="FE287" s="841"/>
      <c r="FF287" s="841"/>
      <c r="FG287" s="841"/>
      <c r="FH287" s="841"/>
      <c r="FI287" s="841"/>
      <c r="FJ287" s="841"/>
      <c r="FK287" s="841"/>
      <c r="FL287" s="841"/>
      <c r="FM287" s="841"/>
      <c r="FN287" s="841"/>
      <c r="FO287" s="841"/>
      <c r="FP287" s="841"/>
      <c r="FQ287" s="841"/>
      <c r="FR287" s="841"/>
      <c r="FS287" s="841"/>
      <c r="FT287" s="841"/>
      <c r="FU287" s="841"/>
      <c r="FV287" s="841"/>
      <c r="FW287" s="841"/>
      <c r="FX287" s="841"/>
      <c r="FY287" s="841"/>
      <c r="FZ287" s="841"/>
      <c r="GA287" s="841"/>
      <c r="GB287" s="841"/>
      <c r="GC287" s="841"/>
      <c r="GD287" s="841"/>
      <c r="GE287" s="841"/>
      <c r="GF287" s="841"/>
      <c r="GG287" s="841"/>
      <c r="GH287" s="841"/>
      <c r="GI287" s="841"/>
      <c r="GJ287" s="841"/>
      <c r="GK287" s="841"/>
      <c r="GL287" s="841"/>
      <c r="GM287" s="841"/>
      <c r="GN287" s="841"/>
      <c r="GO287" s="841"/>
      <c r="GP287" s="841"/>
      <c r="GQ287" s="841"/>
      <c r="GR287" s="841"/>
      <c r="GS287" s="841"/>
      <c r="GT287" s="841"/>
      <c r="GU287" s="841"/>
      <c r="GV287" s="841"/>
      <c r="GW287" s="841"/>
      <c r="GX287" s="841"/>
      <c r="GY287" s="841"/>
      <c r="GZ287" s="841"/>
      <c r="HA287" s="841"/>
      <c r="HB287" s="841"/>
      <c r="HC287" s="841"/>
      <c r="HD287" s="841"/>
      <c r="HE287" s="841"/>
      <c r="HF287" s="841"/>
      <c r="HG287" s="841"/>
      <c r="HH287" s="841"/>
      <c r="HI287" s="841"/>
      <c r="HJ287" s="841"/>
      <c r="HK287" s="841"/>
      <c r="HL287" s="841"/>
      <c r="HM287" s="841"/>
      <c r="HN287" s="841"/>
      <c r="HO287" s="841"/>
    </row>
    <row r="288" spans="1:223">
      <c r="A288" s="841"/>
      <c r="B288" s="841"/>
      <c r="C288" s="841"/>
      <c r="D288" s="841"/>
      <c r="E288" s="841"/>
      <c r="F288" s="841"/>
      <c r="G288" s="841"/>
      <c r="H288" s="841"/>
      <c r="I288" s="841"/>
      <c r="J288" s="841"/>
      <c r="K288" s="841"/>
      <c r="L288" s="841"/>
      <c r="M288" s="841"/>
      <c r="N288" s="841"/>
      <c r="O288" s="841"/>
      <c r="P288" s="841"/>
      <c r="Q288" s="841"/>
      <c r="R288" s="841"/>
      <c r="S288" s="841"/>
      <c r="T288" s="841"/>
      <c r="U288" s="841"/>
      <c r="V288" s="841"/>
      <c r="W288" s="841"/>
      <c r="X288" s="841"/>
      <c r="Y288" s="841"/>
      <c r="Z288" s="1226"/>
      <c r="AA288" s="1226"/>
      <c r="AB288" s="1226"/>
      <c r="AC288" s="1226"/>
      <c r="AD288" s="1226"/>
      <c r="AE288" s="1226"/>
      <c r="AF288" s="1226"/>
      <c r="AG288" s="1226"/>
      <c r="AH288" s="1226"/>
      <c r="AI288" s="841"/>
      <c r="AJ288" s="841"/>
      <c r="AK288" s="841"/>
      <c r="AL288" s="841"/>
      <c r="AM288" s="841"/>
      <c r="AN288" s="841"/>
      <c r="AO288" s="841"/>
      <c r="AP288" s="841"/>
      <c r="AQ288" s="841"/>
      <c r="AR288" s="841"/>
      <c r="AS288" s="842"/>
      <c r="DS288" s="841"/>
      <c r="DT288" s="841"/>
      <c r="DU288" s="841"/>
      <c r="DV288" s="841"/>
      <c r="DW288" s="841"/>
      <c r="DX288" s="841"/>
      <c r="DY288" s="841"/>
      <c r="DZ288" s="841"/>
      <c r="EA288" s="841"/>
      <c r="EB288" s="841"/>
      <c r="EC288" s="841"/>
      <c r="ED288" s="841"/>
      <c r="EE288" s="841"/>
      <c r="EF288" s="841"/>
      <c r="EG288" s="841"/>
      <c r="EH288" s="841"/>
      <c r="EI288" s="841"/>
      <c r="EJ288" s="841"/>
      <c r="EK288" s="841"/>
      <c r="EL288" s="841"/>
      <c r="EM288" s="841"/>
      <c r="EN288" s="841"/>
      <c r="EO288" s="841"/>
      <c r="EP288" s="841"/>
      <c r="EQ288" s="841"/>
      <c r="ER288" s="841"/>
      <c r="ES288" s="841"/>
      <c r="ET288" s="841"/>
      <c r="EU288" s="841"/>
      <c r="EV288" s="841"/>
      <c r="EW288" s="841"/>
      <c r="EX288" s="841"/>
      <c r="EY288" s="841"/>
      <c r="EZ288" s="841"/>
      <c r="FA288" s="841"/>
      <c r="FB288" s="841"/>
      <c r="FC288" s="841"/>
      <c r="FD288" s="841"/>
      <c r="FE288" s="841"/>
      <c r="FF288" s="841"/>
      <c r="FG288" s="841"/>
      <c r="FH288" s="841"/>
      <c r="FI288" s="841"/>
      <c r="FJ288" s="841"/>
      <c r="FK288" s="841"/>
      <c r="FL288" s="841"/>
      <c r="FM288" s="841"/>
      <c r="FN288" s="841"/>
      <c r="FO288" s="841"/>
      <c r="FP288" s="841"/>
      <c r="FQ288" s="841"/>
      <c r="FR288" s="841"/>
      <c r="FS288" s="841"/>
      <c r="FT288" s="841"/>
      <c r="FU288" s="841"/>
      <c r="FV288" s="841"/>
      <c r="FW288" s="841"/>
      <c r="FX288" s="841"/>
      <c r="FY288" s="841"/>
      <c r="FZ288" s="841"/>
      <c r="GA288" s="841"/>
      <c r="GB288" s="841"/>
      <c r="GC288" s="841"/>
      <c r="GD288" s="841"/>
      <c r="GE288" s="841"/>
      <c r="GF288" s="841"/>
      <c r="GG288" s="841"/>
      <c r="GH288" s="841"/>
      <c r="GI288" s="841"/>
      <c r="GJ288" s="841"/>
      <c r="GK288" s="841"/>
      <c r="GL288" s="841"/>
      <c r="GM288" s="841"/>
      <c r="GN288" s="841"/>
      <c r="GO288" s="841"/>
      <c r="GP288" s="841"/>
      <c r="GQ288" s="841"/>
      <c r="GR288" s="841"/>
      <c r="GS288" s="841"/>
      <c r="GT288" s="841"/>
      <c r="GU288" s="841"/>
      <c r="GV288" s="841"/>
      <c r="GW288" s="841"/>
      <c r="GX288" s="841"/>
      <c r="GY288" s="841"/>
      <c r="GZ288" s="841"/>
      <c r="HA288" s="841"/>
      <c r="HB288" s="841"/>
      <c r="HC288" s="841"/>
      <c r="HD288" s="841"/>
      <c r="HE288" s="841"/>
      <c r="HF288" s="841"/>
      <c r="HG288" s="841"/>
      <c r="HH288" s="841"/>
      <c r="HI288" s="841"/>
      <c r="HJ288" s="841"/>
      <c r="HK288" s="841"/>
      <c r="HL288" s="841"/>
      <c r="HM288" s="841"/>
      <c r="HN288" s="841"/>
      <c r="HO288" s="841"/>
    </row>
    <row r="289" spans="1:223">
      <c r="A289" s="841"/>
      <c r="B289" s="841"/>
      <c r="C289" s="841"/>
      <c r="D289" s="841"/>
      <c r="E289" s="841"/>
      <c r="F289" s="841"/>
      <c r="G289" s="841"/>
      <c r="H289" s="841"/>
      <c r="I289" s="841"/>
      <c r="J289" s="841"/>
      <c r="K289" s="841"/>
      <c r="L289" s="841"/>
      <c r="M289" s="841"/>
      <c r="N289" s="841"/>
      <c r="O289" s="841"/>
      <c r="P289" s="841"/>
      <c r="Q289" s="841"/>
      <c r="R289" s="841"/>
      <c r="S289" s="841"/>
      <c r="T289" s="841"/>
      <c r="U289" s="841"/>
      <c r="V289" s="841"/>
      <c r="W289" s="841"/>
      <c r="X289" s="841"/>
      <c r="Y289" s="841"/>
      <c r="Z289" s="1226"/>
      <c r="AA289" s="1226"/>
      <c r="AB289" s="1226"/>
      <c r="AC289" s="1226"/>
      <c r="AD289" s="1226"/>
      <c r="AE289" s="1226"/>
      <c r="AF289" s="1226"/>
      <c r="AG289" s="1226"/>
      <c r="AH289" s="1226"/>
      <c r="AI289" s="841"/>
      <c r="AJ289" s="841"/>
      <c r="AK289" s="841"/>
      <c r="AL289" s="841"/>
      <c r="AM289" s="841"/>
      <c r="AN289" s="841"/>
      <c r="AO289" s="841"/>
      <c r="AP289" s="841"/>
      <c r="AQ289" s="841"/>
      <c r="AR289" s="841"/>
      <c r="AS289" s="842"/>
      <c r="DS289" s="841"/>
      <c r="DT289" s="841"/>
      <c r="DU289" s="841"/>
      <c r="DV289" s="841"/>
      <c r="DW289" s="841"/>
      <c r="DX289" s="841"/>
      <c r="DY289" s="841"/>
      <c r="DZ289" s="841"/>
      <c r="EA289" s="841"/>
      <c r="EB289" s="841"/>
      <c r="EC289" s="841"/>
      <c r="ED289" s="841"/>
      <c r="EE289" s="841"/>
      <c r="EF289" s="841"/>
      <c r="EG289" s="841"/>
      <c r="EH289" s="841"/>
      <c r="EI289" s="841"/>
      <c r="EJ289" s="841"/>
      <c r="EK289" s="841"/>
      <c r="EL289" s="841"/>
      <c r="EM289" s="841"/>
      <c r="EN289" s="841"/>
      <c r="EO289" s="841"/>
      <c r="EP289" s="841"/>
      <c r="EQ289" s="841"/>
      <c r="ER289" s="841"/>
      <c r="ES289" s="841"/>
      <c r="ET289" s="841"/>
      <c r="EU289" s="841"/>
      <c r="EV289" s="841"/>
      <c r="EW289" s="841"/>
      <c r="EX289" s="841"/>
      <c r="EY289" s="841"/>
      <c r="EZ289" s="841"/>
      <c r="FA289" s="841"/>
      <c r="FB289" s="841"/>
      <c r="FC289" s="841"/>
      <c r="FD289" s="841"/>
      <c r="FE289" s="841"/>
      <c r="FF289" s="841"/>
      <c r="FG289" s="841"/>
      <c r="FH289" s="841"/>
      <c r="FI289" s="841"/>
      <c r="FJ289" s="841"/>
      <c r="FK289" s="841"/>
      <c r="FL289" s="841"/>
      <c r="FM289" s="841"/>
      <c r="FN289" s="841"/>
      <c r="FO289" s="841"/>
      <c r="FP289" s="841"/>
      <c r="FQ289" s="841"/>
      <c r="FR289" s="841"/>
      <c r="FS289" s="841"/>
      <c r="FT289" s="841"/>
      <c r="FU289" s="841"/>
      <c r="FV289" s="841"/>
      <c r="FW289" s="841"/>
      <c r="FX289" s="841"/>
      <c r="FY289" s="841"/>
      <c r="FZ289" s="841"/>
      <c r="GA289" s="841"/>
      <c r="GB289" s="841"/>
      <c r="GC289" s="841"/>
      <c r="GD289" s="841"/>
      <c r="GE289" s="841"/>
      <c r="GF289" s="841"/>
      <c r="GG289" s="841"/>
      <c r="GH289" s="841"/>
      <c r="GI289" s="841"/>
      <c r="GJ289" s="841"/>
      <c r="GK289" s="841"/>
      <c r="GL289" s="841"/>
      <c r="GM289" s="841"/>
      <c r="GN289" s="841"/>
      <c r="GO289" s="841"/>
      <c r="GP289" s="841"/>
      <c r="GQ289" s="841"/>
      <c r="GR289" s="841"/>
      <c r="GS289" s="841"/>
      <c r="GT289" s="841"/>
      <c r="GU289" s="841"/>
      <c r="GV289" s="841"/>
      <c r="GW289" s="841"/>
      <c r="GX289" s="841"/>
      <c r="GY289" s="841"/>
      <c r="GZ289" s="841"/>
      <c r="HA289" s="841"/>
      <c r="HB289" s="841"/>
      <c r="HC289" s="841"/>
      <c r="HD289" s="841"/>
      <c r="HE289" s="841"/>
      <c r="HF289" s="841"/>
      <c r="HG289" s="841"/>
      <c r="HH289" s="841"/>
      <c r="HI289" s="841"/>
      <c r="HJ289" s="841"/>
      <c r="HK289" s="841"/>
      <c r="HL289" s="841"/>
      <c r="HM289" s="841"/>
      <c r="HN289" s="841"/>
      <c r="HO289" s="841"/>
    </row>
    <row r="290" spans="1:223">
      <c r="A290" s="841"/>
      <c r="B290" s="841"/>
      <c r="C290" s="841"/>
      <c r="D290" s="841"/>
      <c r="E290" s="841"/>
      <c r="F290" s="841"/>
      <c r="G290" s="841"/>
      <c r="H290" s="841"/>
      <c r="I290" s="841"/>
      <c r="J290" s="841"/>
      <c r="K290" s="841"/>
      <c r="L290" s="841"/>
      <c r="M290" s="841"/>
      <c r="N290" s="841"/>
      <c r="O290" s="841"/>
      <c r="P290" s="841"/>
      <c r="Q290" s="841"/>
      <c r="R290" s="841"/>
      <c r="S290" s="841"/>
      <c r="T290" s="841"/>
      <c r="U290" s="841"/>
      <c r="V290" s="841"/>
      <c r="W290" s="841"/>
      <c r="X290" s="841"/>
      <c r="Y290" s="841"/>
      <c r="Z290" s="1226"/>
      <c r="AA290" s="1226"/>
      <c r="AB290" s="1226"/>
      <c r="AC290" s="1226"/>
      <c r="AD290" s="1226"/>
      <c r="AE290" s="1226"/>
      <c r="AF290" s="1226"/>
      <c r="AG290" s="1226"/>
      <c r="AH290" s="1226"/>
      <c r="AI290" s="841"/>
      <c r="AJ290" s="841"/>
      <c r="AK290" s="841"/>
      <c r="AL290" s="841"/>
      <c r="AM290" s="841"/>
      <c r="AN290" s="841"/>
      <c r="AO290" s="841"/>
      <c r="AP290" s="841"/>
      <c r="AQ290" s="841"/>
      <c r="AR290" s="841"/>
      <c r="AS290" s="842"/>
      <c r="DS290" s="841"/>
      <c r="DT290" s="841"/>
      <c r="DU290" s="841"/>
      <c r="DV290" s="841"/>
      <c r="DW290" s="841"/>
      <c r="DX290" s="841"/>
      <c r="DY290" s="841"/>
      <c r="DZ290" s="841"/>
      <c r="EA290" s="841"/>
      <c r="EB290" s="841"/>
      <c r="EC290" s="841"/>
      <c r="ED290" s="841"/>
      <c r="EE290" s="841"/>
      <c r="EF290" s="841"/>
      <c r="EG290" s="841"/>
      <c r="EH290" s="841"/>
      <c r="EI290" s="841"/>
      <c r="EJ290" s="841"/>
      <c r="EK290" s="841"/>
      <c r="EL290" s="841"/>
      <c r="EM290" s="841"/>
      <c r="EN290" s="841"/>
      <c r="EO290" s="841"/>
      <c r="EP290" s="841"/>
      <c r="EQ290" s="841"/>
      <c r="ER290" s="841"/>
      <c r="ES290" s="841"/>
      <c r="ET290" s="841"/>
      <c r="EU290" s="841"/>
      <c r="EV290" s="841"/>
      <c r="EW290" s="841"/>
      <c r="EX290" s="841"/>
      <c r="EY290" s="841"/>
      <c r="EZ290" s="841"/>
      <c r="FA290" s="841"/>
      <c r="FB290" s="841"/>
      <c r="FC290" s="841"/>
      <c r="FD290" s="841"/>
      <c r="FE290" s="841"/>
      <c r="FF290" s="841"/>
      <c r="FG290" s="841"/>
      <c r="FH290" s="841"/>
      <c r="FI290" s="841"/>
      <c r="FJ290" s="841"/>
      <c r="FK290" s="841"/>
      <c r="FL290" s="841"/>
      <c r="FM290" s="841"/>
      <c r="FN290" s="841"/>
      <c r="FO290" s="841"/>
      <c r="FP290" s="841"/>
      <c r="FQ290" s="841"/>
      <c r="FR290" s="841"/>
      <c r="FS290" s="841"/>
      <c r="FT290" s="841"/>
      <c r="FU290" s="841"/>
      <c r="FV290" s="841"/>
      <c r="FW290" s="841"/>
      <c r="FX290" s="841"/>
      <c r="FY290" s="841"/>
      <c r="FZ290" s="841"/>
      <c r="GA290" s="841"/>
      <c r="GB290" s="841"/>
      <c r="GC290" s="841"/>
      <c r="GD290" s="841"/>
      <c r="GE290" s="841"/>
      <c r="GF290" s="841"/>
      <c r="GG290" s="841"/>
      <c r="GH290" s="841"/>
      <c r="GI290" s="841"/>
      <c r="GJ290" s="841"/>
      <c r="GK290" s="841"/>
      <c r="GL290" s="841"/>
      <c r="GM290" s="841"/>
      <c r="GN290" s="841"/>
      <c r="GO290" s="841"/>
      <c r="GP290" s="841"/>
      <c r="GQ290" s="841"/>
      <c r="GR290" s="841"/>
      <c r="GS290" s="841"/>
      <c r="GT290" s="841"/>
      <c r="GU290" s="841"/>
      <c r="GV290" s="841"/>
      <c r="GW290" s="841"/>
      <c r="GX290" s="841"/>
      <c r="GY290" s="841"/>
      <c r="GZ290" s="841"/>
      <c r="HA290" s="841"/>
      <c r="HB290" s="841"/>
      <c r="HC290" s="841"/>
      <c r="HD290" s="841"/>
      <c r="HE290" s="841"/>
      <c r="HF290" s="841"/>
      <c r="HG290" s="841"/>
      <c r="HH290" s="841"/>
      <c r="HI290" s="841"/>
      <c r="HJ290" s="841"/>
      <c r="HK290" s="841"/>
      <c r="HL290" s="841"/>
      <c r="HM290" s="841"/>
      <c r="HN290" s="841"/>
      <c r="HO290" s="841"/>
    </row>
    <row r="291" spans="1:223">
      <c r="A291" s="841"/>
      <c r="B291" s="841"/>
      <c r="C291" s="841"/>
      <c r="D291" s="841"/>
      <c r="E291" s="841"/>
      <c r="F291" s="841"/>
      <c r="G291" s="841"/>
      <c r="H291" s="841"/>
      <c r="I291" s="841"/>
      <c r="J291" s="841"/>
      <c r="K291" s="841"/>
      <c r="L291" s="841"/>
      <c r="M291" s="841"/>
      <c r="N291" s="841"/>
      <c r="O291" s="841"/>
      <c r="P291" s="841"/>
      <c r="Q291" s="841"/>
      <c r="R291" s="841"/>
      <c r="S291" s="841"/>
      <c r="T291" s="841"/>
      <c r="U291" s="841"/>
      <c r="V291" s="841"/>
      <c r="W291" s="841"/>
      <c r="X291" s="841"/>
      <c r="Y291" s="841"/>
      <c r="Z291" s="1226"/>
      <c r="AA291" s="1226"/>
      <c r="AB291" s="1226"/>
      <c r="AC291" s="1226"/>
      <c r="AD291" s="1226"/>
      <c r="AE291" s="1226"/>
      <c r="AF291" s="1226"/>
      <c r="AG291" s="1226"/>
      <c r="AH291" s="1226"/>
      <c r="AI291" s="841"/>
      <c r="AJ291" s="841"/>
      <c r="AK291" s="841"/>
      <c r="AL291" s="841"/>
      <c r="AM291" s="841"/>
      <c r="AN291" s="841"/>
      <c r="AO291" s="841"/>
      <c r="AP291" s="841"/>
      <c r="AQ291" s="841"/>
      <c r="AR291" s="841"/>
      <c r="AS291" s="842"/>
      <c r="DS291" s="841"/>
      <c r="DT291" s="841"/>
      <c r="DU291" s="841"/>
      <c r="DV291" s="841"/>
      <c r="DW291" s="841"/>
      <c r="DX291" s="841"/>
      <c r="DY291" s="841"/>
      <c r="DZ291" s="841"/>
      <c r="EA291" s="841"/>
      <c r="EB291" s="841"/>
      <c r="EC291" s="841"/>
      <c r="ED291" s="841"/>
      <c r="EE291" s="841"/>
      <c r="EF291" s="841"/>
      <c r="EG291" s="841"/>
      <c r="EH291" s="841"/>
      <c r="EI291" s="841"/>
      <c r="EJ291" s="841"/>
      <c r="EK291" s="841"/>
      <c r="EL291" s="841"/>
      <c r="EM291" s="841"/>
      <c r="EN291" s="841"/>
      <c r="EO291" s="841"/>
      <c r="EP291" s="841"/>
      <c r="EQ291" s="841"/>
      <c r="ER291" s="841"/>
      <c r="ES291" s="841"/>
      <c r="ET291" s="841"/>
      <c r="EU291" s="841"/>
      <c r="EV291" s="841"/>
      <c r="EW291" s="841"/>
      <c r="EX291" s="841"/>
      <c r="EY291" s="841"/>
      <c r="EZ291" s="841"/>
      <c r="FA291" s="841"/>
      <c r="FB291" s="841"/>
      <c r="FC291" s="841"/>
      <c r="FD291" s="841"/>
      <c r="FE291" s="841"/>
      <c r="FF291" s="841"/>
      <c r="FG291" s="841"/>
      <c r="FH291" s="841"/>
      <c r="FI291" s="841"/>
      <c r="FJ291" s="841"/>
      <c r="FK291" s="841"/>
      <c r="FL291" s="841"/>
      <c r="FM291" s="841"/>
      <c r="FN291" s="841"/>
      <c r="FO291" s="841"/>
      <c r="FP291" s="841"/>
      <c r="FQ291" s="841"/>
      <c r="FR291" s="841"/>
      <c r="FS291" s="841"/>
      <c r="FT291" s="841"/>
      <c r="FU291" s="841"/>
      <c r="FV291" s="841"/>
      <c r="FW291" s="841"/>
      <c r="FX291" s="841"/>
      <c r="FY291" s="841"/>
      <c r="FZ291" s="841"/>
      <c r="GA291" s="841"/>
      <c r="GB291" s="841"/>
      <c r="GC291" s="841"/>
      <c r="GD291" s="841"/>
      <c r="GE291" s="841"/>
      <c r="GF291" s="841"/>
      <c r="GG291" s="841"/>
      <c r="GH291" s="841"/>
      <c r="GI291" s="841"/>
      <c r="GJ291" s="841"/>
      <c r="GK291" s="841"/>
      <c r="GL291" s="841"/>
      <c r="GM291" s="841"/>
      <c r="GN291" s="841"/>
      <c r="GO291" s="841"/>
      <c r="GP291" s="841"/>
      <c r="GQ291" s="841"/>
      <c r="GR291" s="841"/>
      <c r="GS291" s="841"/>
      <c r="GT291" s="841"/>
      <c r="GU291" s="841"/>
      <c r="GV291" s="841"/>
      <c r="GW291" s="841"/>
      <c r="GX291" s="841"/>
      <c r="GY291" s="841"/>
      <c r="GZ291" s="841"/>
      <c r="HA291" s="841"/>
      <c r="HB291" s="841"/>
      <c r="HC291" s="841"/>
      <c r="HD291" s="841"/>
      <c r="HE291" s="841"/>
      <c r="HF291" s="841"/>
      <c r="HG291" s="841"/>
      <c r="HH291" s="841"/>
      <c r="HI291" s="841"/>
      <c r="HJ291" s="841"/>
      <c r="HK291" s="841"/>
      <c r="HL291" s="841"/>
      <c r="HM291" s="841"/>
      <c r="HN291" s="841"/>
      <c r="HO291" s="841"/>
    </row>
    <row r="292" spans="1:223">
      <c r="A292" s="841"/>
      <c r="B292" s="841"/>
      <c r="C292" s="841"/>
      <c r="D292" s="841"/>
      <c r="E292" s="841"/>
      <c r="F292" s="841"/>
      <c r="G292" s="841"/>
      <c r="H292" s="841"/>
      <c r="I292" s="841"/>
      <c r="J292" s="841"/>
      <c r="K292" s="841"/>
      <c r="L292" s="841"/>
      <c r="M292" s="841"/>
      <c r="N292" s="841"/>
      <c r="O292" s="841"/>
      <c r="P292" s="841"/>
      <c r="Q292" s="841"/>
      <c r="R292" s="841"/>
      <c r="S292" s="841"/>
      <c r="T292" s="841"/>
      <c r="U292" s="841"/>
      <c r="V292" s="841"/>
      <c r="W292" s="841"/>
      <c r="X292" s="841"/>
      <c r="Y292" s="841"/>
      <c r="Z292" s="1226"/>
      <c r="AA292" s="1226"/>
      <c r="AB292" s="1226"/>
      <c r="AC292" s="1226"/>
      <c r="AD292" s="1226"/>
      <c r="AE292" s="1226"/>
      <c r="AF292" s="1226"/>
      <c r="AG292" s="1226"/>
      <c r="AH292" s="1226"/>
      <c r="AI292" s="841"/>
      <c r="AJ292" s="841"/>
      <c r="AK292" s="841"/>
      <c r="AL292" s="841"/>
      <c r="AM292" s="841"/>
      <c r="AN292" s="841"/>
      <c r="AO292" s="841"/>
      <c r="AP292" s="841"/>
      <c r="AQ292" s="841"/>
      <c r="AR292" s="841"/>
      <c r="AS292" s="842"/>
      <c r="DS292" s="841"/>
      <c r="DT292" s="841"/>
      <c r="DU292" s="841"/>
      <c r="DV292" s="841"/>
      <c r="DW292" s="841"/>
      <c r="DX292" s="841"/>
      <c r="DY292" s="841"/>
      <c r="DZ292" s="841"/>
      <c r="EA292" s="841"/>
      <c r="EB292" s="841"/>
      <c r="EC292" s="841"/>
      <c r="ED292" s="841"/>
      <c r="EE292" s="841"/>
      <c r="EF292" s="841"/>
      <c r="EG292" s="841"/>
      <c r="EH292" s="841"/>
      <c r="EI292" s="841"/>
      <c r="EJ292" s="841"/>
      <c r="EK292" s="841"/>
      <c r="EL292" s="841"/>
      <c r="EM292" s="841"/>
      <c r="EN292" s="841"/>
      <c r="EO292" s="841"/>
      <c r="EP292" s="841"/>
      <c r="EQ292" s="841"/>
      <c r="ER292" s="841"/>
      <c r="ES292" s="841"/>
      <c r="ET292" s="841"/>
      <c r="EU292" s="841"/>
      <c r="EV292" s="841"/>
      <c r="EW292" s="841"/>
      <c r="EX292" s="841"/>
      <c r="EY292" s="841"/>
      <c r="EZ292" s="841"/>
      <c r="FA292" s="841"/>
      <c r="FB292" s="841"/>
      <c r="FC292" s="841"/>
      <c r="FD292" s="841"/>
      <c r="FE292" s="841"/>
      <c r="FF292" s="841"/>
      <c r="FG292" s="841"/>
      <c r="FH292" s="841"/>
      <c r="FI292" s="841"/>
      <c r="FJ292" s="841"/>
      <c r="FK292" s="841"/>
      <c r="FL292" s="841"/>
      <c r="FM292" s="841"/>
      <c r="FN292" s="841"/>
      <c r="FO292" s="841"/>
      <c r="FP292" s="841"/>
      <c r="FQ292" s="841"/>
      <c r="FR292" s="841"/>
      <c r="FS292" s="841"/>
      <c r="FT292" s="841"/>
      <c r="FU292" s="841"/>
      <c r="FV292" s="841"/>
      <c r="FW292" s="841"/>
      <c r="FX292" s="841"/>
      <c r="FY292" s="841"/>
      <c r="FZ292" s="841"/>
      <c r="GA292" s="841"/>
      <c r="GB292" s="841"/>
      <c r="GC292" s="841"/>
      <c r="GD292" s="841"/>
      <c r="GE292" s="841"/>
      <c r="GF292" s="841"/>
      <c r="GG292" s="841"/>
      <c r="GH292" s="841"/>
      <c r="GI292" s="841"/>
      <c r="GJ292" s="841"/>
      <c r="GK292" s="841"/>
      <c r="GL292" s="841"/>
      <c r="GM292" s="841"/>
      <c r="GN292" s="841"/>
      <c r="GO292" s="841"/>
      <c r="GP292" s="841"/>
      <c r="GQ292" s="841"/>
      <c r="GR292" s="841"/>
      <c r="GS292" s="841"/>
      <c r="GT292" s="841"/>
      <c r="GU292" s="841"/>
      <c r="GV292" s="841"/>
      <c r="GW292" s="841"/>
      <c r="GX292" s="841"/>
      <c r="GY292" s="841"/>
      <c r="GZ292" s="841"/>
      <c r="HA292" s="841"/>
      <c r="HB292" s="841"/>
      <c r="HC292" s="841"/>
      <c r="HD292" s="841"/>
      <c r="HE292" s="841"/>
      <c r="HF292" s="841"/>
      <c r="HG292" s="841"/>
      <c r="HH292" s="841"/>
      <c r="HI292" s="841"/>
      <c r="HJ292" s="841"/>
      <c r="HK292" s="841"/>
      <c r="HL292" s="841"/>
      <c r="HM292" s="841"/>
      <c r="HN292" s="841"/>
      <c r="HO292" s="841"/>
    </row>
    <row r="293" spans="1:223">
      <c r="A293" s="841"/>
      <c r="B293" s="841"/>
      <c r="C293" s="841"/>
      <c r="D293" s="841"/>
      <c r="E293" s="841"/>
      <c r="F293" s="841"/>
      <c r="G293" s="841"/>
      <c r="H293" s="841"/>
      <c r="I293" s="841"/>
      <c r="J293" s="841"/>
      <c r="K293" s="841"/>
      <c r="L293" s="841"/>
      <c r="M293" s="841"/>
      <c r="N293" s="841"/>
      <c r="O293" s="841"/>
      <c r="P293" s="841"/>
      <c r="Q293" s="841"/>
      <c r="R293" s="841"/>
      <c r="S293" s="841"/>
      <c r="T293" s="841"/>
      <c r="U293" s="841"/>
      <c r="V293" s="841"/>
      <c r="W293" s="841"/>
      <c r="X293" s="841"/>
      <c r="Y293" s="841"/>
      <c r="Z293" s="1226"/>
      <c r="AA293" s="1226"/>
      <c r="AB293" s="1226"/>
      <c r="AC293" s="1226"/>
      <c r="AD293" s="1226"/>
      <c r="AE293" s="1226"/>
      <c r="AF293" s="1226"/>
      <c r="AG293" s="1226"/>
      <c r="AH293" s="1226"/>
      <c r="AI293" s="841"/>
      <c r="AJ293" s="841"/>
      <c r="AK293" s="841"/>
      <c r="AL293" s="841"/>
      <c r="AM293" s="841"/>
      <c r="AN293" s="841"/>
      <c r="AO293" s="841"/>
      <c r="AP293" s="841"/>
      <c r="AQ293" s="841"/>
      <c r="AR293" s="841"/>
      <c r="AS293" s="842"/>
      <c r="DS293" s="841"/>
      <c r="DT293" s="841"/>
      <c r="DU293" s="841"/>
      <c r="DV293" s="841"/>
      <c r="DW293" s="841"/>
      <c r="DX293" s="841"/>
      <c r="DY293" s="841"/>
      <c r="DZ293" s="841"/>
      <c r="EA293" s="841"/>
      <c r="EB293" s="841"/>
      <c r="EC293" s="841"/>
      <c r="ED293" s="841"/>
      <c r="EE293" s="841"/>
      <c r="EF293" s="841"/>
      <c r="EG293" s="841"/>
      <c r="EH293" s="841"/>
      <c r="EI293" s="841"/>
      <c r="EJ293" s="841"/>
      <c r="EK293" s="841"/>
      <c r="EL293" s="841"/>
      <c r="EM293" s="841"/>
      <c r="EN293" s="841"/>
      <c r="EO293" s="841"/>
      <c r="EP293" s="841"/>
      <c r="EQ293" s="841"/>
      <c r="ER293" s="841"/>
      <c r="ES293" s="841"/>
      <c r="ET293" s="841"/>
      <c r="EU293" s="841"/>
      <c r="EV293" s="841"/>
      <c r="EW293" s="841"/>
      <c r="EX293" s="841"/>
      <c r="EY293" s="841"/>
      <c r="EZ293" s="841"/>
      <c r="FA293" s="841"/>
      <c r="FB293" s="841"/>
      <c r="FC293" s="841"/>
      <c r="FD293" s="841"/>
      <c r="FE293" s="841"/>
      <c r="FF293" s="841"/>
      <c r="FG293" s="841"/>
      <c r="FH293" s="841"/>
      <c r="FI293" s="841"/>
      <c r="FJ293" s="841"/>
      <c r="FK293" s="841"/>
      <c r="FL293" s="841"/>
      <c r="FM293" s="841"/>
      <c r="FN293" s="841"/>
      <c r="FO293" s="841"/>
      <c r="FP293" s="841"/>
      <c r="FQ293" s="841"/>
      <c r="FR293" s="841"/>
      <c r="FS293" s="841"/>
      <c r="FT293" s="841"/>
      <c r="FU293" s="841"/>
      <c r="FV293" s="841"/>
      <c r="FW293" s="841"/>
      <c r="FX293" s="841"/>
      <c r="FY293" s="841"/>
      <c r="FZ293" s="841"/>
      <c r="GA293" s="841"/>
      <c r="GB293" s="841"/>
      <c r="GC293" s="841"/>
      <c r="GD293" s="841"/>
      <c r="GE293" s="841"/>
      <c r="GF293" s="841"/>
      <c r="GG293" s="841"/>
      <c r="GH293" s="841"/>
      <c r="GI293" s="841"/>
      <c r="GJ293" s="841"/>
      <c r="GK293" s="841"/>
      <c r="GL293" s="841"/>
      <c r="GM293" s="841"/>
      <c r="GN293" s="841"/>
      <c r="GO293" s="841"/>
      <c r="GP293" s="841"/>
      <c r="GQ293" s="841"/>
      <c r="GR293" s="841"/>
      <c r="GS293" s="841"/>
      <c r="GT293" s="841"/>
      <c r="GU293" s="841"/>
      <c r="GV293" s="841"/>
      <c r="GW293" s="841"/>
      <c r="GX293" s="841"/>
      <c r="GY293" s="841"/>
      <c r="GZ293" s="841"/>
      <c r="HA293" s="841"/>
      <c r="HB293" s="841"/>
      <c r="HC293" s="841"/>
      <c r="HD293" s="841"/>
      <c r="HE293" s="841"/>
      <c r="HF293" s="841"/>
      <c r="HG293" s="841"/>
      <c r="HH293" s="841"/>
      <c r="HI293" s="841"/>
      <c r="HJ293" s="841"/>
      <c r="HK293" s="841"/>
      <c r="HL293" s="841"/>
      <c r="HM293" s="841"/>
      <c r="HN293" s="841"/>
      <c r="HO293" s="841"/>
    </row>
    <row r="294" spans="1:223">
      <c r="A294" s="841"/>
      <c r="B294" s="841"/>
      <c r="C294" s="841"/>
      <c r="D294" s="841"/>
      <c r="E294" s="841"/>
      <c r="F294" s="841"/>
      <c r="G294" s="841"/>
      <c r="H294" s="841"/>
      <c r="I294" s="841"/>
      <c r="J294" s="841"/>
      <c r="K294" s="841"/>
      <c r="L294" s="841"/>
      <c r="M294" s="841"/>
      <c r="N294" s="841"/>
      <c r="O294" s="841"/>
      <c r="P294" s="841"/>
      <c r="Q294" s="841"/>
      <c r="R294" s="841"/>
      <c r="S294" s="841"/>
      <c r="T294" s="841"/>
      <c r="U294" s="841"/>
      <c r="V294" s="841"/>
      <c r="W294" s="841"/>
      <c r="X294" s="841"/>
      <c r="Y294" s="841"/>
      <c r="Z294" s="1226"/>
      <c r="AA294" s="1226"/>
      <c r="AB294" s="1226"/>
      <c r="AC294" s="1226"/>
      <c r="AD294" s="1226"/>
      <c r="AE294" s="1226"/>
      <c r="AF294" s="1226"/>
      <c r="AG294" s="1226"/>
      <c r="AH294" s="1226"/>
      <c r="AI294" s="841"/>
      <c r="AJ294" s="841"/>
      <c r="AK294" s="841"/>
      <c r="AL294" s="841"/>
      <c r="AM294" s="841"/>
      <c r="AN294" s="841"/>
      <c r="AO294" s="841"/>
      <c r="AP294" s="841"/>
      <c r="AQ294" s="841"/>
      <c r="AR294" s="841"/>
      <c r="AS294" s="842"/>
      <c r="DS294" s="841"/>
      <c r="DT294" s="841"/>
      <c r="DU294" s="841"/>
      <c r="DV294" s="841"/>
      <c r="DW294" s="841"/>
      <c r="DX294" s="841"/>
      <c r="DY294" s="841"/>
      <c r="DZ294" s="841"/>
      <c r="EA294" s="841"/>
      <c r="EB294" s="841"/>
      <c r="EC294" s="841"/>
      <c r="ED294" s="841"/>
      <c r="EE294" s="841"/>
      <c r="EF294" s="841"/>
      <c r="EG294" s="841"/>
      <c r="EH294" s="841"/>
      <c r="EI294" s="841"/>
      <c r="EJ294" s="841"/>
      <c r="EK294" s="841"/>
      <c r="EL294" s="841"/>
      <c r="EM294" s="841"/>
      <c r="EN294" s="841"/>
      <c r="EO294" s="841"/>
      <c r="EP294" s="841"/>
      <c r="EQ294" s="841"/>
      <c r="ER294" s="841"/>
      <c r="ES294" s="841"/>
      <c r="ET294" s="841"/>
      <c r="EU294" s="841"/>
      <c r="EV294" s="841"/>
      <c r="EW294" s="841"/>
      <c r="EX294" s="841"/>
      <c r="EY294" s="841"/>
      <c r="EZ294" s="841"/>
      <c r="FA294" s="841"/>
      <c r="FB294" s="841"/>
      <c r="FC294" s="841"/>
      <c r="FD294" s="841"/>
      <c r="FE294" s="841"/>
      <c r="FF294" s="841"/>
      <c r="FG294" s="841"/>
      <c r="FH294" s="841"/>
      <c r="FI294" s="841"/>
      <c r="FJ294" s="841"/>
      <c r="FK294" s="841"/>
      <c r="FL294" s="841"/>
      <c r="FM294" s="841"/>
      <c r="FN294" s="841"/>
      <c r="FO294" s="841"/>
      <c r="FP294" s="841"/>
      <c r="FQ294" s="841"/>
      <c r="FR294" s="841"/>
      <c r="FS294" s="841"/>
      <c r="FT294" s="841"/>
      <c r="FU294" s="841"/>
      <c r="FV294" s="841"/>
      <c r="FW294" s="841"/>
      <c r="FX294" s="841"/>
      <c r="FY294" s="841"/>
      <c r="FZ294" s="841"/>
      <c r="GA294" s="841"/>
      <c r="GB294" s="841"/>
      <c r="GC294" s="841"/>
      <c r="GD294" s="841"/>
      <c r="GE294" s="841"/>
      <c r="GF294" s="841"/>
      <c r="GG294" s="841"/>
      <c r="GH294" s="841"/>
      <c r="GI294" s="841"/>
      <c r="GJ294" s="841"/>
      <c r="GK294" s="841"/>
      <c r="GL294" s="841"/>
      <c r="GM294" s="841"/>
      <c r="GN294" s="841"/>
      <c r="GO294" s="841"/>
      <c r="GP294" s="841"/>
      <c r="GQ294" s="841"/>
      <c r="GR294" s="841"/>
      <c r="GS294" s="841"/>
      <c r="GT294" s="841"/>
      <c r="GU294" s="841"/>
      <c r="GV294" s="841"/>
      <c r="GW294" s="841"/>
      <c r="GX294" s="841"/>
      <c r="GY294" s="841"/>
      <c r="GZ294" s="841"/>
      <c r="HA294" s="841"/>
      <c r="HB294" s="841"/>
      <c r="HC294" s="841"/>
      <c r="HD294" s="841"/>
      <c r="HE294" s="841"/>
      <c r="HF294" s="841"/>
      <c r="HG294" s="841"/>
      <c r="HH294" s="841"/>
      <c r="HI294" s="841"/>
      <c r="HJ294" s="841"/>
      <c r="HK294" s="841"/>
      <c r="HL294" s="841"/>
      <c r="HM294" s="841"/>
      <c r="HN294" s="841"/>
      <c r="HO294" s="841"/>
    </row>
    <row r="295" spans="1:223">
      <c r="A295" s="841"/>
      <c r="B295" s="841"/>
      <c r="C295" s="841"/>
      <c r="D295" s="841"/>
      <c r="E295" s="841"/>
      <c r="F295" s="841"/>
      <c r="G295" s="841"/>
      <c r="H295" s="841"/>
      <c r="I295" s="841"/>
      <c r="J295" s="841"/>
      <c r="K295" s="841"/>
      <c r="L295" s="841"/>
      <c r="M295" s="841"/>
      <c r="N295" s="841"/>
      <c r="O295" s="841"/>
      <c r="P295" s="841"/>
      <c r="Q295" s="841"/>
      <c r="R295" s="841"/>
      <c r="S295" s="841"/>
      <c r="T295" s="841"/>
      <c r="U295" s="841"/>
      <c r="V295" s="841"/>
      <c r="W295" s="841"/>
      <c r="X295" s="841"/>
      <c r="Y295" s="841"/>
      <c r="Z295" s="1226"/>
      <c r="AA295" s="1226"/>
      <c r="AB295" s="1226"/>
      <c r="AC295" s="1226"/>
      <c r="AD295" s="1226"/>
      <c r="AE295" s="1226"/>
      <c r="AF295" s="1226"/>
      <c r="AG295" s="1226"/>
      <c r="AH295" s="1226"/>
      <c r="AI295" s="841"/>
      <c r="AJ295" s="841"/>
      <c r="AK295" s="841"/>
      <c r="AL295" s="841"/>
      <c r="AM295" s="841"/>
      <c r="AN295" s="841"/>
      <c r="AO295" s="841"/>
      <c r="AP295" s="841"/>
      <c r="AQ295" s="841"/>
      <c r="AR295" s="841"/>
      <c r="AS295" s="842"/>
      <c r="DS295" s="841"/>
      <c r="DT295" s="841"/>
      <c r="DU295" s="841"/>
      <c r="DV295" s="841"/>
      <c r="DW295" s="841"/>
      <c r="DX295" s="841"/>
      <c r="DY295" s="841"/>
      <c r="DZ295" s="841"/>
      <c r="EA295" s="841"/>
      <c r="EB295" s="841"/>
      <c r="EC295" s="841"/>
      <c r="ED295" s="841"/>
      <c r="EE295" s="841"/>
      <c r="EF295" s="841"/>
      <c r="EG295" s="841"/>
      <c r="EH295" s="841"/>
      <c r="EI295" s="841"/>
      <c r="EJ295" s="841"/>
      <c r="EK295" s="841"/>
      <c r="EL295" s="841"/>
      <c r="EM295" s="841"/>
      <c r="EN295" s="841"/>
      <c r="EO295" s="841"/>
      <c r="EP295" s="841"/>
      <c r="EQ295" s="841"/>
      <c r="ER295" s="841"/>
      <c r="ES295" s="841"/>
      <c r="ET295" s="841"/>
      <c r="EU295" s="841"/>
      <c r="EV295" s="841"/>
      <c r="EW295" s="841"/>
      <c r="EX295" s="841"/>
      <c r="EY295" s="841"/>
      <c r="EZ295" s="841"/>
      <c r="FA295" s="841"/>
      <c r="FB295" s="841"/>
      <c r="FC295" s="841"/>
      <c r="FD295" s="841"/>
      <c r="FE295" s="841"/>
      <c r="FF295" s="841"/>
      <c r="FG295" s="841"/>
      <c r="FH295" s="841"/>
      <c r="FI295" s="841"/>
      <c r="FJ295" s="841"/>
      <c r="FK295" s="841"/>
      <c r="FL295" s="841"/>
      <c r="FM295" s="841"/>
      <c r="FN295" s="841"/>
      <c r="FO295" s="841"/>
      <c r="FP295" s="841"/>
      <c r="FQ295" s="841"/>
      <c r="FR295" s="841"/>
      <c r="FS295" s="841"/>
      <c r="FT295" s="841"/>
      <c r="FU295" s="841"/>
      <c r="FV295" s="841"/>
      <c r="FW295" s="841"/>
      <c r="FX295" s="841"/>
      <c r="FY295" s="841"/>
      <c r="FZ295" s="841"/>
      <c r="GA295" s="841"/>
      <c r="GB295" s="841"/>
      <c r="GC295" s="841"/>
      <c r="GD295" s="841"/>
      <c r="GE295" s="841"/>
      <c r="GF295" s="841"/>
      <c r="GG295" s="841"/>
      <c r="GH295" s="841"/>
      <c r="GI295" s="841"/>
      <c r="GJ295" s="841"/>
      <c r="GK295" s="841"/>
      <c r="GL295" s="841"/>
      <c r="GM295" s="841"/>
      <c r="GN295" s="841"/>
      <c r="GO295" s="841"/>
      <c r="GP295" s="841"/>
      <c r="GQ295" s="841"/>
      <c r="GR295" s="841"/>
      <c r="GS295" s="841"/>
      <c r="GT295" s="841"/>
      <c r="GU295" s="841"/>
      <c r="GV295" s="841"/>
      <c r="GW295" s="841"/>
      <c r="GX295" s="841"/>
      <c r="GY295" s="841"/>
      <c r="GZ295" s="841"/>
      <c r="HA295" s="841"/>
      <c r="HB295" s="841"/>
      <c r="HC295" s="841"/>
      <c r="HD295" s="841"/>
      <c r="HE295" s="841"/>
      <c r="HF295" s="841"/>
      <c r="HG295" s="841"/>
      <c r="HH295" s="841"/>
      <c r="HI295" s="841"/>
      <c r="HJ295" s="841"/>
      <c r="HK295" s="841"/>
      <c r="HL295" s="841"/>
      <c r="HM295" s="841"/>
      <c r="HN295" s="841"/>
      <c r="HO295" s="841"/>
    </row>
    <row r="296" spans="1:223">
      <c r="A296" s="841"/>
      <c r="B296" s="841"/>
      <c r="C296" s="841"/>
      <c r="D296" s="841"/>
      <c r="E296" s="841"/>
      <c r="F296" s="841"/>
      <c r="G296" s="841"/>
      <c r="H296" s="841"/>
      <c r="I296" s="841"/>
      <c r="J296" s="841"/>
      <c r="K296" s="841"/>
      <c r="L296" s="841"/>
      <c r="M296" s="841"/>
      <c r="N296" s="841"/>
      <c r="O296" s="841"/>
      <c r="P296" s="841"/>
      <c r="Q296" s="841"/>
      <c r="R296" s="841"/>
      <c r="S296" s="841"/>
      <c r="T296" s="841"/>
      <c r="U296" s="841"/>
      <c r="V296" s="841"/>
      <c r="W296" s="841"/>
      <c r="X296" s="841"/>
      <c r="Y296" s="841"/>
      <c r="Z296" s="1226"/>
      <c r="AA296" s="1226"/>
      <c r="AB296" s="1226"/>
      <c r="AC296" s="1226"/>
      <c r="AD296" s="1226"/>
      <c r="AE296" s="1226"/>
      <c r="AF296" s="1226"/>
      <c r="AG296" s="1226"/>
      <c r="AH296" s="1226"/>
      <c r="AI296" s="841"/>
      <c r="AJ296" s="841"/>
      <c r="AK296" s="841"/>
      <c r="AL296" s="841"/>
      <c r="AM296" s="841"/>
      <c r="AN296" s="841"/>
      <c r="AO296" s="841"/>
      <c r="AP296" s="841"/>
      <c r="AQ296" s="841"/>
      <c r="AR296" s="841"/>
      <c r="AS296" s="842"/>
      <c r="DS296" s="841"/>
      <c r="DT296" s="841"/>
      <c r="DU296" s="841"/>
      <c r="DV296" s="841"/>
      <c r="DW296" s="841"/>
      <c r="DX296" s="841"/>
      <c r="DY296" s="841"/>
      <c r="DZ296" s="841"/>
      <c r="EA296" s="841"/>
      <c r="EB296" s="841"/>
      <c r="EC296" s="841"/>
      <c r="ED296" s="841"/>
      <c r="EE296" s="841"/>
      <c r="EF296" s="841"/>
      <c r="EG296" s="841"/>
      <c r="EH296" s="841"/>
      <c r="EI296" s="841"/>
      <c r="EJ296" s="841"/>
      <c r="EK296" s="841"/>
      <c r="EL296" s="841"/>
      <c r="EM296" s="841"/>
      <c r="EN296" s="841"/>
      <c r="EO296" s="841"/>
      <c r="EP296" s="841"/>
      <c r="EQ296" s="841"/>
      <c r="ER296" s="841"/>
      <c r="ES296" s="841"/>
      <c r="ET296" s="841"/>
      <c r="EU296" s="841"/>
      <c r="EV296" s="841"/>
      <c r="EW296" s="841"/>
      <c r="EX296" s="841"/>
      <c r="EY296" s="841"/>
      <c r="EZ296" s="841"/>
      <c r="FA296" s="841"/>
      <c r="FB296" s="841"/>
      <c r="FC296" s="841"/>
      <c r="FD296" s="841"/>
      <c r="FE296" s="841"/>
      <c r="FF296" s="841"/>
      <c r="FG296" s="841"/>
      <c r="FH296" s="841"/>
      <c r="FI296" s="841"/>
      <c r="FJ296" s="841"/>
      <c r="FK296" s="841"/>
      <c r="FL296" s="841"/>
      <c r="FM296" s="841"/>
      <c r="FN296" s="841"/>
      <c r="FO296" s="841"/>
      <c r="FP296" s="841"/>
      <c r="FQ296" s="841"/>
      <c r="FR296" s="841"/>
      <c r="FS296" s="841"/>
      <c r="FT296" s="841"/>
      <c r="FU296" s="841"/>
      <c r="FV296" s="841"/>
      <c r="FW296" s="841"/>
      <c r="FX296" s="841"/>
      <c r="FY296" s="841"/>
      <c r="FZ296" s="841"/>
      <c r="GA296" s="841"/>
      <c r="GB296" s="841"/>
      <c r="GC296" s="841"/>
      <c r="GD296" s="841"/>
      <c r="GE296" s="841"/>
      <c r="GF296" s="841"/>
      <c r="GG296" s="841"/>
      <c r="GH296" s="841"/>
      <c r="GI296" s="841"/>
      <c r="GJ296" s="841"/>
      <c r="GK296" s="841"/>
      <c r="GL296" s="841"/>
      <c r="GM296" s="841"/>
      <c r="GN296" s="841"/>
      <c r="GO296" s="841"/>
      <c r="GP296" s="841"/>
      <c r="GQ296" s="841"/>
      <c r="GR296" s="841"/>
      <c r="GS296" s="841"/>
      <c r="GT296" s="841"/>
      <c r="GU296" s="841"/>
      <c r="GV296" s="841"/>
      <c r="GW296" s="841"/>
      <c r="GX296" s="841"/>
      <c r="GY296" s="841"/>
      <c r="GZ296" s="841"/>
      <c r="HA296" s="841"/>
      <c r="HB296" s="841"/>
      <c r="HC296" s="841"/>
      <c r="HD296" s="841"/>
      <c r="HE296" s="841"/>
      <c r="HF296" s="841"/>
      <c r="HG296" s="841"/>
      <c r="HH296" s="841"/>
      <c r="HI296" s="841"/>
      <c r="HJ296" s="841"/>
      <c r="HK296" s="841"/>
      <c r="HL296" s="841"/>
      <c r="HM296" s="841"/>
      <c r="HN296" s="841"/>
      <c r="HO296" s="841"/>
    </row>
    <row r="297" spans="1:223">
      <c r="A297" s="841"/>
      <c r="B297" s="841"/>
      <c r="C297" s="841"/>
      <c r="D297" s="841"/>
      <c r="E297" s="841"/>
      <c r="F297" s="841"/>
      <c r="G297" s="841"/>
      <c r="H297" s="841"/>
      <c r="I297" s="841"/>
      <c r="J297" s="841"/>
      <c r="K297" s="841"/>
      <c r="L297" s="841"/>
      <c r="M297" s="841"/>
      <c r="N297" s="841"/>
      <c r="O297" s="841"/>
      <c r="P297" s="841"/>
      <c r="Q297" s="841"/>
      <c r="R297" s="841"/>
      <c r="S297" s="841"/>
      <c r="T297" s="841"/>
      <c r="U297" s="841"/>
      <c r="V297" s="841"/>
      <c r="W297" s="841"/>
      <c r="X297" s="841"/>
      <c r="Y297" s="841"/>
      <c r="Z297" s="1226"/>
      <c r="AA297" s="1226"/>
      <c r="AB297" s="1226"/>
      <c r="AC297" s="1226"/>
      <c r="AD297" s="1226"/>
      <c r="AE297" s="1226"/>
      <c r="AF297" s="1226"/>
      <c r="AG297" s="1226"/>
      <c r="AH297" s="1226"/>
      <c r="AI297" s="841"/>
      <c r="AJ297" s="841"/>
      <c r="AK297" s="841"/>
      <c r="AL297" s="841"/>
      <c r="AM297" s="841"/>
      <c r="AN297" s="841"/>
      <c r="AO297" s="841"/>
      <c r="AP297" s="841"/>
      <c r="AQ297" s="841"/>
      <c r="AR297" s="841"/>
      <c r="AS297" s="842"/>
      <c r="DS297" s="841"/>
      <c r="DT297" s="841"/>
      <c r="DU297" s="841"/>
      <c r="DV297" s="841"/>
      <c r="DW297" s="841"/>
      <c r="DX297" s="841"/>
      <c r="DY297" s="841"/>
      <c r="DZ297" s="841"/>
      <c r="EA297" s="841"/>
      <c r="EB297" s="841"/>
      <c r="EC297" s="841"/>
      <c r="ED297" s="841"/>
      <c r="EE297" s="841"/>
      <c r="EF297" s="841"/>
      <c r="EG297" s="841"/>
      <c r="EH297" s="841"/>
      <c r="EI297" s="841"/>
      <c r="EJ297" s="841"/>
      <c r="EK297" s="841"/>
      <c r="EL297" s="841"/>
      <c r="EM297" s="841"/>
      <c r="EN297" s="841"/>
      <c r="EO297" s="841"/>
      <c r="EP297" s="841"/>
      <c r="EQ297" s="841"/>
      <c r="ER297" s="841"/>
      <c r="ES297" s="841"/>
      <c r="ET297" s="841"/>
      <c r="EU297" s="841"/>
      <c r="EV297" s="841"/>
      <c r="EW297" s="841"/>
      <c r="EX297" s="841"/>
      <c r="EY297" s="841"/>
      <c r="EZ297" s="841"/>
      <c r="FA297" s="841"/>
      <c r="FB297" s="841"/>
      <c r="FC297" s="841"/>
      <c r="FD297" s="841"/>
      <c r="FE297" s="841"/>
      <c r="FF297" s="841"/>
      <c r="FG297" s="841"/>
      <c r="FH297" s="841"/>
      <c r="FI297" s="841"/>
      <c r="FJ297" s="841"/>
      <c r="FK297" s="841"/>
      <c r="FL297" s="841"/>
      <c r="FM297" s="841"/>
      <c r="FN297" s="841"/>
      <c r="FO297" s="841"/>
      <c r="FP297" s="841"/>
      <c r="FQ297" s="841"/>
      <c r="FR297" s="841"/>
      <c r="FS297" s="841"/>
      <c r="FT297" s="841"/>
      <c r="FU297" s="841"/>
      <c r="FV297" s="841"/>
      <c r="FW297" s="841"/>
      <c r="FX297" s="841"/>
      <c r="FY297" s="841"/>
      <c r="FZ297" s="841"/>
      <c r="GA297" s="841"/>
      <c r="GB297" s="841"/>
      <c r="GC297" s="841"/>
      <c r="GD297" s="841"/>
      <c r="GE297" s="841"/>
      <c r="GF297" s="841"/>
      <c r="GG297" s="841"/>
      <c r="GH297" s="841"/>
      <c r="GI297" s="841"/>
      <c r="GJ297" s="841"/>
      <c r="GK297" s="841"/>
      <c r="GL297" s="841"/>
      <c r="GM297" s="841"/>
      <c r="GN297" s="841"/>
      <c r="GO297" s="841"/>
      <c r="GP297" s="841"/>
      <c r="GQ297" s="841"/>
      <c r="GR297" s="841"/>
      <c r="GS297" s="841"/>
      <c r="GT297" s="841"/>
      <c r="GU297" s="841"/>
      <c r="GV297" s="841"/>
      <c r="GW297" s="841"/>
      <c r="GX297" s="841"/>
      <c r="GY297" s="841"/>
      <c r="GZ297" s="841"/>
      <c r="HA297" s="841"/>
      <c r="HB297" s="841"/>
      <c r="HC297" s="841"/>
      <c r="HD297" s="841"/>
      <c r="HE297" s="841"/>
      <c r="HF297" s="841"/>
      <c r="HG297" s="841"/>
      <c r="HH297" s="841"/>
      <c r="HI297" s="841"/>
      <c r="HJ297" s="841"/>
      <c r="HK297" s="841"/>
      <c r="HL297" s="841"/>
      <c r="HM297" s="841"/>
      <c r="HN297" s="841"/>
      <c r="HO297" s="841"/>
    </row>
    <row r="298" spans="1:223">
      <c r="A298" s="841"/>
      <c r="B298" s="841"/>
      <c r="C298" s="841"/>
      <c r="D298" s="841"/>
      <c r="E298" s="841"/>
      <c r="F298" s="841"/>
      <c r="G298" s="841"/>
      <c r="H298" s="841"/>
      <c r="I298" s="841"/>
      <c r="J298" s="841"/>
      <c r="K298" s="841"/>
      <c r="L298" s="841"/>
      <c r="M298" s="841"/>
      <c r="N298" s="841"/>
      <c r="O298" s="841"/>
      <c r="P298" s="841"/>
      <c r="Q298" s="841"/>
      <c r="R298" s="841"/>
      <c r="S298" s="841"/>
      <c r="T298" s="841"/>
      <c r="U298" s="841"/>
      <c r="V298" s="841"/>
      <c r="W298" s="841"/>
      <c r="X298" s="841"/>
      <c r="Y298" s="841"/>
      <c r="Z298" s="1226"/>
      <c r="AA298" s="1226"/>
      <c r="AB298" s="1226"/>
      <c r="AC298" s="1226"/>
      <c r="AD298" s="1226"/>
      <c r="AE298" s="1226"/>
      <c r="AF298" s="1226"/>
      <c r="AG298" s="1226"/>
      <c r="AH298" s="1226"/>
      <c r="AI298" s="841"/>
      <c r="AJ298" s="841"/>
      <c r="AK298" s="841"/>
      <c r="AL298" s="841"/>
      <c r="AM298" s="841"/>
      <c r="AN298" s="841"/>
      <c r="AO298" s="841"/>
      <c r="AP298" s="841"/>
      <c r="AQ298" s="841"/>
      <c r="AR298" s="841"/>
      <c r="AS298" s="842"/>
      <c r="DS298" s="841"/>
      <c r="DT298" s="841"/>
      <c r="DU298" s="841"/>
      <c r="DV298" s="841"/>
      <c r="DW298" s="841"/>
      <c r="DX298" s="841"/>
      <c r="DY298" s="841"/>
      <c r="DZ298" s="841"/>
      <c r="EA298" s="841"/>
      <c r="EB298" s="841"/>
      <c r="EC298" s="841"/>
      <c r="ED298" s="841"/>
      <c r="EE298" s="841"/>
      <c r="EF298" s="841"/>
      <c r="EG298" s="841"/>
      <c r="EH298" s="841"/>
      <c r="EI298" s="841"/>
      <c r="EJ298" s="841"/>
      <c r="EK298" s="841"/>
      <c r="EL298" s="841"/>
      <c r="EM298" s="841"/>
      <c r="EN298" s="841"/>
      <c r="EO298" s="841"/>
      <c r="EP298" s="841"/>
      <c r="EQ298" s="841"/>
      <c r="ER298" s="841"/>
      <c r="ES298" s="841"/>
      <c r="ET298" s="841"/>
      <c r="EU298" s="841"/>
      <c r="EV298" s="841"/>
      <c r="EW298" s="841"/>
      <c r="EX298" s="841"/>
      <c r="EY298" s="841"/>
      <c r="EZ298" s="841"/>
      <c r="FA298" s="841"/>
      <c r="FB298" s="841"/>
      <c r="FC298" s="841"/>
      <c r="FD298" s="841"/>
      <c r="FE298" s="841"/>
      <c r="FF298" s="841"/>
      <c r="FG298" s="841"/>
      <c r="FH298" s="841"/>
      <c r="FI298" s="841"/>
      <c r="FJ298" s="841"/>
      <c r="FK298" s="841"/>
      <c r="FL298" s="841"/>
      <c r="FM298" s="841"/>
      <c r="FN298" s="841"/>
      <c r="FO298" s="841"/>
      <c r="FP298" s="841"/>
      <c r="FQ298" s="841"/>
      <c r="FR298" s="841"/>
      <c r="FS298" s="841"/>
      <c r="FT298" s="841"/>
      <c r="FU298" s="841"/>
      <c r="FV298" s="841"/>
      <c r="FW298" s="841"/>
      <c r="FX298" s="841"/>
      <c r="FY298" s="841"/>
      <c r="FZ298" s="841"/>
      <c r="GA298" s="841"/>
      <c r="GB298" s="841"/>
      <c r="GC298" s="841"/>
      <c r="GD298" s="841"/>
      <c r="GE298" s="841"/>
      <c r="GF298" s="841"/>
      <c r="GG298" s="841"/>
      <c r="GH298" s="841"/>
      <c r="GI298" s="841"/>
      <c r="GJ298" s="841"/>
      <c r="GK298" s="841"/>
      <c r="GL298" s="841"/>
      <c r="GM298" s="841"/>
      <c r="GN298" s="841"/>
      <c r="GO298" s="841"/>
      <c r="GP298" s="841"/>
      <c r="GQ298" s="841"/>
      <c r="GR298" s="841"/>
      <c r="GS298" s="841"/>
      <c r="GT298" s="841"/>
      <c r="GU298" s="841"/>
      <c r="GV298" s="841"/>
      <c r="GW298" s="841"/>
      <c r="GX298" s="841"/>
      <c r="GY298" s="841"/>
      <c r="GZ298" s="841"/>
      <c r="HA298" s="841"/>
      <c r="HB298" s="841"/>
      <c r="HC298" s="841"/>
      <c r="HD298" s="841"/>
      <c r="HE298" s="841"/>
      <c r="HF298" s="841"/>
      <c r="HG298" s="841"/>
      <c r="HH298" s="841"/>
      <c r="HI298" s="841"/>
      <c r="HJ298" s="841"/>
      <c r="HK298" s="841"/>
      <c r="HL298" s="841"/>
      <c r="HM298" s="841"/>
      <c r="HN298" s="841"/>
      <c r="HO298" s="841"/>
    </row>
    <row r="299" spans="1:223">
      <c r="A299" s="841"/>
      <c r="B299" s="841"/>
      <c r="C299" s="841"/>
      <c r="D299" s="841"/>
      <c r="E299" s="841"/>
      <c r="F299" s="841"/>
      <c r="G299" s="841"/>
      <c r="H299" s="841"/>
      <c r="I299" s="841"/>
      <c r="J299" s="841"/>
      <c r="K299" s="841"/>
      <c r="L299" s="841"/>
      <c r="M299" s="841"/>
      <c r="N299" s="841"/>
      <c r="O299" s="841"/>
      <c r="P299" s="841"/>
      <c r="Q299" s="841"/>
      <c r="R299" s="841"/>
      <c r="S299" s="841"/>
      <c r="T299" s="841"/>
      <c r="U299" s="841"/>
      <c r="V299" s="841"/>
      <c r="W299" s="841"/>
      <c r="X299" s="841"/>
      <c r="Y299" s="841"/>
      <c r="Z299" s="1226"/>
      <c r="AA299" s="1226"/>
      <c r="AB299" s="1226"/>
      <c r="AC299" s="1226"/>
      <c r="AD299" s="1226"/>
      <c r="AE299" s="1226"/>
      <c r="AF299" s="1226"/>
      <c r="AG299" s="1226"/>
      <c r="AH299" s="1226"/>
      <c r="AI299" s="841"/>
      <c r="AJ299" s="841"/>
      <c r="AK299" s="841"/>
      <c r="AL299" s="841"/>
      <c r="AM299" s="841"/>
      <c r="AN299" s="841"/>
      <c r="AO299" s="841"/>
      <c r="AP299" s="841"/>
      <c r="AQ299" s="841"/>
      <c r="AR299" s="841"/>
      <c r="AS299" s="842"/>
      <c r="DS299" s="841"/>
      <c r="DT299" s="841"/>
      <c r="DU299" s="841"/>
      <c r="DV299" s="841"/>
      <c r="DW299" s="841"/>
      <c r="DX299" s="841"/>
      <c r="DY299" s="841"/>
      <c r="DZ299" s="841"/>
      <c r="EA299" s="841"/>
      <c r="EB299" s="841"/>
      <c r="EC299" s="841"/>
      <c r="ED299" s="841"/>
      <c r="EE299" s="841"/>
      <c r="EF299" s="841"/>
      <c r="EG299" s="841"/>
      <c r="EH299" s="841"/>
      <c r="EI299" s="841"/>
      <c r="EJ299" s="841"/>
      <c r="EK299" s="841"/>
      <c r="EL299" s="841"/>
      <c r="EM299" s="841"/>
      <c r="EN299" s="841"/>
      <c r="EO299" s="841"/>
      <c r="EP299" s="841"/>
      <c r="EQ299" s="841"/>
      <c r="ER299" s="841"/>
      <c r="ES299" s="841"/>
      <c r="ET299" s="841"/>
      <c r="EU299" s="841"/>
      <c r="EV299" s="841"/>
      <c r="EW299" s="841"/>
      <c r="EX299" s="841"/>
      <c r="EY299" s="841"/>
      <c r="EZ299" s="841"/>
      <c r="FA299" s="841"/>
      <c r="FB299" s="841"/>
      <c r="FC299" s="841"/>
      <c r="FD299" s="841"/>
      <c r="FE299" s="841"/>
      <c r="FF299" s="841"/>
      <c r="FG299" s="841"/>
      <c r="FH299" s="841"/>
      <c r="FI299" s="841"/>
      <c r="FJ299" s="841"/>
      <c r="FK299" s="841"/>
      <c r="FL299" s="841"/>
      <c r="FM299" s="841"/>
      <c r="FN299" s="841"/>
      <c r="FO299" s="841"/>
      <c r="FP299" s="841"/>
      <c r="FQ299" s="841"/>
      <c r="FR299" s="841"/>
      <c r="FS299" s="841"/>
      <c r="FT299" s="841"/>
      <c r="FU299" s="841"/>
      <c r="FV299" s="841"/>
      <c r="FW299" s="841"/>
      <c r="FX299" s="841"/>
      <c r="FY299" s="841"/>
      <c r="FZ299" s="841"/>
      <c r="GA299" s="841"/>
      <c r="GB299" s="841"/>
      <c r="GC299" s="841"/>
      <c r="GD299" s="841"/>
      <c r="GE299" s="841"/>
      <c r="GF299" s="841"/>
      <c r="GG299" s="841"/>
      <c r="GH299" s="841"/>
      <c r="GI299" s="841"/>
      <c r="GJ299" s="841"/>
      <c r="GK299" s="841"/>
      <c r="GL299" s="841"/>
      <c r="GM299" s="841"/>
      <c r="GN299" s="841"/>
      <c r="GO299" s="841"/>
      <c r="GP299" s="841"/>
      <c r="GQ299" s="841"/>
      <c r="GR299" s="841"/>
      <c r="GS299" s="841"/>
      <c r="GT299" s="841"/>
      <c r="GU299" s="841"/>
      <c r="GV299" s="841"/>
      <c r="GW299" s="841"/>
      <c r="GX299" s="841"/>
      <c r="GY299" s="841"/>
      <c r="GZ299" s="841"/>
      <c r="HA299" s="841"/>
      <c r="HB299" s="841"/>
      <c r="HC299" s="841"/>
      <c r="HD299" s="841"/>
      <c r="HE299" s="841"/>
      <c r="HF299" s="841"/>
      <c r="HG299" s="841"/>
      <c r="HH299" s="841"/>
      <c r="HI299" s="841"/>
      <c r="HJ299" s="841"/>
      <c r="HK299" s="841"/>
      <c r="HL299" s="841"/>
      <c r="HM299" s="841"/>
      <c r="HN299" s="841"/>
      <c r="HO299" s="841"/>
    </row>
    <row r="300" spans="1:223">
      <c r="A300" s="841"/>
      <c r="B300" s="841"/>
      <c r="C300" s="841"/>
      <c r="D300" s="841"/>
      <c r="E300" s="841"/>
      <c r="F300" s="841"/>
      <c r="G300" s="841"/>
      <c r="H300" s="841"/>
      <c r="I300" s="841"/>
      <c r="J300" s="841"/>
      <c r="K300" s="841"/>
      <c r="L300" s="841"/>
      <c r="M300" s="841"/>
      <c r="N300" s="841"/>
      <c r="O300" s="841"/>
      <c r="P300" s="841"/>
      <c r="Q300" s="841"/>
      <c r="R300" s="841"/>
      <c r="S300" s="841"/>
      <c r="T300" s="841"/>
      <c r="U300" s="841"/>
      <c r="V300" s="841"/>
      <c r="W300" s="841"/>
      <c r="X300" s="841"/>
      <c r="Y300" s="841"/>
      <c r="Z300" s="1226"/>
      <c r="AA300" s="1226"/>
      <c r="AB300" s="1226"/>
      <c r="AC300" s="1226"/>
      <c r="AD300" s="1226"/>
      <c r="AE300" s="1226"/>
      <c r="AF300" s="1226"/>
      <c r="AG300" s="1226"/>
      <c r="AH300" s="1226"/>
      <c r="AI300" s="841"/>
      <c r="AJ300" s="841"/>
      <c r="AK300" s="841"/>
      <c r="AL300" s="841"/>
      <c r="AM300" s="841"/>
      <c r="AN300" s="841"/>
      <c r="AO300" s="841"/>
      <c r="AP300" s="841"/>
      <c r="AQ300" s="841"/>
      <c r="AR300" s="841"/>
      <c r="AS300" s="842"/>
      <c r="DS300" s="841"/>
      <c r="DT300" s="841"/>
      <c r="DU300" s="841"/>
      <c r="DV300" s="841"/>
      <c r="DW300" s="841"/>
      <c r="DX300" s="841"/>
      <c r="DY300" s="841"/>
      <c r="DZ300" s="841"/>
      <c r="EA300" s="841"/>
      <c r="EB300" s="841"/>
      <c r="EC300" s="841"/>
      <c r="ED300" s="841"/>
      <c r="EE300" s="841"/>
      <c r="EF300" s="841"/>
      <c r="EG300" s="841"/>
      <c r="EH300" s="841"/>
      <c r="EI300" s="841"/>
      <c r="EJ300" s="841"/>
      <c r="EK300" s="841"/>
      <c r="EL300" s="841"/>
      <c r="EM300" s="841"/>
      <c r="EN300" s="841"/>
      <c r="EO300" s="841"/>
      <c r="EP300" s="841"/>
      <c r="EQ300" s="841"/>
      <c r="ER300" s="841"/>
      <c r="ES300" s="841"/>
      <c r="ET300" s="841"/>
      <c r="EU300" s="841"/>
      <c r="EV300" s="841"/>
      <c r="EW300" s="841"/>
      <c r="EX300" s="841"/>
      <c r="EY300" s="841"/>
      <c r="EZ300" s="841"/>
      <c r="FA300" s="841"/>
      <c r="FB300" s="841"/>
      <c r="FC300" s="841"/>
      <c r="FD300" s="841"/>
      <c r="FE300" s="841"/>
      <c r="FF300" s="841"/>
      <c r="FG300" s="841"/>
      <c r="FH300" s="841"/>
      <c r="FI300" s="841"/>
      <c r="FJ300" s="841"/>
      <c r="FK300" s="841"/>
      <c r="FL300" s="841"/>
      <c r="FM300" s="841"/>
      <c r="FN300" s="841"/>
      <c r="FO300" s="841"/>
      <c r="FP300" s="841"/>
      <c r="FQ300" s="841"/>
      <c r="FR300" s="841"/>
      <c r="FS300" s="841"/>
      <c r="FT300" s="841"/>
      <c r="FU300" s="841"/>
      <c r="FV300" s="841"/>
      <c r="FW300" s="841"/>
      <c r="FX300" s="841"/>
      <c r="FY300" s="841"/>
      <c r="FZ300" s="841"/>
      <c r="GA300" s="841"/>
      <c r="GB300" s="841"/>
      <c r="GC300" s="841"/>
      <c r="GD300" s="841"/>
      <c r="GE300" s="841"/>
      <c r="GF300" s="841"/>
      <c r="GG300" s="841"/>
      <c r="GH300" s="841"/>
      <c r="GI300" s="841"/>
      <c r="GJ300" s="841"/>
      <c r="GK300" s="841"/>
      <c r="GL300" s="841"/>
      <c r="GM300" s="841"/>
      <c r="GN300" s="841"/>
      <c r="GO300" s="841"/>
      <c r="GP300" s="841"/>
      <c r="GQ300" s="841"/>
      <c r="GR300" s="841"/>
      <c r="GS300" s="841"/>
      <c r="GT300" s="841"/>
      <c r="GU300" s="841"/>
      <c r="GV300" s="841"/>
      <c r="GW300" s="841"/>
      <c r="GX300" s="841"/>
      <c r="GY300" s="841"/>
      <c r="GZ300" s="841"/>
      <c r="HA300" s="841"/>
      <c r="HB300" s="841"/>
      <c r="HC300" s="841"/>
      <c r="HD300" s="841"/>
      <c r="HE300" s="841"/>
      <c r="HF300" s="841"/>
      <c r="HG300" s="841"/>
      <c r="HH300" s="841"/>
      <c r="HI300" s="841"/>
      <c r="HJ300" s="841"/>
      <c r="HK300" s="841"/>
      <c r="HL300" s="841"/>
      <c r="HM300" s="841"/>
      <c r="HN300" s="841"/>
      <c r="HO300" s="841"/>
    </row>
    <row r="301" spans="1:223">
      <c r="A301" s="841"/>
      <c r="B301" s="841"/>
      <c r="C301" s="841"/>
      <c r="D301" s="841"/>
      <c r="E301" s="841"/>
      <c r="F301" s="841"/>
      <c r="G301" s="841"/>
      <c r="H301" s="841"/>
      <c r="I301" s="841"/>
      <c r="J301" s="841"/>
      <c r="K301" s="841"/>
      <c r="L301" s="841"/>
      <c r="M301" s="841"/>
      <c r="N301" s="841"/>
      <c r="O301" s="841"/>
      <c r="P301" s="841"/>
      <c r="Q301" s="841"/>
      <c r="R301" s="841"/>
      <c r="S301" s="841"/>
      <c r="T301" s="841"/>
      <c r="U301" s="841"/>
      <c r="V301" s="841"/>
      <c r="W301" s="841"/>
      <c r="X301" s="841"/>
      <c r="Y301" s="841"/>
      <c r="Z301" s="1226"/>
      <c r="AA301" s="1226"/>
      <c r="AB301" s="1226"/>
      <c r="AC301" s="1226"/>
      <c r="AD301" s="1226"/>
      <c r="AE301" s="1226"/>
      <c r="AF301" s="1226"/>
      <c r="AG301" s="1226"/>
      <c r="AH301" s="1226"/>
      <c r="AI301" s="841"/>
      <c r="AJ301" s="841"/>
      <c r="AK301" s="841"/>
      <c r="AL301" s="841"/>
      <c r="AM301" s="841"/>
      <c r="AN301" s="841"/>
      <c r="AO301" s="841"/>
      <c r="AP301" s="841"/>
      <c r="AQ301" s="841"/>
      <c r="AR301" s="841"/>
      <c r="AS301" s="842"/>
      <c r="DS301" s="841"/>
      <c r="DT301" s="841"/>
      <c r="DU301" s="841"/>
      <c r="DV301" s="841"/>
      <c r="DW301" s="841"/>
      <c r="DX301" s="841"/>
      <c r="DY301" s="841"/>
      <c r="DZ301" s="841"/>
      <c r="EA301" s="841"/>
      <c r="EB301" s="841"/>
      <c r="EC301" s="841"/>
      <c r="ED301" s="841"/>
      <c r="EE301" s="841"/>
      <c r="EF301" s="841"/>
      <c r="EG301" s="841"/>
      <c r="EH301" s="841"/>
      <c r="EI301" s="841"/>
      <c r="EJ301" s="841"/>
      <c r="EK301" s="841"/>
      <c r="EL301" s="841"/>
      <c r="EM301" s="841"/>
      <c r="EN301" s="841"/>
      <c r="EO301" s="841"/>
      <c r="EP301" s="841"/>
      <c r="EQ301" s="841"/>
      <c r="ER301" s="841"/>
      <c r="ES301" s="841"/>
      <c r="ET301" s="841"/>
      <c r="EU301" s="841"/>
      <c r="EV301" s="841"/>
      <c r="EW301" s="841"/>
      <c r="EX301" s="841"/>
      <c r="EY301" s="841"/>
      <c r="EZ301" s="841"/>
      <c r="FA301" s="841"/>
      <c r="FB301" s="841"/>
      <c r="FC301" s="841"/>
      <c r="FD301" s="841"/>
      <c r="FE301" s="841"/>
      <c r="FF301" s="841"/>
      <c r="FG301" s="841"/>
      <c r="FH301" s="841"/>
      <c r="FI301" s="841"/>
      <c r="FJ301" s="841"/>
      <c r="FK301" s="841"/>
      <c r="FL301" s="841"/>
      <c r="FM301" s="841"/>
      <c r="FN301" s="841"/>
      <c r="FO301" s="841"/>
      <c r="FP301" s="841"/>
      <c r="FQ301" s="841"/>
      <c r="FR301" s="841"/>
      <c r="FS301" s="841"/>
      <c r="FT301" s="841"/>
      <c r="FU301" s="841"/>
      <c r="FV301" s="841"/>
      <c r="FW301" s="841"/>
      <c r="FX301" s="841"/>
      <c r="FY301" s="841"/>
      <c r="FZ301" s="841"/>
      <c r="GA301" s="841"/>
      <c r="GB301" s="841"/>
      <c r="GC301" s="841"/>
      <c r="GD301" s="841"/>
      <c r="GE301" s="841"/>
      <c r="GF301" s="841"/>
      <c r="GG301" s="841"/>
      <c r="GH301" s="841"/>
      <c r="GI301" s="841"/>
      <c r="GJ301" s="841"/>
      <c r="GK301" s="841"/>
      <c r="GL301" s="841"/>
      <c r="GM301" s="841"/>
      <c r="GN301" s="841"/>
      <c r="GO301" s="841"/>
      <c r="GP301" s="841"/>
      <c r="GQ301" s="841"/>
      <c r="GR301" s="841"/>
      <c r="GS301" s="841"/>
      <c r="GT301" s="841"/>
      <c r="GU301" s="841"/>
      <c r="GV301" s="841"/>
      <c r="GW301" s="841"/>
      <c r="GX301" s="841"/>
      <c r="GY301" s="841"/>
      <c r="GZ301" s="841"/>
      <c r="HA301" s="841"/>
      <c r="HB301" s="841"/>
      <c r="HC301" s="841"/>
      <c r="HD301" s="841"/>
      <c r="HE301" s="841"/>
      <c r="HF301" s="841"/>
      <c r="HG301" s="841"/>
      <c r="HH301" s="841"/>
      <c r="HI301" s="841"/>
      <c r="HJ301" s="841"/>
      <c r="HK301" s="841"/>
      <c r="HL301" s="841"/>
      <c r="HM301" s="841"/>
      <c r="HN301" s="841"/>
      <c r="HO301" s="841"/>
    </row>
    <row r="302" spans="1:223">
      <c r="A302" s="841"/>
      <c r="B302" s="841"/>
      <c r="C302" s="841"/>
      <c r="D302" s="841"/>
      <c r="E302" s="841"/>
      <c r="F302" s="841"/>
      <c r="G302" s="841"/>
      <c r="H302" s="841"/>
      <c r="I302" s="841"/>
      <c r="J302" s="841"/>
      <c r="K302" s="841"/>
      <c r="L302" s="841"/>
      <c r="M302" s="841"/>
      <c r="N302" s="841"/>
      <c r="O302" s="841"/>
      <c r="P302" s="841"/>
      <c r="Q302" s="841"/>
      <c r="R302" s="841"/>
      <c r="S302" s="841"/>
      <c r="T302" s="841"/>
      <c r="U302" s="841"/>
      <c r="V302" s="841"/>
      <c r="W302" s="841"/>
      <c r="X302" s="841"/>
      <c r="Y302" s="841"/>
      <c r="Z302" s="1226"/>
      <c r="AA302" s="1226"/>
      <c r="AB302" s="1226"/>
      <c r="AC302" s="1226"/>
      <c r="AD302" s="1226"/>
      <c r="AE302" s="1226"/>
      <c r="AF302" s="1226"/>
      <c r="AG302" s="1226"/>
      <c r="AH302" s="1226"/>
      <c r="AI302" s="841"/>
      <c r="AJ302" s="841"/>
      <c r="AK302" s="841"/>
      <c r="AL302" s="841"/>
      <c r="AM302" s="841"/>
      <c r="AN302" s="841"/>
      <c r="AO302" s="841"/>
      <c r="AP302" s="841"/>
      <c r="AQ302" s="841"/>
      <c r="AR302" s="841"/>
      <c r="AS302" s="842"/>
      <c r="DS302" s="841"/>
      <c r="DT302" s="841"/>
      <c r="DU302" s="841"/>
      <c r="DV302" s="841"/>
      <c r="DW302" s="841"/>
      <c r="DX302" s="841"/>
      <c r="DY302" s="841"/>
      <c r="DZ302" s="841"/>
      <c r="EA302" s="841"/>
      <c r="EB302" s="841"/>
      <c r="EC302" s="841"/>
      <c r="ED302" s="841"/>
      <c r="EE302" s="841"/>
      <c r="EF302" s="841"/>
      <c r="EG302" s="841"/>
      <c r="EH302" s="841"/>
      <c r="EI302" s="841"/>
      <c r="EJ302" s="841"/>
      <c r="EK302" s="841"/>
      <c r="EL302" s="841"/>
      <c r="EM302" s="841"/>
      <c r="EN302" s="841"/>
      <c r="EO302" s="841"/>
      <c r="EP302" s="841"/>
      <c r="EQ302" s="841"/>
      <c r="ER302" s="841"/>
      <c r="ES302" s="841"/>
      <c r="ET302" s="841"/>
      <c r="EU302" s="841"/>
      <c r="EV302" s="841"/>
      <c r="EW302" s="841"/>
      <c r="EX302" s="841"/>
      <c r="EY302" s="841"/>
      <c r="EZ302" s="841"/>
      <c r="FA302" s="841"/>
      <c r="FB302" s="841"/>
      <c r="FC302" s="841"/>
      <c r="FD302" s="841"/>
      <c r="FE302" s="841"/>
      <c r="FF302" s="841"/>
      <c r="FG302" s="841"/>
      <c r="FH302" s="841"/>
      <c r="FI302" s="841"/>
      <c r="FJ302" s="841"/>
      <c r="FK302" s="841"/>
      <c r="FL302" s="841"/>
      <c r="FM302" s="841"/>
      <c r="FN302" s="841"/>
      <c r="FO302" s="841"/>
      <c r="FP302" s="841"/>
      <c r="FQ302" s="841"/>
      <c r="FR302" s="841"/>
      <c r="FS302" s="841"/>
      <c r="FT302" s="841"/>
      <c r="FU302" s="841"/>
      <c r="FV302" s="841"/>
      <c r="FW302" s="841"/>
      <c r="FX302" s="841"/>
      <c r="FY302" s="841"/>
      <c r="FZ302" s="841"/>
      <c r="GA302" s="841"/>
      <c r="GB302" s="841"/>
      <c r="GC302" s="841"/>
      <c r="GD302" s="841"/>
      <c r="GE302" s="841"/>
      <c r="GF302" s="841"/>
      <c r="GG302" s="841"/>
      <c r="GH302" s="841"/>
      <c r="GI302" s="841"/>
      <c r="GJ302" s="841"/>
      <c r="GK302" s="841"/>
      <c r="GL302" s="841"/>
      <c r="GM302" s="841"/>
      <c r="GN302" s="841"/>
      <c r="GO302" s="841"/>
      <c r="GP302" s="841"/>
      <c r="GQ302" s="841"/>
      <c r="GR302" s="841"/>
      <c r="GS302" s="841"/>
      <c r="GT302" s="841"/>
      <c r="GU302" s="841"/>
      <c r="GV302" s="841"/>
      <c r="GW302" s="841"/>
      <c r="GX302" s="841"/>
      <c r="GY302" s="841"/>
      <c r="GZ302" s="841"/>
      <c r="HA302" s="841"/>
      <c r="HB302" s="841"/>
      <c r="HC302" s="841"/>
      <c r="HD302" s="841"/>
      <c r="HE302" s="841"/>
      <c r="HF302" s="841"/>
      <c r="HG302" s="841"/>
      <c r="HH302" s="841"/>
      <c r="HI302" s="841"/>
      <c r="HJ302" s="841"/>
      <c r="HK302" s="841"/>
      <c r="HL302" s="841"/>
      <c r="HM302" s="841"/>
      <c r="HN302" s="841"/>
      <c r="HO302" s="841"/>
    </row>
    <row r="303" spans="1:223">
      <c r="A303" s="841"/>
      <c r="B303" s="841"/>
      <c r="C303" s="841"/>
      <c r="D303" s="841"/>
      <c r="E303" s="841"/>
      <c r="F303" s="841"/>
      <c r="G303" s="841"/>
      <c r="H303" s="841"/>
      <c r="I303" s="841"/>
      <c r="J303" s="841"/>
      <c r="K303" s="841"/>
      <c r="L303" s="841"/>
      <c r="M303" s="841"/>
      <c r="N303" s="841"/>
      <c r="O303" s="841"/>
      <c r="P303" s="841"/>
      <c r="Q303" s="841"/>
      <c r="R303" s="841"/>
      <c r="S303" s="841"/>
      <c r="T303" s="841"/>
      <c r="U303" s="841"/>
      <c r="V303" s="841"/>
      <c r="W303" s="841"/>
      <c r="X303" s="841"/>
      <c r="Y303" s="841"/>
      <c r="Z303" s="1226"/>
      <c r="AA303" s="1226"/>
      <c r="AB303" s="1226"/>
      <c r="AC303" s="1226"/>
      <c r="AD303" s="1226"/>
      <c r="AE303" s="1226"/>
      <c r="AF303" s="1226"/>
      <c r="AG303" s="1226"/>
      <c r="AH303" s="1226"/>
      <c r="AI303" s="841"/>
      <c r="AJ303" s="841"/>
      <c r="AK303" s="841"/>
      <c r="AL303" s="841"/>
      <c r="AM303" s="841"/>
      <c r="AN303" s="841"/>
      <c r="AO303" s="841"/>
      <c r="AP303" s="841"/>
      <c r="AQ303" s="841"/>
      <c r="AR303" s="841"/>
      <c r="AS303" s="842"/>
      <c r="DS303" s="841"/>
      <c r="DT303" s="841"/>
      <c r="DU303" s="841"/>
      <c r="DV303" s="841"/>
      <c r="DW303" s="841"/>
      <c r="DX303" s="841"/>
      <c r="DY303" s="841"/>
      <c r="DZ303" s="841"/>
      <c r="EA303" s="841"/>
      <c r="EB303" s="841"/>
      <c r="EC303" s="841"/>
      <c r="ED303" s="841"/>
      <c r="EE303" s="841"/>
      <c r="EF303" s="841"/>
      <c r="EG303" s="841"/>
      <c r="EH303" s="841"/>
      <c r="EI303" s="841"/>
      <c r="EJ303" s="841"/>
      <c r="EK303" s="841"/>
      <c r="EL303" s="841"/>
      <c r="EM303" s="841"/>
      <c r="EN303" s="841"/>
      <c r="EO303" s="841"/>
      <c r="EP303" s="841"/>
      <c r="EQ303" s="841"/>
      <c r="ER303" s="841"/>
      <c r="ES303" s="841"/>
      <c r="ET303" s="841"/>
      <c r="EU303" s="841"/>
      <c r="EV303" s="841"/>
      <c r="EW303" s="841"/>
      <c r="EX303" s="841"/>
      <c r="EY303" s="841"/>
      <c r="EZ303" s="841"/>
      <c r="FA303" s="841"/>
      <c r="FB303" s="841"/>
      <c r="FC303" s="841"/>
      <c r="FD303" s="841"/>
      <c r="FE303" s="841"/>
      <c r="FF303" s="841"/>
      <c r="FG303" s="841"/>
      <c r="FH303" s="841"/>
      <c r="FI303" s="841"/>
      <c r="FJ303" s="841"/>
      <c r="FK303" s="841"/>
      <c r="FL303" s="841"/>
      <c r="FM303" s="841"/>
      <c r="FN303" s="841"/>
      <c r="FO303" s="841"/>
      <c r="FP303" s="841"/>
      <c r="FQ303" s="841"/>
      <c r="FR303" s="841"/>
      <c r="FS303" s="841"/>
      <c r="FT303" s="841"/>
      <c r="FU303" s="841"/>
      <c r="FV303" s="841"/>
      <c r="FW303" s="841"/>
      <c r="FX303" s="841"/>
      <c r="FY303" s="841"/>
      <c r="FZ303" s="841"/>
      <c r="GA303" s="841"/>
      <c r="GB303" s="841"/>
      <c r="GC303" s="841"/>
      <c r="GD303" s="841"/>
      <c r="GE303" s="841"/>
      <c r="GF303" s="841"/>
      <c r="GG303" s="841"/>
      <c r="GH303" s="841"/>
      <c r="GI303" s="841"/>
      <c r="GJ303" s="841"/>
      <c r="GK303" s="841"/>
      <c r="GL303" s="841"/>
      <c r="GM303" s="841"/>
      <c r="GN303" s="841"/>
      <c r="GO303" s="841"/>
      <c r="GP303" s="841"/>
      <c r="GQ303" s="841"/>
      <c r="GR303" s="841"/>
      <c r="GS303" s="841"/>
      <c r="GT303" s="841"/>
      <c r="GU303" s="841"/>
      <c r="GV303" s="841"/>
      <c r="GW303" s="841"/>
      <c r="GX303" s="841"/>
      <c r="GY303" s="841"/>
      <c r="GZ303" s="841"/>
      <c r="HA303" s="841"/>
      <c r="HB303" s="841"/>
      <c r="HC303" s="841"/>
      <c r="HD303" s="841"/>
      <c r="HE303" s="841"/>
      <c r="HF303" s="841"/>
      <c r="HG303" s="841"/>
      <c r="HH303" s="841"/>
      <c r="HI303" s="841"/>
      <c r="HJ303" s="841"/>
      <c r="HK303" s="841"/>
      <c r="HL303" s="841"/>
      <c r="HM303" s="841"/>
      <c r="HN303" s="841"/>
      <c r="HO303" s="841"/>
    </row>
    <row r="304" spans="1:223">
      <c r="A304" s="841"/>
      <c r="B304" s="841"/>
      <c r="C304" s="841"/>
      <c r="D304" s="841"/>
      <c r="E304" s="841"/>
      <c r="F304" s="841"/>
      <c r="G304" s="841"/>
      <c r="H304" s="841"/>
      <c r="I304" s="841"/>
      <c r="J304" s="841"/>
      <c r="K304" s="841"/>
      <c r="L304" s="841"/>
      <c r="M304" s="841"/>
      <c r="N304" s="841"/>
      <c r="O304" s="841"/>
      <c r="P304" s="841"/>
      <c r="Q304" s="841"/>
      <c r="R304" s="841"/>
      <c r="S304" s="841"/>
      <c r="T304" s="841"/>
      <c r="U304" s="841"/>
      <c r="V304" s="841"/>
      <c r="W304" s="841"/>
      <c r="X304" s="841"/>
      <c r="Y304" s="841"/>
      <c r="Z304" s="1226"/>
      <c r="AA304" s="1226"/>
      <c r="AB304" s="1226"/>
      <c r="AC304" s="1226"/>
      <c r="AD304" s="1226"/>
      <c r="AE304" s="1226"/>
      <c r="AF304" s="1226"/>
      <c r="AG304" s="1226"/>
      <c r="AH304" s="1226"/>
      <c r="AI304" s="841"/>
      <c r="AJ304" s="841"/>
      <c r="AK304" s="841"/>
      <c r="AL304" s="841"/>
      <c r="AM304" s="841"/>
      <c r="AN304" s="841"/>
      <c r="AO304" s="841"/>
      <c r="AP304" s="841"/>
      <c r="AQ304" s="841"/>
      <c r="AR304" s="841"/>
      <c r="AS304" s="842"/>
      <c r="DS304" s="841"/>
      <c r="DT304" s="841"/>
      <c r="DU304" s="841"/>
      <c r="DV304" s="841"/>
      <c r="DW304" s="841"/>
      <c r="DX304" s="841"/>
      <c r="DY304" s="841"/>
      <c r="DZ304" s="841"/>
      <c r="EA304" s="841"/>
      <c r="EB304" s="841"/>
      <c r="EC304" s="841"/>
      <c r="ED304" s="841"/>
      <c r="EE304" s="841"/>
      <c r="EF304" s="841"/>
      <c r="EG304" s="841"/>
      <c r="EH304" s="841"/>
      <c r="EI304" s="841"/>
      <c r="EJ304" s="841"/>
      <c r="EK304" s="841"/>
      <c r="EL304" s="841"/>
      <c r="EM304" s="841"/>
      <c r="EN304" s="841"/>
      <c r="EO304" s="841"/>
      <c r="EP304" s="841"/>
      <c r="EQ304" s="841"/>
      <c r="ER304" s="841"/>
      <c r="ES304" s="841"/>
      <c r="ET304" s="841"/>
      <c r="EU304" s="841"/>
      <c r="EV304" s="841"/>
      <c r="EW304" s="841"/>
      <c r="EX304" s="841"/>
      <c r="EY304" s="841"/>
      <c r="EZ304" s="841"/>
      <c r="FA304" s="841"/>
      <c r="FB304" s="841"/>
      <c r="FC304" s="841"/>
      <c r="FD304" s="841"/>
      <c r="FE304" s="841"/>
      <c r="FF304" s="841"/>
      <c r="FG304" s="841"/>
      <c r="FH304" s="841"/>
      <c r="FI304" s="841"/>
      <c r="FJ304" s="841"/>
      <c r="FK304" s="841"/>
      <c r="FL304" s="841"/>
      <c r="FM304" s="841"/>
      <c r="FN304" s="841"/>
      <c r="FO304" s="841"/>
      <c r="FP304" s="841"/>
      <c r="FQ304" s="841"/>
      <c r="FR304" s="841"/>
      <c r="FS304" s="841"/>
      <c r="FT304" s="841"/>
      <c r="FU304" s="841"/>
      <c r="FV304" s="841"/>
      <c r="FW304" s="841"/>
      <c r="FX304" s="841"/>
      <c r="FY304" s="841"/>
      <c r="FZ304" s="841"/>
      <c r="GA304" s="841"/>
      <c r="GB304" s="841"/>
      <c r="GC304" s="841"/>
      <c r="GD304" s="841"/>
      <c r="GE304" s="841"/>
      <c r="GF304" s="841"/>
      <c r="GG304" s="841"/>
      <c r="GH304" s="841"/>
      <c r="GI304" s="841"/>
      <c r="GJ304" s="841"/>
      <c r="GK304" s="841"/>
      <c r="GL304" s="841"/>
      <c r="GM304" s="841"/>
      <c r="GN304" s="841"/>
      <c r="GO304" s="841"/>
      <c r="GP304" s="841"/>
      <c r="GQ304" s="841"/>
      <c r="GR304" s="841"/>
      <c r="GS304" s="841"/>
      <c r="GT304" s="841"/>
      <c r="GU304" s="841"/>
      <c r="GV304" s="841"/>
      <c r="GW304" s="841"/>
      <c r="GX304" s="841"/>
      <c r="GY304" s="841"/>
      <c r="GZ304" s="841"/>
      <c r="HA304" s="841"/>
      <c r="HB304" s="841"/>
      <c r="HC304" s="841"/>
      <c r="HD304" s="841"/>
      <c r="HE304" s="841"/>
      <c r="HF304" s="841"/>
      <c r="HG304" s="841"/>
      <c r="HH304" s="841"/>
      <c r="HI304" s="841"/>
      <c r="HJ304" s="841"/>
      <c r="HK304" s="841"/>
      <c r="HL304" s="841"/>
      <c r="HM304" s="841"/>
      <c r="HN304" s="841"/>
      <c r="HO304" s="841"/>
    </row>
    <row r="305" spans="1:223">
      <c r="A305" s="841"/>
      <c r="B305" s="841"/>
      <c r="C305" s="841"/>
      <c r="D305" s="841"/>
      <c r="E305" s="841"/>
      <c r="F305" s="841"/>
      <c r="G305" s="841"/>
      <c r="H305" s="841"/>
      <c r="I305" s="841"/>
      <c r="J305" s="841"/>
      <c r="K305" s="841"/>
      <c r="L305" s="841"/>
      <c r="M305" s="841"/>
      <c r="N305" s="841"/>
      <c r="O305" s="841"/>
      <c r="P305" s="841"/>
      <c r="Q305" s="841"/>
      <c r="R305" s="841"/>
      <c r="S305" s="841"/>
      <c r="T305" s="841"/>
      <c r="U305" s="841"/>
      <c r="V305" s="841"/>
      <c r="W305" s="841"/>
      <c r="X305" s="841"/>
      <c r="Y305" s="841"/>
      <c r="Z305" s="1226"/>
      <c r="AA305" s="1226"/>
      <c r="AB305" s="1226"/>
      <c r="AC305" s="1226"/>
      <c r="AD305" s="1226"/>
      <c r="AE305" s="1226"/>
      <c r="AF305" s="1226"/>
      <c r="AG305" s="1226"/>
      <c r="AH305" s="1226"/>
      <c r="AI305" s="841"/>
      <c r="AJ305" s="841"/>
      <c r="AK305" s="841"/>
      <c r="AL305" s="841"/>
      <c r="AM305" s="841"/>
      <c r="AN305" s="841"/>
      <c r="AO305" s="841"/>
      <c r="AP305" s="841"/>
      <c r="AQ305" s="841"/>
      <c r="AR305" s="841"/>
      <c r="AS305" s="842"/>
      <c r="DS305" s="841"/>
      <c r="DT305" s="841"/>
      <c r="DU305" s="841"/>
      <c r="DV305" s="841"/>
      <c r="DW305" s="841"/>
      <c r="DX305" s="841"/>
      <c r="DY305" s="841"/>
      <c r="DZ305" s="841"/>
      <c r="EA305" s="841"/>
      <c r="EB305" s="841"/>
      <c r="EC305" s="841"/>
      <c r="ED305" s="841"/>
      <c r="EE305" s="841"/>
      <c r="EF305" s="841"/>
      <c r="EG305" s="841"/>
      <c r="EH305" s="841"/>
      <c r="EI305" s="841"/>
      <c r="EJ305" s="841"/>
      <c r="EK305" s="841"/>
      <c r="EL305" s="841"/>
      <c r="EM305" s="841"/>
      <c r="EN305" s="841"/>
      <c r="EO305" s="841"/>
      <c r="EP305" s="841"/>
      <c r="EQ305" s="841"/>
      <c r="ER305" s="841"/>
      <c r="ES305" s="841"/>
      <c r="ET305" s="841"/>
      <c r="EU305" s="841"/>
      <c r="EV305" s="841"/>
      <c r="EW305" s="841"/>
      <c r="EX305" s="841"/>
      <c r="EY305" s="841"/>
      <c r="EZ305" s="841"/>
      <c r="FA305" s="841"/>
      <c r="FB305" s="841"/>
      <c r="FC305" s="841"/>
      <c r="FD305" s="841"/>
      <c r="FE305" s="841"/>
      <c r="FF305" s="841"/>
      <c r="FG305" s="841"/>
      <c r="FH305" s="841"/>
      <c r="FI305" s="841"/>
      <c r="FJ305" s="841"/>
      <c r="FK305" s="841"/>
      <c r="FL305" s="841"/>
      <c r="FM305" s="841"/>
      <c r="FN305" s="841"/>
      <c r="FO305" s="841"/>
      <c r="FP305" s="841"/>
      <c r="FQ305" s="841"/>
      <c r="FR305" s="841"/>
      <c r="FS305" s="841"/>
      <c r="FT305" s="841"/>
      <c r="FU305" s="841"/>
      <c r="FV305" s="841"/>
      <c r="FW305" s="841"/>
      <c r="FX305" s="841"/>
      <c r="FY305" s="841"/>
      <c r="FZ305" s="841"/>
      <c r="GA305" s="841"/>
      <c r="GB305" s="841"/>
      <c r="GC305" s="841"/>
      <c r="GD305" s="841"/>
      <c r="GE305" s="841"/>
      <c r="GF305" s="841"/>
      <c r="GG305" s="841"/>
      <c r="GH305" s="841"/>
      <c r="GI305" s="841"/>
      <c r="GJ305" s="841"/>
      <c r="GK305" s="841"/>
      <c r="GL305" s="841"/>
      <c r="GM305" s="841"/>
      <c r="GN305" s="841"/>
      <c r="GO305" s="841"/>
      <c r="GP305" s="841"/>
      <c r="GQ305" s="841"/>
      <c r="GR305" s="841"/>
      <c r="GS305" s="841"/>
      <c r="GT305" s="841"/>
      <c r="GU305" s="841"/>
      <c r="GV305" s="841"/>
      <c r="GW305" s="841"/>
      <c r="GX305" s="841"/>
      <c r="GY305" s="841"/>
      <c r="GZ305" s="841"/>
      <c r="HA305" s="841"/>
      <c r="HB305" s="841"/>
      <c r="HC305" s="841"/>
      <c r="HD305" s="841"/>
      <c r="HE305" s="841"/>
      <c r="HF305" s="841"/>
      <c r="HG305" s="841"/>
      <c r="HH305" s="841"/>
      <c r="HI305" s="841"/>
      <c r="HJ305" s="841"/>
      <c r="HK305" s="841"/>
      <c r="HL305" s="841"/>
      <c r="HM305" s="841"/>
      <c r="HN305" s="841"/>
      <c r="HO305" s="841"/>
    </row>
    <row r="306" spans="1:223">
      <c r="A306" s="841"/>
      <c r="B306" s="841"/>
      <c r="C306" s="841"/>
      <c r="D306" s="841"/>
      <c r="E306" s="841"/>
      <c r="F306" s="841"/>
      <c r="G306" s="841"/>
      <c r="H306" s="841"/>
      <c r="I306" s="841"/>
      <c r="J306" s="841"/>
      <c r="K306" s="841"/>
      <c r="L306" s="841"/>
      <c r="M306" s="841"/>
      <c r="N306" s="841"/>
      <c r="O306" s="841"/>
      <c r="P306" s="841"/>
      <c r="Q306" s="841"/>
      <c r="R306" s="841"/>
      <c r="S306" s="841"/>
      <c r="T306" s="841"/>
      <c r="U306" s="841"/>
      <c r="V306" s="841"/>
      <c r="W306" s="841"/>
      <c r="X306" s="841"/>
      <c r="Y306" s="841"/>
      <c r="Z306" s="1226"/>
      <c r="AA306" s="1226"/>
      <c r="AB306" s="1226"/>
      <c r="AC306" s="1226"/>
      <c r="AD306" s="1226"/>
      <c r="AE306" s="1226"/>
      <c r="AF306" s="1226"/>
      <c r="AG306" s="1226"/>
      <c r="AH306" s="1226"/>
      <c r="AI306" s="841"/>
      <c r="AJ306" s="841"/>
      <c r="AK306" s="841"/>
      <c r="AL306" s="841"/>
      <c r="AM306" s="841"/>
      <c r="AN306" s="841"/>
      <c r="AO306" s="841"/>
      <c r="AP306" s="841"/>
      <c r="AQ306" s="841"/>
      <c r="AR306" s="841"/>
      <c r="AS306" s="842"/>
      <c r="DS306" s="841"/>
      <c r="DT306" s="841"/>
      <c r="DU306" s="841"/>
      <c r="DV306" s="841"/>
      <c r="DW306" s="841"/>
      <c r="DX306" s="841"/>
      <c r="DY306" s="841"/>
      <c r="DZ306" s="841"/>
      <c r="EA306" s="841"/>
      <c r="EB306" s="841"/>
      <c r="EC306" s="841"/>
      <c r="ED306" s="841"/>
      <c r="EE306" s="841"/>
      <c r="EF306" s="841"/>
      <c r="EG306" s="841"/>
      <c r="EH306" s="841"/>
      <c r="EI306" s="841"/>
      <c r="EJ306" s="841"/>
      <c r="EK306" s="841"/>
      <c r="EL306" s="841"/>
      <c r="EM306" s="841"/>
      <c r="EN306" s="841"/>
      <c r="EO306" s="841"/>
      <c r="EP306" s="841"/>
      <c r="EQ306" s="841"/>
      <c r="ER306" s="841"/>
      <c r="ES306" s="841"/>
      <c r="ET306" s="841"/>
      <c r="EU306" s="841"/>
      <c r="EV306" s="841"/>
      <c r="EW306" s="841"/>
      <c r="EX306" s="841"/>
      <c r="EY306" s="841"/>
      <c r="EZ306" s="841"/>
      <c r="FA306" s="841"/>
      <c r="FB306" s="841"/>
      <c r="FC306" s="841"/>
      <c r="FD306" s="841"/>
      <c r="FE306" s="841"/>
      <c r="FF306" s="841"/>
      <c r="FG306" s="841"/>
      <c r="FH306" s="841"/>
      <c r="FI306" s="841"/>
      <c r="FJ306" s="841"/>
      <c r="FK306" s="841"/>
      <c r="FL306" s="841"/>
      <c r="FM306" s="841"/>
      <c r="FN306" s="841"/>
      <c r="FO306" s="841"/>
      <c r="FP306" s="841"/>
      <c r="FQ306" s="841"/>
      <c r="FR306" s="841"/>
      <c r="FS306" s="841"/>
      <c r="FT306" s="841"/>
      <c r="FU306" s="841"/>
      <c r="FV306" s="841"/>
      <c r="FW306" s="841"/>
      <c r="FX306" s="841"/>
      <c r="FY306" s="841"/>
      <c r="FZ306" s="841"/>
      <c r="GA306" s="841"/>
      <c r="GB306" s="841"/>
      <c r="GC306" s="841"/>
      <c r="GD306" s="841"/>
      <c r="GE306" s="841"/>
      <c r="GF306" s="841"/>
      <c r="GG306" s="841"/>
      <c r="GH306" s="841"/>
      <c r="GI306" s="841"/>
      <c r="GJ306" s="841"/>
      <c r="GK306" s="841"/>
      <c r="GL306" s="841"/>
      <c r="GM306" s="841"/>
      <c r="GN306" s="841"/>
      <c r="GO306" s="841"/>
      <c r="GP306" s="841"/>
      <c r="GQ306" s="841"/>
      <c r="GR306" s="841"/>
      <c r="GS306" s="841"/>
      <c r="GT306" s="841"/>
      <c r="GU306" s="841"/>
      <c r="GV306" s="841"/>
      <c r="GW306" s="841"/>
      <c r="GX306" s="841"/>
      <c r="GY306" s="841"/>
      <c r="GZ306" s="841"/>
      <c r="HA306" s="841"/>
      <c r="HB306" s="841"/>
      <c r="HC306" s="841"/>
      <c r="HD306" s="841"/>
      <c r="HE306" s="841"/>
      <c r="HF306" s="841"/>
      <c r="HG306" s="841"/>
      <c r="HH306" s="841"/>
      <c r="HI306" s="841"/>
      <c r="HJ306" s="841"/>
      <c r="HK306" s="841"/>
      <c r="HL306" s="841"/>
      <c r="HM306" s="841"/>
      <c r="HN306" s="841"/>
      <c r="HO306" s="841"/>
    </row>
    <row r="307" spans="1:223">
      <c r="A307" s="841"/>
      <c r="B307" s="841"/>
      <c r="C307" s="841"/>
      <c r="D307" s="841"/>
      <c r="E307" s="841"/>
      <c r="F307" s="841"/>
      <c r="G307" s="841"/>
      <c r="H307" s="841"/>
      <c r="I307" s="841"/>
      <c r="J307" s="841"/>
      <c r="K307" s="841"/>
      <c r="L307" s="841"/>
      <c r="M307" s="841"/>
      <c r="N307" s="841"/>
      <c r="O307" s="841"/>
      <c r="P307" s="841"/>
      <c r="Q307" s="841"/>
      <c r="R307" s="841"/>
      <c r="S307" s="841"/>
      <c r="T307" s="841"/>
      <c r="U307" s="841"/>
      <c r="V307" s="841"/>
      <c r="W307" s="841"/>
      <c r="X307" s="841"/>
      <c r="Y307" s="841"/>
      <c r="Z307" s="1226"/>
      <c r="AA307" s="1226"/>
      <c r="AB307" s="1226"/>
      <c r="AC307" s="1226"/>
      <c r="AD307" s="1226"/>
      <c r="AE307" s="1226"/>
      <c r="AF307" s="1226"/>
      <c r="AG307" s="1226"/>
      <c r="AH307" s="1226"/>
      <c r="AI307" s="841"/>
      <c r="AJ307" s="841"/>
      <c r="AK307" s="841"/>
      <c r="AL307" s="841"/>
      <c r="AM307" s="841"/>
      <c r="AN307" s="841"/>
      <c r="AO307" s="841"/>
      <c r="AP307" s="841"/>
      <c r="AQ307" s="841"/>
      <c r="AR307" s="841"/>
      <c r="AS307" s="842"/>
      <c r="DS307" s="841"/>
      <c r="DT307" s="841"/>
      <c r="DU307" s="841"/>
      <c r="DV307" s="841"/>
      <c r="DW307" s="841"/>
      <c r="DX307" s="841"/>
      <c r="DY307" s="841"/>
      <c r="DZ307" s="841"/>
      <c r="EA307" s="841"/>
      <c r="EB307" s="841"/>
      <c r="EC307" s="841"/>
      <c r="ED307" s="841"/>
      <c r="EE307" s="841"/>
      <c r="EF307" s="841"/>
      <c r="EG307" s="841"/>
      <c r="EH307" s="841"/>
      <c r="EI307" s="841"/>
      <c r="EJ307" s="841"/>
      <c r="EK307" s="841"/>
      <c r="EL307" s="841"/>
      <c r="EM307" s="841"/>
      <c r="EN307" s="841"/>
      <c r="EO307" s="841"/>
      <c r="EP307" s="841"/>
      <c r="EQ307" s="841"/>
      <c r="ER307" s="841"/>
      <c r="ES307" s="841"/>
      <c r="ET307" s="841"/>
      <c r="EU307" s="841"/>
      <c r="EV307" s="841"/>
      <c r="EW307" s="841"/>
      <c r="EX307" s="841"/>
      <c r="EY307" s="841"/>
      <c r="EZ307" s="841"/>
      <c r="FA307" s="841"/>
      <c r="FB307" s="841"/>
      <c r="FC307" s="841"/>
      <c r="FD307" s="841"/>
      <c r="FE307" s="841"/>
      <c r="FF307" s="841"/>
      <c r="FG307" s="841"/>
      <c r="FH307" s="841"/>
      <c r="FI307" s="841"/>
      <c r="FJ307" s="841"/>
      <c r="FK307" s="841"/>
      <c r="FL307" s="841"/>
      <c r="FM307" s="841"/>
      <c r="FN307" s="841"/>
      <c r="FO307" s="841"/>
      <c r="FP307" s="841"/>
      <c r="FQ307" s="841"/>
      <c r="FR307" s="841"/>
      <c r="FS307" s="841"/>
      <c r="FT307" s="841"/>
      <c r="FU307" s="841"/>
      <c r="FV307" s="841"/>
      <c r="FW307" s="841"/>
      <c r="FX307" s="841"/>
      <c r="FY307" s="841"/>
      <c r="FZ307" s="841"/>
      <c r="GA307" s="841"/>
      <c r="GB307" s="841"/>
      <c r="GC307" s="841"/>
      <c r="GD307" s="841"/>
      <c r="GE307" s="841"/>
      <c r="GF307" s="841"/>
      <c r="GG307" s="841"/>
      <c r="GH307" s="841"/>
      <c r="GI307" s="841"/>
      <c r="GJ307" s="841"/>
      <c r="GK307" s="841"/>
      <c r="GL307" s="841"/>
      <c r="GM307" s="841"/>
      <c r="GN307" s="841"/>
      <c r="GO307" s="841"/>
      <c r="GP307" s="841"/>
      <c r="GQ307" s="841"/>
      <c r="GR307" s="841"/>
      <c r="GS307" s="841"/>
      <c r="GT307" s="841"/>
      <c r="GU307" s="841"/>
      <c r="GV307" s="841"/>
      <c r="GW307" s="841"/>
      <c r="GX307" s="841"/>
      <c r="GY307" s="841"/>
      <c r="GZ307" s="841"/>
      <c r="HA307" s="841"/>
      <c r="HB307" s="841"/>
      <c r="HC307" s="841"/>
      <c r="HD307" s="841"/>
      <c r="HE307" s="841"/>
      <c r="HF307" s="841"/>
      <c r="HG307" s="841"/>
      <c r="HH307" s="841"/>
      <c r="HI307" s="841"/>
      <c r="HJ307" s="841"/>
      <c r="HK307" s="841"/>
      <c r="HL307" s="841"/>
      <c r="HM307" s="841"/>
      <c r="HN307" s="841"/>
      <c r="HO307" s="841"/>
    </row>
    <row r="308" spans="1:223">
      <c r="A308" s="841"/>
      <c r="B308" s="841"/>
      <c r="C308" s="841"/>
      <c r="D308" s="841"/>
      <c r="E308" s="841"/>
      <c r="F308" s="841"/>
      <c r="G308" s="841"/>
      <c r="H308" s="841"/>
      <c r="I308" s="841"/>
      <c r="J308" s="841"/>
      <c r="K308" s="841"/>
      <c r="L308" s="841"/>
      <c r="M308" s="841"/>
      <c r="N308" s="841"/>
      <c r="O308" s="841"/>
      <c r="P308" s="841"/>
      <c r="Q308" s="841"/>
      <c r="R308" s="841"/>
      <c r="S308" s="841"/>
      <c r="T308" s="841"/>
      <c r="U308" s="841"/>
      <c r="V308" s="841"/>
      <c r="W308" s="841"/>
      <c r="X308" s="841"/>
      <c r="Y308" s="841"/>
      <c r="Z308" s="1226"/>
      <c r="AA308" s="1226"/>
      <c r="AB308" s="1226"/>
      <c r="AC308" s="1226"/>
      <c r="AD308" s="1226"/>
      <c r="AE308" s="1226"/>
      <c r="AF308" s="1226"/>
      <c r="AG308" s="1226"/>
      <c r="AH308" s="1226"/>
      <c r="AI308" s="841"/>
      <c r="AJ308" s="841"/>
      <c r="AK308" s="841"/>
      <c r="AL308" s="841"/>
      <c r="AM308" s="841"/>
      <c r="AN308" s="841"/>
      <c r="AO308" s="841"/>
      <c r="AP308" s="841"/>
      <c r="AQ308" s="841"/>
      <c r="AR308" s="841"/>
      <c r="AS308" s="842"/>
      <c r="DS308" s="841"/>
      <c r="DT308" s="841"/>
      <c r="DU308" s="841"/>
      <c r="DV308" s="841"/>
      <c r="DW308" s="841"/>
      <c r="DX308" s="841"/>
      <c r="DY308" s="841"/>
      <c r="DZ308" s="841"/>
      <c r="EA308" s="841"/>
      <c r="EB308" s="841"/>
      <c r="EC308" s="841"/>
      <c r="ED308" s="841"/>
      <c r="EE308" s="841"/>
      <c r="EF308" s="841"/>
      <c r="EG308" s="841"/>
      <c r="EH308" s="841"/>
      <c r="EI308" s="841"/>
      <c r="EJ308" s="841"/>
      <c r="EK308" s="841"/>
      <c r="EL308" s="841"/>
      <c r="EM308" s="841"/>
      <c r="EN308" s="841"/>
      <c r="EO308" s="841"/>
      <c r="EP308" s="841"/>
      <c r="EQ308" s="841"/>
      <c r="ER308" s="841"/>
      <c r="ES308" s="841"/>
      <c r="ET308" s="841"/>
      <c r="EU308" s="841"/>
      <c r="EV308" s="841"/>
      <c r="EW308" s="841"/>
      <c r="EX308" s="841"/>
      <c r="EY308" s="841"/>
      <c r="EZ308" s="841"/>
      <c r="FA308" s="841"/>
      <c r="FB308" s="841"/>
      <c r="FC308" s="841"/>
      <c r="FD308" s="841"/>
      <c r="FE308" s="841"/>
      <c r="FF308" s="841"/>
      <c r="FG308" s="841"/>
      <c r="FH308" s="841"/>
      <c r="FI308" s="841"/>
      <c r="FJ308" s="841"/>
      <c r="FK308" s="841"/>
      <c r="FL308" s="841"/>
      <c r="FM308" s="841"/>
      <c r="FN308" s="841"/>
      <c r="FO308" s="841"/>
      <c r="FP308" s="841"/>
      <c r="FQ308" s="841"/>
      <c r="FR308" s="841"/>
      <c r="FS308" s="841"/>
      <c r="FT308" s="841"/>
      <c r="FU308" s="841"/>
      <c r="FV308" s="841"/>
      <c r="FW308" s="841"/>
      <c r="FX308" s="841"/>
      <c r="FY308" s="841"/>
      <c r="FZ308" s="841"/>
      <c r="GA308" s="841"/>
      <c r="GB308" s="841"/>
      <c r="GC308" s="841"/>
      <c r="GD308" s="841"/>
      <c r="GE308" s="841"/>
      <c r="GF308" s="841"/>
      <c r="GG308" s="841"/>
      <c r="GH308" s="841"/>
      <c r="GI308" s="841"/>
      <c r="GJ308" s="841"/>
      <c r="GK308" s="841"/>
      <c r="GL308" s="841"/>
      <c r="GM308" s="841"/>
      <c r="GN308" s="841"/>
      <c r="GO308" s="841"/>
      <c r="GP308" s="841"/>
      <c r="GQ308" s="841"/>
      <c r="GR308" s="841"/>
      <c r="GS308" s="841"/>
      <c r="GT308" s="841"/>
      <c r="GU308" s="841"/>
      <c r="GV308" s="841"/>
      <c r="GW308" s="841"/>
      <c r="GX308" s="841"/>
      <c r="GY308" s="841"/>
      <c r="GZ308" s="841"/>
      <c r="HA308" s="841"/>
      <c r="HB308" s="841"/>
      <c r="HC308" s="841"/>
      <c r="HD308" s="841"/>
      <c r="HE308" s="841"/>
      <c r="HF308" s="841"/>
      <c r="HG308" s="841"/>
      <c r="HH308" s="841"/>
      <c r="HI308" s="841"/>
      <c r="HJ308" s="841"/>
      <c r="HK308" s="841"/>
      <c r="HL308" s="841"/>
      <c r="HM308" s="841"/>
      <c r="HN308" s="841"/>
      <c r="HO308" s="841"/>
    </row>
    <row r="309" spans="1:223">
      <c r="A309" s="841"/>
      <c r="B309" s="841"/>
      <c r="C309" s="841"/>
      <c r="D309" s="841"/>
      <c r="E309" s="841"/>
      <c r="F309" s="841"/>
      <c r="G309" s="841"/>
      <c r="H309" s="841"/>
      <c r="I309" s="841"/>
      <c r="J309" s="841"/>
      <c r="K309" s="841"/>
      <c r="L309" s="841"/>
      <c r="M309" s="841"/>
      <c r="N309" s="841"/>
      <c r="O309" s="841"/>
      <c r="P309" s="841"/>
      <c r="Q309" s="841"/>
      <c r="R309" s="841"/>
      <c r="S309" s="841"/>
      <c r="T309" s="841"/>
      <c r="U309" s="841"/>
      <c r="V309" s="841"/>
      <c r="W309" s="841"/>
      <c r="X309" s="841"/>
      <c r="Y309" s="841"/>
      <c r="Z309" s="1226"/>
      <c r="AA309" s="1226"/>
      <c r="AB309" s="1226"/>
      <c r="AC309" s="1226"/>
      <c r="AD309" s="1226"/>
      <c r="AE309" s="1226"/>
      <c r="AF309" s="1226"/>
      <c r="AG309" s="1226"/>
      <c r="AH309" s="1226"/>
      <c r="AI309" s="841"/>
      <c r="AJ309" s="841"/>
      <c r="AK309" s="841"/>
      <c r="AL309" s="841"/>
      <c r="AM309" s="841"/>
      <c r="AN309" s="841"/>
      <c r="AO309" s="841"/>
      <c r="AP309" s="841"/>
      <c r="AQ309" s="841"/>
      <c r="AR309" s="841"/>
      <c r="AS309" s="842"/>
      <c r="DS309" s="841"/>
      <c r="DT309" s="841"/>
      <c r="DU309" s="841"/>
      <c r="DV309" s="841"/>
      <c r="DW309" s="841"/>
      <c r="DX309" s="841"/>
      <c r="DY309" s="841"/>
      <c r="DZ309" s="841"/>
      <c r="EA309" s="841"/>
      <c r="EB309" s="841"/>
      <c r="EC309" s="841"/>
      <c r="ED309" s="841"/>
      <c r="EE309" s="841"/>
      <c r="EF309" s="841"/>
      <c r="EG309" s="841"/>
      <c r="EH309" s="841"/>
      <c r="EI309" s="841"/>
      <c r="EJ309" s="841"/>
      <c r="EK309" s="841"/>
      <c r="EL309" s="841"/>
      <c r="EM309" s="841"/>
      <c r="EN309" s="841"/>
      <c r="EO309" s="841"/>
      <c r="EP309" s="841"/>
      <c r="EQ309" s="841"/>
      <c r="ER309" s="841"/>
      <c r="ES309" s="841"/>
      <c r="ET309" s="841"/>
      <c r="EU309" s="841"/>
      <c r="EV309" s="841"/>
      <c r="EW309" s="841"/>
      <c r="EX309" s="841"/>
      <c r="EY309" s="841"/>
      <c r="EZ309" s="841"/>
      <c r="FA309" s="841"/>
      <c r="FB309" s="841"/>
      <c r="FC309" s="841"/>
      <c r="FD309" s="841"/>
      <c r="FE309" s="841"/>
      <c r="FF309" s="841"/>
      <c r="FG309" s="841"/>
      <c r="FH309" s="841"/>
      <c r="FI309" s="841"/>
      <c r="FJ309" s="841"/>
      <c r="FK309" s="841"/>
      <c r="FL309" s="841"/>
      <c r="FM309" s="841"/>
      <c r="FN309" s="841"/>
      <c r="FO309" s="841"/>
      <c r="FP309" s="841"/>
      <c r="FQ309" s="841"/>
      <c r="FR309" s="841"/>
      <c r="FS309" s="841"/>
      <c r="FT309" s="841"/>
      <c r="FU309" s="841"/>
      <c r="FV309" s="841"/>
      <c r="FW309" s="841"/>
      <c r="FX309" s="841"/>
      <c r="FY309" s="841"/>
      <c r="FZ309" s="841"/>
      <c r="GA309" s="841"/>
      <c r="GB309" s="841"/>
      <c r="GC309" s="841"/>
      <c r="GD309" s="841"/>
      <c r="GE309" s="841"/>
      <c r="GF309" s="841"/>
      <c r="GG309" s="841"/>
      <c r="GH309" s="841"/>
      <c r="GI309" s="841"/>
      <c r="GJ309" s="841"/>
      <c r="GK309" s="841"/>
      <c r="GL309" s="841"/>
      <c r="GM309" s="841"/>
      <c r="GN309" s="841"/>
      <c r="GO309" s="841"/>
      <c r="GP309" s="841"/>
      <c r="GQ309" s="841"/>
      <c r="GR309" s="841"/>
      <c r="GS309" s="841"/>
      <c r="GT309" s="841"/>
      <c r="GU309" s="841"/>
      <c r="GV309" s="841"/>
      <c r="GW309" s="841"/>
      <c r="GX309" s="841"/>
      <c r="GY309" s="841"/>
      <c r="GZ309" s="841"/>
      <c r="HA309" s="841"/>
      <c r="HB309" s="841"/>
      <c r="HC309" s="841"/>
      <c r="HD309" s="841"/>
      <c r="HE309" s="841"/>
      <c r="HF309" s="841"/>
      <c r="HG309" s="841"/>
      <c r="HH309" s="841"/>
      <c r="HI309" s="841"/>
      <c r="HJ309" s="841"/>
      <c r="HK309" s="841"/>
      <c r="HL309" s="841"/>
      <c r="HM309" s="841"/>
      <c r="HN309" s="841"/>
      <c r="HO309" s="841"/>
    </row>
    <row r="310" spans="1:223">
      <c r="A310" s="841"/>
      <c r="B310" s="841"/>
      <c r="C310" s="841"/>
      <c r="D310" s="841"/>
      <c r="E310" s="841"/>
      <c r="F310" s="841"/>
      <c r="G310" s="841"/>
      <c r="H310" s="841"/>
      <c r="I310" s="841"/>
      <c r="J310" s="841"/>
      <c r="K310" s="841"/>
      <c r="L310" s="841"/>
      <c r="M310" s="841"/>
      <c r="N310" s="841"/>
      <c r="O310" s="841"/>
      <c r="P310" s="841"/>
      <c r="Q310" s="841"/>
      <c r="R310" s="841"/>
      <c r="S310" s="841"/>
      <c r="T310" s="841"/>
      <c r="U310" s="841"/>
      <c r="V310" s="841"/>
      <c r="W310" s="841"/>
      <c r="X310" s="841"/>
      <c r="Y310" s="841"/>
      <c r="Z310" s="1226"/>
      <c r="AA310" s="1226"/>
      <c r="AB310" s="1226"/>
      <c r="AC310" s="1226"/>
      <c r="AD310" s="1226"/>
      <c r="AE310" s="1226"/>
      <c r="AF310" s="1226"/>
      <c r="AG310" s="1226"/>
      <c r="AH310" s="1226"/>
      <c r="AI310" s="841"/>
      <c r="AJ310" s="841"/>
      <c r="AK310" s="841"/>
      <c r="AL310" s="841"/>
      <c r="AM310" s="841"/>
      <c r="AN310" s="841"/>
      <c r="AO310" s="841"/>
      <c r="AP310" s="841"/>
      <c r="AQ310" s="841"/>
      <c r="AR310" s="841"/>
      <c r="AS310" s="842"/>
      <c r="DS310" s="841"/>
      <c r="DT310" s="841"/>
      <c r="DU310" s="841"/>
      <c r="DV310" s="841"/>
      <c r="DW310" s="841"/>
      <c r="DX310" s="841"/>
      <c r="DY310" s="841"/>
      <c r="DZ310" s="841"/>
      <c r="EA310" s="841"/>
      <c r="EB310" s="841"/>
      <c r="EC310" s="841"/>
      <c r="ED310" s="841"/>
      <c r="EE310" s="841"/>
      <c r="EF310" s="841"/>
      <c r="EG310" s="841"/>
      <c r="EH310" s="841"/>
      <c r="EI310" s="841"/>
      <c r="EJ310" s="841"/>
      <c r="EK310" s="841"/>
      <c r="EL310" s="841"/>
      <c r="EM310" s="841"/>
      <c r="EN310" s="841"/>
      <c r="EO310" s="841"/>
      <c r="EP310" s="841"/>
      <c r="EQ310" s="841"/>
      <c r="ER310" s="841"/>
      <c r="ES310" s="841"/>
      <c r="ET310" s="841"/>
      <c r="EU310" s="841"/>
      <c r="EV310" s="841"/>
      <c r="EW310" s="841"/>
      <c r="EX310" s="841"/>
      <c r="EY310" s="841"/>
      <c r="EZ310" s="841"/>
      <c r="FA310" s="841"/>
      <c r="FB310" s="841"/>
      <c r="FC310" s="841"/>
      <c r="FD310" s="841"/>
      <c r="FE310" s="841"/>
      <c r="FF310" s="841"/>
      <c r="FG310" s="841"/>
      <c r="FH310" s="841"/>
      <c r="FI310" s="841"/>
      <c r="FJ310" s="841"/>
      <c r="FK310" s="841"/>
      <c r="FL310" s="841"/>
      <c r="FM310" s="841"/>
      <c r="FN310" s="841"/>
      <c r="FO310" s="841"/>
      <c r="FP310" s="841"/>
      <c r="FQ310" s="841"/>
      <c r="FR310" s="841"/>
      <c r="FS310" s="841"/>
      <c r="FT310" s="841"/>
      <c r="FU310" s="841"/>
      <c r="FV310" s="841"/>
      <c r="FW310" s="841"/>
      <c r="FX310" s="841"/>
      <c r="FY310" s="841"/>
      <c r="FZ310" s="841"/>
      <c r="GA310" s="841"/>
      <c r="GB310" s="841"/>
      <c r="GC310" s="841"/>
      <c r="GD310" s="841"/>
      <c r="GE310" s="841"/>
      <c r="GF310" s="841"/>
      <c r="GG310" s="841"/>
      <c r="GH310" s="841"/>
      <c r="GI310" s="841"/>
      <c r="GJ310" s="841"/>
      <c r="GK310" s="841"/>
      <c r="GL310" s="841"/>
      <c r="GM310" s="841"/>
      <c r="GN310" s="841"/>
      <c r="GO310" s="841"/>
      <c r="GP310" s="841"/>
      <c r="GQ310" s="841"/>
      <c r="GR310" s="841"/>
      <c r="GS310" s="841"/>
      <c r="GT310" s="841"/>
      <c r="GU310" s="841"/>
      <c r="GV310" s="841"/>
      <c r="GW310" s="841"/>
      <c r="GX310" s="841"/>
      <c r="GY310" s="841"/>
      <c r="GZ310" s="841"/>
      <c r="HA310" s="841"/>
      <c r="HB310" s="841"/>
      <c r="HC310" s="841"/>
      <c r="HD310" s="841"/>
      <c r="HE310" s="841"/>
      <c r="HF310" s="841"/>
      <c r="HG310" s="841"/>
      <c r="HH310" s="841"/>
      <c r="HI310" s="841"/>
      <c r="HJ310" s="841"/>
      <c r="HK310" s="841"/>
      <c r="HL310" s="841"/>
      <c r="HM310" s="841"/>
      <c r="HN310" s="841"/>
      <c r="HO310" s="841"/>
    </row>
    <row r="311" spans="1:223">
      <c r="A311" s="841"/>
      <c r="B311" s="841"/>
      <c r="C311" s="841"/>
      <c r="D311" s="841"/>
      <c r="E311" s="841"/>
      <c r="F311" s="841"/>
      <c r="G311" s="841"/>
      <c r="H311" s="841"/>
      <c r="I311" s="841"/>
      <c r="J311" s="841"/>
      <c r="K311" s="841"/>
      <c r="L311" s="841"/>
      <c r="M311" s="841"/>
      <c r="N311" s="841"/>
      <c r="O311" s="841"/>
      <c r="P311" s="841"/>
      <c r="Q311" s="841"/>
      <c r="R311" s="841"/>
      <c r="S311" s="841"/>
      <c r="T311" s="841"/>
      <c r="U311" s="841"/>
      <c r="V311" s="841"/>
      <c r="W311" s="841"/>
      <c r="X311" s="841"/>
      <c r="Y311" s="841"/>
      <c r="Z311" s="1226"/>
      <c r="AA311" s="1226"/>
      <c r="AB311" s="1226"/>
      <c r="AC311" s="1226"/>
      <c r="AD311" s="1226"/>
      <c r="AE311" s="1226"/>
      <c r="AF311" s="1226"/>
      <c r="AG311" s="1226"/>
      <c r="AH311" s="1226"/>
      <c r="AI311" s="841"/>
      <c r="AJ311" s="841"/>
      <c r="AK311" s="841"/>
      <c r="AL311" s="841"/>
      <c r="AM311" s="841"/>
      <c r="AN311" s="841"/>
      <c r="AO311" s="841"/>
      <c r="AP311" s="841"/>
      <c r="AQ311" s="841"/>
      <c r="AR311" s="841"/>
      <c r="AS311" s="842"/>
      <c r="DS311" s="841"/>
      <c r="DT311" s="841"/>
      <c r="DU311" s="841"/>
      <c r="DV311" s="841"/>
      <c r="DW311" s="841"/>
      <c r="DX311" s="841"/>
      <c r="DY311" s="841"/>
      <c r="DZ311" s="841"/>
      <c r="EA311" s="841"/>
      <c r="EB311" s="841"/>
      <c r="EC311" s="841"/>
      <c r="ED311" s="841"/>
      <c r="EE311" s="841"/>
      <c r="EF311" s="841"/>
      <c r="EG311" s="841"/>
      <c r="EH311" s="841"/>
      <c r="EI311" s="841"/>
      <c r="EJ311" s="841"/>
      <c r="EK311" s="841"/>
      <c r="EL311" s="841"/>
      <c r="EM311" s="841"/>
      <c r="EN311" s="841"/>
      <c r="EO311" s="841"/>
      <c r="EP311" s="841"/>
      <c r="EQ311" s="841"/>
      <c r="ER311" s="841"/>
      <c r="ES311" s="841"/>
      <c r="ET311" s="841"/>
      <c r="EU311" s="841"/>
      <c r="EV311" s="841"/>
      <c r="EW311" s="841"/>
      <c r="EX311" s="841"/>
      <c r="EY311" s="841"/>
      <c r="EZ311" s="841"/>
      <c r="FA311" s="841"/>
      <c r="FB311" s="841"/>
      <c r="FC311" s="841"/>
      <c r="FD311" s="841"/>
      <c r="FE311" s="841"/>
      <c r="FF311" s="841"/>
      <c r="FG311" s="841"/>
      <c r="FH311" s="841"/>
      <c r="FI311" s="841"/>
      <c r="FJ311" s="841"/>
      <c r="FK311" s="841"/>
      <c r="FL311" s="841"/>
      <c r="FM311" s="841"/>
      <c r="FN311" s="841"/>
      <c r="FO311" s="841"/>
      <c r="FP311" s="841"/>
      <c r="FQ311" s="841"/>
      <c r="FR311" s="841"/>
      <c r="FS311" s="841"/>
      <c r="FT311" s="841"/>
      <c r="FU311" s="841"/>
      <c r="FV311" s="841"/>
      <c r="FW311" s="841"/>
      <c r="FX311" s="841"/>
      <c r="FY311" s="841"/>
      <c r="FZ311" s="841"/>
      <c r="GA311" s="841"/>
      <c r="GB311" s="841"/>
      <c r="GC311" s="841"/>
      <c r="GD311" s="841"/>
      <c r="GE311" s="841"/>
      <c r="GF311" s="841"/>
      <c r="GG311" s="841"/>
      <c r="GH311" s="841"/>
      <c r="GI311" s="841"/>
      <c r="GJ311" s="841"/>
      <c r="GK311" s="841"/>
      <c r="GL311" s="841"/>
      <c r="GM311" s="841"/>
      <c r="GN311" s="841"/>
      <c r="GO311" s="841"/>
      <c r="GP311" s="841"/>
      <c r="GQ311" s="841"/>
      <c r="GR311" s="841"/>
      <c r="GS311" s="841"/>
      <c r="GT311" s="841"/>
      <c r="GU311" s="841"/>
      <c r="GV311" s="841"/>
      <c r="GW311" s="841"/>
      <c r="GX311" s="841"/>
      <c r="GY311" s="841"/>
      <c r="GZ311" s="841"/>
      <c r="HA311" s="841"/>
      <c r="HB311" s="841"/>
      <c r="HC311" s="841"/>
      <c r="HD311" s="841"/>
      <c r="HE311" s="841"/>
      <c r="HF311" s="841"/>
      <c r="HG311" s="841"/>
      <c r="HH311" s="841"/>
      <c r="HI311" s="841"/>
      <c r="HJ311" s="841"/>
      <c r="HK311" s="841"/>
      <c r="HL311" s="841"/>
      <c r="HM311" s="841"/>
      <c r="HN311" s="841"/>
      <c r="HO311" s="841"/>
    </row>
    <row r="312" spans="1:223">
      <c r="A312" s="841"/>
      <c r="B312" s="841"/>
      <c r="C312" s="841"/>
      <c r="D312" s="841"/>
      <c r="E312" s="841"/>
      <c r="F312" s="841"/>
      <c r="G312" s="841"/>
      <c r="H312" s="841"/>
      <c r="I312" s="841"/>
      <c r="J312" s="841"/>
      <c r="K312" s="841"/>
      <c r="L312" s="841"/>
      <c r="M312" s="841"/>
      <c r="N312" s="841"/>
      <c r="O312" s="841"/>
      <c r="P312" s="841"/>
      <c r="Q312" s="841"/>
      <c r="R312" s="841"/>
      <c r="S312" s="841"/>
      <c r="T312" s="841"/>
      <c r="U312" s="841"/>
      <c r="V312" s="841"/>
      <c r="W312" s="841"/>
      <c r="X312" s="841"/>
      <c r="Y312" s="841"/>
      <c r="Z312" s="1226"/>
      <c r="AA312" s="1226"/>
      <c r="AB312" s="1226"/>
      <c r="AC312" s="1226"/>
      <c r="AD312" s="1226"/>
      <c r="AE312" s="1226"/>
      <c r="AF312" s="1226"/>
      <c r="AG312" s="1226"/>
      <c r="AH312" s="1226"/>
      <c r="AI312" s="841"/>
      <c r="AJ312" s="841"/>
      <c r="AK312" s="841"/>
      <c r="AL312" s="841"/>
      <c r="AM312" s="841"/>
      <c r="AN312" s="841"/>
      <c r="AO312" s="841"/>
      <c r="AP312" s="841"/>
      <c r="AQ312" s="841"/>
      <c r="AR312" s="841"/>
      <c r="AS312" s="842"/>
      <c r="DS312" s="841"/>
      <c r="DT312" s="841"/>
      <c r="DU312" s="841"/>
      <c r="DV312" s="841"/>
      <c r="DW312" s="841"/>
      <c r="DX312" s="841"/>
      <c r="DY312" s="841"/>
      <c r="DZ312" s="841"/>
      <c r="EA312" s="841"/>
      <c r="EB312" s="841"/>
      <c r="EC312" s="841"/>
      <c r="ED312" s="841"/>
      <c r="EE312" s="841"/>
      <c r="EF312" s="841"/>
      <c r="EG312" s="841"/>
      <c r="EH312" s="841"/>
      <c r="EI312" s="841"/>
      <c r="EJ312" s="841"/>
      <c r="EK312" s="841"/>
      <c r="EL312" s="841"/>
      <c r="EM312" s="841"/>
      <c r="EN312" s="841"/>
      <c r="EO312" s="841"/>
      <c r="EP312" s="841"/>
      <c r="EQ312" s="841"/>
      <c r="ER312" s="841"/>
      <c r="ES312" s="841"/>
      <c r="ET312" s="841"/>
      <c r="EU312" s="841"/>
      <c r="EV312" s="841"/>
      <c r="EW312" s="841"/>
      <c r="EX312" s="841"/>
      <c r="EY312" s="841"/>
      <c r="EZ312" s="841"/>
      <c r="FA312" s="841"/>
      <c r="FB312" s="841"/>
      <c r="FC312" s="841"/>
      <c r="FD312" s="841"/>
      <c r="FE312" s="841"/>
      <c r="FF312" s="841"/>
      <c r="FG312" s="841"/>
      <c r="FH312" s="841"/>
      <c r="FI312" s="841"/>
      <c r="FJ312" s="841"/>
      <c r="FK312" s="841"/>
      <c r="FL312" s="841"/>
      <c r="FM312" s="841"/>
      <c r="FN312" s="841"/>
      <c r="FO312" s="841"/>
      <c r="FP312" s="841"/>
      <c r="FQ312" s="841"/>
      <c r="FR312" s="841"/>
      <c r="FS312" s="841"/>
      <c r="FT312" s="841"/>
      <c r="FU312" s="841"/>
      <c r="FV312" s="841"/>
      <c r="FW312" s="841"/>
      <c r="FX312" s="841"/>
      <c r="FY312" s="841"/>
      <c r="FZ312" s="841"/>
      <c r="GA312" s="841"/>
      <c r="GB312" s="841"/>
      <c r="GC312" s="841"/>
      <c r="GD312" s="841"/>
      <c r="GE312" s="841"/>
      <c r="GF312" s="841"/>
      <c r="GG312" s="841"/>
      <c r="GH312" s="841"/>
      <c r="GI312" s="841"/>
      <c r="GJ312" s="841"/>
      <c r="GK312" s="841"/>
      <c r="GL312" s="841"/>
      <c r="GM312" s="841"/>
      <c r="GN312" s="841"/>
      <c r="GO312" s="841"/>
      <c r="GP312" s="841"/>
      <c r="GQ312" s="841"/>
      <c r="GR312" s="841"/>
      <c r="GS312" s="841"/>
      <c r="GT312" s="841"/>
      <c r="GU312" s="841"/>
      <c r="GV312" s="841"/>
      <c r="GW312" s="841"/>
      <c r="GX312" s="841"/>
      <c r="GY312" s="841"/>
      <c r="GZ312" s="841"/>
      <c r="HA312" s="841"/>
      <c r="HB312" s="841"/>
      <c r="HC312" s="841"/>
      <c r="HD312" s="841"/>
      <c r="HE312" s="841"/>
      <c r="HF312" s="841"/>
      <c r="HG312" s="841"/>
      <c r="HH312" s="841"/>
      <c r="HI312" s="841"/>
      <c r="HJ312" s="841"/>
      <c r="HK312" s="841"/>
      <c r="HL312" s="841"/>
      <c r="HM312" s="841"/>
      <c r="HN312" s="841"/>
      <c r="HO312" s="841"/>
    </row>
    <row r="313" spans="1:223">
      <c r="A313" s="841"/>
      <c r="B313" s="841"/>
      <c r="C313" s="841"/>
      <c r="D313" s="841"/>
      <c r="E313" s="841"/>
      <c r="F313" s="841"/>
      <c r="G313" s="841"/>
      <c r="H313" s="841"/>
      <c r="I313" s="841"/>
      <c r="J313" s="841"/>
      <c r="K313" s="841"/>
      <c r="L313" s="841"/>
      <c r="M313" s="841"/>
      <c r="N313" s="841"/>
      <c r="O313" s="841"/>
      <c r="P313" s="841"/>
      <c r="Q313" s="841"/>
      <c r="R313" s="841"/>
      <c r="S313" s="841"/>
      <c r="T313" s="841"/>
      <c r="U313" s="841"/>
      <c r="V313" s="841"/>
      <c r="W313" s="841"/>
      <c r="X313" s="841"/>
      <c r="Y313" s="841"/>
      <c r="Z313" s="1226"/>
      <c r="AA313" s="1226"/>
      <c r="AB313" s="1226"/>
      <c r="AC313" s="1226"/>
      <c r="AD313" s="1226"/>
      <c r="AE313" s="1226"/>
      <c r="AF313" s="1226"/>
      <c r="AG313" s="1226"/>
      <c r="AH313" s="1226"/>
      <c r="AI313" s="841"/>
      <c r="AJ313" s="841"/>
      <c r="AK313" s="841"/>
      <c r="AL313" s="841"/>
      <c r="AM313" s="841"/>
      <c r="AN313" s="841"/>
      <c r="AO313" s="841"/>
      <c r="AP313" s="841"/>
      <c r="AQ313" s="841"/>
      <c r="AR313" s="841"/>
      <c r="AS313" s="842"/>
      <c r="DS313" s="841"/>
      <c r="DT313" s="841"/>
      <c r="DU313" s="841"/>
      <c r="DV313" s="841"/>
      <c r="DW313" s="841"/>
      <c r="DX313" s="841"/>
      <c r="DY313" s="841"/>
      <c r="DZ313" s="841"/>
      <c r="EA313" s="841"/>
      <c r="EB313" s="841"/>
      <c r="EC313" s="841"/>
      <c r="ED313" s="841"/>
      <c r="EE313" s="841"/>
      <c r="EF313" s="841"/>
      <c r="EG313" s="841"/>
      <c r="EH313" s="841"/>
      <c r="EI313" s="841"/>
      <c r="EJ313" s="841"/>
      <c r="EK313" s="841"/>
      <c r="EL313" s="841"/>
      <c r="EM313" s="841"/>
      <c r="EN313" s="841"/>
      <c r="EO313" s="841"/>
      <c r="EP313" s="841"/>
      <c r="EQ313" s="841"/>
      <c r="ER313" s="841"/>
      <c r="ES313" s="841"/>
      <c r="ET313" s="841"/>
      <c r="EU313" s="841"/>
      <c r="EV313" s="841"/>
      <c r="EW313" s="841"/>
      <c r="EX313" s="841"/>
      <c r="EY313" s="841"/>
      <c r="EZ313" s="841"/>
      <c r="FA313" s="841"/>
      <c r="FB313" s="841"/>
      <c r="FC313" s="841"/>
      <c r="FD313" s="841"/>
      <c r="FE313" s="841"/>
      <c r="FF313" s="841"/>
      <c r="FG313" s="841"/>
      <c r="FH313" s="841"/>
      <c r="FI313" s="841"/>
      <c r="FJ313" s="841"/>
      <c r="FK313" s="841"/>
      <c r="FL313" s="841"/>
      <c r="FM313" s="841"/>
      <c r="FN313" s="841"/>
      <c r="FO313" s="841"/>
      <c r="FP313" s="841"/>
      <c r="FQ313" s="841"/>
      <c r="FR313" s="841"/>
      <c r="FS313" s="841"/>
      <c r="FT313" s="841"/>
      <c r="FU313" s="841"/>
      <c r="FV313" s="841"/>
      <c r="FW313" s="841"/>
      <c r="FX313" s="841"/>
      <c r="FY313" s="841"/>
      <c r="FZ313" s="841"/>
      <c r="GA313" s="841"/>
      <c r="GB313" s="841"/>
      <c r="GC313" s="841"/>
      <c r="GD313" s="841"/>
      <c r="GE313" s="841"/>
      <c r="GF313" s="841"/>
      <c r="GG313" s="841"/>
      <c r="GH313" s="841"/>
      <c r="GI313" s="841"/>
      <c r="GJ313" s="841"/>
      <c r="GK313" s="841"/>
      <c r="GL313" s="841"/>
      <c r="GM313" s="841"/>
      <c r="GN313" s="841"/>
      <c r="GO313" s="841"/>
      <c r="GP313" s="841"/>
      <c r="GQ313" s="841"/>
      <c r="GR313" s="841"/>
      <c r="GS313" s="841"/>
      <c r="GT313" s="841"/>
      <c r="GU313" s="841"/>
      <c r="GV313" s="841"/>
      <c r="GW313" s="841"/>
      <c r="GX313" s="841"/>
      <c r="GY313" s="841"/>
      <c r="GZ313" s="841"/>
      <c r="HA313" s="841"/>
      <c r="HB313" s="841"/>
      <c r="HC313" s="841"/>
      <c r="HD313" s="841"/>
      <c r="HE313" s="841"/>
      <c r="HF313" s="841"/>
      <c r="HG313" s="841"/>
      <c r="HH313" s="841"/>
      <c r="HI313" s="841"/>
      <c r="HJ313" s="841"/>
      <c r="HK313" s="841"/>
      <c r="HL313" s="841"/>
      <c r="HM313" s="841"/>
      <c r="HN313" s="841"/>
      <c r="HO313" s="841"/>
    </row>
    <row r="314" spans="1:223">
      <c r="A314" s="841"/>
      <c r="B314" s="841"/>
      <c r="C314" s="841"/>
      <c r="D314" s="841"/>
      <c r="E314" s="841"/>
      <c r="F314" s="841"/>
      <c r="G314" s="841"/>
      <c r="H314" s="841"/>
      <c r="I314" s="841"/>
      <c r="J314" s="841"/>
      <c r="K314" s="841"/>
      <c r="L314" s="841"/>
      <c r="M314" s="841"/>
      <c r="N314" s="841"/>
      <c r="O314" s="841"/>
      <c r="P314" s="841"/>
      <c r="Q314" s="841"/>
      <c r="R314" s="841"/>
      <c r="S314" s="841"/>
      <c r="T314" s="841"/>
      <c r="U314" s="841"/>
      <c r="V314" s="841"/>
      <c r="W314" s="841"/>
      <c r="X314" s="841"/>
      <c r="Y314" s="841"/>
      <c r="Z314" s="1226"/>
      <c r="AA314" s="1226"/>
      <c r="AB314" s="1226"/>
      <c r="AC314" s="1226"/>
      <c r="AD314" s="1226"/>
      <c r="AE314" s="1226"/>
      <c r="AF314" s="1226"/>
      <c r="AG314" s="1226"/>
      <c r="AH314" s="1226"/>
      <c r="AI314" s="841"/>
      <c r="AJ314" s="841"/>
      <c r="AK314" s="841"/>
      <c r="AL314" s="841"/>
      <c r="AM314" s="841"/>
      <c r="AN314" s="841"/>
      <c r="AO314" s="841"/>
      <c r="AP314" s="841"/>
      <c r="AQ314" s="841"/>
      <c r="AR314" s="841"/>
      <c r="AS314" s="842"/>
      <c r="DS314" s="841"/>
      <c r="DT314" s="841"/>
      <c r="DU314" s="841"/>
      <c r="DV314" s="841"/>
      <c r="DW314" s="841"/>
      <c r="DX314" s="841"/>
      <c r="DY314" s="841"/>
      <c r="DZ314" s="841"/>
      <c r="EA314" s="841"/>
      <c r="EB314" s="841"/>
      <c r="EC314" s="841"/>
      <c r="ED314" s="841"/>
      <c r="EE314" s="841"/>
      <c r="EF314" s="841"/>
      <c r="EG314" s="841"/>
      <c r="EH314" s="841"/>
      <c r="EI314" s="841"/>
      <c r="EJ314" s="841"/>
      <c r="EK314" s="841"/>
      <c r="EL314" s="841"/>
      <c r="EM314" s="841"/>
      <c r="EN314" s="841"/>
      <c r="EO314" s="841"/>
      <c r="EP314" s="841"/>
      <c r="EQ314" s="841"/>
      <c r="ER314" s="841"/>
      <c r="ES314" s="841"/>
      <c r="ET314" s="841"/>
      <c r="EU314" s="841"/>
      <c r="EV314" s="841"/>
      <c r="EW314" s="841"/>
      <c r="EX314" s="841"/>
      <c r="EY314" s="841"/>
      <c r="EZ314" s="841"/>
      <c r="FA314" s="841"/>
      <c r="FB314" s="841"/>
      <c r="FC314" s="841"/>
      <c r="FD314" s="841"/>
      <c r="FE314" s="841"/>
      <c r="FF314" s="841"/>
      <c r="FG314" s="841"/>
      <c r="FH314" s="841"/>
      <c r="FI314" s="841"/>
      <c r="FJ314" s="841"/>
      <c r="FK314" s="841"/>
      <c r="FL314" s="841"/>
      <c r="FM314" s="841"/>
      <c r="FN314" s="841"/>
      <c r="FO314" s="841"/>
      <c r="FP314" s="841"/>
      <c r="FQ314" s="841"/>
      <c r="FR314" s="841"/>
      <c r="FS314" s="841"/>
      <c r="FT314" s="841"/>
      <c r="FU314" s="841"/>
      <c r="FV314" s="841"/>
      <c r="FW314" s="841"/>
      <c r="FX314" s="841"/>
      <c r="FY314" s="841"/>
      <c r="FZ314" s="841"/>
      <c r="GA314" s="841"/>
      <c r="GB314" s="841"/>
      <c r="GC314" s="841"/>
      <c r="GD314" s="841"/>
      <c r="GE314" s="841"/>
      <c r="GF314" s="841"/>
      <c r="GG314" s="841"/>
      <c r="GH314" s="841"/>
      <c r="GI314" s="841"/>
      <c r="GJ314" s="841"/>
      <c r="GK314" s="841"/>
      <c r="GL314" s="841"/>
      <c r="GM314" s="841"/>
      <c r="GN314" s="841"/>
      <c r="GO314" s="841"/>
      <c r="GP314" s="841"/>
      <c r="GQ314" s="841"/>
      <c r="GR314" s="841"/>
      <c r="GS314" s="841"/>
      <c r="GT314" s="841"/>
      <c r="GU314" s="841"/>
      <c r="GV314" s="841"/>
      <c r="GW314" s="841"/>
      <c r="GX314" s="841"/>
      <c r="GY314" s="841"/>
      <c r="GZ314" s="841"/>
      <c r="HA314" s="841"/>
      <c r="HB314" s="841"/>
      <c r="HC314" s="841"/>
      <c r="HD314" s="841"/>
      <c r="HE314" s="841"/>
      <c r="HF314" s="841"/>
      <c r="HG314" s="841"/>
      <c r="HH314" s="841"/>
      <c r="HI314" s="841"/>
      <c r="HJ314" s="841"/>
      <c r="HK314" s="841"/>
      <c r="HL314" s="841"/>
      <c r="HM314" s="841"/>
      <c r="HN314" s="841"/>
      <c r="HO314" s="841"/>
    </row>
    <row r="315" spans="1:223">
      <c r="A315" s="841"/>
      <c r="B315" s="841"/>
      <c r="C315" s="841"/>
      <c r="D315" s="841"/>
      <c r="E315" s="841"/>
      <c r="F315" s="841"/>
      <c r="G315" s="841"/>
      <c r="H315" s="841"/>
      <c r="I315" s="841"/>
      <c r="J315" s="841"/>
      <c r="K315" s="841"/>
      <c r="L315" s="841"/>
      <c r="M315" s="841"/>
      <c r="N315" s="841"/>
      <c r="O315" s="841"/>
      <c r="P315" s="841"/>
      <c r="Q315" s="841"/>
      <c r="R315" s="841"/>
      <c r="S315" s="841"/>
      <c r="T315" s="841"/>
      <c r="U315" s="841"/>
      <c r="V315" s="841"/>
      <c r="W315" s="841"/>
      <c r="X315" s="841"/>
      <c r="Y315" s="841"/>
      <c r="Z315" s="1226"/>
      <c r="AA315" s="1226"/>
      <c r="AB315" s="1226"/>
      <c r="AC315" s="1226"/>
      <c r="AD315" s="1226"/>
      <c r="AE315" s="1226"/>
      <c r="AF315" s="1226"/>
      <c r="AG315" s="1226"/>
      <c r="AH315" s="1226"/>
      <c r="AI315" s="841"/>
      <c r="AJ315" s="841"/>
      <c r="AK315" s="841"/>
      <c r="AL315" s="841"/>
      <c r="AM315" s="841"/>
      <c r="AN315" s="841"/>
      <c r="AO315" s="841"/>
      <c r="AP315" s="841"/>
      <c r="AQ315" s="841"/>
      <c r="AR315" s="841"/>
      <c r="AS315" s="842"/>
      <c r="DS315" s="841"/>
      <c r="DT315" s="841"/>
      <c r="DU315" s="841"/>
      <c r="DV315" s="841"/>
      <c r="DW315" s="841"/>
      <c r="DX315" s="841"/>
      <c r="DY315" s="841"/>
      <c r="DZ315" s="841"/>
      <c r="EA315" s="841"/>
      <c r="EB315" s="841"/>
      <c r="EC315" s="841"/>
      <c r="ED315" s="841"/>
      <c r="EE315" s="841"/>
      <c r="EF315" s="841"/>
      <c r="EG315" s="841"/>
      <c r="EH315" s="841"/>
      <c r="EI315" s="841"/>
      <c r="EJ315" s="841"/>
      <c r="EK315" s="841"/>
      <c r="EL315" s="841"/>
      <c r="EM315" s="841"/>
      <c r="EN315" s="841"/>
      <c r="EO315" s="841"/>
      <c r="EP315" s="841"/>
      <c r="EQ315" s="841"/>
      <c r="ER315" s="841"/>
      <c r="ES315" s="841"/>
      <c r="ET315" s="841"/>
      <c r="EU315" s="841"/>
      <c r="EV315" s="841"/>
      <c r="EW315" s="841"/>
      <c r="EX315" s="841"/>
      <c r="EY315" s="841"/>
      <c r="EZ315" s="841"/>
      <c r="FA315" s="841"/>
      <c r="FB315" s="841"/>
      <c r="FC315" s="841"/>
      <c r="FD315" s="841"/>
      <c r="FE315" s="841"/>
      <c r="FF315" s="841"/>
      <c r="FG315" s="841"/>
      <c r="FH315" s="841"/>
      <c r="FI315" s="841"/>
      <c r="FJ315" s="841"/>
      <c r="FK315" s="841"/>
      <c r="FL315" s="841"/>
      <c r="FM315" s="841"/>
      <c r="FN315" s="841"/>
      <c r="FO315" s="841"/>
      <c r="FP315" s="841"/>
      <c r="FQ315" s="841"/>
      <c r="FR315" s="841"/>
      <c r="FS315" s="841"/>
      <c r="FT315" s="841"/>
      <c r="FU315" s="841"/>
      <c r="FV315" s="841"/>
      <c r="FW315" s="841"/>
      <c r="FX315" s="841"/>
      <c r="FY315" s="841"/>
      <c r="FZ315" s="841"/>
      <c r="GA315" s="841"/>
      <c r="GB315" s="841"/>
      <c r="GC315" s="841"/>
      <c r="GD315" s="841"/>
      <c r="GE315" s="841"/>
      <c r="GF315" s="841"/>
      <c r="GG315" s="841"/>
      <c r="GH315" s="841"/>
      <c r="GI315" s="841"/>
      <c r="GJ315" s="841"/>
      <c r="GK315" s="841"/>
      <c r="GL315" s="841"/>
      <c r="GM315" s="841"/>
      <c r="GN315" s="841"/>
      <c r="GO315" s="841"/>
      <c r="GP315" s="841"/>
      <c r="GQ315" s="841"/>
      <c r="GR315" s="841"/>
      <c r="GS315" s="841"/>
      <c r="GT315" s="841"/>
      <c r="GU315" s="841"/>
      <c r="GV315" s="841"/>
      <c r="GW315" s="841"/>
      <c r="GX315" s="841"/>
      <c r="GY315" s="841"/>
      <c r="GZ315" s="841"/>
      <c r="HA315" s="841"/>
      <c r="HB315" s="841"/>
      <c r="HC315" s="841"/>
      <c r="HD315" s="841"/>
      <c r="HE315" s="841"/>
      <c r="HF315" s="841"/>
      <c r="HG315" s="841"/>
      <c r="HH315" s="841"/>
      <c r="HI315" s="841"/>
      <c r="HJ315" s="841"/>
      <c r="HK315" s="841"/>
      <c r="HL315" s="841"/>
      <c r="HM315" s="841"/>
      <c r="HN315" s="841"/>
      <c r="HO315" s="841"/>
    </row>
    <row r="316" spans="1:223">
      <c r="A316" s="841"/>
      <c r="B316" s="841"/>
      <c r="C316" s="841"/>
      <c r="D316" s="841"/>
      <c r="E316" s="841"/>
      <c r="F316" s="841"/>
      <c r="G316" s="841"/>
      <c r="H316" s="841"/>
      <c r="I316" s="841"/>
      <c r="J316" s="841"/>
      <c r="K316" s="841"/>
      <c r="L316" s="841"/>
      <c r="M316" s="841"/>
      <c r="N316" s="841"/>
      <c r="O316" s="841"/>
      <c r="P316" s="841"/>
      <c r="Q316" s="841"/>
      <c r="R316" s="841"/>
      <c r="S316" s="841"/>
      <c r="T316" s="841"/>
      <c r="U316" s="841"/>
      <c r="V316" s="841"/>
      <c r="W316" s="841"/>
      <c r="X316" s="841"/>
      <c r="Y316" s="841"/>
      <c r="Z316" s="1226"/>
      <c r="AA316" s="1226"/>
      <c r="AB316" s="1226"/>
      <c r="AC316" s="1226"/>
      <c r="AD316" s="1226"/>
      <c r="AE316" s="1226"/>
      <c r="AF316" s="1226"/>
      <c r="AG316" s="1226"/>
      <c r="AH316" s="1226"/>
      <c r="AI316" s="841"/>
      <c r="AJ316" s="841"/>
      <c r="AK316" s="841"/>
      <c r="AL316" s="841"/>
      <c r="AM316" s="841"/>
      <c r="AN316" s="841"/>
      <c r="AO316" s="841"/>
      <c r="AP316" s="841"/>
      <c r="AQ316" s="841"/>
      <c r="AR316" s="841"/>
      <c r="AS316" s="842"/>
      <c r="DS316" s="841"/>
      <c r="DT316" s="841"/>
      <c r="DU316" s="841"/>
      <c r="DV316" s="841"/>
      <c r="DW316" s="841"/>
      <c r="DX316" s="841"/>
      <c r="DY316" s="841"/>
      <c r="DZ316" s="841"/>
      <c r="EA316" s="841"/>
      <c r="EB316" s="841"/>
      <c r="EC316" s="841"/>
      <c r="ED316" s="841"/>
      <c r="EE316" s="841"/>
      <c r="EF316" s="841"/>
      <c r="EG316" s="841"/>
      <c r="EH316" s="841"/>
      <c r="EI316" s="841"/>
      <c r="EJ316" s="841"/>
      <c r="EK316" s="841"/>
      <c r="EL316" s="841"/>
      <c r="EM316" s="841"/>
      <c r="EN316" s="841"/>
      <c r="EO316" s="841"/>
      <c r="EP316" s="841"/>
      <c r="EQ316" s="841"/>
      <c r="ER316" s="841"/>
      <c r="ES316" s="841"/>
      <c r="ET316" s="841"/>
      <c r="EU316" s="841"/>
      <c r="EV316" s="841"/>
      <c r="EW316" s="841"/>
      <c r="EX316" s="841"/>
      <c r="EY316" s="841"/>
      <c r="EZ316" s="841"/>
      <c r="FA316" s="841"/>
      <c r="FB316" s="841"/>
      <c r="FC316" s="841"/>
      <c r="FD316" s="841"/>
      <c r="FE316" s="841"/>
      <c r="FF316" s="841"/>
      <c r="FG316" s="841"/>
      <c r="FH316" s="841"/>
      <c r="FI316" s="841"/>
      <c r="FJ316" s="841"/>
      <c r="FK316" s="841"/>
      <c r="FL316" s="841"/>
      <c r="FM316" s="841"/>
      <c r="FN316" s="841"/>
      <c r="FO316" s="841"/>
      <c r="FP316" s="841"/>
      <c r="FQ316" s="841"/>
      <c r="FR316" s="841"/>
      <c r="FS316" s="841"/>
      <c r="FT316" s="841"/>
      <c r="FU316" s="841"/>
      <c r="FV316" s="841"/>
      <c r="FW316" s="841"/>
      <c r="FX316" s="841"/>
      <c r="FY316" s="841"/>
      <c r="FZ316" s="841"/>
      <c r="GA316" s="841"/>
      <c r="GB316" s="841"/>
      <c r="GC316" s="841"/>
      <c r="GD316" s="841"/>
      <c r="GE316" s="841"/>
      <c r="GF316" s="841"/>
      <c r="GG316" s="841"/>
      <c r="GH316" s="841"/>
      <c r="GI316" s="841"/>
      <c r="GJ316" s="841"/>
      <c r="GK316" s="841"/>
      <c r="GL316" s="841"/>
      <c r="GM316" s="841"/>
      <c r="GN316" s="841"/>
      <c r="GO316" s="841"/>
      <c r="GP316" s="841"/>
      <c r="GQ316" s="841"/>
      <c r="GR316" s="841"/>
      <c r="GS316" s="841"/>
      <c r="GT316" s="841"/>
      <c r="GU316" s="841"/>
      <c r="GV316" s="841"/>
      <c r="GW316" s="841"/>
      <c r="GX316" s="841"/>
      <c r="GY316" s="841"/>
      <c r="GZ316" s="841"/>
      <c r="HA316" s="841"/>
      <c r="HB316" s="841"/>
      <c r="HC316" s="841"/>
      <c r="HD316" s="841"/>
      <c r="HE316" s="841"/>
      <c r="HF316" s="841"/>
      <c r="HG316" s="841"/>
      <c r="HH316" s="841"/>
      <c r="HI316" s="841"/>
      <c r="HJ316" s="841"/>
      <c r="HK316" s="841"/>
      <c r="HL316" s="841"/>
      <c r="HM316" s="841"/>
      <c r="HN316" s="841"/>
      <c r="HO316" s="841"/>
    </row>
    <row r="317" spans="1:223">
      <c r="A317" s="841"/>
      <c r="B317" s="841"/>
      <c r="C317" s="841"/>
      <c r="D317" s="841"/>
      <c r="E317" s="841"/>
      <c r="F317" s="841"/>
      <c r="G317" s="841"/>
      <c r="H317" s="841"/>
      <c r="I317" s="841"/>
      <c r="J317" s="841"/>
      <c r="K317" s="841"/>
      <c r="L317" s="841"/>
      <c r="M317" s="841"/>
      <c r="N317" s="841"/>
      <c r="O317" s="841"/>
      <c r="P317" s="841"/>
      <c r="Q317" s="841"/>
      <c r="R317" s="841"/>
      <c r="S317" s="841"/>
      <c r="T317" s="841"/>
      <c r="U317" s="841"/>
      <c r="V317" s="841"/>
      <c r="W317" s="841"/>
      <c r="X317" s="841"/>
      <c r="Y317" s="841"/>
      <c r="Z317" s="1226"/>
      <c r="AA317" s="1226"/>
      <c r="AB317" s="1226"/>
      <c r="AC317" s="1226"/>
      <c r="AD317" s="1226"/>
      <c r="AE317" s="1226"/>
      <c r="AF317" s="1226"/>
      <c r="AG317" s="1226"/>
      <c r="AH317" s="1226"/>
      <c r="AI317" s="841"/>
      <c r="AJ317" s="841"/>
      <c r="AK317" s="841"/>
      <c r="AL317" s="841"/>
      <c r="AM317" s="841"/>
      <c r="AN317" s="841"/>
      <c r="AO317" s="841"/>
      <c r="AP317" s="841"/>
      <c r="AQ317" s="841"/>
      <c r="AR317" s="841"/>
      <c r="AS317" s="842"/>
      <c r="DS317" s="841"/>
      <c r="DT317" s="841"/>
      <c r="DU317" s="841"/>
      <c r="DV317" s="841"/>
      <c r="DW317" s="841"/>
      <c r="DX317" s="841"/>
      <c r="DY317" s="841"/>
      <c r="DZ317" s="841"/>
      <c r="EA317" s="841"/>
      <c r="EB317" s="841"/>
      <c r="EC317" s="841"/>
      <c r="ED317" s="841"/>
      <c r="EE317" s="841"/>
      <c r="EF317" s="841"/>
      <c r="EG317" s="841"/>
      <c r="EH317" s="841"/>
      <c r="EI317" s="841"/>
      <c r="EJ317" s="841"/>
      <c r="EK317" s="841"/>
      <c r="EL317" s="841"/>
      <c r="EM317" s="841"/>
      <c r="EN317" s="841"/>
      <c r="EO317" s="841"/>
      <c r="EP317" s="841"/>
      <c r="EQ317" s="841"/>
      <c r="ER317" s="841"/>
      <c r="ES317" s="841"/>
      <c r="ET317" s="841"/>
      <c r="EU317" s="841"/>
      <c r="EV317" s="841"/>
      <c r="EW317" s="841"/>
      <c r="EX317" s="841"/>
      <c r="EY317" s="841"/>
      <c r="EZ317" s="841"/>
      <c r="FA317" s="841"/>
      <c r="FB317" s="841"/>
      <c r="FC317" s="841"/>
      <c r="FD317" s="841"/>
      <c r="FE317" s="841"/>
      <c r="FF317" s="841"/>
      <c r="FG317" s="841"/>
      <c r="FH317" s="841"/>
      <c r="FI317" s="841"/>
      <c r="FJ317" s="841"/>
      <c r="FK317" s="841"/>
      <c r="FL317" s="841"/>
      <c r="FM317" s="841"/>
      <c r="FN317" s="841"/>
      <c r="FO317" s="841"/>
      <c r="FP317" s="841"/>
      <c r="FQ317" s="841"/>
      <c r="FR317" s="841"/>
      <c r="FS317" s="841"/>
      <c r="FT317" s="841"/>
      <c r="FU317" s="841"/>
      <c r="FV317" s="841"/>
      <c r="FW317" s="841"/>
      <c r="FX317" s="841"/>
      <c r="FY317" s="841"/>
      <c r="FZ317" s="841"/>
      <c r="GA317" s="841"/>
      <c r="GB317" s="841"/>
      <c r="GC317" s="841"/>
      <c r="GD317" s="841"/>
      <c r="GE317" s="841"/>
      <c r="GF317" s="841"/>
      <c r="GG317" s="841"/>
      <c r="GH317" s="841"/>
      <c r="GI317" s="841"/>
      <c r="GJ317" s="841"/>
      <c r="GK317" s="841"/>
      <c r="GL317" s="841"/>
      <c r="GM317" s="841"/>
      <c r="GN317" s="841"/>
      <c r="GO317" s="841"/>
      <c r="GP317" s="841"/>
      <c r="GQ317" s="841"/>
      <c r="GR317" s="841"/>
      <c r="GS317" s="841"/>
      <c r="GT317" s="841"/>
      <c r="GU317" s="841"/>
      <c r="GV317" s="841"/>
      <c r="GW317" s="841"/>
      <c r="GX317" s="841"/>
      <c r="GY317" s="841"/>
      <c r="GZ317" s="841"/>
      <c r="HA317" s="841"/>
      <c r="HB317" s="841"/>
      <c r="HC317" s="841"/>
      <c r="HD317" s="841"/>
      <c r="HE317" s="841"/>
      <c r="HF317" s="841"/>
      <c r="HG317" s="841"/>
      <c r="HH317" s="841"/>
      <c r="HI317" s="841"/>
      <c r="HJ317" s="841"/>
      <c r="HK317" s="841"/>
      <c r="HL317" s="841"/>
      <c r="HM317" s="841"/>
      <c r="HN317" s="841"/>
      <c r="HO317" s="841"/>
    </row>
    <row r="318" spans="1:223">
      <c r="A318" s="841"/>
      <c r="B318" s="841"/>
      <c r="C318" s="841"/>
      <c r="D318" s="841"/>
      <c r="E318" s="841"/>
      <c r="F318" s="841"/>
      <c r="G318" s="841"/>
      <c r="H318" s="841"/>
      <c r="I318" s="841"/>
      <c r="J318" s="841"/>
      <c r="K318" s="841"/>
      <c r="L318" s="841"/>
      <c r="M318" s="841"/>
      <c r="N318" s="841"/>
      <c r="O318" s="841"/>
      <c r="P318" s="841"/>
      <c r="Q318" s="841"/>
      <c r="R318" s="841"/>
      <c r="S318" s="841"/>
      <c r="T318" s="841"/>
      <c r="U318" s="841"/>
      <c r="V318" s="841"/>
      <c r="W318" s="841"/>
      <c r="X318" s="841"/>
      <c r="Y318" s="841"/>
      <c r="Z318" s="1226"/>
      <c r="AA318" s="1226"/>
      <c r="AB318" s="1226"/>
      <c r="AC318" s="1226"/>
      <c r="AD318" s="1226"/>
      <c r="AE318" s="1226"/>
      <c r="AF318" s="1226"/>
      <c r="AG318" s="1226"/>
      <c r="AH318" s="1226"/>
      <c r="AI318" s="841"/>
      <c r="AJ318" s="841"/>
      <c r="AK318" s="841"/>
      <c r="AL318" s="841"/>
      <c r="AM318" s="841"/>
      <c r="AN318" s="841"/>
      <c r="AO318" s="841"/>
      <c r="AP318" s="841"/>
      <c r="AQ318" s="841"/>
      <c r="AR318" s="841"/>
      <c r="AS318" s="842"/>
      <c r="DS318" s="841"/>
      <c r="DT318" s="841"/>
      <c r="DU318" s="841"/>
      <c r="DV318" s="841"/>
      <c r="DW318" s="841"/>
      <c r="DX318" s="841"/>
      <c r="DY318" s="841"/>
      <c r="DZ318" s="841"/>
      <c r="EA318" s="841"/>
      <c r="EB318" s="841"/>
      <c r="EC318" s="841"/>
      <c r="ED318" s="841"/>
      <c r="EE318" s="841"/>
      <c r="EF318" s="841"/>
      <c r="EG318" s="841"/>
      <c r="EH318" s="841"/>
      <c r="EI318" s="841"/>
      <c r="EJ318" s="841"/>
      <c r="EK318" s="841"/>
      <c r="EL318" s="841"/>
      <c r="EM318" s="841"/>
      <c r="EN318" s="841"/>
      <c r="EO318" s="841"/>
      <c r="EP318" s="841"/>
      <c r="EQ318" s="841"/>
      <c r="ER318" s="841"/>
      <c r="ES318" s="841"/>
      <c r="ET318" s="841"/>
      <c r="EU318" s="841"/>
      <c r="EV318" s="841"/>
      <c r="EW318" s="841"/>
      <c r="EX318" s="841"/>
      <c r="EY318" s="841"/>
      <c r="EZ318" s="841"/>
      <c r="FA318" s="841"/>
      <c r="FB318" s="841"/>
      <c r="FC318" s="841"/>
      <c r="FD318" s="841"/>
      <c r="FE318" s="841"/>
      <c r="FF318" s="841"/>
      <c r="FG318" s="841"/>
      <c r="FH318" s="841"/>
      <c r="FI318" s="841"/>
      <c r="FJ318" s="841"/>
      <c r="FK318" s="841"/>
      <c r="FL318" s="841"/>
      <c r="FM318" s="841"/>
      <c r="FN318" s="841"/>
      <c r="FO318" s="841"/>
      <c r="FP318" s="841"/>
      <c r="FQ318" s="841"/>
      <c r="FR318" s="841"/>
      <c r="FS318" s="841"/>
      <c r="FT318" s="841"/>
      <c r="FU318" s="841"/>
      <c r="FV318" s="841"/>
      <c r="FW318" s="841"/>
      <c r="FX318" s="841"/>
      <c r="FY318" s="841"/>
      <c r="FZ318" s="841"/>
      <c r="GA318" s="841"/>
      <c r="GB318" s="841"/>
      <c r="GC318" s="841"/>
      <c r="GD318" s="841"/>
      <c r="GE318" s="841"/>
      <c r="GF318" s="841"/>
      <c r="GG318" s="841"/>
      <c r="GH318" s="841"/>
      <c r="GI318" s="841"/>
      <c r="GJ318" s="841"/>
      <c r="GK318" s="841"/>
      <c r="GL318" s="841"/>
      <c r="GM318" s="841"/>
      <c r="GN318" s="841"/>
      <c r="GO318" s="841"/>
      <c r="GP318" s="841"/>
      <c r="GQ318" s="841"/>
      <c r="GR318" s="841"/>
      <c r="GS318" s="841"/>
      <c r="GT318" s="841"/>
      <c r="GU318" s="841"/>
      <c r="GV318" s="841"/>
      <c r="GW318" s="841"/>
      <c r="GX318" s="841"/>
      <c r="GY318" s="841"/>
      <c r="GZ318" s="841"/>
      <c r="HA318" s="841"/>
      <c r="HB318" s="841"/>
      <c r="HC318" s="841"/>
      <c r="HD318" s="841"/>
      <c r="HE318" s="841"/>
      <c r="HF318" s="841"/>
      <c r="HG318" s="841"/>
      <c r="HH318" s="841"/>
      <c r="HI318" s="841"/>
      <c r="HJ318" s="841"/>
      <c r="HK318" s="841"/>
      <c r="HL318" s="841"/>
      <c r="HM318" s="841"/>
      <c r="HN318" s="841"/>
      <c r="HO318" s="841"/>
    </row>
    <row r="319" spans="1:223">
      <c r="A319" s="841"/>
      <c r="B319" s="841"/>
      <c r="C319" s="841"/>
      <c r="D319" s="841"/>
      <c r="E319" s="841"/>
      <c r="F319" s="841"/>
      <c r="G319" s="841"/>
      <c r="H319" s="841"/>
      <c r="I319" s="841"/>
      <c r="J319" s="841"/>
      <c r="K319" s="841"/>
      <c r="L319" s="841"/>
      <c r="M319" s="841"/>
      <c r="N319" s="841"/>
      <c r="O319" s="841"/>
      <c r="P319" s="841"/>
      <c r="Q319" s="841"/>
      <c r="R319" s="841"/>
      <c r="S319" s="841"/>
      <c r="T319" s="841"/>
      <c r="U319" s="841"/>
      <c r="V319" s="841"/>
      <c r="W319" s="841"/>
      <c r="X319" s="841"/>
      <c r="Y319" s="841"/>
      <c r="Z319" s="1226"/>
      <c r="AA319" s="1226"/>
      <c r="AB319" s="1226"/>
      <c r="AC319" s="1226"/>
      <c r="AD319" s="1226"/>
      <c r="AE319" s="1226"/>
      <c r="AF319" s="1226"/>
      <c r="AG319" s="1226"/>
      <c r="AH319" s="1226"/>
      <c r="AI319" s="841"/>
      <c r="AJ319" s="841"/>
      <c r="AK319" s="841"/>
      <c r="AL319" s="841"/>
      <c r="AM319" s="841"/>
      <c r="AN319" s="841"/>
      <c r="AO319" s="841"/>
      <c r="AP319" s="841"/>
      <c r="AQ319" s="841"/>
      <c r="AR319" s="841"/>
      <c r="AS319" s="842"/>
      <c r="DS319" s="841"/>
      <c r="DT319" s="841"/>
      <c r="DU319" s="841"/>
      <c r="DV319" s="841"/>
      <c r="DW319" s="841"/>
      <c r="DX319" s="841"/>
      <c r="DY319" s="841"/>
      <c r="DZ319" s="841"/>
      <c r="EA319" s="841"/>
      <c r="EB319" s="841"/>
      <c r="EC319" s="841"/>
      <c r="ED319" s="841"/>
      <c r="EE319" s="841"/>
      <c r="EF319" s="841"/>
      <c r="EG319" s="841"/>
      <c r="EH319" s="841"/>
      <c r="EI319" s="841"/>
      <c r="EJ319" s="841"/>
      <c r="EK319" s="841"/>
      <c r="EL319" s="841"/>
      <c r="EM319" s="841"/>
      <c r="EN319" s="841"/>
      <c r="EO319" s="841"/>
      <c r="EP319" s="841"/>
      <c r="EQ319" s="841"/>
      <c r="ER319" s="841"/>
      <c r="ES319" s="841"/>
      <c r="ET319" s="841"/>
      <c r="EU319" s="841"/>
      <c r="EV319" s="841"/>
      <c r="EW319" s="841"/>
      <c r="EX319" s="841"/>
      <c r="EY319" s="841"/>
      <c r="EZ319" s="841"/>
      <c r="FA319" s="841"/>
      <c r="FB319" s="841"/>
      <c r="FC319" s="841"/>
      <c r="FD319" s="841"/>
      <c r="FE319" s="841"/>
      <c r="FF319" s="841"/>
      <c r="FG319" s="841"/>
      <c r="FH319" s="841"/>
      <c r="FI319" s="841"/>
      <c r="FJ319" s="841"/>
      <c r="FK319" s="841"/>
      <c r="FL319" s="841"/>
      <c r="FM319" s="841"/>
      <c r="FN319" s="841"/>
      <c r="FO319" s="841"/>
      <c r="FP319" s="841"/>
      <c r="FQ319" s="841"/>
      <c r="FR319" s="841"/>
      <c r="FS319" s="841"/>
      <c r="FT319" s="841"/>
      <c r="FU319" s="841"/>
      <c r="FV319" s="841"/>
      <c r="FW319" s="841"/>
      <c r="FX319" s="841"/>
      <c r="FY319" s="841"/>
      <c r="FZ319" s="841"/>
      <c r="GA319" s="841"/>
      <c r="GB319" s="841"/>
      <c r="GC319" s="841"/>
      <c r="GD319" s="841"/>
      <c r="GE319" s="841"/>
      <c r="GF319" s="841"/>
      <c r="GG319" s="841"/>
      <c r="GH319" s="841"/>
      <c r="GI319" s="841"/>
      <c r="GJ319" s="841"/>
      <c r="GK319" s="841"/>
      <c r="GL319" s="841"/>
      <c r="GM319" s="841"/>
      <c r="GN319" s="841"/>
      <c r="GO319" s="841"/>
      <c r="GP319" s="841"/>
      <c r="GQ319" s="841"/>
      <c r="GR319" s="841"/>
      <c r="GS319" s="841"/>
      <c r="GT319" s="841"/>
      <c r="GU319" s="841"/>
      <c r="GV319" s="841"/>
      <c r="GW319" s="841"/>
      <c r="GX319" s="841"/>
      <c r="GY319" s="841"/>
      <c r="GZ319" s="841"/>
      <c r="HA319" s="841"/>
      <c r="HB319" s="841"/>
      <c r="HC319" s="841"/>
      <c r="HD319" s="841"/>
      <c r="HE319" s="841"/>
      <c r="HF319" s="841"/>
      <c r="HG319" s="841"/>
      <c r="HH319" s="841"/>
      <c r="HI319" s="841"/>
      <c r="HJ319" s="841"/>
      <c r="HK319" s="841"/>
      <c r="HL319" s="841"/>
      <c r="HM319" s="841"/>
      <c r="HN319" s="841"/>
      <c r="HO319" s="841"/>
    </row>
    <row r="320" spans="1:223">
      <c r="A320" s="841"/>
      <c r="B320" s="841"/>
      <c r="C320" s="841"/>
      <c r="D320" s="841"/>
      <c r="E320" s="841"/>
      <c r="F320" s="841"/>
      <c r="G320" s="841"/>
      <c r="H320" s="841"/>
      <c r="I320" s="841"/>
      <c r="J320" s="841"/>
      <c r="K320" s="841"/>
      <c r="L320" s="841"/>
      <c r="M320" s="841"/>
      <c r="N320" s="841"/>
      <c r="O320" s="841"/>
      <c r="P320" s="841"/>
      <c r="Q320" s="841"/>
      <c r="R320" s="841"/>
      <c r="S320" s="841"/>
      <c r="T320" s="841"/>
      <c r="U320" s="841"/>
      <c r="V320" s="841"/>
      <c r="W320" s="841"/>
      <c r="X320" s="841"/>
      <c r="Y320" s="841"/>
      <c r="Z320" s="1226"/>
      <c r="AA320" s="1226"/>
      <c r="AB320" s="1226"/>
      <c r="AC320" s="1226"/>
      <c r="AD320" s="1226"/>
      <c r="AE320" s="1226"/>
      <c r="AF320" s="1226"/>
      <c r="AG320" s="1226"/>
      <c r="AH320" s="1226"/>
      <c r="AI320" s="841"/>
      <c r="AJ320" s="841"/>
      <c r="AK320" s="841"/>
      <c r="AL320" s="841"/>
      <c r="AM320" s="841"/>
      <c r="AN320" s="841"/>
      <c r="AO320" s="841"/>
      <c r="AP320" s="841"/>
      <c r="AQ320" s="841"/>
      <c r="AR320" s="841"/>
      <c r="AS320" s="842"/>
      <c r="DS320" s="841"/>
      <c r="DT320" s="841"/>
      <c r="DU320" s="841"/>
      <c r="DV320" s="841"/>
      <c r="DW320" s="841"/>
      <c r="DX320" s="841"/>
      <c r="DY320" s="841"/>
      <c r="DZ320" s="841"/>
      <c r="EA320" s="841"/>
      <c r="EB320" s="841"/>
      <c r="EC320" s="841"/>
      <c r="ED320" s="841"/>
      <c r="EE320" s="841"/>
      <c r="EF320" s="841"/>
      <c r="EG320" s="841"/>
      <c r="EH320" s="841"/>
      <c r="EI320" s="841"/>
      <c r="EJ320" s="841"/>
      <c r="EK320" s="841"/>
      <c r="EL320" s="841"/>
      <c r="EM320" s="841"/>
      <c r="EN320" s="841"/>
      <c r="EO320" s="841"/>
      <c r="EP320" s="841"/>
      <c r="EQ320" s="841"/>
      <c r="ER320" s="841"/>
      <c r="ES320" s="841"/>
      <c r="ET320" s="841"/>
      <c r="EU320" s="841"/>
      <c r="EV320" s="841"/>
      <c r="EW320" s="841"/>
      <c r="EX320" s="841"/>
      <c r="EY320" s="841"/>
      <c r="EZ320" s="841"/>
      <c r="FA320" s="841"/>
      <c r="FB320" s="841"/>
      <c r="FC320" s="841"/>
      <c r="FD320" s="841"/>
      <c r="FE320" s="841"/>
      <c r="FF320" s="841"/>
      <c r="FG320" s="841"/>
      <c r="FH320" s="841"/>
      <c r="FI320" s="841"/>
      <c r="FJ320" s="841"/>
      <c r="FK320" s="841"/>
      <c r="FL320" s="841"/>
      <c r="FM320" s="841"/>
      <c r="FN320" s="841"/>
      <c r="FO320" s="841"/>
      <c r="FP320" s="841"/>
      <c r="FQ320" s="841"/>
      <c r="FR320" s="841"/>
      <c r="FS320" s="841"/>
      <c r="FT320" s="841"/>
      <c r="FU320" s="841"/>
      <c r="FV320" s="841"/>
      <c r="FW320" s="841"/>
      <c r="FX320" s="841"/>
      <c r="FY320" s="841"/>
      <c r="FZ320" s="841"/>
      <c r="GA320" s="841"/>
      <c r="GB320" s="841"/>
      <c r="GC320" s="841"/>
      <c r="GD320" s="841"/>
      <c r="GE320" s="841"/>
      <c r="GF320" s="841"/>
      <c r="GG320" s="841"/>
      <c r="GH320" s="841"/>
      <c r="GI320" s="841"/>
      <c r="GJ320" s="841"/>
      <c r="GK320" s="841"/>
      <c r="GL320" s="841"/>
      <c r="GM320" s="841"/>
      <c r="GN320" s="841"/>
      <c r="GO320" s="841"/>
      <c r="GP320" s="841"/>
      <c r="GQ320" s="841"/>
      <c r="GR320" s="841"/>
      <c r="GS320" s="841"/>
      <c r="GT320" s="841"/>
      <c r="GU320" s="841"/>
      <c r="GV320" s="841"/>
      <c r="GW320" s="841"/>
      <c r="GX320" s="841"/>
      <c r="GY320" s="841"/>
      <c r="GZ320" s="841"/>
      <c r="HA320" s="841"/>
      <c r="HB320" s="841"/>
      <c r="HC320" s="841"/>
      <c r="HD320" s="841"/>
      <c r="HE320" s="841"/>
      <c r="HF320" s="841"/>
      <c r="HG320" s="841"/>
      <c r="HH320" s="841"/>
      <c r="HI320" s="841"/>
      <c r="HJ320" s="841"/>
      <c r="HK320" s="841"/>
      <c r="HL320" s="841"/>
      <c r="HM320" s="841"/>
      <c r="HN320" s="841"/>
      <c r="HO320" s="841"/>
    </row>
    <row r="321" spans="1:223">
      <c r="A321" s="841"/>
      <c r="B321" s="841"/>
      <c r="C321" s="841"/>
      <c r="D321" s="841"/>
      <c r="E321" s="841"/>
      <c r="F321" s="841"/>
      <c r="G321" s="841"/>
      <c r="H321" s="841"/>
      <c r="I321" s="841"/>
      <c r="J321" s="841"/>
      <c r="K321" s="841"/>
      <c r="L321" s="841"/>
      <c r="M321" s="841"/>
      <c r="N321" s="841"/>
      <c r="O321" s="841"/>
      <c r="P321" s="841"/>
      <c r="Q321" s="841"/>
      <c r="R321" s="841"/>
      <c r="S321" s="841"/>
      <c r="T321" s="841"/>
      <c r="U321" s="841"/>
      <c r="V321" s="841"/>
      <c r="W321" s="841"/>
      <c r="X321" s="841"/>
      <c r="Y321" s="841"/>
      <c r="Z321" s="1226"/>
      <c r="AA321" s="1226"/>
      <c r="AB321" s="1226"/>
      <c r="AC321" s="1226"/>
      <c r="AD321" s="1226"/>
      <c r="AE321" s="1226"/>
      <c r="AF321" s="1226"/>
      <c r="AG321" s="1226"/>
      <c r="AH321" s="1226"/>
      <c r="AI321" s="841"/>
      <c r="AJ321" s="841"/>
      <c r="AK321" s="841"/>
      <c r="AL321" s="841"/>
      <c r="AM321" s="841"/>
      <c r="AN321" s="841"/>
      <c r="AO321" s="841"/>
      <c r="AP321" s="841"/>
      <c r="AQ321" s="841"/>
      <c r="AR321" s="841"/>
      <c r="AS321" s="842"/>
      <c r="DS321" s="841"/>
      <c r="DT321" s="841"/>
      <c r="DU321" s="841"/>
      <c r="DV321" s="841"/>
      <c r="DW321" s="841"/>
      <c r="DX321" s="841"/>
      <c r="DY321" s="841"/>
      <c r="DZ321" s="841"/>
      <c r="EA321" s="841"/>
      <c r="EB321" s="841"/>
      <c r="EC321" s="841"/>
      <c r="ED321" s="841"/>
      <c r="EE321" s="841"/>
      <c r="EF321" s="841"/>
      <c r="EG321" s="841"/>
      <c r="EH321" s="841"/>
      <c r="EI321" s="841"/>
      <c r="EJ321" s="841"/>
      <c r="EK321" s="841"/>
      <c r="EL321" s="841"/>
      <c r="EM321" s="841"/>
      <c r="EN321" s="841"/>
      <c r="EO321" s="841"/>
      <c r="EP321" s="841"/>
      <c r="EQ321" s="841"/>
      <c r="ER321" s="841"/>
      <c r="ES321" s="841"/>
      <c r="ET321" s="841"/>
      <c r="EU321" s="841"/>
      <c r="EV321" s="841"/>
      <c r="EW321" s="841"/>
      <c r="EX321" s="841"/>
      <c r="EY321" s="841"/>
      <c r="EZ321" s="841"/>
      <c r="FA321" s="841"/>
      <c r="FB321" s="841"/>
      <c r="FC321" s="841"/>
      <c r="FD321" s="841"/>
      <c r="FE321" s="841"/>
      <c r="FF321" s="841"/>
      <c r="FG321" s="841"/>
      <c r="FH321" s="841"/>
      <c r="FI321" s="841"/>
      <c r="FJ321" s="841"/>
      <c r="FK321" s="841"/>
      <c r="FL321" s="841"/>
      <c r="FM321" s="841"/>
      <c r="FN321" s="841"/>
      <c r="FO321" s="841"/>
      <c r="FP321" s="841"/>
      <c r="FQ321" s="841"/>
      <c r="FR321" s="841"/>
      <c r="FS321" s="841"/>
      <c r="FT321" s="841"/>
      <c r="FU321" s="841"/>
      <c r="FV321" s="841"/>
      <c r="FW321" s="841"/>
      <c r="FX321" s="841"/>
      <c r="FY321" s="841"/>
      <c r="FZ321" s="841"/>
      <c r="GA321" s="841"/>
      <c r="GB321" s="841"/>
      <c r="GC321" s="841"/>
      <c r="GD321" s="841"/>
      <c r="GE321" s="841"/>
      <c r="GF321" s="841"/>
      <c r="GG321" s="841"/>
      <c r="GH321" s="841"/>
      <c r="GI321" s="841"/>
      <c r="GJ321" s="841"/>
      <c r="GK321" s="841"/>
      <c r="GL321" s="841"/>
      <c r="GM321" s="841"/>
      <c r="GN321" s="841"/>
      <c r="GO321" s="841"/>
      <c r="GP321" s="841"/>
      <c r="GQ321" s="841"/>
      <c r="GR321" s="841"/>
      <c r="GS321" s="841"/>
      <c r="GT321" s="841"/>
      <c r="GU321" s="841"/>
      <c r="GV321" s="841"/>
      <c r="GW321" s="841"/>
      <c r="GX321" s="841"/>
      <c r="GY321" s="841"/>
      <c r="GZ321" s="841"/>
      <c r="HA321" s="841"/>
      <c r="HB321" s="841"/>
      <c r="HC321" s="841"/>
      <c r="HD321" s="841"/>
      <c r="HE321" s="841"/>
      <c r="HF321" s="841"/>
      <c r="HG321" s="841"/>
      <c r="HH321" s="841"/>
      <c r="HI321" s="841"/>
      <c r="HJ321" s="841"/>
      <c r="HK321" s="841"/>
      <c r="HL321" s="841"/>
      <c r="HM321" s="841"/>
      <c r="HN321" s="841"/>
      <c r="HO321" s="841"/>
    </row>
    <row r="322" spans="1:223">
      <c r="A322" s="841"/>
      <c r="B322" s="841"/>
      <c r="C322" s="841"/>
      <c r="D322" s="841"/>
      <c r="E322" s="841"/>
      <c r="F322" s="841"/>
      <c r="G322" s="841"/>
      <c r="H322" s="841"/>
      <c r="I322" s="841"/>
      <c r="J322" s="841"/>
      <c r="K322" s="841"/>
      <c r="L322" s="841"/>
      <c r="M322" s="841"/>
      <c r="N322" s="841"/>
      <c r="O322" s="841"/>
      <c r="P322" s="841"/>
      <c r="Q322" s="841"/>
      <c r="R322" s="841"/>
      <c r="S322" s="841"/>
      <c r="T322" s="841"/>
      <c r="U322" s="841"/>
      <c r="V322" s="841"/>
      <c r="W322" s="841"/>
      <c r="X322" s="841"/>
      <c r="Y322" s="841"/>
      <c r="Z322" s="1226"/>
      <c r="AA322" s="1226"/>
      <c r="AB322" s="1226"/>
      <c r="AC322" s="1226"/>
      <c r="AD322" s="1226"/>
      <c r="AE322" s="1226"/>
      <c r="AF322" s="1226"/>
      <c r="AG322" s="1226"/>
      <c r="AH322" s="1226"/>
      <c r="AI322" s="841"/>
      <c r="AJ322" s="841"/>
      <c r="AK322" s="841"/>
      <c r="AL322" s="841"/>
      <c r="AM322" s="841"/>
      <c r="AN322" s="841"/>
      <c r="AO322" s="841"/>
      <c r="AP322" s="841"/>
      <c r="AQ322" s="841"/>
      <c r="AR322" s="841"/>
      <c r="AS322" s="842"/>
      <c r="DS322" s="841"/>
      <c r="DT322" s="841"/>
      <c r="DU322" s="841"/>
      <c r="DV322" s="841"/>
      <c r="DW322" s="841"/>
      <c r="DX322" s="841"/>
      <c r="DY322" s="841"/>
      <c r="DZ322" s="841"/>
      <c r="EA322" s="841"/>
      <c r="EB322" s="841"/>
      <c r="EC322" s="841"/>
      <c r="ED322" s="841"/>
      <c r="EE322" s="841"/>
      <c r="EF322" s="841"/>
      <c r="EG322" s="841"/>
      <c r="EH322" s="841"/>
      <c r="EI322" s="841"/>
      <c r="EJ322" s="841"/>
      <c r="EK322" s="841"/>
      <c r="EL322" s="841"/>
      <c r="EM322" s="841"/>
      <c r="EN322" s="841"/>
      <c r="EO322" s="841"/>
      <c r="EP322" s="841"/>
      <c r="EQ322" s="841"/>
      <c r="ER322" s="841"/>
      <c r="ES322" s="841"/>
      <c r="ET322" s="841"/>
      <c r="EU322" s="841"/>
      <c r="EV322" s="841"/>
      <c r="EW322" s="841"/>
      <c r="EX322" s="841"/>
      <c r="EY322" s="841"/>
      <c r="EZ322" s="841"/>
      <c r="FA322" s="841"/>
      <c r="FB322" s="841"/>
      <c r="FC322" s="841"/>
      <c r="FD322" s="841"/>
      <c r="FE322" s="841"/>
      <c r="FF322" s="841"/>
      <c r="FG322" s="841"/>
      <c r="FH322" s="841"/>
      <c r="FI322" s="841"/>
      <c r="FJ322" s="841"/>
      <c r="FK322" s="841"/>
      <c r="FL322" s="841"/>
      <c r="FM322" s="841"/>
      <c r="FN322" s="841"/>
      <c r="FO322" s="841"/>
      <c r="FP322" s="841"/>
      <c r="FQ322" s="841"/>
      <c r="FR322" s="841"/>
      <c r="FS322" s="841"/>
      <c r="FT322" s="841"/>
      <c r="FU322" s="841"/>
      <c r="FV322" s="841"/>
      <c r="FW322" s="841"/>
      <c r="FX322" s="841"/>
      <c r="FY322" s="841"/>
      <c r="FZ322" s="841"/>
      <c r="GA322" s="841"/>
      <c r="GB322" s="841"/>
      <c r="GC322" s="841"/>
      <c r="GD322" s="841"/>
      <c r="GE322" s="841"/>
      <c r="GF322" s="841"/>
      <c r="GG322" s="841"/>
      <c r="GH322" s="841"/>
      <c r="GI322" s="841"/>
      <c r="GJ322" s="841"/>
      <c r="GK322" s="841"/>
      <c r="GL322" s="841"/>
      <c r="GM322" s="841"/>
      <c r="GN322" s="841"/>
      <c r="GO322" s="841"/>
      <c r="GP322" s="841"/>
      <c r="GQ322" s="841"/>
      <c r="GR322" s="841"/>
      <c r="GS322" s="841"/>
      <c r="GT322" s="841"/>
      <c r="GU322" s="841"/>
      <c r="GV322" s="841"/>
      <c r="GW322" s="841"/>
      <c r="GX322" s="841"/>
      <c r="GY322" s="841"/>
      <c r="GZ322" s="841"/>
      <c r="HA322" s="841"/>
      <c r="HB322" s="841"/>
      <c r="HC322" s="841"/>
      <c r="HD322" s="841"/>
      <c r="HE322" s="841"/>
      <c r="HF322" s="841"/>
      <c r="HG322" s="841"/>
      <c r="HH322" s="841"/>
      <c r="HI322" s="841"/>
      <c r="HJ322" s="841"/>
      <c r="HK322" s="841"/>
      <c r="HL322" s="841"/>
      <c r="HM322" s="841"/>
      <c r="HN322" s="841"/>
      <c r="HO322" s="841"/>
    </row>
    <row r="323" spans="1:223">
      <c r="A323" s="841"/>
      <c r="B323" s="841"/>
      <c r="C323" s="841"/>
      <c r="D323" s="841"/>
      <c r="E323" s="841"/>
      <c r="F323" s="841"/>
      <c r="G323" s="841"/>
      <c r="H323" s="841"/>
      <c r="I323" s="841"/>
      <c r="J323" s="841"/>
      <c r="K323" s="841"/>
      <c r="L323" s="841"/>
      <c r="M323" s="841"/>
      <c r="N323" s="841"/>
      <c r="O323" s="841"/>
      <c r="P323" s="841"/>
      <c r="Q323" s="841"/>
      <c r="R323" s="841"/>
      <c r="S323" s="841"/>
      <c r="T323" s="841"/>
      <c r="U323" s="841"/>
      <c r="V323" s="841"/>
      <c r="W323" s="841"/>
      <c r="X323" s="841"/>
      <c r="Y323" s="841"/>
      <c r="Z323" s="1226"/>
      <c r="AA323" s="1226"/>
      <c r="AB323" s="1226"/>
      <c r="AC323" s="1226"/>
      <c r="AD323" s="1226"/>
      <c r="AE323" s="1226"/>
      <c r="AF323" s="1226"/>
      <c r="AG323" s="1226"/>
      <c r="AH323" s="1226"/>
      <c r="AI323" s="841"/>
      <c r="AJ323" s="841"/>
      <c r="AK323" s="841"/>
      <c r="AL323" s="841"/>
      <c r="AM323" s="841"/>
      <c r="AN323" s="841"/>
      <c r="AO323" s="841"/>
      <c r="AP323" s="841"/>
      <c r="AQ323" s="841"/>
      <c r="AR323" s="841"/>
      <c r="AS323" s="842"/>
    </row>
    <row r="324" spans="1:223">
      <c r="A324" s="841"/>
      <c r="B324" s="841"/>
      <c r="C324" s="841"/>
      <c r="D324" s="841"/>
      <c r="E324" s="841"/>
      <c r="F324" s="841"/>
      <c r="G324" s="841"/>
      <c r="H324" s="841"/>
      <c r="I324" s="841"/>
      <c r="J324" s="841"/>
      <c r="K324" s="841"/>
      <c r="L324" s="841"/>
      <c r="M324" s="841"/>
      <c r="N324" s="841"/>
      <c r="O324" s="841"/>
      <c r="P324" s="841"/>
      <c r="Q324" s="841"/>
      <c r="R324" s="841"/>
      <c r="S324" s="841"/>
      <c r="T324" s="841"/>
      <c r="U324" s="841"/>
      <c r="V324" s="841"/>
      <c r="W324" s="841"/>
      <c r="X324" s="841"/>
      <c r="Y324" s="841"/>
      <c r="Z324" s="1226"/>
      <c r="AA324" s="1226"/>
      <c r="AB324" s="1226"/>
      <c r="AC324" s="1226"/>
      <c r="AD324" s="1226"/>
      <c r="AE324" s="1226"/>
      <c r="AF324" s="1226"/>
      <c r="AG324" s="1226"/>
      <c r="AH324" s="1226"/>
      <c r="AI324" s="841"/>
      <c r="AJ324" s="841"/>
      <c r="AK324" s="841"/>
      <c r="AL324" s="841"/>
      <c r="AM324" s="841"/>
      <c r="AN324" s="841"/>
      <c r="AO324" s="841"/>
      <c r="AP324" s="841"/>
      <c r="AQ324" s="841"/>
      <c r="AR324" s="841"/>
      <c r="AS324" s="842"/>
    </row>
    <row r="325" spans="1:223">
      <c r="A325" s="841"/>
      <c r="B325" s="841"/>
      <c r="C325" s="841"/>
      <c r="D325" s="841"/>
      <c r="E325" s="841"/>
      <c r="F325" s="841"/>
      <c r="G325" s="841"/>
      <c r="H325" s="841"/>
      <c r="I325" s="841"/>
      <c r="J325" s="841"/>
      <c r="K325" s="841"/>
      <c r="L325" s="841"/>
      <c r="M325" s="841"/>
      <c r="N325" s="841"/>
      <c r="O325" s="841"/>
      <c r="P325" s="841"/>
      <c r="Q325" s="841"/>
      <c r="R325" s="841"/>
      <c r="S325" s="841"/>
      <c r="T325" s="841"/>
      <c r="U325" s="841"/>
      <c r="V325" s="841"/>
      <c r="W325" s="841"/>
      <c r="X325" s="841"/>
      <c r="Y325" s="841"/>
      <c r="Z325" s="1226"/>
      <c r="AA325" s="1226"/>
      <c r="AB325" s="1226"/>
      <c r="AC325" s="1226"/>
      <c r="AD325" s="1226"/>
      <c r="AE325" s="1226"/>
      <c r="AF325" s="1226"/>
      <c r="AG325" s="1226"/>
      <c r="AH325" s="1226"/>
      <c r="AI325" s="841"/>
      <c r="AJ325" s="841"/>
      <c r="AK325" s="841"/>
      <c r="AL325" s="841"/>
      <c r="AM325" s="841"/>
      <c r="AN325" s="841"/>
      <c r="AO325" s="841"/>
      <c r="AP325" s="841"/>
      <c r="AQ325" s="841"/>
      <c r="AR325" s="841"/>
      <c r="AS325" s="842"/>
    </row>
    <row r="326" spans="1:223">
      <c r="A326" s="841"/>
      <c r="B326" s="841"/>
      <c r="C326" s="841"/>
      <c r="D326" s="841"/>
      <c r="E326" s="841"/>
      <c r="F326" s="841"/>
      <c r="G326" s="841"/>
      <c r="H326" s="841"/>
      <c r="I326" s="841"/>
      <c r="J326" s="841"/>
      <c r="K326" s="841"/>
      <c r="L326" s="841"/>
      <c r="M326" s="841"/>
      <c r="N326" s="841"/>
      <c r="O326" s="841"/>
      <c r="P326" s="841"/>
      <c r="Q326" s="841"/>
      <c r="R326" s="841"/>
      <c r="S326" s="841"/>
      <c r="T326" s="841"/>
      <c r="U326" s="841"/>
      <c r="V326" s="841"/>
      <c r="W326" s="841"/>
      <c r="X326" s="841"/>
      <c r="Y326" s="841"/>
      <c r="Z326" s="1226"/>
      <c r="AA326" s="1226"/>
      <c r="AB326" s="1226"/>
      <c r="AC326" s="1226"/>
      <c r="AD326" s="1226"/>
      <c r="AE326" s="1226"/>
      <c r="AF326" s="1226"/>
      <c r="AG326" s="1226"/>
      <c r="AH326" s="1226"/>
      <c r="AI326" s="841"/>
      <c r="AJ326" s="841"/>
      <c r="AK326" s="841"/>
      <c r="AL326" s="841"/>
      <c r="AM326" s="841"/>
      <c r="AN326" s="841"/>
      <c r="AO326" s="841"/>
      <c r="AP326" s="841"/>
      <c r="AQ326" s="841"/>
      <c r="AR326" s="841"/>
      <c r="AS326" s="842"/>
    </row>
    <row r="327" spans="1:223">
      <c r="A327" s="841"/>
      <c r="B327" s="841"/>
      <c r="C327" s="841"/>
      <c r="D327" s="841"/>
      <c r="E327" s="841"/>
      <c r="F327" s="841"/>
      <c r="G327" s="841"/>
      <c r="H327" s="841"/>
      <c r="I327" s="841"/>
      <c r="J327" s="841"/>
      <c r="K327" s="841"/>
      <c r="L327" s="841"/>
      <c r="M327" s="841"/>
      <c r="N327" s="841"/>
      <c r="O327" s="841"/>
      <c r="P327" s="841"/>
      <c r="Q327" s="841"/>
      <c r="R327" s="841"/>
      <c r="S327" s="841"/>
      <c r="T327" s="841"/>
      <c r="U327" s="841"/>
      <c r="V327" s="841"/>
      <c r="W327" s="841"/>
      <c r="X327" s="841"/>
      <c r="Y327" s="841"/>
      <c r="Z327" s="1226"/>
      <c r="AA327" s="1226"/>
      <c r="AB327" s="1226"/>
      <c r="AC327" s="1226"/>
      <c r="AD327" s="1226"/>
      <c r="AE327" s="1226"/>
      <c r="AF327" s="1226"/>
      <c r="AG327" s="1226"/>
      <c r="AH327" s="1226"/>
      <c r="AI327" s="841"/>
      <c r="AJ327" s="841"/>
      <c r="AK327" s="841"/>
      <c r="AL327" s="841"/>
      <c r="AM327" s="841"/>
      <c r="AN327" s="841"/>
      <c r="AO327" s="841"/>
      <c r="AP327" s="841"/>
      <c r="AQ327" s="841"/>
      <c r="AR327" s="841"/>
      <c r="AS327" s="842"/>
    </row>
    <row r="328" spans="1:223">
      <c r="A328" s="841"/>
      <c r="B328" s="841"/>
      <c r="C328" s="841"/>
      <c r="D328" s="841"/>
      <c r="E328" s="841"/>
      <c r="F328" s="841"/>
      <c r="G328" s="841"/>
      <c r="H328" s="841"/>
      <c r="I328" s="841"/>
      <c r="J328" s="841"/>
      <c r="K328" s="841"/>
      <c r="L328" s="841"/>
      <c r="M328" s="841"/>
      <c r="N328" s="841"/>
      <c r="O328" s="841"/>
      <c r="P328" s="841"/>
      <c r="Q328" s="841"/>
      <c r="R328" s="841"/>
      <c r="S328" s="841"/>
      <c r="T328" s="841"/>
      <c r="U328" s="841"/>
      <c r="V328" s="841"/>
      <c r="W328" s="841"/>
      <c r="X328" s="841"/>
      <c r="Y328" s="841"/>
      <c r="Z328" s="1226"/>
      <c r="AA328" s="1226"/>
      <c r="AB328" s="1226"/>
      <c r="AC328" s="1226"/>
      <c r="AD328" s="1226"/>
      <c r="AE328" s="1226"/>
      <c r="AF328" s="1226"/>
      <c r="AG328" s="1226"/>
      <c r="AH328" s="1226"/>
      <c r="AI328" s="841"/>
      <c r="AJ328" s="841"/>
      <c r="AK328" s="841"/>
      <c r="AL328" s="841"/>
      <c r="AM328" s="841"/>
      <c r="AN328" s="841"/>
      <c r="AO328" s="841"/>
      <c r="AP328" s="841"/>
      <c r="AQ328" s="841"/>
      <c r="AR328" s="841"/>
      <c r="AS328" s="842"/>
    </row>
    <row r="329" spans="1:223">
      <c r="A329" s="841"/>
      <c r="B329" s="841"/>
      <c r="C329" s="841"/>
      <c r="D329" s="841"/>
      <c r="E329" s="841"/>
      <c r="F329" s="841"/>
      <c r="G329" s="841"/>
      <c r="H329" s="841"/>
      <c r="I329" s="841"/>
      <c r="J329" s="841"/>
      <c r="K329" s="841"/>
      <c r="L329" s="841"/>
      <c r="M329" s="841"/>
      <c r="N329" s="841"/>
      <c r="O329" s="841"/>
      <c r="P329" s="841"/>
      <c r="Q329" s="841"/>
      <c r="R329" s="841"/>
      <c r="S329" s="841"/>
      <c r="T329" s="841"/>
      <c r="U329" s="841"/>
      <c r="V329" s="841"/>
      <c r="W329" s="841"/>
      <c r="X329" s="841"/>
      <c r="Y329" s="841"/>
      <c r="Z329" s="1226"/>
      <c r="AA329" s="1226"/>
      <c r="AB329" s="1226"/>
      <c r="AC329" s="1226"/>
      <c r="AD329" s="1226"/>
      <c r="AE329" s="1226"/>
      <c r="AF329" s="1226"/>
      <c r="AG329" s="1226"/>
      <c r="AH329" s="1226"/>
      <c r="AI329" s="841"/>
      <c r="AJ329" s="841"/>
      <c r="AK329" s="841"/>
      <c r="AL329" s="841"/>
      <c r="AM329" s="841"/>
      <c r="AN329" s="841"/>
      <c r="AO329" s="841"/>
      <c r="AP329" s="841"/>
      <c r="AQ329" s="841"/>
      <c r="AR329" s="841"/>
      <c r="AS329" s="842"/>
    </row>
    <row r="330" spans="1:223">
      <c r="A330" s="841"/>
      <c r="B330" s="841"/>
      <c r="C330" s="841"/>
      <c r="D330" s="841"/>
      <c r="E330" s="841"/>
      <c r="F330" s="841"/>
      <c r="G330" s="841"/>
      <c r="H330" s="841"/>
      <c r="I330" s="841"/>
      <c r="J330" s="841"/>
      <c r="K330" s="841"/>
      <c r="L330" s="841"/>
      <c r="M330" s="841"/>
      <c r="N330" s="841"/>
      <c r="O330" s="841"/>
      <c r="P330" s="841"/>
      <c r="Q330" s="841"/>
      <c r="R330" s="841"/>
      <c r="S330" s="841"/>
      <c r="T330" s="841"/>
      <c r="U330" s="841"/>
      <c r="V330" s="841"/>
      <c r="W330" s="841"/>
      <c r="X330" s="841"/>
      <c r="Y330" s="841"/>
      <c r="Z330" s="1226"/>
      <c r="AA330" s="1226"/>
      <c r="AB330" s="1226"/>
      <c r="AC330" s="1226"/>
      <c r="AD330" s="1226"/>
      <c r="AE330" s="1226"/>
      <c r="AF330" s="1226"/>
      <c r="AG330" s="1226"/>
      <c r="AH330" s="1226"/>
      <c r="AI330" s="841"/>
      <c r="AJ330" s="841"/>
      <c r="AK330" s="841"/>
      <c r="AL330" s="841"/>
      <c r="AM330" s="841"/>
      <c r="AN330" s="841"/>
      <c r="AO330" s="841"/>
      <c r="AP330" s="841"/>
      <c r="AQ330" s="841"/>
      <c r="AR330" s="841"/>
      <c r="AS330" s="842"/>
    </row>
    <row r="331" spans="1:223">
      <c r="A331" s="841"/>
      <c r="B331" s="841"/>
      <c r="C331" s="841"/>
      <c r="D331" s="841"/>
      <c r="E331" s="841"/>
      <c r="F331" s="841"/>
      <c r="G331" s="841"/>
      <c r="H331" s="841"/>
      <c r="I331" s="841"/>
      <c r="J331" s="841"/>
      <c r="K331" s="841"/>
      <c r="L331" s="841"/>
      <c r="M331" s="841"/>
      <c r="N331" s="841"/>
      <c r="O331" s="841"/>
      <c r="P331" s="841"/>
      <c r="Q331" s="841"/>
      <c r="R331" s="841"/>
      <c r="S331" s="841"/>
      <c r="T331" s="841"/>
      <c r="U331" s="841"/>
      <c r="V331" s="841"/>
      <c r="W331" s="841"/>
      <c r="X331" s="841"/>
      <c r="Y331" s="841"/>
      <c r="Z331" s="1226"/>
      <c r="AA331" s="1226"/>
      <c r="AB331" s="1226"/>
      <c r="AC331" s="1226"/>
      <c r="AD331" s="1226"/>
      <c r="AE331" s="1226"/>
      <c r="AF331" s="1226"/>
      <c r="AG331" s="1226"/>
      <c r="AH331" s="1226"/>
      <c r="AI331" s="841"/>
      <c r="AJ331" s="841"/>
      <c r="AK331" s="841"/>
      <c r="AL331" s="841"/>
      <c r="AM331" s="841"/>
      <c r="AN331" s="841"/>
      <c r="AO331" s="841"/>
      <c r="AP331" s="841"/>
      <c r="AQ331" s="841"/>
      <c r="AR331" s="841"/>
      <c r="AS331" s="842"/>
    </row>
    <row r="332" spans="1:223">
      <c r="A332" s="841"/>
      <c r="B332" s="841"/>
      <c r="C332" s="841"/>
      <c r="D332" s="841"/>
      <c r="E332" s="841"/>
      <c r="F332" s="841"/>
      <c r="G332" s="841"/>
      <c r="H332" s="841"/>
      <c r="I332" s="841"/>
      <c r="J332" s="841"/>
      <c r="K332" s="841"/>
      <c r="L332" s="841"/>
      <c r="M332" s="841"/>
      <c r="N332" s="841"/>
      <c r="O332" s="841"/>
      <c r="P332" s="841"/>
      <c r="Q332" s="841"/>
      <c r="R332" s="841"/>
      <c r="S332" s="841"/>
      <c r="T332" s="841"/>
      <c r="U332" s="841"/>
      <c r="V332" s="841"/>
      <c r="W332" s="841"/>
      <c r="X332" s="841"/>
      <c r="Y332" s="841"/>
      <c r="Z332" s="1226"/>
      <c r="AA332" s="1226"/>
      <c r="AB332" s="1226"/>
      <c r="AC332" s="1226"/>
      <c r="AD332" s="1226"/>
      <c r="AE332" s="1226"/>
      <c r="AF332" s="1226"/>
      <c r="AG332" s="1226"/>
      <c r="AH332" s="1226"/>
      <c r="AI332" s="841"/>
      <c r="AJ332" s="841"/>
      <c r="AK332" s="841"/>
      <c r="AL332" s="841"/>
      <c r="AM332" s="841"/>
      <c r="AN332" s="841"/>
      <c r="AO332" s="841"/>
      <c r="AP332" s="841"/>
      <c r="AQ332" s="841"/>
      <c r="AR332" s="841"/>
      <c r="AS332" s="842"/>
    </row>
    <row r="333" spans="1:223">
      <c r="A333" s="841"/>
      <c r="B333" s="841"/>
      <c r="C333" s="841"/>
      <c r="D333" s="841"/>
      <c r="E333" s="841"/>
      <c r="F333" s="841"/>
      <c r="G333" s="841"/>
      <c r="H333" s="841"/>
      <c r="I333" s="841"/>
      <c r="J333" s="841"/>
      <c r="K333" s="841"/>
      <c r="L333" s="841"/>
      <c r="M333" s="841"/>
      <c r="N333" s="841"/>
      <c r="O333" s="841"/>
      <c r="P333" s="841"/>
      <c r="Q333" s="841"/>
      <c r="R333" s="841"/>
      <c r="S333" s="841"/>
      <c r="T333" s="841"/>
      <c r="U333" s="841"/>
      <c r="V333" s="841"/>
      <c r="W333" s="841"/>
      <c r="X333" s="841"/>
      <c r="Y333" s="841"/>
      <c r="Z333" s="1226"/>
      <c r="AA333" s="1226"/>
      <c r="AB333" s="1226"/>
      <c r="AC333" s="1226"/>
      <c r="AD333" s="1226"/>
      <c r="AE333" s="1226"/>
      <c r="AF333" s="1226"/>
      <c r="AG333" s="1226"/>
      <c r="AH333" s="1226"/>
      <c r="AI333" s="841"/>
      <c r="AJ333" s="841"/>
      <c r="AK333" s="841"/>
      <c r="AL333" s="841"/>
      <c r="AM333" s="841"/>
      <c r="AN333" s="841"/>
      <c r="AO333" s="841"/>
      <c r="AP333" s="841"/>
      <c r="AQ333" s="841"/>
      <c r="AR333" s="841"/>
      <c r="AS333" s="842"/>
    </row>
    <row r="334" spans="1:223">
      <c r="A334" s="841"/>
      <c r="B334" s="841"/>
      <c r="C334" s="841"/>
      <c r="D334" s="841"/>
      <c r="E334" s="841"/>
      <c r="F334" s="841"/>
      <c r="G334" s="841"/>
      <c r="H334" s="841"/>
      <c r="I334" s="841"/>
      <c r="J334" s="841"/>
      <c r="K334" s="841"/>
      <c r="L334" s="841"/>
      <c r="M334" s="841"/>
      <c r="N334" s="841"/>
      <c r="O334" s="841"/>
      <c r="P334" s="841"/>
      <c r="Q334" s="841"/>
      <c r="R334" s="841"/>
      <c r="S334" s="841"/>
      <c r="T334" s="841"/>
      <c r="U334" s="841"/>
      <c r="V334" s="841"/>
      <c r="W334" s="841"/>
      <c r="X334" s="841"/>
      <c r="Y334" s="841"/>
      <c r="Z334" s="1226"/>
      <c r="AA334" s="1226"/>
      <c r="AB334" s="1226"/>
      <c r="AC334" s="1226"/>
      <c r="AD334" s="1226"/>
      <c r="AE334" s="1226"/>
      <c r="AF334" s="1226"/>
      <c r="AG334" s="1226"/>
      <c r="AH334" s="1226"/>
      <c r="AI334" s="841"/>
      <c r="AJ334" s="841"/>
      <c r="AK334" s="841"/>
      <c r="AL334" s="841"/>
      <c r="AM334" s="841"/>
      <c r="AN334" s="841"/>
      <c r="AO334" s="841"/>
      <c r="AP334" s="841"/>
      <c r="AQ334" s="841"/>
      <c r="AR334" s="841"/>
      <c r="AS334" s="842"/>
    </row>
    <row r="335" spans="1:223">
      <c r="A335" s="841"/>
      <c r="B335" s="841"/>
      <c r="C335" s="841"/>
      <c r="D335" s="841"/>
      <c r="E335" s="841"/>
      <c r="F335" s="841"/>
      <c r="G335" s="841"/>
      <c r="H335" s="841"/>
      <c r="I335" s="841"/>
      <c r="J335" s="841"/>
      <c r="K335" s="841"/>
      <c r="L335" s="841"/>
      <c r="M335" s="841"/>
      <c r="N335" s="841"/>
      <c r="O335" s="841"/>
      <c r="P335" s="841"/>
      <c r="Q335" s="841"/>
      <c r="R335" s="841"/>
      <c r="S335" s="841"/>
      <c r="T335" s="841"/>
      <c r="U335" s="841"/>
      <c r="V335" s="841"/>
      <c r="W335" s="841"/>
      <c r="X335" s="841"/>
      <c r="Y335" s="841"/>
      <c r="Z335" s="1226"/>
      <c r="AA335" s="1226"/>
      <c r="AB335" s="1226"/>
      <c r="AC335" s="1226"/>
      <c r="AD335" s="1226"/>
      <c r="AE335" s="1226"/>
      <c r="AF335" s="1226"/>
      <c r="AG335" s="1226"/>
      <c r="AH335" s="1226"/>
      <c r="AI335" s="841"/>
      <c r="AJ335" s="841"/>
      <c r="AK335" s="841"/>
      <c r="AL335" s="841"/>
      <c r="AM335" s="841"/>
      <c r="AN335" s="841"/>
      <c r="AO335" s="841"/>
      <c r="AP335" s="841"/>
      <c r="AQ335" s="841"/>
      <c r="AR335" s="841"/>
      <c r="AS335" s="842"/>
    </row>
    <row r="336" spans="1:223">
      <c r="A336" s="841"/>
      <c r="B336" s="841"/>
      <c r="C336" s="841"/>
      <c r="D336" s="841"/>
      <c r="E336" s="841"/>
      <c r="F336" s="841"/>
      <c r="G336" s="841"/>
      <c r="H336" s="841"/>
      <c r="I336" s="841"/>
      <c r="J336" s="841"/>
      <c r="K336" s="841"/>
      <c r="L336" s="841"/>
      <c r="M336" s="841"/>
      <c r="N336" s="841"/>
      <c r="O336" s="841"/>
      <c r="P336" s="841"/>
      <c r="Q336" s="841"/>
      <c r="R336" s="841"/>
      <c r="S336" s="841"/>
      <c r="T336" s="841"/>
      <c r="U336" s="841"/>
      <c r="V336" s="841"/>
      <c r="W336" s="841"/>
      <c r="X336" s="841"/>
      <c r="Y336" s="841"/>
      <c r="Z336" s="1226"/>
      <c r="AA336" s="1226"/>
      <c r="AB336" s="1226"/>
      <c r="AC336" s="1226"/>
      <c r="AD336" s="1226"/>
      <c r="AE336" s="1226"/>
      <c r="AF336" s="1226"/>
      <c r="AG336" s="1226"/>
      <c r="AH336" s="1226"/>
      <c r="AI336" s="841"/>
      <c r="AJ336" s="841"/>
      <c r="AK336" s="841"/>
      <c r="AL336" s="841"/>
      <c r="AM336" s="841"/>
      <c r="AN336" s="841"/>
      <c r="AO336" s="841"/>
      <c r="AP336" s="841"/>
      <c r="AQ336" s="841"/>
      <c r="AR336" s="841"/>
      <c r="AS336" s="842"/>
    </row>
    <row r="337" spans="1:45">
      <c r="A337" s="841"/>
      <c r="B337" s="841"/>
      <c r="C337" s="841"/>
      <c r="D337" s="841"/>
      <c r="E337" s="841"/>
      <c r="F337" s="841"/>
      <c r="G337" s="841"/>
      <c r="H337" s="841"/>
      <c r="I337" s="841"/>
      <c r="J337" s="841"/>
      <c r="K337" s="841"/>
      <c r="L337" s="841"/>
      <c r="M337" s="841"/>
      <c r="N337" s="841"/>
      <c r="O337" s="841"/>
      <c r="P337" s="841"/>
      <c r="Q337" s="841"/>
      <c r="R337" s="841"/>
      <c r="S337" s="841"/>
      <c r="T337" s="841"/>
      <c r="U337" s="841"/>
      <c r="V337" s="841"/>
      <c r="W337" s="841"/>
      <c r="X337" s="841"/>
      <c r="Y337" s="841"/>
      <c r="Z337" s="1226"/>
      <c r="AA337" s="1226"/>
      <c r="AB337" s="1226"/>
      <c r="AC337" s="1226"/>
      <c r="AD337" s="1226"/>
      <c r="AE337" s="1226"/>
      <c r="AF337" s="1226"/>
      <c r="AG337" s="1226"/>
      <c r="AH337" s="1226"/>
      <c r="AI337" s="841"/>
      <c r="AJ337" s="841"/>
      <c r="AK337" s="841"/>
      <c r="AL337" s="841"/>
      <c r="AM337" s="841"/>
      <c r="AN337" s="841"/>
      <c r="AO337" s="841"/>
      <c r="AP337" s="841"/>
      <c r="AQ337" s="841"/>
      <c r="AR337" s="841"/>
      <c r="AS337" s="842"/>
    </row>
    <row r="338" spans="1:45">
      <c r="A338" s="841"/>
      <c r="B338" s="841"/>
      <c r="C338" s="841"/>
      <c r="D338" s="841"/>
      <c r="E338" s="841"/>
      <c r="F338" s="841"/>
      <c r="G338" s="841"/>
      <c r="H338" s="841"/>
      <c r="I338" s="841"/>
      <c r="J338" s="841"/>
      <c r="K338" s="841"/>
      <c r="L338" s="841"/>
      <c r="M338" s="841"/>
      <c r="N338" s="841"/>
      <c r="O338" s="841"/>
      <c r="P338" s="841"/>
      <c r="Q338" s="841"/>
      <c r="R338" s="841"/>
      <c r="S338" s="841"/>
      <c r="T338" s="841"/>
      <c r="U338" s="841"/>
      <c r="V338" s="841"/>
      <c r="W338" s="841"/>
      <c r="X338" s="841"/>
      <c r="Y338" s="841"/>
      <c r="Z338" s="1226"/>
      <c r="AA338" s="1226"/>
      <c r="AB338" s="1226"/>
      <c r="AC338" s="1226"/>
      <c r="AD338" s="1226"/>
      <c r="AE338" s="1226"/>
      <c r="AF338" s="1226"/>
      <c r="AG338" s="1226"/>
      <c r="AH338" s="1226"/>
      <c r="AI338" s="841"/>
      <c r="AJ338" s="841"/>
      <c r="AK338" s="841"/>
      <c r="AL338" s="841"/>
      <c r="AM338" s="841"/>
      <c r="AN338" s="841"/>
      <c r="AO338" s="841"/>
      <c r="AP338" s="841"/>
      <c r="AQ338" s="841"/>
      <c r="AR338" s="841"/>
      <c r="AS338" s="842"/>
    </row>
    <row r="339" spans="1:45">
      <c r="A339" s="841"/>
      <c r="B339" s="841"/>
      <c r="C339" s="841"/>
      <c r="D339" s="841"/>
      <c r="E339" s="841"/>
      <c r="F339" s="841"/>
      <c r="G339" s="841"/>
      <c r="H339" s="841"/>
      <c r="I339" s="841"/>
      <c r="J339" s="841"/>
      <c r="K339" s="841"/>
      <c r="L339" s="841"/>
      <c r="M339" s="841"/>
      <c r="N339" s="841"/>
      <c r="O339" s="841"/>
      <c r="P339" s="841"/>
      <c r="Q339" s="841"/>
      <c r="R339" s="841"/>
      <c r="S339" s="841"/>
      <c r="T339" s="841"/>
      <c r="U339" s="841"/>
      <c r="V339" s="841"/>
      <c r="W339" s="841"/>
      <c r="X339" s="841"/>
      <c r="Y339" s="841"/>
      <c r="Z339" s="1226"/>
      <c r="AA339" s="1226"/>
      <c r="AB339" s="1226"/>
      <c r="AC339" s="1226"/>
      <c r="AD339" s="1226"/>
      <c r="AE339" s="1226"/>
      <c r="AF339" s="1226"/>
      <c r="AG339" s="1226"/>
      <c r="AH339" s="1226"/>
      <c r="AI339" s="841"/>
      <c r="AJ339" s="841"/>
      <c r="AK339" s="841"/>
      <c r="AL339" s="841"/>
      <c r="AM339" s="841"/>
      <c r="AN339" s="841"/>
      <c r="AO339" s="841"/>
      <c r="AP339" s="841"/>
      <c r="AQ339" s="841"/>
      <c r="AR339" s="841"/>
      <c r="AS339" s="842"/>
    </row>
    <row r="340" spans="1:45">
      <c r="A340" s="841"/>
      <c r="B340" s="841"/>
      <c r="C340" s="841"/>
      <c r="D340" s="841"/>
      <c r="E340" s="841"/>
      <c r="F340" s="841"/>
      <c r="G340" s="841"/>
      <c r="H340" s="841"/>
      <c r="I340" s="841"/>
      <c r="J340" s="841"/>
      <c r="K340" s="841"/>
      <c r="L340" s="841"/>
      <c r="M340" s="841"/>
      <c r="N340" s="841"/>
      <c r="O340" s="841"/>
      <c r="P340" s="841"/>
      <c r="Q340" s="841"/>
      <c r="R340" s="841"/>
      <c r="S340" s="841"/>
      <c r="T340" s="841"/>
      <c r="U340" s="841"/>
      <c r="V340" s="841"/>
      <c r="W340" s="841"/>
      <c r="X340" s="841"/>
      <c r="Y340" s="841"/>
      <c r="Z340" s="1226"/>
      <c r="AA340" s="1226"/>
      <c r="AB340" s="1226"/>
      <c r="AC340" s="1226"/>
      <c r="AD340" s="1226"/>
      <c r="AE340" s="1226"/>
      <c r="AF340" s="1226"/>
      <c r="AG340" s="1226"/>
      <c r="AH340" s="1226"/>
      <c r="AI340" s="841"/>
      <c r="AJ340" s="841"/>
      <c r="AK340" s="841"/>
      <c r="AL340" s="841"/>
      <c r="AM340" s="841"/>
      <c r="AN340" s="841"/>
      <c r="AO340" s="841"/>
      <c r="AP340" s="841"/>
      <c r="AQ340" s="841"/>
      <c r="AR340" s="841"/>
      <c r="AS340" s="842"/>
    </row>
    <row r="341" spans="1:45">
      <c r="A341" s="841"/>
      <c r="B341" s="841"/>
      <c r="C341" s="841"/>
      <c r="D341" s="841"/>
      <c r="E341" s="841"/>
      <c r="F341" s="841"/>
      <c r="G341" s="841"/>
      <c r="H341" s="841"/>
      <c r="I341" s="841"/>
      <c r="J341" s="841"/>
      <c r="K341" s="841"/>
      <c r="L341" s="841"/>
      <c r="M341" s="841"/>
      <c r="N341" s="841"/>
      <c r="O341" s="841"/>
      <c r="P341" s="841"/>
      <c r="Q341" s="841"/>
      <c r="R341" s="841"/>
      <c r="S341" s="841"/>
      <c r="T341" s="841"/>
      <c r="U341" s="841"/>
      <c r="V341" s="841"/>
      <c r="W341" s="841"/>
      <c r="X341" s="841"/>
      <c r="Y341" s="841"/>
      <c r="Z341" s="1226"/>
      <c r="AA341" s="1226"/>
      <c r="AB341" s="1226"/>
      <c r="AC341" s="1226"/>
      <c r="AD341" s="1226"/>
      <c r="AE341" s="1226"/>
      <c r="AF341" s="1226"/>
      <c r="AG341" s="1226"/>
      <c r="AH341" s="1226"/>
      <c r="AI341" s="841"/>
      <c r="AJ341" s="841"/>
      <c r="AK341" s="841"/>
      <c r="AL341" s="841"/>
      <c r="AM341" s="841"/>
      <c r="AN341" s="841"/>
      <c r="AO341" s="841"/>
      <c r="AP341" s="841"/>
      <c r="AQ341" s="841"/>
      <c r="AR341" s="841"/>
      <c r="AS341" s="842"/>
    </row>
    <row r="342" spans="1:45">
      <c r="A342" s="841"/>
      <c r="B342" s="841"/>
      <c r="C342" s="841"/>
      <c r="D342" s="841"/>
      <c r="E342" s="841"/>
      <c r="F342" s="841"/>
      <c r="G342" s="841"/>
      <c r="H342" s="841"/>
      <c r="I342" s="841"/>
      <c r="J342" s="841"/>
      <c r="K342" s="841"/>
      <c r="L342" s="841"/>
      <c r="M342" s="841"/>
      <c r="N342" s="841"/>
      <c r="O342" s="841"/>
      <c r="P342" s="841"/>
      <c r="Q342" s="841"/>
      <c r="R342" s="841"/>
      <c r="S342" s="841"/>
      <c r="T342" s="841"/>
      <c r="U342" s="841"/>
      <c r="V342" s="841"/>
      <c r="W342" s="841"/>
      <c r="X342" s="841"/>
      <c r="Y342" s="841"/>
      <c r="Z342" s="1226"/>
      <c r="AA342" s="1226"/>
      <c r="AB342" s="1226"/>
      <c r="AC342" s="1226"/>
      <c r="AD342" s="1226"/>
      <c r="AE342" s="1226"/>
      <c r="AF342" s="1226"/>
      <c r="AG342" s="1226"/>
      <c r="AH342" s="1226"/>
      <c r="AI342" s="841"/>
      <c r="AJ342" s="841"/>
      <c r="AK342" s="841"/>
      <c r="AL342" s="841"/>
      <c r="AM342" s="841"/>
      <c r="AN342" s="841"/>
      <c r="AO342" s="841"/>
      <c r="AP342" s="841"/>
      <c r="AQ342" s="841"/>
      <c r="AR342" s="841"/>
      <c r="AS342" s="842"/>
    </row>
    <row r="343" spans="1:45">
      <c r="A343" s="841"/>
      <c r="B343" s="841"/>
      <c r="C343" s="841"/>
      <c r="D343" s="841"/>
      <c r="E343" s="841"/>
      <c r="F343" s="841"/>
      <c r="G343" s="841"/>
      <c r="H343" s="841"/>
      <c r="I343" s="841"/>
      <c r="J343" s="841"/>
      <c r="K343" s="841"/>
      <c r="L343" s="841"/>
      <c r="M343" s="841"/>
      <c r="N343" s="841"/>
      <c r="O343" s="841"/>
      <c r="P343" s="841"/>
      <c r="Q343" s="841"/>
      <c r="R343" s="841"/>
      <c r="S343" s="841"/>
      <c r="T343" s="841"/>
      <c r="U343" s="841"/>
      <c r="V343" s="841"/>
      <c r="W343" s="841"/>
      <c r="X343" s="841"/>
      <c r="Y343" s="841"/>
      <c r="Z343" s="1226"/>
      <c r="AA343" s="1226"/>
      <c r="AB343" s="1226"/>
      <c r="AC343" s="1226"/>
      <c r="AD343" s="1226"/>
      <c r="AE343" s="1226"/>
      <c r="AF343" s="1226"/>
      <c r="AG343" s="1226"/>
      <c r="AH343" s="1226"/>
      <c r="AI343" s="841"/>
      <c r="AJ343" s="841"/>
      <c r="AK343" s="841"/>
      <c r="AL343" s="841"/>
      <c r="AM343" s="841"/>
      <c r="AN343" s="841"/>
      <c r="AO343" s="841"/>
      <c r="AP343" s="841"/>
      <c r="AQ343" s="841"/>
      <c r="AR343" s="841"/>
      <c r="AS343" s="842"/>
    </row>
    <row r="344" spans="1:45">
      <c r="A344" s="841"/>
      <c r="B344" s="841"/>
      <c r="C344" s="841"/>
      <c r="D344" s="841"/>
      <c r="E344" s="841"/>
      <c r="F344" s="841"/>
      <c r="G344" s="841"/>
      <c r="H344" s="841"/>
      <c r="I344" s="841"/>
      <c r="J344" s="841"/>
      <c r="K344" s="841"/>
      <c r="L344" s="841"/>
      <c r="M344" s="841"/>
      <c r="N344" s="841"/>
      <c r="O344" s="841"/>
      <c r="P344" s="841"/>
      <c r="Q344" s="841"/>
      <c r="R344" s="841"/>
      <c r="S344" s="841"/>
      <c r="T344" s="841"/>
      <c r="U344" s="841"/>
      <c r="V344" s="841"/>
      <c r="W344" s="841"/>
      <c r="X344" s="841"/>
      <c r="Y344" s="841"/>
      <c r="Z344" s="1226"/>
      <c r="AA344" s="1226"/>
      <c r="AB344" s="1226"/>
      <c r="AC344" s="1226"/>
      <c r="AD344" s="1226"/>
      <c r="AE344" s="1226"/>
      <c r="AF344" s="1226"/>
      <c r="AG344" s="1226"/>
      <c r="AH344" s="1226"/>
      <c r="AI344" s="841"/>
      <c r="AJ344" s="841"/>
      <c r="AK344" s="841"/>
      <c r="AL344" s="841"/>
      <c r="AM344" s="841"/>
      <c r="AN344" s="841"/>
      <c r="AO344" s="841"/>
      <c r="AP344" s="841"/>
      <c r="AQ344" s="841"/>
      <c r="AR344" s="841"/>
      <c r="AS344" s="842"/>
    </row>
    <row r="345" spans="1:45">
      <c r="A345" s="841"/>
      <c r="B345" s="841"/>
      <c r="C345" s="841"/>
      <c r="D345" s="841"/>
      <c r="E345" s="841"/>
      <c r="F345" s="841"/>
      <c r="G345" s="841"/>
      <c r="H345" s="841"/>
      <c r="I345" s="841"/>
      <c r="J345" s="841"/>
      <c r="K345" s="841"/>
      <c r="L345" s="841"/>
      <c r="M345" s="841"/>
      <c r="N345" s="841"/>
      <c r="O345" s="841"/>
      <c r="P345" s="841"/>
      <c r="Q345" s="841"/>
      <c r="R345" s="841"/>
      <c r="S345" s="841"/>
      <c r="T345" s="841"/>
      <c r="U345" s="841"/>
      <c r="V345" s="841"/>
      <c r="W345" s="841"/>
      <c r="X345" s="841"/>
      <c r="Y345" s="841"/>
      <c r="Z345" s="1226"/>
      <c r="AA345" s="1226"/>
      <c r="AB345" s="1226"/>
      <c r="AC345" s="1226"/>
      <c r="AD345" s="1226"/>
      <c r="AE345" s="1226"/>
      <c r="AF345" s="1226"/>
      <c r="AG345" s="1226"/>
      <c r="AH345" s="1226"/>
      <c r="AI345" s="841"/>
      <c r="AJ345" s="841"/>
      <c r="AK345" s="841"/>
      <c r="AL345" s="841"/>
      <c r="AM345" s="841"/>
      <c r="AN345" s="841"/>
      <c r="AO345" s="841"/>
      <c r="AP345" s="841"/>
      <c r="AQ345" s="841"/>
      <c r="AR345" s="841"/>
      <c r="AS345" s="842"/>
    </row>
    <row r="346" spans="1:45">
      <c r="A346" s="841"/>
      <c r="B346" s="841"/>
      <c r="C346" s="841"/>
      <c r="D346" s="841"/>
      <c r="E346" s="841"/>
      <c r="F346" s="841"/>
      <c r="G346" s="841"/>
      <c r="H346" s="841"/>
      <c r="I346" s="841"/>
      <c r="J346" s="841"/>
      <c r="K346" s="841"/>
      <c r="L346" s="841"/>
      <c r="M346" s="841"/>
      <c r="N346" s="841"/>
      <c r="O346" s="841"/>
      <c r="P346" s="841"/>
      <c r="Q346" s="841"/>
      <c r="R346" s="841"/>
      <c r="S346" s="841"/>
      <c r="T346" s="841"/>
      <c r="U346" s="841"/>
      <c r="V346" s="841"/>
      <c r="W346" s="841"/>
      <c r="X346" s="841"/>
      <c r="Y346" s="841"/>
      <c r="Z346" s="1226"/>
      <c r="AA346" s="1226"/>
      <c r="AB346" s="1226"/>
      <c r="AC346" s="1226"/>
      <c r="AD346" s="1226"/>
      <c r="AE346" s="1226"/>
      <c r="AF346" s="1226"/>
      <c r="AG346" s="1226"/>
      <c r="AH346" s="1226"/>
      <c r="AI346" s="841"/>
      <c r="AJ346" s="841"/>
      <c r="AK346" s="841"/>
      <c r="AL346" s="841"/>
      <c r="AM346" s="841"/>
      <c r="AN346" s="841"/>
      <c r="AO346" s="841"/>
      <c r="AP346" s="841"/>
      <c r="AQ346" s="841"/>
      <c r="AR346" s="841"/>
      <c r="AS346" s="842"/>
    </row>
    <row r="347" spans="1:45">
      <c r="A347" s="841"/>
      <c r="B347" s="841"/>
      <c r="C347" s="841"/>
      <c r="D347" s="841"/>
      <c r="E347" s="841"/>
      <c r="F347" s="841"/>
      <c r="G347" s="841"/>
      <c r="H347" s="841"/>
      <c r="I347" s="841"/>
      <c r="J347" s="841"/>
      <c r="K347" s="841"/>
      <c r="L347" s="841"/>
      <c r="M347" s="841"/>
      <c r="N347" s="841"/>
      <c r="O347" s="841"/>
      <c r="P347" s="841"/>
      <c r="Q347" s="841"/>
      <c r="R347" s="841"/>
      <c r="S347" s="841"/>
      <c r="T347" s="841"/>
      <c r="U347" s="841"/>
      <c r="V347" s="841"/>
      <c r="W347" s="841"/>
      <c r="X347" s="841"/>
      <c r="Y347" s="841"/>
      <c r="Z347" s="1226"/>
      <c r="AA347" s="1226"/>
      <c r="AB347" s="1226"/>
      <c r="AC347" s="1226"/>
      <c r="AD347" s="1226"/>
      <c r="AE347" s="1226"/>
      <c r="AF347" s="1226"/>
      <c r="AG347" s="1226"/>
      <c r="AH347" s="1226"/>
      <c r="AI347" s="841"/>
      <c r="AJ347" s="841"/>
      <c r="AK347" s="841"/>
      <c r="AL347" s="841"/>
      <c r="AM347" s="841"/>
      <c r="AN347" s="841"/>
      <c r="AO347" s="841"/>
      <c r="AP347" s="841"/>
      <c r="AQ347" s="841"/>
      <c r="AR347" s="841"/>
      <c r="AS347" s="842"/>
    </row>
    <row r="348" spans="1:45">
      <c r="A348" s="841"/>
      <c r="B348" s="841"/>
      <c r="C348" s="841"/>
      <c r="D348" s="841"/>
      <c r="E348" s="841"/>
      <c r="F348" s="841"/>
      <c r="G348" s="841"/>
      <c r="H348" s="841"/>
      <c r="I348" s="841"/>
      <c r="J348" s="841"/>
      <c r="K348" s="841"/>
      <c r="L348" s="841"/>
      <c r="M348" s="841"/>
      <c r="N348" s="841"/>
      <c r="O348" s="841"/>
      <c r="P348" s="841"/>
      <c r="Q348" s="841"/>
      <c r="R348" s="841"/>
      <c r="S348" s="841"/>
      <c r="T348" s="841"/>
      <c r="U348" s="841"/>
      <c r="V348" s="841"/>
      <c r="W348" s="841"/>
      <c r="X348" s="841"/>
      <c r="Y348" s="841"/>
      <c r="Z348" s="1226"/>
      <c r="AA348" s="1226"/>
      <c r="AB348" s="1226"/>
      <c r="AC348" s="1226"/>
      <c r="AD348" s="1226"/>
      <c r="AE348" s="1226"/>
      <c r="AF348" s="1226"/>
      <c r="AG348" s="1226"/>
      <c r="AH348" s="1226"/>
      <c r="AI348" s="841"/>
      <c r="AJ348" s="841"/>
      <c r="AK348" s="841"/>
      <c r="AL348" s="841"/>
      <c r="AM348" s="841"/>
      <c r="AN348" s="841"/>
      <c r="AO348" s="841"/>
      <c r="AP348" s="841"/>
      <c r="AQ348" s="841"/>
      <c r="AR348" s="841"/>
      <c r="AS348" s="842"/>
    </row>
    <row r="349" spans="1:45">
      <c r="A349" s="841"/>
      <c r="B349" s="841"/>
      <c r="C349" s="841"/>
      <c r="D349" s="841"/>
      <c r="E349" s="841"/>
      <c r="F349" s="841"/>
      <c r="G349" s="841"/>
      <c r="H349" s="841"/>
      <c r="I349" s="841"/>
      <c r="J349" s="841"/>
      <c r="K349" s="841"/>
      <c r="L349" s="841"/>
      <c r="M349" s="841"/>
      <c r="N349" s="841"/>
      <c r="O349" s="841"/>
      <c r="P349" s="841"/>
      <c r="Q349" s="841"/>
      <c r="R349" s="841"/>
      <c r="S349" s="841"/>
      <c r="T349" s="841"/>
      <c r="U349" s="841"/>
      <c r="V349" s="841"/>
      <c r="W349" s="841"/>
      <c r="X349" s="841"/>
      <c r="Y349" s="841"/>
      <c r="Z349" s="1226"/>
      <c r="AA349" s="1226"/>
      <c r="AB349" s="1226"/>
      <c r="AC349" s="1226"/>
      <c r="AD349" s="1226"/>
      <c r="AE349" s="1226"/>
      <c r="AF349" s="1226"/>
      <c r="AG349" s="1226"/>
      <c r="AH349" s="1226"/>
      <c r="AI349" s="841"/>
      <c r="AJ349" s="841"/>
      <c r="AK349" s="841"/>
      <c r="AL349" s="841"/>
      <c r="AM349" s="841"/>
      <c r="AN349" s="841"/>
      <c r="AO349" s="841"/>
      <c r="AP349" s="841"/>
      <c r="AQ349" s="841"/>
      <c r="AR349" s="841"/>
      <c r="AS349" s="842"/>
    </row>
    <row r="350" spans="1:45">
      <c r="A350" s="841"/>
      <c r="B350" s="841"/>
      <c r="C350" s="841"/>
      <c r="D350" s="841"/>
      <c r="E350" s="841"/>
      <c r="F350" s="841"/>
      <c r="G350" s="841"/>
      <c r="H350" s="841"/>
      <c r="I350" s="841"/>
      <c r="J350" s="841"/>
      <c r="K350" s="841"/>
      <c r="L350" s="841"/>
      <c r="M350" s="841"/>
      <c r="N350" s="841"/>
      <c r="O350" s="841"/>
      <c r="P350" s="841"/>
      <c r="Q350" s="841"/>
      <c r="R350" s="841"/>
      <c r="S350" s="841"/>
      <c r="T350" s="841"/>
      <c r="U350" s="841"/>
      <c r="V350" s="841"/>
      <c r="W350" s="841"/>
      <c r="X350" s="841"/>
      <c r="Y350" s="841"/>
      <c r="Z350" s="1226"/>
      <c r="AA350" s="1226"/>
      <c r="AB350" s="1226"/>
      <c r="AC350" s="1226"/>
      <c r="AD350" s="1226"/>
      <c r="AE350" s="1226"/>
      <c r="AF350" s="1226"/>
      <c r="AG350" s="1226"/>
      <c r="AH350" s="1226"/>
      <c r="AI350" s="841"/>
      <c r="AJ350" s="841"/>
      <c r="AK350" s="841"/>
      <c r="AL350" s="841"/>
      <c r="AM350" s="841"/>
      <c r="AN350" s="841"/>
      <c r="AO350" s="841"/>
      <c r="AP350" s="841"/>
      <c r="AQ350" s="841"/>
      <c r="AR350" s="841"/>
      <c r="AS350" s="842"/>
    </row>
    <row r="351" spans="1:45">
      <c r="A351" s="841"/>
      <c r="B351" s="841"/>
      <c r="C351" s="841"/>
      <c r="D351" s="841"/>
      <c r="E351" s="841"/>
      <c r="F351" s="841"/>
      <c r="G351" s="841"/>
      <c r="H351" s="841"/>
      <c r="I351" s="841"/>
      <c r="J351" s="841"/>
      <c r="K351" s="841"/>
      <c r="L351" s="841"/>
      <c r="M351" s="841"/>
      <c r="N351" s="841"/>
      <c r="O351" s="841"/>
      <c r="P351" s="841"/>
      <c r="Q351" s="841"/>
      <c r="R351" s="841"/>
      <c r="S351" s="841"/>
      <c r="T351" s="841"/>
      <c r="U351" s="841"/>
      <c r="V351" s="841"/>
      <c r="W351" s="841"/>
      <c r="X351" s="841"/>
      <c r="Y351" s="841"/>
      <c r="Z351" s="1226"/>
      <c r="AA351" s="1226"/>
      <c r="AB351" s="1226"/>
      <c r="AC351" s="1226"/>
      <c r="AD351" s="1226"/>
      <c r="AE351" s="1226"/>
      <c r="AF351" s="1226"/>
      <c r="AG351" s="1226"/>
      <c r="AH351" s="1226"/>
      <c r="AI351" s="841"/>
      <c r="AJ351" s="841"/>
      <c r="AK351" s="841"/>
      <c r="AL351" s="841"/>
      <c r="AM351" s="841"/>
      <c r="AN351" s="841"/>
      <c r="AO351" s="841"/>
      <c r="AP351" s="841"/>
      <c r="AQ351" s="841"/>
      <c r="AR351" s="841"/>
      <c r="AS351" s="842"/>
    </row>
    <row r="352" spans="1:45">
      <c r="A352" s="841"/>
      <c r="B352" s="841"/>
      <c r="C352" s="841"/>
      <c r="D352" s="841"/>
      <c r="E352" s="841"/>
      <c r="F352" s="841"/>
      <c r="G352" s="841"/>
      <c r="H352" s="841"/>
      <c r="I352" s="841"/>
      <c r="J352" s="841"/>
      <c r="K352" s="841"/>
      <c r="L352" s="841"/>
      <c r="M352" s="841"/>
      <c r="N352" s="841"/>
      <c r="O352" s="841"/>
      <c r="P352" s="841"/>
      <c r="Q352" s="841"/>
      <c r="R352" s="841"/>
      <c r="S352" s="841"/>
      <c r="T352" s="841"/>
      <c r="U352" s="841"/>
      <c r="V352" s="841"/>
      <c r="W352" s="841"/>
      <c r="X352" s="841"/>
      <c r="Y352" s="841"/>
      <c r="Z352" s="1226"/>
      <c r="AA352" s="1226"/>
      <c r="AB352" s="1226"/>
      <c r="AC352" s="1226"/>
      <c r="AD352" s="1226"/>
      <c r="AE352" s="1226"/>
      <c r="AF352" s="1226"/>
      <c r="AG352" s="1226"/>
      <c r="AH352" s="1226"/>
      <c r="AI352" s="841"/>
      <c r="AJ352" s="841"/>
      <c r="AK352" s="841"/>
      <c r="AL352" s="841"/>
      <c r="AM352" s="841"/>
      <c r="AN352" s="841"/>
      <c r="AO352" s="841"/>
      <c r="AP352" s="841"/>
      <c r="AQ352" s="841"/>
      <c r="AR352" s="841"/>
      <c r="AS352" s="842"/>
    </row>
    <row r="353" spans="1:45">
      <c r="A353" s="841"/>
      <c r="B353" s="841"/>
      <c r="C353" s="841"/>
      <c r="D353" s="841"/>
      <c r="E353" s="841"/>
      <c r="F353" s="841"/>
      <c r="G353" s="841"/>
      <c r="H353" s="841"/>
      <c r="I353" s="841"/>
      <c r="J353" s="841"/>
      <c r="K353" s="841"/>
      <c r="L353" s="841"/>
      <c r="M353" s="841"/>
      <c r="N353" s="841"/>
      <c r="O353" s="841"/>
      <c r="P353" s="841"/>
      <c r="Q353" s="841"/>
      <c r="R353" s="841"/>
      <c r="S353" s="841"/>
      <c r="T353" s="841"/>
      <c r="U353" s="841"/>
      <c r="V353" s="841"/>
      <c r="W353" s="841"/>
      <c r="X353" s="841"/>
      <c r="Y353" s="841"/>
      <c r="Z353" s="1226"/>
      <c r="AA353" s="1226"/>
      <c r="AB353" s="1226"/>
      <c r="AC353" s="1226"/>
      <c r="AD353" s="1226"/>
      <c r="AE353" s="1226"/>
      <c r="AF353" s="1226"/>
      <c r="AG353" s="1226"/>
      <c r="AH353" s="1226"/>
      <c r="AI353" s="841"/>
      <c r="AJ353" s="841"/>
      <c r="AK353" s="841"/>
      <c r="AL353" s="841"/>
      <c r="AM353" s="841"/>
      <c r="AN353" s="841"/>
      <c r="AO353" s="841"/>
      <c r="AP353" s="841"/>
      <c r="AQ353" s="841"/>
      <c r="AR353" s="841"/>
      <c r="AS353" s="842"/>
    </row>
    <row r="354" spans="1:45">
      <c r="A354" s="841"/>
      <c r="B354" s="841"/>
      <c r="C354" s="841"/>
      <c r="D354" s="841"/>
      <c r="E354" s="841"/>
      <c r="F354" s="841"/>
      <c r="G354" s="841"/>
      <c r="H354" s="841"/>
      <c r="I354" s="841"/>
      <c r="J354" s="841"/>
      <c r="K354" s="841"/>
      <c r="L354" s="841"/>
      <c r="M354" s="841"/>
      <c r="N354" s="841"/>
      <c r="O354" s="841"/>
      <c r="P354" s="841"/>
      <c r="Q354" s="841"/>
      <c r="R354" s="841"/>
      <c r="S354" s="841"/>
      <c r="T354" s="841"/>
      <c r="U354" s="841"/>
      <c r="V354" s="841"/>
      <c r="W354" s="841"/>
      <c r="X354" s="841"/>
      <c r="Y354" s="841"/>
      <c r="Z354" s="1226"/>
      <c r="AA354" s="1226"/>
      <c r="AB354" s="1226"/>
      <c r="AC354" s="1226"/>
      <c r="AD354" s="1226"/>
      <c r="AE354" s="1226"/>
      <c r="AF354" s="1226"/>
      <c r="AG354" s="1226"/>
      <c r="AH354" s="1226"/>
      <c r="AI354" s="841"/>
      <c r="AJ354" s="841"/>
      <c r="AK354" s="841"/>
      <c r="AL354" s="841"/>
      <c r="AM354" s="841"/>
      <c r="AN354" s="841"/>
      <c r="AO354" s="841"/>
      <c r="AP354" s="841"/>
      <c r="AQ354" s="841"/>
      <c r="AR354" s="841"/>
      <c r="AS354" s="842"/>
    </row>
    <row r="355" spans="1:45">
      <c r="A355" s="841"/>
      <c r="B355" s="841"/>
      <c r="C355" s="841"/>
      <c r="D355" s="841"/>
      <c r="E355" s="841"/>
      <c r="F355" s="841"/>
      <c r="G355" s="841"/>
      <c r="H355" s="841"/>
      <c r="I355" s="841"/>
      <c r="J355" s="841"/>
      <c r="K355" s="841"/>
      <c r="L355" s="841"/>
      <c r="M355" s="841"/>
      <c r="N355" s="841"/>
      <c r="O355" s="841"/>
      <c r="P355" s="841"/>
      <c r="Q355" s="841"/>
      <c r="R355" s="841"/>
      <c r="S355" s="841"/>
      <c r="T355" s="841"/>
      <c r="U355" s="841"/>
      <c r="V355" s="841"/>
      <c r="W355" s="841"/>
      <c r="X355" s="841"/>
      <c r="Y355" s="841"/>
      <c r="Z355" s="1226"/>
      <c r="AA355" s="1226"/>
      <c r="AB355" s="1226"/>
      <c r="AC355" s="1226"/>
      <c r="AD355" s="1226"/>
      <c r="AE355" s="1226"/>
      <c r="AF355" s="1226"/>
      <c r="AG355" s="1226"/>
      <c r="AH355" s="1226"/>
      <c r="AI355" s="841"/>
      <c r="AJ355" s="841"/>
      <c r="AK355" s="841"/>
      <c r="AL355" s="841"/>
      <c r="AM355" s="841"/>
      <c r="AN355" s="841"/>
      <c r="AO355" s="841"/>
      <c r="AP355" s="841"/>
      <c r="AQ355" s="841"/>
      <c r="AR355" s="841"/>
      <c r="AS355" s="842"/>
    </row>
    <row r="356" spans="1:45">
      <c r="A356" s="841"/>
      <c r="B356" s="841"/>
      <c r="C356" s="841"/>
      <c r="D356" s="841"/>
      <c r="E356" s="841"/>
      <c r="F356" s="841"/>
      <c r="G356" s="841"/>
      <c r="H356" s="841"/>
      <c r="I356" s="841"/>
      <c r="J356" s="841"/>
      <c r="K356" s="841"/>
      <c r="L356" s="841"/>
      <c r="M356" s="841"/>
      <c r="N356" s="841"/>
      <c r="O356" s="841"/>
      <c r="P356" s="841"/>
      <c r="Q356" s="841"/>
      <c r="R356" s="841"/>
      <c r="S356" s="841"/>
      <c r="T356" s="841"/>
      <c r="U356" s="841"/>
      <c r="V356" s="841"/>
      <c r="W356" s="841"/>
      <c r="X356" s="841"/>
      <c r="Y356" s="841"/>
      <c r="Z356" s="1226"/>
      <c r="AA356" s="1226"/>
      <c r="AB356" s="1226"/>
      <c r="AC356" s="1226"/>
      <c r="AD356" s="1226"/>
      <c r="AE356" s="1226"/>
      <c r="AF356" s="1226"/>
      <c r="AG356" s="1226"/>
      <c r="AH356" s="1226"/>
      <c r="AI356" s="841"/>
      <c r="AJ356" s="841"/>
      <c r="AK356" s="841"/>
      <c r="AL356" s="841"/>
      <c r="AM356" s="841"/>
      <c r="AN356" s="841"/>
      <c r="AO356" s="841"/>
      <c r="AP356" s="841"/>
      <c r="AQ356" s="841"/>
      <c r="AR356" s="841"/>
      <c r="AS356" s="842"/>
    </row>
    <row r="357" spans="1:45">
      <c r="A357" s="841"/>
      <c r="B357" s="841"/>
      <c r="C357" s="841"/>
      <c r="D357" s="841"/>
      <c r="E357" s="841"/>
      <c r="F357" s="841"/>
      <c r="G357" s="841"/>
      <c r="H357" s="841"/>
      <c r="I357" s="841"/>
      <c r="J357" s="841"/>
      <c r="K357" s="841"/>
      <c r="L357" s="841"/>
      <c r="M357" s="841"/>
      <c r="N357" s="841"/>
      <c r="O357" s="841"/>
      <c r="P357" s="841"/>
      <c r="Q357" s="841"/>
      <c r="R357" s="841"/>
      <c r="S357" s="841"/>
      <c r="T357" s="841"/>
      <c r="U357" s="841"/>
      <c r="V357" s="841"/>
      <c r="W357" s="841"/>
      <c r="X357" s="841"/>
      <c r="Y357" s="841"/>
      <c r="Z357" s="1226"/>
      <c r="AA357" s="1226"/>
      <c r="AB357" s="1226"/>
      <c r="AC357" s="1226"/>
      <c r="AD357" s="1226"/>
      <c r="AE357" s="1226"/>
      <c r="AF357" s="1226"/>
      <c r="AG357" s="1226"/>
      <c r="AH357" s="1226"/>
      <c r="AI357" s="841"/>
      <c r="AJ357" s="841"/>
      <c r="AK357" s="841"/>
      <c r="AL357" s="841"/>
      <c r="AM357" s="841"/>
      <c r="AN357" s="841"/>
      <c r="AO357" s="841"/>
      <c r="AP357" s="841"/>
      <c r="AQ357" s="841"/>
      <c r="AR357" s="841"/>
      <c r="AS357" s="842"/>
    </row>
    <row r="358" spans="1:45">
      <c r="A358" s="841"/>
      <c r="B358" s="841"/>
      <c r="C358" s="841"/>
      <c r="D358" s="841"/>
      <c r="E358" s="841"/>
      <c r="F358" s="841"/>
      <c r="G358" s="841"/>
      <c r="H358" s="841"/>
      <c r="I358" s="841"/>
      <c r="J358" s="841"/>
      <c r="K358" s="841"/>
      <c r="L358" s="841"/>
      <c r="M358" s="841"/>
      <c r="N358" s="841"/>
      <c r="O358" s="841"/>
      <c r="P358" s="841"/>
      <c r="Q358" s="841"/>
      <c r="R358" s="841"/>
      <c r="S358" s="841"/>
      <c r="T358" s="841"/>
      <c r="U358" s="841"/>
      <c r="V358" s="841"/>
      <c r="W358" s="841"/>
      <c r="X358" s="841"/>
      <c r="Y358" s="841"/>
      <c r="Z358" s="1226"/>
      <c r="AA358" s="1226"/>
      <c r="AB358" s="1226"/>
      <c r="AC358" s="1226"/>
      <c r="AD358" s="1226"/>
      <c r="AE358" s="1226"/>
      <c r="AF358" s="1226"/>
      <c r="AG358" s="1226"/>
      <c r="AH358" s="1226"/>
      <c r="AI358" s="841"/>
      <c r="AJ358" s="841"/>
      <c r="AK358" s="841"/>
      <c r="AL358" s="841"/>
      <c r="AM358" s="841"/>
      <c r="AN358" s="841"/>
      <c r="AO358" s="841"/>
      <c r="AP358" s="841"/>
      <c r="AQ358" s="841"/>
      <c r="AR358" s="841"/>
      <c r="AS358" s="842"/>
    </row>
    <row r="359" spans="1:45">
      <c r="A359" s="841"/>
      <c r="B359" s="841"/>
      <c r="C359" s="841"/>
      <c r="D359" s="841"/>
      <c r="E359" s="841"/>
      <c r="F359" s="841"/>
      <c r="G359" s="841"/>
      <c r="H359" s="841"/>
      <c r="I359" s="841"/>
      <c r="J359" s="841"/>
      <c r="K359" s="841"/>
      <c r="L359" s="841"/>
      <c r="M359" s="841"/>
      <c r="N359" s="841"/>
      <c r="O359" s="841"/>
      <c r="P359" s="841"/>
      <c r="Q359" s="841"/>
      <c r="R359" s="841"/>
      <c r="S359" s="841"/>
      <c r="T359" s="841"/>
      <c r="U359" s="841"/>
      <c r="V359" s="841"/>
      <c r="W359" s="841"/>
      <c r="X359" s="841"/>
      <c r="Y359" s="841"/>
      <c r="Z359" s="1226"/>
      <c r="AA359" s="1226"/>
      <c r="AB359" s="1226"/>
      <c r="AC359" s="1226"/>
      <c r="AD359" s="1226"/>
      <c r="AE359" s="1226"/>
      <c r="AF359" s="1226"/>
      <c r="AG359" s="1226"/>
      <c r="AH359" s="1226"/>
      <c r="AI359" s="841"/>
      <c r="AJ359" s="841"/>
      <c r="AK359" s="841"/>
      <c r="AL359" s="841"/>
      <c r="AM359" s="841"/>
      <c r="AN359" s="841"/>
      <c r="AO359" s="841"/>
      <c r="AP359" s="841"/>
      <c r="AQ359" s="841"/>
      <c r="AR359" s="841"/>
      <c r="AS359" s="842"/>
    </row>
    <row r="360" spans="1:45">
      <c r="A360" s="841"/>
      <c r="B360" s="841"/>
      <c r="C360" s="841"/>
      <c r="D360" s="841"/>
      <c r="E360" s="841"/>
      <c r="F360" s="841"/>
      <c r="G360" s="841"/>
      <c r="H360" s="841"/>
      <c r="I360" s="841"/>
      <c r="J360" s="841"/>
      <c r="K360" s="841"/>
      <c r="L360" s="841"/>
      <c r="M360" s="841"/>
      <c r="N360" s="841"/>
      <c r="O360" s="841"/>
      <c r="P360" s="841"/>
      <c r="Q360" s="841"/>
      <c r="R360" s="841"/>
      <c r="S360" s="841"/>
      <c r="T360" s="841"/>
      <c r="U360" s="841"/>
      <c r="V360" s="841"/>
      <c r="W360" s="841"/>
      <c r="X360" s="841"/>
      <c r="Y360" s="841"/>
      <c r="Z360" s="1226"/>
      <c r="AA360" s="1226"/>
      <c r="AB360" s="1226"/>
      <c r="AC360" s="1226"/>
      <c r="AD360" s="1226"/>
      <c r="AE360" s="1226"/>
      <c r="AF360" s="1226"/>
      <c r="AG360" s="1226"/>
      <c r="AH360" s="1226"/>
      <c r="AI360" s="841"/>
      <c r="AJ360" s="841"/>
      <c r="AK360" s="841"/>
      <c r="AL360" s="841"/>
      <c r="AM360" s="841"/>
      <c r="AN360" s="841"/>
      <c r="AO360" s="841"/>
      <c r="AP360" s="841"/>
      <c r="AQ360" s="841"/>
      <c r="AR360" s="841"/>
      <c r="AS360" s="842"/>
    </row>
    <row r="361" spans="1:45">
      <c r="A361" s="841"/>
      <c r="B361" s="841"/>
      <c r="C361" s="841"/>
      <c r="D361" s="841"/>
      <c r="E361" s="841"/>
      <c r="F361" s="841"/>
      <c r="G361" s="841"/>
      <c r="H361" s="841"/>
      <c r="I361" s="841"/>
      <c r="J361" s="841"/>
      <c r="K361" s="841"/>
      <c r="L361" s="841"/>
      <c r="M361" s="841"/>
      <c r="N361" s="841"/>
      <c r="O361" s="841"/>
      <c r="P361" s="841"/>
      <c r="Q361" s="841"/>
      <c r="R361" s="841"/>
      <c r="S361" s="841"/>
      <c r="T361" s="841"/>
      <c r="U361" s="841"/>
      <c r="V361" s="841"/>
      <c r="W361" s="841"/>
      <c r="X361" s="841"/>
      <c r="Y361" s="841"/>
      <c r="Z361" s="1226"/>
      <c r="AA361" s="1226"/>
      <c r="AB361" s="1226"/>
      <c r="AC361" s="1226"/>
      <c r="AD361" s="1226"/>
      <c r="AE361" s="1226"/>
      <c r="AF361" s="1226"/>
      <c r="AG361" s="1226"/>
      <c r="AH361" s="1226"/>
      <c r="AI361" s="841"/>
      <c r="AJ361" s="841"/>
      <c r="AK361" s="841"/>
      <c r="AL361" s="841"/>
      <c r="AM361" s="841"/>
      <c r="AN361" s="841"/>
      <c r="AO361" s="841"/>
      <c r="AP361" s="841"/>
      <c r="AQ361" s="841"/>
      <c r="AR361" s="841"/>
      <c r="AS361" s="842"/>
    </row>
    <row r="362" spans="1:45">
      <c r="A362" s="841"/>
      <c r="B362" s="841"/>
      <c r="C362" s="841"/>
      <c r="D362" s="841"/>
      <c r="E362" s="841"/>
      <c r="F362" s="841"/>
      <c r="G362" s="841"/>
      <c r="H362" s="841"/>
      <c r="I362" s="841"/>
      <c r="J362" s="841"/>
      <c r="K362" s="841"/>
      <c r="L362" s="841"/>
      <c r="M362" s="841"/>
      <c r="N362" s="841"/>
      <c r="O362" s="841"/>
      <c r="P362" s="841"/>
      <c r="Q362" s="841"/>
      <c r="R362" s="841"/>
      <c r="S362" s="841"/>
      <c r="T362" s="841"/>
      <c r="U362" s="841"/>
      <c r="V362" s="841"/>
      <c r="W362" s="841"/>
      <c r="X362" s="841"/>
      <c r="Y362" s="841"/>
      <c r="Z362" s="1226"/>
      <c r="AA362" s="1226"/>
      <c r="AB362" s="1226"/>
      <c r="AC362" s="1226"/>
      <c r="AD362" s="1226"/>
      <c r="AE362" s="1226"/>
      <c r="AF362" s="1226"/>
      <c r="AG362" s="1226"/>
      <c r="AH362" s="1226"/>
      <c r="AI362" s="841"/>
      <c r="AJ362" s="841"/>
      <c r="AK362" s="841"/>
      <c r="AL362" s="841"/>
      <c r="AM362" s="841"/>
      <c r="AN362" s="841"/>
      <c r="AO362" s="841"/>
      <c r="AP362" s="841"/>
      <c r="AQ362" s="841"/>
      <c r="AR362" s="841"/>
      <c r="AS362" s="842"/>
    </row>
    <row r="363" spans="1:45">
      <c r="A363" s="841"/>
      <c r="B363" s="841"/>
      <c r="C363" s="841"/>
      <c r="D363" s="841"/>
      <c r="E363" s="841"/>
      <c r="F363" s="841"/>
      <c r="G363" s="841"/>
      <c r="H363" s="841"/>
      <c r="I363" s="841"/>
      <c r="J363" s="841"/>
      <c r="K363" s="841"/>
      <c r="L363" s="841"/>
      <c r="M363" s="841"/>
      <c r="N363" s="841"/>
      <c r="O363" s="841"/>
      <c r="P363" s="841"/>
      <c r="Q363" s="841"/>
      <c r="R363" s="841"/>
      <c r="S363" s="841"/>
      <c r="T363" s="841"/>
      <c r="U363" s="841"/>
      <c r="V363" s="841"/>
      <c r="W363" s="841"/>
      <c r="X363" s="841"/>
      <c r="Y363" s="841"/>
      <c r="Z363" s="1226"/>
      <c r="AA363" s="1226"/>
      <c r="AB363" s="1226"/>
      <c r="AC363" s="1226"/>
      <c r="AD363" s="1226"/>
      <c r="AE363" s="1226"/>
      <c r="AF363" s="1226"/>
      <c r="AG363" s="1226"/>
      <c r="AH363" s="1226"/>
      <c r="AI363" s="841"/>
      <c r="AJ363" s="841"/>
      <c r="AK363" s="841"/>
      <c r="AL363" s="841"/>
      <c r="AM363" s="841"/>
      <c r="AN363" s="841"/>
      <c r="AO363" s="841"/>
      <c r="AP363" s="841"/>
      <c r="AQ363" s="841"/>
      <c r="AR363" s="841"/>
      <c r="AS363" s="842"/>
    </row>
    <row r="364" spans="1:45">
      <c r="A364" s="841"/>
      <c r="B364" s="841"/>
      <c r="C364" s="841"/>
      <c r="D364" s="841"/>
      <c r="E364" s="841"/>
      <c r="F364" s="841"/>
      <c r="G364" s="841"/>
      <c r="H364" s="841"/>
      <c r="I364" s="841"/>
      <c r="J364" s="841"/>
      <c r="K364" s="841"/>
      <c r="L364" s="841"/>
      <c r="M364" s="841"/>
      <c r="N364" s="841"/>
      <c r="O364" s="841"/>
      <c r="P364" s="841"/>
      <c r="Q364" s="841"/>
      <c r="R364" s="841"/>
      <c r="S364" s="841"/>
      <c r="T364" s="841"/>
      <c r="U364" s="841"/>
      <c r="V364" s="841"/>
      <c r="W364" s="841"/>
      <c r="X364" s="841"/>
      <c r="Y364" s="841"/>
      <c r="Z364" s="1226"/>
      <c r="AA364" s="1226"/>
      <c r="AB364" s="1226"/>
      <c r="AC364" s="1226"/>
      <c r="AD364" s="1226"/>
      <c r="AE364" s="1226"/>
      <c r="AF364" s="1226"/>
      <c r="AG364" s="1226"/>
      <c r="AH364" s="1226"/>
      <c r="AI364" s="841"/>
      <c r="AJ364" s="841"/>
      <c r="AK364" s="841"/>
      <c r="AL364" s="841"/>
      <c r="AM364" s="841"/>
      <c r="AN364" s="841"/>
      <c r="AO364" s="841"/>
      <c r="AP364" s="841"/>
      <c r="AQ364" s="841"/>
      <c r="AR364" s="841"/>
      <c r="AS364" s="842"/>
    </row>
    <row r="365" spans="1:45">
      <c r="A365" s="841"/>
      <c r="B365" s="841"/>
      <c r="C365" s="841"/>
      <c r="D365" s="841"/>
      <c r="E365" s="841"/>
      <c r="F365" s="841"/>
      <c r="G365" s="841"/>
      <c r="H365" s="841"/>
      <c r="I365" s="841"/>
      <c r="J365" s="841"/>
      <c r="K365" s="841"/>
      <c r="L365" s="841"/>
      <c r="M365" s="841"/>
      <c r="N365" s="841"/>
      <c r="O365" s="841"/>
      <c r="P365" s="841"/>
      <c r="Q365" s="841"/>
      <c r="R365" s="841"/>
      <c r="S365" s="841"/>
      <c r="T365" s="841"/>
      <c r="U365" s="841"/>
      <c r="V365" s="841"/>
      <c r="W365" s="841"/>
      <c r="X365" s="841"/>
      <c r="Y365" s="841"/>
      <c r="Z365" s="1226"/>
      <c r="AA365" s="1226"/>
      <c r="AB365" s="1226"/>
      <c r="AC365" s="1226"/>
      <c r="AD365" s="1226"/>
      <c r="AE365" s="1226"/>
      <c r="AF365" s="1226"/>
      <c r="AG365" s="1226"/>
      <c r="AH365" s="1226"/>
      <c r="AI365" s="841"/>
      <c r="AJ365" s="841"/>
      <c r="AK365" s="841"/>
      <c r="AL365" s="841"/>
      <c r="AM365" s="841"/>
      <c r="AN365" s="841"/>
      <c r="AO365" s="841"/>
      <c r="AP365" s="841"/>
      <c r="AQ365" s="841"/>
      <c r="AR365" s="841"/>
      <c r="AS365" s="842"/>
    </row>
    <row r="366" spans="1:45">
      <c r="A366" s="841"/>
      <c r="B366" s="841"/>
      <c r="C366" s="841"/>
      <c r="D366" s="841"/>
      <c r="E366" s="841"/>
      <c r="F366" s="841"/>
      <c r="G366" s="841"/>
      <c r="H366" s="841"/>
      <c r="I366" s="841"/>
      <c r="J366" s="841"/>
      <c r="K366" s="841"/>
      <c r="L366" s="841"/>
      <c r="M366" s="841"/>
      <c r="N366" s="841"/>
      <c r="O366" s="841"/>
      <c r="P366" s="841"/>
      <c r="Q366" s="841"/>
      <c r="R366" s="841"/>
      <c r="S366" s="841"/>
      <c r="T366" s="841"/>
      <c r="U366" s="841"/>
      <c r="V366" s="841"/>
      <c r="W366" s="841"/>
      <c r="X366" s="841"/>
      <c r="Y366" s="841"/>
      <c r="Z366" s="1226"/>
      <c r="AA366" s="1226"/>
      <c r="AB366" s="1226"/>
      <c r="AC366" s="1226"/>
      <c r="AD366" s="1226"/>
      <c r="AE366" s="1226"/>
      <c r="AF366" s="1226"/>
      <c r="AG366" s="1226"/>
      <c r="AH366" s="1226"/>
      <c r="AI366" s="841"/>
      <c r="AJ366" s="841"/>
      <c r="AK366" s="841"/>
      <c r="AL366" s="841"/>
      <c r="AM366" s="841"/>
      <c r="AN366" s="841"/>
      <c r="AO366" s="841"/>
      <c r="AP366" s="841"/>
      <c r="AQ366" s="841"/>
      <c r="AR366" s="841"/>
      <c r="AS366" s="842"/>
    </row>
    <row r="367" spans="1:45">
      <c r="A367" s="841"/>
      <c r="B367" s="841"/>
      <c r="C367" s="841"/>
      <c r="D367" s="841"/>
      <c r="E367" s="841"/>
      <c r="F367" s="841"/>
      <c r="G367" s="841"/>
      <c r="H367" s="841"/>
      <c r="I367" s="841"/>
      <c r="J367" s="841"/>
      <c r="K367" s="841"/>
      <c r="L367" s="841"/>
      <c r="M367" s="841"/>
      <c r="N367" s="841"/>
      <c r="O367" s="841"/>
      <c r="P367" s="841"/>
      <c r="Q367" s="841"/>
      <c r="R367" s="841"/>
      <c r="S367" s="841"/>
      <c r="T367" s="841"/>
      <c r="U367" s="841"/>
      <c r="V367" s="841"/>
      <c r="W367" s="841"/>
      <c r="X367" s="841"/>
      <c r="Y367" s="841"/>
      <c r="Z367" s="1226"/>
      <c r="AA367" s="1226"/>
      <c r="AB367" s="1226"/>
      <c r="AC367" s="1226"/>
      <c r="AD367" s="1226"/>
      <c r="AE367" s="1226"/>
      <c r="AF367" s="1226"/>
      <c r="AG367" s="1226"/>
      <c r="AH367" s="1226"/>
      <c r="AI367" s="841"/>
      <c r="AJ367" s="841"/>
      <c r="AK367" s="841"/>
      <c r="AL367" s="841"/>
      <c r="AM367" s="841"/>
      <c r="AN367" s="841"/>
      <c r="AO367" s="841"/>
      <c r="AP367" s="841"/>
      <c r="AQ367" s="841"/>
      <c r="AR367" s="841"/>
      <c r="AS367" s="842"/>
    </row>
    <row r="368" spans="1:45">
      <c r="A368" s="841"/>
      <c r="B368" s="841"/>
      <c r="C368" s="841"/>
      <c r="D368" s="841"/>
      <c r="E368" s="841"/>
      <c r="F368" s="841"/>
      <c r="G368" s="841"/>
      <c r="H368" s="841"/>
      <c r="I368" s="841"/>
      <c r="J368" s="841"/>
      <c r="K368" s="841"/>
      <c r="L368" s="841"/>
      <c r="M368" s="841"/>
      <c r="N368" s="841"/>
      <c r="O368" s="841"/>
      <c r="P368" s="841"/>
      <c r="Q368" s="841"/>
      <c r="R368" s="841"/>
      <c r="S368" s="841"/>
      <c r="T368" s="841"/>
      <c r="U368" s="841"/>
      <c r="V368" s="841"/>
      <c r="W368" s="841"/>
      <c r="X368" s="841"/>
      <c r="Y368" s="841"/>
      <c r="Z368" s="1226"/>
      <c r="AA368" s="1226"/>
      <c r="AB368" s="1226"/>
      <c r="AC368" s="1226"/>
      <c r="AD368" s="1226"/>
      <c r="AE368" s="1226"/>
      <c r="AF368" s="1226"/>
      <c r="AG368" s="1226"/>
      <c r="AH368" s="1226"/>
      <c r="AI368" s="841"/>
      <c r="AJ368" s="841"/>
      <c r="AK368" s="841"/>
      <c r="AL368" s="841"/>
      <c r="AM368" s="841"/>
      <c r="AN368" s="841"/>
      <c r="AO368" s="841"/>
      <c r="AP368" s="841"/>
      <c r="AQ368" s="841"/>
      <c r="AR368" s="841"/>
      <c r="AS368" s="842"/>
    </row>
    <row r="369" spans="1:45">
      <c r="A369" s="841"/>
      <c r="B369" s="841"/>
      <c r="C369" s="841"/>
      <c r="D369" s="841"/>
      <c r="E369" s="841"/>
      <c r="F369" s="841"/>
      <c r="G369" s="841"/>
      <c r="H369" s="841"/>
      <c r="I369" s="841"/>
      <c r="J369" s="841"/>
      <c r="K369" s="841"/>
      <c r="L369" s="841"/>
      <c r="M369" s="841"/>
      <c r="N369" s="841"/>
      <c r="O369" s="841"/>
      <c r="P369" s="841"/>
      <c r="Q369" s="841"/>
      <c r="R369" s="841"/>
      <c r="S369" s="841"/>
      <c r="T369" s="841"/>
      <c r="U369" s="841"/>
      <c r="V369" s="841"/>
      <c r="W369" s="841"/>
      <c r="X369" s="841"/>
      <c r="Y369" s="841"/>
      <c r="Z369" s="1226"/>
      <c r="AA369" s="1226"/>
      <c r="AB369" s="1226"/>
      <c r="AC369" s="1226"/>
      <c r="AD369" s="1226"/>
      <c r="AE369" s="1226"/>
      <c r="AF369" s="1226"/>
      <c r="AG369" s="1226"/>
      <c r="AH369" s="1226"/>
      <c r="AI369" s="841"/>
      <c r="AJ369" s="841"/>
      <c r="AK369" s="841"/>
      <c r="AL369" s="841"/>
      <c r="AM369" s="841"/>
      <c r="AN369" s="841"/>
      <c r="AO369" s="841"/>
      <c r="AP369" s="841"/>
      <c r="AQ369" s="841"/>
      <c r="AR369" s="841"/>
      <c r="AS369" s="842"/>
    </row>
    <row r="370" spans="1:45">
      <c r="A370" s="841"/>
      <c r="B370" s="841"/>
      <c r="C370" s="841"/>
      <c r="D370" s="841"/>
      <c r="E370" s="841"/>
      <c r="F370" s="841"/>
      <c r="G370" s="841"/>
      <c r="H370" s="841"/>
      <c r="I370" s="841"/>
      <c r="J370" s="841"/>
      <c r="K370" s="841"/>
      <c r="L370" s="841"/>
      <c r="M370" s="841"/>
      <c r="N370" s="841"/>
      <c r="O370" s="841"/>
      <c r="P370" s="841"/>
      <c r="Q370" s="841"/>
      <c r="R370" s="841"/>
      <c r="S370" s="841"/>
      <c r="T370" s="841"/>
      <c r="U370" s="841"/>
      <c r="V370" s="841"/>
      <c r="W370" s="841"/>
      <c r="X370" s="841"/>
      <c r="Y370" s="841"/>
      <c r="Z370" s="1226"/>
      <c r="AA370" s="1226"/>
      <c r="AB370" s="1226"/>
      <c r="AC370" s="1226"/>
      <c r="AD370" s="1226"/>
      <c r="AE370" s="1226"/>
      <c r="AF370" s="1226"/>
      <c r="AG370" s="1226"/>
      <c r="AH370" s="1226"/>
      <c r="AI370" s="841"/>
      <c r="AJ370" s="841"/>
      <c r="AK370" s="841"/>
      <c r="AL370" s="841"/>
      <c r="AM370" s="841"/>
      <c r="AN370" s="841"/>
      <c r="AO370" s="841"/>
      <c r="AP370" s="841"/>
      <c r="AQ370" s="841"/>
      <c r="AR370" s="841"/>
      <c r="AS370" s="842"/>
    </row>
    <row r="371" spans="1:45">
      <c r="A371" s="841"/>
      <c r="B371" s="841"/>
      <c r="C371" s="841"/>
      <c r="D371" s="841"/>
      <c r="E371" s="841"/>
      <c r="F371" s="841"/>
      <c r="G371" s="841"/>
      <c r="H371" s="841"/>
      <c r="I371" s="841"/>
      <c r="J371" s="841"/>
      <c r="K371" s="841"/>
      <c r="L371" s="841"/>
      <c r="M371" s="841"/>
      <c r="N371" s="841"/>
      <c r="O371" s="841"/>
      <c r="P371" s="841"/>
      <c r="Q371" s="841"/>
      <c r="R371" s="841"/>
      <c r="S371" s="841"/>
      <c r="T371" s="841"/>
      <c r="U371" s="841"/>
      <c r="V371" s="841"/>
      <c r="W371" s="841"/>
      <c r="X371" s="841"/>
      <c r="Y371" s="841"/>
      <c r="Z371" s="1226"/>
      <c r="AA371" s="1226"/>
      <c r="AB371" s="1226"/>
      <c r="AC371" s="1226"/>
      <c r="AD371" s="1226"/>
      <c r="AE371" s="1226"/>
      <c r="AF371" s="1226"/>
      <c r="AG371" s="1226"/>
      <c r="AH371" s="1226"/>
      <c r="AI371" s="841"/>
      <c r="AJ371" s="841"/>
      <c r="AK371" s="841"/>
      <c r="AL371" s="841"/>
      <c r="AM371" s="841"/>
      <c r="AN371" s="841"/>
      <c r="AO371" s="841"/>
      <c r="AP371" s="841"/>
      <c r="AQ371" s="841"/>
      <c r="AR371" s="841"/>
      <c r="AS371" s="842"/>
    </row>
    <row r="372" spans="1:45">
      <c r="A372" s="841"/>
      <c r="B372" s="841"/>
      <c r="C372" s="841"/>
      <c r="D372" s="841"/>
      <c r="E372" s="841"/>
      <c r="F372" s="841"/>
      <c r="G372" s="841"/>
      <c r="H372" s="841"/>
      <c r="I372" s="841"/>
      <c r="J372" s="841"/>
      <c r="K372" s="841"/>
      <c r="L372" s="841"/>
      <c r="M372" s="841"/>
      <c r="N372" s="841"/>
      <c r="O372" s="841"/>
      <c r="P372" s="841"/>
      <c r="Q372" s="841"/>
      <c r="R372" s="841"/>
      <c r="S372" s="841"/>
      <c r="T372" s="841"/>
      <c r="U372" s="841"/>
      <c r="V372" s="841"/>
      <c r="W372" s="841"/>
      <c r="X372" s="841"/>
      <c r="Y372" s="841"/>
      <c r="Z372" s="1226"/>
      <c r="AA372" s="1226"/>
      <c r="AB372" s="1226"/>
      <c r="AC372" s="1226"/>
      <c r="AD372" s="1226"/>
      <c r="AE372" s="1226"/>
      <c r="AF372" s="1226"/>
      <c r="AG372" s="1226"/>
      <c r="AH372" s="1226"/>
      <c r="AI372" s="841"/>
      <c r="AJ372" s="841"/>
      <c r="AK372" s="841"/>
      <c r="AL372" s="841"/>
      <c r="AM372" s="841"/>
      <c r="AN372" s="841"/>
      <c r="AO372" s="841"/>
      <c r="AP372" s="841"/>
      <c r="AQ372" s="841"/>
      <c r="AR372" s="841"/>
      <c r="AS372" s="842"/>
    </row>
    <row r="373" spans="1:45">
      <c r="A373" s="841"/>
      <c r="B373" s="841"/>
      <c r="C373" s="841"/>
      <c r="D373" s="841"/>
      <c r="E373" s="841"/>
      <c r="F373" s="841"/>
      <c r="G373" s="841"/>
      <c r="H373" s="841"/>
      <c r="I373" s="841"/>
      <c r="J373" s="841"/>
      <c r="K373" s="841"/>
      <c r="L373" s="841"/>
      <c r="M373" s="841"/>
      <c r="N373" s="841"/>
      <c r="O373" s="841"/>
      <c r="P373" s="841"/>
      <c r="Q373" s="841"/>
      <c r="R373" s="841"/>
      <c r="S373" s="841"/>
      <c r="T373" s="841"/>
      <c r="U373" s="841"/>
      <c r="V373" s="841"/>
      <c r="W373" s="841"/>
      <c r="X373" s="841"/>
      <c r="Y373" s="841"/>
      <c r="Z373" s="1226"/>
      <c r="AA373" s="1226"/>
      <c r="AB373" s="1226"/>
      <c r="AC373" s="1226"/>
      <c r="AD373" s="1226"/>
      <c r="AE373" s="1226"/>
      <c r="AF373" s="1226"/>
      <c r="AG373" s="1226"/>
      <c r="AH373" s="1226"/>
      <c r="AI373" s="841"/>
      <c r="AJ373" s="841"/>
      <c r="AK373" s="841"/>
      <c r="AL373" s="841"/>
      <c r="AM373" s="841"/>
      <c r="AN373" s="841"/>
      <c r="AO373" s="841"/>
      <c r="AP373" s="841"/>
      <c r="AQ373" s="841"/>
      <c r="AR373" s="841"/>
      <c r="AS373" s="842"/>
    </row>
    <row r="374" spans="1:45">
      <c r="A374" s="841"/>
      <c r="B374" s="841"/>
      <c r="C374" s="841"/>
      <c r="D374" s="841"/>
      <c r="E374" s="841"/>
      <c r="F374" s="841"/>
      <c r="G374" s="841"/>
      <c r="H374" s="841"/>
      <c r="I374" s="841"/>
      <c r="J374" s="841"/>
      <c r="K374" s="841"/>
      <c r="L374" s="841"/>
      <c r="M374" s="841"/>
      <c r="N374" s="841"/>
      <c r="O374" s="841"/>
      <c r="P374" s="841"/>
      <c r="Q374" s="841"/>
      <c r="R374" s="841"/>
      <c r="S374" s="841"/>
      <c r="T374" s="841"/>
      <c r="U374" s="841"/>
      <c r="V374" s="841"/>
      <c r="W374" s="841"/>
      <c r="X374" s="841"/>
      <c r="Y374" s="841"/>
      <c r="Z374" s="1226"/>
      <c r="AA374" s="1226"/>
      <c r="AB374" s="1226"/>
      <c r="AC374" s="1226"/>
      <c r="AD374" s="1226"/>
      <c r="AE374" s="1226"/>
      <c r="AF374" s="1226"/>
      <c r="AG374" s="1226"/>
      <c r="AH374" s="1226"/>
      <c r="AI374" s="841"/>
      <c r="AJ374" s="841"/>
      <c r="AK374" s="841"/>
      <c r="AL374" s="841"/>
      <c r="AM374" s="841"/>
      <c r="AN374" s="841"/>
      <c r="AO374" s="841"/>
      <c r="AP374" s="841"/>
      <c r="AQ374" s="841"/>
      <c r="AR374" s="841"/>
      <c r="AS374" s="842"/>
    </row>
    <row r="375" spans="1:45">
      <c r="A375" s="841"/>
      <c r="B375" s="841"/>
      <c r="C375" s="841"/>
      <c r="D375" s="841"/>
      <c r="E375" s="841"/>
      <c r="F375" s="841"/>
      <c r="G375" s="841"/>
      <c r="H375" s="841"/>
      <c r="I375" s="841"/>
      <c r="J375" s="841"/>
      <c r="K375" s="841"/>
      <c r="L375" s="841"/>
      <c r="M375" s="841"/>
      <c r="N375" s="841"/>
      <c r="O375" s="841"/>
      <c r="P375" s="841"/>
      <c r="Q375" s="841"/>
      <c r="R375" s="841"/>
      <c r="S375" s="841"/>
      <c r="T375" s="841"/>
      <c r="U375" s="841"/>
      <c r="V375" s="841"/>
      <c r="W375" s="841"/>
      <c r="X375" s="841"/>
      <c r="Y375" s="841"/>
      <c r="Z375" s="1226"/>
      <c r="AA375" s="1226"/>
      <c r="AB375" s="1226"/>
      <c r="AC375" s="1226"/>
      <c r="AD375" s="1226"/>
      <c r="AE375" s="1226"/>
      <c r="AF375" s="1226"/>
      <c r="AG375" s="1226"/>
      <c r="AH375" s="1226"/>
      <c r="AI375" s="841"/>
      <c r="AJ375" s="841"/>
      <c r="AK375" s="841"/>
      <c r="AL375" s="841"/>
      <c r="AM375" s="841"/>
      <c r="AN375" s="841"/>
      <c r="AO375" s="841"/>
      <c r="AP375" s="841"/>
      <c r="AQ375" s="841"/>
      <c r="AR375" s="841"/>
      <c r="AS375" s="842"/>
    </row>
    <row r="376" spans="1:45">
      <c r="A376" s="841"/>
      <c r="B376" s="841"/>
      <c r="C376" s="841"/>
      <c r="D376" s="841"/>
      <c r="E376" s="841"/>
      <c r="F376" s="841"/>
      <c r="G376" s="841"/>
      <c r="H376" s="841"/>
      <c r="I376" s="841"/>
      <c r="J376" s="841"/>
      <c r="K376" s="841"/>
      <c r="L376" s="841"/>
      <c r="M376" s="841"/>
      <c r="N376" s="841"/>
      <c r="O376" s="841"/>
      <c r="P376" s="841"/>
      <c r="Q376" s="841"/>
      <c r="R376" s="841"/>
      <c r="S376" s="841"/>
      <c r="T376" s="841"/>
      <c r="U376" s="841"/>
      <c r="V376" s="841"/>
      <c r="W376" s="841"/>
      <c r="X376" s="841"/>
      <c r="Y376" s="841"/>
      <c r="Z376" s="1226"/>
      <c r="AA376" s="1226"/>
      <c r="AB376" s="1226"/>
      <c r="AC376" s="1226"/>
      <c r="AD376" s="1226"/>
      <c r="AE376" s="1226"/>
      <c r="AF376" s="1226"/>
      <c r="AG376" s="1226"/>
      <c r="AH376" s="1226"/>
      <c r="AI376" s="841"/>
      <c r="AJ376" s="841"/>
      <c r="AK376" s="841"/>
      <c r="AL376" s="841"/>
      <c r="AM376" s="841"/>
      <c r="AN376" s="841"/>
      <c r="AO376" s="841"/>
      <c r="AP376" s="841"/>
      <c r="AQ376" s="841"/>
      <c r="AR376" s="841"/>
      <c r="AS376" s="842"/>
    </row>
    <row r="377" spans="1:45">
      <c r="A377" s="841"/>
      <c r="B377" s="841"/>
      <c r="C377" s="841"/>
      <c r="D377" s="841"/>
      <c r="E377" s="841"/>
      <c r="F377" s="841"/>
      <c r="G377" s="841"/>
      <c r="H377" s="841"/>
      <c r="I377" s="841"/>
      <c r="J377" s="841"/>
      <c r="K377" s="841"/>
      <c r="L377" s="841"/>
      <c r="M377" s="841"/>
      <c r="N377" s="841"/>
      <c r="O377" s="841"/>
      <c r="P377" s="841"/>
      <c r="Q377" s="841"/>
      <c r="R377" s="841"/>
      <c r="S377" s="841"/>
      <c r="T377" s="841"/>
      <c r="U377" s="841"/>
      <c r="V377" s="841"/>
      <c r="W377" s="841"/>
      <c r="X377" s="841"/>
      <c r="Y377" s="841"/>
      <c r="Z377" s="1226"/>
      <c r="AA377" s="1226"/>
      <c r="AB377" s="1226"/>
      <c r="AC377" s="1226"/>
      <c r="AD377" s="1226"/>
      <c r="AE377" s="1226"/>
      <c r="AF377" s="1226"/>
      <c r="AG377" s="1226"/>
      <c r="AH377" s="1226"/>
      <c r="AI377" s="841"/>
      <c r="AJ377" s="841"/>
      <c r="AK377" s="841"/>
      <c r="AL377" s="841"/>
      <c r="AM377" s="841"/>
      <c r="AN377" s="841"/>
      <c r="AO377" s="841"/>
      <c r="AP377" s="841"/>
      <c r="AQ377" s="841"/>
      <c r="AR377" s="841"/>
      <c r="AS377" s="842"/>
    </row>
    <row r="378" spans="1:45">
      <c r="A378" s="841"/>
      <c r="B378" s="841"/>
      <c r="C378" s="841"/>
      <c r="D378" s="841"/>
      <c r="E378" s="841"/>
      <c r="F378" s="841"/>
      <c r="G378" s="841"/>
      <c r="H378" s="841"/>
      <c r="I378" s="841"/>
      <c r="J378" s="841"/>
      <c r="K378" s="841"/>
      <c r="L378" s="841"/>
      <c r="M378" s="841"/>
      <c r="N378" s="841"/>
      <c r="O378" s="841"/>
      <c r="P378" s="841"/>
      <c r="Q378" s="841"/>
      <c r="R378" s="841"/>
      <c r="S378" s="841"/>
      <c r="T378" s="841"/>
      <c r="U378" s="841"/>
      <c r="V378" s="841"/>
      <c r="W378" s="841"/>
      <c r="X378" s="841"/>
      <c r="Y378" s="841"/>
      <c r="Z378" s="1226"/>
      <c r="AA378" s="1226"/>
      <c r="AB378" s="1226"/>
      <c r="AC378" s="1226"/>
      <c r="AD378" s="1226"/>
      <c r="AE378" s="1226"/>
      <c r="AF378" s="1226"/>
      <c r="AG378" s="1226"/>
      <c r="AH378" s="1226"/>
      <c r="AI378" s="841"/>
      <c r="AJ378" s="841"/>
      <c r="AK378" s="841"/>
      <c r="AL378" s="841"/>
      <c r="AM378" s="841"/>
      <c r="AN378" s="841"/>
      <c r="AO378" s="841"/>
      <c r="AP378" s="841"/>
      <c r="AQ378" s="841"/>
      <c r="AR378" s="841"/>
      <c r="AS378" s="842"/>
    </row>
    <row r="379" spans="1:45">
      <c r="A379" s="841"/>
      <c r="B379" s="841"/>
      <c r="C379" s="841"/>
      <c r="D379" s="841"/>
      <c r="E379" s="841"/>
      <c r="F379" s="841"/>
      <c r="G379" s="841"/>
      <c r="H379" s="841"/>
      <c r="I379" s="841"/>
      <c r="J379" s="841"/>
      <c r="K379" s="841"/>
      <c r="L379" s="841"/>
      <c r="M379" s="841"/>
      <c r="N379" s="841"/>
      <c r="O379" s="841"/>
      <c r="P379" s="841"/>
      <c r="Q379" s="841"/>
      <c r="R379" s="841"/>
      <c r="S379" s="841"/>
      <c r="T379" s="841"/>
      <c r="U379" s="841"/>
      <c r="V379" s="841"/>
      <c r="W379" s="841"/>
      <c r="X379" s="841"/>
      <c r="Y379" s="841"/>
      <c r="Z379" s="1226"/>
      <c r="AA379" s="1226"/>
      <c r="AB379" s="1226"/>
      <c r="AC379" s="1226"/>
      <c r="AD379" s="1226"/>
      <c r="AE379" s="1226"/>
      <c r="AF379" s="1226"/>
      <c r="AG379" s="1226"/>
      <c r="AH379" s="1226"/>
      <c r="AI379" s="841"/>
      <c r="AJ379" s="841"/>
      <c r="AK379" s="841"/>
      <c r="AL379" s="841"/>
      <c r="AM379" s="841"/>
      <c r="AN379" s="841"/>
      <c r="AO379" s="841"/>
      <c r="AP379" s="841"/>
      <c r="AQ379" s="841"/>
      <c r="AR379" s="841"/>
      <c r="AS379" s="842"/>
    </row>
    <row r="380" spans="1:45">
      <c r="A380" s="841"/>
      <c r="B380" s="841"/>
      <c r="C380" s="841"/>
      <c r="D380" s="841"/>
      <c r="E380" s="841"/>
      <c r="F380" s="841"/>
      <c r="G380" s="841"/>
      <c r="H380" s="841"/>
      <c r="I380" s="841"/>
      <c r="J380" s="841"/>
      <c r="K380" s="841"/>
      <c r="L380" s="841"/>
      <c r="M380" s="841"/>
      <c r="N380" s="841"/>
      <c r="O380" s="841"/>
      <c r="P380" s="841"/>
      <c r="Q380" s="841"/>
      <c r="R380" s="841"/>
      <c r="S380" s="841"/>
      <c r="T380" s="841"/>
      <c r="U380" s="841"/>
      <c r="V380" s="841"/>
      <c r="W380" s="841"/>
      <c r="X380" s="841"/>
      <c r="Y380" s="841"/>
      <c r="Z380" s="1226"/>
      <c r="AA380" s="1226"/>
      <c r="AB380" s="1226"/>
      <c r="AC380" s="1226"/>
      <c r="AD380" s="1226"/>
      <c r="AE380" s="1226"/>
      <c r="AF380" s="1226"/>
      <c r="AG380" s="1226"/>
      <c r="AH380" s="1226"/>
      <c r="AI380" s="841"/>
      <c r="AJ380" s="841"/>
      <c r="AK380" s="841"/>
      <c r="AL380" s="841"/>
      <c r="AM380" s="841"/>
      <c r="AN380" s="841"/>
      <c r="AO380" s="841"/>
      <c r="AP380" s="841"/>
      <c r="AQ380" s="841"/>
      <c r="AR380" s="841"/>
      <c r="AS380" s="842"/>
    </row>
    <row r="381" spans="1:45">
      <c r="A381" s="841"/>
      <c r="B381" s="841"/>
      <c r="C381" s="841"/>
      <c r="D381" s="841"/>
      <c r="E381" s="841"/>
      <c r="F381" s="841"/>
      <c r="G381" s="841"/>
      <c r="H381" s="841"/>
      <c r="I381" s="841"/>
      <c r="J381" s="841"/>
      <c r="K381" s="841"/>
      <c r="L381" s="841"/>
      <c r="M381" s="841"/>
      <c r="N381" s="841"/>
      <c r="O381" s="841"/>
      <c r="P381" s="841"/>
      <c r="Q381" s="841"/>
      <c r="R381" s="841"/>
      <c r="S381" s="841"/>
      <c r="T381" s="841"/>
      <c r="U381" s="841"/>
      <c r="V381" s="841"/>
      <c r="W381" s="841"/>
      <c r="X381" s="841"/>
      <c r="Y381" s="841"/>
      <c r="Z381" s="1226"/>
      <c r="AA381" s="1226"/>
      <c r="AB381" s="1226"/>
      <c r="AC381" s="1226"/>
      <c r="AD381" s="1226"/>
      <c r="AE381" s="1226"/>
      <c r="AF381" s="1226"/>
      <c r="AG381" s="1226"/>
      <c r="AH381" s="1226"/>
      <c r="AI381" s="841"/>
      <c r="AJ381" s="841"/>
      <c r="AK381" s="841"/>
      <c r="AL381" s="841"/>
      <c r="AM381" s="841"/>
      <c r="AN381" s="841"/>
      <c r="AO381" s="841"/>
      <c r="AP381" s="841"/>
      <c r="AQ381" s="841"/>
      <c r="AR381" s="841"/>
      <c r="AS381" s="842"/>
    </row>
    <row r="382" spans="1:45">
      <c r="A382" s="841"/>
      <c r="B382" s="841"/>
      <c r="C382" s="841"/>
      <c r="D382" s="841"/>
      <c r="E382" s="841"/>
      <c r="F382" s="841"/>
      <c r="G382" s="841"/>
      <c r="H382" s="841"/>
      <c r="I382" s="841"/>
      <c r="J382" s="841"/>
      <c r="K382" s="841"/>
      <c r="L382" s="841"/>
      <c r="M382" s="841"/>
      <c r="N382" s="841"/>
      <c r="O382" s="841"/>
      <c r="P382" s="841"/>
      <c r="Q382" s="841"/>
      <c r="R382" s="841"/>
      <c r="S382" s="841"/>
      <c r="T382" s="841"/>
      <c r="U382" s="841"/>
      <c r="V382" s="841"/>
      <c r="W382" s="841"/>
      <c r="X382" s="841"/>
      <c r="Y382" s="841"/>
      <c r="Z382" s="1226"/>
      <c r="AA382" s="1226"/>
      <c r="AB382" s="1226"/>
      <c r="AC382" s="1226"/>
      <c r="AD382" s="1226"/>
      <c r="AE382" s="1226"/>
      <c r="AF382" s="1226"/>
      <c r="AG382" s="1226"/>
      <c r="AH382" s="1226"/>
      <c r="AI382" s="841"/>
      <c r="AJ382" s="841"/>
      <c r="AK382" s="841"/>
      <c r="AL382" s="841"/>
      <c r="AM382" s="841"/>
      <c r="AN382" s="841"/>
      <c r="AO382" s="841"/>
      <c r="AP382" s="841"/>
      <c r="AQ382" s="841"/>
      <c r="AR382" s="841"/>
      <c r="AS382" s="842"/>
    </row>
    <row r="383" spans="1:45">
      <c r="A383" s="841"/>
      <c r="B383" s="841"/>
      <c r="C383" s="841"/>
      <c r="D383" s="841"/>
      <c r="E383" s="841"/>
      <c r="F383" s="841"/>
      <c r="G383" s="841"/>
      <c r="H383" s="841"/>
      <c r="I383" s="841"/>
      <c r="J383" s="841"/>
      <c r="K383" s="841"/>
      <c r="L383" s="841"/>
      <c r="M383" s="841"/>
      <c r="N383" s="841"/>
      <c r="O383" s="841"/>
      <c r="P383" s="841"/>
      <c r="Q383" s="841"/>
      <c r="R383" s="841"/>
      <c r="S383" s="841"/>
      <c r="T383" s="841"/>
      <c r="U383" s="841"/>
      <c r="V383" s="841"/>
      <c r="W383" s="841"/>
      <c r="X383" s="841"/>
      <c r="Y383" s="841"/>
      <c r="Z383" s="1226"/>
      <c r="AA383" s="1226"/>
      <c r="AB383" s="1226"/>
      <c r="AC383" s="1226"/>
      <c r="AD383" s="1226"/>
      <c r="AE383" s="1226"/>
      <c r="AF383" s="1226"/>
      <c r="AG383" s="1226"/>
      <c r="AH383" s="1226"/>
      <c r="AI383" s="841"/>
      <c r="AJ383" s="841"/>
      <c r="AK383" s="841"/>
      <c r="AL383" s="841"/>
      <c r="AM383" s="841"/>
      <c r="AN383" s="841"/>
      <c r="AO383" s="841"/>
      <c r="AP383" s="841"/>
      <c r="AQ383" s="841"/>
      <c r="AR383" s="841"/>
      <c r="AS383" s="842"/>
    </row>
    <row r="384" spans="1:45">
      <c r="A384" s="841"/>
      <c r="B384" s="841"/>
      <c r="C384" s="841"/>
      <c r="D384" s="841"/>
      <c r="E384" s="841"/>
      <c r="F384" s="841"/>
      <c r="G384" s="841"/>
      <c r="H384" s="841"/>
      <c r="I384" s="841"/>
      <c r="J384" s="841"/>
      <c r="K384" s="841"/>
      <c r="L384" s="841"/>
      <c r="M384" s="841"/>
      <c r="N384" s="841"/>
      <c r="O384" s="841"/>
      <c r="P384" s="841"/>
      <c r="Q384" s="841"/>
      <c r="R384" s="841"/>
      <c r="S384" s="841"/>
      <c r="T384" s="841"/>
      <c r="U384" s="841"/>
      <c r="V384" s="841"/>
      <c r="W384" s="841"/>
      <c r="X384" s="841"/>
      <c r="Y384" s="841"/>
      <c r="Z384" s="1226"/>
      <c r="AA384" s="1226"/>
      <c r="AB384" s="1226"/>
      <c r="AC384" s="1226"/>
      <c r="AD384" s="1226"/>
      <c r="AE384" s="1226"/>
      <c r="AF384" s="1226"/>
      <c r="AG384" s="1226"/>
      <c r="AH384" s="1226"/>
      <c r="AI384" s="841"/>
      <c r="AJ384" s="841"/>
      <c r="AK384" s="841"/>
      <c r="AL384" s="841"/>
      <c r="AM384" s="841"/>
      <c r="AN384" s="841"/>
      <c r="AO384" s="841"/>
      <c r="AP384" s="841"/>
      <c r="AQ384" s="841"/>
      <c r="AR384" s="841"/>
      <c r="AS384" s="842"/>
    </row>
    <row r="385" spans="1:45">
      <c r="A385" s="841"/>
      <c r="B385" s="841"/>
      <c r="C385" s="841"/>
      <c r="D385" s="841"/>
      <c r="E385" s="841"/>
      <c r="F385" s="841"/>
      <c r="G385" s="841"/>
      <c r="H385" s="841"/>
      <c r="I385" s="841"/>
      <c r="J385" s="841"/>
      <c r="K385" s="841"/>
      <c r="L385" s="841"/>
      <c r="M385" s="841"/>
      <c r="N385" s="841"/>
      <c r="O385" s="841"/>
      <c r="P385" s="841"/>
      <c r="Q385" s="841"/>
      <c r="R385" s="841"/>
      <c r="S385" s="841"/>
      <c r="T385" s="841"/>
      <c r="U385" s="841"/>
      <c r="V385" s="841"/>
      <c r="W385" s="841"/>
      <c r="X385" s="841"/>
      <c r="Y385" s="841"/>
      <c r="Z385" s="1226"/>
      <c r="AA385" s="1226"/>
      <c r="AB385" s="1226"/>
      <c r="AC385" s="1226"/>
      <c r="AD385" s="1226"/>
      <c r="AE385" s="1226"/>
      <c r="AF385" s="1226"/>
      <c r="AG385" s="1226"/>
      <c r="AH385" s="1226"/>
      <c r="AI385" s="841"/>
      <c r="AJ385" s="841"/>
      <c r="AK385" s="841"/>
      <c r="AL385" s="841"/>
      <c r="AM385" s="841"/>
      <c r="AN385" s="841"/>
      <c r="AO385" s="841"/>
      <c r="AP385" s="841"/>
      <c r="AQ385" s="841"/>
      <c r="AR385" s="841"/>
      <c r="AS385" s="842"/>
    </row>
    <row r="386" spans="1:45">
      <c r="A386" s="841"/>
      <c r="B386" s="841"/>
      <c r="C386" s="841"/>
      <c r="D386" s="841"/>
      <c r="E386" s="841"/>
      <c r="F386" s="841"/>
      <c r="G386" s="841"/>
      <c r="H386" s="841"/>
      <c r="I386" s="841"/>
      <c r="J386" s="841"/>
      <c r="K386" s="841"/>
      <c r="L386" s="841"/>
      <c r="M386" s="841"/>
      <c r="N386" s="841"/>
      <c r="O386" s="841"/>
      <c r="P386" s="841"/>
      <c r="Q386" s="841"/>
      <c r="R386" s="841"/>
      <c r="S386" s="841"/>
      <c r="T386" s="841"/>
      <c r="U386" s="841"/>
      <c r="V386" s="841"/>
      <c r="W386" s="841"/>
      <c r="X386" s="841"/>
      <c r="Y386" s="841"/>
      <c r="Z386" s="1226"/>
      <c r="AA386" s="1226"/>
      <c r="AB386" s="1226"/>
      <c r="AC386" s="1226"/>
      <c r="AD386" s="1226"/>
      <c r="AE386" s="1226"/>
      <c r="AF386" s="1226"/>
      <c r="AG386" s="1226"/>
      <c r="AH386" s="1226"/>
      <c r="AI386" s="841"/>
      <c r="AJ386" s="841"/>
      <c r="AK386" s="841"/>
      <c r="AL386" s="841"/>
      <c r="AM386" s="841"/>
      <c r="AN386" s="841"/>
      <c r="AO386" s="841"/>
      <c r="AP386" s="841"/>
      <c r="AQ386" s="841"/>
      <c r="AR386" s="841"/>
      <c r="AS386" s="842"/>
    </row>
    <row r="387" spans="1:45">
      <c r="A387" s="841"/>
      <c r="B387" s="841"/>
      <c r="C387" s="841"/>
      <c r="D387" s="841"/>
      <c r="E387" s="841"/>
      <c r="F387" s="841"/>
      <c r="G387" s="841"/>
      <c r="H387" s="841"/>
      <c r="I387" s="841"/>
      <c r="J387" s="841"/>
      <c r="K387" s="841"/>
      <c r="L387" s="841"/>
      <c r="M387" s="841"/>
      <c r="N387" s="841"/>
      <c r="O387" s="841"/>
      <c r="P387" s="841"/>
      <c r="Q387" s="841"/>
      <c r="R387" s="841"/>
      <c r="S387" s="841"/>
      <c r="T387" s="841"/>
      <c r="U387" s="841"/>
      <c r="V387" s="841"/>
      <c r="W387" s="841"/>
      <c r="X387" s="841"/>
      <c r="Y387" s="841"/>
      <c r="Z387" s="1226"/>
      <c r="AA387" s="1226"/>
      <c r="AB387" s="1226"/>
      <c r="AC387" s="1226"/>
      <c r="AD387" s="1226"/>
      <c r="AE387" s="1226"/>
      <c r="AF387" s="1226"/>
      <c r="AG387" s="1226"/>
      <c r="AH387" s="1226"/>
      <c r="AI387" s="841"/>
      <c r="AJ387" s="841"/>
      <c r="AK387" s="841"/>
      <c r="AL387" s="841"/>
      <c r="AM387" s="841"/>
      <c r="AN387" s="841"/>
      <c r="AO387" s="841"/>
      <c r="AP387" s="841"/>
      <c r="AQ387" s="841"/>
      <c r="AR387" s="841"/>
      <c r="AS387" s="842"/>
    </row>
    <row r="388" spans="1:45">
      <c r="A388" s="841"/>
      <c r="B388" s="841"/>
      <c r="C388" s="841"/>
      <c r="D388" s="841"/>
      <c r="E388" s="841"/>
      <c r="F388" s="841"/>
      <c r="G388" s="841"/>
      <c r="H388" s="841"/>
      <c r="I388" s="841"/>
      <c r="J388" s="841"/>
      <c r="K388" s="841"/>
      <c r="L388" s="841"/>
      <c r="M388" s="841"/>
      <c r="N388" s="841"/>
      <c r="O388" s="841"/>
      <c r="P388" s="841"/>
      <c r="Q388" s="841"/>
      <c r="R388" s="841"/>
      <c r="S388" s="841"/>
      <c r="T388" s="841"/>
      <c r="U388" s="841"/>
      <c r="V388" s="841"/>
      <c r="W388" s="841"/>
      <c r="X388" s="841"/>
      <c r="Y388" s="841"/>
      <c r="Z388" s="1226"/>
      <c r="AA388" s="1226"/>
      <c r="AB388" s="1226"/>
      <c r="AC388" s="1226"/>
      <c r="AD388" s="1226"/>
      <c r="AE388" s="1226"/>
      <c r="AF388" s="1226"/>
      <c r="AG388" s="1226"/>
      <c r="AH388" s="1226"/>
      <c r="AI388" s="841"/>
      <c r="AJ388" s="841"/>
      <c r="AK388" s="841"/>
      <c r="AL388" s="841"/>
      <c r="AM388" s="841"/>
      <c r="AN388" s="841"/>
      <c r="AO388" s="841"/>
      <c r="AP388" s="841"/>
      <c r="AQ388" s="841"/>
      <c r="AR388" s="841"/>
      <c r="AS388" s="842"/>
    </row>
    <row r="389" spans="1:45">
      <c r="A389" s="841"/>
      <c r="B389" s="841"/>
      <c r="C389" s="841"/>
      <c r="D389" s="841"/>
      <c r="E389" s="841"/>
      <c r="F389" s="841"/>
      <c r="G389" s="841"/>
      <c r="H389" s="841"/>
      <c r="I389" s="841"/>
      <c r="J389" s="841"/>
      <c r="K389" s="841"/>
      <c r="L389" s="841"/>
      <c r="M389" s="841"/>
      <c r="N389" s="841"/>
      <c r="O389" s="841"/>
      <c r="P389" s="841"/>
      <c r="Q389" s="841"/>
      <c r="R389" s="841"/>
      <c r="S389" s="841"/>
      <c r="T389" s="841"/>
      <c r="U389" s="841"/>
      <c r="V389" s="841"/>
      <c r="W389" s="841"/>
      <c r="X389" s="841"/>
      <c r="Y389" s="841"/>
      <c r="Z389" s="1226"/>
      <c r="AA389" s="1226"/>
      <c r="AB389" s="1226"/>
      <c r="AC389" s="1226"/>
      <c r="AD389" s="1226"/>
      <c r="AE389" s="1226"/>
      <c r="AF389" s="1226"/>
      <c r="AG389" s="1226"/>
      <c r="AH389" s="1226"/>
      <c r="AI389" s="841"/>
      <c r="AJ389" s="841"/>
      <c r="AK389" s="841"/>
      <c r="AL389" s="841"/>
      <c r="AM389" s="841"/>
      <c r="AN389" s="841"/>
      <c r="AO389" s="841"/>
      <c r="AP389" s="841"/>
      <c r="AQ389" s="841"/>
      <c r="AR389" s="841"/>
      <c r="AS389" s="842"/>
    </row>
    <row r="390" spans="1:45">
      <c r="A390" s="841"/>
      <c r="B390" s="841"/>
      <c r="C390" s="841"/>
      <c r="D390" s="841"/>
      <c r="E390" s="841"/>
      <c r="F390" s="841"/>
      <c r="G390" s="841"/>
      <c r="H390" s="841"/>
      <c r="I390" s="841"/>
      <c r="J390" s="841"/>
      <c r="K390" s="841"/>
      <c r="L390" s="841"/>
      <c r="M390" s="841"/>
      <c r="N390" s="841"/>
      <c r="O390" s="841"/>
      <c r="P390" s="841"/>
      <c r="Q390" s="841"/>
      <c r="R390" s="841"/>
      <c r="S390" s="841"/>
      <c r="T390" s="841"/>
      <c r="U390" s="841"/>
      <c r="V390" s="841"/>
      <c r="W390" s="841"/>
      <c r="X390" s="841"/>
      <c r="Y390" s="841"/>
      <c r="Z390" s="1226"/>
      <c r="AA390" s="1226"/>
      <c r="AB390" s="1226"/>
      <c r="AC390" s="1226"/>
      <c r="AD390" s="1226"/>
      <c r="AE390" s="1226"/>
      <c r="AF390" s="1226"/>
      <c r="AG390" s="1226"/>
      <c r="AH390" s="1226"/>
      <c r="AI390" s="841"/>
      <c r="AJ390" s="841"/>
      <c r="AK390" s="841"/>
      <c r="AL390" s="841"/>
      <c r="AM390" s="841"/>
      <c r="AN390" s="841"/>
      <c r="AO390" s="841"/>
      <c r="AP390" s="841"/>
      <c r="AQ390" s="841"/>
      <c r="AR390" s="841"/>
      <c r="AS390" s="842"/>
    </row>
    <row r="391" spans="1:45">
      <c r="A391" s="841"/>
      <c r="B391" s="841"/>
      <c r="C391" s="841"/>
      <c r="D391" s="841"/>
      <c r="E391" s="841"/>
      <c r="F391" s="841"/>
      <c r="G391" s="841"/>
      <c r="H391" s="841"/>
      <c r="I391" s="841"/>
      <c r="J391" s="841"/>
      <c r="K391" s="841"/>
      <c r="L391" s="841"/>
      <c r="M391" s="841"/>
      <c r="N391" s="841"/>
      <c r="O391" s="841"/>
      <c r="P391" s="841"/>
      <c r="Q391" s="841"/>
      <c r="R391" s="841"/>
      <c r="S391" s="841"/>
      <c r="T391" s="841"/>
      <c r="U391" s="841"/>
      <c r="V391" s="841"/>
      <c r="W391" s="841"/>
      <c r="X391" s="841"/>
      <c r="Y391" s="841"/>
      <c r="Z391" s="1226"/>
      <c r="AA391" s="1226"/>
      <c r="AB391" s="1226"/>
      <c r="AC391" s="1226"/>
      <c r="AD391" s="1226"/>
      <c r="AE391" s="1226"/>
      <c r="AF391" s="1226"/>
      <c r="AG391" s="1226"/>
      <c r="AH391" s="1226"/>
      <c r="AI391" s="841"/>
      <c r="AJ391" s="841"/>
      <c r="AK391" s="841"/>
      <c r="AL391" s="841"/>
      <c r="AM391" s="841"/>
      <c r="AN391" s="841"/>
      <c r="AO391" s="841"/>
      <c r="AP391" s="841"/>
      <c r="AQ391" s="841"/>
      <c r="AR391" s="841"/>
      <c r="AS391" s="842"/>
    </row>
    <row r="392" spans="1:45">
      <c r="A392" s="841"/>
      <c r="B392" s="841"/>
      <c r="C392" s="841"/>
      <c r="D392" s="841"/>
      <c r="E392" s="841"/>
      <c r="F392" s="841"/>
      <c r="G392" s="841"/>
      <c r="H392" s="841"/>
      <c r="I392" s="841"/>
      <c r="J392" s="841"/>
      <c r="K392" s="841"/>
      <c r="L392" s="841"/>
      <c r="M392" s="841"/>
      <c r="N392" s="841"/>
      <c r="O392" s="841"/>
      <c r="P392" s="841"/>
      <c r="Q392" s="841"/>
      <c r="R392" s="841"/>
      <c r="S392" s="841"/>
      <c r="T392" s="841"/>
      <c r="U392" s="841"/>
      <c r="V392" s="841"/>
      <c r="W392" s="841"/>
      <c r="X392" s="841"/>
      <c r="Y392" s="841"/>
      <c r="Z392" s="1226"/>
      <c r="AA392" s="1226"/>
      <c r="AB392" s="1226"/>
      <c r="AC392" s="1226"/>
      <c r="AD392" s="1226"/>
      <c r="AE392" s="1226"/>
      <c r="AF392" s="1226"/>
      <c r="AG392" s="1226"/>
      <c r="AH392" s="1226"/>
      <c r="AI392" s="841"/>
      <c r="AJ392" s="841"/>
      <c r="AK392" s="841"/>
      <c r="AL392" s="841"/>
      <c r="AM392" s="841"/>
      <c r="AN392" s="841"/>
      <c r="AO392" s="841"/>
      <c r="AP392" s="841"/>
      <c r="AQ392" s="841"/>
      <c r="AR392" s="841"/>
      <c r="AS392" s="842"/>
    </row>
    <row r="393" spans="1:45">
      <c r="A393" s="841"/>
      <c r="B393" s="841"/>
      <c r="C393" s="841"/>
      <c r="D393" s="841"/>
      <c r="E393" s="841"/>
      <c r="F393" s="841"/>
      <c r="G393" s="841"/>
      <c r="H393" s="841"/>
      <c r="I393" s="841"/>
      <c r="J393" s="841"/>
      <c r="K393" s="841"/>
      <c r="L393" s="841"/>
      <c r="M393" s="841"/>
      <c r="N393" s="841"/>
      <c r="O393" s="841"/>
      <c r="P393" s="841"/>
      <c r="Q393" s="841"/>
      <c r="R393" s="841"/>
      <c r="S393" s="841"/>
      <c r="T393" s="841"/>
      <c r="U393" s="841"/>
      <c r="V393" s="841"/>
      <c r="W393" s="841"/>
      <c r="X393" s="841"/>
      <c r="Y393" s="841"/>
      <c r="Z393" s="1226"/>
      <c r="AA393" s="1226"/>
      <c r="AB393" s="1226"/>
      <c r="AC393" s="1226"/>
      <c r="AD393" s="1226"/>
      <c r="AE393" s="1226"/>
      <c r="AF393" s="1226"/>
      <c r="AG393" s="1226"/>
      <c r="AH393" s="1226"/>
      <c r="AI393" s="841"/>
      <c r="AJ393" s="841"/>
      <c r="AK393" s="841"/>
      <c r="AL393" s="841"/>
      <c r="AM393" s="841"/>
      <c r="AN393" s="841"/>
      <c r="AO393" s="841"/>
      <c r="AP393" s="841"/>
      <c r="AQ393" s="841"/>
      <c r="AR393" s="841"/>
      <c r="AS393" s="842"/>
    </row>
    <row r="394" spans="1:45">
      <c r="A394" s="841"/>
      <c r="B394" s="841"/>
      <c r="C394" s="841"/>
      <c r="D394" s="841"/>
      <c r="E394" s="841"/>
      <c r="F394" s="841"/>
      <c r="G394" s="841"/>
      <c r="H394" s="841"/>
      <c r="I394" s="841"/>
      <c r="J394" s="841"/>
      <c r="K394" s="841"/>
      <c r="L394" s="841"/>
      <c r="M394" s="841"/>
      <c r="N394" s="841"/>
      <c r="O394" s="841"/>
      <c r="P394" s="841"/>
      <c r="Q394" s="841"/>
      <c r="R394" s="841"/>
      <c r="S394" s="841"/>
      <c r="T394" s="841"/>
      <c r="U394" s="841"/>
      <c r="V394" s="841"/>
      <c r="W394" s="841"/>
      <c r="X394" s="841"/>
      <c r="Y394" s="841"/>
      <c r="Z394" s="1226"/>
      <c r="AA394" s="1226"/>
      <c r="AB394" s="1226"/>
      <c r="AC394" s="1226"/>
      <c r="AD394" s="1226"/>
      <c r="AE394" s="1226"/>
      <c r="AF394" s="1226"/>
      <c r="AG394" s="1226"/>
      <c r="AH394" s="1226"/>
      <c r="AI394" s="841"/>
      <c r="AJ394" s="841"/>
      <c r="AK394" s="841"/>
      <c r="AL394" s="841"/>
      <c r="AM394" s="841"/>
      <c r="AN394" s="841"/>
      <c r="AO394" s="841"/>
      <c r="AP394" s="841"/>
      <c r="AQ394" s="841"/>
      <c r="AR394" s="841"/>
      <c r="AS394" s="842"/>
    </row>
    <row r="395" spans="1:45">
      <c r="A395" s="841"/>
      <c r="B395" s="841"/>
      <c r="C395" s="841"/>
      <c r="D395" s="841"/>
      <c r="E395" s="841"/>
      <c r="F395" s="841"/>
      <c r="G395" s="841"/>
      <c r="H395" s="841"/>
      <c r="I395" s="841"/>
      <c r="J395" s="841"/>
      <c r="K395" s="841"/>
      <c r="L395" s="841"/>
      <c r="M395" s="841"/>
      <c r="N395" s="841"/>
      <c r="O395" s="841"/>
      <c r="P395" s="841"/>
      <c r="Q395" s="841"/>
      <c r="R395" s="841"/>
      <c r="S395" s="841"/>
      <c r="T395" s="841"/>
      <c r="U395" s="841"/>
      <c r="V395" s="841"/>
      <c r="W395" s="841"/>
      <c r="X395" s="841"/>
      <c r="Y395" s="841"/>
      <c r="Z395" s="1226"/>
      <c r="AA395" s="1226"/>
      <c r="AB395" s="1226"/>
      <c r="AC395" s="1226"/>
      <c r="AD395" s="1226"/>
      <c r="AE395" s="1226"/>
      <c r="AF395" s="1226"/>
      <c r="AG395" s="1226"/>
      <c r="AH395" s="1226"/>
      <c r="AI395" s="841"/>
      <c r="AJ395" s="841"/>
      <c r="AK395" s="841"/>
      <c r="AL395" s="841"/>
      <c r="AM395" s="841"/>
      <c r="AN395" s="841"/>
      <c r="AO395" s="841"/>
      <c r="AP395" s="841"/>
      <c r="AQ395" s="841"/>
      <c r="AR395" s="841"/>
      <c r="AS395" s="842"/>
    </row>
    <row r="396" spans="1:45">
      <c r="A396" s="841"/>
      <c r="B396" s="841"/>
      <c r="C396" s="841"/>
      <c r="D396" s="841"/>
      <c r="E396" s="841"/>
      <c r="F396" s="841"/>
      <c r="G396" s="841"/>
      <c r="H396" s="841"/>
      <c r="I396" s="841"/>
      <c r="J396" s="841"/>
      <c r="K396" s="841"/>
      <c r="L396" s="841"/>
      <c r="M396" s="841"/>
      <c r="N396" s="841"/>
      <c r="O396" s="841"/>
      <c r="P396" s="841"/>
      <c r="Q396" s="841"/>
      <c r="R396" s="841"/>
      <c r="S396" s="841"/>
      <c r="T396" s="841"/>
      <c r="U396" s="841"/>
      <c r="V396" s="841"/>
      <c r="W396" s="841"/>
      <c r="X396" s="841"/>
      <c r="Y396" s="841"/>
      <c r="Z396" s="1226"/>
      <c r="AA396" s="1226"/>
      <c r="AB396" s="1226"/>
      <c r="AC396" s="1226"/>
      <c r="AD396" s="1226"/>
      <c r="AE396" s="1226"/>
      <c r="AF396" s="1226"/>
      <c r="AG396" s="1226"/>
      <c r="AH396" s="1226"/>
      <c r="AI396" s="841"/>
      <c r="AJ396" s="841"/>
      <c r="AK396" s="841"/>
      <c r="AL396" s="841"/>
      <c r="AM396" s="841"/>
      <c r="AN396" s="841"/>
      <c r="AO396" s="841"/>
      <c r="AP396" s="841"/>
      <c r="AQ396" s="841"/>
      <c r="AR396" s="841"/>
      <c r="AS396" s="842"/>
    </row>
    <row r="397" spans="1:45">
      <c r="A397" s="841"/>
      <c r="B397" s="841"/>
      <c r="C397" s="841"/>
      <c r="D397" s="841"/>
      <c r="E397" s="841"/>
      <c r="F397" s="841"/>
      <c r="G397" s="841"/>
      <c r="H397" s="841"/>
      <c r="I397" s="841"/>
      <c r="J397" s="841"/>
      <c r="K397" s="841"/>
      <c r="L397" s="841"/>
      <c r="M397" s="841"/>
      <c r="N397" s="841"/>
      <c r="O397" s="841"/>
      <c r="P397" s="841"/>
      <c r="Q397" s="841"/>
      <c r="R397" s="841"/>
      <c r="S397" s="841"/>
      <c r="T397" s="841"/>
      <c r="U397" s="841"/>
      <c r="V397" s="841"/>
      <c r="W397" s="841"/>
      <c r="X397" s="841"/>
      <c r="Y397" s="841"/>
      <c r="Z397" s="1226"/>
      <c r="AA397" s="1226"/>
      <c r="AB397" s="1226"/>
      <c r="AC397" s="1226"/>
      <c r="AD397" s="1226"/>
      <c r="AE397" s="1226"/>
      <c r="AF397" s="1226"/>
      <c r="AG397" s="1226"/>
      <c r="AH397" s="1226"/>
      <c r="AI397" s="841"/>
      <c r="AJ397" s="841"/>
      <c r="AK397" s="841"/>
      <c r="AL397" s="841"/>
      <c r="AM397" s="841"/>
      <c r="AN397" s="841"/>
      <c r="AO397" s="841"/>
      <c r="AP397" s="841"/>
      <c r="AQ397" s="841"/>
      <c r="AR397" s="841"/>
      <c r="AS397" s="842"/>
    </row>
    <row r="398" spans="1:45">
      <c r="A398" s="841"/>
      <c r="B398" s="841"/>
      <c r="C398" s="841"/>
      <c r="D398" s="841"/>
      <c r="E398" s="841"/>
      <c r="F398" s="841"/>
      <c r="G398" s="841"/>
      <c r="H398" s="841"/>
      <c r="I398" s="841"/>
      <c r="J398" s="841"/>
      <c r="K398" s="841"/>
      <c r="L398" s="841"/>
      <c r="M398" s="841"/>
      <c r="N398" s="841"/>
      <c r="O398" s="841"/>
      <c r="P398" s="841"/>
      <c r="Q398" s="841"/>
      <c r="R398" s="841"/>
      <c r="S398" s="841"/>
      <c r="T398" s="841"/>
      <c r="U398" s="841"/>
      <c r="V398" s="841"/>
      <c r="W398" s="841"/>
      <c r="X398" s="841"/>
      <c r="Y398" s="841"/>
      <c r="Z398" s="1226"/>
      <c r="AA398" s="1226"/>
      <c r="AB398" s="1226"/>
      <c r="AC398" s="1226"/>
      <c r="AD398" s="1226"/>
      <c r="AE398" s="1226"/>
      <c r="AF398" s="1226"/>
      <c r="AG398" s="1226"/>
      <c r="AH398" s="1226"/>
      <c r="AI398" s="841"/>
      <c r="AJ398" s="841"/>
      <c r="AK398" s="841"/>
      <c r="AL398" s="841"/>
      <c r="AM398" s="841"/>
      <c r="AN398" s="841"/>
      <c r="AO398" s="841"/>
      <c r="AP398" s="841"/>
      <c r="AQ398" s="841"/>
      <c r="AR398" s="841"/>
      <c r="AS398" s="842"/>
    </row>
    <row r="399" spans="1:45">
      <c r="A399" s="841"/>
      <c r="B399" s="841"/>
      <c r="C399" s="841"/>
      <c r="D399" s="841"/>
      <c r="E399" s="841"/>
      <c r="F399" s="841"/>
      <c r="G399" s="841"/>
      <c r="H399" s="841"/>
      <c r="I399" s="841"/>
      <c r="J399" s="841"/>
      <c r="K399" s="841"/>
      <c r="L399" s="841"/>
      <c r="M399" s="841"/>
      <c r="N399" s="841"/>
      <c r="O399" s="841"/>
      <c r="P399" s="841"/>
      <c r="Q399" s="841"/>
      <c r="R399" s="841"/>
      <c r="S399" s="841"/>
      <c r="T399" s="841"/>
      <c r="U399" s="841"/>
      <c r="V399" s="841"/>
      <c r="W399" s="841"/>
      <c r="X399" s="841"/>
      <c r="Y399" s="841"/>
      <c r="Z399" s="1226"/>
      <c r="AA399" s="1226"/>
      <c r="AB399" s="1226"/>
      <c r="AC399" s="1226"/>
      <c r="AD399" s="1226"/>
      <c r="AE399" s="1226"/>
      <c r="AF399" s="1226"/>
      <c r="AG399" s="1226"/>
      <c r="AH399" s="1226"/>
      <c r="AI399" s="841"/>
      <c r="AJ399" s="841"/>
      <c r="AK399" s="841"/>
      <c r="AL399" s="841"/>
      <c r="AM399" s="841"/>
      <c r="AN399" s="841"/>
      <c r="AO399" s="841"/>
      <c r="AP399" s="841"/>
      <c r="AQ399" s="841"/>
      <c r="AR399" s="841"/>
      <c r="AS399" s="842"/>
    </row>
    <row r="400" spans="1:45">
      <c r="A400" s="841"/>
      <c r="B400" s="841"/>
      <c r="C400" s="841"/>
      <c r="D400" s="841"/>
      <c r="E400" s="841"/>
      <c r="F400" s="841"/>
      <c r="G400" s="841"/>
      <c r="H400" s="841"/>
      <c r="I400" s="841"/>
      <c r="J400" s="841"/>
      <c r="K400" s="841"/>
      <c r="L400" s="841"/>
      <c r="M400" s="841"/>
      <c r="N400" s="841"/>
      <c r="O400" s="841"/>
      <c r="P400" s="841"/>
      <c r="Q400" s="841"/>
      <c r="R400" s="841"/>
      <c r="S400" s="841"/>
      <c r="T400" s="841"/>
      <c r="U400" s="841"/>
      <c r="V400" s="841"/>
      <c r="W400" s="841"/>
      <c r="X400" s="841"/>
      <c r="Y400" s="841"/>
      <c r="Z400" s="1226"/>
      <c r="AA400" s="1226"/>
      <c r="AB400" s="1226"/>
      <c r="AC400" s="1226"/>
      <c r="AD400" s="1226"/>
      <c r="AE400" s="1226"/>
      <c r="AF400" s="1226"/>
      <c r="AG400" s="1226"/>
      <c r="AH400" s="1226"/>
      <c r="AI400" s="841"/>
      <c r="AJ400" s="841"/>
      <c r="AK400" s="841"/>
      <c r="AL400" s="841"/>
      <c r="AM400" s="841"/>
      <c r="AN400" s="841"/>
      <c r="AO400" s="841"/>
      <c r="AP400" s="841"/>
      <c r="AQ400" s="841"/>
      <c r="AR400" s="841"/>
      <c r="AS400" s="842"/>
    </row>
    <row r="401" spans="1:45">
      <c r="A401" s="841"/>
      <c r="B401" s="841"/>
      <c r="C401" s="841"/>
      <c r="D401" s="841"/>
      <c r="E401" s="841"/>
      <c r="F401" s="841"/>
      <c r="G401" s="841"/>
      <c r="H401" s="841"/>
      <c r="I401" s="841"/>
      <c r="J401" s="841"/>
      <c r="K401" s="841"/>
      <c r="L401" s="841"/>
      <c r="M401" s="841"/>
      <c r="N401" s="841"/>
      <c r="O401" s="841"/>
      <c r="P401" s="841"/>
      <c r="Q401" s="841"/>
      <c r="R401" s="841"/>
      <c r="S401" s="841"/>
      <c r="T401" s="841"/>
      <c r="U401" s="841"/>
      <c r="V401" s="841"/>
      <c r="W401" s="841"/>
      <c r="X401" s="841"/>
      <c r="Y401" s="841"/>
      <c r="Z401" s="1226"/>
      <c r="AA401" s="1226"/>
      <c r="AB401" s="1226"/>
      <c r="AC401" s="1226"/>
      <c r="AD401" s="1226"/>
      <c r="AE401" s="1226"/>
      <c r="AF401" s="1226"/>
      <c r="AG401" s="1226"/>
      <c r="AH401" s="1226"/>
      <c r="AI401" s="841"/>
      <c r="AJ401" s="841"/>
      <c r="AK401" s="841"/>
      <c r="AL401" s="841"/>
      <c r="AM401" s="841"/>
      <c r="AN401" s="841"/>
      <c r="AO401" s="841"/>
      <c r="AP401" s="841"/>
      <c r="AQ401" s="841"/>
      <c r="AR401" s="841"/>
      <c r="AS401" s="842"/>
    </row>
    <row r="402" spans="1:45">
      <c r="A402" s="841"/>
      <c r="B402" s="841"/>
      <c r="C402" s="841"/>
      <c r="D402" s="841"/>
      <c r="E402" s="841"/>
      <c r="F402" s="841"/>
      <c r="G402" s="841"/>
      <c r="H402" s="841"/>
      <c r="I402" s="841"/>
      <c r="J402" s="841"/>
      <c r="K402" s="841"/>
      <c r="L402" s="841"/>
      <c r="M402" s="841"/>
      <c r="N402" s="841"/>
      <c r="O402" s="841"/>
      <c r="P402" s="841"/>
      <c r="Q402" s="841"/>
      <c r="R402" s="841"/>
      <c r="S402" s="841"/>
      <c r="T402" s="841"/>
      <c r="U402" s="841"/>
      <c r="V402" s="841"/>
      <c r="W402" s="841"/>
      <c r="X402" s="841"/>
      <c r="Y402" s="841"/>
      <c r="Z402" s="1226"/>
      <c r="AA402" s="1226"/>
      <c r="AB402" s="1226"/>
      <c r="AC402" s="1226"/>
      <c r="AD402" s="1226"/>
      <c r="AE402" s="1226"/>
      <c r="AF402" s="1226"/>
      <c r="AG402" s="1226"/>
      <c r="AH402" s="1226"/>
      <c r="AI402" s="841"/>
      <c r="AJ402" s="841"/>
      <c r="AK402" s="841"/>
      <c r="AL402" s="841"/>
      <c r="AM402" s="841"/>
      <c r="AN402" s="841"/>
      <c r="AO402" s="841"/>
      <c r="AP402" s="841"/>
      <c r="AQ402" s="841"/>
      <c r="AR402" s="841"/>
      <c r="AS402" s="842"/>
    </row>
    <row r="403" spans="1:45">
      <c r="A403" s="841"/>
      <c r="B403" s="841"/>
      <c r="C403" s="841"/>
      <c r="D403" s="841"/>
      <c r="E403" s="841"/>
      <c r="F403" s="841"/>
      <c r="G403" s="841"/>
      <c r="H403" s="841"/>
      <c r="I403" s="841"/>
      <c r="J403" s="841"/>
      <c r="K403" s="841"/>
      <c r="L403" s="841"/>
      <c r="M403" s="841"/>
      <c r="N403" s="841"/>
      <c r="O403" s="841"/>
      <c r="P403" s="841"/>
      <c r="Q403" s="841"/>
      <c r="R403" s="841"/>
      <c r="S403" s="841"/>
      <c r="T403" s="841"/>
      <c r="U403" s="841"/>
      <c r="V403" s="841"/>
      <c r="W403" s="841"/>
      <c r="X403" s="841"/>
      <c r="Y403" s="841"/>
      <c r="Z403" s="1226"/>
      <c r="AA403" s="1226"/>
      <c r="AB403" s="1226"/>
      <c r="AC403" s="1226"/>
      <c r="AD403" s="1226"/>
      <c r="AE403" s="1226"/>
      <c r="AF403" s="1226"/>
      <c r="AG403" s="1226"/>
      <c r="AH403" s="1226"/>
      <c r="AI403" s="841"/>
      <c r="AJ403" s="841"/>
      <c r="AK403" s="841"/>
      <c r="AL403" s="841"/>
      <c r="AM403" s="841"/>
      <c r="AN403" s="841"/>
      <c r="AO403" s="841"/>
      <c r="AP403" s="841"/>
      <c r="AQ403" s="841"/>
      <c r="AR403" s="841"/>
      <c r="AS403" s="842"/>
    </row>
    <row r="404" spans="1:45">
      <c r="A404" s="841"/>
      <c r="B404" s="841"/>
      <c r="C404" s="841"/>
      <c r="D404" s="841"/>
      <c r="E404" s="841"/>
      <c r="F404" s="841"/>
      <c r="G404" s="841"/>
      <c r="H404" s="841"/>
      <c r="I404" s="841"/>
      <c r="J404" s="841"/>
      <c r="K404" s="841"/>
      <c r="L404" s="841"/>
      <c r="M404" s="841"/>
      <c r="N404" s="841"/>
      <c r="O404" s="841"/>
      <c r="P404" s="841"/>
      <c r="Q404" s="841"/>
      <c r="R404" s="841"/>
      <c r="S404" s="841"/>
      <c r="T404" s="841"/>
      <c r="U404" s="841"/>
      <c r="V404" s="841"/>
      <c r="W404" s="841"/>
      <c r="X404" s="841"/>
      <c r="Y404" s="841"/>
      <c r="Z404" s="1226"/>
      <c r="AA404" s="1226"/>
      <c r="AB404" s="1226"/>
      <c r="AC404" s="1226"/>
      <c r="AD404" s="1226"/>
      <c r="AE404" s="1226"/>
      <c r="AF404" s="1226"/>
      <c r="AG404" s="1226"/>
      <c r="AH404" s="1226"/>
      <c r="AI404" s="841"/>
      <c r="AJ404" s="841"/>
      <c r="AK404" s="841"/>
      <c r="AL404" s="841"/>
      <c r="AM404" s="841"/>
      <c r="AN404" s="841"/>
      <c r="AO404" s="841"/>
      <c r="AP404" s="841"/>
      <c r="AQ404" s="841"/>
      <c r="AR404" s="841"/>
      <c r="AS404" s="842"/>
    </row>
    <row r="405" spans="1:45">
      <c r="A405" s="841"/>
      <c r="B405" s="841"/>
      <c r="C405" s="841"/>
      <c r="D405" s="841"/>
      <c r="E405" s="841"/>
      <c r="F405" s="841"/>
      <c r="G405" s="841"/>
      <c r="H405" s="841"/>
      <c r="I405" s="841"/>
      <c r="J405" s="841"/>
      <c r="K405" s="841"/>
      <c r="L405" s="841"/>
      <c r="M405" s="841"/>
      <c r="N405" s="841"/>
      <c r="O405" s="841"/>
      <c r="P405" s="841"/>
      <c r="Q405" s="841"/>
      <c r="R405" s="841"/>
      <c r="S405" s="841"/>
      <c r="T405" s="841"/>
      <c r="U405" s="841"/>
      <c r="V405" s="841"/>
      <c r="W405" s="841"/>
      <c r="X405" s="841"/>
      <c r="Y405" s="841"/>
      <c r="Z405" s="1226"/>
      <c r="AA405" s="1226"/>
      <c r="AB405" s="1226"/>
      <c r="AC405" s="1226"/>
      <c r="AD405" s="1226"/>
      <c r="AE405" s="1226"/>
      <c r="AF405" s="1226"/>
      <c r="AG405" s="1226"/>
      <c r="AH405" s="1226"/>
      <c r="AI405" s="841"/>
      <c r="AJ405" s="841"/>
      <c r="AK405" s="841"/>
      <c r="AL405" s="841"/>
      <c r="AM405" s="841"/>
      <c r="AN405" s="841"/>
      <c r="AO405" s="841"/>
      <c r="AP405" s="841"/>
      <c r="AQ405" s="841"/>
      <c r="AR405" s="841"/>
      <c r="AS405" s="842"/>
    </row>
    <row r="406" spans="1:45">
      <c r="A406" s="841"/>
      <c r="B406" s="841"/>
      <c r="C406" s="841"/>
      <c r="D406" s="841"/>
      <c r="E406" s="841"/>
      <c r="F406" s="841"/>
      <c r="G406" s="841"/>
      <c r="H406" s="841"/>
      <c r="I406" s="841"/>
      <c r="J406" s="841"/>
      <c r="K406" s="841"/>
      <c r="L406" s="841"/>
      <c r="M406" s="841"/>
      <c r="N406" s="841"/>
      <c r="O406" s="841"/>
      <c r="P406" s="841"/>
      <c r="Q406" s="841"/>
      <c r="R406" s="841"/>
      <c r="S406" s="841"/>
      <c r="T406" s="841"/>
      <c r="U406" s="841"/>
      <c r="V406" s="841"/>
      <c r="W406" s="841"/>
      <c r="X406" s="841"/>
      <c r="Y406" s="841"/>
      <c r="Z406" s="1226"/>
      <c r="AA406" s="1226"/>
      <c r="AB406" s="1226"/>
      <c r="AC406" s="1226"/>
      <c r="AD406" s="1226"/>
      <c r="AE406" s="1226"/>
      <c r="AF406" s="1226"/>
      <c r="AG406" s="1226"/>
      <c r="AH406" s="1226"/>
      <c r="AI406" s="841"/>
      <c r="AJ406" s="841"/>
      <c r="AK406" s="841"/>
      <c r="AL406" s="841"/>
      <c r="AM406" s="841"/>
      <c r="AN406" s="841"/>
      <c r="AO406" s="841"/>
      <c r="AP406" s="841"/>
      <c r="AQ406" s="841"/>
      <c r="AR406" s="841"/>
      <c r="AS406" s="842"/>
    </row>
    <row r="407" spans="1:45">
      <c r="A407" s="841"/>
      <c r="B407" s="841"/>
      <c r="C407" s="841"/>
      <c r="D407" s="841"/>
      <c r="E407" s="841"/>
      <c r="F407" s="841"/>
      <c r="G407" s="841"/>
      <c r="H407" s="841"/>
      <c r="I407" s="841"/>
      <c r="J407" s="841"/>
      <c r="K407" s="841"/>
      <c r="L407" s="841"/>
      <c r="M407" s="841"/>
      <c r="N407" s="841"/>
      <c r="O407" s="841"/>
      <c r="P407" s="841"/>
      <c r="Q407" s="841"/>
      <c r="R407" s="841"/>
      <c r="S407" s="841"/>
      <c r="T407" s="841"/>
      <c r="U407" s="841"/>
      <c r="V407" s="841"/>
      <c r="W407" s="841"/>
      <c r="X407" s="841"/>
      <c r="Y407" s="841"/>
      <c r="Z407" s="1226"/>
      <c r="AA407" s="1226"/>
      <c r="AB407" s="1226"/>
      <c r="AC407" s="1226"/>
      <c r="AD407" s="1226"/>
      <c r="AE407" s="1226"/>
      <c r="AF407" s="1226"/>
      <c r="AG407" s="1226"/>
      <c r="AH407" s="1226"/>
      <c r="AI407" s="841"/>
      <c r="AJ407" s="841"/>
      <c r="AK407" s="841"/>
      <c r="AL407" s="841"/>
      <c r="AM407" s="841"/>
      <c r="AN407" s="841"/>
      <c r="AO407" s="841"/>
      <c r="AP407" s="841"/>
      <c r="AQ407" s="841"/>
      <c r="AR407" s="841"/>
      <c r="AS407" s="842"/>
    </row>
    <row r="408" spans="1:45">
      <c r="A408" s="841"/>
      <c r="B408" s="841"/>
      <c r="C408" s="841"/>
      <c r="D408" s="841"/>
      <c r="E408" s="841"/>
      <c r="F408" s="841"/>
      <c r="G408" s="841"/>
      <c r="H408" s="841"/>
      <c r="I408" s="841"/>
      <c r="J408" s="841"/>
      <c r="K408" s="841"/>
      <c r="L408" s="841"/>
      <c r="M408" s="841"/>
      <c r="N408" s="841"/>
      <c r="O408" s="841"/>
      <c r="P408" s="841"/>
      <c r="Q408" s="841"/>
      <c r="R408" s="841"/>
      <c r="S408" s="841"/>
      <c r="T408" s="841"/>
      <c r="U408" s="841"/>
      <c r="V408" s="841"/>
      <c r="W408" s="841"/>
      <c r="X408" s="841"/>
      <c r="Y408" s="841"/>
      <c r="Z408" s="1226"/>
      <c r="AA408" s="1226"/>
      <c r="AB408" s="1226"/>
      <c r="AC408" s="1226"/>
      <c r="AD408" s="1226"/>
      <c r="AE408" s="1226"/>
      <c r="AF408" s="1226"/>
      <c r="AG408" s="1226"/>
      <c r="AH408" s="1226"/>
      <c r="AI408" s="841"/>
      <c r="AJ408" s="841"/>
      <c r="AK408" s="841"/>
      <c r="AL408" s="841"/>
      <c r="AM408" s="841"/>
      <c r="AN408" s="841"/>
      <c r="AO408" s="841"/>
      <c r="AP408" s="841"/>
      <c r="AQ408" s="841"/>
      <c r="AR408" s="841"/>
      <c r="AS408" s="842"/>
    </row>
    <row r="409" spans="1:45">
      <c r="A409" s="841"/>
      <c r="B409" s="841"/>
      <c r="C409" s="841"/>
      <c r="D409" s="841"/>
      <c r="E409" s="841"/>
      <c r="F409" s="841"/>
      <c r="G409" s="841"/>
      <c r="H409" s="841"/>
      <c r="I409" s="841"/>
      <c r="J409" s="841"/>
      <c r="K409" s="841"/>
      <c r="L409" s="841"/>
      <c r="M409" s="841"/>
      <c r="N409" s="841"/>
      <c r="O409" s="841"/>
      <c r="P409" s="841"/>
      <c r="Q409" s="841"/>
      <c r="R409" s="841"/>
      <c r="S409" s="841"/>
      <c r="T409" s="841"/>
      <c r="U409" s="841"/>
      <c r="V409" s="841"/>
      <c r="W409" s="841"/>
      <c r="X409" s="841"/>
      <c r="Y409" s="841"/>
      <c r="Z409" s="1226"/>
      <c r="AA409" s="1226"/>
      <c r="AB409" s="1226"/>
      <c r="AC409" s="1226"/>
      <c r="AD409" s="1226"/>
      <c r="AE409" s="1226"/>
      <c r="AF409" s="1226"/>
      <c r="AG409" s="1226"/>
      <c r="AH409" s="1226"/>
      <c r="AI409" s="841"/>
      <c r="AJ409" s="841"/>
      <c r="AK409" s="841"/>
      <c r="AL409" s="841"/>
      <c r="AM409" s="841"/>
      <c r="AN409" s="841"/>
      <c r="AO409" s="841"/>
      <c r="AP409" s="841"/>
      <c r="AQ409" s="841"/>
      <c r="AR409" s="841"/>
      <c r="AS409" s="842"/>
    </row>
    <row r="410" spans="1:45">
      <c r="A410" s="841"/>
      <c r="B410" s="841"/>
      <c r="C410" s="841"/>
      <c r="D410" s="841"/>
      <c r="E410" s="841"/>
      <c r="F410" s="841"/>
      <c r="G410" s="841"/>
      <c r="H410" s="841"/>
      <c r="I410" s="841"/>
      <c r="J410" s="841"/>
      <c r="K410" s="841"/>
      <c r="L410" s="841"/>
      <c r="M410" s="841"/>
      <c r="N410" s="841"/>
      <c r="O410" s="841"/>
      <c r="P410" s="841"/>
      <c r="Q410" s="841"/>
      <c r="R410" s="841"/>
      <c r="S410" s="841"/>
      <c r="T410" s="841"/>
      <c r="U410" s="841"/>
      <c r="V410" s="841"/>
      <c r="W410" s="841"/>
      <c r="X410" s="841"/>
      <c r="Y410" s="841"/>
      <c r="Z410" s="1226"/>
      <c r="AA410" s="1226"/>
      <c r="AB410" s="1226"/>
      <c r="AC410" s="1226"/>
      <c r="AD410" s="1226"/>
      <c r="AE410" s="1226"/>
      <c r="AF410" s="1226"/>
      <c r="AG410" s="1226"/>
      <c r="AH410" s="1226"/>
      <c r="AI410" s="841"/>
      <c r="AJ410" s="841"/>
      <c r="AK410" s="841"/>
      <c r="AL410" s="841"/>
      <c r="AM410" s="841"/>
      <c r="AN410" s="841"/>
      <c r="AO410" s="841"/>
      <c r="AP410" s="841"/>
      <c r="AQ410" s="841"/>
      <c r="AR410" s="841"/>
      <c r="AS410" s="842"/>
    </row>
    <row r="411" spans="1:45">
      <c r="A411" s="841"/>
      <c r="B411" s="841"/>
      <c r="C411" s="841"/>
      <c r="D411" s="841"/>
      <c r="E411" s="841"/>
      <c r="F411" s="841"/>
      <c r="G411" s="841"/>
      <c r="H411" s="841"/>
      <c r="I411" s="841"/>
      <c r="J411" s="841"/>
      <c r="K411" s="841"/>
      <c r="L411" s="841"/>
      <c r="M411" s="841"/>
      <c r="N411" s="841"/>
      <c r="O411" s="841"/>
      <c r="P411" s="841"/>
      <c r="Q411" s="841"/>
      <c r="R411" s="841"/>
      <c r="S411" s="841"/>
      <c r="T411" s="841"/>
      <c r="U411" s="841"/>
      <c r="V411" s="841"/>
      <c r="W411" s="841"/>
      <c r="X411" s="841"/>
      <c r="Y411" s="841"/>
      <c r="Z411" s="1226"/>
      <c r="AA411" s="1226"/>
      <c r="AB411" s="1226"/>
      <c r="AC411" s="1226"/>
      <c r="AD411" s="1226"/>
      <c r="AE411" s="1226"/>
      <c r="AF411" s="1226"/>
      <c r="AG411" s="1226"/>
      <c r="AH411" s="1226"/>
      <c r="AI411" s="841"/>
      <c r="AJ411" s="841"/>
      <c r="AK411" s="841"/>
      <c r="AL411" s="841"/>
      <c r="AM411" s="841"/>
      <c r="AN411" s="841"/>
      <c r="AO411" s="841"/>
      <c r="AP411" s="841"/>
      <c r="AQ411" s="841"/>
      <c r="AR411" s="841"/>
      <c r="AS411" s="842"/>
    </row>
    <row r="412" spans="1:45">
      <c r="A412" s="841"/>
      <c r="B412" s="841"/>
      <c r="C412" s="841"/>
      <c r="D412" s="841"/>
      <c r="E412" s="841"/>
      <c r="F412" s="841"/>
      <c r="G412" s="841"/>
      <c r="H412" s="841"/>
      <c r="I412" s="841"/>
      <c r="J412" s="841"/>
      <c r="K412" s="841"/>
      <c r="L412" s="841"/>
      <c r="M412" s="841"/>
      <c r="N412" s="841"/>
      <c r="O412" s="841"/>
      <c r="P412" s="841"/>
      <c r="Q412" s="841"/>
      <c r="R412" s="841"/>
      <c r="S412" s="841"/>
      <c r="T412" s="841"/>
      <c r="U412" s="841"/>
      <c r="V412" s="841"/>
      <c r="W412" s="841"/>
      <c r="X412" s="841"/>
      <c r="Y412" s="841"/>
      <c r="Z412" s="1226"/>
      <c r="AA412" s="1226"/>
      <c r="AB412" s="1226"/>
      <c r="AC412" s="1226"/>
      <c r="AD412" s="1226"/>
      <c r="AE412" s="1226"/>
      <c r="AF412" s="1226"/>
      <c r="AG412" s="1226"/>
      <c r="AH412" s="1226"/>
      <c r="AI412" s="841"/>
      <c r="AJ412" s="841"/>
      <c r="AK412" s="841"/>
      <c r="AL412" s="841"/>
      <c r="AM412" s="841"/>
      <c r="AN412" s="841"/>
      <c r="AO412" s="841"/>
      <c r="AP412" s="841"/>
      <c r="AQ412" s="841"/>
      <c r="AR412" s="841"/>
      <c r="AS412" s="842"/>
    </row>
    <row r="413" spans="1:45">
      <c r="A413" s="841"/>
      <c r="B413" s="841"/>
      <c r="C413" s="841"/>
      <c r="D413" s="841"/>
      <c r="E413" s="841"/>
      <c r="F413" s="841"/>
      <c r="G413" s="841"/>
      <c r="H413" s="841"/>
      <c r="I413" s="841"/>
      <c r="J413" s="841"/>
      <c r="K413" s="841"/>
      <c r="L413" s="841"/>
      <c r="M413" s="841"/>
      <c r="N413" s="841"/>
      <c r="O413" s="841"/>
      <c r="P413" s="841"/>
      <c r="Q413" s="841"/>
      <c r="R413" s="841"/>
      <c r="S413" s="841"/>
      <c r="T413" s="841"/>
      <c r="U413" s="841"/>
      <c r="V413" s="841"/>
      <c r="W413" s="841"/>
      <c r="X413" s="841"/>
      <c r="Y413" s="841"/>
      <c r="Z413" s="1226"/>
      <c r="AA413" s="1226"/>
      <c r="AB413" s="1226"/>
      <c r="AC413" s="1226"/>
      <c r="AD413" s="1226"/>
      <c r="AE413" s="1226"/>
      <c r="AF413" s="1226"/>
      <c r="AG413" s="1226"/>
      <c r="AH413" s="1226"/>
      <c r="AI413" s="841"/>
      <c r="AJ413" s="841"/>
      <c r="AK413" s="841"/>
      <c r="AL413" s="841"/>
      <c r="AM413" s="841"/>
      <c r="AN413" s="841"/>
      <c r="AO413" s="841"/>
      <c r="AP413" s="841"/>
      <c r="AQ413" s="841"/>
      <c r="AR413" s="841"/>
      <c r="AS413" s="842"/>
    </row>
    <row r="414" spans="1:45">
      <c r="A414" s="841"/>
      <c r="B414" s="841"/>
      <c r="C414" s="841"/>
      <c r="D414" s="841"/>
      <c r="E414" s="841"/>
      <c r="F414" s="841"/>
      <c r="G414" s="841"/>
      <c r="H414" s="841"/>
      <c r="I414" s="841"/>
      <c r="J414" s="841"/>
      <c r="K414" s="841"/>
      <c r="L414" s="841"/>
      <c r="M414" s="841"/>
      <c r="N414" s="841"/>
      <c r="O414" s="841"/>
      <c r="P414" s="841"/>
      <c r="Q414" s="841"/>
      <c r="R414" s="841"/>
      <c r="S414" s="841"/>
      <c r="T414" s="841"/>
      <c r="U414" s="841"/>
      <c r="V414" s="841"/>
      <c r="W414" s="841"/>
      <c r="X414" s="841"/>
      <c r="Y414" s="841"/>
      <c r="Z414" s="1226"/>
      <c r="AA414" s="1226"/>
      <c r="AB414" s="1226"/>
      <c r="AC414" s="1226"/>
      <c r="AD414" s="1226"/>
      <c r="AE414" s="1226"/>
      <c r="AF414" s="1226"/>
      <c r="AG414" s="1226"/>
      <c r="AH414" s="1226"/>
      <c r="AI414" s="841"/>
      <c r="AJ414" s="841"/>
      <c r="AK414" s="841"/>
      <c r="AL414" s="841"/>
      <c r="AM414" s="841"/>
      <c r="AN414" s="841"/>
      <c r="AO414" s="841"/>
      <c r="AP414" s="841"/>
      <c r="AQ414" s="841"/>
      <c r="AR414" s="841"/>
      <c r="AS414" s="842"/>
    </row>
    <row r="415" spans="1:45">
      <c r="A415" s="841"/>
      <c r="B415" s="841"/>
      <c r="C415" s="841"/>
      <c r="D415" s="841"/>
      <c r="E415" s="841"/>
      <c r="F415" s="841"/>
      <c r="G415" s="841"/>
      <c r="H415" s="841"/>
      <c r="I415" s="841"/>
      <c r="J415" s="841"/>
      <c r="K415" s="841"/>
      <c r="L415" s="841"/>
      <c r="M415" s="841"/>
      <c r="N415" s="841"/>
      <c r="O415" s="841"/>
      <c r="P415" s="841"/>
      <c r="Q415" s="841"/>
      <c r="R415" s="841"/>
      <c r="S415" s="841"/>
      <c r="T415" s="841"/>
      <c r="U415" s="841"/>
      <c r="V415" s="841"/>
      <c r="W415" s="841"/>
      <c r="X415" s="841"/>
      <c r="Y415" s="841"/>
      <c r="Z415" s="1226"/>
      <c r="AA415" s="1226"/>
      <c r="AB415" s="1226"/>
      <c r="AC415" s="1226"/>
      <c r="AD415" s="1226"/>
      <c r="AE415" s="1226"/>
      <c r="AF415" s="1226"/>
      <c r="AG415" s="1226"/>
      <c r="AH415" s="1226"/>
      <c r="AI415" s="841"/>
      <c r="AJ415" s="841"/>
      <c r="AK415" s="841"/>
      <c r="AL415" s="841"/>
      <c r="AM415" s="841"/>
      <c r="AN415" s="841"/>
      <c r="AO415" s="841"/>
      <c r="AP415" s="841"/>
      <c r="AQ415" s="841"/>
      <c r="AR415" s="841"/>
      <c r="AS415" s="842"/>
    </row>
    <row r="416" spans="1:45">
      <c r="A416" s="841"/>
      <c r="B416" s="841"/>
      <c r="C416" s="841"/>
      <c r="D416" s="841"/>
      <c r="E416" s="841"/>
      <c r="F416" s="841"/>
      <c r="G416" s="841"/>
      <c r="H416" s="841"/>
      <c r="I416" s="841"/>
      <c r="J416" s="841"/>
      <c r="K416" s="841"/>
      <c r="L416" s="841"/>
      <c r="M416" s="841"/>
      <c r="N416" s="841"/>
      <c r="O416" s="841"/>
      <c r="P416" s="841"/>
      <c r="Q416" s="841"/>
      <c r="R416" s="841"/>
      <c r="S416" s="841"/>
      <c r="T416" s="841"/>
      <c r="U416" s="841"/>
      <c r="V416" s="841"/>
      <c r="W416" s="841"/>
      <c r="X416" s="841"/>
      <c r="Y416" s="841"/>
      <c r="Z416" s="1226"/>
      <c r="AA416" s="1226"/>
      <c r="AB416" s="1226"/>
      <c r="AC416" s="1226"/>
      <c r="AD416" s="1226"/>
      <c r="AE416" s="1226"/>
      <c r="AF416" s="1226"/>
      <c r="AG416" s="1226"/>
      <c r="AH416" s="1226"/>
      <c r="AI416" s="841"/>
      <c r="AJ416" s="841"/>
      <c r="AK416" s="841"/>
      <c r="AL416" s="841"/>
      <c r="AM416" s="841"/>
      <c r="AN416" s="841"/>
      <c r="AO416" s="841"/>
      <c r="AP416" s="841"/>
      <c r="AQ416" s="841"/>
      <c r="AR416" s="841"/>
      <c r="AS416" s="842"/>
    </row>
    <row r="417" spans="1:45">
      <c r="A417" s="841"/>
      <c r="B417" s="841"/>
      <c r="C417" s="841"/>
      <c r="D417" s="841"/>
      <c r="E417" s="841"/>
      <c r="F417" s="841"/>
      <c r="G417" s="841"/>
      <c r="H417" s="841"/>
      <c r="I417" s="841"/>
      <c r="J417" s="841"/>
      <c r="K417" s="841"/>
      <c r="L417" s="841"/>
      <c r="M417" s="841"/>
      <c r="N417" s="841"/>
      <c r="O417" s="841"/>
      <c r="P417" s="841"/>
      <c r="Q417" s="841"/>
      <c r="R417" s="841"/>
      <c r="S417" s="841"/>
      <c r="T417" s="841"/>
      <c r="U417" s="841"/>
      <c r="V417" s="841"/>
      <c r="W417" s="841"/>
      <c r="X417" s="841"/>
      <c r="Y417" s="841"/>
      <c r="Z417" s="1226"/>
      <c r="AA417" s="1226"/>
      <c r="AB417" s="1226"/>
      <c r="AC417" s="1226"/>
      <c r="AD417" s="1226"/>
      <c r="AE417" s="1226"/>
      <c r="AF417" s="1226"/>
      <c r="AG417" s="1226"/>
      <c r="AH417" s="1226"/>
      <c r="AI417" s="841"/>
      <c r="AJ417" s="841"/>
      <c r="AK417" s="841"/>
      <c r="AL417" s="841"/>
      <c r="AM417" s="841"/>
      <c r="AN417" s="841"/>
      <c r="AO417" s="841"/>
      <c r="AP417" s="841"/>
      <c r="AQ417" s="841"/>
      <c r="AR417" s="841"/>
      <c r="AS417" s="842"/>
    </row>
    <row r="418" spans="1:45">
      <c r="A418" s="841"/>
      <c r="B418" s="841"/>
      <c r="C418" s="841"/>
      <c r="D418" s="841"/>
      <c r="E418" s="841"/>
      <c r="F418" s="841"/>
      <c r="G418" s="841"/>
      <c r="H418" s="841"/>
      <c r="I418" s="841"/>
      <c r="J418" s="841"/>
      <c r="K418" s="841"/>
      <c r="L418" s="841"/>
      <c r="M418" s="841"/>
      <c r="N418" s="841"/>
      <c r="O418" s="841"/>
      <c r="P418" s="841"/>
      <c r="Q418" s="841"/>
      <c r="R418" s="841"/>
      <c r="S418" s="841"/>
      <c r="T418" s="841"/>
      <c r="U418" s="841"/>
      <c r="V418" s="841"/>
      <c r="W418" s="841"/>
      <c r="X418" s="841"/>
      <c r="Y418" s="841"/>
      <c r="Z418" s="1226"/>
      <c r="AA418" s="1226"/>
      <c r="AB418" s="1226"/>
      <c r="AC418" s="1226"/>
      <c r="AD418" s="1226"/>
      <c r="AE418" s="1226"/>
      <c r="AF418" s="1226"/>
      <c r="AG418" s="1226"/>
      <c r="AH418" s="1226"/>
      <c r="AI418" s="841"/>
      <c r="AJ418" s="841"/>
      <c r="AK418" s="841"/>
      <c r="AL418" s="841"/>
      <c r="AM418" s="841"/>
      <c r="AN418" s="841"/>
      <c r="AO418" s="841"/>
      <c r="AP418" s="841"/>
      <c r="AQ418" s="841"/>
      <c r="AR418" s="841"/>
      <c r="AS418" s="842"/>
    </row>
    <row r="419" spans="1:45">
      <c r="A419" s="841"/>
      <c r="B419" s="841"/>
      <c r="C419" s="841"/>
      <c r="D419" s="841"/>
      <c r="E419" s="841"/>
      <c r="F419" s="841"/>
      <c r="G419" s="841"/>
      <c r="H419" s="841"/>
      <c r="I419" s="841"/>
      <c r="J419" s="841"/>
      <c r="K419" s="841"/>
      <c r="L419" s="841"/>
      <c r="M419" s="841"/>
      <c r="N419" s="841"/>
      <c r="O419" s="841"/>
      <c r="P419" s="841"/>
      <c r="Q419" s="841"/>
      <c r="R419" s="841"/>
      <c r="S419" s="841"/>
      <c r="T419" s="841"/>
      <c r="U419" s="841"/>
      <c r="V419" s="841"/>
      <c r="W419" s="841"/>
      <c r="X419" s="841"/>
      <c r="Y419" s="841"/>
      <c r="Z419" s="1226"/>
      <c r="AA419" s="1226"/>
      <c r="AB419" s="1226"/>
      <c r="AC419" s="1226"/>
      <c r="AD419" s="1226"/>
      <c r="AE419" s="1226"/>
      <c r="AF419" s="1226"/>
      <c r="AG419" s="1226"/>
      <c r="AH419" s="1226"/>
      <c r="AI419" s="841"/>
      <c r="AJ419" s="841"/>
      <c r="AK419" s="841"/>
      <c r="AL419" s="841"/>
      <c r="AM419" s="841"/>
      <c r="AN419" s="841"/>
      <c r="AO419" s="841"/>
      <c r="AP419" s="841"/>
      <c r="AQ419" s="841"/>
      <c r="AR419" s="841"/>
      <c r="AS419" s="842"/>
    </row>
    <row r="420" spans="1:45">
      <c r="A420" s="841"/>
      <c r="B420" s="841"/>
      <c r="C420" s="841"/>
      <c r="D420" s="841"/>
      <c r="E420" s="841"/>
      <c r="F420" s="841"/>
      <c r="G420" s="841"/>
      <c r="H420" s="841"/>
      <c r="I420" s="841"/>
      <c r="J420" s="841"/>
      <c r="K420" s="841"/>
      <c r="L420" s="841"/>
      <c r="M420" s="841"/>
      <c r="N420" s="841"/>
      <c r="O420" s="841"/>
      <c r="P420" s="841"/>
      <c r="Q420" s="841"/>
      <c r="R420" s="841"/>
      <c r="S420" s="841"/>
      <c r="T420" s="841"/>
      <c r="U420" s="841"/>
      <c r="V420" s="841"/>
      <c r="W420" s="841"/>
      <c r="X420" s="841"/>
      <c r="Y420" s="841"/>
      <c r="Z420" s="1226"/>
      <c r="AA420" s="1226"/>
      <c r="AB420" s="1226"/>
      <c r="AC420" s="1226"/>
      <c r="AD420" s="1226"/>
      <c r="AE420" s="1226"/>
      <c r="AF420" s="1226"/>
      <c r="AG420" s="1226"/>
      <c r="AH420" s="1226"/>
      <c r="AI420" s="841"/>
      <c r="AJ420" s="841"/>
      <c r="AK420" s="841"/>
      <c r="AL420" s="841"/>
      <c r="AM420" s="841"/>
      <c r="AN420" s="841"/>
      <c r="AO420" s="841"/>
      <c r="AP420" s="841"/>
      <c r="AQ420" s="841"/>
      <c r="AR420" s="841"/>
      <c r="AS420" s="842"/>
    </row>
    <row r="421" spans="1:45">
      <c r="A421" s="841"/>
      <c r="B421" s="841"/>
      <c r="C421" s="841"/>
      <c r="D421" s="841"/>
      <c r="E421" s="841"/>
      <c r="F421" s="841"/>
      <c r="G421" s="841"/>
      <c r="H421" s="841"/>
      <c r="I421" s="841"/>
      <c r="J421" s="841"/>
      <c r="K421" s="841"/>
      <c r="L421" s="841"/>
      <c r="M421" s="841"/>
      <c r="N421" s="841"/>
      <c r="O421" s="841"/>
      <c r="P421" s="841"/>
      <c r="Q421" s="841"/>
      <c r="R421" s="841"/>
      <c r="S421" s="841"/>
      <c r="T421" s="841"/>
      <c r="U421" s="841"/>
      <c r="V421" s="841"/>
      <c r="W421" s="841"/>
      <c r="X421" s="841"/>
      <c r="Y421" s="841"/>
      <c r="Z421" s="1226"/>
      <c r="AA421" s="1226"/>
      <c r="AB421" s="1226"/>
      <c r="AC421" s="1226"/>
      <c r="AD421" s="1226"/>
      <c r="AE421" s="1226"/>
      <c r="AF421" s="1226"/>
      <c r="AG421" s="1226"/>
      <c r="AH421" s="1226"/>
      <c r="AI421" s="841"/>
      <c r="AJ421" s="841"/>
      <c r="AK421" s="841"/>
      <c r="AL421" s="841"/>
      <c r="AM421" s="841"/>
      <c r="AN421" s="841"/>
      <c r="AO421" s="841"/>
      <c r="AP421" s="841"/>
      <c r="AQ421" s="841"/>
      <c r="AR421" s="841"/>
      <c r="AS421" s="842"/>
    </row>
    <row r="422" spans="1:45">
      <c r="A422" s="841"/>
      <c r="B422" s="841"/>
      <c r="C422" s="841"/>
      <c r="D422" s="841"/>
      <c r="E422" s="841"/>
      <c r="F422" s="841"/>
      <c r="G422" s="841"/>
      <c r="H422" s="841"/>
      <c r="I422" s="841"/>
      <c r="J422" s="841"/>
      <c r="K422" s="841"/>
      <c r="L422" s="841"/>
      <c r="M422" s="841"/>
      <c r="N422" s="841"/>
      <c r="O422" s="841"/>
      <c r="P422" s="841"/>
      <c r="Q422" s="841"/>
      <c r="R422" s="841"/>
      <c r="S422" s="841"/>
      <c r="T422" s="841"/>
      <c r="U422" s="841"/>
      <c r="V422" s="841"/>
      <c r="W422" s="841"/>
      <c r="X422" s="841"/>
      <c r="Y422" s="841"/>
      <c r="Z422" s="1226"/>
      <c r="AA422" s="1226"/>
      <c r="AB422" s="1226"/>
      <c r="AC422" s="1226"/>
      <c r="AD422" s="1226"/>
      <c r="AE422" s="1226"/>
      <c r="AF422" s="1226"/>
      <c r="AG422" s="1226"/>
      <c r="AH422" s="1226"/>
      <c r="AI422" s="841"/>
      <c r="AJ422" s="841"/>
      <c r="AK422" s="841"/>
      <c r="AL422" s="841"/>
      <c r="AM422" s="841"/>
      <c r="AN422" s="841"/>
      <c r="AO422" s="841"/>
      <c r="AP422" s="841"/>
      <c r="AQ422" s="841"/>
      <c r="AR422" s="841"/>
      <c r="AS422" s="842"/>
    </row>
    <row r="423" spans="1:45">
      <c r="A423" s="841"/>
      <c r="B423" s="841"/>
      <c r="C423" s="841"/>
      <c r="D423" s="841"/>
      <c r="E423" s="841"/>
      <c r="F423" s="841"/>
      <c r="G423" s="841"/>
      <c r="H423" s="841"/>
      <c r="I423" s="841"/>
      <c r="J423" s="841"/>
      <c r="K423" s="841"/>
      <c r="L423" s="841"/>
      <c r="M423" s="841"/>
      <c r="N423" s="841"/>
      <c r="O423" s="841"/>
      <c r="P423" s="841"/>
      <c r="Q423" s="841"/>
      <c r="R423" s="841"/>
      <c r="S423" s="841"/>
      <c r="T423" s="841"/>
      <c r="U423" s="841"/>
      <c r="V423" s="841"/>
      <c r="W423" s="841"/>
      <c r="X423" s="841"/>
      <c r="Y423" s="841"/>
      <c r="Z423" s="1226"/>
      <c r="AA423" s="1226"/>
      <c r="AB423" s="1226"/>
      <c r="AC423" s="1226"/>
      <c r="AD423" s="1226"/>
      <c r="AE423" s="1226"/>
      <c r="AF423" s="1226"/>
      <c r="AG423" s="1226"/>
      <c r="AH423" s="1226"/>
      <c r="AI423" s="841"/>
      <c r="AJ423" s="841"/>
      <c r="AK423" s="841"/>
      <c r="AL423" s="841"/>
      <c r="AM423" s="841"/>
      <c r="AN423" s="841"/>
      <c r="AO423" s="841"/>
      <c r="AP423" s="841"/>
      <c r="AQ423" s="841"/>
      <c r="AR423" s="841"/>
      <c r="AS423" s="842"/>
    </row>
    <row r="424" spans="1:45">
      <c r="A424" s="841"/>
      <c r="B424" s="841"/>
      <c r="C424" s="841"/>
      <c r="D424" s="841"/>
      <c r="E424" s="841"/>
      <c r="F424" s="841"/>
      <c r="G424" s="841"/>
      <c r="H424" s="841"/>
      <c r="I424" s="841"/>
      <c r="J424" s="841"/>
      <c r="K424" s="841"/>
      <c r="L424" s="841"/>
      <c r="M424" s="841"/>
      <c r="N424" s="841"/>
      <c r="O424" s="841"/>
      <c r="P424" s="841"/>
      <c r="Q424" s="841"/>
      <c r="R424" s="841"/>
      <c r="S424" s="841"/>
      <c r="T424" s="841"/>
      <c r="U424" s="841"/>
      <c r="V424" s="841"/>
      <c r="W424" s="841"/>
      <c r="X424" s="841"/>
      <c r="Y424" s="841"/>
      <c r="Z424" s="1226"/>
      <c r="AA424" s="1226"/>
      <c r="AB424" s="1226"/>
      <c r="AC424" s="1226"/>
      <c r="AD424" s="1226"/>
      <c r="AE424" s="1226"/>
      <c r="AF424" s="1226"/>
      <c r="AG424" s="1226"/>
      <c r="AH424" s="1226"/>
      <c r="AI424" s="841"/>
      <c r="AJ424" s="841"/>
      <c r="AK424" s="841"/>
      <c r="AL424" s="841"/>
      <c r="AM424" s="841"/>
      <c r="AN424" s="841"/>
      <c r="AO424" s="841"/>
      <c r="AP424" s="841"/>
      <c r="AQ424" s="841"/>
      <c r="AR424" s="841"/>
      <c r="AS424" s="842"/>
    </row>
    <row r="425" spans="1:45">
      <c r="A425" s="841"/>
      <c r="B425" s="841"/>
      <c r="C425" s="841"/>
      <c r="D425" s="841"/>
      <c r="E425" s="841"/>
      <c r="F425" s="841"/>
      <c r="G425" s="841"/>
      <c r="H425" s="841"/>
      <c r="I425" s="841"/>
      <c r="J425" s="841"/>
      <c r="K425" s="841"/>
      <c r="L425" s="841"/>
      <c r="M425" s="841"/>
      <c r="N425" s="841"/>
      <c r="O425" s="841"/>
      <c r="P425" s="841"/>
      <c r="Q425" s="841"/>
      <c r="R425" s="841"/>
      <c r="S425" s="841"/>
      <c r="T425" s="841"/>
      <c r="U425" s="841"/>
      <c r="V425" s="841"/>
      <c r="W425" s="841"/>
      <c r="X425" s="841"/>
      <c r="Y425" s="841"/>
      <c r="Z425" s="1226"/>
      <c r="AA425" s="1226"/>
      <c r="AB425" s="1226"/>
      <c r="AC425" s="1226"/>
      <c r="AD425" s="1226"/>
      <c r="AE425" s="1226"/>
      <c r="AF425" s="1226"/>
      <c r="AG425" s="1226"/>
      <c r="AH425" s="1226"/>
      <c r="AI425" s="841"/>
      <c r="AJ425" s="841"/>
      <c r="AK425" s="841"/>
      <c r="AL425" s="841"/>
      <c r="AM425" s="841"/>
      <c r="AN425" s="841"/>
      <c r="AO425" s="841"/>
      <c r="AP425" s="841"/>
      <c r="AQ425" s="841"/>
      <c r="AR425" s="841"/>
      <c r="AS425" s="842"/>
    </row>
    <row r="426" spans="1:45">
      <c r="A426" s="841"/>
      <c r="B426" s="841"/>
      <c r="C426" s="841"/>
      <c r="D426" s="841"/>
      <c r="E426" s="841"/>
      <c r="F426" s="841"/>
      <c r="G426" s="841"/>
      <c r="H426" s="841"/>
      <c r="I426" s="841"/>
      <c r="J426" s="841"/>
      <c r="K426" s="841"/>
      <c r="L426" s="841"/>
      <c r="M426" s="841"/>
      <c r="N426" s="841"/>
      <c r="O426" s="841"/>
      <c r="P426" s="841"/>
      <c r="Q426" s="841"/>
      <c r="R426" s="841"/>
      <c r="S426" s="841"/>
      <c r="T426" s="841"/>
      <c r="U426" s="841"/>
      <c r="V426" s="841"/>
      <c r="W426" s="841"/>
      <c r="X426" s="841"/>
      <c r="Y426" s="841"/>
      <c r="Z426" s="1226"/>
      <c r="AA426" s="1226"/>
      <c r="AB426" s="1226"/>
      <c r="AC426" s="1226"/>
      <c r="AD426" s="1226"/>
      <c r="AE426" s="1226"/>
      <c r="AF426" s="1226"/>
      <c r="AG426" s="1226"/>
      <c r="AH426" s="1226"/>
      <c r="AI426" s="841"/>
      <c r="AJ426" s="841"/>
      <c r="AK426" s="841"/>
      <c r="AL426" s="841"/>
      <c r="AM426" s="841"/>
      <c r="AN426" s="841"/>
      <c r="AO426" s="841"/>
      <c r="AP426" s="841"/>
      <c r="AQ426" s="841"/>
      <c r="AR426" s="841"/>
      <c r="AS426" s="842"/>
    </row>
    <row r="427" spans="1:45">
      <c r="A427" s="841"/>
      <c r="B427" s="841"/>
      <c r="C427" s="841"/>
      <c r="D427" s="841"/>
      <c r="E427" s="841"/>
      <c r="F427" s="841"/>
      <c r="G427" s="841"/>
      <c r="H427" s="841"/>
      <c r="I427" s="841"/>
      <c r="J427" s="841"/>
      <c r="K427" s="841"/>
      <c r="L427" s="841"/>
      <c r="M427" s="841"/>
      <c r="N427" s="841"/>
      <c r="O427" s="841"/>
      <c r="P427" s="841"/>
      <c r="Q427" s="841"/>
      <c r="R427" s="841"/>
      <c r="S427" s="841"/>
      <c r="T427" s="841"/>
      <c r="U427" s="841"/>
      <c r="V427" s="841"/>
      <c r="W427" s="841"/>
      <c r="X427" s="841"/>
      <c r="Y427" s="841"/>
      <c r="Z427" s="1226"/>
      <c r="AA427" s="1226"/>
      <c r="AB427" s="1226"/>
      <c r="AC427" s="1226"/>
      <c r="AD427" s="1226"/>
      <c r="AE427" s="1226"/>
      <c r="AF427" s="1226"/>
      <c r="AG427" s="1226"/>
      <c r="AH427" s="1226"/>
      <c r="AI427" s="841"/>
      <c r="AJ427" s="841"/>
      <c r="AK427" s="841"/>
      <c r="AL427" s="841"/>
      <c r="AM427" s="841"/>
      <c r="AN427" s="841"/>
      <c r="AO427" s="841"/>
      <c r="AP427" s="841"/>
      <c r="AQ427" s="841"/>
      <c r="AR427" s="841"/>
      <c r="AS427" s="842"/>
    </row>
    <row r="428" spans="1:45">
      <c r="A428" s="841"/>
      <c r="B428" s="841"/>
      <c r="C428" s="841"/>
      <c r="D428" s="841"/>
      <c r="E428" s="841"/>
      <c r="F428" s="841"/>
      <c r="G428" s="841"/>
      <c r="H428" s="841"/>
      <c r="I428" s="841"/>
      <c r="J428" s="841"/>
      <c r="K428" s="841"/>
      <c r="L428" s="841"/>
      <c r="M428" s="841"/>
      <c r="N428" s="841"/>
      <c r="O428" s="841"/>
      <c r="P428" s="841"/>
      <c r="Q428" s="841"/>
      <c r="R428" s="841"/>
      <c r="S428" s="841"/>
      <c r="T428" s="841"/>
      <c r="U428" s="841"/>
      <c r="V428" s="841"/>
      <c r="W428" s="841"/>
      <c r="X428" s="841"/>
      <c r="Y428" s="841"/>
      <c r="Z428" s="1226"/>
      <c r="AA428" s="1226"/>
      <c r="AB428" s="1226"/>
      <c r="AC428" s="1226"/>
      <c r="AD428" s="1226"/>
      <c r="AE428" s="1226"/>
      <c r="AF428" s="1226"/>
      <c r="AG428" s="1226"/>
      <c r="AH428" s="1226"/>
      <c r="AI428" s="841"/>
      <c r="AJ428" s="841"/>
      <c r="AK428" s="841"/>
      <c r="AL428" s="841"/>
      <c r="AM428" s="841"/>
      <c r="AN428" s="841"/>
      <c r="AO428" s="841"/>
      <c r="AP428" s="841"/>
      <c r="AQ428" s="841"/>
      <c r="AR428" s="841"/>
      <c r="AS428" s="842"/>
    </row>
    <row r="429" spans="1:45">
      <c r="A429" s="841"/>
      <c r="B429" s="841"/>
      <c r="C429" s="841"/>
      <c r="D429" s="841"/>
      <c r="E429" s="841"/>
      <c r="F429" s="841"/>
      <c r="G429" s="841"/>
      <c r="H429" s="841"/>
      <c r="I429" s="841"/>
      <c r="J429" s="841"/>
      <c r="K429" s="841"/>
      <c r="L429" s="841"/>
      <c r="M429" s="841"/>
      <c r="N429" s="841"/>
      <c r="O429" s="841"/>
      <c r="P429" s="841"/>
      <c r="Q429" s="841"/>
      <c r="R429" s="841"/>
      <c r="S429" s="841"/>
      <c r="T429" s="841"/>
      <c r="U429" s="841"/>
      <c r="V429" s="841"/>
      <c r="W429" s="841"/>
      <c r="X429" s="841"/>
      <c r="Y429" s="841"/>
      <c r="Z429" s="1226"/>
      <c r="AA429" s="1226"/>
      <c r="AB429" s="1226"/>
      <c r="AC429" s="1226"/>
      <c r="AD429" s="1226"/>
      <c r="AE429" s="1226"/>
      <c r="AF429" s="1226"/>
      <c r="AG429" s="1226"/>
      <c r="AH429" s="1226"/>
      <c r="AI429" s="841"/>
      <c r="AJ429" s="841"/>
      <c r="AK429" s="841"/>
      <c r="AL429" s="841"/>
      <c r="AM429" s="841"/>
      <c r="AN429" s="841"/>
      <c r="AO429" s="841"/>
      <c r="AP429" s="841"/>
      <c r="AQ429" s="841"/>
      <c r="AR429" s="841"/>
      <c r="AS429" s="842"/>
    </row>
    <row r="430" spans="1:45">
      <c r="A430" s="841"/>
      <c r="B430" s="841"/>
      <c r="C430" s="841"/>
      <c r="D430" s="841"/>
      <c r="E430" s="841"/>
      <c r="F430" s="841"/>
      <c r="G430" s="841"/>
      <c r="H430" s="841"/>
      <c r="I430" s="841"/>
      <c r="J430" s="841"/>
      <c r="K430" s="841"/>
      <c r="L430" s="841"/>
      <c r="M430" s="841"/>
      <c r="N430" s="841"/>
      <c r="O430" s="841"/>
      <c r="P430" s="841"/>
      <c r="Q430" s="841"/>
      <c r="R430" s="841"/>
      <c r="S430" s="841"/>
      <c r="T430" s="841"/>
      <c r="U430" s="841"/>
      <c r="V430" s="841"/>
      <c r="W430" s="841"/>
      <c r="X430" s="841"/>
      <c r="Y430" s="841"/>
      <c r="Z430" s="1226"/>
      <c r="AA430" s="1226"/>
      <c r="AB430" s="1226"/>
      <c r="AC430" s="1226"/>
      <c r="AD430" s="1226"/>
      <c r="AE430" s="1226"/>
      <c r="AF430" s="1226"/>
      <c r="AG430" s="1226"/>
      <c r="AH430" s="1226"/>
      <c r="AI430" s="841"/>
      <c r="AJ430" s="841"/>
      <c r="AK430" s="841"/>
      <c r="AL430" s="841"/>
      <c r="AM430" s="841"/>
      <c r="AN430" s="841"/>
      <c r="AO430" s="841"/>
      <c r="AP430" s="841"/>
      <c r="AQ430" s="841"/>
      <c r="AR430" s="841"/>
      <c r="AS430" s="842"/>
    </row>
    <row r="431" spans="1:45">
      <c r="A431" s="841"/>
      <c r="B431" s="841"/>
      <c r="C431" s="841"/>
      <c r="D431" s="841"/>
      <c r="E431" s="841"/>
      <c r="F431" s="841"/>
      <c r="G431" s="841"/>
      <c r="H431" s="841"/>
      <c r="I431" s="841"/>
      <c r="J431" s="841"/>
      <c r="K431" s="841"/>
      <c r="L431" s="841"/>
      <c r="M431" s="841"/>
      <c r="N431" s="841"/>
      <c r="O431" s="841"/>
      <c r="P431" s="841"/>
      <c r="Q431" s="841"/>
      <c r="R431" s="841"/>
      <c r="S431" s="841"/>
      <c r="T431" s="841"/>
      <c r="U431" s="841"/>
      <c r="V431" s="841"/>
      <c r="W431" s="841"/>
      <c r="X431" s="841"/>
      <c r="Y431" s="841"/>
      <c r="Z431" s="1226"/>
      <c r="AA431" s="1226"/>
      <c r="AB431" s="1226"/>
      <c r="AC431" s="1226"/>
      <c r="AD431" s="1226"/>
      <c r="AE431" s="1226"/>
      <c r="AF431" s="1226"/>
      <c r="AG431" s="1226"/>
      <c r="AH431" s="1226"/>
      <c r="AI431" s="841"/>
      <c r="AJ431" s="841"/>
      <c r="AK431" s="841"/>
      <c r="AL431" s="841"/>
      <c r="AM431" s="841"/>
      <c r="AN431" s="841"/>
      <c r="AO431" s="841"/>
      <c r="AP431" s="841"/>
      <c r="AQ431" s="841"/>
      <c r="AR431" s="841"/>
      <c r="AS431" s="842"/>
    </row>
    <row r="432" spans="1:45">
      <c r="A432" s="841"/>
      <c r="B432" s="841"/>
      <c r="C432" s="841"/>
      <c r="D432" s="841"/>
      <c r="E432" s="841"/>
      <c r="F432" s="841"/>
      <c r="G432" s="841"/>
      <c r="H432" s="841"/>
      <c r="I432" s="841"/>
      <c r="J432" s="841"/>
      <c r="K432" s="841"/>
      <c r="L432" s="841"/>
      <c r="M432" s="841"/>
      <c r="N432" s="841"/>
      <c r="O432" s="841"/>
      <c r="P432" s="841"/>
      <c r="Q432" s="841"/>
      <c r="R432" s="841"/>
      <c r="S432" s="841"/>
      <c r="T432" s="841"/>
      <c r="U432" s="841"/>
      <c r="V432" s="841"/>
      <c r="W432" s="841"/>
      <c r="X432" s="841"/>
      <c r="Y432" s="841"/>
      <c r="Z432" s="1226"/>
      <c r="AA432" s="1226"/>
      <c r="AB432" s="1226"/>
      <c r="AC432" s="1226"/>
      <c r="AD432" s="1226"/>
      <c r="AE432" s="1226"/>
      <c r="AF432" s="1226"/>
      <c r="AG432" s="1226"/>
      <c r="AH432" s="1226"/>
      <c r="AI432" s="841"/>
      <c r="AJ432" s="841"/>
      <c r="AK432" s="841"/>
      <c r="AL432" s="841"/>
      <c r="AM432" s="841"/>
      <c r="AN432" s="841"/>
      <c r="AO432" s="841"/>
      <c r="AP432" s="841"/>
      <c r="AQ432" s="841"/>
      <c r="AR432" s="841"/>
      <c r="AS432" s="842"/>
    </row>
    <row r="433" spans="1:45">
      <c r="A433" s="841"/>
      <c r="B433" s="841"/>
      <c r="C433" s="841"/>
      <c r="D433" s="841"/>
      <c r="E433" s="841"/>
      <c r="F433" s="841"/>
      <c r="G433" s="841"/>
      <c r="H433" s="841"/>
      <c r="I433" s="841"/>
      <c r="J433" s="841"/>
      <c r="K433" s="841"/>
      <c r="L433" s="841"/>
      <c r="M433" s="841"/>
      <c r="N433" s="841"/>
      <c r="O433" s="841"/>
      <c r="P433" s="841"/>
      <c r="Q433" s="841"/>
      <c r="R433" s="841"/>
      <c r="S433" s="841"/>
      <c r="T433" s="841"/>
      <c r="U433" s="841"/>
      <c r="V433" s="841"/>
      <c r="W433" s="841"/>
      <c r="X433" s="841"/>
      <c r="Y433" s="841"/>
      <c r="Z433" s="1226"/>
      <c r="AA433" s="1226"/>
      <c r="AB433" s="1226"/>
      <c r="AC433" s="1226"/>
      <c r="AD433" s="1226"/>
      <c r="AE433" s="1226"/>
      <c r="AF433" s="1226"/>
      <c r="AG433" s="1226"/>
      <c r="AH433" s="1226"/>
      <c r="AI433" s="841"/>
      <c r="AJ433" s="841"/>
      <c r="AK433" s="841"/>
      <c r="AL433" s="841"/>
      <c r="AM433" s="841"/>
      <c r="AN433" s="841"/>
      <c r="AO433" s="841"/>
      <c r="AP433" s="841"/>
      <c r="AQ433" s="841"/>
      <c r="AR433" s="841"/>
      <c r="AS433" s="842"/>
    </row>
    <row r="434" spans="1:45">
      <c r="A434" s="841"/>
      <c r="B434" s="841"/>
      <c r="C434" s="841"/>
      <c r="D434" s="841"/>
      <c r="E434" s="841"/>
      <c r="F434" s="841"/>
      <c r="G434" s="841"/>
      <c r="H434" s="841"/>
      <c r="I434" s="841"/>
      <c r="J434" s="841"/>
      <c r="K434" s="841"/>
      <c r="L434" s="841"/>
      <c r="M434" s="841"/>
      <c r="N434" s="841"/>
      <c r="O434" s="841"/>
      <c r="P434" s="841"/>
      <c r="Q434" s="841"/>
      <c r="R434" s="841"/>
      <c r="S434" s="841"/>
      <c r="T434" s="841"/>
      <c r="U434" s="841"/>
      <c r="V434" s="841"/>
      <c r="W434" s="841"/>
      <c r="X434" s="841"/>
      <c r="Y434" s="841"/>
      <c r="Z434" s="1226"/>
      <c r="AA434" s="1226"/>
      <c r="AB434" s="1226"/>
      <c r="AC434" s="1226"/>
      <c r="AD434" s="1226"/>
      <c r="AE434" s="1226"/>
      <c r="AF434" s="1226"/>
      <c r="AG434" s="1226"/>
      <c r="AH434" s="1226"/>
      <c r="AI434" s="841"/>
      <c r="AJ434" s="841"/>
      <c r="AK434" s="841"/>
      <c r="AL434" s="841"/>
      <c r="AM434" s="841"/>
      <c r="AN434" s="841"/>
      <c r="AO434" s="841"/>
      <c r="AP434" s="841"/>
      <c r="AQ434" s="841"/>
      <c r="AR434" s="841"/>
      <c r="AS434" s="842"/>
    </row>
    <row r="435" spans="1:45">
      <c r="A435" s="841"/>
      <c r="B435" s="841"/>
      <c r="C435" s="841"/>
      <c r="D435" s="841"/>
      <c r="E435" s="841"/>
      <c r="F435" s="841"/>
      <c r="G435" s="841"/>
      <c r="H435" s="841"/>
      <c r="I435" s="841"/>
      <c r="J435" s="841"/>
      <c r="K435" s="841"/>
      <c r="L435" s="841"/>
      <c r="M435" s="841"/>
      <c r="N435" s="841"/>
      <c r="O435" s="841"/>
      <c r="P435" s="841"/>
      <c r="Q435" s="841"/>
      <c r="R435" s="841"/>
      <c r="S435" s="841"/>
      <c r="T435" s="841"/>
      <c r="U435" s="841"/>
      <c r="V435" s="841"/>
      <c r="W435" s="841"/>
      <c r="X435" s="841"/>
      <c r="Y435" s="841"/>
      <c r="Z435" s="1226"/>
      <c r="AA435" s="1226"/>
      <c r="AB435" s="1226"/>
      <c r="AC435" s="1226"/>
      <c r="AD435" s="1226"/>
      <c r="AE435" s="1226"/>
      <c r="AF435" s="1226"/>
      <c r="AG435" s="1226"/>
      <c r="AH435" s="1226"/>
      <c r="AI435" s="841"/>
      <c r="AJ435" s="841"/>
      <c r="AK435" s="841"/>
      <c r="AL435" s="841"/>
      <c r="AM435" s="841"/>
      <c r="AN435" s="841"/>
      <c r="AO435" s="841"/>
      <c r="AP435" s="841"/>
      <c r="AQ435" s="841"/>
      <c r="AR435" s="841"/>
      <c r="AS435" s="842"/>
    </row>
    <row r="436" spans="1:45">
      <c r="A436" s="841"/>
      <c r="B436" s="841"/>
      <c r="C436" s="841"/>
      <c r="D436" s="841"/>
      <c r="E436" s="841"/>
      <c r="F436" s="841"/>
      <c r="G436" s="841"/>
      <c r="H436" s="841"/>
      <c r="I436" s="841"/>
      <c r="J436" s="841"/>
      <c r="K436" s="841"/>
      <c r="L436" s="841"/>
      <c r="M436" s="841"/>
      <c r="N436" s="841"/>
      <c r="O436" s="841"/>
      <c r="P436" s="841"/>
      <c r="Q436" s="841"/>
      <c r="R436" s="841"/>
      <c r="S436" s="841"/>
      <c r="T436" s="841"/>
      <c r="U436" s="841"/>
      <c r="V436" s="841"/>
      <c r="W436" s="841"/>
      <c r="X436" s="841"/>
      <c r="Y436" s="841"/>
      <c r="Z436" s="1226"/>
      <c r="AA436" s="1226"/>
      <c r="AB436" s="1226"/>
      <c r="AC436" s="1226"/>
      <c r="AD436" s="1226"/>
      <c r="AE436" s="1226"/>
      <c r="AF436" s="1226"/>
      <c r="AG436" s="1226"/>
      <c r="AH436" s="1226"/>
      <c r="AI436" s="841"/>
      <c r="AJ436" s="841"/>
      <c r="AK436" s="841"/>
      <c r="AL436" s="841"/>
      <c r="AM436" s="841"/>
      <c r="AN436" s="841"/>
      <c r="AO436" s="841"/>
      <c r="AP436" s="841"/>
      <c r="AQ436" s="841"/>
      <c r="AR436" s="841"/>
      <c r="AS436" s="842"/>
    </row>
    <row r="437" spans="1:45">
      <c r="A437" s="841"/>
      <c r="B437" s="841"/>
      <c r="C437" s="841"/>
      <c r="D437" s="841"/>
      <c r="E437" s="841"/>
      <c r="F437" s="841"/>
      <c r="G437" s="841"/>
      <c r="H437" s="841"/>
      <c r="I437" s="841"/>
      <c r="J437" s="841"/>
      <c r="K437" s="841"/>
      <c r="L437" s="841"/>
      <c r="M437" s="841"/>
      <c r="N437" s="841"/>
      <c r="O437" s="841"/>
      <c r="P437" s="841"/>
      <c r="Q437" s="841"/>
      <c r="R437" s="841"/>
      <c r="S437" s="841"/>
      <c r="T437" s="841"/>
      <c r="U437" s="841"/>
      <c r="V437" s="841"/>
      <c r="W437" s="841"/>
      <c r="X437" s="841"/>
      <c r="Y437" s="841"/>
      <c r="Z437" s="1226"/>
      <c r="AA437" s="1226"/>
      <c r="AB437" s="1226"/>
      <c r="AC437" s="1226"/>
      <c r="AD437" s="1226"/>
      <c r="AE437" s="1226"/>
      <c r="AF437" s="1226"/>
      <c r="AG437" s="1226"/>
      <c r="AH437" s="1226"/>
      <c r="AI437" s="841"/>
      <c r="AJ437" s="841"/>
      <c r="AK437" s="841"/>
      <c r="AL437" s="841"/>
      <c r="AM437" s="841"/>
      <c r="AN437" s="841"/>
      <c r="AO437" s="841"/>
      <c r="AP437" s="841"/>
      <c r="AQ437" s="841"/>
      <c r="AR437" s="841"/>
      <c r="AS437" s="842"/>
    </row>
    <row r="438" spans="1:45">
      <c r="A438" s="841"/>
      <c r="B438" s="841"/>
      <c r="C438" s="841"/>
      <c r="D438" s="841"/>
      <c r="E438" s="841"/>
      <c r="F438" s="841"/>
      <c r="G438" s="841"/>
      <c r="H438" s="841"/>
      <c r="I438" s="841"/>
      <c r="J438" s="841"/>
      <c r="K438" s="841"/>
      <c r="L438" s="841"/>
      <c r="M438" s="841"/>
      <c r="N438" s="841"/>
      <c r="O438" s="841"/>
      <c r="P438" s="841"/>
      <c r="Q438" s="841"/>
      <c r="R438" s="841"/>
      <c r="S438" s="841"/>
      <c r="T438" s="841"/>
      <c r="U438" s="841"/>
      <c r="V438" s="841"/>
      <c r="W438" s="841"/>
      <c r="X438" s="841"/>
      <c r="Y438" s="841"/>
      <c r="Z438" s="1226"/>
      <c r="AA438" s="1226"/>
      <c r="AB438" s="1226"/>
      <c r="AC438" s="1226"/>
      <c r="AD438" s="1226"/>
      <c r="AE438" s="1226"/>
      <c r="AF438" s="1226"/>
      <c r="AG438" s="1226"/>
      <c r="AH438" s="1226"/>
      <c r="AI438" s="841"/>
      <c r="AJ438" s="841"/>
      <c r="AK438" s="841"/>
      <c r="AL438" s="841"/>
      <c r="AM438" s="841"/>
      <c r="AN438" s="841"/>
      <c r="AO438" s="841"/>
      <c r="AP438" s="841"/>
      <c r="AQ438" s="841"/>
      <c r="AR438" s="841"/>
      <c r="AS438" s="842"/>
    </row>
    <row r="439" spans="1:45">
      <c r="A439" s="841"/>
      <c r="B439" s="841"/>
      <c r="C439" s="841"/>
      <c r="D439" s="841"/>
      <c r="E439" s="841"/>
      <c r="F439" s="841"/>
      <c r="G439" s="841"/>
      <c r="H439" s="841"/>
      <c r="I439" s="841"/>
      <c r="J439" s="841"/>
      <c r="K439" s="841"/>
      <c r="L439" s="841"/>
      <c r="M439" s="841"/>
      <c r="N439" s="841"/>
      <c r="O439" s="841"/>
      <c r="P439" s="841"/>
      <c r="Q439" s="841"/>
      <c r="R439" s="841"/>
      <c r="S439" s="841"/>
      <c r="T439" s="841"/>
      <c r="U439" s="841"/>
      <c r="V439" s="841"/>
      <c r="W439" s="841"/>
      <c r="X439" s="841"/>
      <c r="Y439" s="841"/>
      <c r="Z439" s="1226"/>
      <c r="AA439" s="1226"/>
      <c r="AB439" s="1226"/>
      <c r="AC439" s="1226"/>
      <c r="AD439" s="1226"/>
      <c r="AE439" s="1226"/>
      <c r="AF439" s="1226"/>
      <c r="AG439" s="1226"/>
      <c r="AH439" s="1226"/>
      <c r="AI439" s="841"/>
      <c r="AJ439" s="841"/>
      <c r="AK439" s="841"/>
      <c r="AL439" s="841"/>
      <c r="AM439" s="841"/>
      <c r="AN439" s="841"/>
      <c r="AO439" s="841"/>
      <c r="AP439" s="841"/>
      <c r="AQ439" s="841"/>
      <c r="AR439" s="841"/>
      <c r="AS439" s="842"/>
    </row>
    <row r="440" spans="1:45">
      <c r="A440" s="841"/>
      <c r="B440" s="841"/>
      <c r="C440" s="841"/>
      <c r="D440" s="841"/>
      <c r="E440" s="841"/>
      <c r="F440" s="841"/>
      <c r="G440" s="841"/>
      <c r="H440" s="841"/>
      <c r="I440" s="841"/>
      <c r="J440" s="841"/>
      <c r="K440" s="841"/>
      <c r="L440" s="841"/>
      <c r="M440" s="841"/>
      <c r="N440" s="841"/>
      <c r="O440" s="841"/>
      <c r="P440" s="841"/>
      <c r="Q440" s="841"/>
      <c r="R440" s="841"/>
      <c r="S440" s="841"/>
      <c r="T440" s="841"/>
      <c r="U440" s="841"/>
      <c r="V440" s="841"/>
      <c r="W440" s="841"/>
      <c r="X440" s="841"/>
      <c r="Y440" s="841"/>
      <c r="Z440" s="1226"/>
      <c r="AA440" s="1226"/>
      <c r="AB440" s="1226"/>
      <c r="AC440" s="1226"/>
      <c r="AD440" s="1226"/>
      <c r="AE440" s="1226"/>
      <c r="AF440" s="1226"/>
      <c r="AG440" s="1226"/>
      <c r="AH440" s="1226"/>
      <c r="AI440" s="841"/>
      <c r="AJ440" s="841"/>
      <c r="AK440" s="841"/>
      <c r="AL440" s="841"/>
      <c r="AM440" s="841"/>
      <c r="AN440" s="841"/>
      <c r="AO440" s="841"/>
      <c r="AP440" s="841"/>
      <c r="AQ440" s="841"/>
      <c r="AR440" s="841"/>
      <c r="AS440" s="842"/>
    </row>
    <row r="441" spans="1:45">
      <c r="A441" s="841"/>
      <c r="B441" s="841"/>
      <c r="C441" s="841"/>
      <c r="D441" s="841"/>
      <c r="E441" s="841"/>
      <c r="F441" s="841"/>
      <c r="G441" s="841"/>
      <c r="H441" s="841"/>
      <c r="I441" s="841"/>
      <c r="J441" s="841"/>
      <c r="K441" s="841"/>
      <c r="L441" s="841"/>
      <c r="M441" s="841"/>
      <c r="N441" s="841"/>
      <c r="O441" s="841"/>
      <c r="P441" s="841"/>
      <c r="Q441" s="841"/>
      <c r="R441" s="841"/>
      <c r="S441" s="841"/>
      <c r="T441" s="841"/>
      <c r="U441" s="841"/>
      <c r="V441" s="841"/>
      <c r="W441" s="841"/>
      <c r="X441" s="841"/>
      <c r="Y441" s="841"/>
      <c r="Z441" s="1226"/>
      <c r="AA441" s="1226"/>
      <c r="AB441" s="1226"/>
      <c r="AC441" s="1226"/>
      <c r="AD441" s="1226"/>
      <c r="AE441" s="1226"/>
      <c r="AF441" s="1226"/>
      <c r="AG441" s="1226"/>
      <c r="AH441" s="1226"/>
      <c r="AI441" s="841"/>
      <c r="AJ441" s="841"/>
      <c r="AK441" s="841"/>
      <c r="AL441" s="841"/>
      <c r="AM441" s="841"/>
      <c r="AN441" s="841"/>
      <c r="AO441" s="841"/>
      <c r="AP441" s="841"/>
      <c r="AQ441" s="841"/>
      <c r="AR441" s="841"/>
      <c r="AS441" s="842"/>
    </row>
    <row r="442" spans="1:45">
      <c r="A442" s="841"/>
      <c r="B442" s="841"/>
      <c r="C442" s="841"/>
      <c r="D442" s="841"/>
      <c r="E442" s="841"/>
      <c r="F442" s="841"/>
      <c r="G442" s="841"/>
      <c r="H442" s="841"/>
      <c r="I442" s="841"/>
      <c r="J442" s="841"/>
      <c r="K442" s="841"/>
      <c r="L442" s="841"/>
      <c r="M442" s="841"/>
      <c r="N442" s="841"/>
      <c r="O442" s="841"/>
      <c r="P442" s="841"/>
      <c r="Q442" s="841"/>
      <c r="R442" s="841"/>
      <c r="S442" s="841"/>
      <c r="T442" s="841"/>
      <c r="U442" s="841"/>
      <c r="V442" s="841"/>
      <c r="W442" s="841"/>
      <c r="X442" s="841"/>
      <c r="Y442" s="841"/>
      <c r="Z442" s="1226"/>
      <c r="AA442" s="1226"/>
      <c r="AB442" s="1226"/>
      <c r="AC442" s="1226"/>
      <c r="AD442" s="1226"/>
      <c r="AE442" s="1226"/>
      <c r="AF442" s="1226"/>
      <c r="AG442" s="1226"/>
      <c r="AH442" s="1226"/>
      <c r="AI442" s="841"/>
      <c r="AJ442" s="841"/>
      <c r="AK442" s="841"/>
      <c r="AL442" s="841"/>
      <c r="AM442" s="841"/>
      <c r="AN442" s="841"/>
      <c r="AO442" s="841"/>
      <c r="AP442" s="841"/>
      <c r="AQ442" s="841"/>
      <c r="AR442" s="841"/>
      <c r="AS442" s="842"/>
    </row>
    <row r="443" spans="1:45">
      <c r="A443" s="841"/>
      <c r="B443" s="841"/>
      <c r="C443" s="841"/>
      <c r="D443" s="841"/>
      <c r="E443" s="841"/>
      <c r="F443" s="841"/>
      <c r="G443" s="841"/>
      <c r="H443" s="841"/>
      <c r="I443" s="841"/>
      <c r="J443" s="841"/>
      <c r="K443" s="841"/>
      <c r="L443" s="841"/>
      <c r="M443" s="841"/>
      <c r="N443" s="841"/>
      <c r="O443" s="841"/>
      <c r="P443" s="841"/>
      <c r="Q443" s="841"/>
      <c r="R443" s="841"/>
      <c r="S443" s="841"/>
      <c r="T443" s="841"/>
      <c r="U443" s="841"/>
      <c r="V443" s="841"/>
      <c r="W443" s="841"/>
      <c r="X443" s="841"/>
      <c r="Y443" s="841"/>
      <c r="Z443" s="1226"/>
      <c r="AA443" s="1226"/>
      <c r="AB443" s="1226"/>
      <c r="AC443" s="1226"/>
      <c r="AD443" s="1226"/>
      <c r="AE443" s="1226"/>
      <c r="AF443" s="1226"/>
      <c r="AG443" s="1226"/>
      <c r="AH443" s="1226"/>
      <c r="AI443" s="841"/>
      <c r="AJ443" s="841"/>
      <c r="AK443" s="841"/>
      <c r="AL443" s="841"/>
      <c r="AM443" s="841"/>
      <c r="AN443" s="841"/>
      <c r="AO443" s="841"/>
      <c r="AP443" s="841"/>
      <c r="AQ443" s="841"/>
      <c r="AR443" s="841"/>
      <c r="AS443" s="842"/>
    </row>
    <row r="444" spans="1:45">
      <c r="A444" s="841"/>
      <c r="B444" s="841"/>
      <c r="C444" s="841"/>
      <c r="D444" s="841"/>
      <c r="E444" s="841"/>
      <c r="F444" s="841"/>
      <c r="G444" s="841"/>
      <c r="H444" s="841"/>
      <c r="I444" s="841"/>
      <c r="J444" s="841"/>
      <c r="K444" s="841"/>
      <c r="L444" s="841"/>
      <c r="M444" s="841"/>
      <c r="N444" s="841"/>
      <c r="O444" s="841"/>
      <c r="P444" s="841"/>
      <c r="Q444" s="841"/>
      <c r="R444" s="841"/>
      <c r="S444" s="841"/>
      <c r="T444" s="841"/>
      <c r="U444" s="841"/>
      <c r="V444" s="841"/>
      <c r="W444" s="841"/>
      <c r="X444" s="841"/>
      <c r="Y444" s="841"/>
      <c r="Z444" s="1226"/>
      <c r="AA444" s="1226"/>
      <c r="AB444" s="1226"/>
      <c r="AC444" s="1226"/>
      <c r="AD444" s="1226"/>
      <c r="AE444" s="1226"/>
      <c r="AF444" s="1226"/>
      <c r="AG444" s="1226"/>
      <c r="AH444" s="1226"/>
      <c r="AI444" s="841"/>
      <c r="AJ444" s="841"/>
      <c r="AK444" s="841"/>
      <c r="AL444" s="841"/>
      <c r="AM444" s="841"/>
      <c r="AN444" s="841"/>
      <c r="AO444" s="841"/>
      <c r="AP444" s="841"/>
      <c r="AQ444" s="841"/>
      <c r="AR444" s="841"/>
      <c r="AS444" s="842"/>
    </row>
    <row r="445" spans="1:45">
      <c r="A445" s="841"/>
      <c r="B445" s="841"/>
      <c r="C445" s="841"/>
      <c r="D445" s="841"/>
      <c r="E445" s="841"/>
      <c r="F445" s="841"/>
      <c r="G445" s="841"/>
      <c r="H445" s="841"/>
      <c r="I445" s="841"/>
      <c r="J445" s="841"/>
      <c r="K445" s="841"/>
      <c r="L445" s="841"/>
      <c r="M445" s="841"/>
      <c r="N445" s="841"/>
      <c r="O445" s="841"/>
      <c r="P445" s="841"/>
      <c r="Q445" s="841"/>
      <c r="R445" s="841"/>
      <c r="S445" s="841"/>
      <c r="T445" s="841"/>
      <c r="U445" s="841"/>
      <c r="V445" s="841"/>
      <c r="W445" s="841"/>
      <c r="X445" s="841"/>
      <c r="Y445" s="841"/>
      <c r="Z445" s="1226"/>
      <c r="AA445" s="1226"/>
      <c r="AB445" s="1226"/>
      <c r="AC445" s="1226"/>
      <c r="AD445" s="1226"/>
      <c r="AE445" s="1226"/>
      <c r="AF445" s="1226"/>
      <c r="AG445" s="1226"/>
      <c r="AH445" s="1226"/>
      <c r="AI445" s="841"/>
      <c r="AJ445" s="841"/>
      <c r="AK445" s="841"/>
      <c r="AL445" s="841"/>
      <c r="AM445" s="841"/>
      <c r="AN445" s="841"/>
      <c r="AO445" s="841"/>
      <c r="AP445" s="841"/>
      <c r="AQ445" s="841"/>
      <c r="AR445" s="841"/>
      <c r="AS445" s="842"/>
    </row>
    <row r="446" spans="1:45">
      <c r="A446" s="841"/>
      <c r="B446" s="841"/>
      <c r="C446" s="841"/>
      <c r="D446" s="841"/>
      <c r="E446" s="841"/>
      <c r="F446" s="841"/>
      <c r="G446" s="841"/>
      <c r="H446" s="841"/>
      <c r="I446" s="841"/>
      <c r="J446" s="841"/>
      <c r="K446" s="841"/>
      <c r="L446" s="841"/>
      <c r="M446" s="841"/>
      <c r="N446" s="841"/>
      <c r="O446" s="841"/>
      <c r="P446" s="841"/>
      <c r="Q446" s="841"/>
      <c r="R446" s="841"/>
      <c r="S446" s="841"/>
      <c r="T446" s="841"/>
      <c r="U446" s="841"/>
      <c r="V446" s="841"/>
      <c r="W446" s="841"/>
      <c r="X446" s="841"/>
      <c r="Y446" s="841"/>
      <c r="Z446" s="1226"/>
      <c r="AA446" s="1226"/>
      <c r="AB446" s="1226"/>
      <c r="AC446" s="1226"/>
      <c r="AD446" s="1226"/>
      <c r="AE446" s="1226"/>
      <c r="AF446" s="1226"/>
      <c r="AG446" s="1226"/>
      <c r="AH446" s="1226"/>
      <c r="AI446" s="841"/>
      <c r="AJ446" s="841"/>
      <c r="AK446" s="841"/>
      <c r="AL446" s="841"/>
      <c r="AM446" s="841"/>
      <c r="AN446" s="841"/>
      <c r="AO446" s="841"/>
      <c r="AP446" s="841"/>
      <c r="AQ446" s="841"/>
      <c r="AR446" s="841"/>
      <c r="AS446" s="842"/>
    </row>
    <row r="447" spans="1:45">
      <c r="A447" s="841"/>
      <c r="B447" s="841"/>
      <c r="C447" s="841"/>
      <c r="D447" s="841"/>
      <c r="E447" s="841"/>
      <c r="F447" s="841"/>
      <c r="G447" s="841"/>
      <c r="H447" s="841"/>
      <c r="I447" s="841"/>
      <c r="J447" s="841"/>
      <c r="K447" s="841"/>
      <c r="L447" s="841"/>
      <c r="M447" s="841"/>
      <c r="N447" s="841"/>
      <c r="O447" s="841"/>
      <c r="P447" s="841"/>
      <c r="Q447" s="841"/>
      <c r="R447" s="841"/>
      <c r="S447" s="841"/>
      <c r="T447" s="841"/>
      <c r="U447" s="841"/>
      <c r="V447" s="841"/>
      <c r="W447" s="841"/>
      <c r="X447" s="841"/>
      <c r="Y447" s="841"/>
      <c r="Z447" s="1226"/>
      <c r="AA447" s="1226"/>
      <c r="AB447" s="1226"/>
      <c r="AC447" s="1226"/>
      <c r="AD447" s="1226"/>
      <c r="AE447" s="1226"/>
      <c r="AF447" s="1226"/>
      <c r="AG447" s="1226"/>
      <c r="AH447" s="1226"/>
      <c r="AI447" s="841"/>
      <c r="AJ447" s="841"/>
      <c r="AK447" s="841"/>
      <c r="AL447" s="841"/>
      <c r="AM447" s="841"/>
      <c r="AN447" s="841"/>
      <c r="AO447" s="841"/>
      <c r="AP447" s="841"/>
      <c r="AQ447" s="841"/>
      <c r="AR447" s="841"/>
      <c r="AS447" s="842"/>
    </row>
    <row r="448" spans="1:45">
      <c r="A448" s="841"/>
      <c r="B448" s="841"/>
      <c r="C448" s="841"/>
      <c r="D448" s="841"/>
      <c r="E448" s="841"/>
      <c r="F448" s="841"/>
      <c r="G448" s="841"/>
      <c r="H448" s="841"/>
      <c r="I448" s="841"/>
      <c r="J448" s="841"/>
      <c r="K448" s="841"/>
      <c r="L448" s="841"/>
      <c r="M448" s="841"/>
      <c r="N448" s="841"/>
      <c r="O448" s="841"/>
      <c r="P448" s="841"/>
      <c r="Q448" s="841"/>
      <c r="R448" s="841"/>
      <c r="S448" s="841"/>
      <c r="T448" s="841"/>
      <c r="U448" s="841"/>
      <c r="V448" s="841"/>
      <c r="W448" s="841"/>
      <c r="X448" s="841"/>
      <c r="Y448" s="841"/>
      <c r="Z448" s="1226"/>
      <c r="AA448" s="1226"/>
      <c r="AB448" s="1226"/>
      <c r="AC448" s="1226"/>
      <c r="AD448" s="1226"/>
      <c r="AE448" s="1226"/>
      <c r="AF448" s="1226"/>
      <c r="AG448" s="1226"/>
      <c r="AH448" s="1226"/>
      <c r="AI448" s="841"/>
      <c r="AJ448" s="841"/>
      <c r="AK448" s="841"/>
      <c r="AL448" s="841"/>
      <c r="AM448" s="841"/>
      <c r="AN448" s="841"/>
      <c r="AO448" s="841"/>
      <c r="AP448" s="841"/>
      <c r="AQ448" s="841"/>
      <c r="AR448" s="841"/>
      <c r="AS448" s="842"/>
    </row>
    <row r="449" spans="1:45">
      <c r="A449" s="841"/>
      <c r="B449" s="841"/>
      <c r="C449" s="841"/>
      <c r="D449" s="841"/>
      <c r="E449" s="841"/>
      <c r="F449" s="841"/>
      <c r="G449" s="841"/>
      <c r="H449" s="841"/>
      <c r="I449" s="841"/>
      <c r="J449" s="841"/>
      <c r="K449" s="841"/>
      <c r="L449" s="841"/>
      <c r="M449" s="841"/>
      <c r="N449" s="841"/>
      <c r="O449" s="841"/>
      <c r="P449" s="841"/>
      <c r="Q449" s="841"/>
      <c r="R449" s="841"/>
      <c r="S449" s="841"/>
      <c r="T449" s="841"/>
      <c r="U449" s="841"/>
      <c r="V449" s="841"/>
      <c r="W449" s="841"/>
      <c r="X449" s="841"/>
      <c r="Y449" s="841"/>
      <c r="Z449" s="1226"/>
      <c r="AA449" s="1226"/>
      <c r="AB449" s="1226"/>
      <c r="AC449" s="1226"/>
      <c r="AD449" s="1226"/>
      <c r="AE449" s="1226"/>
      <c r="AF449" s="1226"/>
      <c r="AG449" s="1226"/>
      <c r="AH449" s="1226"/>
      <c r="AI449" s="841"/>
      <c r="AJ449" s="841"/>
      <c r="AK449" s="841"/>
      <c r="AL449" s="841"/>
      <c r="AM449" s="841"/>
      <c r="AN449" s="841"/>
      <c r="AO449" s="841"/>
      <c r="AP449" s="841"/>
      <c r="AQ449" s="841"/>
      <c r="AR449" s="841"/>
      <c r="AS449" s="842"/>
    </row>
    <row r="450" spans="1:45">
      <c r="A450" s="841"/>
      <c r="B450" s="841"/>
      <c r="C450" s="841"/>
      <c r="D450" s="841"/>
      <c r="E450" s="841"/>
      <c r="F450" s="841"/>
      <c r="G450" s="841"/>
      <c r="H450" s="841"/>
      <c r="I450" s="841"/>
      <c r="J450" s="841"/>
      <c r="K450" s="841"/>
      <c r="L450" s="841"/>
      <c r="M450" s="841"/>
      <c r="N450" s="841"/>
      <c r="O450" s="841"/>
      <c r="P450" s="841"/>
      <c r="Q450" s="841"/>
      <c r="R450" s="841"/>
      <c r="S450" s="841"/>
      <c r="T450" s="841"/>
      <c r="U450" s="841"/>
      <c r="V450" s="841"/>
      <c r="W450" s="841"/>
      <c r="X450" s="841"/>
      <c r="Y450" s="841"/>
      <c r="Z450" s="1226"/>
      <c r="AA450" s="1226"/>
      <c r="AB450" s="1226"/>
      <c r="AC450" s="1226"/>
      <c r="AD450" s="1226"/>
      <c r="AE450" s="1226"/>
      <c r="AF450" s="1226"/>
      <c r="AG450" s="1226"/>
      <c r="AH450" s="1226"/>
      <c r="AI450" s="841"/>
      <c r="AJ450" s="841"/>
      <c r="AK450" s="841"/>
      <c r="AL450" s="841"/>
      <c r="AM450" s="841"/>
      <c r="AN450" s="841"/>
      <c r="AO450" s="841"/>
      <c r="AP450" s="841"/>
      <c r="AQ450" s="841"/>
      <c r="AR450" s="841"/>
      <c r="AS450" s="842"/>
    </row>
    <row r="451" spans="1:45">
      <c r="A451" s="841"/>
      <c r="B451" s="841"/>
      <c r="C451" s="841"/>
      <c r="D451" s="841"/>
      <c r="E451" s="841"/>
      <c r="F451" s="841"/>
      <c r="G451" s="841"/>
      <c r="H451" s="841"/>
      <c r="I451" s="841"/>
      <c r="J451" s="841"/>
      <c r="K451" s="841"/>
      <c r="L451" s="841"/>
      <c r="M451" s="841"/>
      <c r="N451" s="841"/>
      <c r="O451" s="841"/>
      <c r="P451" s="841"/>
      <c r="Q451" s="841"/>
      <c r="R451" s="841"/>
      <c r="S451" s="841"/>
      <c r="T451" s="841"/>
      <c r="U451" s="841"/>
      <c r="V451" s="841"/>
      <c r="W451" s="841"/>
      <c r="X451" s="841"/>
      <c r="Y451" s="841"/>
      <c r="Z451" s="1226"/>
      <c r="AA451" s="1226"/>
      <c r="AB451" s="1226"/>
      <c r="AC451" s="1226"/>
      <c r="AD451" s="1226"/>
      <c r="AE451" s="1226"/>
      <c r="AF451" s="1226"/>
      <c r="AG451" s="1226"/>
      <c r="AH451" s="1226"/>
      <c r="AI451" s="841"/>
      <c r="AJ451" s="841"/>
      <c r="AK451" s="841"/>
      <c r="AL451" s="841"/>
      <c r="AM451" s="841"/>
      <c r="AN451" s="841"/>
      <c r="AO451" s="841"/>
      <c r="AP451" s="841"/>
      <c r="AQ451" s="841"/>
      <c r="AR451" s="841"/>
      <c r="AS451" s="842"/>
    </row>
    <row r="452" spans="1:45">
      <c r="A452" s="841"/>
      <c r="B452" s="841"/>
      <c r="C452" s="841"/>
      <c r="D452" s="841"/>
      <c r="E452" s="841"/>
      <c r="F452" s="841"/>
      <c r="G452" s="841"/>
      <c r="H452" s="841"/>
      <c r="I452" s="841"/>
      <c r="J452" s="841"/>
      <c r="K452" s="841"/>
      <c r="L452" s="841"/>
      <c r="M452" s="841"/>
      <c r="N452" s="841"/>
      <c r="O452" s="841"/>
      <c r="P452" s="841"/>
      <c r="Q452" s="841"/>
      <c r="R452" s="841"/>
      <c r="S452" s="841"/>
      <c r="T452" s="841"/>
      <c r="U452" s="841"/>
      <c r="V452" s="841"/>
      <c r="W452" s="841"/>
      <c r="X452" s="841"/>
      <c r="Y452" s="841"/>
      <c r="Z452" s="1226"/>
      <c r="AA452" s="1226"/>
      <c r="AB452" s="1226"/>
      <c r="AC452" s="1226"/>
      <c r="AD452" s="1226"/>
      <c r="AE452" s="1226"/>
      <c r="AF452" s="1226"/>
      <c r="AG452" s="1226"/>
      <c r="AH452" s="1226"/>
      <c r="AI452" s="841"/>
      <c r="AJ452" s="841"/>
      <c r="AK452" s="841"/>
      <c r="AL452" s="841"/>
      <c r="AM452" s="841"/>
      <c r="AN452" s="841"/>
      <c r="AO452" s="841"/>
      <c r="AP452" s="841"/>
      <c r="AQ452" s="841"/>
      <c r="AR452" s="841"/>
      <c r="AS452" s="842"/>
    </row>
    <row r="453" spans="1:45">
      <c r="A453" s="841"/>
      <c r="B453" s="841"/>
      <c r="C453" s="841"/>
      <c r="D453" s="841"/>
      <c r="E453" s="841"/>
      <c r="F453" s="841"/>
      <c r="G453" s="841"/>
      <c r="H453" s="841"/>
      <c r="I453" s="841"/>
      <c r="J453" s="841"/>
      <c r="K453" s="841"/>
      <c r="L453" s="841"/>
      <c r="M453" s="841"/>
      <c r="N453" s="841"/>
      <c r="O453" s="841"/>
      <c r="P453" s="841"/>
      <c r="Q453" s="841"/>
      <c r="R453" s="841"/>
      <c r="S453" s="841"/>
      <c r="T453" s="841"/>
      <c r="U453" s="841"/>
      <c r="V453" s="841"/>
      <c r="W453" s="841"/>
      <c r="X453" s="841"/>
      <c r="Y453" s="841"/>
      <c r="Z453" s="1226"/>
      <c r="AA453" s="1226"/>
      <c r="AB453" s="1226"/>
      <c r="AC453" s="1226"/>
      <c r="AD453" s="1226"/>
      <c r="AE453" s="1226"/>
      <c r="AF453" s="1226"/>
      <c r="AG453" s="1226"/>
      <c r="AH453" s="1226"/>
      <c r="AI453" s="841"/>
      <c r="AJ453" s="841"/>
      <c r="AK453" s="841"/>
      <c r="AL453" s="841"/>
      <c r="AM453" s="841"/>
      <c r="AN453" s="841"/>
      <c r="AO453" s="841"/>
      <c r="AP453" s="841"/>
      <c r="AQ453" s="841"/>
      <c r="AR453" s="841"/>
      <c r="AS453" s="842"/>
    </row>
    <row r="454" spans="1:45">
      <c r="A454" s="841"/>
      <c r="B454" s="841"/>
      <c r="C454" s="841"/>
      <c r="D454" s="841"/>
      <c r="E454" s="841"/>
      <c r="F454" s="841"/>
      <c r="G454" s="841"/>
      <c r="H454" s="841"/>
      <c r="I454" s="841"/>
      <c r="J454" s="841"/>
      <c r="K454" s="841"/>
      <c r="L454" s="841"/>
      <c r="M454" s="841"/>
      <c r="N454" s="841"/>
      <c r="O454" s="841"/>
      <c r="P454" s="841"/>
      <c r="Q454" s="841"/>
      <c r="R454" s="841"/>
      <c r="S454" s="841"/>
      <c r="T454" s="841"/>
      <c r="U454" s="841"/>
      <c r="V454" s="841"/>
      <c r="W454" s="841"/>
      <c r="X454" s="841"/>
      <c r="Y454" s="841"/>
      <c r="Z454" s="1226"/>
      <c r="AA454" s="1226"/>
      <c r="AB454" s="1226"/>
      <c r="AC454" s="1226"/>
      <c r="AD454" s="1226"/>
      <c r="AE454" s="1226"/>
      <c r="AF454" s="1226"/>
      <c r="AG454" s="1226"/>
      <c r="AH454" s="1226"/>
      <c r="AI454" s="841"/>
      <c r="AJ454" s="841"/>
      <c r="AK454" s="841"/>
      <c r="AL454" s="841"/>
      <c r="AM454" s="841"/>
      <c r="AN454" s="841"/>
      <c r="AO454" s="841"/>
      <c r="AP454" s="841"/>
      <c r="AQ454" s="841"/>
      <c r="AR454" s="841"/>
      <c r="AS454" s="842"/>
    </row>
    <row r="455" spans="1:45">
      <c r="A455" s="841"/>
      <c r="B455" s="841"/>
      <c r="C455" s="841"/>
      <c r="D455" s="841"/>
      <c r="E455" s="841"/>
      <c r="F455" s="841"/>
      <c r="G455" s="841"/>
      <c r="H455" s="841"/>
      <c r="I455" s="841"/>
      <c r="J455" s="841"/>
      <c r="K455" s="841"/>
      <c r="L455" s="841"/>
      <c r="M455" s="841"/>
      <c r="N455" s="841"/>
      <c r="O455" s="841"/>
      <c r="P455" s="841"/>
      <c r="Q455" s="841"/>
      <c r="R455" s="841"/>
      <c r="S455" s="841"/>
      <c r="T455" s="841"/>
      <c r="U455" s="841"/>
      <c r="V455" s="841"/>
      <c r="W455" s="841"/>
      <c r="X455" s="841"/>
      <c r="Y455" s="841"/>
      <c r="Z455" s="1226"/>
      <c r="AA455" s="1226"/>
      <c r="AB455" s="1226"/>
      <c r="AC455" s="1226"/>
      <c r="AD455" s="1226"/>
      <c r="AE455" s="1226"/>
      <c r="AF455" s="1226"/>
      <c r="AG455" s="1226"/>
      <c r="AH455" s="1226"/>
      <c r="AI455" s="841"/>
      <c r="AJ455" s="841"/>
      <c r="AK455" s="841"/>
      <c r="AL455" s="841"/>
      <c r="AM455" s="841"/>
      <c r="AN455" s="841"/>
      <c r="AO455" s="841"/>
      <c r="AP455" s="841"/>
      <c r="AQ455" s="841"/>
      <c r="AR455" s="841"/>
      <c r="AS455" s="842"/>
    </row>
    <row r="456" spans="1:45">
      <c r="A456" s="841"/>
      <c r="B456" s="841"/>
      <c r="C456" s="841"/>
      <c r="D456" s="841"/>
      <c r="E456" s="841"/>
      <c r="F456" s="841"/>
      <c r="G456" s="841"/>
      <c r="H456" s="841"/>
      <c r="I456" s="841"/>
      <c r="J456" s="841"/>
      <c r="K456" s="841"/>
      <c r="L456" s="841"/>
      <c r="M456" s="841"/>
      <c r="N456" s="841"/>
      <c r="O456" s="841"/>
      <c r="P456" s="841"/>
      <c r="Q456" s="841"/>
      <c r="R456" s="841"/>
      <c r="S456" s="841"/>
      <c r="T456" s="841"/>
      <c r="U456" s="841"/>
      <c r="V456" s="841"/>
      <c r="W456" s="841"/>
      <c r="X456" s="841"/>
      <c r="Y456" s="841"/>
      <c r="Z456" s="1226"/>
      <c r="AA456" s="1226"/>
      <c r="AB456" s="1226"/>
      <c r="AC456" s="1226"/>
      <c r="AD456" s="1226"/>
      <c r="AE456" s="1226"/>
      <c r="AF456" s="1226"/>
      <c r="AG456" s="1226"/>
      <c r="AH456" s="1226"/>
      <c r="AI456" s="841"/>
      <c r="AJ456" s="841"/>
      <c r="AK456" s="841"/>
      <c r="AL456" s="841"/>
      <c r="AM456" s="841"/>
      <c r="AN456" s="841"/>
      <c r="AO456" s="841"/>
      <c r="AP456" s="841"/>
      <c r="AQ456" s="841"/>
      <c r="AR456" s="841"/>
      <c r="AS456" s="842"/>
    </row>
    <row r="457" spans="1:45">
      <c r="A457" s="841"/>
      <c r="B457" s="841"/>
      <c r="C457" s="841"/>
      <c r="D457" s="841"/>
      <c r="E457" s="841"/>
      <c r="F457" s="841"/>
      <c r="G457" s="841"/>
      <c r="H457" s="841"/>
      <c r="I457" s="841"/>
      <c r="J457" s="841"/>
      <c r="K457" s="841"/>
      <c r="L457" s="841"/>
      <c r="M457" s="841"/>
      <c r="N457" s="841"/>
      <c r="O457" s="841"/>
      <c r="P457" s="841"/>
      <c r="Q457" s="841"/>
      <c r="R457" s="841"/>
      <c r="S457" s="841"/>
      <c r="T457" s="841"/>
      <c r="U457" s="841"/>
      <c r="V457" s="841"/>
      <c r="W457" s="841"/>
      <c r="X457" s="841"/>
      <c r="Y457" s="841"/>
      <c r="Z457" s="1226"/>
      <c r="AA457" s="1226"/>
      <c r="AB457" s="1226"/>
      <c r="AC457" s="1226"/>
      <c r="AD457" s="1226"/>
      <c r="AE457" s="1226"/>
      <c r="AF457" s="1226"/>
      <c r="AG457" s="1226"/>
      <c r="AH457" s="1226"/>
      <c r="AI457" s="841"/>
      <c r="AJ457" s="841"/>
      <c r="AK457" s="841"/>
      <c r="AL457" s="841"/>
      <c r="AM457" s="841"/>
      <c r="AN457" s="841"/>
      <c r="AO457" s="841"/>
      <c r="AP457" s="841"/>
      <c r="AQ457" s="841"/>
      <c r="AR457" s="841"/>
      <c r="AS457" s="842"/>
    </row>
    <row r="458" spans="1:45">
      <c r="A458" s="841"/>
      <c r="B458" s="841"/>
      <c r="C458" s="841"/>
      <c r="D458" s="841"/>
      <c r="E458" s="841"/>
      <c r="F458" s="841"/>
      <c r="G458" s="841"/>
      <c r="H458" s="841"/>
      <c r="I458" s="841"/>
      <c r="J458" s="841"/>
      <c r="K458" s="841"/>
      <c r="L458" s="841"/>
      <c r="M458" s="841"/>
      <c r="N458" s="841"/>
      <c r="O458" s="841"/>
      <c r="P458" s="841"/>
      <c r="Q458" s="841"/>
      <c r="R458" s="841"/>
      <c r="S458" s="841"/>
      <c r="T458" s="841"/>
      <c r="U458" s="841"/>
      <c r="V458" s="841"/>
      <c r="W458" s="841"/>
      <c r="X458" s="841"/>
      <c r="Y458" s="841"/>
      <c r="Z458" s="1226"/>
      <c r="AA458" s="1226"/>
      <c r="AB458" s="1226"/>
      <c r="AC458" s="1226"/>
      <c r="AD458" s="1226"/>
      <c r="AE458" s="1226"/>
      <c r="AF458" s="1226"/>
      <c r="AG458" s="1226"/>
      <c r="AH458" s="1226"/>
      <c r="AI458" s="841"/>
      <c r="AJ458" s="841"/>
      <c r="AK458" s="841"/>
      <c r="AL458" s="841"/>
      <c r="AM458" s="841"/>
      <c r="AN458" s="841"/>
      <c r="AO458" s="841"/>
      <c r="AP458" s="841"/>
      <c r="AQ458" s="841"/>
      <c r="AR458" s="841"/>
      <c r="AS458" s="842"/>
    </row>
    <row r="459" spans="1:45">
      <c r="A459" s="841"/>
      <c r="B459" s="841"/>
      <c r="C459" s="841"/>
      <c r="D459" s="841"/>
      <c r="E459" s="841"/>
      <c r="F459" s="841"/>
      <c r="G459" s="841"/>
      <c r="H459" s="841"/>
      <c r="I459" s="841"/>
      <c r="J459" s="841"/>
      <c r="K459" s="841"/>
      <c r="L459" s="841"/>
      <c r="M459" s="841"/>
      <c r="N459" s="841"/>
      <c r="O459" s="841"/>
      <c r="P459" s="841"/>
      <c r="Q459" s="841"/>
      <c r="R459" s="841"/>
      <c r="S459" s="841"/>
      <c r="T459" s="841"/>
      <c r="U459" s="841"/>
      <c r="V459" s="841"/>
      <c r="W459" s="841"/>
      <c r="X459" s="841"/>
      <c r="Y459" s="841"/>
      <c r="Z459" s="1226"/>
      <c r="AA459" s="1226"/>
      <c r="AB459" s="1226"/>
      <c r="AC459" s="1226"/>
      <c r="AD459" s="1226"/>
      <c r="AE459" s="1226"/>
      <c r="AF459" s="1226"/>
      <c r="AG459" s="1226"/>
      <c r="AH459" s="1226"/>
      <c r="AI459" s="841"/>
      <c r="AJ459" s="841"/>
      <c r="AK459" s="841"/>
      <c r="AL459" s="841"/>
      <c r="AM459" s="841"/>
      <c r="AN459" s="841"/>
      <c r="AO459" s="841"/>
      <c r="AP459" s="841"/>
      <c r="AQ459" s="841"/>
      <c r="AR459" s="841"/>
      <c r="AS459" s="842"/>
    </row>
    <row r="460" spans="1:45">
      <c r="A460" s="841"/>
      <c r="B460" s="841"/>
      <c r="C460" s="841"/>
      <c r="D460" s="841"/>
      <c r="E460" s="841"/>
      <c r="F460" s="841"/>
      <c r="G460" s="841"/>
      <c r="H460" s="841"/>
      <c r="I460" s="841"/>
      <c r="J460" s="841"/>
      <c r="K460" s="841"/>
      <c r="L460" s="841"/>
      <c r="M460" s="841"/>
      <c r="N460" s="841"/>
      <c r="O460" s="841"/>
      <c r="P460" s="841"/>
      <c r="Q460" s="841"/>
      <c r="R460" s="841"/>
      <c r="S460" s="841"/>
      <c r="T460" s="841"/>
      <c r="U460" s="841"/>
      <c r="V460" s="841"/>
      <c r="W460" s="841"/>
      <c r="X460" s="841"/>
      <c r="Y460" s="841"/>
      <c r="Z460" s="1226"/>
      <c r="AA460" s="1226"/>
      <c r="AB460" s="1226"/>
      <c r="AC460" s="1226"/>
      <c r="AD460" s="1226"/>
      <c r="AE460" s="1226"/>
      <c r="AF460" s="1226"/>
      <c r="AG460" s="1226"/>
      <c r="AH460" s="1226"/>
      <c r="AI460" s="841"/>
      <c r="AJ460" s="841"/>
      <c r="AK460" s="841"/>
      <c r="AL460" s="841"/>
      <c r="AM460" s="841"/>
      <c r="AN460" s="841"/>
      <c r="AO460" s="841"/>
      <c r="AP460" s="841"/>
      <c r="AQ460" s="841"/>
      <c r="AR460" s="841"/>
      <c r="AS460" s="842"/>
    </row>
    <row r="461" spans="1:45">
      <c r="A461" s="841"/>
      <c r="B461" s="841"/>
      <c r="C461" s="841"/>
      <c r="D461" s="841"/>
      <c r="E461" s="841"/>
      <c r="F461" s="841"/>
      <c r="G461" s="841"/>
      <c r="H461" s="841"/>
      <c r="I461" s="841"/>
      <c r="J461" s="841"/>
      <c r="K461" s="841"/>
      <c r="L461" s="841"/>
      <c r="M461" s="841"/>
      <c r="N461" s="841"/>
      <c r="O461" s="841"/>
      <c r="P461" s="841"/>
      <c r="Q461" s="841"/>
      <c r="R461" s="841"/>
      <c r="S461" s="841"/>
      <c r="T461" s="841"/>
      <c r="U461" s="841"/>
      <c r="V461" s="841"/>
      <c r="W461" s="841"/>
      <c r="X461" s="841"/>
      <c r="Y461" s="841"/>
      <c r="Z461" s="1226"/>
      <c r="AA461" s="1226"/>
      <c r="AB461" s="1226"/>
      <c r="AC461" s="1226"/>
      <c r="AD461" s="1226"/>
      <c r="AE461" s="1226"/>
      <c r="AF461" s="1226"/>
      <c r="AG461" s="1226"/>
      <c r="AH461" s="1226"/>
      <c r="AI461" s="841"/>
      <c r="AJ461" s="841"/>
      <c r="AK461" s="841"/>
      <c r="AL461" s="841"/>
      <c r="AM461" s="841"/>
      <c r="AN461" s="841"/>
      <c r="AO461" s="841"/>
      <c r="AP461" s="841"/>
      <c r="AQ461" s="841"/>
      <c r="AR461" s="841"/>
      <c r="AS461" s="842"/>
    </row>
    <row r="462" spans="1:45">
      <c r="A462" s="841"/>
      <c r="B462" s="841"/>
      <c r="C462" s="841"/>
      <c r="D462" s="841"/>
      <c r="E462" s="841"/>
      <c r="F462" s="841"/>
      <c r="G462" s="841"/>
      <c r="H462" s="841"/>
      <c r="I462" s="841"/>
      <c r="J462" s="841"/>
      <c r="K462" s="841"/>
      <c r="L462" s="841"/>
      <c r="M462" s="841"/>
      <c r="N462" s="841"/>
      <c r="O462" s="841"/>
      <c r="P462" s="841"/>
      <c r="Q462" s="841"/>
      <c r="R462" s="841"/>
      <c r="S462" s="841"/>
      <c r="T462" s="841"/>
      <c r="U462" s="841"/>
      <c r="V462" s="841"/>
      <c r="W462" s="841"/>
      <c r="X462" s="841"/>
      <c r="Y462" s="841"/>
      <c r="Z462" s="1226"/>
      <c r="AA462" s="1226"/>
      <c r="AB462" s="1226"/>
      <c r="AC462" s="1226"/>
      <c r="AD462" s="1226"/>
      <c r="AE462" s="1226"/>
      <c r="AF462" s="1226"/>
      <c r="AG462" s="1226"/>
      <c r="AH462" s="1226"/>
      <c r="AI462" s="841"/>
      <c r="AJ462" s="841"/>
      <c r="AK462" s="841"/>
      <c r="AL462" s="841"/>
      <c r="AM462" s="841"/>
      <c r="AN462" s="841"/>
      <c r="AO462" s="841"/>
      <c r="AP462" s="841"/>
      <c r="AQ462" s="841"/>
      <c r="AR462" s="841"/>
      <c r="AS462" s="842"/>
    </row>
    <row r="463" spans="1:45">
      <c r="A463" s="841"/>
      <c r="B463" s="841"/>
      <c r="C463" s="841"/>
      <c r="D463" s="841"/>
      <c r="E463" s="841"/>
      <c r="F463" s="841"/>
      <c r="G463" s="841"/>
      <c r="H463" s="841"/>
      <c r="I463" s="841"/>
      <c r="J463" s="841"/>
      <c r="K463" s="841"/>
      <c r="L463" s="841"/>
      <c r="M463" s="841"/>
      <c r="N463" s="841"/>
      <c r="O463" s="841"/>
      <c r="P463" s="841"/>
      <c r="Q463" s="841"/>
      <c r="R463" s="841"/>
      <c r="S463" s="841"/>
      <c r="T463" s="841"/>
      <c r="U463" s="841"/>
      <c r="V463" s="841"/>
      <c r="W463" s="841"/>
      <c r="X463" s="841"/>
      <c r="Y463" s="841"/>
      <c r="Z463" s="1226"/>
      <c r="AA463" s="1226"/>
      <c r="AB463" s="1226"/>
      <c r="AC463" s="1226"/>
      <c r="AD463" s="1226"/>
      <c r="AE463" s="1226"/>
      <c r="AF463" s="1226"/>
      <c r="AG463" s="1226"/>
      <c r="AH463" s="1226"/>
      <c r="AI463" s="841"/>
      <c r="AJ463" s="841"/>
      <c r="AK463" s="841"/>
      <c r="AL463" s="841"/>
      <c r="AM463" s="841"/>
      <c r="AN463" s="841"/>
      <c r="AO463" s="841"/>
      <c r="AP463" s="841"/>
      <c r="AQ463" s="841"/>
      <c r="AR463" s="841"/>
      <c r="AS463" s="842"/>
    </row>
    <row r="464" spans="1:45">
      <c r="A464" s="841"/>
      <c r="B464" s="841"/>
      <c r="C464" s="841"/>
      <c r="D464" s="841"/>
      <c r="E464" s="841"/>
      <c r="F464" s="841"/>
      <c r="G464" s="841"/>
      <c r="H464" s="841"/>
      <c r="I464" s="841"/>
      <c r="J464" s="841"/>
      <c r="K464" s="841"/>
      <c r="L464" s="841"/>
      <c r="M464" s="841"/>
      <c r="N464" s="841"/>
      <c r="O464" s="841"/>
      <c r="P464" s="841"/>
      <c r="Q464" s="841"/>
      <c r="R464" s="841"/>
      <c r="S464" s="841"/>
      <c r="T464" s="841"/>
      <c r="U464" s="841"/>
      <c r="V464" s="841"/>
      <c r="W464" s="841"/>
      <c r="X464" s="841"/>
      <c r="Y464" s="841"/>
      <c r="Z464" s="1226"/>
      <c r="AA464" s="1226"/>
      <c r="AB464" s="1226"/>
      <c r="AC464" s="1226"/>
      <c r="AD464" s="1226"/>
      <c r="AE464" s="1226"/>
      <c r="AF464" s="1226"/>
      <c r="AG464" s="1226"/>
      <c r="AH464" s="1226"/>
      <c r="AI464" s="841"/>
      <c r="AJ464" s="841"/>
      <c r="AK464" s="841"/>
      <c r="AL464" s="841"/>
      <c r="AM464" s="841"/>
      <c r="AN464" s="841"/>
      <c r="AO464" s="841"/>
      <c r="AP464" s="841"/>
      <c r="AQ464" s="841"/>
      <c r="AR464" s="841"/>
      <c r="AS464" s="842"/>
    </row>
    <row r="465" spans="1:45">
      <c r="A465" s="841"/>
      <c r="B465" s="841"/>
      <c r="C465" s="841"/>
      <c r="D465" s="841"/>
      <c r="E465" s="841"/>
      <c r="F465" s="841"/>
      <c r="G465" s="841"/>
      <c r="H465" s="841"/>
      <c r="I465" s="841"/>
      <c r="J465" s="841"/>
      <c r="K465" s="841"/>
      <c r="L465" s="841"/>
      <c r="M465" s="841"/>
      <c r="N465" s="841"/>
      <c r="O465" s="841"/>
      <c r="P465" s="841"/>
      <c r="Q465" s="841"/>
      <c r="R465" s="841"/>
      <c r="S465" s="841"/>
      <c r="T465" s="841"/>
      <c r="U465" s="841"/>
      <c r="V465" s="841"/>
      <c r="W465" s="841"/>
      <c r="X465" s="841"/>
      <c r="Y465" s="841"/>
      <c r="Z465" s="1226"/>
      <c r="AA465" s="1226"/>
      <c r="AB465" s="1226"/>
      <c r="AC465" s="1226"/>
      <c r="AD465" s="1226"/>
      <c r="AE465" s="1226"/>
      <c r="AF465" s="1226"/>
      <c r="AG465" s="1226"/>
      <c r="AH465" s="1226"/>
      <c r="AI465" s="841"/>
      <c r="AJ465" s="841"/>
      <c r="AK465" s="841"/>
      <c r="AL465" s="841"/>
      <c r="AM465" s="841"/>
      <c r="AN465" s="841"/>
      <c r="AO465" s="841"/>
      <c r="AP465" s="841"/>
      <c r="AQ465" s="841"/>
      <c r="AR465" s="841"/>
      <c r="AS465" s="842"/>
    </row>
    <row r="466" spans="1:45">
      <c r="A466" s="841"/>
      <c r="B466" s="841"/>
      <c r="C466" s="841"/>
      <c r="D466" s="841"/>
      <c r="E466" s="841"/>
      <c r="F466" s="841"/>
      <c r="G466" s="841"/>
      <c r="H466" s="841"/>
      <c r="I466" s="841"/>
      <c r="J466" s="841"/>
      <c r="K466" s="841"/>
      <c r="L466" s="841"/>
      <c r="M466" s="841"/>
      <c r="N466" s="841"/>
      <c r="O466" s="841"/>
      <c r="P466" s="841"/>
      <c r="Q466" s="841"/>
      <c r="R466" s="841"/>
      <c r="S466" s="841"/>
      <c r="T466" s="841"/>
      <c r="U466" s="841"/>
      <c r="V466" s="841"/>
      <c r="W466" s="841"/>
      <c r="X466" s="841"/>
      <c r="Y466" s="841"/>
      <c r="Z466" s="1226"/>
      <c r="AA466" s="1226"/>
      <c r="AB466" s="1226"/>
      <c r="AC466" s="1226"/>
      <c r="AD466" s="1226"/>
      <c r="AE466" s="1226"/>
      <c r="AF466" s="1226"/>
      <c r="AG466" s="1226"/>
      <c r="AH466" s="1226"/>
      <c r="AI466" s="841"/>
      <c r="AJ466" s="841"/>
      <c r="AK466" s="841"/>
      <c r="AL466" s="841"/>
      <c r="AM466" s="841"/>
      <c r="AN466" s="841"/>
      <c r="AO466" s="841"/>
      <c r="AP466" s="841"/>
      <c r="AQ466" s="841"/>
      <c r="AR466" s="841"/>
      <c r="AS466" s="842"/>
    </row>
    <row r="467" spans="1:45">
      <c r="A467" s="841"/>
      <c r="B467" s="841"/>
      <c r="C467" s="841"/>
      <c r="D467" s="841"/>
      <c r="E467" s="841"/>
      <c r="F467" s="841"/>
      <c r="G467" s="841"/>
      <c r="H467" s="841"/>
      <c r="I467" s="841"/>
      <c r="J467" s="841"/>
      <c r="K467" s="841"/>
      <c r="L467" s="841"/>
      <c r="M467" s="841"/>
      <c r="N467" s="841"/>
      <c r="O467" s="841"/>
      <c r="P467" s="841"/>
      <c r="Q467" s="841"/>
      <c r="R467" s="841"/>
      <c r="S467" s="841"/>
      <c r="T467" s="841"/>
      <c r="U467" s="841"/>
      <c r="V467" s="841"/>
      <c r="W467" s="841"/>
      <c r="X467" s="841"/>
      <c r="Y467" s="841"/>
      <c r="Z467" s="1226"/>
      <c r="AA467" s="1226"/>
      <c r="AB467" s="1226"/>
      <c r="AC467" s="1226"/>
      <c r="AD467" s="1226"/>
      <c r="AE467" s="1226"/>
      <c r="AF467" s="1226"/>
      <c r="AG467" s="1226"/>
      <c r="AH467" s="1226"/>
      <c r="AI467" s="841"/>
      <c r="AJ467" s="841"/>
      <c r="AK467" s="841"/>
      <c r="AL467" s="841"/>
      <c r="AM467" s="841"/>
      <c r="AN467" s="841"/>
      <c r="AO467" s="841"/>
      <c r="AP467" s="841"/>
      <c r="AQ467" s="841"/>
      <c r="AR467" s="841"/>
      <c r="AS467" s="842"/>
    </row>
    <row r="468" spans="1:45">
      <c r="A468" s="841"/>
      <c r="B468" s="841"/>
      <c r="C468" s="841"/>
      <c r="D468" s="841"/>
      <c r="E468" s="841"/>
      <c r="F468" s="841"/>
      <c r="G468" s="841"/>
      <c r="H468" s="841"/>
      <c r="I468" s="841"/>
      <c r="J468" s="841"/>
      <c r="K468" s="841"/>
      <c r="L468" s="841"/>
      <c r="M468" s="841"/>
      <c r="N468" s="841"/>
      <c r="O468" s="841"/>
      <c r="P468" s="841"/>
      <c r="Q468" s="841"/>
      <c r="R468" s="841"/>
      <c r="S468" s="841"/>
      <c r="T468" s="841"/>
      <c r="U468" s="841"/>
      <c r="V468" s="841"/>
      <c r="W468" s="841"/>
      <c r="X468" s="841"/>
      <c r="Y468" s="841"/>
      <c r="Z468" s="1226"/>
      <c r="AA468" s="1226"/>
      <c r="AB468" s="1226"/>
      <c r="AC468" s="1226"/>
      <c r="AD468" s="1226"/>
      <c r="AE468" s="1226"/>
      <c r="AF468" s="1226"/>
      <c r="AG468" s="1226"/>
      <c r="AH468" s="1226"/>
      <c r="AI468" s="841"/>
      <c r="AJ468" s="841"/>
      <c r="AK468" s="841"/>
      <c r="AL468" s="841"/>
      <c r="AM468" s="841"/>
      <c r="AN468" s="841"/>
      <c r="AO468" s="841"/>
      <c r="AP468" s="841"/>
      <c r="AQ468" s="841"/>
      <c r="AR468" s="841"/>
      <c r="AS468" s="842"/>
    </row>
    <row r="469" spans="1:45">
      <c r="A469" s="841"/>
      <c r="B469" s="841"/>
      <c r="C469" s="841"/>
      <c r="D469" s="841"/>
      <c r="E469" s="841"/>
      <c r="F469" s="841"/>
      <c r="G469" s="841"/>
      <c r="H469" s="841"/>
      <c r="I469" s="841"/>
      <c r="J469" s="841"/>
      <c r="K469" s="841"/>
      <c r="L469" s="841"/>
      <c r="M469" s="841"/>
      <c r="N469" s="841"/>
      <c r="O469" s="841"/>
      <c r="P469" s="841"/>
      <c r="Q469" s="841"/>
      <c r="R469" s="841"/>
      <c r="S469" s="841"/>
      <c r="T469" s="841"/>
      <c r="U469" s="841"/>
      <c r="V469" s="841"/>
      <c r="W469" s="841"/>
      <c r="X469" s="841"/>
      <c r="Y469" s="841"/>
      <c r="Z469" s="1226"/>
      <c r="AA469" s="1226"/>
      <c r="AB469" s="1226"/>
      <c r="AC469" s="1226"/>
      <c r="AD469" s="1226"/>
      <c r="AE469" s="1226"/>
      <c r="AF469" s="1226"/>
      <c r="AG469" s="1226"/>
      <c r="AH469" s="1226"/>
      <c r="AI469" s="841"/>
      <c r="AJ469" s="841"/>
      <c r="AK469" s="841"/>
      <c r="AL469" s="841"/>
      <c r="AM469" s="841"/>
      <c r="AN469" s="841"/>
      <c r="AO469" s="841"/>
      <c r="AP469" s="841"/>
      <c r="AQ469" s="841"/>
      <c r="AR469" s="841"/>
      <c r="AS469" s="842"/>
    </row>
    <row r="470" spans="1:45">
      <c r="A470" s="841"/>
      <c r="B470" s="841"/>
      <c r="C470" s="841"/>
      <c r="D470" s="841"/>
      <c r="E470" s="841"/>
      <c r="F470" s="841"/>
      <c r="G470" s="841"/>
      <c r="H470" s="841"/>
      <c r="I470" s="841"/>
      <c r="J470" s="841"/>
      <c r="K470" s="841"/>
      <c r="L470" s="841"/>
      <c r="M470" s="841"/>
      <c r="N470" s="841"/>
      <c r="O470" s="841"/>
      <c r="P470" s="841"/>
      <c r="Q470" s="841"/>
      <c r="R470" s="841"/>
      <c r="S470" s="841"/>
      <c r="T470" s="841"/>
      <c r="U470" s="841"/>
      <c r="V470" s="841"/>
      <c r="W470" s="841"/>
      <c r="X470" s="841"/>
      <c r="Y470" s="841"/>
      <c r="Z470" s="1226"/>
      <c r="AA470" s="1226"/>
      <c r="AB470" s="1226"/>
      <c r="AC470" s="1226"/>
      <c r="AD470" s="1226"/>
      <c r="AE470" s="1226"/>
      <c r="AF470" s="1226"/>
      <c r="AG470" s="1226"/>
      <c r="AH470" s="1226"/>
      <c r="AI470" s="841"/>
      <c r="AJ470" s="841"/>
      <c r="AK470" s="841"/>
      <c r="AL470" s="841"/>
      <c r="AM470" s="841"/>
      <c r="AN470" s="841"/>
      <c r="AO470" s="841"/>
      <c r="AP470" s="841"/>
      <c r="AQ470" s="841"/>
      <c r="AR470" s="841"/>
      <c r="AS470" s="842"/>
    </row>
    <row r="471" spans="1:45">
      <c r="A471" s="841"/>
      <c r="B471" s="841"/>
      <c r="C471" s="841"/>
      <c r="D471" s="841"/>
      <c r="E471" s="841"/>
      <c r="F471" s="841"/>
      <c r="G471" s="841"/>
      <c r="H471" s="841"/>
      <c r="I471" s="841"/>
      <c r="J471" s="841"/>
      <c r="K471" s="841"/>
      <c r="L471" s="841"/>
      <c r="M471" s="841"/>
      <c r="N471" s="841"/>
      <c r="O471" s="841"/>
      <c r="P471" s="841"/>
      <c r="Q471" s="841"/>
      <c r="R471" s="841"/>
      <c r="S471" s="841"/>
      <c r="T471" s="841"/>
      <c r="U471" s="841"/>
      <c r="V471" s="841"/>
      <c r="W471" s="841"/>
      <c r="X471" s="841"/>
      <c r="Y471" s="841"/>
      <c r="Z471" s="1226"/>
      <c r="AA471" s="1226"/>
      <c r="AB471" s="1226"/>
      <c r="AC471" s="1226"/>
      <c r="AD471" s="1226"/>
      <c r="AE471" s="1226"/>
      <c r="AF471" s="1226"/>
      <c r="AG471" s="1226"/>
      <c r="AH471" s="1226"/>
      <c r="AI471" s="841"/>
      <c r="AJ471" s="841"/>
      <c r="AK471" s="841"/>
      <c r="AL471" s="841"/>
      <c r="AM471" s="841"/>
      <c r="AN471" s="841"/>
      <c r="AO471" s="841"/>
      <c r="AP471" s="841"/>
      <c r="AQ471" s="841"/>
      <c r="AR471" s="841"/>
      <c r="AS471" s="842"/>
    </row>
    <row r="472" spans="1:45">
      <c r="A472" s="841"/>
      <c r="B472" s="841"/>
      <c r="C472" s="841"/>
      <c r="D472" s="841"/>
      <c r="E472" s="841"/>
      <c r="F472" s="841"/>
      <c r="G472" s="841"/>
      <c r="H472" s="841"/>
      <c r="I472" s="841"/>
      <c r="J472" s="841"/>
      <c r="K472" s="841"/>
      <c r="L472" s="841"/>
      <c r="M472" s="841"/>
      <c r="N472" s="841"/>
      <c r="O472" s="841"/>
      <c r="P472" s="841"/>
      <c r="Q472" s="841"/>
      <c r="R472" s="841"/>
      <c r="S472" s="841"/>
      <c r="T472" s="841"/>
      <c r="U472" s="841"/>
      <c r="V472" s="841"/>
      <c r="W472" s="841"/>
      <c r="X472" s="841"/>
      <c r="Y472" s="841"/>
      <c r="Z472" s="1226"/>
      <c r="AA472" s="1226"/>
      <c r="AB472" s="1226"/>
      <c r="AC472" s="1226"/>
      <c r="AD472" s="1226"/>
      <c r="AE472" s="1226"/>
      <c r="AF472" s="1226"/>
      <c r="AG472" s="1226"/>
      <c r="AH472" s="1226"/>
      <c r="AI472" s="841"/>
      <c r="AJ472" s="841"/>
      <c r="AK472" s="841"/>
      <c r="AL472" s="841"/>
      <c r="AM472" s="841"/>
      <c r="AN472" s="841"/>
      <c r="AO472" s="841"/>
      <c r="AP472" s="841"/>
      <c r="AQ472" s="841"/>
      <c r="AR472" s="841"/>
      <c r="AS472" s="842"/>
    </row>
    <row r="473" spans="1:45">
      <c r="A473" s="841"/>
      <c r="B473" s="841"/>
      <c r="C473" s="841"/>
      <c r="D473" s="841"/>
      <c r="E473" s="841"/>
      <c r="F473" s="841"/>
      <c r="G473" s="841"/>
      <c r="H473" s="841"/>
      <c r="I473" s="841"/>
      <c r="J473" s="841"/>
      <c r="K473" s="841"/>
      <c r="L473" s="841"/>
      <c r="M473" s="841"/>
      <c r="N473" s="841"/>
      <c r="O473" s="841"/>
      <c r="P473" s="841"/>
      <c r="Q473" s="841"/>
      <c r="R473" s="841"/>
      <c r="S473" s="841"/>
      <c r="T473" s="841"/>
      <c r="U473" s="841"/>
      <c r="V473" s="841"/>
      <c r="W473" s="841"/>
      <c r="X473" s="841"/>
      <c r="Y473" s="841"/>
      <c r="Z473" s="1226"/>
      <c r="AA473" s="1226"/>
      <c r="AB473" s="1226"/>
      <c r="AC473" s="1226"/>
      <c r="AD473" s="1226"/>
      <c r="AE473" s="1226"/>
      <c r="AF473" s="1226"/>
      <c r="AG473" s="1226"/>
      <c r="AH473" s="1226"/>
      <c r="AI473" s="841"/>
      <c r="AJ473" s="841"/>
      <c r="AK473" s="841"/>
      <c r="AL473" s="841"/>
      <c r="AM473" s="841"/>
      <c r="AN473" s="841"/>
      <c r="AO473" s="841"/>
      <c r="AP473" s="841"/>
      <c r="AQ473" s="841"/>
      <c r="AR473" s="841"/>
      <c r="AS473" s="842"/>
    </row>
    <row r="474" spans="1:45">
      <c r="A474" s="841"/>
      <c r="B474" s="841"/>
      <c r="C474" s="841"/>
      <c r="D474" s="841"/>
      <c r="E474" s="841"/>
      <c r="F474" s="841"/>
      <c r="G474" s="841"/>
      <c r="H474" s="841"/>
      <c r="I474" s="841"/>
      <c r="J474" s="841"/>
      <c r="K474" s="841"/>
      <c r="L474" s="841"/>
      <c r="M474" s="841"/>
      <c r="N474" s="841"/>
      <c r="O474" s="841"/>
      <c r="P474" s="841"/>
      <c r="Q474" s="841"/>
      <c r="R474" s="841"/>
      <c r="S474" s="841"/>
      <c r="T474" s="841"/>
      <c r="U474" s="841"/>
      <c r="V474" s="841"/>
      <c r="W474" s="841"/>
      <c r="X474" s="841"/>
      <c r="Y474" s="841"/>
      <c r="Z474" s="1226"/>
      <c r="AA474" s="1226"/>
      <c r="AB474" s="1226"/>
      <c r="AC474" s="1226"/>
      <c r="AD474" s="1226"/>
      <c r="AE474" s="1226"/>
      <c r="AF474" s="1226"/>
      <c r="AG474" s="1226"/>
      <c r="AH474" s="1226"/>
      <c r="AI474" s="841"/>
      <c r="AJ474" s="841"/>
      <c r="AK474" s="841"/>
      <c r="AL474" s="841"/>
      <c r="AM474" s="841"/>
      <c r="AN474" s="841"/>
      <c r="AO474" s="841"/>
      <c r="AP474" s="841"/>
      <c r="AQ474" s="841"/>
      <c r="AR474" s="841"/>
      <c r="AS474" s="842"/>
    </row>
    <row r="475" spans="1:45">
      <c r="A475" s="841"/>
      <c r="B475" s="841"/>
      <c r="C475" s="841"/>
      <c r="D475" s="841"/>
      <c r="E475" s="841"/>
      <c r="F475" s="841"/>
      <c r="G475" s="841"/>
      <c r="H475" s="841"/>
      <c r="I475" s="841"/>
      <c r="J475" s="841"/>
      <c r="K475" s="841"/>
      <c r="L475" s="841"/>
      <c r="M475" s="841"/>
      <c r="N475" s="841"/>
      <c r="O475" s="841"/>
      <c r="P475" s="841"/>
      <c r="Q475" s="841"/>
      <c r="R475" s="841"/>
      <c r="S475" s="841"/>
      <c r="T475" s="841"/>
      <c r="U475" s="841"/>
      <c r="V475" s="841"/>
      <c r="W475" s="841"/>
      <c r="X475" s="841"/>
      <c r="Y475" s="841"/>
      <c r="Z475" s="1226"/>
      <c r="AA475" s="1226"/>
      <c r="AB475" s="1226"/>
      <c r="AC475" s="1226"/>
      <c r="AD475" s="1226"/>
      <c r="AE475" s="1226"/>
      <c r="AF475" s="1226"/>
      <c r="AG475" s="1226"/>
      <c r="AH475" s="1226"/>
      <c r="AI475" s="841"/>
      <c r="AJ475" s="841"/>
      <c r="AK475" s="841"/>
      <c r="AL475" s="841"/>
      <c r="AM475" s="841"/>
      <c r="AN475" s="841"/>
      <c r="AO475" s="841"/>
      <c r="AP475" s="841"/>
      <c r="AQ475" s="841"/>
      <c r="AR475" s="841"/>
      <c r="AS475" s="842"/>
    </row>
    <row r="476" spans="1:45">
      <c r="A476" s="841"/>
      <c r="B476" s="841"/>
      <c r="C476" s="841"/>
      <c r="D476" s="841"/>
      <c r="E476" s="841"/>
      <c r="F476" s="841"/>
      <c r="G476" s="841"/>
      <c r="H476" s="841"/>
      <c r="I476" s="841"/>
      <c r="J476" s="841"/>
      <c r="K476" s="841"/>
      <c r="L476" s="841"/>
      <c r="M476" s="841"/>
      <c r="N476" s="841"/>
      <c r="O476" s="841"/>
      <c r="P476" s="841"/>
      <c r="Q476" s="841"/>
      <c r="R476" s="841"/>
      <c r="S476" s="841"/>
      <c r="T476" s="841"/>
      <c r="U476" s="841"/>
      <c r="V476" s="841"/>
      <c r="W476" s="841"/>
      <c r="X476" s="841"/>
      <c r="Y476" s="841"/>
      <c r="Z476" s="1226"/>
      <c r="AA476" s="1226"/>
      <c r="AB476" s="1226"/>
      <c r="AC476" s="1226"/>
      <c r="AD476" s="1226"/>
      <c r="AE476" s="1226"/>
      <c r="AF476" s="1226"/>
      <c r="AG476" s="1226"/>
      <c r="AH476" s="1226"/>
      <c r="AI476" s="841"/>
      <c r="AJ476" s="841"/>
      <c r="AK476" s="841"/>
      <c r="AL476" s="841"/>
      <c r="AM476" s="841"/>
      <c r="AN476" s="841"/>
      <c r="AO476" s="841"/>
      <c r="AP476" s="841"/>
      <c r="AQ476" s="841"/>
      <c r="AR476" s="841"/>
      <c r="AS476" s="842"/>
    </row>
    <row r="477" spans="1:45">
      <c r="A477" s="841"/>
      <c r="B477" s="841"/>
      <c r="C477" s="841"/>
      <c r="D477" s="841"/>
      <c r="E477" s="841"/>
      <c r="F477" s="841"/>
      <c r="G477" s="841"/>
      <c r="H477" s="841"/>
      <c r="I477" s="841"/>
      <c r="J477" s="841"/>
      <c r="K477" s="841"/>
      <c r="L477" s="841"/>
      <c r="M477" s="841"/>
      <c r="N477" s="841"/>
      <c r="O477" s="841"/>
      <c r="P477" s="841"/>
      <c r="Q477" s="841"/>
      <c r="R477" s="841"/>
      <c r="S477" s="841"/>
      <c r="T477" s="841"/>
      <c r="U477" s="841"/>
      <c r="V477" s="841"/>
      <c r="W477" s="841"/>
      <c r="X477" s="841"/>
      <c r="Y477" s="841"/>
      <c r="Z477" s="1226"/>
      <c r="AA477" s="1226"/>
      <c r="AB477" s="1226"/>
      <c r="AC477" s="1226"/>
      <c r="AD477" s="1226"/>
      <c r="AE477" s="1226"/>
      <c r="AF477" s="1226"/>
      <c r="AG477" s="1226"/>
      <c r="AH477" s="1226"/>
      <c r="AI477" s="841"/>
      <c r="AJ477" s="841"/>
      <c r="AK477" s="841"/>
      <c r="AL477" s="841"/>
      <c r="AM477" s="841"/>
      <c r="AN477" s="841"/>
      <c r="AO477" s="841"/>
      <c r="AP477" s="841"/>
      <c r="AQ477" s="841"/>
      <c r="AR477" s="841"/>
      <c r="AS477" s="842"/>
    </row>
    <row r="478" spans="1:45">
      <c r="A478" s="841"/>
      <c r="B478" s="841"/>
      <c r="C478" s="841"/>
      <c r="D478" s="841"/>
      <c r="E478" s="841"/>
      <c r="F478" s="841"/>
      <c r="G478" s="841"/>
      <c r="H478" s="841"/>
      <c r="I478" s="841"/>
      <c r="J478" s="841"/>
      <c r="K478" s="841"/>
      <c r="L478" s="841"/>
      <c r="M478" s="841"/>
      <c r="N478" s="841"/>
      <c r="O478" s="841"/>
      <c r="P478" s="841"/>
      <c r="Q478" s="841"/>
      <c r="R478" s="841"/>
      <c r="S478" s="841"/>
      <c r="T478" s="841"/>
      <c r="U478" s="841"/>
      <c r="V478" s="841"/>
      <c r="W478" s="841"/>
      <c r="X478" s="841"/>
      <c r="Y478" s="841"/>
      <c r="Z478" s="1226"/>
      <c r="AA478" s="1226"/>
      <c r="AB478" s="1226"/>
      <c r="AC478" s="1226"/>
      <c r="AD478" s="1226"/>
      <c r="AE478" s="1226"/>
      <c r="AF478" s="1226"/>
      <c r="AG478" s="1226"/>
      <c r="AH478" s="1226"/>
      <c r="AI478" s="841"/>
      <c r="AJ478" s="841"/>
      <c r="AK478" s="841"/>
      <c r="AL478" s="841"/>
      <c r="AM478" s="841"/>
      <c r="AN478" s="841"/>
      <c r="AO478" s="841"/>
      <c r="AP478" s="841"/>
      <c r="AQ478" s="841"/>
      <c r="AR478" s="841"/>
      <c r="AS478" s="842"/>
    </row>
    <row r="479" spans="1:45">
      <c r="A479" s="841"/>
      <c r="B479" s="841"/>
      <c r="C479" s="841"/>
      <c r="D479" s="841"/>
      <c r="E479" s="841"/>
      <c r="F479" s="841"/>
      <c r="G479" s="841"/>
      <c r="H479" s="841"/>
      <c r="I479" s="841"/>
      <c r="J479" s="841"/>
      <c r="K479" s="841"/>
      <c r="L479" s="841"/>
      <c r="M479" s="841"/>
      <c r="N479" s="841"/>
      <c r="O479" s="841"/>
      <c r="P479" s="841"/>
      <c r="Q479" s="841"/>
      <c r="R479" s="841"/>
      <c r="S479" s="841"/>
      <c r="T479" s="841"/>
      <c r="U479" s="841"/>
      <c r="V479" s="841"/>
      <c r="W479" s="841"/>
      <c r="X479" s="841"/>
      <c r="Y479" s="841"/>
      <c r="Z479" s="1226"/>
      <c r="AA479" s="1226"/>
      <c r="AB479" s="1226"/>
      <c r="AC479" s="1226"/>
      <c r="AD479" s="1226"/>
      <c r="AE479" s="1226"/>
      <c r="AF479" s="1226"/>
      <c r="AG479" s="1226"/>
      <c r="AH479" s="1226"/>
      <c r="AI479" s="841"/>
      <c r="AJ479" s="841"/>
      <c r="AK479" s="841"/>
      <c r="AL479" s="841"/>
      <c r="AM479" s="841"/>
      <c r="AN479" s="841"/>
      <c r="AO479" s="841"/>
      <c r="AP479" s="841"/>
      <c r="AQ479" s="841"/>
      <c r="AR479" s="841"/>
      <c r="AS479" s="842"/>
    </row>
    <row r="480" spans="1:45">
      <c r="A480" s="841"/>
      <c r="B480" s="841"/>
      <c r="C480" s="841"/>
      <c r="D480" s="841"/>
      <c r="E480" s="841"/>
      <c r="F480" s="841"/>
      <c r="G480" s="841"/>
      <c r="H480" s="841"/>
      <c r="I480" s="841"/>
      <c r="J480" s="841"/>
      <c r="K480" s="841"/>
      <c r="L480" s="841"/>
      <c r="M480" s="841"/>
      <c r="N480" s="841"/>
      <c r="O480" s="841"/>
      <c r="P480" s="841"/>
      <c r="Q480" s="841"/>
      <c r="R480" s="841"/>
      <c r="S480" s="841"/>
      <c r="T480" s="841"/>
      <c r="U480" s="841"/>
      <c r="V480" s="841"/>
      <c r="W480" s="841"/>
      <c r="X480" s="841"/>
      <c r="Y480" s="841"/>
      <c r="Z480" s="1226"/>
      <c r="AA480" s="1226"/>
      <c r="AB480" s="1226"/>
      <c r="AC480" s="1226"/>
      <c r="AD480" s="1226"/>
      <c r="AE480" s="1226"/>
      <c r="AF480" s="1226"/>
      <c r="AG480" s="1226"/>
      <c r="AH480" s="1226"/>
      <c r="AI480" s="841"/>
      <c r="AJ480" s="841"/>
      <c r="AK480" s="841"/>
      <c r="AL480" s="841"/>
      <c r="AM480" s="841"/>
      <c r="AN480" s="841"/>
      <c r="AO480" s="841"/>
      <c r="AP480" s="841"/>
      <c r="AQ480" s="841"/>
      <c r="AR480" s="841"/>
      <c r="AS480" s="842"/>
    </row>
    <row r="481" spans="1:45">
      <c r="A481" s="841"/>
      <c r="B481" s="841"/>
      <c r="C481" s="841"/>
      <c r="D481" s="841"/>
      <c r="E481" s="841"/>
      <c r="F481" s="841"/>
      <c r="G481" s="841"/>
      <c r="H481" s="841"/>
      <c r="I481" s="841"/>
      <c r="J481" s="841"/>
      <c r="K481" s="841"/>
      <c r="L481" s="841"/>
      <c r="M481" s="841"/>
      <c r="N481" s="841"/>
      <c r="O481" s="841"/>
      <c r="P481" s="841"/>
      <c r="Q481" s="841"/>
      <c r="R481" s="841"/>
      <c r="S481" s="841"/>
      <c r="T481" s="841"/>
      <c r="U481" s="841"/>
      <c r="V481" s="841"/>
      <c r="W481" s="841"/>
      <c r="X481" s="841"/>
      <c r="Y481" s="841"/>
      <c r="Z481" s="1226"/>
      <c r="AA481" s="1226"/>
      <c r="AB481" s="1226"/>
      <c r="AC481" s="1226"/>
      <c r="AD481" s="1226"/>
      <c r="AE481" s="1226"/>
      <c r="AF481" s="1226"/>
      <c r="AG481" s="1226"/>
      <c r="AH481" s="1226"/>
      <c r="AI481" s="841"/>
      <c r="AJ481" s="841"/>
      <c r="AK481" s="841"/>
      <c r="AL481" s="841"/>
      <c r="AM481" s="841"/>
      <c r="AN481" s="841"/>
      <c r="AO481" s="841"/>
      <c r="AP481" s="841"/>
      <c r="AQ481" s="841"/>
      <c r="AR481" s="841"/>
      <c r="AS481" s="842"/>
    </row>
    <row r="482" spans="1:45">
      <c r="A482" s="841"/>
      <c r="B482" s="841"/>
      <c r="C482" s="841"/>
      <c r="D482" s="841"/>
      <c r="E482" s="841"/>
      <c r="F482" s="841"/>
      <c r="G482" s="841"/>
      <c r="H482" s="841"/>
      <c r="I482" s="841"/>
      <c r="J482" s="841"/>
      <c r="K482" s="841"/>
      <c r="L482" s="841"/>
      <c r="M482" s="841"/>
      <c r="N482" s="841"/>
      <c r="O482" s="841"/>
      <c r="P482" s="841"/>
      <c r="Q482" s="841"/>
      <c r="R482" s="841"/>
      <c r="S482" s="841"/>
      <c r="T482" s="841"/>
      <c r="U482" s="841"/>
      <c r="V482" s="841"/>
      <c r="W482" s="841"/>
      <c r="X482" s="841"/>
      <c r="Y482" s="841"/>
      <c r="Z482" s="1226"/>
      <c r="AA482" s="1226"/>
      <c r="AB482" s="1226"/>
      <c r="AC482" s="1226"/>
      <c r="AD482" s="1226"/>
      <c r="AE482" s="1226"/>
      <c r="AF482" s="1226"/>
      <c r="AG482" s="1226"/>
      <c r="AH482" s="1226"/>
      <c r="AI482" s="841"/>
      <c r="AJ482" s="841"/>
      <c r="AK482" s="841"/>
      <c r="AL482" s="841"/>
      <c r="AM482" s="841"/>
      <c r="AN482" s="841"/>
      <c r="AO482" s="841"/>
      <c r="AP482" s="841"/>
      <c r="AQ482" s="841"/>
      <c r="AR482" s="841"/>
      <c r="AS482" s="842"/>
    </row>
    <row r="483" spans="1:45">
      <c r="A483" s="841"/>
      <c r="B483" s="841"/>
      <c r="C483" s="841"/>
      <c r="D483" s="841"/>
      <c r="E483" s="841"/>
      <c r="F483" s="841"/>
      <c r="G483" s="841"/>
      <c r="H483" s="841"/>
      <c r="I483" s="841"/>
      <c r="J483" s="841"/>
      <c r="K483" s="841"/>
      <c r="L483" s="841"/>
      <c r="M483" s="841"/>
      <c r="N483" s="841"/>
      <c r="O483" s="841"/>
      <c r="P483" s="841"/>
      <c r="Q483" s="841"/>
      <c r="R483" s="841"/>
      <c r="S483" s="841"/>
      <c r="T483" s="841"/>
      <c r="U483" s="841"/>
      <c r="V483" s="841"/>
      <c r="W483" s="841"/>
      <c r="X483" s="841"/>
      <c r="Y483" s="841"/>
      <c r="Z483" s="1226"/>
      <c r="AA483" s="1226"/>
      <c r="AB483" s="1226"/>
      <c r="AC483" s="1226"/>
      <c r="AD483" s="1226"/>
      <c r="AE483" s="1226"/>
      <c r="AF483" s="1226"/>
      <c r="AG483" s="1226"/>
      <c r="AH483" s="1226"/>
      <c r="AI483" s="841"/>
      <c r="AJ483" s="841"/>
      <c r="AK483" s="841"/>
      <c r="AL483" s="841"/>
      <c r="AM483" s="841"/>
      <c r="AN483" s="841"/>
      <c r="AO483" s="841"/>
      <c r="AP483" s="841"/>
      <c r="AQ483" s="841"/>
      <c r="AR483" s="841"/>
      <c r="AS483" s="842"/>
    </row>
    <row r="484" spans="1:45">
      <c r="A484" s="841"/>
      <c r="B484" s="841"/>
      <c r="C484" s="841"/>
      <c r="D484" s="841"/>
      <c r="E484" s="841"/>
      <c r="F484" s="841"/>
      <c r="G484" s="841"/>
      <c r="H484" s="841"/>
      <c r="I484" s="841"/>
      <c r="J484" s="841"/>
      <c r="K484" s="841"/>
      <c r="L484" s="841"/>
      <c r="M484" s="841"/>
      <c r="N484" s="841"/>
      <c r="O484" s="841"/>
      <c r="P484" s="841"/>
      <c r="Q484" s="841"/>
      <c r="R484" s="841"/>
      <c r="S484" s="841"/>
      <c r="T484" s="841"/>
      <c r="U484" s="841"/>
      <c r="V484" s="841"/>
      <c r="W484" s="841"/>
      <c r="X484" s="841"/>
      <c r="Y484" s="841"/>
      <c r="Z484" s="1226"/>
      <c r="AA484" s="1226"/>
      <c r="AB484" s="1226"/>
      <c r="AC484" s="1226"/>
      <c r="AD484" s="1226"/>
      <c r="AE484" s="1226"/>
      <c r="AF484" s="1226"/>
      <c r="AG484" s="1226"/>
      <c r="AH484" s="1226"/>
      <c r="AI484" s="841"/>
      <c r="AJ484" s="841"/>
      <c r="AK484" s="841"/>
      <c r="AL484" s="841"/>
      <c r="AM484" s="841"/>
      <c r="AN484" s="841"/>
      <c r="AO484" s="841"/>
      <c r="AP484" s="841"/>
      <c r="AQ484" s="841"/>
      <c r="AR484" s="841"/>
      <c r="AS484" s="842"/>
    </row>
    <row r="485" spans="1:45">
      <c r="A485" s="841"/>
      <c r="B485" s="841"/>
      <c r="C485" s="841"/>
      <c r="D485" s="841"/>
      <c r="E485" s="841"/>
      <c r="F485" s="841"/>
      <c r="G485" s="841"/>
      <c r="H485" s="841"/>
      <c r="I485" s="841"/>
      <c r="J485" s="841"/>
      <c r="K485" s="841"/>
      <c r="L485" s="841"/>
      <c r="M485" s="841"/>
      <c r="N485" s="841"/>
      <c r="O485" s="841"/>
      <c r="P485" s="841"/>
      <c r="Q485" s="841"/>
      <c r="R485" s="841"/>
      <c r="S485" s="841"/>
      <c r="T485" s="841"/>
      <c r="U485" s="841"/>
      <c r="V485" s="841"/>
      <c r="W485" s="841"/>
      <c r="X485" s="841"/>
      <c r="Y485" s="841"/>
      <c r="Z485" s="1226"/>
      <c r="AA485" s="1226"/>
      <c r="AB485" s="1226"/>
      <c r="AC485" s="1226"/>
      <c r="AD485" s="1226"/>
      <c r="AE485" s="1226"/>
      <c r="AF485" s="1226"/>
      <c r="AG485" s="1226"/>
      <c r="AH485" s="1226"/>
      <c r="AI485" s="841"/>
      <c r="AJ485" s="841"/>
      <c r="AK485" s="841"/>
      <c r="AL485" s="841"/>
      <c r="AM485" s="841"/>
      <c r="AN485" s="841"/>
      <c r="AO485" s="841"/>
      <c r="AP485" s="841"/>
      <c r="AQ485" s="841"/>
      <c r="AR485" s="841"/>
      <c r="AS485" s="842"/>
    </row>
    <row r="486" spans="1:45">
      <c r="A486" s="841"/>
      <c r="B486" s="841"/>
      <c r="C486" s="841"/>
      <c r="D486" s="841"/>
      <c r="E486" s="841"/>
      <c r="F486" s="841"/>
      <c r="G486" s="841"/>
      <c r="H486" s="841"/>
      <c r="I486" s="841"/>
      <c r="J486" s="841"/>
      <c r="K486" s="841"/>
      <c r="L486" s="841"/>
      <c r="M486" s="841"/>
      <c r="N486" s="841"/>
      <c r="O486" s="841"/>
      <c r="P486" s="841"/>
      <c r="Q486" s="841"/>
      <c r="R486" s="841"/>
      <c r="S486" s="841"/>
      <c r="T486" s="841"/>
      <c r="U486" s="841"/>
      <c r="V486" s="841"/>
      <c r="W486" s="841"/>
      <c r="X486" s="841"/>
      <c r="Y486" s="841"/>
      <c r="Z486" s="1226"/>
      <c r="AA486" s="1226"/>
      <c r="AB486" s="1226"/>
      <c r="AC486" s="1226"/>
      <c r="AD486" s="1226"/>
      <c r="AE486" s="1226"/>
      <c r="AF486" s="1226"/>
      <c r="AG486" s="1226"/>
      <c r="AH486" s="1226"/>
      <c r="AI486" s="841"/>
      <c r="AJ486" s="841"/>
      <c r="AK486" s="841"/>
      <c r="AL486" s="841"/>
      <c r="AM486" s="841"/>
      <c r="AN486" s="841"/>
      <c r="AO486" s="841"/>
      <c r="AP486" s="841"/>
      <c r="AQ486" s="841"/>
      <c r="AR486" s="841"/>
      <c r="AS486" s="842"/>
    </row>
    <row r="487" spans="1:45">
      <c r="A487" s="841"/>
      <c r="B487" s="841"/>
      <c r="C487" s="841"/>
      <c r="D487" s="841"/>
      <c r="E487" s="841"/>
      <c r="F487" s="841"/>
      <c r="G487" s="841"/>
      <c r="H487" s="841"/>
      <c r="I487" s="841"/>
      <c r="J487" s="841"/>
      <c r="K487" s="841"/>
      <c r="L487" s="841"/>
      <c r="M487" s="841"/>
      <c r="N487" s="841"/>
      <c r="O487" s="841"/>
      <c r="P487" s="841"/>
      <c r="Q487" s="841"/>
      <c r="R487" s="841"/>
      <c r="S487" s="841"/>
      <c r="T487" s="841"/>
      <c r="U487" s="841"/>
      <c r="V487" s="841"/>
      <c r="W487" s="841"/>
      <c r="X487" s="841"/>
      <c r="Y487" s="841"/>
      <c r="Z487" s="1226"/>
      <c r="AA487" s="1226"/>
      <c r="AB487" s="1226"/>
      <c r="AC487" s="1226"/>
      <c r="AD487" s="1226"/>
      <c r="AE487" s="1226"/>
      <c r="AF487" s="1226"/>
      <c r="AG487" s="1226"/>
      <c r="AH487" s="1226"/>
      <c r="AI487" s="841"/>
      <c r="AJ487" s="841"/>
      <c r="AK487" s="841"/>
      <c r="AL487" s="841"/>
      <c r="AM487" s="841"/>
      <c r="AN487" s="841"/>
      <c r="AO487" s="841"/>
      <c r="AP487" s="841"/>
      <c r="AQ487" s="841"/>
      <c r="AR487" s="841"/>
      <c r="AS487" s="842"/>
    </row>
    <row r="488" spans="1:45">
      <c r="A488" s="841"/>
      <c r="B488" s="841"/>
      <c r="C488" s="841"/>
      <c r="D488" s="841"/>
      <c r="E488" s="841"/>
      <c r="F488" s="841"/>
      <c r="G488" s="841"/>
      <c r="H488" s="841"/>
      <c r="I488" s="841"/>
      <c r="J488" s="841"/>
      <c r="K488" s="841"/>
      <c r="L488" s="841"/>
      <c r="M488" s="841"/>
      <c r="N488" s="841"/>
      <c r="O488" s="841"/>
      <c r="P488" s="841"/>
      <c r="Q488" s="841"/>
      <c r="R488" s="841"/>
      <c r="S488" s="841"/>
      <c r="T488" s="841"/>
      <c r="U488" s="841"/>
      <c r="V488" s="841"/>
      <c r="W488" s="841"/>
      <c r="X488" s="841"/>
      <c r="Y488" s="841"/>
      <c r="Z488" s="1226"/>
      <c r="AA488" s="1226"/>
      <c r="AB488" s="1226"/>
      <c r="AC488" s="1226"/>
      <c r="AD488" s="1226"/>
      <c r="AE488" s="1226"/>
      <c r="AF488" s="1226"/>
      <c r="AG488" s="1226"/>
      <c r="AH488" s="1226"/>
      <c r="AI488" s="841"/>
      <c r="AJ488" s="841"/>
      <c r="AK488" s="841"/>
      <c r="AL488" s="841"/>
      <c r="AM488" s="841"/>
      <c r="AN488" s="841"/>
      <c r="AO488" s="841"/>
      <c r="AP488" s="841"/>
      <c r="AQ488" s="841"/>
      <c r="AR488" s="841"/>
      <c r="AS488" s="842"/>
    </row>
    <row r="489" spans="1:45">
      <c r="A489" s="841"/>
      <c r="B489" s="841"/>
      <c r="C489" s="841"/>
      <c r="D489" s="841"/>
      <c r="E489" s="841"/>
      <c r="F489" s="841"/>
      <c r="G489" s="841"/>
      <c r="H489" s="841"/>
      <c r="I489" s="841"/>
      <c r="J489" s="841"/>
      <c r="K489" s="841"/>
      <c r="L489" s="841"/>
      <c r="M489" s="841"/>
      <c r="N489" s="841"/>
      <c r="O489" s="841"/>
      <c r="P489" s="841"/>
      <c r="Q489" s="841"/>
      <c r="R489" s="841"/>
      <c r="S489" s="841"/>
      <c r="T489" s="841"/>
      <c r="U489" s="841"/>
      <c r="V489" s="841"/>
      <c r="W489" s="841"/>
      <c r="X489" s="841"/>
      <c r="Y489" s="841"/>
      <c r="Z489" s="1226"/>
      <c r="AA489" s="1226"/>
      <c r="AB489" s="1226"/>
      <c r="AC489" s="1226"/>
      <c r="AD489" s="1226"/>
      <c r="AE489" s="1226"/>
      <c r="AF489" s="1226"/>
      <c r="AG489" s="1226"/>
      <c r="AH489" s="1226"/>
      <c r="AI489" s="841"/>
      <c r="AJ489" s="841"/>
      <c r="AK489" s="841"/>
      <c r="AL489" s="841"/>
      <c r="AM489" s="841"/>
      <c r="AN489" s="841"/>
      <c r="AO489" s="841"/>
      <c r="AP489" s="841"/>
      <c r="AQ489" s="841"/>
      <c r="AR489" s="841"/>
      <c r="AS489" s="842"/>
    </row>
    <row r="490" spans="1:45">
      <c r="A490" s="841"/>
      <c r="B490" s="841"/>
      <c r="C490" s="841"/>
      <c r="D490" s="841"/>
      <c r="E490" s="841"/>
      <c r="F490" s="841"/>
      <c r="G490" s="841"/>
      <c r="H490" s="841"/>
      <c r="I490" s="841"/>
      <c r="J490" s="841"/>
      <c r="K490" s="841"/>
      <c r="L490" s="841"/>
      <c r="M490" s="841"/>
      <c r="N490" s="841"/>
      <c r="O490" s="841"/>
      <c r="P490" s="841"/>
      <c r="Q490" s="841"/>
      <c r="R490" s="841"/>
      <c r="S490" s="841"/>
      <c r="T490" s="841"/>
      <c r="U490" s="841"/>
      <c r="V490" s="841"/>
      <c r="W490" s="841"/>
      <c r="X490" s="841"/>
      <c r="Y490" s="841"/>
      <c r="Z490" s="1226"/>
      <c r="AA490" s="1226"/>
      <c r="AB490" s="1226"/>
      <c r="AC490" s="1226"/>
      <c r="AD490" s="1226"/>
      <c r="AE490" s="1226"/>
      <c r="AF490" s="1226"/>
      <c r="AG490" s="1226"/>
      <c r="AH490" s="1226"/>
      <c r="AI490" s="841"/>
      <c r="AJ490" s="841"/>
      <c r="AK490" s="841"/>
      <c r="AL490" s="841"/>
      <c r="AM490" s="841"/>
      <c r="AN490" s="841"/>
      <c r="AO490" s="841"/>
      <c r="AP490" s="841"/>
      <c r="AQ490" s="841"/>
      <c r="AR490" s="841"/>
      <c r="AS490" s="842"/>
    </row>
    <row r="491" spans="1:45">
      <c r="A491" s="841"/>
      <c r="B491" s="841"/>
      <c r="C491" s="841"/>
      <c r="D491" s="841"/>
      <c r="E491" s="841"/>
      <c r="F491" s="841"/>
      <c r="G491" s="841"/>
      <c r="H491" s="841"/>
      <c r="I491" s="841"/>
      <c r="J491" s="841"/>
      <c r="K491" s="841"/>
      <c r="L491" s="841"/>
      <c r="M491" s="841"/>
      <c r="N491" s="841"/>
      <c r="O491" s="841"/>
      <c r="P491" s="841"/>
      <c r="Q491" s="841"/>
      <c r="R491" s="841"/>
      <c r="S491" s="841"/>
      <c r="T491" s="841"/>
      <c r="U491" s="841"/>
      <c r="V491" s="841"/>
      <c r="W491" s="841"/>
      <c r="X491" s="841"/>
      <c r="Y491" s="841"/>
      <c r="Z491" s="1226"/>
      <c r="AA491" s="1226"/>
      <c r="AB491" s="1226"/>
      <c r="AC491" s="1226"/>
      <c r="AD491" s="1226"/>
      <c r="AE491" s="1226"/>
      <c r="AF491" s="1226"/>
      <c r="AG491" s="1226"/>
      <c r="AH491" s="1226"/>
      <c r="AI491" s="841"/>
      <c r="AJ491" s="841"/>
      <c r="AK491" s="841"/>
      <c r="AL491" s="841"/>
      <c r="AM491" s="841"/>
      <c r="AN491" s="841"/>
      <c r="AO491" s="841"/>
      <c r="AP491" s="841"/>
      <c r="AQ491" s="841"/>
      <c r="AR491" s="841"/>
      <c r="AS491" s="842"/>
    </row>
    <row r="492" spans="1:45">
      <c r="A492" s="841"/>
      <c r="B492" s="841"/>
      <c r="C492" s="841"/>
      <c r="D492" s="841"/>
      <c r="E492" s="841"/>
      <c r="F492" s="841"/>
      <c r="G492" s="841"/>
      <c r="H492" s="841"/>
      <c r="I492" s="841"/>
      <c r="J492" s="841"/>
      <c r="K492" s="841"/>
      <c r="L492" s="841"/>
      <c r="M492" s="841"/>
      <c r="N492" s="841"/>
      <c r="O492" s="841"/>
      <c r="P492" s="841"/>
      <c r="Q492" s="841"/>
      <c r="R492" s="841"/>
      <c r="S492" s="841"/>
      <c r="T492" s="841"/>
      <c r="U492" s="841"/>
      <c r="V492" s="841"/>
      <c r="W492" s="841"/>
      <c r="X492" s="841"/>
      <c r="Y492" s="841"/>
      <c r="Z492" s="1226"/>
      <c r="AA492" s="1226"/>
      <c r="AB492" s="1226"/>
      <c r="AC492" s="1226"/>
      <c r="AD492" s="1226"/>
      <c r="AE492" s="1226"/>
      <c r="AF492" s="1226"/>
      <c r="AG492" s="1226"/>
      <c r="AH492" s="1226"/>
      <c r="AI492" s="841"/>
      <c r="AJ492" s="841"/>
      <c r="AK492" s="841"/>
      <c r="AL492" s="841"/>
      <c r="AM492" s="841"/>
      <c r="AN492" s="841"/>
      <c r="AO492" s="841"/>
      <c r="AP492" s="841"/>
      <c r="AQ492" s="841"/>
      <c r="AR492" s="841"/>
      <c r="AS492" s="842"/>
    </row>
    <row r="493" spans="1:45">
      <c r="A493" s="841"/>
      <c r="B493" s="841"/>
      <c r="C493" s="841"/>
      <c r="D493" s="841"/>
      <c r="E493" s="841"/>
      <c r="F493" s="841"/>
      <c r="G493" s="841"/>
      <c r="H493" s="841"/>
      <c r="I493" s="841"/>
      <c r="J493" s="841"/>
      <c r="K493" s="841"/>
      <c r="L493" s="841"/>
      <c r="M493" s="841"/>
      <c r="N493" s="841"/>
      <c r="O493" s="841"/>
      <c r="P493" s="841"/>
      <c r="Q493" s="841"/>
      <c r="R493" s="841"/>
      <c r="S493" s="841"/>
      <c r="T493" s="841"/>
      <c r="U493" s="841"/>
      <c r="V493" s="841"/>
      <c r="W493" s="841"/>
      <c r="X493" s="841"/>
      <c r="Y493" s="841"/>
      <c r="Z493" s="1226"/>
      <c r="AA493" s="1226"/>
      <c r="AB493" s="1226"/>
      <c r="AC493" s="1226"/>
      <c r="AD493" s="1226"/>
      <c r="AE493" s="1226"/>
      <c r="AF493" s="1226"/>
      <c r="AG493" s="1226"/>
      <c r="AH493" s="1226"/>
      <c r="AI493" s="841"/>
      <c r="AJ493" s="841"/>
      <c r="AK493" s="841"/>
      <c r="AL493" s="841"/>
      <c r="AM493" s="841"/>
      <c r="AN493" s="841"/>
      <c r="AO493" s="841"/>
      <c r="AP493" s="841"/>
      <c r="AQ493" s="841"/>
      <c r="AR493" s="841"/>
      <c r="AS493" s="842"/>
    </row>
    <row r="494" spans="1:45">
      <c r="A494" s="841"/>
      <c r="B494" s="841"/>
      <c r="C494" s="841"/>
      <c r="D494" s="841"/>
      <c r="E494" s="841"/>
      <c r="F494" s="841"/>
      <c r="G494" s="841"/>
      <c r="H494" s="841"/>
      <c r="I494" s="841"/>
      <c r="J494" s="841"/>
      <c r="K494" s="841"/>
      <c r="L494" s="841"/>
      <c r="M494" s="841"/>
      <c r="N494" s="841"/>
      <c r="O494" s="841"/>
      <c r="P494" s="841"/>
      <c r="Q494" s="841"/>
      <c r="R494" s="841"/>
      <c r="S494" s="841"/>
      <c r="T494" s="841"/>
      <c r="U494" s="841"/>
      <c r="V494" s="841"/>
      <c r="W494" s="841"/>
      <c r="X494" s="841"/>
      <c r="Y494" s="841"/>
      <c r="Z494" s="1226"/>
      <c r="AA494" s="1226"/>
      <c r="AB494" s="1226"/>
      <c r="AC494" s="1226"/>
      <c r="AD494" s="1226"/>
      <c r="AE494" s="1226"/>
      <c r="AF494" s="1226"/>
      <c r="AG494" s="1226"/>
      <c r="AH494" s="1226"/>
      <c r="AI494" s="841"/>
      <c r="AJ494" s="841"/>
      <c r="AK494" s="841"/>
      <c r="AL494" s="841"/>
      <c r="AM494" s="841"/>
      <c r="AN494" s="841"/>
      <c r="AO494" s="841"/>
      <c r="AP494" s="841"/>
      <c r="AQ494" s="841"/>
      <c r="AR494" s="841"/>
      <c r="AS494" s="842"/>
    </row>
    <row r="495" spans="1:45">
      <c r="A495" s="841"/>
      <c r="B495" s="841"/>
      <c r="C495" s="841"/>
      <c r="D495" s="841"/>
      <c r="E495" s="841"/>
      <c r="F495" s="841"/>
      <c r="G495" s="841"/>
      <c r="H495" s="841"/>
      <c r="I495" s="841"/>
      <c r="J495" s="841"/>
      <c r="K495" s="841"/>
      <c r="L495" s="841"/>
      <c r="M495" s="841"/>
      <c r="N495" s="841"/>
      <c r="O495" s="841"/>
      <c r="P495" s="841"/>
      <c r="Q495" s="841"/>
      <c r="R495" s="841"/>
      <c r="S495" s="841"/>
      <c r="T495" s="841"/>
      <c r="U495" s="841"/>
      <c r="V495" s="841"/>
      <c r="W495" s="841"/>
      <c r="X495" s="841"/>
      <c r="Y495" s="841"/>
      <c r="Z495" s="1226"/>
      <c r="AA495" s="1226"/>
      <c r="AB495" s="1226"/>
      <c r="AC495" s="1226"/>
      <c r="AD495" s="1226"/>
      <c r="AE495" s="1226"/>
      <c r="AF495" s="1226"/>
      <c r="AG495" s="1226"/>
      <c r="AH495" s="1226"/>
      <c r="AI495" s="841"/>
      <c r="AJ495" s="841"/>
      <c r="AK495" s="841"/>
      <c r="AL495" s="841"/>
      <c r="AM495" s="841"/>
      <c r="AN495" s="841"/>
      <c r="AO495" s="841"/>
      <c r="AP495" s="841"/>
      <c r="AQ495" s="841"/>
      <c r="AR495" s="841"/>
      <c r="AS495" s="842"/>
    </row>
    <row r="496" spans="1:45">
      <c r="A496" s="841"/>
      <c r="B496" s="841"/>
      <c r="C496" s="841"/>
      <c r="D496" s="841"/>
      <c r="E496" s="841"/>
      <c r="F496" s="841"/>
      <c r="G496" s="841"/>
      <c r="H496" s="841"/>
      <c r="I496" s="841"/>
      <c r="J496" s="841"/>
      <c r="K496" s="841"/>
      <c r="L496" s="841"/>
      <c r="M496" s="841"/>
      <c r="N496" s="841"/>
      <c r="O496" s="841"/>
      <c r="P496" s="841"/>
      <c r="Q496" s="841"/>
      <c r="R496" s="841"/>
      <c r="S496" s="841"/>
      <c r="T496" s="841"/>
      <c r="U496" s="841"/>
      <c r="V496" s="841"/>
      <c r="W496" s="841"/>
      <c r="X496" s="841"/>
      <c r="Y496" s="841"/>
      <c r="Z496" s="1226"/>
      <c r="AA496" s="1226"/>
      <c r="AB496" s="1226"/>
      <c r="AC496" s="1226"/>
      <c r="AD496" s="1226"/>
      <c r="AE496" s="1226"/>
      <c r="AF496" s="1226"/>
      <c r="AG496" s="1226"/>
      <c r="AH496" s="1226"/>
      <c r="AI496" s="841"/>
      <c r="AJ496" s="841"/>
      <c r="AK496" s="841"/>
      <c r="AL496" s="841"/>
      <c r="AM496" s="841"/>
      <c r="AN496" s="841"/>
      <c r="AO496" s="841"/>
      <c r="AP496" s="841"/>
      <c r="AQ496" s="841"/>
      <c r="AR496" s="841"/>
      <c r="AS496" s="842"/>
    </row>
    <row r="497" spans="1:45">
      <c r="A497" s="841"/>
      <c r="B497" s="841"/>
      <c r="C497" s="841"/>
      <c r="D497" s="841"/>
      <c r="E497" s="841"/>
      <c r="F497" s="841"/>
      <c r="G497" s="841"/>
      <c r="H497" s="841"/>
      <c r="I497" s="841"/>
      <c r="J497" s="841"/>
      <c r="K497" s="841"/>
      <c r="L497" s="841"/>
      <c r="M497" s="841"/>
      <c r="N497" s="841"/>
      <c r="O497" s="841"/>
      <c r="P497" s="841"/>
      <c r="Q497" s="841"/>
      <c r="R497" s="841"/>
      <c r="S497" s="841"/>
      <c r="T497" s="841"/>
      <c r="U497" s="841"/>
      <c r="V497" s="841"/>
      <c r="W497" s="841"/>
      <c r="X497" s="841"/>
      <c r="Y497" s="841"/>
      <c r="Z497" s="1226"/>
      <c r="AA497" s="1226"/>
      <c r="AB497" s="1226"/>
      <c r="AC497" s="1226"/>
      <c r="AD497" s="1226"/>
      <c r="AE497" s="1226"/>
      <c r="AF497" s="1226"/>
      <c r="AG497" s="1226"/>
      <c r="AH497" s="1226"/>
      <c r="AI497" s="841"/>
      <c r="AJ497" s="841"/>
      <c r="AK497" s="841"/>
      <c r="AL497" s="841"/>
      <c r="AM497" s="841"/>
      <c r="AN497" s="841"/>
      <c r="AO497" s="841"/>
      <c r="AP497" s="841"/>
      <c r="AQ497" s="841"/>
      <c r="AR497" s="841"/>
      <c r="AS497" s="842"/>
    </row>
    <row r="498" spans="1:45">
      <c r="A498" s="841"/>
      <c r="B498" s="841"/>
      <c r="C498" s="841"/>
      <c r="D498" s="841"/>
      <c r="E498" s="841"/>
      <c r="F498" s="841"/>
      <c r="G498" s="841"/>
      <c r="H498" s="841"/>
      <c r="I498" s="841"/>
      <c r="J498" s="841"/>
      <c r="K498" s="841"/>
      <c r="L498" s="841"/>
      <c r="M498" s="841"/>
      <c r="N498" s="841"/>
      <c r="O498" s="841"/>
      <c r="P498" s="841"/>
      <c r="Q498" s="841"/>
      <c r="R498" s="841"/>
      <c r="S498" s="841"/>
      <c r="T498" s="841"/>
      <c r="U498" s="841"/>
      <c r="V498" s="841"/>
      <c r="W498" s="841"/>
      <c r="X498" s="841"/>
      <c r="Y498" s="841"/>
      <c r="Z498" s="1226"/>
      <c r="AA498" s="1226"/>
      <c r="AB498" s="1226"/>
      <c r="AC498" s="1226"/>
      <c r="AD498" s="1226"/>
      <c r="AE498" s="1226"/>
      <c r="AF498" s="1226"/>
      <c r="AG498" s="1226"/>
      <c r="AH498" s="1226"/>
      <c r="AI498" s="841"/>
      <c r="AJ498" s="841"/>
      <c r="AK498" s="841"/>
      <c r="AL498" s="841"/>
      <c r="AM498" s="841"/>
      <c r="AN498" s="841"/>
      <c r="AO498" s="841"/>
      <c r="AP498" s="841"/>
      <c r="AQ498" s="841"/>
      <c r="AR498" s="841"/>
      <c r="AS498" s="842"/>
    </row>
    <row r="499" spans="1:45">
      <c r="A499" s="841"/>
      <c r="B499" s="841"/>
      <c r="C499" s="841"/>
      <c r="D499" s="841"/>
      <c r="E499" s="841"/>
      <c r="F499" s="841"/>
      <c r="G499" s="841"/>
      <c r="H499" s="841"/>
      <c r="I499" s="841"/>
      <c r="J499" s="841"/>
      <c r="K499" s="841"/>
      <c r="L499" s="841"/>
      <c r="M499" s="841"/>
      <c r="N499" s="841"/>
      <c r="O499" s="841"/>
      <c r="P499" s="841"/>
      <c r="Q499" s="841"/>
      <c r="R499" s="841"/>
      <c r="S499" s="841"/>
      <c r="T499" s="841"/>
      <c r="U499" s="841"/>
      <c r="V499" s="841"/>
      <c r="W499" s="841"/>
      <c r="X499" s="841"/>
      <c r="Y499" s="841"/>
      <c r="Z499" s="1226"/>
      <c r="AA499" s="1226"/>
      <c r="AB499" s="1226"/>
      <c r="AC499" s="1226"/>
      <c r="AD499" s="1226"/>
      <c r="AE499" s="1226"/>
      <c r="AF499" s="1226"/>
      <c r="AG499" s="1226"/>
      <c r="AH499" s="1226"/>
      <c r="AI499" s="841"/>
      <c r="AJ499" s="841"/>
      <c r="AK499" s="841"/>
      <c r="AL499" s="841"/>
      <c r="AM499" s="841"/>
      <c r="AN499" s="841"/>
      <c r="AO499" s="841"/>
      <c r="AP499" s="841"/>
      <c r="AQ499" s="841"/>
      <c r="AR499" s="841"/>
      <c r="AS499" s="842"/>
    </row>
    <row r="500" spans="1:45">
      <c r="A500" s="841"/>
      <c r="B500" s="841"/>
      <c r="C500" s="841"/>
      <c r="D500" s="841"/>
      <c r="E500" s="841"/>
      <c r="F500" s="841"/>
      <c r="G500" s="841"/>
      <c r="H500" s="841"/>
      <c r="I500" s="841"/>
      <c r="J500" s="841"/>
      <c r="K500" s="841"/>
      <c r="L500" s="841"/>
      <c r="M500" s="841"/>
      <c r="N500" s="841"/>
      <c r="O500" s="841"/>
      <c r="P500" s="841"/>
      <c r="Q500" s="841"/>
      <c r="R500" s="841"/>
      <c r="S500" s="841"/>
      <c r="T500" s="841"/>
      <c r="U500" s="841"/>
      <c r="V500" s="841"/>
      <c r="W500" s="841"/>
      <c r="X500" s="841"/>
      <c r="Y500" s="841"/>
      <c r="Z500" s="1226"/>
      <c r="AA500" s="1226"/>
      <c r="AB500" s="1226"/>
      <c r="AC500" s="1226"/>
      <c r="AD500" s="1226"/>
      <c r="AE500" s="1226"/>
      <c r="AF500" s="1226"/>
      <c r="AG500" s="1226"/>
      <c r="AH500" s="1226"/>
      <c r="AI500" s="841"/>
      <c r="AJ500" s="841"/>
      <c r="AK500" s="841"/>
      <c r="AL500" s="841"/>
      <c r="AM500" s="841"/>
      <c r="AN500" s="841"/>
      <c r="AO500" s="841"/>
      <c r="AP500" s="841"/>
      <c r="AQ500" s="841"/>
      <c r="AR500" s="841"/>
      <c r="AS500" s="842"/>
    </row>
    <row r="501" spans="1:45">
      <c r="A501" s="841"/>
      <c r="B501" s="841"/>
      <c r="C501" s="841"/>
      <c r="D501" s="841"/>
      <c r="E501" s="841"/>
      <c r="F501" s="841"/>
      <c r="G501" s="841"/>
      <c r="H501" s="841"/>
      <c r="I501" s="841"/>
      <c r="J501" s="841"/>
      <c r="K501" s="841"/>
      <c r="L501" s="841"/>
      <c r="M501" s="841"/>
      <c r="N501" s="841"/>
      <c r="O501" s="841"/>
      <c r="P501" s="841"/>
      <c r="Q501" s="841"/>
      <c r="R501" s="841"/>
      <c r="S501" s="841"/>
      <c r="T501" s="841"/>
      <c r="U501" s="841"/>
      <c r="V501" s="841"/>
      <c r="W501" s="841"/>
      <c r="X501" s="841"/>
      <c r="Y501" s="841"/>
      <c r="Z501" s="1226"/>
      <c r="AA501" s="1226"/>
      <c r="AB501" s="1226"/>
      <c r="AC501" s="1226"/>
      <c r="AD501" s="1226"/>
      <c r="AE501" s="1226"/>
      <c r="AF501" s="1226"/>
      <c r="AG501" s="1226"/>
      <c r="AH501" s="1226"/>
      <c r="AI501" s="841"/>
      <c r="AJ501" s="841"/>
      <c r="AK501" s="841"/>
      <c r="AL501" s="841"/>
      <c r="AM501" s="841"/>
      <c r="AN501" s="841"/>
      <c r="AO501" s="841"/>
      <c r="AP501" s="841"/>
      <c r="AQ501" s="841"/>
      <c r="AR501" s="841"/>
      <c r="AS501" s="842"/>
    </row>
    <row r="502" spans="1:45">
      <c r="A502" s="841"/>
      <c r="B502" s="841"/>
      <c r="C502" s="841"/>
      <c r="D502" s="841"/>
      <c r="E502" s="841"/>
      <c r="F502" s="841"/>
      <c r="G502" s="841"/>
      <c r="H502" s="841"/>
      <c r="I502" s="841"/>
      <c r="J502" s="841"/>
      <c r="K502" s="841"/>
      <c r="L502" s="841"/>
      <c r="M502" s="841"/>
      <c r="N502" s="841"/>
      <c r="O502" s="841"/>
      <c r="P502" s="841"/>
      <c r="Q502" s="841"/>
      <c r="R502" s="841"/>
      <c r="S502" s="841"/>
      <c r="T502" s="841"/>
      <c r="U502" s="841"/>
      <c r="V502" s="841"/>
      <c r="W502" s="841"/>
      <c r="X502" s="841"/>
      <c r="Y502" s="841"/>
      <c r="Z502" s="1226"/>
      <c r="AA502" s="1226"/>
      <c r="AB502" s="1226"/>
      <c r="AC502" s="1226"/>
      <c r="AD502" s="1226"/>
      <c r="AE502" s="1226"/>
      <c r="AF502" s="1226"/>
      <c r="AG502" s="1226"/>
      <c r="AH502" s="1226"/>
      <c r="AI502" s="841"/>
      <c r="AJ502" s="841"/>
      <c r="AK502" s="841"/>
      <c r="AL502" s="841"/>
      <c r="AM502" s="841"/>
      <c r="AN502" s="841"/>
      <c r="AO502" s="841"/>
      <c r="AP502" s="841"/>
      <c r="AQ502" s="841"/>
      <c r="AR502" s="841"/>
      <c r="AS502" s="842"/>
    </row>
    <row r="503" spans="1:45">
      <c r="A503" s="841"/>
      <c r="B503" s="841"/>
      <c r="C503" s="841"/>
      <c r="D503" s="841"/>
      <c r="E503" s="841"/>
      <c r="F503" s="841"/>
      <c r="G503" s="841"/>
      <c r="H503" s="841"/>
      <c r="I503" s="841"/>
      <c r="J503" s="841"/>
      <c r="K503" s="841"/>
      <c r="L503" s="841"/>
      <c r="M503" s="841"/>
      <c r="N503" s="841"/>
      <c r="O503" s="841"/>
      <c r="P503" s="841"/>
      <c r="Q503" s="841"/>
      <c r="R503" s="841"/>
      <c r="S503" s="841"/>
      <c r="T503" s="841"/>
      <c r="U503" s="841"/>
      <c r="V503" s="841"/>
      <c r="W503" s="841"/>
      <c r="X503" s="841"/>
      <c r="Y503" s="841"/>
      <c r="Z503" s="1226"/>
      <c r="AA503" s="1226"/>
      <c r="AB503" s="1226"/>
      <c r="AC503" s="1226"/>
      <c r="AD503" s="1226"/>
      <c r="AE503" s="1226"/>
      <c r="AF503" s="1226"/>
      <c r="AG503" s="1226"/>
      <c r="AH503" s="1226"/>
      <c r="AI503" s="841"/>
      <c r="AJ503" s="841"/>
      <c r="AK503" s="841"/>
      <c r="AL503" s="841"/>
      <c r="AM503" s="841"/>
      <c r="AN503" s="841"/>
      <c r="AO503" s="841"/>
      <c r="AP503" s="841"/>
      <c r="AQ503" s="841"/>
      <c r="AR503" s="841"/>
      <c r="AS503" s="842"/>
    </row>
    <row r="504" spans="1:45">
      <c r="A504" s="841"/>
      <c r="B504" s="841"/>
      <c r="C504" s="841"/>
      <c r="D504" s="841"/>
      <c r="E504" s="841"/>
      <c r="F504" s="841"/>
      <c r="G504" s="841"/>
      <c r="H504" s="841"/>
      <c r="I504" s="841"/>
      <c r="J504" s="841"/>
      <c r="K504" s="841"/>
      <c r="L504" s="841"/>
      <c r="M504" s="841"/>
      <c r="N504" s="841"/>
      <c r="O504" s="841"/>
      <c r="P504" s="841"/>
      <c r="Q504" s="841"/>
      <c r="R504" s="841"/>
      <c r="S504" s="841"/>
      <c r="T504" s="841"/>
      <c r="U504" s="841"/>
      <c r="V504" s="841"/>
      <c r="W504" s="841"/>
      <c r="X504" s="841"/>
      <c r="Y504" s="841"/>
      <c r="Z504" s="1226"/>
      <c r="AA504" s="1226"/>
      <c r="AB504" s="1226"/>
      <c r="AC504" s="1226"/>
      <c r="AD504" s="1226"/>
      <c r="AE504" s="1226"/>
      <c r="AF504" s="1226"/>
      <c r="AG504" s="1226"/>
      <c r="AH504" s="1226"/>
      <c r="AI504" s="841"/>
      <c r="AJ504" s="841"/>
      <c r="AK504" s="841"/>
      <c r="AL504" s="841"/>
      <c r="AM504" s="841"/>
      <c r="AN504" s="841"/>
      <c r="AO504" s="841"/>
      <c r="AP504" s="841"/>
      <c r="AQ504" s="841"/>
      <c r="AR504" s="841"/>
      <c r="AS504" s="842"/>
    </row>
    <row r="505" spans="1:45">
      <c r="A505" s="841"/>
      <c r="B505" s="841"/>
      <c r="C505" s="841"/>
      <c r="D505" s="841"/>
      <c r="E505" s="841"/>
      <c r="F505" s="841"/>
      <c r="G505" s="841"/>
      <c r="H505" s="841"/>
      <c r="I505" s="841"/>
      <c r="J505" s="841"/>
      <c r="K505" s="841"/>
      <c r="L505" s="841"/>
      <c r="M505" s="841"/>
      <c r="N505" s="841"/>
      <c r="O505" s="841"/>
      <c r="P505" s="841"/>
      <c r="Q505" s="841"/>
      <c r="R505" s="841"/>
      <c r="S505" s="841"/>
      <c r="T505" s="841"/>
      <c r="U505" s="841"/>
      <c r="V505" s="841"/>
      <c r="W505" s="841"/>
      <c r="X505" s="841"/>
      <c r="Y505" s="841"/>
      <c r="Z505" s="1226"/>
      <c r="AA505" s="1226"/>
      <c r="AB505" s="1226"/>
      <c r="AC505" s="1226"/>
      <c r="AD505" s="1226"/>
      <c r="AE505" s="1226"/>
      <c r="AF505" s="1226"/>
      <c r="AG505" s="1226"/>
      <c r="AH505" s="1226"/>
      <c r="AI505" s="841"/>
      <c r="AJ505" s="841"/>
      <c r="AK505" s="841"/>
      <c r="AL505" s="841"/>
      <c r="AM505" s="841"/>
      <c r="AN505" s="841"/>
      <c r="AO505" s="841"/>
      <c r="AP505" s="841"/>
      <c r="AQ505" s="841"/>
      <c r="AR505" s="841"/>
      <c r="AS505" s="842"/>
    </row>
    <row r="506" spans="1:45">
      <c r="A506" s="841"/>
      <c r="B506" s="841"/>
      <c r="C506" s="841"/>
      <c r="D506" s="841"/>
      <c r="E506" s="841"/>
      <c r="F506" s="841"/>
      <c r="G506" s="841"/>
      <c r="H506" s="841"/>
      <c r="I506" s="841"/>
      <c r="J506" s="841"/>
      <c r="K506" s="841"/>
      <c r="L506" s="841"/>
      <c r="M506" s="841"/>
      <c r="N506" s="841"/>
      <c r="O506" s="841"/>
      <c r="P506" s="841"/>
      <c r="Q506" s="841"/>
      <c r="R506" s="841"/>
      <c r="S506" s="841"/>
      <c r="T506" s="841"/>
      <c r="U506" s="841"/>
      <c r="V506" s="841"/>
      <c r="W506" s="841"/>
      <c r="X506" s="841"/>
      <c r="Y506" s="841"/>
      <c r="Z506" s="1226"/>
      <c r="AA506" s="1226"/>
      <c r="AB506" s="1226"/>
      <c r="AC506" s="1226"/>
      <c r="AD506" s="1226"/>
      <c r="AE506" s="1226"/>
      <c r="AF506" s="1226"/>
      <c r="AG506" s="1226"/>
      <c r="AH506" s="1226"/>
      <c r="AI506" s="841"/>
      <c r="AJ506" s="841"/>
      <c r="AK506" s="841"/>
      <c r="AL506" s="841"/>
      <c r="AM506" s="841"/>
      <c r="AN506" s="841"/>
      <c r="AO506" s="841"/>
      <c r="AP506" s="841"/>
      <c r="AQ506" s="841"/>
      <c r="AR506" s="841"/>
      <c r="AS506" s="842"/>
    </row>
    <row r="507" spans="1:45">
      <c r="A507" s="841"/>
      <c r="B507" s="841"/>
      <c r="C507" s="841"/>
      <c r="D507" s="841"/>
      <c r="E507" s="841"/>
      <c r="F507" s="841"/>
      <c r="G507" s="841"/>
      <c r="H507" s="841"/>
      <c r="I507" s="841"/>
      <c r="J507" s="841"/>
      <c r="K507" s="841"/>
      <c r="L507" s="841"/>
      <c r="M507" s="841"/>
      <c r="N507" s="841"/>
      <c r="O507" s="841"/>
      <c r="P507" s="841"/>
      <c r="Q507" s="841"/>
      <c r="R507" s="841"/>
      <c r="S507" s="841"/>
      <c r="T507" s="841"/>
      <c r="U507" s="841"/>
      <c r="V507" s="841"/>
      <c r="W507" s="841"/>
      <c r="X507" s="841"/>
      <c r="Y507" s="841"/>
      <c r="Z507" s="1226"/>
      <c r="AA507" s="1226"/>
      <c r="AB507" s="1226"/>
      <c r="AC507" s="1226"/>
      <c r="AD507" s="1226"/>
      <c r="AE507" s="1226"/>
      <c r="AF507" s="1226"/>
      <c r="AG507" s="1226"/>
      <c r="AH507" s="1226"/>
      <c r="AI507" s="841"/>
      <c r="AJ507" s="841"/>
      <c r="AK507" s="841"/>
      <c r="AL507" s="841"/>
      <c r="AM507" s="841"/>
      <c r="AN507" s="841"/>
      <c r="AO507" s="841"/>
      <c r="AP507" s="841"/>
      <c r="AQ507" s="841"/>
      <c r="AR507" s="841"/>
      <c r="AS507" s="842"/>
    </row>
    <row r="508" spans="1:45">
      <c r="A508" s="841"/>
      <c r="B508" s="841"/>
      <c r="C508" s="841"/>
      <c r="D508" s="841"/>
      <c r="E508" s="841"/>
      <c r="F508" s="841"/>
      <c r="G508" s="841"/>
      <c r="H508" s="841"/>
      <c r="I508" s="841"/>
      <c r="J508" s="841"/>
      <c r="K508" s="841"/>
      <c r="L508" s="841"/>
      <c r="M508" s="841"/>
      <c r="N508" s="841"/>
      <c r="O508" s="841"/>
      <c r="P508" s="841"/>
      <c r="Q508" s="841"/>
      <c r="R508" s="841"/>
      <c r="S508" s="841"/>
      <c r="T508" s="841"/>
      <c r="U508" s="841"/>
      <c r="V508" s="841"/>
      <c r="W508" s="841"/>
      <c r="X508" s="841"/>
      <c r="Y508" s="841"/>
      <c r="Z508" s="1226"/>
      <c r="AA508" s="1226"/>
      <c r="AB508" s="1226"/>
      <c r="AC508" s="1226"/>
      <c r="AD508" s="1226"/>
      <c r="AE508" s="1226"/>
      <c r="AF508" s="1226"/>
      <c r="AG508" s="1226"/>
      <c r="AH508" s="1226"/>
      <c r="AI508" s="841"/>
      <c r="AJ508" s="841"/>
      <c r="AK508" s="841"/>
      <c r="AL508" s="841"/>
      <c r="AM508" s="841"/>
      <c r="AN508" s="841"/>
      <c r="AO508" s="841"/>
      <c r="AP508" s="841"/>
      <c r="AQ508" s="841"/>
      <c r="AR508" s="841"/>
      <c r="AS508" s="842"/>
    </row>
    <row r="509" spans="1:45">
      <c r="A509" s="841"/>
      <c r="B509" s="841"/>
      <c r="C509" s="841"/>
      <c r="D509" s="841"/>
      <c r="E509" s="841"/>
      <c r="F509" s="841"/>
      <c r="G509" s="841"/>
      <c r="H509" s="841"/>
      <c r="I509" s="841"/>
      <c r="J509" s="841"/>
      <c r="K509" s="841"/>
      <c r="L509" s="841"/>
      <c r="M509" s="841"/>
      <c r="N509" s="841"/>
      <c r="O509" s="841"/>
      <c r="P509" s="841"/>
      <c r="Q509" s="841"/>
      <c r="R509" s="841"/>
      <c r="S509" s="841"/>
      <c r="T509" s="841"/>
      <c r="U509" s="841"/>
      <c r="V509" s="841"/>
      <c r="W509" s="841"/>
      <c r="X509" s="841"/>
      <c r="Y509" s="841"/>
      <c r="Z509" s="1226"/>
      <c r="AA509" s="1226"/>
      <c r="AB509" s="1226"/>
      <c r="AC509" s="1226"/>
      <c r="AD509" s="1226"/>
      <c r="AE509" s="1226"/>
      <c r="AF509" s="1226"/>
      <c r="AG509" s="1226"/>
      <c r="AH509" s="1226"/>
      <c r="AI509" s="841"/>
      <c r="AJ509" s="841"/>
      <c r="AK509" s="841"/>
      <c r="AL509" s="841"/>
      <c r="AM509" s="841"/>
      <c r="AN509" s="841"/>
      <c r="AO509" s="841"/>
      <c r="AP509" s="841"/>
      <c r="AQ509" s="841"/>
      <c r="AR509" s="841"/>
      <c r="AS509" s="842"/>
    </row>
    <row r="510" spans="1:45">
      <c r="A510" s="841"/>
      <c r="B510" s="841"/>
      <c r="C510" s="841"/>
      <c r="D510" s="841"/>
      <c r="E510" s="841"/>
      <c r="F510" s="841"/>
      <c r="G510" s="841"/>
      <c r="H510" s="841"/>
      <c r="I510" s="841"/>
      <c r="J510" s="841"/>
      <c r="K510" s="841"/>
      <c r="L510" s="841"/>
      <c r="M510" s="841"/>
      <c r="N510" s="841"/>
      <c r="O510" s="841"/>
      <c r="P510" s="841"/>
      <c r="Q510" s="841"/>
      <c r="R510" s="841"/>
      <c r="S510" s="841"/>
      <c r="T510" s="841"/>
      <c r="U510" s="841"/>
      <c r="V510" s="841"/>
      <c r="W510" s="841"/>
      <c r="X510" s="841"/>
      <c r="Y510" s="841"/>
      <c r="Z510" s="1226"/>
      <c r="AA510" s="1226"/>
      <c r="AB510" s="1226"/>
      <c r="AC510" s="1226"/>
      <c r="AD510" s="1226"/>
      <c r="AE510" s="1226"/>
      <c r="AF510" s="1226"/>
      <c r="AG510" s="1226"/>
      <c r="AH510" s="1226"/>
      <c r="AI510" s="841"/>
      <c r="AJ510" s="841"/>
      <c r="AK510" s="841"/>
      <c r="AL510" s="841"/>
      <c r="AM510" s="841"/>
      <c r="AN510" s="841"/>
      <c r="AO510" s="841"/>
      <c r="AP510" s="841"/>
      <c r="AQ510" s="841"/>
      <c r="AR510" s="841"/>
      <c r="AS510" s="842"/>
    </row>
    <row r="511" spans="1:45">
      <c r="A511" s="841"/>
      <c r="B511" s="841"/>
      <c r="C511" s="841"/>
      <c r="D511" s="841"/>
      <c r="E511" s="841"/>
      <c r="F511" s="841"/>
      <c r="G511" s="841"/>
      <c r="H511" s="841"/>
      <c r="I511" s="841"/>
      <c r="J511" s="841"/>
      <c r="K511" s="841"/>
      <c r="L511" s="841"/>
      <c r="M511" s="841"/>
      <c r="N511" s="841"/>
      <c r="O511" s="841"/>
      <c r="P511" s="841"/>
      <c r="Q511" s="841"/>
      <c r="R511" s="841"/>
      <c r="S511" s="841"/>
      <c r="T511" s="841"/>
      <c r="U511" s="841"/>
      <c r="V511" s="841"/>
      <c r="W511" s="841"/>
      <c r="X511" s="841"/>
      <c r="Y511" s="841"/>
      <c r="Z511" s="1226"/>
      <c r="AA511" s="1226"/>
      <c r="AB511" s="1226"/>
      <c r="AC511" s="1226"/>
      <c r="AD511" s="1226"/>
      <c r="AE511" s="1226"/>
      <c r="AF511" s="1226"/>
      <c r="AG511" s="1226"/>
      <c r="AH511" s="1226"/>
      <c r="AI511" s="841"/>
      <c r="AJ511" s="841"/>
      <c r="AK511" s="841"/>
      <c r="AL511" s="841"/>
      <c r="AM511" s="841"/>
      <c r="AN511" s="841"/>
      <c r="AO511" s="841"/>
      <c r="AP511" s="841"/>
      <c r="AQ511" s="841"/>
      <c r="AR511" s="841"/>
      <c r="AS511" s="842"/>
    </row>
    <row r="512" spans="1:45">
      <c r="A512" s="841"/>
      <c r="B512" s="841"/>
      <c r="C512" s="841"/>
      <c r="D512" s="841"/>
      <c r="E512" s="841"/>
      <c r="F512" s="841"/>
      <c r="G512" s="841"/>
      <c r="H512" s="841"/>
      <c r="I512" s="841"/>
      <c r="J512" s="841"/>
      <c r="K512" s="841"/>
      <c r="L512" s="841"/>
      <c r="M512" s="841"/>
      <c r="N512" s="841"/>
      <c r="O512" s="841"/>
      <c r="P512" s="841"/>
      <c r="Q512" s="841"/>
      <c r="R512" s="841"/>
      <c r="S512" s="841"/>
      <c r="T512" s="841"/>
      <c r="U512" s="841"/>
      <c r="V512" s="841"/>
      <c r="W512" s="841"/>
      <c r="X512" s="841"/>
      <c r="Y512" s="841"/>
      <c r="Z512" s="1226"/>
      <c r="AA512" s="1226"/>
      <c r="AB512" s="1226"/>
      <c r="AC512" s="1226"/>
      <c r="AD512" s="1226"/>
      <c r="AE512" s="1226"/>
      <c r="AF512" s="1226"/>
      <c r="AG512" s="1226"/>
      <c r="AH512" s="1226"/>
      <c r="AI512" s="841"/>
      <c r="AJ512" s="841"/>
      <c r="AK512" s="841"/>
      <c r="AL512" s="841"/>
      <c r="AM512" s="841"/>
      <c r="AN512" s="841"/>
      <c r="AO512" s="841"/>
      <c r="AP512" s="841"/>
      <c r="AQ512" s="841"/>
      <c r="AR512" s="841"/>
      <c r="AS512" s="842"/>
    </row>
    <row r="513" spans="1:45">
      <c r="A513" s="841"/>
      <c r="B513" s="841"/>
      <c r="C513" s="841"/>
      <c r="D513" s="841"/>
      <c r="E513" s="841"/>
      <c r="F513" s="841"/>
      <c r="G513" s="841"/>
      <c r="H513" s="841"/>
      <c r="I513" s="841"/>
      <c r="J513" s="841"/>
      <c r="K513" s="841"/>
      <c r="L513" s="841"/>
      <c r="M513" s="841"/>
      <c r="N513" s="841"/>
      <c r="O513" s="841"/>
      <c r="P513" s="841"/>
      <c r="Q513" s="841"/>
      <c r="R513" s="841"/>
      <c r="S513" s="841"/>
      <c r="T513" s="841"/>
      <c r="U513" s="841"/>
      <c r="V513" s="841"/>
      <c r="W513" s="841"/>
      <c r="X513" s="841"/>
      <c r="Y513" s="841"/>
      <c r="Z513" s="1226"/>
      <c r="AA513" s="1226"/>
      <c r="AB513" s="1226"/>
      <c r="AC513" s="1226"/>
      <c r="AD513" s="1226"/>
      <c r="AE513" s="1226"/>
      <c r="AF513" s="1226"/>
      <c r="AG513" s="1226"/>
      <c r="AH513" s="1226"/>
      <c r="AI513" s="841"/>
      <c r="AJ513" s="841"/>
      <c r="AK513" s="841"/>
      <c r="AL513" s="841"/>
      <c r="AM513" s="841"/>
      <c r="AN513" s="841"/>
      <c r="AO513" s="841"/>
      <c r="AP513" s="841"/>
      <c r="AQ513" s="841"/>
      <c r="AR513" s="841"/>
      <c r="AS513" s="842"/>
    </row>
    <row r="514" spans="1:45">
      <c r="A514" s="841"/>
      <c r="B514" s="841"/>
      <c r="C514" s="841"/>
      <c r="D514" s="841"/>
      <c r="E514" s="841"/>
      <c r="F514" s="841"/>
      <c r="G514" s="841"/>
      <c r="H514" s="841"/>
      <c r="I514" s="841"/>
      <c r="J514" s="841"/>
      <c r="K514" s="841"/>
      <c r="L514" s="841"/>
      <c r="M514" s="841"/>
      <c r="N514" s="841"/>
      <c r="O514" s="841"/>
      <c r="P514" s="841"/>
      <c r="Q514" s="841"/>
      <c r="R514" s="841"/>
      <c r="S514" s="841"/>
      <c r="T514" s="841"/>
      <c r="U514" s="841"/>
      <c r="V514" s="841"/>
      <c r="W514" s="841"/>
      <c r="X514" s="841"/>
      <c r="Y514" s="841"/>
      <c r="Z514" s="1226"/>
      <c r="AA514" s="1226"/>
      <c r="AB514" s="1226"/>
      <c r="AC514" s="1226"/>
      <c r="AD514" s="1226"/>
      <c r="AE514" s="1226"/>
      <c r="AF514" s="1226"/>
      <c r="AG514" s="1226"/>
      <c r="AH514" s="1226"/>
      <c r="AI514" s="841"/>
      <c r="AJ514" s="841"/>
      <c r="AK514" s="841"/>
      <c r="AL514" s="841"/>
      <c r="AM514" s="841"/>
      <c r="AN514" s="841"/>
      <c r="AO514" s="841"/>
      <c r="AP514" s="841"/>
      <c r="AQ514" s="841"/>
      <c r="AR514" s="841"/>
      <c r="AS514" s="842"/>
    </row>
    <row r="515" spans="1:45">
      <c r="A515" s="841"/>
      <c r="B515" s="841"/>
      <c r="C515" s="841"/>
      <c r="D515" s="841"/>
      <c r="E515" s="841"/>
      <c r="F515" s="841"/>
      <c r="G515" s="841"/>
      <c r="H515" s="841"/>
      <c r="I515" s="841"/>
      <c r="J515" s="841"/>
      <c r="K515" s="841"/>
      <c r="L515" s="841"/>
      <c r="M515" s="841"/>
      <c r="N515" s="841"/>
      <c r="O515" s="841"/>
      <c r="P515" s="841"/>
      <c r="Q515" s="841"/>
      <c r="R515" s="841"/>
      <c r="S515" s="841"/>
      <c r="T515" s="841"/>
      <c r="U515" s="841"/>
      <c r="V515" s="841"/>
      <c r="W515" s="841"/>
      <c r="X515" s="841"/>
      <c r="Y515" s="841"/>
      <c r="Z515" s="1226"/>
      <c r="AA515" s="1226"/>
      <c r="AB515" s="1226"/>
      <c r="AC515" s="1226"/>
      <c r="AD515" s="1226"/>
      <c r="AE515" s="1226"/>
      <c r="AF515" s="1226"/>
      <c r="AG515" s="1226"/>
      <c r="AH515" s="1226"/>
      <c r="AI515" s="841"/>
      <c r="AJ515" s="841"/>
      <c r="AK515" s="841"/>
      <c r="AL515" s="841"/>
      <c r="AM515" s="841"/>
      <c r="AN515" s="841"/>
      <c r="AO515" s="841"/>
      <c r="AP515" s="841"/>
      <c r="AQ515" s="841"/>
      <c r="AR515" s="841"/>
      <c r="AS515" s="842"/>
    </row>
    <row r="516" spans="1:45">
      <c r="A516" s="841"/>
      <c r="B516" s="841"/>
      <c r="C516" s="841"/>
      <c r="D516" s="841"/>
      <c r="E516" s="841"/>
      <c r="F516" s="841"/>
      <c r="G516" s="841"/>
      <c r="H516" s="841"/>
      <c r="I516" s="841"/>
      <c r="J516" s="841"/>
      <c r="K516" s="841"/>
      <c r="L516" s="841"/>
      <c r="M516" s="841"/>
      <c r="N516" s="841"/>
      <c r="O516" s="841"/>
      <c r="P516" s="841"/>
      <c r="Q516" s="841"/>
      <c r="R516" s="841"/>
      <c r="S516" s="841"/>
      <c r="T516" s="841"/>
      <c r="U516" s="841"/>
      <c r="V516" s="841"/>
      <c r="W516" s="841"/>
      <c r="X516" s="841"/>
      <c r="Y516" s="841"/>
      <c r="Z516" s="1226"/>
      <c r="AA516" s="1226"/>
      <c r="AB516" s="1226"/>
      <c r="AC516" s="1226"/>
      <c r="AD516" s="1226"/>
      <c r="AE516" s="1226"/>
      <c r="AF516" s="1226"/>
      <c r="AG516" s="1226"/>
      <c r="AH516" s="1226"/>
      <c r="AI516" s="841"/>
      <c r="AJ516" s="841"/>
      <c r="AK516" s="841"/>
      <c r="AL516" s="841"/>
      <c r="AM516" s="841"/>
      <c r="AN516" s="841"/>
      <c r="AO516" s="841"/>
      <c r="AP516" s="841"/>
      <c r="AQ516" s="841"/>
      <c r="AR516" s="841"/>
      <c r="AS516" s="842"/>
    </row>
    <row r="517" spans="1:45">
      <c r="A517" s="841"/>
      <c r="B517" s="841"/>
      <c r="C517" s="841"/>
      <c r="D517" s="841"/>
      <c r="E517" s="841"/>
      <c r="F517" s="841"/>
      <c r="G517" s="841"/>
      <c r="H517" s="841"/>
      <c r="I517" s="841"/>
      <c r="J517" s="841"/>
      <c r="K517" s="841"/>
      <c r="L517" s="841"/>
      <c r="M517" s="841"/>
      <c r="N517" s="841"/>
      <c r="O517" s="841"/>
      <c r="P517" s="841"/>
      <c r="Q517" s="841"/>
      <c r="R517" s="841"/>
      <c r="S517" s="841"/>
      <c r="T517" s="841"/>
      <c r="U517" s="841"/>
      <c r="V517" s="841"/>
      <c r="W517" s="841"/>
      <c r="X517" s="841"/>
      <c r="Y517" s="841"/>
      <c r="Z517" s="1226"/>
      <c r="AA517" s="1226"/>
      <c r="AB517" s="1226"/>
      <c r="AC517" s="1226"/>
      <c r="AD517" s="1226"/>
      <c r="AE517" s="1226"/>
      <c r="AF517" s="1226"/>
      <c r="AG517" s="1226"/>
      <c r="AH517" s="1226"/>
      <c r="AI517" s="841"/>
      <c r="AJ517" s="841"/>
      <c r="AK517" s="841"/>
      <c r="AL517" s="841"/>
      <c r="AM517" s="841"/>
      <c r="AN517" s="841"/>
      <c r="AO517" s="841"/>
      <c r="AP517" s="841"/>
      <c r="AQ517" s="841"/>
      <c r="AR517" s="841"/>
      <c r="AS517" s="842"/>
    </row>
    <row r="518" spans="1:45">
      <c r="A518" s="841"/>
      <c r="B518" s="841"/>
      <c r="C518" s="841"/>
      <c r="D518" s="841"/>
      <c r="E518" s="841"/>
      <c r="F518" s="841"/>
      <c r="G518" s="841"/>
      <c r="H518" s="841"/>
      <c r="I518" s="841"/>
      <c r="J518" s="841"/>
      <c r="K518" s="841"/>
      <c r="L518" s="841"/>
      <c r="M518" s="841"/>
      <c r="N518" s="841"/>
      <c r="O518" s="841"/>
      <c r="P518" s="841"/>
      <c r="Q518" s="841"/>
      <c r="R518" s="841"/>
      <c r="S518" s="841"/>
      <c r="T518" s="841"/>
      <c r="U518" s="841"/>
      <c r="V518" s="841"/>
      <c r="W518" s="841"/>
      <c r="X518" s="841"/>
      <c r="Y518" s="841"/>
      <c r="Z518" s="1226"/>
      <c r="AA518" s="1226"/>
      <c r="AB518" s="1226"/>
      <c r="AC518" s="1226"/>
      <c r="AD518" s="1226"/>
      <c r="AE518" s="1226"/>
      <c r="AF518" s="1226"/>
      <c r="AG518" s="1226"/>
      <c r="AH518" s="1226"/>
      <c r="AI518" s="841"/>
      <c r="AJ518" s="841"/>
      <c r="AK518" s="841"/>
      <c r="AL518" s="841"/>
      <c r="AM518" s="841"/>
      <c r="AN518" s="841"/>
      <c r="AO518" s="841"/>
      <c r="AP518" s="841"/>
      <c r="AQ518" s="841"/>
      <c r="AR518" s="841"/>
      <c r="AS518" s="842"/>
    </row>
    <row r="519" spans="1:45">
      <c r="A519" s="841"/>
      <c r="B519" s="841"/>
      <c r="C519" s="841"/>
      <c r="D519" s="841"/>
      <c r="E519" s="841"/>
      <c r="F519" s="841"/>
      <c r="G519" s="841"/>
      <c r="H519" s="841"/>
      <c r="I519" s="841"/>
      <c r="J519" s="841"/>
      <c r="K519" s="841"/>
      <c r="L519" s="841"/>
      <c r="M519" s="841"/>
      <c r="N519" s="841"/>
      <c r="O519" s="841"/>
      <c r="P519" s="841"/>
      <c r="Q519" s="841"/>
      <c r="R519" s="841"/>
      <c r="S519" s="841"/>
      <c r="T519" s="841"/>
      <c r="U519" s="841"/>
      <c r="V519" s="841"/>
      <c r="W519" s="841"/>
      <c r="X519" s="841"/>
      <c r="Y519" s="841"/>
      <c r="Z519" s="1226"/>
      <c r="AA519" s="1226"/>
      <c r="AB519" s="1226"/>
      <c r="AC519" s="1226"/>
      <c r="AD519" s="1226"/>
      <c r="AE519" s="1226"/>
      <c r="AF519" s="1226"/>
      <c r="AG519" s="1226"/>
      <c r="AH519" s="1226"/>
      <c r="AI519" s="841"/>
      <c r="AJ519" s="841"/>
      <c r="AK519" s="841"/>
      <c r="AL519" s="841"/>
      <c r="AM519" s="841"/>
      <c r="AN519" s="841"/>
      <c r="AO519" s="841"/>
      <c r="AP519" s="841"/>
      <c r="AQ519" s="841"/>
      <c r="AR519" s="841"/>
      <c r="AS519" s="842"/>
    </row>
    <row r="520" spans="1:45">
      <c r="A520" s="841"/>
      <c r="B520" s="841"/>
      <c r="C520" s="841"/>
      <c r="D520" s="841"/>
      <c r="E520" s="841"/>
      <c r="F520" s="841"/>
      <c r="G520" s="841"/>
      <c r="H520" s="841"/>
      <c r="I520" s="841"/>
      <c r="J520" s="841"/>
      <c r="K520" s="841"/>
      <c r="L520" s="841"/>
      <c r="M520" s="841"/>
      <c r="N520" s="841"/>
      <c r="O520" s="841"/>
      <c r="P520" s="841"/>
      <c r="Q520" s="841"/>
      <c r="R520" s="841"/>
      <c r="S520" s="841"/>
      <c r="T520" s="841"/>
      <c r="U520" s="841"/>
      <c r="V520" s="841"/>
      <c r="W520" s="841"/>
      <c r="X520" s="841"/>
      <c r="Y520" s="841"/>
      <c r="Z520" s="1226"/>
      <c r="AA520" s="1226"/>
      <c r="AB520" s="1226"/>
      <c r="AC520" s="1226"/>
      <c r="AD520" s="1226"/>
      <c r="AE520" s="1226"/>
      <c r="AF520" s="1226"/>
      <c r="AG520" s="1226"/>
      <c r="AH520" s="1226"/>
      <c r="AI520" s="841"/>
      <c r="AJ520" s="841"/>
      <c r="AK520" s="841"/>
      <c r="AL520" s="841"/>
      <c r="AM520" s="841"/>
      <c r="AN520" s="841"/>
      <c r="AO520" s="841"/>
      <c r="AP520" s="841"/>
      <c r="AQ520" s="841"/>
      <c r="AR520" s="841"/>
      <c r="AS520" s="842"/>
    </row>
    <row r="521" spans="1:45">
      <c r="A521" s="841"/>
      <c r="B521" s="841"/>
      <c r="C521" s="841"/>
      <c r="D521" s="841"/>
      <c r="E521" s="841"/>
      <c r="F521" s="841"/>
      <c r="G521" s="841"/>
      <c r="H521" s="841"/>
      <c r="I521" s="841"/>
      <c r="J521" s="841"/>
      <c r="K521" s="841"/>
      <c r="L521" s="841"/>
      <c r="M521" s="841"/>
      <c r="N521" s="841"/>
      <c r="O521" s="841"/>
      <c r="P521" s="841"/>
      <c r="Q521" s="841"/>
      <c r="R521" s="841"/>
      <c r="S521" s="841"/>
      <c r="T521" s="841"/>
      <c r="U521" s="841"/>
      <c r="V521" s="841"/>
      <c r="W521" s="841"/>
      <c r="X521" s="841"/>
      <c r="Y521" s="841"/>
      <c r="Z521" s="1226"/>
      <c r="AA521" s="1226"/>
      <c r="AB521" s="1226"/>
      <c r="AC521" s="1226"/>
      <c r="AD521" s="1226"/>
      <c r="AE521" s="1226"/>
      <c r="AF521" s="1226"/>
      <c r="AG521" s="1226"/>
      <c r="AH521" s="1226"/>
      <c r="AI521" s="841"/>
      <c r="AJ521" s="841"/>
      <c r="AK521" s="841"/>
      <c r="AL521" s="841"/>
      <c r="AM521" s="841"/>
      <c r="AN521" s="841"/>
      <c r="AO521" s="841"/>
      <c r="AP521" s="841"/>
      <c r="AQ521" s="841"/>
      <c r="AR521" s="841"/>
      <c r="AS521" s="842"/>
    </row>
    <row r="522" spans="1:45">
      <c r="A522" s="841"/>
      <c r="B522" s="841"/>
      <c r="C522" s="841"/>
      <c r="D522" s="841"/>
      <c r="E522" s="841"/>
      <c r="F522" s="841"/>
      <c r="G522" s="841"/>
      <c r="H522" s="841"/>
      <c r="I522" s="841"/>
      <c r="J522" s="841"/>
      <c r="K522" s="841"/>
      <c r="L522" s="841"/>
      <c r="M522" s="841"/>
      <c r="N522" s="841"/>
      <c r="O522" s="841"/>
      <c r="P522" s="841"/>
      <c r="Q522" s="841"/>
      <c r="R522" s="841"/>
      <c r="S522" s="841"/>
      <c r="T522" s="841"/>
      <c r="U522" s="841"/>
      <c r="V522" s="841"/>
      <c r="W522" s="841"/>
      <c r="X522" s="841"/>
      <c r="Y522" s="841"/>
      <c r="Z522" s="1226"/>
      <c r="AA522" s="1226"/>
      <c r="AB522" s="1226"/>
      <c r="AC522" s="1226"/>
      <c r="AD522" s="1226"/>
      <c r="AE522" s="1226"/>
      <c r="AF522" s="1226"/>
      <c r="AG522" s="1226"/>
      <c r="AH522" s="1226"/>
      <c r="AI522" s="841"/>
      <c r="AJ522" s="841"/>
      <c r="AK522" s="841"/>
      <c r="AL522" s="841"/>
      <c r="AM522" s="841"/>
      <c r="AN522" s="841"/>
      <c r="AO522" s="841"/>
      <c r="AP522" s="841"/>
      <c r="AQ522" s="841"/>
      <c r="AR522" s="841"/>
      <c r="AS522" s="842"/>
    </row>
    <row r="523" spans="1:45">
      <c r="A523" s="841"/>
      <c r="B523" s="841"/>
      <c r="C523" s="841"/>
      <c r="D523" s="841"/>
      <c r="E523" s="841"/>
      <c r="F523" s="841"/>
      <c r="G523" s="841"/>
      <c r="H523" s="841"/>
      <c r="I523" s="841"/>
      <c r="J523" s="841"/>
      <c r="K523" s="841"/>
      <c r="L523" s="841"/>
      <c r="M523" s="841"/>
      <c r="N523" s="841"/>
      <c r="O523" s="841"/>
      <c r="P523" s="841"/>
      <c r="Q523" s="841"/>
      <c r="R523" s="841"/>
      <c r="S523" s="841"/>
      <c r="T523" s="841"/>
      <c r="U523" s="841"/>
      <c r="V523" s="841"/>
      <c r="W523" s="841"/>
      <c r="X523" s="841"/>
      <c r="Y523" s="841"/>
      <c r="Z523" s="1226"/>
      <c r="AA523" s="1226"/>
      <c r="AB523" s="1226"/>
      <c r="AC523" s="1226"/>
      <c r="AD523" s="1226"/>
      <c r="AE523" s="1226"/>
      <c r="AF523" s="1226"/>
      <c r="AG523" s="1226"/>
      <c r="AH523" s="1226"/>
      <c r="AI523" s="841"/>
      <c r="AJ523" s="841"/>
      <c r="AK523" s="841"/>
      <c r="AL523" s="841"/>
      <c r="AM523" s="841"/>
      <c r="AN523" s="841"/>
      <c r="AO523" s="841"/>
      <c r="AP523" s="841"/>
      <c r="AQ523" s="841"/>
      <c r="AR523" s="841"/>
      <c r="AS523" s="842"/>
    </row>
    <row r="524" spans="1:45">
      <c r="A524" s="841"/>
      <c r="B524" s="841"/>
      <c r="C524" s="841"/>
      <c r="D524" s="841"/>
      <c r="E524" s="841"/>
      <c r="F524" s="841"/>
      <c r="G524" s="841"/>
      <c r="H524" s="841"/>
      <c r="I524" s="841"/>
      <c r="J524" s="841"/>
      <c r="K524" s="841"/>
      <c r="L524" s="841"/>
      <c r="M524" s="841"/>
      <c r="N524" s="841"/>
      <c r="O524" s="841"/>
      <c r="P524" s="841"/>
      <c r="Q524" s="841"/>
      <c r="R524" s="841"/>
      <c r="S524" s="841"/>
      <c r="T524" s="841"/>
      <c r="U524" s="841"/>
      <c r="V524" s="841"/>
      <c r="W524" s="841"/>
      <c r="X524" s="841"/>
      <c r="Y524" s="841"/>
      <c r="Z524" s="1226"/>
      <c r="AA524" s="1226"/>
      <c r="AB524" s="1226"/>
      <c r="AC524" s="1226"/>
      <c r="AD524" s="1226"/>
      <c r="AE524" s="1226"/>
      <c r="AF524" s="1226"/>
      <c r="AG524" s="1226"/>
      <c r="AH524" s="1226"/>
      <c r="AI524" s="841"/>
      <c r="AJ524" s="841"/>
      <c r="AK524" s="841"/>
      <c r="AL524" s="841"/>
      <c r="AM524" s="841"/>
      <c r="AN524" s="841"/>
      <c r="AO524" s="841"/>
      <c r="AP524" s="841"/>
      <c r="AQ524" s="841"/>
      <c r="AR524" s="841"/>
      <c r="AS524" s="842"/>
    </row>
    <row r="525" spans="1:45">
      <c r="A525" s="841"/>
      <c r="B525" s="841"/>
      <c r="C525" s="841"/>
      <c r="D525" s="841"/>
      <c r="E525" s="841"/>
      <c r="F525" s="841"/>
      <c r="G525" s="841"/>
      <c r="H525" s="841"/>
      <c r="I525" s="841"/>
      <c r="J525" s="841"/>
      <c r="K525" s="841"/>
      <c r="L525" s="841"/>
      <c r="M525" s="841"/>
      <c r="N525" s="841"/>
      <c r="O525" s="841"/>
      <c r="P525" s="841"/>
      <c r="Q525" s="841"/>
      <c r="R525" s="841"/>
      <c r="S525" s="841"/>
      <c r="T525" s="841"/>
      <c r="U525" s="841"/>
      <c r="V525" s="841"/>
      <c r="W525" s="841"/>
      <c r="X525" s="841"/>
      <c r="Y525" s="841"/>
      <c r="Z525" s="1226"/>
      <c r="AA525" s="1226"/>
      <c r="AB525" s="1226"/>
      <c r="AC525" s="1226"/>
      <c r="AD525" s="1226"/>
      <c r="AE525" s="1226"/>
      <c r="AF525" s="1226"/>
      <c r="AG525" s="1226"/>
      <c r="AH525" s="1226"/>
      <c r="AI525" s="841"/>
      <c r="AJ525" s="841"/>
      <c r="AK525" s="841"/>
      <c r="AL525" s="841"/>
      <c r="AM525" s="841"/>
      <c r="AN525" s="841"/>
      <c r="AO525" s="841"/>
      <c r="AP525" s="841"/>
      <c r="AQ525" s="841"/>
      <c r="AR525" s="841"/>
      <c r="AS525" s="842"/>
    </row>
    <row r="526" spans="1:45">
      <c r="A526" s="841"/>
      <c r="B526" s="841"/>
      <c r="C526" s="841"/>
      <c r="D526" s="841"/>
      <c r="E526" s="841"/>
      <c r="F526" s="841"/>
      <c r="G526" s="841"/>
      <c r="H526" s="841"/>
      <c r="I526" s="841"/>
      <c r="J526" s="841"/>
      <c r="K526" s="841"/>
      <c r="L526" s="841"/>
      <c r="M526" s="841"/>
      <c r="N526" s="841"/>
      <c r="O526" s="841"/>
      <c r="P526" s="841"/>
      <c r="Q526" s="841"/>
      <c r="R526" s="841"/>
      <c r="S526" s="841"/>
      <c r="T526" s="841"/>
      <c r="U526" s="841"/>
      <c r="V526" s="841"/>
      <c r="W526" s="841"/>
      <c r="X526" s="841"/>
      <c r="Y526" s="841"/>
      <c r="Z526" s="1226"/>
      <c r="AA526" s="1226"/>
      <c r="AB526" s="1226"/>
      <c r="AC526" s="1226"/>
      <c r="AD526" s="1226"/>
      <c r="AE526" s="1226"/>
      <c r="AF526" s="1226"/>
      <c r="AG526" s="1226"/>
      <c r="AH526" s="1226"/>
      <c r="AI526" s="841"/>
      <c r="AJ526" s="841"/>
      <c r="AK526" s="841"/>
      <c r="AL526" s="841"/>
      <c r="AM526" s="841"/>
      <c r="AN526" s="841"/>
      <c r="AO526" s="841"/>
      <c r="AP526" s="841"/>
      <c r="AQ526" s="841"/>
      <c r="AR526" s="841"/>
      <c r="AS526" s="842"/>
    </row>
    <row r="527" spans="1:45">
      <c r="A527" s="841"/>
      <c r="B527" s="841"/>
      <c r="C527" s="841"/>
      <c r="D527" s="841"/>
      <c r="E527" s="841"/>
      <c r="F527" s="841"/>
      <c r="G527" s="841"/>
      <c r="H527" s="841"/>
      <c r="I527" s="841"/>
      <c r="J527" s="841"/>
      <c r="K527" s="841"/>
      <c r="L527" s="841"/>
      <c r="M527" s="841"/>
      <c r="N527" s="841"/>
      <c r="O527" s="841"/>
      <c r="P527" s="841"/>
      <c r="Q527" s="841"/>
      <c r="R527" s="841"/>
      <c r="S527" s="841"/>
      <c r="T527" s="841"/>
      <c r="U527" s="841"/>
      <c r="V527" s="841"/>
      <c r="W527" s="841"/>
      <c r="X527" s="841"/>
      <c r="Y527" s="841"/>
      <c r="Z527" s="1226"/>
      <c r="AA527" s="1226"/>
      <c r="AB527" s="1226"/>
      <c r="AC527" s="1226"/>
      <c r="AD527" s="1226"/>
      <c r="AE527" s="1226"/>
      <c r="AF527" s="1226"/>
      <c r="AG527" s="1226"/>
      <c r="AH527" s="1226"/>
      <c r="AI527" s="841"/>
      <c r="AJ527" s="841"/>
      <c r="AK527" s="841"/>
      <c r="AL527" s="841"/>
      <c r="AM527" s="841"/>
      <c r="AN527" s="841"/>
      <c r="AO527" s="841"/>
      <c r="AP527" s="841"/>
      <c r="AQ527" s="841"/>
      <c r="AR527" s="841"/>
      <c r="AS527" s="842"/>
    </row>
    <row r="528" spans="1:45">
      <c r="A528" s="841"/>
      <c r="B528" s="841"/>
      <c r="C528" s="841"/>
      <c r="D528" s="841"/>
      <c r="E528" s="841"/>
      <c r="F528" s="841"/>
      <c r="G528" s="841"/>
      <c r="H528" s="841"/>
      <c r="I528" s="841"/>
      <c r="J528" s="841"/>
      <c r="K528" s="841"/>
      <c r="L528" s="841"/>
      <c r="M528" s="841"/>
      <c r="N528" s="841"/>
      <c r="O528" s="841"/>
      <c r="P528" s="841"/>
      <c r="Q528" s="841"/>
      <c r="R528" s="841"/>
      <c r="S528" s="841"/>
      <c r="T528" s="841"/>
      <c r="U528" s="841"/>
      <c r="V528" s="841"/>
      <c r="W528" s="841"/>
      <c r="X528" s="841"/>
      <c r="Y528" s="841"/>
      <c r="Z528" s="1226"/>
      <c r="AA528" s="1226"/>
      <c r="AB528" s="1226"/>
      <c r="AC528" s="1226"/>
      <c r="AD528" s="1226"/>
      <c r="AE528" s="1226"/>
      <c r="AF528" s="1226"/>
      <c r="AG528" s="1226"/>
      <c r="AH528" s="1226"/>
      <c r="AI528" s="841"/>
      <c r="AJ528" s="841"/>
      <c r="AK528" s="841"/>
      <c r="AL528" s="841"/>
      <c r="AM528" s="841"/>
      <c r="AN528" s="841"/>
      <c r="AO528" s="841"/>
      <c r="AP528" s="841"/>
      <c r="AQ528" s="841"/>
      <c r="AR528" s="841"/>
      <c r="AS528" s="842"/>
    </row>
    <row r="529" spans="1:45">
      <c r="A529" s="841"/>
      <c r="B529" s="841"/>
      <c r="C529" s="841"/>
      <c r="D529" s="841"/>
      <c r="E529" s="841"/>
      <c r="F529" s="841"/>
      <c r="G529" s="841"/>
      <c r="H529" s="841"/>
      <c r="I529" s="841"/>
      <c r="J529" s="841"/>
      <c r="K529" s="841"/>
      <c r="L529" s="841"/>
      <c r="M529" s="841"/>
      <c r="N529" s="841"/>
      <c r="O529" s="841"/>
      <c r="P529" s="841"/>
      <c r="Q529" s="841"/>
      <c r="R529" s="841"/>
      <c r="S529" s="841"/>
      <c r="T529" s="841"/>
      <c r="U529" s="841"/>
      <c r="V529" s="841"/>
      <c r="W529" s="841"/>
      <c r="X529" s="841"/>
      <c r="Y529" s="841"/>
      <c r="Z529" s="1226"/>
      <c r="AA529" s="1226"/>
      <c r="AB529" s="1226"/>
      <c r="AC529" s="1226"/>
      <c r="AD529" s="1226"/>
      <c r="AE529" s="1226"/>
      <c r="AF529" s="1226"/>
      <c r="AG529" s="1226"/>
      <c r="AH529" s="1226"/>
      <c r="AI529" s="841"/>
      <c r="AJ529" s="841"/>
      <c r="AK529" s="841"/>
      <c r="AL529" s="841"/>
      <c r="AM529" s="841"/>
      <c r="AN529" s="841"/>
      <c r="AO529" s="841"/>
      <c r="AP529" s="841"/>
      <c r="AQ529" s="841"/>
      <c r="AR529" s="841"/>
      <c r="AS529" s="842"/>
    </row>
    <row r="530" spans="1:45">
      <c r="A530" s="841"/>
      <c r="B530" s="841"/>
      <c r="C530" s="841"/>
      <c r="D530" s="841"/>
      <c r="E530" s="841"/>
      <c r="F530" s="841"/>
      <c r="G530" s="841"/>
      <c r="H530" s="841"/>
      <c r="I530" s="841"/>
      <c r="J530" s="841"/>
      <c r="K530" s="841"/>
      <c r="L530" s="841"/>
      <c r="M530" s="841"/>
      <c r="N530" s="841"/>
      <c r="O530" s="841"/>
      <c r="P530" s="841"/>
      <c r="Q530" s="841"/>
      <c r="R530" s="841"/>
      <c r="S530" s="841"/>
      <c r="T530" s="841"/>
      <c r="U530" s="841"/>
      <c r="V530" s="841"/>
      <c r="W530" s="841"/>
      <c r="X530" s="841"/>
      <c r="Y530" s="841"/>
      <c r="Z530" s="1226"/>
      <c r="AA530" s="1226"/>
      <c r="AB530" s="1226"/>
      <c r="AC530" s="1226"/>
      <c r="AD530" s="1226"/>
      <c r="AE530" s="1226"/>
      <c r="AF530" s="1226"/>
      <c r="AG530" s="1226"/>
      <c r="AH530" s="1226"/>
      <c r="AI530" s="841"/>
      <c r="AJ530" s="841"/>
      <c r="AK530" s="841"/>
      <c r="AL530" s="841"/>
      <c r="AM530" s="841"/>
      <c r="AN530" s="841"/>
      <c r="AO530" s="841"/>
      <c r="AP530" s="841"/>
      <c r="AQ530" s="841"/>
      <c r="AR530" s="841"/>
      <c r="AS530" s="842"/>
    </row>
    <row r="531" spans="1:45">
      <c r="A531" s="841"/>
      <c r="B531" s="841"/>
      <c r="C531" s="841"/>
      <c r="D531" s="841"/>
      <c r="E531" s="841"/>
      <c r="F531" s="841"/>
      <c r="G531" s="841"/>
      <c r="H531" s="841"/>
      <c r="I531" s="841"/>
      <c r="J531" s="841"/>
      <c r="K531" s="841"/>
      <c r="L531" s="841"/>
      <c r="M531" s="841"/>
      <c r="N531" s="841"/>
      <c r="O531" s="841"/>
      <c r="P531" s="841"/>
      <c r="Q531" s="841"/>
      <c r="R531" s="841"/>
      <c r="S531" s="841"/>
      <c r="T531" s="841"/>
      <c r="U531" s="841"/>
      <c r="V531" s="841"/>
      <c r="W531" s="841"/>
      <c r="X531" s="841"/>
      <c r="Y531" s="841"/>
      <c r="Z531" s="1226"/>
      <c r="AA531" s="1226"/>
      <c r="AB531" s="1226"/>
      <c r="AC531" s="1226"/>
      <c r="AD531" s="1226"/>
      <c r="AE531" s="1226"/>
      <c r="AF531" s="1226"/>
      <c r="AG531" s="1226"/>
      <c r="AH531" s="1226"/>
      <c r="AI531" s="841"/>
      <c r="AJ531" s="841"/>
      <c r="AK531" s="841"/>
      <c r="AL531" s="841"/>
      <c r="AM531" s="841"/>
      <c r="AN531" s="841"/>
      <c r="AO531" s="841"/>
      <c r="AP531" s="841"/>
      <c r="AQ531" s="841"/>
      <c r="AR531" s="841"/>
      <c r="AS531" s="842"/>
    </row>
    <row r="532" spans="1:45">
      <c r="A532" s="841"/>
      <c r="B532" s="841"/>
      <c r="C532" s="841"/>
      <c r="D532" s="841"/>
      <c r="E532" s="841"/>
      <c r="F532" s="841"/>
      <c r="G532" s="841"/>
      <c r="H532" s="841"/>
      <c r="I532" s="841"/>
      <c r="J532" s="841"/>
      <c r="K532" s="841"/>
      <c r="L532" s="841"/>
      <c r="M532" s="841"/>
      <c r="N532" s="841"/>
      <c r="O532" s="841"/>
      <c r="P532" s="841"/>
      <c r="Q532" s="841"/>
      <c r="R532" s="841"/>
      <c r="S532" s="841"/>
      <c r="T532" s="841"/>
      <c r="U532" s="841"/>
      <c r="V532" s="841"/>
      <c r="W532" s="841"/>
      <c r="X532" s="841"/>
      <c r="Y532" s="841"/>
      <c r="Z532" s="1226"/>
      <c r="AA532" s="1226"/>
      <c r="AB532" s="1226"/>
      <c r="AC532" s="1226"/>
      <c r="AD532" s="1226"/>
      <c r="AE532" s="1226"/>
      <c r="AF532" s="1226"/>
      <c r="AG532" s="1226"/>
      <c r="AH532" s="1226"/>
      <c r="AI532" s="841"/>
      <c r="AJ532" s="841"/>
      <c r="AK532" s="841"/>
      <c r="AL532" s="841"/>
      <c r="AM532" s="841"/>
      <c r="AN532" s="841"/>
      <c r="AO532" s="841"/>
      <c r="AP532" s="841"/>
      <c r="AQ532" s="841"/>
      <c r="AR532" s="841"/>
      <c r="AS532" s="842"/>
    </row>
    <row r="533" spans="1:45">
      <c r="A533" s="841"/>
      <c r="B533" s="841"/>
      <c r="C533" s="841"/>
      <c r="D533" s="841"/>
      <c r="E533" s="841"/>
      <c r="F533" s="841"/>
      <c r="G533" s="841"/>
      <c r="H533" s="841"/>
      <c r="I533" s="841"/>
      <c r="J533" s="841"/>
      <c r="K533" s="841"/>
      <c r="L533" s="841"/>
      <c r="M533" s="841"/>
      <c r="N533" s="841"/>
      <c r="O533" s="841"/>
      <c r="P533" s="841"/>
      <c r="Q533" s="841"/>
      <c r="R533" s="841"/>
      <c r="S533" s="841"/>
      <c r="T533" s="841"/>
      <c r="U533" s="841"/>
      <c r="V533" s="841"/>
      <c r="W533" s="841"/>
      <c r="X533" s="841"/>
      <c r="Y533" s="841"/>
      <c r="Z533" s="1226"/>
      <c r="AA533" s="1226"/>
      <c r="AB533" s="1226"/>
      <c r="AC533" s="1226"/>
      <c r="AD533" s="1226"/>
      <c r="AE533" s="1226"/>
      <c r="AF533" s="1226"/>
      <c r="AG533" s="1226"/>
      <c r="AH533" s="1226"/>
      <c r="AI533" s="841"/>
      <c r="AJ533" s="841"/>
      <c r="AK533" s="841"/>
      <c r="AL533" s="841"/>
      <c r="AM533" s="841"/>
      <c r="AN533" s="841"/>
      <c r="AO533" s="841"/>
      <c r="AP533" s="841"/>
      <c r="AQ533" s="841"/>
      <c r="AR533" s="841"/>
      <c r="AS533" s="842"/>
    </row>
    <row r="534" spans="1:45">
      <c r="A534" s="841"/>
      <c r="B534" s="841"/>
      <c r="C534" s="841"/>
      <c r="D534" s="841"/>
      <c r="E534" s="841"/>
      <c r="F534" s="841"/>
      <c r="G534" s="841"/>
      <c r="H534" s="841"/>
      <c r="I534" s="841"/>
      <c r="J534" s="841"/>
      <c r="K534" s="841"/>
      <c r="L534" s="841"/>
      <c r="M534" s="841"/>
      <c r="N534" s="841"/>
      <c r="O534" s="841"/>
      <c r="P534" s="841"/>
      <c r="Q534" s="841"/>
      <c r="R534" s="841"/>
      <c r="S534" s="841"/>
      <c r="T534" s="841"/>
      <c r="U534" s="841"/>
      <c r="V534" s="841"/>
      <c r="W534" s="841"/>
      <c r="X534" s="841"/>
      <c r="Y534" s="841"/>
      <c r="Z534" s="1226"/>
      <c r="AA534" s="1226"/>
      <c r="AB534" s="1226"/>
      <c r="AC534" s="1226"/>
      <c r="AD534" s="1226"/>
      <c r="AE534" s="1226"/>
      <c r="AF534" s="1226"/>
      <c r="AG534" s="1226"/>
      <c r="AH534" s="1226"/>
      <c r="AI534" s="841"/>
      <c r="AJ534" s="841"/>
      <c r="AK534" s="841"/>
      <c r="AL534" s="841"/>
      <c r="AM534" s="841"/>
      <c r="AN534" s="841"/>
      <c r="AO534" s="841"/>
      <c r="AP534" s="841"/>
      <c r="AQ534" s="841"/>
      <c r="AR534" s="841"/>
      <c r="AS534" s="842"/>
    </row>
    <row r="535" spans="1:45">
      <c r="A535" s="841"/>
      <c r="B535" s="841"/>
      <c r="C535" s="841"/>
      <c r="D535" s="841"/>
      <c r="E535" s="841"/>
      <c r="F535" s="841"/>
      <c r="G535" s="841"/>
      <c r="H535" s="841"/>
      <c r="I535" s="841"/>
      <c r="J535" s="841"/>
      <c r="K535" s="841"/>
      <c r="L535" s="841"/>
      <c r="M535" s="841"/>
      <c r="N535" s="841"/>
      <c r="O535" s="841"/>
      <c r="P535" s="841"/>
      <c r="Q535" s="841"/>
      <c r="R535" s="841"/>
      <c r="S535" s="841"/>
      <c r="T535" s="841"/>
      <c r="U535" s="841"/>
      <c r="V535" s="841"/>
      <c r="W535" s="841"/>
      <c r="X535" s="841"/>
      <c r="Y535" s="841"/>
      <c r="Z535" s="1226"/>
      <c r="AA535" s="1226"/>
      <c r="AB535" s="1226"/>
      <c r="AC535" s="1226"/>
      <c r="AD535" s="1226"/>
      <c r="AE535" s="1226"/>
      <c r="AF535" s="1226"/>
      <c r="AG535" s="1226"/>
      <c r="AH535" s="1226"/>
      <c r="AI535" s="841"/>
      <c r="AJ535" s="841"/>
      <c r="AK535" s="841"/>
      <c r="AL535" s="841"/>
      <c r="AM535" s="841"/>
      <c r="AN535" s="841"/>
      <c r="AO535" s="841"/>
      <c r="AP535" s="841"/>
      <c r="AQ535" s="841"/>
      <c r="AR535" s="841"/>
      <c r="AS535" s="842"/>
    </row>
    <row r="536" spans="1:45">
      <c r="A536" s="841"/>
      <c r="B536" s="841"/>
      <c r="C536" s="841"/>
      <c r="D536" s="841"/>
      <c r="E536" s="841"/>
      <c r="F536" s="841"/>
      <c r="G536" s="841"/>
      <c r="H536" s="841"/>
      <c r="I536" s="841"/>
      <c r="J536" s="841"/>
      <c r="K536" s="841"/>
      <c r="L536" s="841"/>
      <c r="M536" s="841"/>
      <c r="N536" s="841"/>
      <c r="O536" s="841"/>
      <c r="P536" s="841"/>
      <c r="Q536" s="841"/>
      <c r="R536" s="841"/>
      <c r="S536" s="841"/>
      <c r="T536" s="841"/>
      <c r="U536" s="841"/>
      <c r="V536" s="841"/>
      <c r="W536" s="841"/>
      <c r="X536" s="841"/>
      <c r="Y536" s="841"/>
      <c r="Z536" s="1226"/>
      <c r="AA536" s="1226"/>
      <c r="AB536" s="1226"/>
      <c r="AC536" s="1226"/>
      <c r="AD536" s="1226"/>
      <c r="AE536" s="1226"/>
      <c r="AF536" s="1226"/>
      <c r="AG536" s="1226"/>
      <c r="AH536" s="1226"/>
      <c r="AI536" s="841"/>
      <c r="AJ536" s="841"/>
      <c r="AK536" s="841"/>
      <c r="AL536" s="841"/>
      <c r="AM536" s="841"/>
      <c r="AN536" s="841"/>
      <c r="AO536" s="841"/>
      <c r="AP536" s="841"/>
      <c r="AQ536" s="841"/>
      <c r="AR536" s="841"/>
      <c r="AS536" s="842"/>
    </row>
    <row r="537" spans="1:45">
      <c r="A537" s="841"/>
      <c r="B537" s="841"/>
      <c r="C537" s="841"/>
      <c r="D537" s="841"/>
      <c r="E537" s="841"/>
      <c r="F537" s="841"/>
      <c r="G537" s="841"/>
      <c r="H537" s="841"/>
      <c r="I537" s="841"/>
      <c r="J537" s="841"/>
      <c r="K537" s="841"/>
      <c r="L537" s="841"/>
      <c r="M537" s="841"/>
      <c r="N537" s="841"/>
      <c r="O537" s="841"/>
      <c r="P537" s="841"/>
      <c r="Q537" s="841"/>
      <c r="R537" s="841"/>
      <c r="S537" s="841"/>
      <c r="T537" s="841"/>
      <c r="U537" s="841"/>
      <c r="V537" s="841"/>
      <c r="W537" s="841"/>
      <c r="X537" s="841"/>
      <c r="Y537" s="841"/>
      <c r="Z537" s="1226"/>
      <c r="AA537" s="1226"/>
      <c r="AB537" s="1226"/>
      <c r="AC537" s="1226"/>
      <c r="AD537" s="1226"/>
      <c r="AE537" s="1226"/>
      <c r="AF537" s="1226"/>
      <c r="AG537" s="1226"/>
      <c r="AH537" s="1226"/>
      <c r="AI537" s="841"/>
      <c r="AJ537" s="841"/>
      <c r="AK537" s="841"/>
      <c r="AL537" s="841"/>
      <c r="AM537" s="841"/>
      <c r="AN537" s="841"/>
      <c r="AO537" s="841"/>
      <c r="AP537" s="841"/>
      <c r="AQ537" s="841"/>
      <c r="AR537" s="841"/>
      <c r="AS537" s="842"/>
    </row>
    <row r="538" spans="1:45">
      <c r="A538" s="841"/>
      <c r="B538" s="841"/>
      <c r="C538" s="841"/>
      <c r="D538" s="841"/>
      <c r="E538" s="841"/>
      <c r="F538" s="841"/>
      <c r="G538" s="841"/>
      <c r="H538" s="841"/>
      <c r="I538" s="841"/>
      <c r="J538" s="841"/>
      <c r="K538" s="841"/>
      <c r="L538" s="841"/>
      <c r="M538" s="841"/>
      <c r="N538" s="841"/>
      <c r="O538" s="841"/>
      <c r="P538" s="841"/>
      <c r="Q538" s="841"/>
      <c r="R538" s="841"/>
      <c r="S538" s="841"/>
      <c r="T538" s="841"/>
      <c r="U538" s="841"/>
      <c r="V538" s="841"/>
      <c r="W538" s="841"/>
      <c r="X538" s="841"/>
      <c r="Y538" s="841"/>
      <c r="Z538" s="1226"/>
      <c r="AA538" s="1226"/>
      <c r="AB538" s="1226"/>
      <c r="AC538" s="1226"/>
      <c r="AD538" s="1226"/>
      <c r="AE538" s="1226"/>
      <c r="AF538" s="1226"/>
      <c r="AG538" s="1226"/>
      <c r="AH538" s="1226"/>
      <c r="AI538" s="841"/>
      <c r="AJ538" s="841"/>
      <c r="AK538" s="841"/>
      <c r="AL538" s="841"/>
      <c r="AM538" s="841"/>
      <c r="AN538" s="841"/>
      <c r="AO538" s="841"/>
      <c r="AP538" s="841"/>
      <c r="AQ538" s="841"/>
      <c r="AR538" s="841"/>
      <c r="AS538" s="842"/>
    </row>
    <row r="539" spans="1:45">
      <c r="A539" s="841"/>
      <c r="B539" s="841"/>
      <c r="C539" s="841"/>
      <c r="D539" s="841"/>
      <c r="E539" s="841"/>
      <c r="F539" s="841"/>
      <c r="G539" s="841"/>
      <c r="H539" s="841"/>
      <c r="I539" s="841"/>
      <c r="J539" s="841"/>
      <c r="K539" s="841"/>
      <c r="L539" s="841"/>
      <c r="M539" s="841"/>
      <c r="N539" s="841"/>
      <c r="O539" s="841"/>
      <c r="P539" s="841"/>
      <c r="Q539" s="841"/>
      <c r="R539" s="841"/>
      <c r="S539" s="841"/>
      <c r="T539" s="841"/>
      <c r="U539" s="841"/>
      <c r="V539" s="841"/>
      <c r="W539" s="841"/>
      <c r="X539" s="841"/>
      <c r="Y539" s="841"/>
      <c r="Z539" s="1226"/>
      <c r="AA539" s="1226"/>
      <c r="AB539" s="1226"/>
      <c r="AC539" s="1226"/>
      <c r="AD539" s="1226"/>
      <c r="AE539" s="1226"/>
      <c r="AF539" s="1226"/>
      <c r="AG539" s="1226"/>
      <c r="AH539" s="1226"/>
      <c r="AI539" s="841"/>
      <c r="AJ539" s="841"/>
      <c r="AK539" s="841"/>
      <c r="AL539" s="841"/>
      <c r="AM539" s="841"/>
      <c r="AN539" s="841"/>
      <c r="AO539" s="841"/>
      <c r="AP539" s="841"/>
      <c r="AQ539" s="841"/>
      <c r="AR539" s="841"/>
      <c r="AS539" s="842"/>
    </row>
    <row r="540" spans="1:45">
      <c r="A540" s="841"/>
      <c r="B540" s="841"/>
      <c r="C540" s="841"/>
      <c r="D540" s="841"/>
      <c r="E540" s="841"/>
      <c r="F540" s="841"/>
      <c r="G540" s="841"/>
      <c r="H540" s="841"/>
      <c r="I540" s="841"/>
      <c r="J540" s="841"/>
      <c r="K540" s="841"/>
      <c r="L540" s="841"/>
      <c r="M540" s="841"/>
      <c r="N540" s="841"/>
      <c r="O540" s="841"/>
      <c r="P540" s="841"/>
      <c r="Q540" s="841"/>
      <c r="R540" s="841"/>
      <c r="S540" s="841"/>
      <c r="T540" s="841"/>
      <c r="U540" s="841"/>
      <c r="V540" s="841"/>
      <c r="W540" s="841"/>
      <c r="X540" s="841"/>
      <c r="Y540" s="841"/>
      <c r="Z540" s="1226"/>
      <c r="AA540" s="1226"/>
      <c r="AB540" s="1226"/>
      <c r="AC540" s="1226"/>
      <c r="AD540" s="1226"/>
      <c r="AE540" s="1226"/>
      <c r="AF540" s="1226"/>
      <c r="AG540" s="1226"/>
      <c r="AH540" s="1226"/>
      <c r="AI540" s="841"/>
      <c r="AJ540" s="841"/>
      <c r="AK540" s="841"/>
      <c r="AL540" s="841"/>
      <c r="AM540" s="841"/>
      <c r="AN540" s="841"/>
      <c r="AO540" s="841"/>
      <c r="AP540" s="841"/>
      <c r="AQ540" s="841"/>
      <c r="AR540" s="841"/>
      <c r="AS540" s="842"/>
    </row>
    <row r="541" spans="1:45">
      <c r="A541" s="841"/>
      <c r="B541" s="841"/>
      <c r="C541" s="841"/>
      <c r="D541" s="841"/>
      <c r="E541" s="841"/>
      <c r="F541" s="841"/>
      <c r="G541" s="841"/>
      <c r="H541" s="841"/>
      <c r="I541" s="841"/>
      <c r="J541" s="841"/>
      <c r="K541" s="841"/>
      <c r="L541" s="841"/>
      <c r="M541" s="841"/>
      <c r="N541" s="841"/>
      <c r="O541" s="841"/>
      <c r="P541" s="841"/>
      <c r="Q541" s="841"/>
      <c r="R541" s="841"/>
      <c r="S541" s="841"/>
      <c r="T541" s="841"/>
      <c r="U541" s="841"/>
      <c r="V541" s="841"/>
      <c r="W541" s="841"/>
      <c r="X541" s="841"/>
      <c r="Y541" s="841"/>
      <c r="Z541" s="1226"/>
      <c r="AA541" s="1226"/>
      <c r="AB541" s="1226"/>
      <c r="AC541" s="1226"/>
      <c r="AD541" s="1226"/>
      <c r="AE541" s="1226"/>
      <c r="AF541" s="1226"/>
      <c r="AG541" s="1226"/>
      <c r="AH541" s="1226"/>
      <c r="AI541" s="841"/>
      <c r="AJ541" s="841"/>
      <c r="AK541" s="841"/>
      <c r="AL541" s="841"/>
      <c r="AM541" s="841"/>
      <c r="AN541" s="841"/>
      <c r="AO541" s="841"/>
      <c r="AP541" s="841"/>
      <c r="AQ541" s="841"/>
      <c r="AR541" s="841"/>
      <c r="AS541" s="842"/>
    </row>
    <row r="542" spans="1:45">
      <c r="A542" s="841"/>
      <c r="B542" s="841"/>
      <c r="C542" s="841"/>
      <c r="D542" s="841"/>
      <c r="E542" s="841"/>
      <c r="F542" s="841"/>
      <c r="G542" s="841"/>
      <c r="H542" s="841"/>
      <c r="I542" s="841"/>
      <c r="J542" s="841"/>
      <c r="K542" s="841"/>
      <c r="L542" s="841"/>
      <c r="M542" s="841"/>
      <c r="N542" s="841"/>
      <c r="O542" s="841"/>
      <c r="P542" s="841"/>
      <c r="Q542" s="841"/>
      <c r="R542" s="841"/>
      <c r="S542" s="841"/>
      <c r="T542" s="841"/>
      <c r="U542" s="841"/>
      <c r="V542" s="841"/>
      <c r="W542" s="841"/>
      <c r="X542" s="841"/>
      <c r="Y542" s="841"/>
      <c r="Z542" s="1226"/>
      <c r="AA542" s="1226"/>
      <c r="AB542" s="1226"/>
      <c r="AC542" s="1226"/>
      <c r="AD542" s="1226"/>
      <c r="AE542" s="1226"/>
      <c r="AF542" s="1226"/>
      <c r="AG542" s="1226"/>
      <c r="AH542" s="1226"/>
      <c r="AI542" s="841"/>
      <c r="AJ542" s="841"/>
      <c r="AK542" s="841"/>
      <c r="AL542" s="841"/>
      <c r="AM542" s="841"/>
      <c r="AN542" s="841"/>
      <c r="AO542" s="841"/>
      <c r="AP542" s="841"/>
      <c r="AQ542" s="841"/>
      <c r="AR542" s="841"/>
      <c r="AS542" s="842"/>
    </row>
    <row r="543" spans="1:45">
      <c r="A543" s="841"/>
      <c r="B543" s="841"/>
      <c r="C543" s="841"/>
      <c r="D543" s="841"/>
      <c r="E543" s="841"/>
      <c r="F543" s="841"/>
      <c r="G543" s="841"/>
      <c r="H543" s="841"/>
      <c r="I543" s="841"/>
      <c r="J543" s="841"/>
      <c r="K543" s="841"/>
      <c r="L543" s="841"/>
      <c r="M543" s="841"/>
      <c r="N543" s="841"/>
      <c r="O543" s="841"/>
      <c r="P543" s="841"/>
      <c r="Q543" s="841"/>
      <c r="R543" s="841"/>
      <c r="S543" s="841"/>
      <c r="T543" s="841"/>
      <c r="U543" s="841"/>
      <c r="V543" s="841"/>
      <c r="W543" s="841"/>
      <c r="X543" s="841"/>
      <c r="Y543" s="841"/>
      <c r="Z543" s="1226"/>
      <c r="AA543" s="1226"/>
      <c r="AB543" s="1226"/>
      <c r="AC543" s="1226"/>
      <c r="AD543" s="1226"/>
      <c r="AE543" s="1226"/>
      <c r="AF543" s="1226"/>
      <c r="AG543" s="1226"/>
      <c r="AH543" s="1226"/>
      <c r="AI543" s="841"/>
      <c r="AJ543" s="841"/>
      <c r="AK543" s="841"/>
      <c r="AL543" s="841"/>
      <c r="AM543" s="841"/>
      <c r="AN543" s="841"/>
      <c r="AO543" s="841"/>
      <c r="AP543" s="841"/>
      <c r="AQ543" s="841"/>
      <c r="AR543" s="841"/>
      <c r="AS543" s="842"/>
    </row>
    <row r="544" spans="1:45">
      <c r="A544" s="841"/>
      <c r="B544" s="841"/>
      <c r="C544" s="841"/>
      <c r="D544" s="841"/>
      <c r="E544" s="841"/>
      <c r="F544" s="841"/>
      <c r="G544" s="841"/>
      <c r="H544" s="841"/>
      <c r="I544" s="841"/>
      <c r="J544" s="841"/>
      <c r="K544" s="841"/>
      <c r="L544" s="841"/>
      <c r="M544" s="841"/>
      <c r="N544" s="841"/>
      <c r="O544" s="841"/>
      <c r="P544" s="841"/>
      <c r="Q544" s="841"/>
      <c r="R544" s="841"/>
      <c r="S544" s="841"/>
      <c r="T544" s="841"/>
      <c r="U544" s="841"/>
      <c r="V544" s="841"/>
      <c r="W544" s="841"/>
      <c r="X544" s="841"/>
      <c r="Y544" s="841"/>
      <c r="Z544" s="1226"/>
      <c r="AA544" s="1226"/>
      <c r="AB544" s="1226"/>
      <c r="AC544" s="1226"/>
      <c r="AD544" s="1226"/>
      <c r="AE544" s="1226"/>
      <c r="AF544" s="1226"/>
      <c r="AG544" s="1226"/>
      <c r="AH544" s="1226"/>
      <c r="AI544" s="841"/>
      <c r="AJ544" s="841"/>
      <c r="AK544" s="841"/>
      <c r="AL544" s="841"/>
      <c r="AM544" s="841"/>
      <c r="AN544" s="841"/>
      <c r="AO544" s="841"/>
      <c r="AP544" s="841"/>
      <c r="AQ544" s="841"/>
      <c r="AR544" s="841"/>
      <c r="AS544" s="842"/>
    </row>
    <row r="545" spans="1:45">
      <c r="A545" s="841"/>
      <c r="B545" s="841"/>
      <c r="C545" s="841"/>
      <c r="D545" s="841"/>
      <c r="E545" s="841"/>
      <c r="F545" s="841"/>
      <c r="G545" s="841"/>
      <c r="H545" s="841"/>
      <c r="I545" s="841"/>
      <c r="J545" s="841"/>
      <c r="K545" s="841"/>
      <c r="L545" s="841"/>
      <c r="M545" s="841"/>
      <c r="N545" s="841"/>
      <c r="O545" s="841"/>
      <c r="P545" s="841"/>
      <c r="Q545" s="841"/>
      <c r="R545" s="841"/>
      <c r="S545" s="841"/>
      <c r="T545" s="841"/>
      <c r="U545" s="841"/>
      <c r="V545" s="841"/>
      <c r="W545" s="841"/>
      <c r="X545" s="841"/>
      <c r="Y545" s="841"/>
      <c r="Z545" s="1226"/>
      <c r="AA545" s="1226"/>
      <c r="AB545" s="1226"/>
      <c r="AC545" s="1226"/>
      <c r="AD545" s="1226"/>
      <c r="AE545" s="1226"/>
      <c r="AF545" s="1226"/>
      <c r="AG545" s="1226"/>
      <c r="AH545" s="1226"/>
      <c r="AI545" s="841"/>
      <c r="AJ545" s="841"/>
      <c r="AK545" s="841"/>
      <c r="AL545" s="841"/>
      <c r="AM545" s="841"/>
      <c r="AN545" s="841"/>
      <c r="AO545" s="841"/>
      <c r="AP545" s="841"/>
      <c r="AQ545" s="841"/>
      <c r="AR545" s="841"/>
      <c r="AS545" s="842"/>
    </row>
    <row r="546" spans="1:45">
      <c r="A546" s="841"/>
      <c r="B546" s="841"/>
      <c r="C546" s="841"/>
      <c r="D546" s="841"/>
      <c r="E546" s="841"/>
      <c r="F546" s="841"/>
      <c r="G546" s="841"/>
      <c r="H546" s="841"/>
      <c r="I546" s="841"/>
      <c r="J546" s="841"/>
      <c r="K546" s="841"/>
      <c r="L546" s="841"/>
      <c r="M546" s="841"/>
      <c r="N546" s="841"/>
      <c r="O546" s="841"/>
      <c r="P546" s="841"/>
      <c r="Q546" s="841"/>
      <c r="R546" s="841"/>
      <c r="S546" s="841"/>
      <c r="T546" s="841"/>
      <c r="U546" s="841"/>
      <c r="V546" s="841"/>
      <c r="W546" s="841"/>
      <c r="X546" s="841"/>
      <c r="Y546" s="841"/>
      <c r="Z546" s="1226"/>
      <c r="AA546" s="1226"/>
      <c r="AB546" s="1226"/>
      <c r="AC546" s="1226"/>
      <c r="AD546" s="1226"/>
      <c r="AE546" s="1226"/>
      <c r="AF546" s="1226"/>
      <c r="AG546" s="1226"/>
      <c r="AH546" s="1226"/>
      <c r="AI546" s="841"/>
      <c r="AJ546" s="841"/>
      <c r="AK546" s="841"/>
      <c r="AL546" s="841"/>
      <c r="AM546" s="841"/>
      <c r="AN546" s="841"/>
      <c r="AO546" s="841"/>
      <c r="AP546" s="841"/>
      <c r="AQ546" s="841"/>
      <c r="AR546" s="841"/>
      <c r="AS546" s="842"/>
    </row>
    <row r="547" spans="1:45">
      <c r="A547" s="841"/>
      <c r="B547" s="841"/>
      <c r="C547" s="841"/>
      <c r="D547" s="841"/>
      <c r="E547" s="841"/>
      <c r="F547" s="841"/>
      <c r="G547" s="841"/>
      <c r="H547" s="841"/>
      <c r="I547" s="841"/>
      <c r="J547" s="841"/>
      <c r="K547" s="841"/>
      <c r="L547" s="841"/>
      <c r="M547" s="841"/>
      <c r="N547" s="841"/>
      <c r="O547" s="841"/>
      <c r="P547" s="841"/>
      <c r="Q547" s="841"/>
      <c r="R547" s="841"/>
      <c r="S547" s="841"/>
      <c r="T547" s="841"/>
      <c r="U547" s="841"/>
      <c r="V547" s="841"/>
      <c r="W547" s="841"/>
      <c r="X547" s="841"/>
      <c r="Y547" s="841"/>
      <c r="Z547" s="1226"/>
      <c r="AA547" s="1226"/>
      <c r="AB547" s="1226"/>
      <c r="AC547" s="1226"/>
      <c r="AD547" s="1226"/>
      <c r="AE547" s="1226"/>
      <c r="AF547" s="1226"/>
      <c r="AG547" s="1226"/>
      <c r="AH547" s="1226"/>
      <c r="AI547" s="841"/>
      <c r="AJ547" s="841"/>
      <c r="AK547" s="841"/>
      <c r="AL547" s="841"/>
      <c r="AM547" s="841"/>
      <c r="AN547" s="841"/>
      <c r="AO547" s="841"/>
      <c r="AP547" s="841"/>
      <c r="AQ547" s="841"/>
      <c r="AR547" s="841"/>
      <c r="AS547" s="842"/>
    </row>
    <row r="548" spans="1:45">
      <c r="A548" s="841"/>
      <c r="B548" s="841"/>
      <c r="C548" s="841"/>
      <c r="D548" s="841"/>
      <c r="E548" s="841"/>
      <c r="F548" s="841"/>
      <c r="G548" s="841"/>
      <c r="H548" s="841"/>
      <c r="I548" s="841"/>
      <c r="J548" s="841"/>
      <c r="K548" s="841"/>
      <c r="L548" s="841"/>
      <c r="M548" s="841"/>
      <c r="N548" s="841"/>
      <c r="O548" s="841"/>
      <c r="P548" s="841"/>
      <c r="Q548" s="841"/>
      <c r="R548" s="841"/>
      <c r="S548" s="841"/>
      <c r="T548" s="841"/>
      <c r="U548" s="841"/>
      <c r="V548" s="841"/>
      <c r="W548" s="841"/>
      <c r="X548" s="841"/>
      <c r="Y548" s="841"/>
      <c r="Z548" s="1226"/>
      <c r="AA548" s="1226"/>
      <c r="AB548" s="1226"/>
      <c r="AC548" s="1226"/>
      <c r="AD548" s="1226"/>
      <c r="AE548" s="1226"/>
      <c r="AF548" s="1226"/>
      <c r="AG548" s="1226"/>
      <c r="AH548" s="1226"/>
      <c r="AI548" s="841"/>
      <c r="AJ548" s="841"/>
      <c r="AK548" s="841"/>
      <c r="AL548" s="841"/>
      <c r="AM548" s="841"/>
      <c r="AN548" s="841"/>
      <c r="AO548" s="841"/>
      <c r="AP548" s="841"/>
      <c r="AQ548" s="841"/>
      <c r="AR548" s="841"/>
      <c r="AS548" s="842"/>
    </row>
    <row r="549" spans="1:45">
      <c r="A549" s="841"/>
      <c r="B549" s="841"/>
      <c r="C549" s="841"/>
      <c r="D549" s="841"/>
      <c r="E549" s="841"/>
      <c r="F549" s="841"/>
      <c r="G549" s="841"/>
      <c r="H549" s="841"/>
      <c r="I549" s="841"/>
      <c r="J549" s="841"/>
      <c r="K549" s="841"/>
      <c r="L549" s="841"/>
      <c r="M549" s="841"/>
      <c r="N549" s="841"/>
      <c r="O549" s="841"/>
      <c r="P549" s="841"/>
      <c r="Q549" s="841"/>
      <c r="R549" s="841"/>
      <c r="S549" s="841"/>
      <c r="T549" s="841"/>
      <c r="U549" s="841"/>
      <c r="V549" s="841"/>
      <c r="W549" s="841"/>
      <c r="X549" s="841"/>
      <c r="Y549" s="841"/>
      <c r="Z549" s="1226"/>
      <c r="AA549" s="1226"/>
      <c r="AB549" s="1226"/>
      <c r="AC549" s="1226"/>
      <c r="AD549" s="1226"/>
      <c r="AE549" s="1226"/>
      <c r="AF549" s="1226"/>
      <c r="AG549" s="1226"/>
      <c r="AH549" s="1226"/>
      <c r="AI549" s="841"/>
      <c r="AJ549" s="841"/>
      <c r="AK549" s="841"/>
      <c r="AL549" s="841"/>
      <c r="AM549" s="841"/>
      <c r="AN549" s="841"/>
      <c r="AO549" s="841"/>
      <c r="AP549" s="841"/>
      <c r="AQ549" s="841"/>
      <c r="AR549" s="841"/>
      <c r="AS549" s="842"/>
    </row>
    <row r="550" spans="1:45">
      <c r="A550" s="841"/>
      <c r="B550" s="841"/>
      <c r="C550" s="841"/>
      <c r="D550" s="841"/>
      <c r="E550" s="841"/>
      <c r="F550" s="841"/>
      <c r="G550" s="841"/>
      <c r="H550" s="841"/>
      <c r="I550" s="841"/>
      <c r="J550" s="841"/>
      <c r="K550" s="841"/>
      <c r="L550" s="841"/>
      <c r="M550" s="841"/>
      <c r="N550" s="841"/>
      <c r="O550" s="841"/>
      <c r="P550" s="841"/>
      <c r="Q550" s="841"/>
      <c r="R550" s="841"/>
      <c r="S550" s="841"/>
      <c r="T550" s="841"/>
      <c r="U550" s="841"/>
      <c r="V550" s="841"/>
      <c r="W550" s="841"/>
      <c r="X550" s="841"/>
      <c r="Y550" s="841"/>
      <c r="Z550" s="1226"/>
      <c r="AA550" s="1226"/>
      <c r="AB550" s="1226"/>
      <c r="AC550" s="1226"/>
      <c r="AD550" s="1226"/>
      <c r="AE550" s="1226"/>
      <c r="AF550" s="1226"/>
      <c r="AG550" s="1226"/>
      <c r="AH550" s="1226"/>
      <c r="AI550" s="841"/>
      <c r="AJ550" s="841"/>
      <c r="AK550" s="841"/>
      <c r="AL550" s="841"/>
      <c r="AM550" s="841"/>
      <c r="AN550" s="841"/>
      <c r="AO550" s="841"/>
      <c r="AP550" s="841"/>
      <c r="AQ550" s="841"/>
      <c r="AR550" s="841"/>
      <c r="AS550" s="842"/>
    </row>
    <row r="551" spans="1:45">
      <c r="A551" s="841"/>
      <c r="B551" s="841"/>
      <c r="C551" s="841"/>
      <c r="D551" s="841"/>
      <c r="E551" s="841"/>
      <c r="F551" s="841"/>
      <c r="G551" s="841"/>
      <c r="H551" s="841"/>
      <c r="I551" s="841"/>
      <c r="J551" s="841"/>
      <c r="K551" s="841"/>
      <c r="L551" s="841"/>
      <c r="M551" s="841"/>
      <c r="N551" s="841"/>
      <c r="O551" s="841"/>
      <c r="P551" s="841"/>
      <c r="Q551" s="841"/>
      <c r="R551" s="841"/>
      <c r="S551" s="841"/>
      <c r="T551" s="841"/>
      <c r="U551" s="841"/>
      <c r="V551" s="841"/>
      <c r="W551" s="841"/>
      <c r="X551" s="841"/>
      <c r="Y551" s="841"/>
      <c r="Z551" s="1226"/>
      <c r="AA551" s="1226"/>
      <c r="AB551" s="1226"/>
      <c r="AC551" s="1226"/>
      <c r="AD551" s="1226"/>
      <c r="AE551" s="1226"/>
      <c r="AF551" s="1226"/>
      <c r="AG551" s="1226"/>
      <c r="AH551" s="1226"/>
      <c r="AI551" s="841"/>
      <c r="AJ551" s="841"/>
      <c r="AK551" s="841"/>
      <c r="AL551" s="841"/>
      <c r="AM551" s="841"/>
      <c r="AN551" s="841"/>
      <c r="AO551" s="841"/>
      <c r="AP551" s="841"/>
      <c r="AQ551" s="841"/>
      <c r="AR551" s="841"/>
      <c r="AS551" s="842"/>
    </row>
    <row r="552" spans="1:45">
      <c r="A552" s="841"/>
      <c r="B552" s="841"/>
      <c r="C552" s="841"/>
      <c r="D552" s="841"/>
      <c r="E552" s="841"/>
      <c r="F552" s="841"/>
      <c r="G552" s="841"/>
      <c r="H552" s="841"/>
      <c r="I552" s="841"/>
      <c r="J552" s="841"/>
      <c r="K552" s="841"/>
      <c r="L552" s="841"/>
      <c r="M552" s="841"/>
      <c r="N552" s="841"/>
      <c r="O552" s="841"/>
      <c r="P552" s="841"/>
      <c r="Q552" s="841"/>
      <c r="R552" s="841"/>
      <c r="S552" s="841"/>
      <c r="T552" s="841"/>
      <c r="U552" s="841"/>
      <c r="V552" s="841"/>
      <c r="W552" s="841"/>
      <c r="X552" s="841"/>
      <c r="Y552" s="841"/>
      <c r="Z552" s="1226"/>
      <c r="AA552" s="1226"/>
      <c r="AB552" s="1226"/>
      <c r="AC552" s="1226"/>
      <c r="AD552" s="1226"/>
      <c r="AE552" s="1226"/>
      <c r="AF552" s="1226"/>
      <c r="AG552" s="1226"/>
      <c r="AH552" s="1226"/>
      <c r="AI552" s="841"/>
      <c r="AJ552" s="841"/>
      <c r="AK552" s="841"/>
      <c r="AL552" s="841"/>
      <c r="AM552" s="841"/>
      <c r="AN552" s="841"/>
      <c r="AO552" s="841"/>
      <c r="AP552" s="841"/>
      <c r="AQ552" s="841"/>
      <c r="AR552" s="841"/>
      <c r="AS552" s="842"/>
    </row>
    <row r="553" spans="1:45">
      <c r="A553" s="841"/>
      <c r="B553" s="841"/>
      <c r="C553" s="841"/>
      <c r="D553" s="841"/>
      <c r="E553" s="841"/>
      <c r="F553" s="841"/>
      <c r="G553" s="841"/>
      <c r="H553" s="841"/>
      <c r="I553" s="841"/>
      <c r="J553" s="841"/>
      <c r="K553" s="841"/>
      <c r="L553" s="841"/>
      <c r="M553" s="841"/>
      <c r="N553" s="841"/>
      <c r="O553" s="841"/>
      <c r="P553" s="841"/>
      <c r="Q553" s="841"/>
      <c r="R553" s="841"/>
      <c r="S553" s="841"/>
      <c r="T553" s="841"/>
      <c r="U553" s="841"/>
      <c r="V553" s="841"/>
      <c r="W553" s="841"/>
      <c r="X553" s="841"/>
      <c r="Y553" s="841"/>
      <c r="Z553" s="1226"/>
      <c r="AA553" s="1226"/>
      <c r="AB553" s="1226"/>
      <c r="AC553" s="1226"/>
      <c r="AD553" s="1226"/>
      <c r="AE553" s="1226"/>
      <c r="AF553" s="1226"/>
      <c r="AG553" s="1226"/>
      <c r="AH553" s="1226"/>
      <c r="AI553" s="841"/>
      <c r="AJ553" s="841"/>
      <c r="AK553" s="841"/>
      <c r="AL553" s="841"/>
      <c r="AM553" s="841"/>
      <c r="AN553" s="841"/>
      <c r="AO553" s="841"/>
      <c r="AP553" s="841"/>
      <c r="AQ553" s="841"/>
      <c r="AR553" s="841"/>
      <c r="AS553" s="842"/>
    </row>
    <row r="554" spans="1:45">
      <c r="A554" s="841"/>
      <c r="B554" s="841"/>
      <c r="C554" s="841"/>
      <c r="D554" s="841"/>
      <c r="E554" s="841"/>
      <c r="F554" s="841"/>
      <c r="G554" s="841"/>
      <c r="H554" s="841"/>
      <c r="I554" s="841"/>
      <c r="J554" s="841"/>
      <c r="K554" s="841"/>
      <c r="L554" s="841"/>
      <c r="M554" s="841"/>
      <c r="N554" s="841"/>
      <c r="O554" s="841"/>
      <c r="P554" s="841"/>
      <c r="Q554" s="841"/>
      <c r="R554" s="841"/>
      <c r="S554" s="841"/>
      <c r="T554" s="841"/>
      <c r="U554" s="841"/>
      <c r="V554" s="841"/>
      <c r="W554" s="841"/>
      <c r="X554" s="841"/>
      <c r="Y554" s="841"/>
      <c r="Z554" s="1226"/>
      <c r="AA554" s="1226"/>
      <c r="AB554" s="1226"/>
      <c r="AC554" s="1226"/>
      <c r="AD554" s="1226"/>
      <c r="AE554" s="1226"/>
      <c r="AF554" s="1226"/>
      <c r="AG554" s="1226"/>
      <c r="AH554" s="1226"/>
      <c r="AI554" s="841"/>
      <c r="AJ554" s="841"/>
      <c r="AK554" s="841"/>
      <c r="AL554" s="841"/>
      <c r="AM554" s="841"/>
      <c r="AN554" s="841"/>
      <c r="AO554" s="841"/>
      <c r="AP554" s="841"/>
      <c r="AQ554" s="841"/>
      <c r="AR554" s="841"/>
      <c r="AS554" s="842"/>
    </row>
    <row r="555" spans="1:45">
      <c r="A555" s="841"/>
      <c r="B555" s="841"/>
      <c r="C555" s="841"/>
      <c r="D555" s="841"/>
      <c r="E555" s="841"/>
      <c r="F555" s="841"/>
      <c r="G555" s="841"/>
      <c r="H555" s="841"/>
      <c r="I555" s="841"/>
      <c r="J555" s="841"/>
      <c r="K555" s="841"/>
      <c r="L555" s="841"/>
      <c r="M555" s="841"/>
      <c r="N555" s="841"/>
      <c r="O555" s="841"/>
      <c r="P555" s="841"/>
      <c r="Q555" s="841"/>
      <c r="R555" s="841"/>
      <c r="S555" s="841"/>
      <c r="T555" s="841"/>
      <c r="U555" s="841"/>
      <c r="V555" s="841"/>
      <c r="W555" s="841"/>
      <c r="X555" s="841"/>
      <c r="Y555" s="841"/>
      <c r="Z555" s="1226"/>
      <c r="AA555" s="1226"/>
      <c r="AB555" s="1226"/>
      <c r="AC555" s="1226"/>
      <c r="AD555" s="1226"/>
      <c r="AE555" s="1226"/>
      <c r="AF555" s="1226"/>
      <c r="AG555" s="1226"/>
      <c r="AH555" s="1226"/>
      <c r="AI555" s="841"/>
      <c r="AJ555" s="841"/>
      <c r="AK555" s="841"/>
      <c r="AL555" s="841"/>
      <c r="AM555" s="841"/>
      <c r="AN555" s="841"/>
      <c r="AO555" s="841"/>
      <c r="AP555" s="841"/>
      <c r="AQ555" s="841"/>
      <c r="AR555" s="841"/>
      <c r="AS555" s="842"/>
    </row>
    <row r="556" spans="1:45">
      <c r="A556" s="841"/>
      <c r="B556" s="841"/>
      <c r="C556" s="841"/>
      <c r="D556" s="841"/>
      <c r="E556" s="841"/>
      <c r="F556" s="841"/>
      <c r="G556" s="841"/>
      <c r="H556" s="841"/>
      <c r="I556" s="841"/>
      <c r="J556" s="841"/>
      <c r="K556" s="841"/>
      <c r="L556" s="841"/>
      <c r="M556" s="841"/>
      <c r="N556" s="841"/>
      <c r="O556" s="841"/>
      <c r="P556" s="841"/>
      <c r="Q556" s="841"/>
      <c r="R556" s="841"/>
      <c r="S556" s="841"/>
      <c r="T556" s="841"/>
      <c r="U556" s="841"/>
      <c r="V556" s="841"/>
      <c r="W556" s="841"/>
      <c r="X556" s="841"/>
      <c r="Y556" s="841"/>
      <c r="Z556" s="1226"/>
      <c r="AA556" s="1226"/>
      <c r="AB556" s="1226"/>
      <c r="AC556" s="1226"/>
      <c r="AD556" s="1226"/>
      <c r="AE556" s="1226"/>
      <c r="AF556" s="1226"/>
      <c r="AG556" s="1226"/>
      <c r="AH556" s="1226"/>
      <c r="AI556" s="841"/>
      <c r="AJ556" s="841"/>
      <c r="AK556" s="841"/>
      <c r="AL556" s="841"/>
      <c r="AM556" s="841"/>
      <c r="AN556" s="841"/>
      <c r="AO556" s="841"/>
      <c r="AP556" s="841"/>
      <c r="AQ556" s="841"/>
      <c r="AR556" s="841"/>
      <c r="AS556" s="842"/>
    </row>
    <row r="557" spans="1:45">
      <c r="A557" s="841"/>
      <c r="B557" s="841"/>
      <c r="C557" s="841"/>
      <c r="D557" s="841"/>
      <c r="E557" s="841"/>
      <c r="F557" s="841"/>
      <c r="G557" s="841"/>
      <c r="H557" s="841"/>
      <c r="I557" s="841"/>
      <c r="J557" s="841"/>
      <c r="K557" s="841"/>
      <c r="L557" s="841"/>
      <c r="M557" s="841"/>
      <c r="N557" s="841"/>
      <c r="O557" s="841"/>
      <c r="P557" s="841"/>
      <c r="Q557" s="841"/>
      <c r="R557" s="841"/>
      <c r="S557" s="841"/>
      <c r="T557" s="841"/>
      <c r="U557" s="841"/>
      <c r="V557" s="841"/>
      <c r="W557" s="841"/>
      <c r="X557" s="841"/>
      <c r="Y557" s="841"/>
      <c r="Z557" s="1226"/>
      <c r="AA557" s="1226"/>
      <c r="AB557" s="1226"/>
      <c r="AC557" s="1226"/>
      <c r="AD557" s="1226"/>
      <c r="AE557" s="1226"/>
      <c r="AF557" s="1226"/>
      <c r="AG557" s="1226"/>
      <c r="AH557" s="1226"/>
      <c r="AI557" s="841"/>
      <c r="AJ557" s="841"/>
      <c r="AK557" s="841"/>
      <c r="AL557" s="841"/>
      <c r="AM557" s="841"/>
      <c r="AN557" s="841"/>
      <c r="AO557" s="841"/>
      <c r="AP557" s="841"/>
      <c r="AQ557" s="841"/>
      <c r="AR557" s="841"/>
      <c r="AS557" s="842"/>
    </row>
    <row r="558" spans="1:45">
      <c r="A558" s="841"/>
      <c r="B558" s="841"/>
      <c r="C558" s="841"/>
      <c r="D558" s="841"/>
      <c r="E558" s="841"/>
      <c r="F558" s="841"/>
      <c r="G558" s="841"/>
      <c r="H558" s="841"/>
      <c r="I558" s="841"/>
      <c r="J558" s="841"/>
      <c r="K558" s="841"/>
      <c r="L558" s="841"/>
      <c r="M558" s="841"/>
      <c r="N558" s="841"/>
      <c r="O558" s="841"/>
      <c r="P558" s="841"/>
      <c r="Q558" s="841"/>
      <c r="R558" s="841"/>
      <c r="S558" s="841"/>
      <c r="T558" s="841"/>
      <c r="U558" s="841"/>
      <c r="V558" s="841"/>
      <c r="W558" s="841"/>
      <c r="X558" s="841"/>
      <c r="Y558" s="841"/>
      <c r="Z558" s="1226"/>
      <c r="AA558" s="1226"/>
      <c r="AB558" s="1226"/>
      <c r="AC558" s="1226"/>
      <c r="AD558" s="1226"/>
      <c r="AE558" s="1226"/>
      <c r="AF558" s="1226"/>
      <c r="AG558" s="1226"/>
      <c r="AH558" s="1226"/>
      <c r="AI558" s="841"/>
      <c r="AJ558" s="841"/>
      <c r="AK558" s="841"/>
      <c r="AL558" s="841"/>
      <c r="AM558" s="841"/>
      <c r="AN558" s="841"/>
      <c r="AO558" s="841"/>
      <c r="AP558" s="841"/>
      <c r="AQ558" s="841"/>
      <c r="AR558" s="841"/>
      <c r="AS558" s="842"/>
    </row>
    <row r="559" spans="1:45">
      <c r="A559" s="841"/>
      <c r="B559" s="841"/>
      <c r="C559" s="841"/>
      <c r="D559" s="841"/>
      <c r="E559" s="841"/>
      <c r="F559" s="841"/>
      <c r="G559" s="841"/>
      <c r="H559" s="841"/>
      <c r="I559" s="841"/>
      <c r="J559" s="841"/>
      <c r="K559" s="841"/>
      <c r="L559" s="841"/>
      <c r="M559" s="841"/>
      <c r="N559" s="841"/>
      <c r="O559" s="841"/>
      <c r="P559" s="841"/>
      <c r="Q559" s="841"/>
      <c r="R559" s="841"/>
      <c r="S559" s="841"/>
      <c r="T559" s="841"/>
      <c r="U559" s="841"/>
      <c r="V559" s="841"/>
      <c r="W559" s="841"/>
      <c r="X559" s="841"/>
      <c r="Y559" s="841"/>
      <c r="Z559" s="1226"/>
      <c r="AA559" s="1226"/>
      <c r="AB559" s="1226"/>
      <c r="AC559" s="1226"/>
      <c r="AD559" s="1226"/>
      <c r="AE559" s="1226"/>
      <c r="AF559" s="1226"/>
      <c r="AG559" s="1226"/>
      <c r="AH559" s="1226"/>
      <c r="AI559" s="841"/>
      <c r="AJ559" s="841"/>
      <c r="AK559" s="841"/>
      <c r="AL559" s="841"/>
      <c r="AM559" s="841"/>
      <c r="AN559" s="841"/>
      <c r="AO559" s="841"/>
      <c r="AP559" s="841"/>
      <c r="AQ559" s="841"/>
      <c r="AR559" s="841"/>
      <c r="AS559" s="842"/>
    </row>
    <row r="560" spans="1:45">
      <c r="A560" s="841"/>
      <c r="B560" s="841"/>
      <c r="C560" s="841"/>
      <c r="D560" s="841"/>
      <c r="E560" s="841"/>
      <c r="F560" s="841"/>
      <c r="G560" s="841"/>
      <c r="H560" s="841"/>
      <c r="I560" s="841"/>
      <c r="J560" s="841"/>
      <c r="K560" s="841"/>
      <c r="L560" s="841"/>
      <c r="M560" s="841"/>
      <c r="N560" s="841"/>
      <c r="O560" s="841"/>
      <c r="P560" s="841"/>
      <c r="Q560" s="841"/>
      <c r="R560" s="841"/>
      <c r="S560" s="841"/>
      <c r="T560" s="841"/>
      <c r="U560" s="841"/>
      <c r="V560" s="841"/>
      <c r="W560" s="841"/>
      <c r="X560" s="841"/>
      <c r="Y560" s="841"/>
      <c r="Z560" s="1226"/>
      <c r="AA560" s="1226"/>
      <c r="AB560" s="1226"/>
      <c r="AC560" s="1226"/>
      <c r="AD560" s="1226"/>
      <c r="AE560" s="1226"/>
      <c r="AF560" s="1226"/>
      <c r="AG560" s="1226"/>
      <c r="AH560" s="1226"/>
      <c r="AI560" s="841"/>
      <c r="AJ560" s="841"/>
      <c r="AK560" s="841"/>
      <c r="AL560" s="841"/>
      <c r="AM560" s="841"/>
      <c r="AN560" s="841"/>
      <c r="AO560" s="841"/>
      <c r="AP560" s="841"/>
      <c r="AQ560" s="841"/>
      <c r="AR560" s="841"/>
      <c r="AS560" s="842"/>
    </row>
    <row r="561" spans="1:45">
      <c r="A561" s="841"/>
      <c r="B561" s="841"/>
      <c r="C561" s="841"/>
      <c r="D561" s="841"/>
      <c r="E561" s="841"/>
      <c r="F561" s="841"/>
      <c r="G561" s="841"/>
      <c r="H561" s="841"/>
      <c r="I561" s="841"/>
      <c r="J561" s="841"/>
      <c r="K561" s="841"/>
      <c r="L561" s="841"/>
      <c r="M561" s="841"/>
      <c r="N561" s="841"/>
      <c r="O561" s="841"/>
      <c r="P561" s="841"/>
      <c r="Q561" s="841"/>
      <c r="R561" s="841"/>
      <c r="S561" s="841"/>
      <c r="T561" s="841"/>
      <c r="U561" s="841"/>
      <c r="V561" s="841"/>
      <c r="W561" s="841"/>
      <c r="X561" s="841"/>
      <c r="Y561" s="841"/>
      <c r="Z561" s="1226"/>
      <c r="AA561" s="1226"/>
      <c r="AB561" s="1226"/>
      <c r="AC561" s="1226"/>
      <c r="AD561" s="1226"/>
      <c r="AE561" s="1226"/>
      <c r="AF561" s="1226"/>
      <c r="AG561" s="1226"/>
      <c r="AH561" s="1226"/>
      <c r="AI561" s="841"/>
      <c r="AJ561" s="841"/>
      <c r="AK561" s="841"/>
      <c r="AL561" s="841"/>
      <c r="AM561" s="841"/>
      <c r="AN561" s="841"/>
      <c r="AO561" s="841"/>
      <c r="AP561" s="841"/>
      <c r="AQ561" s="841"/>
      <c r="AR561" s="841"/>
      <c r="AS561" s="842"/>
    </row>
    <row r="562" spans="1:45">
      <c r="A562" s="841"/>
      <c r="B562" s="841"/>
      <c r="C562" s="841"/>
      <c r="D562" s="841"/>
      <c r="E562" s="841"/>
      <c r="F562" s="841"/>
      <c r="G562" s="841"/>
      <c r="H562" s="841"/>
      <c r="I562" s="841"/>
      <c r="J562" s="841"/>
      <c r="K562" s="841"/>
      <c r="L562" s="841"/>
      <c r="M562" s="841"/>
      <c r="N562" s="841"/>
      <c r="O562" s="841"/>
      <c r="P562" s="841"/>
      <c r="Q562" s="841"/>
      <c r="R562" s="841"/>
      <c r="S562" s="841"/>
      <c r="T562" s="841"/>
      <c r="U562" s="841"/>
      <c r="V562" s="841"/>
      <c r="W562" s="841"/>
      <c r="X562" s="841"/>
      <c r="Y562" s="841"/>
      <c r="Z562" s="1226"/>
      <c r="AA562" s="1226"/>
      <c r="AB562" s="1226"/>
      <c r="AC562" s="1226"/>
      <c r="AD562" s="1226"/>
      <c r="AE562" s="1226"/>
      <c r="AF562" s="1226"/>
      <c r="AG562" s="1226"/>
      <c r="AH562" s="1226"/>
      <c r="AI562" s="841"/>
      <c r="AJ562" s="841"/>
      <c r="AK562" s="841"/>
      <c r="AL562" s="841"/>
      <c r="AM562" s="841"/>
      <c r="AN562" s="841"/>
      <c r="AO562" s="841"/>
      <c r="AP562" s="841"/>
      <c r="AQ562" s="841"/>
      <c r="AR562" s="841"/>
      <c r="AS562" s="842"/>
    </row>
    <row r="563" spans="1:45">
      <c r="A563" s="841"/>
      <c r="B563" s="841"/>
      <c r="C563" s="841"/>
      <c r="D563" s="841"/>
      <c r="E563" s="841"/>
      <c r="F563" s="841"/>
      <c r="G563" s="841"/>
      <c r="H563" s="841"/>
      <c r="I563" s="841"/>
      <c r="J563" s="841"/>
      <c r="K563" s="841"/>
      <c r="L563" s="841"/>
      <c r="M563" s="841"/>
      <c r="N563" s="841"/>
      <c r="O563" s="841"/>
      <c r="P563" s="841"/>
      <c r="Q563" s="841"/>
      <c r="R563" s="841"/>
      <c r="S563" s="841"/>
      <c r="T563" s="841"/>
      <c r="U563" s="841"/>
      <c r="V563" s="841"/>
      <c r="W563" s="841"/>
      <c r="X563" s="841"/>
      <c r="Y563" s="841"/>
      <c r="Z563" s="1226"/>
      <c r="AA563" s="1226"/>
      <c r="AB563" s="1226"/>
      <c r="AC563" s="1226"/>
      <c r="AD563" s="1226"/>
      <c r="AE563" s="1226"/>
      <c r="AF563" s="1226"/>
      <c r="AG563" s="1226"/>
      <c r="AH563" s="1226"/>
      <c r="AI563" s="841"/>
      <c r="AJ563" s="841"/>
      <c r="AK563" s="841"/>
      <c r="AL563" s="841"/>
      <c r="AM563" s="841"/>
      <c r="AN563" s="841"/>
      <c r="AO563" s="841"/>
      <c r="AP563" s="841"/>
      <c r="AQ563" s="841"/>
      <c r="AR563" s="841"/>
      <c r="AS563" s="842"/>
    </row>
    <row r="564" spans="1:45">
      <c r="A564" s="841"/>
      <c r="B564" s="841"/>
      <c r="C564" s="841"/>
      <c r="D564" s="841"/>
      <c r="E564" s="841"/>
      <c r="F564" s="841"/>
      <c r="G564" s="841"/>
      <c r="H564" s="841"/>
      <c r="I564" s="841"/>
      <c r="J564" s="841"/>
      <c r="K564" s="841"/>
      <c r="L564" s="841"/>
      <c r="M564" s="841"/>
      <c r="N564" s="841"/>
      <c r="O564" s="841"/>
      <c r="P564" s="841"/>
      <c r="Q564" s="841"/>
      <c r="R564" s="841"/>
      <c r="S564" s="841"/>
      <c r="T564" s="841"/>
      <c r="U564" s="841"/>
      <c r="V564" s="841"/>
      <c r="W564" s="841"/>
      <c r="X564" s="841"/>
      <c r="Y564" s="841"/>
      <c r="Z564" s="1226"/>
      <c r="AA564" s="1226"/>
      <c r="AB564" s="1226"/>
      <c r="AC564" s="1226"/>
      <c r="AD564" s="1226"/>
      <c r="AE564" s="1226"/>
      <c r="AF564" s="1226"/>
      <c r="AG564" s="1226"/>
      <c r="AH564" s="1226"/>
      <c r="AI564" s="841"/>
      <c r="AJ564" s="841"/>
      <c r="AK564" s="841"/>
      <c r="AL564" s="841"/>
      <c r="AM564" s="841"/>
      <c r="AN564" s="841"/>
      <c r="AO564" s="841"/>
      <c r="AP564" s="841"/>
      <c r="AQ564" s="841"/>
      <c r="AR564" s="841"/>
      <c r="AS564" s="842"/>
    </row>
    <row r="565" spans="1:45">
      <c r="A565" s="841"/>
      <c r="B565" s="841"/>
      <c r="C565" s="841"/>
      <c r="D565" s="841"/>
      <c r="E565" s="841"/>
      <c r="F565" s="841"/>
      <c r="G565" s="841"/>
      <c r="H565" s="841"/>
      <c r="I565" s="841"/>
      <c r="J565" s="841"/>
      <c r="K565" s="841"/>
      <c r="L565" s="841"/>
      <c r="M565" s="841"/>
      <c r="N565" s="841"/>
      <c r="O565" s="841"/>
      <c r="P565" s="841"/>
      <c r="Q565" s="841"/>
      <c r="R565" s="841"/>
      <c r="S565" s="841"/>
      <c r="T565" s="841"/>
      <c r="U565" s="841"/>
      <c r="V565" s="841"/>
      <c r="W565" s="841"/>
      <c r="X565" s="841"/>
      <c r="Y565" s="841"/>
      <c r="Z565" s="1226"/>
      <c r="AA565" s="1226"/>
      <c r="AB565" s="1226"/>
      <c r="AC565" s="1226"/>
      <c r="AD565" s="1226"/>
      <c r="AE565" s="1226"/>
      <c r="AF565" s="1226"/>
      <c r="AG565" s="1226"/>
      <c r="AH565" s="1226"/>
      <c r="AI565" s="841"/>
      <c r="AJ565" s="841"/>
      <c r="AK565" s="841"/>
      <c r="AL565" s="841"/>
      <c r="AM565" s="841"/>
      <c r="AN565" s="841"/>
      <c r="AO565" s="841"/>
      <c r="AP565" s="841"/>
      <c r="AQ565" s="841"/>
      <c r="AR565" s="841"/>
      <c r="AS565" s="842"/>
    </row>
    <row r="566" spans="1:45">
      <c r="A566" s="841"/>
      <c r="B566" s="841"/>
      <c r="C566" s="841"/>
      <c r="D566" s="841"/>
      <c r="E566" s="841"/>
      <c r="F566" s="841"/>
      <c r="G566" s="841"/>
      <c r="H566" s="841"/>
      <c r="I566" s="841"/>
      <c r="J566" s="841"/>
      <c r="K566" s="841"/>
      <c r="L566" s="841"/>
      <c r="M566" s="841"/>
      <c r="N566" s="841"/>
      <c r="O566" s="841"/>
      <c r="P566" s="841"/>
      <c r="Q566" s="841"/>
      <c r="R566" s="841"/>
      <c r="S566" s="841"/>
      <c r="T566" s="841"/>
      <c r="U566" s="841"/>
      <c r="V566" s="841"/>
      <c r="W566" s="841"/>
      <c r="X566" s="841"/>
      <c r="Y566" s="841"/>
      <c r="Z566" s="1226"/>
      <c r="AA566" s="1226"/>
      <c r="AB566" s="1226"/>
      <c r="AC566" s="1226"/>
      <c r="AD566" s="1226"/>
      <c r="AE566" s="1226"/>
      <c r="AF566" s="1226"/>
      <c r="AG566" s="1226"/>
      <c r="AH566" s="1226"/>
      <c r="AI566" s="841"/>
      <c r="AJ566" s="841"/>
      <c r="AK566" s="841"/>
      <c r="AL566" s="841"/>
      <c r="AM566" s="841"/>
      <c r="AN566" s="841"/>
      <c r="AO566" s="841"/>
      <c r="AP566" s="841"/>
      <c r="AQ566" s="841"/>
      <c r="AR566" s="841"/>
      <c r="AS566" s="842"/>
    </row>
    <row r="567" spans="1:45">
      <c r="A567" s="841"/>
      <c r="B567" s="841"/>
      <c r="C567" s="841"/>
      <c r="D567" s="841"/>
      <c r="E567" s="841"/>
      <c r="F567" s="841"/>
      <c r="G567" s="841"/>
      <c r="H567" s="841"/>
      <c r="I567" s="841"/>
      <c r="J567" s="841"/>
      <c r="K567" s="841"/>
      <c r="L567" s="841"/>
      <c r="M567" s="841"/>
      <c r="N567" s="841"/>
      <c r="O567" s="841"/>
      <c r="P567" s="841"/>
      <c r="Q567" s="841"/>
      <c r="R567" s="841"/>
      <c r="S567" s="841"/>
      <c r="T567" s="841"/>
      <c r="U567" s="841"/>
      <c r="V567" s="841"/>
      <c r="W567" s="841"/>
      <c r="X567" s="841"/>
      <c r="Y567" s="841"/>
      <c r="Z567" s="1226"/>
      <c r="AA567" s="1226"/>
      <c r="AB567" s="1226"/>
      <c r="AC567" s="1226"/>
      <c r="AD567" s="1226"/>
      <c r="AE567" s="1226"/>
      <c r="AF567" s="1226"/>
      <c r="AG567" s="1226"/>
      <c r="AH567" s="1226"/>
      <c r="AI567" s="841"/>
      <c r="AJ567" s="841"/>
      <c r="AK567" s="841"/>
      <c r="AL567" s="841"/>
      <c r="AM567" s="841"/>
      <c r="AN567" s="841"/>
      <c r="AO567" s="841"/>
      <c r="AP567" s="841"/>
      <c r="AQ567" s="841"/>
      <c r="AR567" s="841"/>
      <c r="AS567" s="842"/>
    </row>
    <row r="568" spans="1:45">
      <c r="A568" s="841"/>
      <c r="B568" s="841"/>
      <c r="C568" s="841"/>
      <c r="D568" s="841"/>
      <c r="E568" s="841"/>
      <c r="F568" s="841"/>
      <c r="G568" s="841"/>
      <c r="H568" s="841"/>
      <c r="I568" s="841"/>
      <c r="J568" s="841"/>
      <c r="K568" s="841"/>
      <c r="L568" s="841"/>
      <c r="M568" s="841"/>
      <c r="N568" s="841"/>
      <c r="O568" s="841"/>
      <c r="P568" s="841"/>
      <c r="Q568" s="841"/>
      <c r="R568" s="841"/>
      <c r="S568" s="841"/>
      <c r="T568" s="841"/>
      <c r="U568" s="841"/>
      <c r="V568" s="841"/>
      <c r="W568" s="841"/>
      <c r="X568" s="841"/>
      <c r="Y568" s="841"/>
      <c r="Z568" s="1226"/>
      <c r="AA568" s="1226"/>
      <c r="AB568" s="1226"/>
      <c r="AC568" s="1226"/>
      <c r="AD568" s="1226"/>
      <c r="AE568" s="1226"/>
      <c r="AF568" s="1226"/>
      <c r="AG568" s="1226"/>
      <c r="AH568" s="1226"/>
      <c r="AI568" s="841"/>
      <c r="AJ568" s="841"/>
      <c r="AK568" s="841"/>
      <c r="AL568" s="841"/>
      <c r="AM568" s="841"/>
      <c r="AN568" s="841"/>
      <c r="AO568" s="841"/>
      <c r="AP568" s="841"/>
      <c r="AQ568" s="841"/>
      <c r="AR568" s="841"/>
      <c r="AS568" s="842"/>
    </row>
    <row r="569" spans="1:45">
      <c r="A569" s="841"/>
      <c r="B569" s="841"/>
      <c r="C569" s="841"/>
      <c r="D569" s="841"/>
      <c r="E569" s="841"/>
      <c r="F569" s="841"/>
      <c r="G569" s="841"/>
      <c r="H569" s="841"/>
      <c r="I569" s="841"/>
      <c r="J569" s="841"/>
      <c r="K569" s="841"/>
      <c r="L569" s="841"/>
      <c r="M569" s="841"/>
      <c r="N569" s="841"/>
      <c r="O569" s="841"/>
      <c r="P569" s="841"/>
      <c r="Q569" s="841"/>
      <c r="R569" s="841"/>
      <c r="S569" s="841"/>
      <c r="T569" s="841"/>
      <c r="U569" s="841"/>
      <c r="V569" s="841"/>
      <c r="W569" s="841"/>
      <c r="X569" s="841"/>
      <c r="Y569" s="841"/>
      <c r="Z569" s="1226"/>
      <c r="AA569" s="1226"/>
      <c r="AB569" s="1226"/>
      <c r="AC569" s="1226"/>
      <c r="AD569" s="1226"/>
      <c r="AE569" s="1226"/>
      <c r="AF569" s="1226"/>
      <c r="AG569" s="1226"/>
      <c r="AH569" s="1226"/>
      <c r="AI569" s="841"/>
      <c r="AJ569" s="841"/>
      <c r="AK569" s="841"/>
      <c r="AL569" s="841"/>
      <c r="AM569" s="841"/>
      <c r="AN569" s="841"/>
      <c r="AO569" s="841"/>
      <c r="AP569" s="841"/>
      <c r="AQ569" s="841"/>
      <c r="AR569" s="841"/>
      <c r="AS569" s="842"/>
    </row>
    <row r="570" spans="1:45">
      <c r="A570" s="841"/>
      <c r="B570" s="841"/>
      <c r="C570" s="841"/>
      <c r="D570" s="841"/>
      <c r="E570" s="841"/>
      <c r="F570" s="841"/>
      <c r="G570" s="841"/>
      <c r="H570" s="841"/>
      <c r="I570" s="841"/>
      <c r="J570" s="841"/>
      <c r="K570" s="841"/>
      <c r="L570" s="841"/>
      <c r="M570" s="841"/>
      <c r="N570" s="841"/>
      <c r="O570" s="841"/>
      <c r="P570" s="841"/>
      <c r="Q570" s="841"/>
      <c r="R570" s="841"/>
      <c r="S570" s="841"/>
      <c r="T570" s="841"/>
      <c r="U570" s="841"/>
      <c r="V570" s="841"/>
      <c r="W570" s="841"/>
      <c r="X570" s="841"/>
      <c r="Y570" s="841"/>
      <c r="Z570" s="1226"/>
      <c r="AA570" s="1226"/>
      <c r="AB570" s="1226"/>
      <c r="AC570" s="1226"/>
      <c r="AD570" s="1226"/>
      <c r="AE570" s="1226"/>
      <c r="AF570" s="1226"/>
      <c r="AG570" s="1226"/>
      <c r="AH570" s="1226"/>
      <c r="AI570" s="841"/>
      <c r="AJ570" s="841"/>
      <c r="AK570" s="841"/>
      <c r="AL570" s="841"/>
      <c r="AM570" s="841"/>
      <c r="AN570" s="841"/>
      <c r="AO570" s="841"/>
      <c r="AP570" s="841"/>
      <c r="AQ570" s="841"/>
      <c r="AR570" s="841"/>
      <c r="AS570" s="842"/>
    </row>
    <row r="571" spans="1:45">
      <c r="A571" s="841"/>
      <c r="B571" s="841"/>
      <c r="C571" s="841"/>
      <c r="D571" s="841"/>
      <c r="E571" s="841"/>
      <c r="F571" s="841"/>
      <c r="G571" s="841"/>
      <c r="H571" s="841"/>
      <c r="I571" s="841"/>
      <c r="J571" s="841"/>
      <c r="K571" s="841"/>
      <c r="L571" s="841"/>
      <c r="M571" s="841"/>
      <c r="N571" s="841"/>
      <c r="O571" s="841"/>
      <c r="P571" s="841"/>
      <c r="Q571" s="841"/>
      <c r="R571" s="841"/>
      <c r="S571" s="841"/>
      <c r="T571" s="841"/>
      <c r="U571" s="841"/>
      <c r="V571" s="841"/>
      <c r="W571" s="841"/>
      <c r="X571" s="841"/>
      <c r="Y571" s="841"/>
      <c r="Z571" s="1226"/>
      <c r="AA571" s="1226"/>
      <c r="AB571" s="1226"/>
      <c r="AC571" s="1226"/>
      <c r="AD571" s="1226"/>
      <c r="AE571" s="1226"/>
      <c r="AF571" s="1226"/>
      <c r="AG571" s="1226"/>
      <c r="AH571" s="1226"/>
      <c r="AI571" s="841"/>
      <c r="AJ571" s="841"/>
      <c r="AK571" s="841"/>
      <c r="AL571" s="841"/>
      <c r="AM571" s="841"/>
      <c r="AN571" s="841"/>
      <c r="AO571" s="841"/>
      <c r="AP571" s="841"/>
      <c r="AQ571" s="841"/>
      <c r="AR571" s="841"/>
      <c r="AS571" s="842"/>
    </row>
    <row r="572" spans="1:45">
      <c r="A572" s="841"/>
      <c r="B572" s="841"/>
      <c r="C572" s="841"/>
      <c r="D572" s="841"/>
      <c r="E572" s="841"/>
      <c r="F572" s="841"/>
      <c r="G572" s="841"/>
      <c r="H572" s="841"/>
      <c r="I572" s="841"/>
      <c r="J572" s="841"/>
      <c r="K572" s="841"/>
      <c r="L572" s="841"/>
      <c r="M572" s="841"/>
      <c r="N572" s="841"/>
      <c r="O572" s="841"/>
      <c r="P572" s="841"/>
      <c r="Q572" s="841"/>
      <c r="R572" s="841"/>
      <c r="S572" s="841"/>
      <c r="T572" s="841"/>
      <c r="U572" s="841"/>
      <c r="V572" s="841"/>
      <c r="W572" s="841"/>
      <c r="X572" s="841"/>
      <c r="Y572" s="841"/>
      <c r="Z572" s="1226"/>
      <c r="AA572" s="1226"/>
      <c r="AB572" s="1226"/>
      <c r="AC572" s="1226"/>
      <c r="AD572" s="1226"/>
      <c r="AE572" s="1226"/>
      <c r="AF572" s="1226"/>
      <c r="AG572" s="1226"/>
      <c r="AH572" s="1226"/>
      <c r="AI572" s="841"/>
      <c r="AJ572" s="841"/>
      <c r="AK572" s="841"/>
      <c r="AL572" s="841"/>
      <c r="AM572" s="841"/>
      <c r="AN572" s="841"/>
      <c r="AO572" s="841"/>
      <c r="AP572" s="841"/>
      <c r="AQ572" s="841"/>
      <c r="AR572" s="841"/>
      <c r="AS572" s="842"/>
    </row>
    <row r="573" spans="1:45">
      <c r="A573" s="841"/>
      <c r="B573" s="841"/>
      <c r="C573" s="841"/>
      <c r="D573" s="841"/>
      <c r="E573" s="841"/>
      <c r="F573" s="841"/>
      <c r="G573" s="841"/>
      <c r="H573" s="841"/>
      <c r="I573" s="841"/>
      <c r="J573" s="841"/>
      <c r="K573" s="841"/>
      <c r="L573" s="841"/>
      <c r="M573" s="841"/>
      <c r="N573" s="841"/>
      <c r="O573" s="841"/>
      <c r="P573" s="841"/>
      <c r="Q573" s="841"/>
      <c r="R573" s="841"/>
      <c r="S573" s="841"/>
      <c r="T573" s="841"/>
      <c r="U573" s="841"/>
      <c r="V573" s="841"/>
      <c r="W573" s="841"/>
      <c r="X573" s="841"/>
      <c r="Y573" s="841"/>
      <c r="Z573" s="1226"/>
      <c r="AA573" s="1226"/>
      <c r="AB573" s="1226"/>
      <c r="AC573" s="1226"/>
      <c r="AD573" s="1226"/>
      <c r="AE573" s="1226"/>
      <c r="AF573" s="1226"/>
      <c r="AG573" s="1226"/>
      <c r="AH573" s="1226"/>
      <c r="AI573" s="841"/>
      <c r="AJ573" s="841"/>
      <c r="AK573" s="841"/>
      <c r="AL573" s="841"/>
      <c r="AM573" s="841"/>
      <c r="AN573" s="841"/>
      <c r="AO573" s="841"/>
      <c r="AP573" s="841"/>
      <c r="AQ573" s="841"/>
      <c r="AR573" s="841"/>
      <c r="AS573" s="842"/>
    </row>
    <row r="574" spans="1:45">
      <c r="A574" s="841"/>
      <c r="B574" s="841"/>
      <c r="C574" s="841"/>
      <c r="D574" s="841"/>
      <c r="E574" s="841"/>
      <c r="F574" s="841"/>
      <c r="G574" s="841"/>
      <c r="H574" s="841"/>
      <c r="I574" s="841"/>
      <c r="J574" s="841"/>
      <c r="K574" s="841"/>
      <c r="L574" s="841"/>
      <c r="M574" s="841"/>
      <c r="N574" s="841"/>
      <c r="O574" s="841"/>
      <c r="P574" s="841"/>
      <c r="Q574" s="841"/>
      <c r="R574" s="841"/>
      <c r="S574" s="841"/>
      <c r="T574" s="841"/>
      <c r="U574" s="841"/>
      <c r="V574" s="841"/>
      <c r="W574" s="841"/>
      <c r="X574" s="841"/>
      <c r="Y574" s="841"/>
      <c r="Z574" s="1226"/>
      <c r="AA574" s="1226"/>
      <c r="AB574" s="1226"/>
      <c r="AC574" s="1226"/>
      <c r="AD574" s="1226"/>
      <c r="AE574" s="1226"/>
      <c r="AF574" s="1226"/>
      <c r="AG574" s="1226"/>
      <c r="AH574" s="1226"/>
      <c r="AI574" s="841"/>
      <c r="AJ574" s="841"/>
      <c r="AK574" s="841"/>
      <c r="AL574" s="841"/>
      <c r="AM574" s="841"/>
      <c r="AN574" s="841"/>
      <c r="AO574" s="841"/>
      <c r="AP574" s="841"/>
      <c r="AQ574" s="841"/>
      <c r="AR574" s="841"/>
      <c r="AS574" s="842"/>
    </row>
    <row r="575" spans="1:45">
      <c r="A575" s="841"/>
      <c r="B575" s="841"/>
      <c r="C575" s="841"/>
      <c r="D575" s="841"/>
      <c r="E575" s="841"/>
      <c r="F575" s="841"/>
      <c r="G575" s="841"/>
      <c r="H575" s="841"/>
      <c r="I575" s="841"/>
      <c r="J575" s="841"/>
      <c r="K575" s="841"/>
      <c r="L575" s="841"/>
      <c r="M575" s="841"/>
      <c r="N575" s="841"/>
      <c r="O575" s="841"/>
      <c r="P575" s="841"/>
      <c r="Q575" s="841"/>
      <c r="R575" s="841"/>
      <c r="S575" s="841"/>
      <c r="T575" s="841"/>
      <c r="U575" s="841"/>
      <c r="V575" s="841"/>
      <c r="W575" s="841"/>
      <c r="X575" s="841"/>
      <c r="Y575" s="841"/>
      <c r="Z575" s="1226"/>
      <c r="AA575" s="1226"/>
      <c r="AB575" s="1226"/>
      <c r="AC575" s="1226"/>
      <c r="AD575" s="1226"/>
      <c r="AE575" s="1226"/>
      <c r="AF575" s="1226"/>
      <c r="AG575" s="1226"/>
      <c r="AH575" s="1226"/>
      <c r="AI575" s="841"/>
      <c r="AJ575" s="841"/>
      <c r="AK575" s="841"/>
      <c r="AL575" s="841"/>
      <c r="AM575" s="841"/>
      <c r="AN575" s="841"/>
      <c r="AO575" s="841"/>
      <c r="AP575" s="841"/>
      <c r="AQ575" s="841"/>
      <c r="AR575" s="841"/>
      <c r="AS575" s="842"/>
    </row>
    <row r="576" spans="1:45">
      <c r="A576" s="841"/>
      <c r="B576" s="841"/>
      <c r="C576" s="841"/>
      <c r="D576" s="841"/>
      <c r="E576" s="841"/>
      <c r="F576" s="841"/>
      <c r="G576" s="841"/>
      <c r="H576" s="841"/>
      <c r="I576" s="841"/>
      <c r="J576" s="841"/>
      <c r="K576" s="841"/>
      <c r="L576" s="841"/>
      <c r="M576" s="841"/>
      <c r="N576" s="841"/>
      <c r="O576" s="841"/>
      <c r="P576" s="841"/>
      <c r="Q576" s="841"/>
      <c r="R576" s="841"/>
      <c r="S576" s="841"/>
      <c r="T576" s="841"/>
      <c r="U576" s="841"/>
      <c r="V576" s="841"/>
      <c r="W576" s="841"/>
      <c r="X576" s="841"/>
      <c r="Y576" s="841"/>
      <c r="Z576" s="1226"/>
      <c r="AA576" s="1226"/>
      <c r="AB576" s="1226"/>
      <c r="AC576" s="1226"/>
      <c r="AD576" s="1226"/>
      <c r="AE576" s="1226"/>
      <c r="AF576" s="1226"/>
      <c r="AG576" s="1226"/>
      <c r="AH576" s="1226"/>
      <c r="AI576" s="841"/>
      <c r="AJ576" s="841"/>
      <c r="AK576" s="841"/>
      <c r="AL576" s="841"/>
      <c r="AM576" s="841"/>
      <c r="AN576" s="841"/>
      <c r="AO576" s="841"/>
      <c r="AP576" s="841"/>
      <c r="AQ576" s="841"/>
      <c r="AR576" s="841"/>
      <c r="AS576" s="842"/>
    </row>
    <row r="577" spans="1:45">
      <c r="A577" s="841"/>
      <c r="B577" s="841"/>
      <c r="C577" s="841"/>
      <c r="D577" s="841"/>
      <c r="E577" s="841"/>
      <c r="F577" s="841"/>
      <c r="G577" s="841"/>
      <c r="H577" s="841"/>
      <c r="I577" s="841"/>
      <c r="J577" s="841"/>
      <c r="K577" s="841"/>
      <c r="L577" s="841"/>
      <c r="M577" s="841"/>
      <c r="N577" s="841"/>
      <c r="O577" s="841"/>
      <c r="P577" s="841"/>
      <c r="Q577" s="841"/>
      <c r="R577" s="841"/>
      <c r="S577" s="841"/>
      <c r="T577" s="841"/>
      <c r="U577" s="841"/>
      <c r="V577" s="841"/>
      <c r="W577" s="841"/>
      <c r="X577" s="841"/>
      <c r="Y577" s="841"/>
      <c r="Z577" s="1226"/>
      <c r="AA577" s="1226"/>
      <c r="AB577" s="1226"/>
      <c r="AC577" s="1226"/>
      <c r="AD577" s="1226"/>
      <c r="AE577" s="1226"/>
      <c r="AF577" s="1226"/>
      <c r="AG577" s="1226"/>
      <c r="AH577" s="1226"/>
      <c r="AI577" s="841"/>
      <c r="AJ577" s="841"/>
      <c r="AK577" s="841"/>
      <c r="AL577" s="841"/>
      <c r="AM577" s="841"/>
      <c r="AN577" s="841"/>
      <c r="AO577" s="841"/>
      <c r="AP577" s="841"/>
      <c r="AQ577" s="841"/>
      <c r="AR577" s="841"/>
      <c r="AS577" s="842"/>
    </row>
    <row r="578" spans="1:45">
      <c r="A578" s="841"/>
      <c r="B578" s="841"/>
      <c r="C578" s="841"/>
      <c r="D578" s="841"/>
      <c r="E578" s="841"/>
      <c r="F578" s="841"/>
      <c r="G578" s="841"/>
      <c r="H578" s="841"/>
      <c r="I578" s="841"/>
      <c r="J578" s="841"/>
      <c r="K578" s="841"/>
      <c r="L578" s="841"/>
      <c r="M578" s="841"/>
      <c r="N578" s="841"/>
      <c r="O578" s="841"/>
      <c r="P578" s="841"/>
      <c r="Q578" s="841"/>
      <c r="R578" s="841"/>
      <c r="S578" s="841"/>
      <c r="T578" s="841"/>
      <c r="U578" s="841"/>
      <c r="V578" s="841"/>
      <c r="W578" s="841"/>
      <c r="X578" s="841"/>
      <c r="Y578" s="841"/>
      <c r="Z578" s="1226"/>
      <c r="AA578" s="1226"/>
      <c r="AB578" s="1226"/>
      <c r="AC578" s="1226"/>
      <c r="AD578" s="1226"/>
      <c r="AE578" s="1226"/>
      <c r="AF578" s="1226"/>
      <c r="AG578" s="1226"/>
      <c r="AH578" s="1226"/>
      <c r="AI578" s="841"/>
      <c r="AJ578" s="841"/>
      <c r="AK578" s="841"/>
      <c r="AL578" s="841"/>
      <c r="AM578" s="841"/>
      <c r="AN578" s="841"/>
      <c r="AO578" s="841"/>
      <c r="AP578" s="841"/>
      <c r="AQ578" s="841"/>
      <c r="AR578" s="841"/>
      <c r="AS578" s="842"/>
    </row>
    <row r="579" spans="1:45">
      <c r="A579" s="841"/>
      <c r="B579" s="841"/>
      <c r="C579" s="841"/>
      <c r="D579" s="841"/>
      <c r="E579" s="841"/>
      <c r="F579" s="841"/>
      <c r="G579" s="841"/>
      <c r="H579" s="841"/>
      <c r="I579" s="841"/>
      <c r="J579" s="841"/>
      <c r="K579" s="841"/>
      <c r="L579" s="841"/>
      <c r="M579" s="841"/>
      <c r="N579" s="841"/>
      <c r="O579" s="841"/>
      <c r="P579" s="841"/>
      <c r="Q579" s="841"/>
      <c r="R579" s="841"/>
      <c r="S579" s="841"/>
      <c r="T579" s="841"/>
      <c r="U579" s="841"/>
      <c r="V579" s="841"/>
      <c r="W579" s="841"/>
      <c r="X579" s="841"/>
      <c r="Y579" s="841"/>
      <c r="Z579" s="1226"/>
      <c r="AA579" s="1226"/>
      <c r="AB579" s="1226"/>
      <c r="AC579" s="1226"/>
      <c r="AD579" s="1226"/>
      <c r="AE579" s="1226"/>
      <c r="AF579" s="1226"/>
      <c r="AG579" s="1226"/>
      <c r="AH579" s="1226"/>
      <c r="AI579" s="841"/>
      <c r="AJ579" s="841"/>
      <c r="AK579" s="841"/>
      <c r="AL579" s="841"/>
      <c r="AM579" s="841"/>
      <c r="AN579" s="841"/>
      <c r="AO579" s="841"/>
      <c r="AP579" s="841"/>
      <c r="AQ579" s="841"/>
      <c r="AR579" s="841"/>
      <c r="AS579" s="842"/>
    </row>
    <row r="580" spans="1:45">
      <c r="A580" s="841"/>
      <c r="B580" s="841"/>
      <c r="C580" s="841"/>
      <c r="D580" s="841"/>
      <c r="E580" s="841"/>
      <c r="F580" s="841"/>
      <c r="G580" s="841"/>
      <c r="H580" s="841"/>
      <c r="I580" s="841"/>
      <c r="J580" s="841"/>
      <c r="K580" s="841"/>
      <c r="L580" s="841"/>
      <c r="M580" s="841"/>
      <c r="N580" s="841"/>
      <c r="O580" s="841"/>
      <c r="P580" s="841"/>
      <c r="Q580" s="841"/>
      <c r="R580" s="841"/>
      <c r="S580" s="841"/>
      <c r="T580" s="841"/>
      <c r="U580" s="841"/>
      <c r="V580" s="841"/>
      <c r="W580" s="841"/>
      <c r="X580" s="841"/>
      <c r="Y580" s="841"/>
      <c r="Z580" s="1226"/>
      <c r="AA580" s="1226"/>
      <c r="AB580" s="1226"/>
      <c r="AC580" s="1226"/>
      <c r="AD580" s="1226"/>
      <c r="AE580" s="1226"/>
      <c r="AF580" s="1226"/>
      <c r="AG580" s="1226"/>
      <c r="AH580" s="1226"/>
      <c r="AI580" s="841"/>
      <c r="AJ580" s="841"/>
      <c r="AK580" s="841"/>
      <c r="AL580" s="841"/>
      <c r="AM580" s="841"/>
      <c r="AN580" s="841"/>
      <c r="AO580" s="841"/>
      <c r="AP580" s="841"/>
      <c r="AQ580" s="841"/>
      <c r="AR580" s="841"/>
      <c r="AS580" s="842"/>
    </row>
    <row r="581" spans="1:45">
      <c r="A581" s="841"/>
      <c r="B581" s="841"/>
      <c r="C581" s="841"/>
      <c r="D581" s="841"/>
      <c r="E581" s="841"/>
      <c r="F581" s="841"/>
      <c r="G581" s="841"/>
      <c r="H581" s="841"/>
      <c r="I581" s="841"/>
      <c r="J581" s="841"/>
      <c r="K581" s="841"/>
      <c r="L581" s="841"/>
      <c r="M581" s="841"/>
      <c r="N581" s="841"/>
      <c r="O581" s="841"/>
      <c r="P581" s="841"/>
      <c r="Q581" s="841"/>
      <c r="R581" s="841"/>
      <c r="S581" s="841"/>
      <c r="T581" s="841"/>
      <c r="U581" s="841"/>
      <c r="V581" s="841"/>
      <c r="W581" s="841"/>
      <c r="X581" s="841"/>
      <c r="Y581" s="841"/>
      <c r="Z581" s="1226"/>
      <c r="AA581" s="1226"/>
      <c r="AB581" s="1226"/>
      <c r="AC581" s="1226"/>
      <c r="AD581" s="1226"/>
      <c r="AE581" s="1226"/>
      <c r="AF581" s="1226"/>
      <c r="AG581" s="1226"/>
      <c r="AH581" s="1226"/>
      <c r="AI581" s="841"/>
      <c r="AJ581" s="841"/>
      <c r="AK581" s="841"/>
      <c r="AL581" s="841"/>
      <c r="AM581" s="841"/>
      <c r="AN581" s="841"/>
      <c r="AO581" s="841"/>
      <c r="AP581" s="841"/>
      <c r="AQ581" s="841"/>
      <c r="AR581" s="841"/>
      <c r="AS581" s="842"/>
    </row>
    <row r="582" spans="1:45">
      <c r="A582" s="841"/>
      <c r="B582" s="841"/>
      <c r="C582" s="841"/>
      <c r="D582" s="841"/>
      <c r="E582" s="841"/>
      <c r="F582" s="841"/>
      <c r="G582" s="841"/>
      <c r="H582" s="841"/>
      <c r="I582" s="841"/>
      <c r="J582" s="841"/>
      <c r="K582" s="841"/>
      <c r="L582" s="841"/>
      <c r="M582" s="841"/>
      <c r="N582" s="841"/>
      <c r="O582" s="841"/>
      <c r="P582" s="841"/>
      <c r="Q582" s="841"/>
      <c r="R582" s="841"/>
      <c r="S582" s="841"/>
      <c r="T582" s="841"/>
      <c r="U582" s="841"/>
      <c r="V582" s="841"/>
      <c r="W582" s="841"/>
      <c r="X582" s="841"/>
      <c r="Y582" s="841"/>
      <c r="Z582" s="1226"/>
      <c r="AA582" s="1226"/>
      <c r="AB582" s="1226"/>
      <c r="AC582" s="1226"/>
      <c r="AD582" s="1226"/>
      <c r="AE582" s="1226"/>
      <c r="AF582" s="1226"/>
      <c r="AG582" s="1226"/>
      <c r="AH582" s="1226"/>
      <c r="AI582" s="841"/>
      <c r="AJ582" s="841"/>
      <c r="AK582" s="841"/>
      <c r="AL582" s="841"/>
      <c r="AM582" s="841"/>
      <c r="AN582" s="841"/>
      <c r="AO582" s="841"/>
      <c r="AP582" s="841"/>
      <c r="AQ582" s="841"/>
      <c r="AR582" s="841"/>
      <c r="AS582" s="842"/>
    </row>
    <row r="583" spans="1:45">
      <c r="A583" s="841"/>
      <c r="B583" s="841"/>
      <c r="C583" s="841"/>
      <c r="D583" s="841"/>
      <c r="E583" s="841"/>
      <c r="F583" s="841"/>
      <c r="G583" s="841"/>
      <c r="H583" s="841"/>
      <c r="I583" s="841"/>
      <c r="J583" s="841"/>
      <c r="K583" s="841"/>
      <c r="L583" s="841"/>
      <c r="M583" s="841"/>
      <c r="N583" s="841"/>
      <c r="O583" s="841"/>
      <c r="P583" s="841"/>
      <c r="Q583" s="841"/>
      <c r="R583" s="841"/>
      <c r="S583" s="841"/>
      <c r="T583" s="841"/>
      <c r="U583" s="841"/>
      <c r="V583" s="841"/>
      <c r="W583" s="841"/>
      <c r="X583" s="841"/>
      <c r="Y583" s="841"/>
      <c r="Z583" s="1226"/>
      <c r="AA583" s="1226"/>
      <c r="AB583" s="1226"/>
      <c r="AC583" s="1226"/>
      <c r="AD583" s="1226"/>
      <c r="AE583" s="1226"/>
      <c r="AF583" s="1226"/>
      <c r="AG583" s="1226"/>
      <c r="AH583" s="1226"/>
      <c r="AI583" s="841"/>
      <c r="AJ583" s="841"/>
      <c r="AK583" s="841"/>
      <c r="AL583" s="841"/>
      <c r="AM583" s="841"/>
      <c r="AN583" s="841"/>
      <c r="AO583" s="841"/>
      <c r="AP583" s="841"/>
      <c r="AQ583" s="841"/>
      <c r="AR583" s="841"/>
      <c r="AS583" s="842"/>
    </row>
    <row r="584" spans="1:45">
      <c r="A584" s="841"/>
      <c r="B584" s="841"/>
      <c r="C584" s="841"/>
      <c r="D584" s="841"/>
      <c r="E584" s="841"/>
      <c r="F584" s="841"/>
      <c r="G584" s="841"/>
      <c r="H584" s="841"/>
      <c r="I584" s="841"/>
      <c r="J584" s="841"/>
      <c r="K584" s="841"/>
      <c r="L584" s="841"/>
      <c r="M584" s="841"/>
      <c r="N584" s="841"/>
      <c r="O584" s="841"/>
      <c r="P584" s="841"/>
      <c r="Q584" s="841"/>
      <c r="R584" s="841"/>
      <c r="S584" s="841"/>
      <c r="T584" s="841"/>
      <c r="U584" s="841"/>
      <c r="V584" s="841"/>
      <c r="W584" s="841"/>
      <c r="X584" s="841"/>
      <c r="Y584" s="841"/>
      <c r="Z584" s="1226"/>
      <c r="AA584" s="1226"/>
      <c r="AB584" s="1226"/>
      <c r="AC584" s="1226"/>
      <c r="AD584" s="1226"/>
      <c r="AE584" s="1226"/>
      <c r="AF584" s="1226"/>
      <c r="AG584" s="1226"/>
      <c r="AH584" s="1226"/>
      <c r="AI584" s="841"/>
      <c r="AJ584" s="841"/>
      <c r="AK584" s="841"/>
      <c r="AL584" s="841"/>
      <c r="AM584" s="841"/>
      <c r="AN584" s="841"/>
      <c r="AO584" s="841"/>
      <c r="AP584" s="841"/>
      <c r="AQ584" s="841"/>
      <c r="AR584" s="841"/>
      <c r="AS584" s="842"/>
    </row>
    <row r="585" spans="1:45">
      <c r="A585" s="841"/>
      <c r="B585" s="841"/>
      <c r="C585" s="841"/>
      <c r="D585" s="841"/>
      <c r="E585" s="841"/>
      <c r="F585" s="841"/>
      <c r="G585" s="841"/>
      <c r="H585" s="841"/>
      <c r="I585" s="841"/>
      <c r="J585" s="841"/>
      <c r="K585" s="841"/>
      <c r="L585" s="841"/>
      <c r="M585" s="841"/>
      <c r="N585" s="841"/>
      <c r="O585" s="841"/>
      <c r="P585" s="841"/>
      <c r="Q585" s="841"/>
      <c r="R585" s="841"/>
      <c r="S585" s="841"/>
      <c r="T585" s="841"/>
      <c r="U585" s="841"/>
      <c r="V585" s="841"/>
      <c r="W585" s="841"/>
      <c r="X585" s="841"/>
      <c r="Y585" s="841"/>
      <c r="Z585" s="1226"/>
      <c r="AA585" s="1226"/>
      <c r="AB585" s="1226"/>
      <c r="AC585" s="1226"/>
      <c r="AD585" s="1226"/>
      <c r="AE585" s="1226"/>
      <c r="AF585" s="1226"/>
      <c r="AG585" s="1226"/>
      <c r="AH585" s="1226"/>
      <c r="AI585" s="841"/>
      <c r="AJ585" s="841"/>
      <c r="AK585" s="841"/>
      <c r="AL585" s="841"/>
      <c r="AM585" s="841"/>
      <c r="AN585" s="841"/>
      <c r="AO585" s="841"/>
      <c r="AP585" s="841"/>
      <c r="AQ585" s="841"/>
      <c r="AR585" s="841"/>
      <c r="AS585" s="842"/>
    </row>
    <row r="586" spans="1:45">
      <c r="A586" s="841"/>
      <c r="B586" s="841"/>
      <c r="C586" s="841"/>
      <c r="D586" s="841"/>
      <c r="E586" s="841"/>
      <c r="F586" s="841"/>
      <c r="G586" s="841"/>
      <c r="H586" s="841"/>
      <c r="I586" s="841"/>
      <c r="J586" s="841"/>
      <c r="K586" s="841"/>
      <c r="L586" s="841"/>
      <c r="M586" s="841"/>
      <c r="N586" s="841"/>
      <c r="O586" s="841"/>
      <c r="P586" s="841"/>
      <c r="Q586" s="841"/>
      <c r="R586" s="841"/>
      <c r="S586" s="841"/>
      <c r="T586" s="841"/>
      <c r="U586" s="841"/>
      <c r="V586" s="841"/>
      <c r="W586" s="841"/>
      <c r="X586" s="841"/>
      <c r="Y586" s="841"/>
      <c r="Z586" s="1226"/>
      <c r="AA586" s="1226"/>
      <c r="AB586" s="1226"/>
      <c r="AC586" s="1226"/>
      <c r="AD586" s="1226"/>
      <c r="AE586" s="1226"/>
      <c r="AF586" s="1226"/>
      <c r="AG586" s="1226"/>
      <c r="AH586" s="1226"/>
      <c r="AI586" s="841"/>
      <c r="AJ586" s="841"/>
      <c r="AK586" s="841"/>
      <c r="AL586" s="841"/>
      <c r="AM586" s="841"/>
      <c r="AN586" s="841"/>
      <c r="AO586" s="841"/>
      <c r="AP586" s="841"/>
      <c r="AQ586" s="841"/>
      <c r="AR586" s="841"/>
      <c r="AS586" s="842"/>
    </row>
    <row r="587" spans="1:45">
      <c r="A587" s="841"/>
      <c r="B587" s="841"/>
      <c r="C587" s="841"/>
      <c r="D587" s="841"/>
      <c r="E587" s="841"/>
      <c r="F587" s="841"/>
      <c r="G587" s="841"/>
      <c r="H587" s="841"/>
      <c r="I587" s="841"/>
      <c r="J587" s="841"/>
      <c r="K587" s="841"/>
      <c r="L587" s="841"/>
      <c r="M587" s="841"/>
      <c r="N587" s="841"/>
      <c r="O587" s="841"/>
      <c r="P587" s="841"/>
      <c r="Q587" s="841"/>
      <c r="R587" s="841"/>
      <c r="S587" s="841"/>
      <c r="T587" s="841"/>
      <c r="U587" s="841"/>
      <c r="V587" s="841"/>
      <c r="W587" s="841"/>
      <c r="X587" s="841"/>
      <c r="Y587" s="841"/>
      <c r="Z587" s="1226"/>
      <c r="AA587" s="1226"/>
      <c r="AB587" s="1226"/>
      <c r="AC587" s="1226"/>
      <c r="AD587" s="1226"/>
      <c r="AE587" s="1226"/>
      <c r="AF587" s="1226"/>
      <c r="AG587" s="1226"/>
      <c r="AH587" s="1226"/>
      <c r="AI587" s="841"/>
      <c r="AJ587" s="841"/>
      <c r="AK587" s="841"/>
      <c r="AL587" s="841"/>
      <c r="AM587" s="841"/>
      <c r="AN587" s="841"/>
      <c r="AO587" s="841"/>
      <c r="AP587" s="841"/>
      <c r="AQ587" s="841"/>
      <c r="AR587" s="841"/>
      <c r="AS587" s="842"/>
    </row>
    <row r="588" spans="1:45">
      <c r="A588" s="841"/>
      <c r="B588" s="841"/>
      <c r="C588" s="841"/>
      <c r="D588" s="841"/>
      <c r="E588" s="841"/>
      <c r="F588" s="841"/>
      <c r="G588" s="841"/>
      <c r="H588" s="841"/>
      <c r="I588" s="841"/>
      <c r="J588" s="841"/>
      <c r="K588" s="841"/>
      <c r="L588" s="841"/>
      <c r="M588" s="841"/>
      <c r="N588" s="841"/>
      <c r="O588" s="841"/>
      <c r="P588" s="841"/>
      <c r="Q588" s="841"/>
      <c r="R588" s="841"/>
      <c r="S588" s="841"/>
      <c r="T588" s="841"/>
      <c r="U588" s="841"/>
      <c r="V588" s="841"/>
      <c r="W588" s="841"/>
      <c r="X588" s="841"/>
      <c r="Y588" s="841"/>
      <c r="Z588" s="1226"/>
      <c r="AA588" s="1226"/>
      <c r="AB588" s="1226"/>
      <c r="AC588" s="1226"/>
      <c r="AD588" s="1226"/>
      <c r="AE588" s="1226"/>
      <c r="AF588" s="1226"/>
      <c r="AG588" s="1226"/>
      <c r="AH588" s="1226"/>
      <c r="AI588" s="841"/>
      <c r="AJ588" s="841"/>
      <c r="AK588" s="841"/>
      <c r="AL588" s="841"/>
      <c r="AM588" s="841"/>
      <c r="AN588" s="841"/>
      <c r="AO588" s="841"/>
      <c r="AP588" s="841"/>
      <c r="AQ588" s="841"/>
      <c r="AR588" s="841"/>
      <c r="AS588" s="842"/>
    </row>
    <row r="589" spans="1:45">
      <c r="A589" s="841"/>
      <c r="B589" s="841"/>
      <c r="C589" s="841"/>
      <c r="D589" s="841"/>
      <c r="E589" s="841"/>
      <c r="F589" s="841"/>
      <c r="G589" s="841"/>
      <c r="H589" s="841"/>
      <c r="I589" s="841"/>
      <c r="J589" s="841"/>
      <c r="K589" s="841"/>
      <c r="L589" s="841"/>
      <c r="M589" s="841"/>
      <c r="N589" s="841"/>
      <c r="O589" s="841"/>
      <c r="P589" s="841"/>
      <c r="Q589" s="841"/>
      <c r="R589" s="841"/>
      <c r="S589" s="841"/>
      <c r="T589" s="841"/>
      <c r="U589" s="841"/>
      <c r="V589" s="841"/>
      <c r="W589" s="841"/>
      <c r="X589" s="841"/>
      <c r="Y589" s="841"/>
      <c r="Z589" s="1226"/>
      <c r="AA589" s="1226"/>
      <c r="AB589" s="1226"/>
      <c r="AC589" s="1226"/>
      <c r="AD589" s="1226"/>
      <c r="AE589" s="1226"/>
      <c r="AF589" s="1226"/>
      <c r="AG589" s="1226"/>
      <c r="AH589" s="1226"/>
      <c r="AI589" s="841"/>
      <c r="AJ589" s="841"/>
      <c r="AK589" s="841"/>
      <c r="AL589" s="841"/>
      <c r="AM589" s="841"/>
      <c r="AN589" s="841"/>
      <c r="AO589" s="841"/>
      <c r="AP589" s="841"/>
      <c r="AQ589" s="841"/>
      <c r="AR589" s="841"/>
      <c r="AS589" s="842"/>
    </row>
    <row r="590" spans="1:45">
      <c r="A590" s="841"/>
      <c r="B590" s="841"/>
      <c r="C590" s="841"/>
      <c r="D590" s="841"/>
      <c r="E590" s="841"/>
      <c r="F590" s="841"/>
      <c r="G590" s="841"/>
      <c r="H590" s="841"/>
      <c r="I590" s="841"/>
      <c r="J590" s="841"/>
      <c r="K590" s="841"/>
      <c r="L590" s="841"/>
      <c r="M590" s="841"/>
      <c r="N590" s="841"/>
      <c r="O590" s="841"/>
      <c r="P590" s="841"/>
      <c r="Q590" s="841"/>
      <c r="R590" s="841"/>
      <c r="S590" s="841"/>
      <c r="T590" s="841"/>
      <c r="U590" s="841"/>
      <c r="V590" s="841"/>
      <c r="W590" s="841"/>
      <c r="X590" s="841"/>
      <c r="Y590" s="841"/>
      <c r="Z590" s="1226"/>
      <c r="AA590" s="1226"/>
      <c r="AB590" s="1226"/>
      <c r="AC590" s="1226"/>
      <c r="AD590" s="1226"/>
      <c r="AE590" s="1226"/>
      <c r="AF590" s="1226"/>
      <c r="AG590" s="1226"/>
      <c r="AH590" s="1226"/>
      <c r="AI590" s="841"/>
      <c r="AJ590" s="841"/>
      <c r="AK590" s="841"/>
      <c r="AL590" s="841"/>
      <c r="AM590" s="841"/>
      <c r="AN590" s="841"/>
      <c r="AO590" s="841"/>
      <c r="AP590" s="841"/>
      <c r="AQ590" s="841"/>
      <c r="AR590" s="841"/>
      <c r="AS590" s="842"/>
    </row>
    <row r="591" spans="1:45">
      <c r="A591" s="841"/>
      <c r="B591" s="841"/>
      <c r="C591" s="841"/>
      <c r="D591" s="841"/>
      <c r="E591" s="841"/>
      <c r="F591" s="841"/>
      <c r="G591" s="841"/>
      <c r="H591" s="841"/>
      <c r="I591" s="841"/>
      <c r="J591" s="841"/>
      <c r="K591" s="841"/>
      <c r="L591" s="841"/>
      <c r="M591" s="841"/>
      <c r="N591" s="841"/>
      <c r="O591" s="841"/>
      <c r="P591" s="841"/>
      <c r="Q591" s="841"/>
      <c r="R591" s="841"/>
      <c r="S591" s="841"/>
      <c r="T591" s="841"/>
      <c r="U591" s="841"/>
      <c r="V591" s="841"/>
      <c r="W591" s="841"/>
      <c r="X591" s="841"/>
      <c r="Y591" s="841"/>
      <c r="Z591" s="1226"/>
      <c r="AA591" s="1226"/>
      <c r="AB591" s="1226"/>
      <c r="AC591" s="1226"/>
      <c r="AD591" s="1226"/>
      <c r="AE591" s="1226"/>
      <c r="AF591" s="1226"/>
      <c r="AG591" s="1226"/>
      <c r="AH591" s="1226"/>
      <c r="AI591" s="841"/>
      <c r="AJ591" s="841"/>
      <c r="AK591" s="841"/>
      <c r="AL591" s="841"/>
      <c r="AM591" s="841"/>
      <c r="AN591" s="841"/>
      <c r="AO591" s="841"/>
      <c r="AP591" s="841"/>
      <c r="AQ591" s="841"/>
      <c r="AR591" s="841"/>
      <c r="AS591" s="842"/>
    </row>
    <row r="592" spans="1:45">
      <c r="A592" s="841"/>
      <c r="B592" s="841"/>
      <c r="C592" s="841"/>
      <c r="D592" s="841"/>
      <c r="E592" s="841"/>
      <c r="F592" s="841"/>
      <c r="G592" s="841"/>
      <c r="H592" s="841"/>
      <c r="I592" s="841"/>
      <c r="J592" s="841"/>
      <c r="K592" s="841"/>
      <c r="L592" s="841"/>
      <c r="M592" s="841"/>
      <c r="N592" s="841"/>
      <c r="O592" s="841"/>
      <c r="P592" s="841"/>
      <c r="Q592" s="841"/>
      <c r="R592" s="841"/>
      <c r="S592" s="841"/>
      <c r="T592" s="841"/>
      <c r="U592" s="841"/>
      <c r="V592" s="841"/>
      <c r="W592" s="841"/>
      <c r="X592" s="841"/>
      <c r="Y592" s="841"/>
      <c r="Z592" s="1226"/>
      <c r="AA592" s="1226"/>
      <c r="AB592" s="1226"/>
      <c r="AC592" s="1226"/>
      <c r="AD592" s="1226"/>
      <c r="AE592" s="1226"/>
      <c r="AF592" s="1226"/>
      <c r="AG592" s="1226"/>
      <c r="AH592" s="1226"/>
      <c r="AI592" s="841"/>
      <c r="AJ592" s="841"/>
      <c r="AK592" s="841"/>
      <c r="AL592" s="841"/>
      <c r="AM592" s="841"/>
      <c r="AN592" s="841"/>
      <c r="AO592" s="841"/>
      <c r="AP592" s="841"/>
      <c r="AQ592" s="841"/>
      <c r="AR592" s="841"/>
      <c r="AS592" s="842"/>
    </row>
    <row r="593" spans="1:45">
      <c r="A593" s="841"/>
      <c r="B593" s="841"/>
      <c r="C593" s="841"/>
      <c r="D593" s="841"/>
      <c r="E593" s="841"/>
      <c r="F593" s="841"/>
      <c r="G593" s="841"/>
      <c r="H593" s="841"/>
      <c r="I593" s="841"/>
      <c r="J593" s="841"/>
      <c r="K593" s="841"/>
      <c r="L593" s="841"/>
      <c r="M593" s="841"/>
      <c r="N593" s="841"/>
      <c r="O593" s="841"/>
      <c r="P593" s="841"/>
      <c r="Q593" s="841"/>
      <c r="R593" s="841"/>
      <c r="S593" s="841"/>
      <c r="T593" s="841"/>
      <c r="U593" s="841"/>
      <c r="V593" s="841"/>
      <c r="W593" s="841"/>
      <c r="X593" s="841"/>
      <c r="Y593" s="841"/>
      <c r="Z593" s="1226"/>
      <c r="AA593" s="1226"/>
      <c r="AB593" s="1226"/>
      <c r="AC593" s="1226"/>
      <c r="AD593" s="1226"/>
      <c r="AE593" s="1226"/>
      <c r="AF593" s="1226"/>
      <c r="AG593" s="1226"/>
      <c r="AH593" s="1226"/>
      <c r="AI593" s="841"/>
      <c r="AJ593" s="841"/>
      <c r="AK593" s="841"/>
      <c r="AL593" s="841"/>
      <c r="AM593" s="841"/>
      <c r="AN593" s="841"/>
      <c r="AO593" s="841"/>
      <c r="AP593" s="841"/>
      <c r="AQ593" s="841"/>
      <c r="AR593" s="841"/>
      <c r="AS593" s="842"/>
    </row>
    <row r="594" spans="1:45">
      <c r="A594" s="841"/>
      <c r="B594" s="841"/>
      <c r="C594" s="841"/>
      <c r="D594" s="841"/>
      <c r="E594" s="841"/>
      <c r="F594" s="841"/>
      <c r="G594" s="841"/>
      <c r="H594" s="841"/>
      <c r="I594" s="841"/>
      <c r="J594" s="841"/>
      <c r="K594" s="841"/>
      <c r="L594" s="841"/>
      <c r="M594" s="841"/>
      <c r="N594" s="841"/>
      <c r="O594" s="841"/>
      <c r="P594" s="841"/>
      <c r="Q594" s="841"/>
      <c r="R594" s="841"/>
      <c r="S594" s="841"/>
      <c r="T594" s="841"/>
      <c r="U594" s="841"/>
      <c r="V594" s="841"/>
      <c r="W594" s="841"/>
      <c r="X594" s="841"/>
      <c r="Y594" s="841"/>
      <c r="Z594" s="1226"/>
      <c r="AA594" s="1226"/>
      <c r="AB594" s="1226"/>
      <c r="AC594" s="1226"/>
      <c r="AD594" s="1226"/>
      <c r="AE594" s="1226"/>
      <c r="AF594" s="1226"/>
      <c r="AG594" s="1226"/>
      <c r="AH594" s="1226"/>
      <c r="AI594" s="841"/>
      <c r="AJ594" s="841"/>
      <c r="AK594" s="841"/>
      <c r="AL594" s="841"/>
      <c r="AM594" s="841"/>
      <c r="AN594" s="841"/>
      <c r="AO594" s="841"/>
      <c r="AP594" s="841"/>
      <c r="AQ594" s="841"/>
      <c r="AR594" s="841"/>
      <c r="AS594" s="842"/>
    </row>
    <row r="595" spans="1:45">
      <c r="A595" s="841"/>
      <c r="B595" s="841"/>
      <c r="C595" s="841"/>
      <c r="D595" s="841"/>
      <c r="E595" s="841"/>
      <c r="F595" s="841"/>
      <c r="G595" s="841"/>
      <c r="H595" s="841"/>
      <c r="I595" s="841"/>
      <c r="J595" s="841"/>
      <c r="K595" s="841"/>
      <c r="L595" s="841"/>
      <c r="M595" s="841"/>
      <c r="N595" s="841"/>
      <c r="O595" s="841"/>
      <c r="P595" s="841"/>
      <c r="Q595" s="841"/>
      <c r="R595" s="841"/>
      <c r="S595" s="841"/>
      <c r="T595" s="841"/>
      <c r="U595" s="841"/>
      <c r="V595" s="841"/>
      <c r="W595" s="841"/>
      <c r="X595" s="841"/>
      <c r="Y595" s="841"/>
      <c r="Z595" s="1226"/>
      <c r="AA595" s="1226"/>
      <c r="AB595" s="1226"/>
      <c r="AC595" s="1226"/>
      <c r="AD595" s="1226"/>
      <c r="AE595" s="1226"/>
      <c r="AF595" s="1226"/>
      <c r="AG595" s="1226"/>
      <c r="AH595" s="1226"/>
      <c r="AI595" s="841"/>
      <c r="AJ595" s="841"/>
      <c r="AK595" s="841"/>
      <c r="AL595" s="841"/>
      <c r="AM595" s="841"/>
      <c r="AN595" s="841"/>
      <c r="AO595" s="841"/>
      <c r="AP595" s="841"/>
      <c r="AQ595" s="841"/>
      <c r="AR595" s="841"/>
      <c r="AS595" s="842"/>
    </row>
    <row r="596" spans="1:45">
      <c r="A596" s="841"/>
      <c r="B596" s="841"/>
      <c r="C596" s="841"/>
      <c r="D596" s="841"/>
      <c r="E596" s="841"/>
      <c r="F596" s="841"/>
      <c r="G596" s="841"/>
      <c r="H596" s="841"/>
      <c r="I596" s="841"/>
      <c r="J596" s="841"/>
      <c r="K596" s="841"/>
      <c r="L596" s="841"/>
      <c r="M596" s="841"/>
      <c r="N596" s="841"/>
      <c r="O596" s="841"/>
      <c r="P596" s="841"/>
      <c r="Q596" s="841"/>
      <c r="R596" s="841"/>
      <c r="S596" s="841"/>
      <c r="T596" s="841"/>
      <c r="U596" s="841"/>
      <c r="V596" s="841"/>
      <c r="W596" s="841"/>
      <c r="X596" s="841"/>
      <c r="Y596" s="841"/>
      <c r="Z596" s="1226"/>
      <c r="AA596" s="1226"/>
      <c r="AB596" s="1226"/>
      <c r="AC596" s="1226"/>
      <c r="AD596" s="1226"/>
      <c r="AE596" s="1226"/>
      <c r="AF596" s="1226"/>
      <c r="AG596" s="1226"/>
      <c r="AH596" s="1226"/>
      <c r="AI596" s="841"/>
      <c r="AJ596" s="841"/>
      <c r="AK596" s="841"/>
      <c r="AL596" s="841"/>
      <c r="AM596" s="841"/>
      <c r="AN596" s="841"/>
      <c r="AO596" s="841"/>
      <c r="AP596" s="841"/>
      <c r="AQ596" s="841"/>
      <c r="AR596" s="841"/>
      <c r="AS596" s="842"/>
    </row>
    <row r="597" spans="1:45">
      <c r="A597" s="841"/>
      <c r="B597" s="841"/>
      <c r="C597" s="841"/>
      <c r="D597" s="841"/>
      <c r="E597" s="841"/>
      <c r="F597" s="841"/>
      <c r="G597" s="841"/>
      <c r="H597" s="841"/>
      <c r="I597" s="841"/>
      <c r="J597" s="841"/>
      <c r="K597" s="841"/>
      <c r="L597" s="841"/>
      <c r="M597" s="841"/>
      <c r="N597" s="841"/>
      <c r="O597" s="841"/>
      <c r="P597" s="841"/>
      <c r="Q597" s="841"/>
      <c r="R597" s="841"/>
      <c r="S597" s="841"/>
      <c r="T597" s="841"/>
      <c r="U597" s="841"/>
      <c r="V597" s="841"/>
      <c r="W597" s="841"/>
      <c r="X597" s="841"/>
      <c r="Y597" s="841"/>
      <c r="Z597" s="1226"/>
      <c r="AA597" s="1226"/>
      <c r="AB597" s="1226"/>
      <c r="AC597" s="1226"/>
      <c r="AD597" s="1226"/>
      <c r="AE597" s="1226"/>
      <c r="AF597" s="1226"/>
      <c r="AG597" s="1226"/>
      <c r="AH597" s="1226"/>
      <c r="AI597" s="841"/>
      <c r="AJ597" s="841"/>
      <c r="AK597" s="841"/>
      <c r="AL597" s="841"/>
      <c r="AM597" s="841"/>
      <c r="AN597" s="841"/>
      <c r="AO597" s="841"/>
      <c r="AP597" s="841"/>
      <c r="AQ597" s="841"/>
      <c r="AR597" s="841"/>
      <c r="AS597" s="842"/>
    </row>
    <row r="598" spans="1:45">
      <c r="A598" s="841"/>
      <c r="B598" s="841"/>
      <c r="C598" s="841"/>
      <c r="D598" s="841"/>
      <c r="E598" s="841"/>
      <c r="F598" s="841"/>
      <c r="G598" s="841"/>
      <c r="H598" s="841"/>
      <c r="I598" s="841"/>
      <c r="J598" s="841"/>
      <c r="K598" s="841"/>
      <c r="L598" s="841"/>
      <c r="M598" s="841"/>
      <c r="N598" s="841"/>
      <c r="O598" s="841"/>
      <c r="P598" s="841"/>
      <c r="Q598" s="841"/>
      <c r="R598" s="841"/>
      <c r="S598" s="841"/>
      <c r="T598" s="841"/>
      <c r="U598" s="841"/>
      <c r="V598" s="841"/>
      <c r="W598" s="841"/>
      <c r="X598" s="841"/>
      <c r="Y598" s="841"/>
      <c r="Z598" s="1226"/>
      <c r="AA598" s="1226"/>
      <c r="AB598" s="1226"/>
      <c r="AC598" s="1226"/>
      <c r="AD598" s="1226"/>
      <c r="AE598" s="1226"/>
      <c r="AF598" s="1226"/>
      <c r="AG598" s="1226"/>
      <c r="AH598" s="1226"/>
      <c r="AI598" s="841"/>
      <c r="AJ598" s="841"/>
      <c r="AK598" s="841"/>
      <c r="AL598" s="841"/>
      <c r="AM598" s="841"/>
      <c r="AN598" s="841"/>
      <c r="AO598" s="841"/>
      <c r="AP598" s="841"/>
      <c r="AQ598" s="841"/>
      <c r="AR598" s="841"/>
      <c r="AS598" s="842"/>
    </row>
    <row r="599" spans="1:45">
      <c r="A599" s="841"/>
      <c r="B599" s="841"/>
      <c r="C599" s="841"/>
      <c r="D599" s="841"/>
      <c r="E599" s="841"/>
      <c r="F599" s="841"/>
      <c r="G599" s="841"/>
      <c r="H599" s="841"/>
      <c r="I599" s="841"/>
      <c r="J599" s="841"/>
      <c r="K599" s="841"/>
      <c r="L599" s="841"/>
      <c r="M599" s="841"/>
      <c r="N599" s="841"/>
      <c r="O599" s="841"/>
      <c r="P599" s="841"/>
      <c r="Q599" s="841"/>
      <c r="R599" s="841"/>
      <c r="S599" s="841"/>
      <c r="T599" s="841"/>
      <c r="U599" s="841"/>
      <c r="V599" s="841"/>
      <c r="W599" s="841"/>
      <c r="X599" s="841"/>
      <c r="Y599" s="841"/>
      <c r="Z599" s="1226"/>
      <c r="AA599" s="1226"/>
      <c r="AB599" s="1226"/>
      <c r="AC599" s="1226"/>
      <c r="AD599" s="1226"/>
      <c r="AE599" s="1226"/>
      <c r="AF599" s="1226"/>
      <c r="AG599" s="1226"/>
      <c r="AH599" s="1226"/>
      <c r="AI599" s="841"/>
      <c r="AJ599" s="841"/>
      <c r="AK599" s="841"/>
      <c r="AL599" s="841"/>
      <c r="AM599" s="841"/>
      <c r="AN599" s="841"/>
      <c r="AO599" s="841"/>
      <c r="AP599" s="841"/>
      <c r="AQ599" s="841"/>
      <c r="AR599" s="841"/>
      <c r="AS599" s="842"/>
    </row>
    <row r="600" spans="1:45">
      <c r="A600" s="841"/>
      <c r="B600" s="841"/>
      <c r="C600" s="841"/>
      <c r="D600" s="841"/>
      <c r="E600" s="841"/>
      <c r="F600" s="841"/>
      <c r="G600" s="841"/>
      <c r="H600" s="841"/>
      <c r="I600" s="841"/>
      <c r="J600" s="841"/>
      <c r="K600" s="841"/>
      <c r="L600" s="841"/>
      <c r="M600" s="841"/>
      <c r="N600" s="841"/>
      <c r="O600" s="841"/>
      <c r="P600" s="841"/>
      <c r="Q600" s="841"/>
      <c r="R600" s="841"/>
      <c r="S600" s="841"/>
      <c r="T600" s="841"/>
      <c r="U600" s="841"/>
      <c r="V600" s="841"/>
      <c r="W600" s="841"/>
      <c r="X600" s="841"/>
      <c r="Y600" s="841"/>
      <c r="Z600" s="1226"/>
      <c r="AA600" s="1226"/>
      <c r="AB600" s="1226"/>
      <c r="AC600" s="1226"/>
      <c r="AD600" s="1226"/>
      <c r="AE600" s="1226"/>
      <c r="AF600" s="1226"/>
      <c r="AG600" s="1226"/>
      <c r="AH600" s="1226"/>
      <c r="AI600" s="841"/>
      <c r="AJ600" s="841"/>
      <c r="AK600" s="841"/>
      <c r="AL600" s="841"/>
      <c r="AM600" s="841"/>
      <c r="AN600" s="841"/>
      <c r="AO600" s="841"/>
      <c r="AP600" s="841"/>
      <c r="AQ600" s="841"/>
      <c r="AR600" s="841"/>
      <c r="AS600" s="842"/>
    </row>
    <row r="601" spans="1:45">
      <c r="A601" s="841"/>
      <c r="B601" s="841"/>
      <c r="C601" s="841"/>
      <c r="D601" s="841"/>
      <c r="E601" s="841"/>
      <c r="F601" s="841"/>
      <c r="G601" s="841"/>
      <c r="H601" s="841"/>
      <c r="I601" s="841"/>
      <c r="J601" s="841"/>
      <c r="K601" s="841"/>
      <c r="L601" s="841"/>
      <c r="M601" s="841"/>
      <c r="N601" s="841"/>
      <c r="O601" s="841"/>
      <c r="P601" s="841"/>
      <c r="Q601" s="841"/>
      <c r="R601" s="841"/>
      <c r="S601" s="841"/>
      <c r="T601" s="841"/>
      <c r="U601" s="841"/>
      <c r="V601" s="841"/>
      <c r="W601" s="841"/>
      <c r="X601" s="841"/>
      <c r="Y601" s="841"/>
      <c r="Z601" s="1226"/>
      <c r="AA601" s="1226"/>
      <c r="AB601" s="1226"/>
      <c r="AC601" s="1226"/>
      <c r="AD601" s="1226"/>
      <c r="AE601" s="1226"/>
      <c r="AF601" s="1226"/>
      <c r="AG601" s="1226"/>
      <c r="AH601" s="1226"/>
      <c r="AI601" s="841"/>
      <c r="AJ601" s="841"/>
      <c r="AK601" s="841"/>
      <c r="AL601" s="841"/>
      <c r="AM601" s="841"/>
      <c r="AN601" s="841"/>
      <c r="AO601" s="841"/>
      <c r="AP601" s="841"/>
      <c r="AQ601" s="841"/>
      <c r="AR601" s="841"/>
      <c r="AS601" s="842"/>
    </row>
    <row r="602" spans="1:45">
      <c r="A602" s="841"/>
      <c r="B602" s="841"/>
      <c r="C602" s="841"/>
      <c r="D602" s="841"/>
      <c r="E602" s="841"/>
      <c r="F602" s="841"/>
      <c r="G602" s="841"/>
      <c r="H602" s="841"/>
      <c r="I602" s="841"/>
      <c r="J602" s="841"/>
      <c r="K602" s="841"/>
      <c r="L602" s="841"/>
      <c r="M602" s="841"/>
      <c r="N602" s="841"/>
      <c r="O602" s="841"/>
      <c r="P602" s="841"/>
      <c r="Q602" s="841"/>
      <c r="R602" s="841"/>
      <c r="S602" s="841"/>
      <c r="T602" s="841"/>
      <c r="U602" s="841"/>
      <c r="V602" s="841"/>
      <c r="W602" s="841"/>
      <c r="X602" s="841"/>
      <c r="Y602" s="841"/>
      <c r="Z602" s="1226"/>
      <c r="AA602" s="1226"/>
      <c r="AB602" s="1226"/>
      <c r="AC602" s="1226"/>
      <c r="AD602" s="1226"/>
      <c r="AE602" s="1226"/>
      <c r="AF602" s="1226"/>
      <c r="AG602" s="1226"/>
      <c r="AH602" s="1226"/>
      <c r="AI602" s="841"/>
      <c r="AJ602" s="841"/>
      <c r="AK602" s="841"/>
      <c r="AL602" s="841"/>
      <c r="AM602" s="841"/>
      <c r="AN602" s="841"/>
      <c r="AO602" s="841"/>
      <c r="AP602" s="841"/>
      <c r="AQ602" s="841"/>
      <c r="AR602" s="841"/>
      <c r="AS602" s="842"/>
    </row>
    <row r="603" spans="1:45">
      <c r="A603" s="841"/>
      <c r="B603" s="841"/>
      <c r="C603" s="841"/>
      <c r="D603" s="841"/>
      <c r="E603" s="841"/>
      <c r="F603" s="841"/>
      <c r="G603" s="841"/>
      <c r="H603" s="841"/>
      <c r="I603" s="841"/>
      <c r="J603" s="841"/>
      <c r="K603" s="841"/>
      <c r="L603" s="841"/>
      <c r="M603" s="841"/>
      <c r="N603" s="841"/>
      <c r="O603" s="841"/>
      <c r="P603" s="841"/>
      <c r="Q603" s="841"/>
      <c r="R603" s="841"/>
      <c r="S603" s="841"/>
      <c r="T603" s="841"/>
      <c r="U603" s="841"/>
      <c r="V603" s="841"/>
      <c r="W603" s="841"/>
      <c r="X603" s="841"/>
      <c r="Y603" s="841"/>
      <c r="Z603" s="1226"/>
      <c r="AA603" s="1226"/>
      <c r="AB603" s="1226"/>
      <c r="AC603" s="1226"/>
      <c r="AD603" s="1226"/>
      <c r="AE603" s="1226"/>
      <c r="AF603" s="1226"/>
      <c r="AG603" s="1226"/>
      <c r="AH603" s="1226"/>
      <c r="AI603" s="841"/>
      <c r="AJ603" s="841"/>
      <c r="AK603" s="841"/>
      <c r="AL603" s="841"/>
      <c r="AM603" s="841"/>
      <c r="AN603" s="841"/>
      <c r="AO603" s="841"/>
      <c r="AP603" s="841"/>
      <c r="AQ603" s="841"/>
      <c r="AR603" s="841"/>
      <c r="AS603" s="842"/>
    </row>
    <row r="604" spans="1:45">
      <c r="A604" s="841"/>
      <c r="B604" s="841"/>
      <c r="C604" s="841"/>
      <c r="D604" s="841"/>
      <c r="E604" s="841"/>
      <c r="F604" s="841"/>
      <c r="G604" s="841"/>
      <c r="H604" s="841"/>
      <c r="I604" s="841"/>
      <c r="J604" s="841"/>
      <c r="K604" s="841"/>
      <c r="L604" s="841"/>
      <c r="M604" s="841"/>
      <c r="N604" s="841"/>
      <c r="O604" s="841"/>
      <c r="P604" s="841"/>
      <c r="Q604" s="841"/>
      <c r="R604" s="841"/>
      <c r="S604" s="841"/>
      <c r="T604" s="841"/>
      <c r="U604" s="841"/>
      <c r="V604" s="841"/>
      <c r="W604" s="841"/>
      <c r="X604" s="841"/>
      <c r="Y604" s="841"/>
      <c r="Z604" s="1226"/>
      <c r="AA604" s="1226"/>
      <c r="AB604" s="1226"/>
      <c r="AC604" s="1226"/>
      <c r="AD604" s="1226"/>
      <c r="AE604" s="1226"/>
      <c r="AF604" s="1226"/>
      <c r="AG604" s="1226"/>
      <c r="AH604" s="1226"/>
      <c r="AI604" s="841"/>
      <c r="AJ604" s="841"/>
      <c r="AK604" s="841"/>
      <c r="AL604" s="841"/>
      <c r="AM604" s="841"/>
      <c r="AN604" s="841"/>
      <c r="AO604" s="841"/>
      <c r="AP604" s="841"/>
      <c r="AQ604" s="841"/>
      <c r="AR604" s="841"/>
      <c r="AS604" s="842"/>
    </row>
    <row r="605" spans="1:45">
      <c r="A605" s="841"/>
      <c r="B605" s="841"/>
      <c r="C605" s="841"/>
      <c r="D605" s="841"/>
      <c r="E605" s="841"/>
      <c r="F605" s="841"/>
      <c r="G605" s="841"/>
      <c r="H605" s="841"/>
      <c r="I605" s="841"/>
      <c r="J605" s="841"/>
      <c r="K605" s="841"/>
      <c r="L605" s="841"/>
      <c r="M605" s="841"/>
      <c r="N605" s="841"/>
      <c r="O605" s="841"/>
      <c r="P605" s="841"/>
      <c r="Q605" s="841"/>
      <c r="R605" s="841"/>
      <c r="S605" s="841"/>
      <c r="T605" s="841"/>
      <c r="U605" s="841"/>
      <c r="V605" s="841"/>
      <c r="W605" s="841"/>
      <c r="X605" s="841"/>
      <c r="Y605" s="841"/>
      <c r="Z605" s="1226"/>
      <c r="AA605" s="1226"/>
      <c r="AB605" s="1226"/>
      <c r="AC605" s="1226"/>
      <c r="AD605" s="1226"/>
      <c r="AE605" s="1226"/>
      <c r="AF605" s="1226"/>
      <c r="AG605" s="1226"/>
      <c r="AH605" s="1226"/>
      <c r="AI605" s="841"/>
      <c r="AJ605" s="841"/>
      <c r="AK605" s="841"/>
      <c r="AL605" s="841"/>
      <c r="AM605" s="841"/>
      <c r="AN605" s="841"/>
      <c r="AO605" s="841"/>
      <c r="AP605" s="841"/>
      <c r="AQ605" s="841"/>
      <c r="AR605" s="841"/>
      <c r="AS605" s="842"/>
    </row>
    <row r="606" spans="1:45">
      <c r="A606" s="841"/>
      <c r="B606" s="841"/>
      <c r="C606" s="841"/>
      <c r="D606" s="841"/>
      <c r="E606" s="841"/>
      <c r="F606" s="841"/>
      <c r="G606" s="841"/>
      <c r="H606" s="841"/>
      <c r="I606" s="841"/>
      <c r="J606" s="841"/>
      <c r="K606" s="841"/>
      <c r="L606" s="841"/>
      <c r="M606" s="841"/>
      <c r="N606" s="841"/>
      <c r="O606" s="841"/>
      <c r="P606" s="841"/>
      <c r="Q606" s="841"/>
      <c r="R606" s="841"/>
      <c r="S606" s="841"/>
      <c r="T606" s="841"/>
      <c r="U606" s="841"/>
      <c r="V606" s="841"/>
      <c r="W606" s="841"/>
      <c r="X606" s="841"/>
      <c r="Y606" s="841"/>
      <c r="Z606" s="1226"/>
      <c r="AA606" s="1226"/>
      <c r="AB606" s="1226"/>
      <c r="AC606" s="1226"/>
      <c r="AD606" s="1226"/>
      <c r="AE606" s="1226"/>
      <c r="AF606" s="1226"/>
      <c r="AG606" s="1226"/>
      <c r="AH606" s="1226"/>
      <c r="AI606" s="841"/>
      <c r="AJ606" s="841"/>
      <c r="AK606" s="841"/>
      <c r="AL606" s="841"/>
      <c r="AM606" s="841"/>
      <c r="AN606" s="841"/>
      <c r="AO606" s="841"/>
      <c r="AP606" s="841"/>
      <c r="AQ606" s="841"/>
      <c r="AR606" s="841"/>
      <c r="AS606" s="842"/>
    </row>
    <row r="607" spans="1:45">
      <c r="A607" s="841"/>
      <c r="B607" s="841"/>
      <c r="C607" s="841"/>
      <c r="D607" s="841"/>
      <c r="E607" s="841"/>
      <c r="F607" s="841"/>
      <c r="G607" s="841"/>
      <c r="H607" s="841"/>
      <c r="I607" s="841"/>
      <c r="J607" s="841"/>
      <c r="K607" s="841"/>
      <c r="L607" s="841"/>
      <c r="M607" s="841"/>
      <c r="N607" s="841"/>
      <c r="O607" s="841"/>
      <c r="P607" s="841"/>
      <c r="Q607" s="841"/>
      <c r="R607" s="841"/>
      <c r="S607" s="841"/>
      <c r="T607" s="841"/>
      <c r="U607" s="841"/>
      <c r="V607" s="841"/>
      <c r="W607" s="841"/>
      <c r="X607" s="841"/>
      <c r="Y607" s="841"/>
      <c r="Z607" s="1226"/>
      <c r="AA607" s="1226"/>
      <c r="AB607" s="1226"/>
      <c r="AC607" s="1226"/>
      <c r="AD607" s="1226"/>
      <c r="AE607" s="1226"/>
      <c r="AF607" s="1226"/>
      <c r="AG607" s="1226"/>
      <c r="AH607" s="1226"/>
      <c r="AI607" s="841"/>
      <c r="AJ607" s="841"/>
      <c r="AK607" s="841"/>
      <c r="AL607" s="841"/>
      <c r="AM607" s="841"/>
      <c r="AN607" s="841"/>
      <c r="AO607" s="841"/>
      <c r="AP607" s="841"/>
      <c r="AQ607" s="841"/>
      <c r="AR607" s="841"/>
      <c r="AS607" s="842"/>
    </row>
    <row r="608" spans="1:45">
      <c r="A608" s="841"/>
      <c r="B608" s="841"/>
      <c r="C608" s="841"/>
      <c r="D608" s="841"/>
      <c r="E608" s="841"/>
      <c r="F608" s="841"/>
      <c r="G608" s="841"/>
      <c r="H608" s="841"/>
      <c r="I608" s="841"/>
      <c r="J608" s="841"/>
      <c r="K608" s="841"/>
      <c r="L608" s="841"/>
      <c r="M608" s="841"/>
      <c r="N608" s="841"/>
      <c r="O608" s="841"/>
      <c r="P608" s="841"/>
      <c r="Q608" s="841"/>
      <c r="R608" s="841"/>
      <c r="S608" s="841"/>
      <c r="T608" s="841"/>
      <c r="U608" s="841"/>
      <c r="V608" s="841"/>
      <c r="W608" s="841"/>
      <c r="X608" s="841"/>
      <c r="Y608" s="841"/>
      <c r="Z608" s="1226"/>
      <c r="AA608" s="1226"/>
      <c r="AB608" s="1226"/>
      <c r="AC608" s="1226"/>
      <c r="AD608" s="1226"/>
      <c r="AE608" s="1226"/>
      <c r="AF608" s="1226"/>
      <c r="AG608" s="1226"/>
      <c r="AH608" s="1226"/>
      <c r="AI608" s="841"/>
      <c r="AJ608" s="841"/>
      <c r="AK608" s="841"/>
      <c r="AL608" s="841"/>
      <c r="AM608" s="841"/>
      <c r="AN608" s="841"/>
      <c r="AO608" s="841"/>
      <c r="AP608" s="841"/>
      <c r="AQ608" s="841"/>
      <c r="AR608" s="841"/>
      <c r="AS608" s="842"/>
    </row>
    <row r="609" spans="1:45">
      <c r="A609" s="841"/>
      <c r="B609" s="841"/>
      <c r="C609" s="841"/>
      <c r="D609" s="841"/>
      <c r="E609" s="841"/>
      <c r="F609" s="841"/>
      <c r="G609" s="841"/>
      <c r="H609" s="841"/>
      <c r="I609" s="841"/>
      <c r="J609" s="841"/>
      <c r="K609" s="841"/>
      <c r="L609" s="841"/>
      <c r="M609" s="841"/>
      <c r="N609" s="841"/>
      <c r="O609" s="841"/>
      <c r="P609" s="841"/>
      <c r="Q609" s="841"/>
      <c r="R609" s="841"/>
      <c r="S609" s="841"/>
      <c r="T609" s="841"/>
      <c r="U609" s="841"/>
      <c r="V609" s="841"/>
      <c r="W609" s="841"/>
      <c r="X609" s="841"/>
      <c r="Y609" s="841"/>
      <c r="Z609" s="1226"/>
      <c r="AA609" s="1226"/>
      <c r="AB609" s="1226"/>
      <c r="AC609" s="1226"/>
      <c r="AD609" s="1226"/>
      <c r="AE609" s="1226"/>
      <c r="AF609" s="1226"/>
      <c r="AG609" s="1226"/>
      <c r="AH609" s="1226"/>
      <c r="AI609" s="841"/>
      <c r="AJ609" s="841"/>
      <c r="AK609" s="841"/>
      <c r="AL609" s="841"/>
      <c r="AM609" s="841"/>
      <c r="AN609" s="841"/>
      <c r="AO609" s="841"/>
      <c r="AP609" s="841"/>
      <c r="AQ609" s="841"/>
      <c r="AR609" s="841"/>
      <c r="AS609" s="842"/>
    </row>
    <row r="610" spans="1:45">
      <c r="A610" s="841"/>
      <c r="B610" s="841"/>
      <c r="C610" s="841"/>
      <c r="D610" s="841"/>
      <c r="E610" s="841"/>
      <c r="F610" s="841"/>
      <c r="G610" s="841"/>
      <c r="H610" s="841"/>
      <c r="I610" s="841"/>
      <c r="J610" s="841"/>
      <c r="K610" s="841"/>
      <c r="L610" s="841"/>
      <c r="M610" s="841"/>
      <c r="N610" s="841"/>
      <c r="O610" s="841"/>
      <c r="P610" s="841"/>
      <c r="Q610" s="841"/>
      <c r="R610" s="841"/>
      <c r="S610" s="841"/>
      <c r="T610" s="841"/>
      <c r="U610" s="841"/>
      <c r="V610" s="841"/>
      <c r="W610" s="841"/>
      <c r="X610" s="841"/>
      <c r="Y610" s="841"/>
      <c r="Z610" s="1226"/>
      <c r="AA610" s="1226"/>
      <c r="AB610" s="1226"/>
      <c r="AC610" s="1226"/>
      <c r="AD610" s="1226"/>
      <c r="AE610" s="1226"/>
      <c r="AF610" s="1226"/>
      <c r="AG610" s="1226"/>
      <c r="AH610" s="1226"/>
      <c r="AI610" s="841"/>
      <c r="AJ610" s="841"/>
      <c r="AK610" s="841"/>
      <c r="AL610" s="841"/>
      <c r="AM610" s="841"/>
      <c r="AN610" s="841"/>
      <c r="AO610" s="841"/>
      <c r="AP610" s="841"/>
      <c r="AQ610" s="841"/>
      <c r="AR610" s="841"/>
      <c r="AS610" s="842"/>
    </row>
    <row r="611" spans="1:45">
      <c r="A611" s="841"/>
      <c r="B611" s="841"/>
      <c r="C611" s="841"/>
      <c r="D611" s="841"/>
      <c r="E611" s="841"/>
      <c r="F611" s="841"/>
      <c r="G611" s="841"/>
      <c r="H611" s="841"/>
      <c r="I611" s="841"/>
      <c r="J611" s="841"/>
      <c r="K611" s="841"/>
      <c r="L611" s="841"/>
      <c r="M611" s="841"/>
      <c r="N611" s="841"/>
      <c r="O611" s="841"/>
      <c r="P611" s="841"/>
      <c r="Q611" s="841"/>
      <c r="R611" s="841"/>
      <c r="S611" s="841"/>
      <c r="T611" s="841"/>
      <c r="U611" s="841"/>
      <c r="V611" s="841"/>
      <c r="W611" s="841"/>
      <c r="X611" s="841"/>
      <c r="Y611" s="841"/>
      <c r="Z611" s="1226"/>
      <c r="AA611" s="1226"/>
      <c r="AB611" s="1226"/>
      <c r="AC611" s="1226"/>
      <c r="AD611" s="1226"/>
      <c r="AE611" s="1226"/>
      <c r="AF611" s="1226"/>
      <c r="AG611" s="1226"/>
      <c r="AH611" s="1226"/>
      <c r="AI611" s="841"/>
      <c r="AJ611" s="841"/>
      <c r="AK611" s="841"/>
      <c r="AL611" s="841"/>
      <c r="AM611" s="841"/>
      <c r="AN611" s="841"/>
      <c r="AO611" s="841"/>
      <c r="AP611" s="841"/>
      <c r="AQ611" s="841"/>
      <c r="AR611" s="841"/>
      <c r="AS611" s="842"/>
    </row>
    <row r="612" spans="1:45">
      <c r="A612" s="841"/>
      <c r="B612" s="841"/>
      <c r="C612" s="841"/>
      <c r="D612" s="841"/>
      <c r="E612" s="841"/>
      <c r="F612" s="841"/>
      <c r="G612" s="841"/>
      <c r="H612" s="841"/>
      <c r="I612" s="841"/>
      <c r="J612" s="841"/>
      <c r="K612" s="841"/>
      <c r="L612" s="841"/>
      <c r="M612" s="841"/>
      <c r="N612" s="841"/>
      <c r="O612" s="841"/>
      <c r="P612" s="841"/>
      <c r="Q612" s="841"/>
      <c r="R612" s="841"/>
      <c r="S612" s="841"/>
      <c r="T612" s="841"/>
      <c r="U612" s="841"/>
      <c r="V612" s="841"/>
      <c r="W612" s="841"/>
      <c r="X612" s="841"/>
      <c r="Y612" s="841"/>
      <c r="Z612" s="1226"/>
      <c r="AA612" s="1226"/>
      <c r="AB612" s="1226"/>
      <c r="AC612" s="1226"/>
      <c r="AD612" s="1226"/>
      <c r="AE612" s="1226"/>
      <c r="AF612" s="1226"/>
      <c r="AG612" s="1226"/>
      <c r="AH612" s="1226"/>
      <c r="AI612" s="841"/>
      <c r="AJ612" s="841"/>
      <c r="AK612" s="841"/>
      <c r="AL612" s="841"/>
      <c r="AM612" s="841"/>
      <c r="AN612" s="841"/>
      <c r="AO612" s="841"/>
      <c r="AP612" s="841"/>
      <c r="AQ612" s="841"/>
      <c r="AR612" s="841"/>
      <c r="AS612" s="842"/>
    </row>
    <row r="613" spans="1:45">
      <c r="A613" s="841"/>
      <c r="B613" s="841"/>
      <c r="C613" s="841"/>
      <c r="D613" s="841"/>
      <c r="E613" s="841"/>
      <c r="F613" s="841"/>
      <c r="G613" s="841"/>
      <c r="H613" s="841"/>
      <c r="I613" s="841"/>
      <c r="J613" s="841"/>
      <c r="K613" s="841"/>
      <c r="L613" s="841"/>
      <c r="M613" s="841"/>
      <c r="N613" s="841"/>
      <c r="O613" s="841"/>
      <c r="P613" s="841"/>
      <c r="Q613" s="841"/>
      <c r="R613" s="841"/>
      <c r="S613" s="841"/>
      <c r="T613" s="841"/>
      <c r="U613" s="841"/>
      <c r="V613" s="841"/>
      <c r="W613" s="841"/>
      <c r="X613" s="841"/>
      <c r="Y613" s="841"/>
      <c r="Z613" s="1226"/>
      <c r="AA613" s="1226"/>
      <c r="AB613" s="1226"/>
      <c r="AC613" s="1226"/>
      <c r="AD613" s="1226"/>
      <c r="AE613" s="1226"/>
      <c r="AF613" s="1226"/>
      <c r="AG613" s="1226"/>
      <c r="AH613" s="1226"/>
      <c r="AI613" s="841"/>
      <c r="AJ613" s="841"/>
      <c r="AK613" s="841"/>
      <c r="AL613" s="841"/>
      <c r="AM613" s="841"/>
      <c r="AN613" s="841"/>
      <c r="AO613" s="841"/>
      <c r="AP613" s="841"/>
      <c r="AQ613" s="841"/>
      <c r="AR613" s="841"/>
      <c r="AS613" s="842"/>
    </row>
    <row r="614" spans="1:45">
      <c r="A614" s="841"/>
      <c r="B614" s="841"/>
      <c r="C614" s="841"/>
      <c r="D614" s="841"/>
      <c r="E614" s="841"/>
      <c r="F614" s="841"/>
      <c r="G614" s="841"/>
      <c r="H614" s="841"/>
      <c r="I614" s="841"/>
      <c r="J614" s="841"/>
      <c r="K614" s="841"/>
      <c r="L614" s="841"/>
      <c r="M614" s="841"/>
      <c r="N614" s="841"/>
      <c r="O614" s="841"/>
      <c r="P614" s="841"/>
      <c r="Q614" s="841"/>
      <c r="R614" s="841"/>
      <c r="S614" s="841"/>
      <c r="T614" s="841"/>
      <c r="U614" s="841"/>
      <c r="V614" s="841"/>
      <c r="W614" s="841"/>
      <c r="X614" s="841"/>
      <c r="Y614" s="841"/>
      <c r="Z614" s="1226"/>
      <c r="AA614" s="1226"/>
      <c r="AB614" s="1226"/>
      <c r="AC614" s="1226"/>
      <c r="AD614" s="1226"/>
      <c r="AE614" s="1226"/>
      <c r="AF614" s="1226"/>
      <c r="AG614" s="1226"/>
      <c r="AH614" s="1226"/>
      <c r="AI614" s="841"/>
      <c r="AJ614" s="841"/>
      <c r="AK614" s="841"/>
      <c r="AL614" s="841"/>
      <c r="AM614" s="841"/>
      <c r="AN614" s="841"/>
      <c r="AO614" s="841"/>
      <c r="AP614" s="841"/>
      <c r="AQ614" s="841"/>
      <c r="AR614" s="841"/>
      <c r="AS614" s="842"/>
    </row>
    <row r="615" spans="1:45">
      <c r="A615" s="841"/>
      <c r="B615" s="841"/>
      <c r="C615" s="841"/>
      <c r="D615" s="841"/>
      <c r="E615" s="841"/>
      <c r="F615" s="841"/>
      <c r="G615" s="841"/>
      <c r="H615" s="841"/>
      <c r="I615" s="841"/>
      <c r="J615" s="841"/>
      <c r="K615" s="841"/>
      <c r="L615" s="841"/>
      <c r="M615" s="841"/>
      <c r="N615" s="841"/>
      <c r="O615" s="841"/>
      <c r="P615" s="841"/>
      <c r="Q615" s="841"/>
      <c r="R615" s="841"/>
      <c r="S615" s="841"/>
      <c r="T615" s="841"/>
      <c r="U615" s="841"/>
      <c r="V615" s="841"/>
      <c r="W615" s="841"/>
      <c r="X615" s="841"/>
      <c r="Y615" s="841"/>
      <c r="Z615" s="1226"/>
      <c r="AA615" s="1226"/>
      <c r="AB615" s="1226"/>
      <c r="AC615" s="1226"/>
      <c r="AD615" s="1226"/>
      <c r="AE615" s="1226"/>
      <c r="AF615" s="1226"/>
      <c r="AG615" s="1226"/>
      <c r="AH615" s="1226"/>
      <c r="AI615" s="841"/>
      <c r="AJ615" s="841"/>
      <c r="AK615" s="841"/>
      <c r="AL615" s="841"/>
      <c r="AM615" s="841"/>
      <c r="AN615" s="841"/>
      <c r="AO615" s="841"/>
      <c r="AP615" s="841"/>
      <c r="AQ615" s="841"/>
      <c r="AR615" s="841"/>
      <c r="AS615" s="842"/>
    </row>
    <row r="616" spans="1:45">
      <c r="A616" s="841"/>
      <c r="B616" s="841"/>
      <c r="C616" s="841"/>
      <c r="D616" s="841"/>
      <c r="E616" s="841"/>
      <c r="F616" s="841"/>
      <c r="G616" s="841"/>
      <c r="H616" s="841"/>
      <c r="I616" s="841"/>
      <c r="J616" s="841"/>
      <c r="K616" s="841"/>
      <c r="L616" s="841"/>
      <c r="M616" s="841"/>
      <c r="N616" s="841"/>
      <c r="O616" s="841"/>
      <c r="P616" s="841"/>
      <c r="Q616" s="841"/>
      <c r="R616" s="841"/>
      <c r="S616" s="841"/>
      <c r="T616" s="841"/>
      <c r="U616" s="841"/>
      <c r="V616" s="841"/>
      <c r="W616" s="841"/>
      <c r="X616" s="841"/>
      <c r="Y616" s="841"/>
      <c r="Z616" s="1226"/>
      <c r="AA616" s="1226"/>
      <c r="AB616" s="1226"/>
      <c r="AC616" s="1226"/>
      <c r="AD616" s="1226"/>
      <c r="AE616" s="1226"/>
      <c r="AF616" s="1226"/>
      <c r="AG616" s="1226"/>
      <c r="AH616" s="1226"/>
      <c r="AI616" s="841"/>
      <c r="AJ616" s="841"/>
      <c r="AK616" s="841"/>
      <c r="AL616" s="841"/>
      <c r="AM616" s="841"/>
      <c r="AN616" s="841"/>
      <c r="AO616" s="841"/>
      <c r="AP616" s="841"/>
      <c r="AQ616" s="841"/>
      <c r="AR616" s="841"/>
      <c r="AS616" s="842"/>
    </row>
    <row r="617" spans="1:45">
      <c r="A617" s="841"/>
      <c r="B617" s="841"/>
      <c r="C617" s="841"/>
      <c r="D617" s="841"/>
      <c r="E617" s="841"/>
      <c r="F617" s="841"/>
      <c r="G617" s="841"/>
      <c r="H617" s="841"/>
      <c r="I617" s="841"/>
      <c r="J617" s="841"/>
      <c r="K617" s="841"/>
      <c r="L617" s="841"/>
      <c r="M617" s="841"/>
      <c r="N617" s="841"/>
      <c r="O617" s="841"/>
      <c r="P617" s="841"/>
      <c r="Q617" s="841"/>
      <c r="R617" s="841"/>
      <c r="S617" s="841"/>
      <c r="T617" s="841"/>
      <c r="U617" s="841"/>
      <c r="V617" s="841"/>
      <c r="W617" s="841"/>
      <c r="X617" s="841"/>
      <c r="Y617" s="841"/>
      <c r="Z617" s="1226"/>
      <c r="AA617" s="1226"/>
      <c r="AB617" s="1226"/>
      <c r="AC617" s="1226"/>
      <c r="AD617" s="1226"/>
      <c r="AE617" s="1226"/>
      <c r="AF617" s="1226"/>
      <c r="AG617" s="1226"/>
      <c r="AH617" s="1226"/>
      <c r="AI617" s="841"/>
      <c r="AJ617" s="841"/>
      <c r="AK617" s="841"/>
      <c r="AL617" s="841"/>
      <c r="AM617" s="841"/>
      <c r="AN617" s="841"/>
      <c r="AO617" s="841"/>
      <c r="AP617" s="841"/>
      <c r="AQ617" s="841"/>
      <c r="AR617" s="841"/>
      <c r="AS617" s="842"/>
    </row>
    <row r="618" spans="1:45">
      <c r="A618" s="841"/>
      <c r="B618" s="841"/>
      <c r="C618" s="841"/>
      <c r="D618" s="841"/>
      <c r="E618" s="841"/>
      <c r="F618" s="841"/>
      <c r="G618" s="841"/>
      <c r="H618" s="841"/>
      <c r="I618" s="841"/>
      <c r="J618" s="841"/>
      <c r="K618" s="841"/>
      <c r="L618" s="841"/>
      <c r="M618" s="841"/>
      <c r="N618" s="841"/>
      <c r="O618" s="841"/>
      <c r="P618" s="841"/>
      <c r="Q618" s="841"/>
      <c r="R618" s="841"/>
      <c r="S618" s="841"/>
      <c r="T618" s="841"/>
      <c r="U618" s="841"/>
      <c r="V618" s="841"/>
      <c r="W618" s="841"/>
      <c r="X618" s="841"/>
      <c r="Y618" s="841"/>
      <c r="Z618" s="1226"/>
      <c r="AA618" s="1226"/>
      <c r="AB618" s="1226"/>
      <c r="AC618" s="1226"/>
      <c r="AD618" s="1226"/>
      <c r="AE618" s="1226"/>
      <c r="AF618" s="1226"/>
      <c r="AG618" s="1226"/>
      <c r="AH618" s="1226"/>
      <c r="AI618" s="841"/>
      <c r="AJ618" s="841"/>
      <c r="AK618" s="841"/>
      <c r="AL618" s="841"/>
      <c r="AM618" s="841"/>
      <c r="AN618" s="841"/>
      <c r="AO618" s="841"/>
      <c r="AP618" s="841"/>
      <c r="AQ618" s="841"/>
      <c r="AR618" s="841"/>
      <c r="AS618" s="842"/>
    </row>
    <row r="619" spans="1:45">
      <c r="A619" s="841"/>
      <c r="B619" s="841"/>
      <c r="C619" s="841"/>
      <c r="D619" s="841"/>
      <c r="E619" s="841"/>
      <c r="F619" s="841"/>
      <c r="G619" s="841"/>
      <c r="H619" s="841"/>
      <c r="I619" s="841"/>
      <c r="J619" s="841"/>
      <c r="K619" s="841"/>
      <c r="L619" s="841"/>
      <c r="M619" s="841"/>
      <c r="N619" s="841"/>
      <c r="O619" s="841"/>
      <c r="P619" s="841"/>
      <c r="Q619" s="841"/>
      <c r="R619" s="841"/>
      <c r="S619" s="841"/>
      <c r="T619" s="841"/>
      <c r="U619" s="841"/>
      <c r="V619" s="841"/>
      <c r="W619" s="841"/>
      <c r="X619" s="841"/>
      <c r="Y619" s="841"/>
      <c r="Z619" s="1226"/>
      <c r="AA619" s="1226"/>
      <c r="AB619" s="1226"/>
      <c r="AC619" s="1226"/>
      <c r="AD619" s="1226"/>
      <c r="AE619" s="1226"/>
      <c r="AF619" s="1226"/>
      <c r="AG619" s="1226"/>
      <c r="AH619" s="1226"/>
      <c r="AI619" s="841"/>
      <c r="AJ619" s="841"/>
      <c r="AK619" s="841"/>
      <c r="AL619" s="841"/>
      <c r="AM619" s="841"/>
      <c r="AN619" s="841"/>
      <c r="AO619" s="841"/>
      <c r="AP619" s="841"/>
      <c r="AQ619" s="841"/>
      <c r="AR619" s="841"/>
      <c r="AS619" s="842"/>
    </row>
    <row r="620" spans="1:45">
      <c r="A620" s="841"/>
      <c r="B620" s="841"/>
      <c r="C620" s="841"/>
      <c r="D620" s="841"/>
      <c r="E620" s="841"/>
      <c r="F620" s="841"/>
      <c r="G620" s="841"/>
      <c r="H620" s="841"/>
      <c r="I620" s="841"/>
      <c r="J620" s="841"/>
      <c r="K620" s="841"/>
      <c r="L620" s="841"/>
      <c r="M620" s="841"/>
      <c r="N620" s="841"/>
      <c r="O620" s="841"/>
      <c r="P620" s="841"/>
      <c r="Q620" s="841"/>
      <c r="R620" s="841"/>
      <c r="S620" s="841"/>
      <c r="T620" s="841"/>
      <c r="U620" s="841"/>
      <c r="V620" s="841"/>
      <c r="W620" s="841"/>
      <c r="X620" s="841"/>
      <c r="Y620" s="841"/>
      <c r="Z620" s="1226"/>
      <c r="AA620" s="1226"/>
      <c r="AB620" s="1226"/>
      <c r="AC620" s="1226"/>
      <c r="AD620" s="1226"/>
      <c r="AE620" s="1226"/>
      <c r="AF620" s="1226"/>
      <c r="AG620" s="1226"/>
      <c r="AH620" s="1226"/>
      <c r="AI620" s="841"/>
      <c r="AJ620" s="841"/>
      <c r="AK620" s="841"/>
      <c r="AL620" s="841"/>
      <c r="AM620" s="841"/>
      <c r="AN620" s="841"/>
      <c r="AO620" s="841"/>
      <c r="AP620" s="841"/>
      <c r="AQ620" s="841"/>
      <c r="AR620" s="841"/>
      <c r="AS620" s="842"/>
    </row>
    <row r="621" spans="1:45">
      <c r="A621" s="841"/>
      <c r="B621" s="841"/>
      <c r="C621" s="841"/>
      <c r="D621" s="841"/>
      <c r="E621" s="841"/>
      <c r="F621" s="841"/>
      <c r="G621" s="841"/>
      <c r="H621" s="841"/>
      <c r="I621" s="841"/>
      <c r="J621" s="841"/>
      <c r="K621" s="841"/>
      <c r="L621" s="841"/>
      <c r="M621" s="841"/>
      <c r="N621" s="841"/>
      <c r="O621" s="841"/>
      <c r="P621" s="841"/>
      <c r="Q621" s="841"/>
      <c r="R621" s="841"/>
      <c r="S621" s="841"/>
      <c r="T621" s="841"/>
      <c r="U621" s="841"/>
      <c r="V621" s="841"/>
      <c r="W621" s="841"/>
      <c r="X621" s="841"/>
      <c r="Y621" s="841"/>
      <c r="Z621" s="1226"/>
      <c r="AA621" s="1226"/>
      <c r="AB621" s="1226"/>
      <c r="AC621" s="1226"/>
      <c r="AD621" s="1226"/>
      <c r="AE621" s="1226"/>
      <c r="AF621" s="1226"/>
      <c r="AG621" s="1226"/>
      <c r="AH621" s="1226"/>
      <c r="AI621" s="841"/>
      <c r="AJ621" s="841"/>
      <c r="AK621" s="841"/>
      <c r="AL621" s="841"/>
      <c r="AM621" s="841"/>
      <c r="AN621" s="841"/>
      <c r="AO621" s="841"/>
      <c r="AP621" s="841"/>
      <c r="AQ621" s="841"/>
      <c r="AR621" s="841"/>
      <c r="AS621" s="842"/>
    </row>
    <row r="622" spans="1:45">
      <c r="A622" s="841"/>
      <c r="B622" s="841"/>
      <c r="C622" s="841"/>
      <c r="D622" s="841"/>
      <c r="E622" s="841"/>
      <c r="F622" s="841"/>
      <c r="G622" s="841"/>
      <c r="H622" s="841"/>
      <c r="I622" s="841"/>
      <c r="J622" s="841"/>
      <c r="K622" s="841"/>
      <c r="L622" s="841"/>
      <c r="M622" s="841"/>
      <c r="N622" s="841"/>
      <c r="O622" s="841"/>
      <c r="P622" s="841"/>
      <c r="Q622" s="841"/>
      <c r="R622" s="841"/>
      <c r="S622" s="841"/>
      <c r="T622" s="841"/>
      <c r="U622" s="841"/>
      <c r="V622" s="841"/>
      <c r="W622" s="841"/>
      <c r="X622" s="841"/>
      <c r="Y622" s="841"/>
      <c r="Z622" s="1226"/>
      <c r="AA622" s="1226"/>
      <c r="AB622" s="1226"/>
      <c r="AC622" s="1226"/>
      <c r="AD622" s="1226"/>
      <c r="AE622" s="1226"/>
      <c r="AF622" s="1226"/>
      <c r="AG622" s="1226"/>
      <c r="AH622" s="1226"/>
      <c r="AI622" s="841"/>
      <c r="AJ622" s="841"/>
      <c r="AK622" s="841"/>
      <c r="AL622" s="841"/>
      <c r="AM622" s="841"/>
      <c r="AN622" s="841"/>
      <c r="AO622" s="841"/>
      <c r="AP622" s="841"/>
      <c r="AQ622" s="841"/>
      <c r="AR622" s="841"/>
      <c r="AS622" s="842"/>
    </row>
    <row r="623" spans="1:45">
      <c r="A623" s="841"/>
      <c r="B623" s="841"/>
      <c r="C623" s="841"/>
      <c r="D623" s="841"/>
      <c r="E623" s="841"/>
      <c r="F623" s="841"/>
      <c r="G623" s="841"/>
      <c r="H623" s="841"/>
      <c r="I623" s="841"/>
      <c r="J623" s="841"/>
      <c r="K623" s="841"/>
      <c r="L623" s="841"/>
      <c r="M623" s="841"/>
      <c r="N623" s="841"/>
      <c r="O623" s="841"/>
      <c r="P623" s="841"/>
      <c r="Q623" s="841"/>
      <c r="R623" s="841"/>
      <c r="S623" s="841"/>
      <c r="T623" s="841"/>
      <c r="U623" s="841"/>
      <c r="V623" s="841"/>
      <c r="W623" s="841"/>
      <c r="X623" s="841"/>
      <c r="Y623" s="841"/>
      <c r="Z623" s="1226"/>
      <c r="AA623" s="1226"/>
      <c r="AB623" s="1226"/>
      <c r="AC623" s="1226"/>
      <c r="AD623" s="1226"/>
      <c r="AE623" s="1226"/>
      <c r="AF623" s="1226"/>
      <c r="AG623" s="1226"/>
      <c r="AH623" s="1226"/>
      <c r="AI623" s="841"/>
      <c r="AJ623" s="841"/>
      <c r="AK623" s="841"/>
      <c r="AL623" s="841"/>
      <c r="AM623" s="841"/>
      <c r="AN623" s="841"/>
      <c r="AO623" s="841"/>
      <c r="AP623" s="841"/>
      <c r="AQ623" s="841"/>
      <c r="AR623" s="841"/>
      <c r="AS623" s="842"/>
    </row>
    <row r="624" spans="1:45">
      <c r="A624" s="841"/>
      <c r="B624" s="841"/>
      <c r="C624" s="841"/>
      <c r="D624" s="841"/>
      <c r="E624" s="841"/>
      <c r="F624" s="841"/>
      <c r="G624" s="841"/>
      <c r="H624" s="841"/>
      <c r="I624" s="841"/>
      <c r="J624" s="841"/>
      <c r="K624" s="841"/>
      <c r="L624" s="841"/>
      <c r="M624" s="841"/>
      <c r="N624" s="841"/>
      <c r="O624" s="841"/>
      <c r="P624" s="841"/>
      <c r="Q624" s="841"/>
      <c r="R624" s="841"/>
      <c r="S624" s="841"/>
      <c r="T624" s="841"/>
      <c r="U624" s="841"/>
      <c r="V624" s="841"/>
      <c r="W624" s="841"/>
      <c r="X624" s="841"/>
      <c r="Y624" s="841"/>
      <c r="Z624" s="1226"/>
      <c r="AA624" s="1226"/>
      <c r="AB624" s="1226"/>
      <c r="AC624" s="1226"/>
      <c r="AD624" s="1226"/>
      <c r="AE624" s="1226"/>
      <c r="AF624" s="1226"/>
      <c r="AG624" s="1226"/>
      <c r="AH624" s="1226"/>
      <c r="AI624" s="841"/>
      <c r="AJ624" s="841"/>
      <c r="AK624" s="841"/>
      <c r="AL624" s="841"/>
      <c r="AM624" s="841"/>
      <c r="AN624" s="841"/>
      <c r="AO624" s="841"/>
      <c r="AP624" s="841"/>
      <c r="AQ624" s="841"/>
      <c r="AR624" s="841"/>
      <c r="AS624" s="842"/>
    </row>
    <row r="625" spans="1:45">
      <c r="A625" s="841"/>
      <c r="B625" s="841"/>
      <c r="C625" s="841"/>
      <c r="D625" s="841"/>
      <c r="E625" s="841"/>
      <c r="F625" s="841"/>
      <c r="G625" s="841"/>
      <c r="H625" s="841"/>
      <c r="I625" s="841"/>
      <c r="J625" s="841"/>
      <c r="K625" s="841"/>
      <c r="L625" s="841"/>
      <c r="M625" s="841"/>
      <c r="N625" s="841"/>
      <c r="O625" s="841"/>
      <c r="P625" s="841"/>
      <c r="Q625" s="841"/>
      <c r="R625" s="841"/>
      <c r="S625" s="841"/>
      <c r="T625" s="841"/>
      <c r="U625" s="841"/>
      <c r="V625" s="841"/>
      <c r="W625" s="841"/>
      <c r="X625" s="841"/>
      <c r="Y625" s="841"/>
      <c r="Z625" s="1226"/>
      <c r="AA625" s="1226"/>
      <c r="AB625" s="1226"/>
      <c r="AC625" s="1226"/>
      <c r="AD625" s="1226"/>
      <c r="AE625" s="1226"/>
      <c r="AF625" s="1226"/>
      <c r="AG625" s="1226"/>
      <c r="AH625" s="1226"/>
      <c r="AI625" s="841"/>
      <c r="AJ625" s="841"/>
      <c r="AK625" s="841"/>
      <c r="AL625" s="841"/>
      <c r="AM625" s="841"/>
      <c r="AN625" s="841"/>
      <c r="AO625" s="841"/>
      <c r="AP625" s="841"/>
      <c r="AQ625" s="841"/>
      <c r="AR625" s="841"/>
      <c r="AS625" s="842"/>
    </row>
    <row r="626" spans="1:45">
      <c r="A626" s="841"/>
      <c r="B626" s="841"/>
      <c r="C626" s="841"/>
      <c r="D626" s="841"/>
      <c r="E626" s="841"/>
      <c r="F626" s="841"/>
      <c r="G626" s="841"/>
      <c r="H626" s="841"/>
      <c r="I626" s="841"/>
      <c r="J626" s="841"/>
      <c r="K626" s="841"/>
      <c r="L626" s="841"/>
      <c r="M626" s="841"/>
      <c r="N626" s="841"/>
      <c r="O626" s="841"/>
      <c r="P626" s="841"/>
      <c r="Q626" s="841"/>
      <c r="R626" s="841"/>
      <c r="S626" s="841"/>
      <c r="T626" s="841"/>
      <c r="U626" s="841"/>
      <c r="V626" s="841"/>
      <c r="W626" s="841"/>
      <c r="X626" s="841"/>
      <c r="Y626" s="841"/>
      <c r="Z626" s="1226"/>
      <c r="AA626" s="1226"/>
      <c r="AB626" s="1226"/>
      <c r="AC626" s="1226"/>
      <c r="AD626" s="1226"/>
      <c r="AE626" s="1226"/>
      <c r="AF626" s="1226"/>
      <c r="AG626" s="1226"/>
      <c r="AH626" s="1226"/>
      <c r="AI626" s="841"/>
      <c r="AJ626" s="841"/>
      <c r="AK626" s="841"/>
      <c r="AL626" s="841"/>
      <c r="AM626" s="841"/>
      <c r="AN626" s="841"/>
      <c r="AO626" s="841"/>
      <c r="AP626" s="841"/>
      <c r="AQ626" s="841"/>
      <c r="AR626" s="841"/>
      <c r="AS626" s="842"/>
    </row>
    <row r="627" spans="1:45">
      <c r="A627" s="841"/>
      <c r="B627" s="841"/>
      <c r="C627" s="841"/>
      <c r="D627" s="841"/>
      <c r="E627" s="841"/>
      <c r="F627" s="841"/>
      <c r="G627" s="841"/>
      <c r="H627" s="841"/>
      <c r="I627" s="841"/>
      <c r="J627" s="841"/>
      <c r="K627" s="841"/>
      <c r="L627" s="841"/>
      <c r="M627" s="841"/>
      <c r="N627" s="841"/>
      <c r="O627" s="841"/>
      <c r="P627" s="841"/>
      <c r="Q627" s="841"/>
      <c r="R627" s="841"/>
      <c r="S627" s="841"/>
      <c r="T627" s="841"/>
      <c r="U627" s="841"/>
      <c r="V627" s="841"/>
      <c r="W627" s="841"/>
      <c r="X627" s="841"/>
      <c r="Y627" s="841"/>
      <c r="Z627" s="1226"/>
      <c r="AA627" s="1226"/>
      <c r="AB627" s="1226"/>
      <c r="AC627" s="1226"/>
      <c r="AD627" s="1226"/>
      <c r="AE627" s="1226"/>
      <c r="AF627" s="1226"/>
      <c r="AG627" s="1226"/>
      <c r="AH627" s="1226"/>
      <c r="AI627" s="841"/>
      <c r="AJ627" s="841"/>
      <c r="AK627" s="841"/>
      <c r="AL627" s="841"/>
      <c r="AM627" s="841"/>
      <c r="AN627" s="841"/>
      <c r="AO627" s="841"/>
      <c r="AP627" s="841"/>
      <c r="AQ627" s="841"/>
      <c r="AR627" s="841"/>
      <c r="AS627" s="842"/>
    </row>
    <row r="628" spans="1:45">
      <c r="A628" s="841"/>
      <c r="B628" s="841"/>
      <c r="C628" s="841"/>
      <c r="D628" s="841"/>
      <c r="E628" s="841"/>
      <c r="F628" s="841"/>
      <c r="G628" s="841"/>
      <c r="H628" s="841"/>
      <c r="I628" s="841"/>
      <c r="J628" s="841"/>
      <c r="K628" s="841"/>
      <c r="L628" s="841"/>
      <c r="M628" s="841"/>
      <c r="N628" s="841"/>
      <c r="O628" s="841"/>
      <c r="P628" s="841"/>
      <c r="Q628" s="841"/>
      <c r="R628" s="841"/>
      <c r="S628" s="841"/>
      <c r="T628" s="841"/>
      <c r="U628" s="841"/>
      <c r="V628" s="841"/>
      <c r="W628" s="841"/>
      <c r="X628" s="841"/>
      <c r="Y628" s="841"/>
      <c r="Z628" s="1226"/>
      <c r="AA628" s="1226"/>
      <c r="AB628" s="1226"/>
      <c r="AC628" s="1226"/>
      <c r="AD628" s="1226"/>
      <c r="AE628" s="1226"/>
      <c r="AF628" s="1226"/>
      <c r="AG628" s="1226"/>
      <c r="AH628" s="1226"/>
      <c r="AI628" s="841"/>
      <c r="AJ628" s="841"/>
      <c r="AK628" s="841"/>
      <c r="AL628" s="841"/>
      <c r="AM628" s="841"/>
      <c r="AN628" s="841"/>
      <c r="AO628" s="841"/>
      <c r="AP628" s="841"/>
      <c r="AQ628" s="841"/>
      <c r="AR628" s="841"/>
      <c r="AS628" s="842"/>
    </row>
    <row r="629" spans="1:45">
      <c r="A629" s="841"/>
      <c r="B629" s="841"/>
      <c r="C629" s="841"/>
      <c r="D629" s="841"/>
      <c r="E629" s="841"/>
      <c r="F629" s="841"/>
      <c r="G629" s="841"/>
      <c r="H629" s="841"/>
      <c r="I629" s="841"/>
      <c r="J629" s="841"/>
      <c r="K629" s="841"/>
      <c r="L629" s="841"/>
      <c r="M629" s="841"/>
      <c r="N629" s="841"/>
      <c r="O629" s="841"/>
      <c r="P629" s="841"/>
      <c r="Q629" s="841"/>
      <c r="R629" s="841"/>
      <c r="S629" s="841"/>
      <c r="T629" s="841"/>
      <c r="U629" s="841"/>
      <c r="V629" s="841"/>
      <c r="W629" s="841"/>
      <c r="X629" s="841"/>
      <c r="Y629" s="841"/>
      <c r="Z629" s="1226"/>
      <c r="AA629" s="1226"/>
      <c r="AB629" s="1226"/>
      <c r="AC629" s="1226"/>
      <c r="AD629" s="1226"/>
      <c r="AE629" s="1226"/>
      <c r="AF629" s="1226"/>
      <c r="AG629" s="1226"/>
      <c r="AH629" s="1226"/>
      <c r="AI629" s="841"/>
      <c r="AJ629" s="841"/>
      <c r="AK629" s="841"/>
      <c r="AL629" s="841"/>
      <c r="AM629" s="841"/>
      <c r="AN629" s="841"/>
      <c r="AO629" s="841"/>
      <c r="AP629" s="841"/>
      <c r="AQ629" s="841"/>
      <c r="AR629" s="841"/>
      <c r="AS629" s="842"/>
    </row>
    <row r="630" spans="1:45">
      <c r="A630" s="841"/>
      <c r="B630" s="841"/>
      <c r="C630" s="841"/>
      <c r="D630" s="841"/>
      <c r="E630" s="841"/>
      <c r="F630" s="841"/>
      <c r="G630" s="841"/>
      <c r="H630" s="841"/>
      <c r="I630" s="841"/>
      <c r="J630" s="841"/>
      <c r="K630" s="841"/>
      <c r="L630" s="841"/>
      <c r="M630" s="841"/>
      <c r="N630" s="841"/>
      <c r="O630" s="841"/>
      <c r="P630" s="841"/>
      <c r="Q630" s="841"/>
      <c r="R630" s="841"/>
      <c r="S630" s="841"/>
      <c r="T630" s="841"/>
      <c r="U630" s="841"/>
      <c r="V630" s="841"/>
      <c r="W630" s="841"/>
      <c r="X630" s="841"/>
      <c r="Y630" s="841"/>
      <c r="Z630" s="1226"/>
      <c r="AA630" s="1226"/>
      <c r="AB630" s="1226"/>
      <c r="AC630" s="1226"/>
      <c r="AD630" s="1226"/>
      <c r="AE630" s="1226"/>
      <c r="AF630" s="1226"/>
      <c r="AG630" s="1226"/>
      <c r="AH630" s="1226"/>
      <c r="AI630" s="841"/>
      <c r="AJ630" s="841"/>
      <c r="AK630" s="841"/>
      <c r="AL630" s="841"/>
      <c r="AM630" s="841"/>
      <c r="AN630" s="841"/>
      <c r="AO630" s="841"/>
      <c r="AP630" s="841"/>
      <c r="AQ630" s="841"/>
      <c r="AR630" s="841"/>
      <c r="AS630" s="842"/>
    </row>
    <row r="631" spans="1:45">
      <c r="A631" s="841"/>
      <c r="B631" s="841"/>
      <c r="C631" s="841"/>
      <c r="D631" s="841"/>
      <c r="E631" s="841"/>
      <c r="F631" s="841"/>
      <c r="G631" s="841"/>
      <c r="H631" s="841"/>
      <c r="I631" s="841"/>
      <c r="J631" s="841"/>
      <c r="K631" s="841"/>
      <c r="L631" s="841"/>
      <c r="M631" s="841"/>
      <c r="N631" s="841"/>
      <c r="O631" s="841"/>
      <c r="P631" s="841"/>
      <c r="Q631" s="841"/>
      <c r="R631" s="841"/>
      <c r="S631" s="841"/>
      <c r="T631" s="841"/>
      <c r="U631" s="841"/>
      <c r="V631" s="841"/>
      <c r="W631" s="841"/>
      <c r="X631" s="841"/>
      <c r="Y631" s="841"/>
      <c r="Z631" s="1226"/>
      <c r="AA631" s="1226"/>
      <c r="AB631" s="1226"/>
      <c r="AC631" s="1226"/>
      <c r="AD631" s="1226"/>
      <c r="AE631" s="1226"/>
      <c r="AF631" s="1226"/>
      <c r="AG631" s="1226"/>
      <c r="AH631" s="1226"/>
      <c r="AI631" s="841"/>
      <c r="AJ631" s="841"/>
      <c r="AK631" s="841"/>
      <c r="AL631" s="841"/>
      <c r="AM631" s="841"/>
      <c r="AN631" s="841"/>
      <c r="AO631" s="841"/>
      <c r="AP631" s="841"/>
      <c r="AQ631" s="841"/>
      <c r="AR631" s="841"/>
      <c r="AS631" s="842"/>
    </row>
    <row r="632" spans="1:45">
      <c r="A632" s="841"/>
      <c r="B632" s="841"/>
      <c r="C632" s="841"/>
      <c r="D632" s="841"/>
      <c r="E632" s="841"/>
      <c r="F632" s="841"/>
      <c r="G632" s="841"/>
      <c r="H632" s="841"/>
      <c r="I632" s="841"/>
      <c r="J632" s="841"/>
      <c r="K632" s="841"/>
      <c r="L632" s="841"/>
      <c r="M632" s="841"/>
      <c r="N632" s="841"/>
      <c r="O632" s="841"/>
      <c r="P632" s="841"/>
      <c r="Q632" s="841"/>
      <c r="R632" s="841"/>
      <c r="S632" s="841"/>
      <c r="T632" s="841"/>
      <c r="U632" s="841"/>
      <c r="V632" s="841"/>
      <c r="W632" s="841"/>
      <c r="X632" s="841"/>
      <c r="Y632" s="841"/>
      <c r="Z632" s="1226"/>
      <c r="AA632" s="1226"/>
      <c r="AB632" s="1226"/>
      <c r="AC632" s="1226"/>
      <c r="AD632" s="1226"/>
      <c r="AE632" s="1226"/>
      <c r="AF632" s="1226"/>
      <c r="AG632" s="1226"/>
      <c r="AH632" s="1226"/>
      <c r="AI632" s="841"/>
      <c r="AJ632" s="841"/>
      <c r="AK632" s="841"/>
      <c r="AL632" s="841"/>
      <c r="AM632" s="841"/>
      <c r="AN632" s="841"/>
      <c r="AO632" s="841"/>
      <c r="AP632" s="841"/>
      <c r="AQ632" s="841"/>
      <c r="AR632" s="841"/>
      <c r="AS632" s="842"/>
    </row>
    <row r="633" spans="1:45">
      <c r="A633" s="841"/>
      <c r="B633" s="841"/>
      <c r="C633" s="841"/>
      <c r="D633" s="841"/>
      <c r="E633" s="841"/>
      <c r="F633" s="841"/>
      <c r="G633" s="841"/>
      <c r="H633" s="841"/>
      <c r="I633" s="841"/>
      <c r="J633" s="841"/>
      <c r="K633" s="841"/>
      <c r="L633" s="841"/>
      <c r="M633" s="841"/>
      <c r="N633" s="841"/>
      <c r="O633" s="841"/>
      <c r="P633" s="841"/>
      <c r="Q633" s="841"/>
      <c r="R633" s="841"/>
      <c r="S633" s="841"/>
      <c r="T633" s="841"/>
      <c r="U633" s="841"/>
      <c r="V633" s="841"/>
      <c r="W633" s="841"/>
      <c r="X633" s="841"/>
      <c r="Y633" s="841"/>
      <c r="Z633" s="1226"/>
      <c r="AA633" s="1226"/>
      <c r="AB633" s="1226"/>
      <c r="AC633" s="1226"/>
      <c r="AD633" s="1226"/>
      <c r="AE633" s="1226"/>
      <c r="AF633" s="1226"/>
      <c r="AG633" s="1226"/>
      <c r="AH633" s="1226"/>
      <c r="AI633" s="841"/>
      <c r="AJ633" s="841"/>
      <c r="AK633" s="841"/>
      <c r="AL633" s="841"/>
      <c r="AM633" s="841"/>
      <c r="AN633" s="841"/>
      <c r="AO633" s="841"/>
      <c r="AP633" s="841"/>
      <c r="AQ633" s="841"/>
      <c r="AR633" s="841"/>
      <c r="AS633" s="842"/>
    </row>
    <row r="634" spans="1:45">
      <c r="A634" s="841"/>
      <c r="B634" s="841"/>
      <c r="C634" s="841"/>
      <c r="D634" s="841"/>
      <c r="E634" s="841"/>
      <c r="F634" s="841"/>
      <c r="G634" s="841"/>
      <c r="H634" s="841"/>
      <c r="I634" s="841"/>
      <c r="J634" s="841"/>
      <c r="K634" s="841"/>
      <c r="L634" s="841"/>
      <c r="M634" s="841"/>
      <c r="N634" s="841"/>
      <c r="O634" s="841"/>
      <c r="P634" s="841"/>
      <c r="Q634" s="841"/>
      <c r="R634" s="841"/>
      <c r="S634" s="841"/>
      <c r="T634" s="841"/>
      <c r="U634" s="841"/>
      <c r="V634" s="841"/>
      <c r="W634" s="841"/>
      <c r="X634" s="841"/>
      <c r="Y634" s="841"/>
      <c r="Z634" s="1226"/>
      <c r="AA634" s="1226"/>
      <c r="AB634" s="1226"/>
      <c r="AC634" s="1226"/>
      <c r="AD634" s="1226"/>
      <c r="AE634" s="1226"/>
      <c r="AF634" s="1226"/>
      <c r="AG634" s="1226"/>
      <c r="AH634" s="1226"/>
      <c r="AI634" s="841"/>
      <c r="AJ634" s="841"/>
      <c r="AK634" s="841"/>
      <c r="AL634" s="841"/>
      <c r="AM634" s="841"/>
      <c r="AN634" s="841"/>
      <c r="AO634" s="841"/>
      <c r="AP634" s="841"/>
      <c r="AQ634" s="841"/>
      <c r="AR634" s="841"/>
      <c r="AS634" s="842"/>
    </row>
    <row r="635" spans="1:45">
      <c r="A635" s="841"/>
      <c r="B635" s="841"/>
      <c r="C635" s="841"/>
      <c r="D635" s="841"/>
      <c r="E635" s="841"/>
      <c r="F635" s="841"/>
      <c r="G635" s="841"/>
      <c r="H635" s="841"/>
      <c r="I635" s="841"/>
      <c r="J635" s="841"/>
      <c r="K635" s="841"/>
      <c r="L635" s="841"/>
      <c r="M635" s="841"/>
      <c r="N635" s="841"/>
      <c r="O635" s="841"/>
      <c r="P635" s="841"/>
      <c r="Q635" s="841"/>
      <c r="R635" s="841"/>
      <c r="S635" s="841"/>
      <c r="T635" s="841"/>
      <c r="U635" s="841"/>
      <c r="V635" s="841"/>
      <c r="W635" s="841"/>
      <c r="X635" s="841"/>
      <c r="Y635" s="841"/>
      <c r="Z635" s="1226"/>
      <c r="AA635" s="1226"/>
      <c r="AB635" s="1226"/>
      <c r="AC635" s="1226"/>
      <c r="AD635" s="1226"/>
      <c r="AE635" s="1226"/>
      <c r="AF635" s="1226"/>
      <c r="AG635" s="1226"/>
      <c r="AH635" s="1226"/>
      <c r="AI635" s="841"/>
      <c r="AJ635" s="841"/>
      <c r="AK635" s="841"/>
      <c r="AL635" s="841"/>
      <c r="AM635" s="841"/>
      <c r="AN635" s="841"/>
      <c r="AO635" s="841"/>
      <c r="AP635" s="841"/>
      <c r="AQ635" s="841"/>
      <c r="AR635" s="841"/>
      <c r="AS635" s="842"/>
    </row>
    <row r="636" spans="1:45">
      <c r="A636" s="841"/>
      <c r="B636" s="841"/>
      <c r="C636" s="841"/>
      <c r="D636" s="841"/>
      <c r="E636" s="841"/>
      <c r="F636" s="841"/>
      <c r="G636" s="841"/>
      <c r="H636" s="841"/>
      <c r="I636" s="841"/>
      <c r="J636" s="841"/>
      <c r="K636" s="841"/>
      <c r="L636" s="841"/>
      <c r="M636" s="841"/>
      <c r="N636" s="841"/>
      <c r="O636" s="841"/>
      <c r="P636" s="841"/>
      <c r="Q636" s="841"/>
      <c r="R636" s="841"/>
      <c r="S636" s="841"/>
      <c r="T636" s="841"/>
      <c r="U636" s="841"/>
      <c r="V636" s="841"/>
      <c r="W636" s="841"/>
      <c r="X636" s="841"/>
      <c r="Y636" s="841"/>
      <c r="Z636" s="1226"/>
      <c r="AA636" s="1226"/>
      <c r="AB636" s="1226"/>
      <c r="AC636" s="1226"/>
      <c r="AD636" s="1226"/>
      <c r="AE636" s="1226"/>
      <c r="AF636" s="1226"/>
      <c r="AG636" s="1226"/>
      <c r="AH636" s="1226"/>
      <c r="AI636" s="841"/>
      <c r="AJ636" s="841"/>
      <c r="AK636" s="841"/>
      <c r="AL636" s="841"/>
      <c r="AM636" s="841"/>
      <c r="AN636" s="841"/>
      <c r="AO636" s="841"/>
      <c r="AP636" s="841"/>
      <c r="AQ636" s="841"/>
      <c r="AR636" s="841"/>
      <c r="AS636" s="842"/>
    </row>
    <row r="637" spans="1:45">
      <c r="A637" s="841"/>
      <c r="B637" s="841"/>
      <c r="C637" s="841"/>
      <c r="D637" s="841"/>
      <c r="E637" s="841"/>
      <c r="F637" s="841"/>
      <c r="G637" s="841"/>
      <c r="H637" s="841"/>
      <c r="I637" s="841"/>
      <c r="J637" s="841"/>
      <c r="K637" s="841"/>
      <c r="L637" s="841"/>
      <c r="M637" s="841"/>
      <c r="N637" s="841"/>
      <c r="O637" s="841"/>
      <c r="P637" s="841"/>
      <c r="Q637" s="841"/>
      <c r="R637" s="841"/>
      <c r="S637" s="841"/>
      <c r="T637" s="841"/>
      <c r="U637" s="841"/>
      <c r="V637" s="841"/>
      <c r="W637" s="841"/>
      <c r="X637" s="841"/>
      <c r="Y637" s="841"/>
      <c r="Z637" s="1226"/>
      <c r="AA637" s="1226"/>
      <c r="AB637" s="1226"/>
      <c r="AC637" s="1226"/>
      <c r="AD637" s="1226"/>
      <c r="AE637" s="1226"/>
      <c r="AF637" s="1226"/>
      <c r="AG637" s="1226"/>
      <c r="AH637" s="1226"/>
      <c r="AI637" s="841"/>
      <c r="AJ637" s="841"/>
      <c r="AK637" s="841"/>
      <c r="AL637" s="841"/>
      <c r="AM637" s="841"/>
      <c r="AN637" s="841"/>
      <c r="AO637" s="841"/>
      <c r="AP637" s="841"/>
      <c r="AQ637" s="841"/>
      <c r="AR637" s="841"/>
      <c r="AS637" s="842"/>
    </row>
    <row r="638" spans="1:45">
      <c r="A638" s="841"/>
      <c r="B638" s="841"/>
      <c r="C638" s="841"/>
      <c r="D638" s="841"/>
      <c r="E638" s="841"/>
      <c r="F638" s="841"/>
      <c r="G638" s="841"/>
      <c r="H638" s="841"/>
      <c r="I638" s="841"/>
      <c r="J638" s="841"/>
      <c r="K638" s="841"/>
      <c r="L638" s="841"/>
      <c r="M638" s="841"/>
      <c r="N638" s="841"/>
      <c r="O638" s="841"/>
      <c r="P638" s="841"/>
      <c r="Q638" s="841"/>
      <c r="R638" s="841"/>
      <c r="S638" s="841"/>
      <c r="T638" s="841"/>
      <c r="U638" s="841"/>
      <c r="V638" s="841"/>
      <c r="W638" s="841"/>
      <c r="X638" s="841"/>
      <c r="Y638" s="841"/>
      <c r="Z638" s="1226"/>
      <c r="AA638" s="1226"/>
      <c r="AB638" s="1226"/>
      <c r="AC638" s="1226"/>
      <c r="AD638" s="1226"/>
      <c r="AE638" s="1226"/>
      <c r="AF638" s="1226"/>
      <c r="AG638" s="1226"/>
      <c r="AH638" s="1226"/>
      <c r="AI638" s="841"/>
      <c r="AJ638" s="841"/>
      <c r="AK638" s="841"/>
      <c r="AL638" s="841"/>
      <c r="AM638" s="841"/>
      <c r="AN638" s="841"/>
      <c r="AO638" s="841"/>
      <c r="AP638" s="841"/>
      <c r="AQ638" s="841"/>
      <c r="AR638" s="841"/>
      <c r="AS638" s="842"/>
    </row>
    <row r="639" spans="1:45">
      <c r="A639" s="841"/>
      <c r="B639" s="841"/>
      <c r="C639" s="841"/>
      <c r="D639" s="841"/>
      <c r="E639" s="841"/>
      <c r="F639" s="841"/>
      <c r="G639" s="841"/>
      <c r="H639" s="841"/>
      <c r="I639" s="841"/>
      <c r="J639" s="841"/>
      <c r="K639" s="841"/>
      <c r="L639" s="841"/>
      <c r="M639" s="841"/>
      <c r="N639" s="841"/>
      <c r="O639" s="841"/>
      <c r="P639" s="841"/>
      <c r="Q639" s="841"/>
      <c r="R639" s="841"/>
      <c r="S639" s="841"/>
      <c r="T639" s="841"/>
      <c r="U639" s="841"/>
      <c r="V639" s="841"/>
      <c r="W639" s="841"/>
      <c r="X639" s="841"/>
      <c r="Y639" s="841"/>
      <c r="Z639" s="1226"/>
      <c r="AA639" s="1226"/>
      <c r="AB639" s="1226"/>
      <c r="AC639" s="1226"/>
      <c r="AD639" s="1226"/>
      <c r="AE639" s="1226"/>
      <c r="AF639" s="1226"/>
      <c r="AG639" s="1226"/>
      <c r="AH639" s="1226"/>
      <c r="AI639" s="841"/>
      <c r="AJ639" s="841"/>
      <c r="AK639" s="841"/>
      <c r="AL639" s="841"/>
      <c r="AM639" s="841"/>
      <c r="AN639" s="841"/>
      <c r="AO639" s="841"/>
      <c r="AP639" s="841"/>
      <c r="AQ639" s="841"/>
      <c r="AR639" s="841"/>
      <c r="AS639" s="842"/>
    </row>
    <row r="640" spans="1:45">
      <c r="A640" s="841"/>
      <c r="B640" s="841"/>
      <c r="C640" s="841"/>
      <c r="D640" s="841"/>
      <c r="E640" s="841"/>
      <c r="F640" s="841"/>
      <c r="G640" s="841"/>
      <c r="H640" s="841"/>
      <c r="I640" s="841"/>
      <c r="J640" s="841"/>
      <c r="K640" s="841"/>
      <c r="L640" s="841"/>
      <c r="M640" s="841"/>
      <c r="N640" s="841"/>
      <c r="O640" s="841"/>
      <c r="P640" s="841"/>
      <c r="Q640" s="841"/>
      <c r="R640" s="841"/>
      <c r="S640" s="841"/>
      <c r="T640" s="841"/>
      <c r="U640" s="841"/>
      <c r="V640" s="841"/>
      <c r="W640" s="841"/>
      <c r="X640" s="841"/>
      <c r="Y640" s="841"/>
      <c r="Z640" s="1226"/>
      <c r="AA640" s="1226"/>
      <c r="AB640" s="1226"/>
      <c r="AC640" s="1226"/>
      <c r="AD640" s="1226"/>
      <c r="AE640" s="1226"/>
      <c r="AF640" s="1226"/>
      <c r="AG640" s="1226"/>
      <c r="AH640" s="1226"/>
      <c r="AI640" s="841"/>
      <c r="AJ640" s="841"/>
      <c r="AK640" s="841"/>
      <c r="AL640" s="841"/>
      <c r="AM640" s="841"/>
      <c r="AN640" s="841"/>
      <c r="AO640" s="841"/>
      <c r="AP640" s="841"/>
      <c r="AQ640" s="841"/>
      <c r="AR640" s="841"/>
      <c r="AS640" s="842"/>
    </row>
    <row r="641" spans="1:45">
      <c r="A641" s="841"/>
      <c r="B641" s="841"/>
      <c r="C641" s="841"/>
      <c r="D641" s="841"/>
      <c r="E641" s="841"/>
      <c r="F641" s="841"/>
      <c r="G641" s="841"/>
      <c r="H641" s="841"/>
      <c r="I641" s="841"/>
      <c r="J641" s="841"/>
      <c r="K641" s="841"/>
      <c r="L641" s="841"/>
      <c r="M641" s="841"/>
      <c r="N641" s="841"/>
      <c r="O641" s="841"/>
      <c r="P641" s="841"/>
      <c r="Q641" s="841"/>
      <c r="R641" s="841"/>
      <c r="S641" s="841"/>
      <c r="T641" s="841"/>
      <c r="U641" s="841"/>
      <c r="V641" s="841"/>
      <c r="W641" s="841"/>
      <c r="X641" s="841"/>
      <c r="Y641" s="841"/>
      <c r="Z641" s="1226"/>
      <c r="AA641" s="1226"/>
      <c r="AB641" s="1226"/>
      <c r="AC641" s="1226"/>
      <c r="AD641" s="1226"/>
      <c r="AE641" s="1226"/>
      <c r="AF641" s="1226"/>
      <c r="AG641" s="1226"/>
      <c r="AH641" s="1226"/>
      <c r="AI641" s="841"/>
      <c r="AJ641" s="841"/>
      <c r="AK641" s="841"/>
      <c r="AL641" s="841"/>
      <c r="AM641" s="841"/>
      <c r="AN641" s="841"/>
      <c r="AO641" s="841"/>
      <c r="AP641" s="841"/>
      <c r="AQ641" s="841"/>
      <c r="AR641" s="841"/>
      <c r="AS641" s="842"/>
    </row>
    <row r="642" spans="1:45">
      <c r="A642" s="841"/>
      <c r="B642" s="841"/>
      <c r="C642" s="841"/>
      <c r="D642" s="841"/>
      <c r="E642" s="841"/>
      <c r="F642" s="841"/>
      <c r="G642" s="841"/>
      <c r="H642" s="841"/>
      <c r="I642" s="841"/>
      <c r="J642" s="841"/>
      <c r="K642" s="841"/>
      <c r="L642" s="841"/>
      <c r="M642" s="841"/>
      <c r="N642" s="841"/>
      <c r="O642" s="841"/>
      <c r="P642" s="841"/>
      <c r="Q642" s="841"/>
      <c r="R642" s="841"/>
      <c r="S642" s="841"/>
      <c r="T642" s="841"/>
      <c r="U642" s="841"/>
      <c r="V642" s="841"/>
      <c r="W642" s="841"/>
      <c r="X642" s="841"/>
      <c r="Y642" s="841"/>
      <c r="Z642" s="1226"/>
      <c r="AA642" s="1226"/>
      <c r="AB642" s="1226"/>
      <c r="AC642" s="1226"/>
      <c r="AD642" s="1226"/>
      <c r="AE642" s="1226"/>
      <c r="AF642" s="1226"/>
      <c r="AG642" s="1226"/>
      <c r="AH642" s="1226"/>
      <c r="AI642" s="841"/>
      <c r="AJ642" s="841"/>
      <c r="AK642" s="841"/>
      <c r="AL642" s="841"/>
      <c r="AM642" s="841"/>
      <c r="AN642" s="841"/>
      <c r="AO642" s="841"/>
      <c r="AP642" s="841"/>
      <c r="AQ642" s="841"/>
      <c r="AR642" s="841"/>
      <c r="AS642" s="842"/>
    </row>
    <row r="643" spans="1:45">
      <c r="A643" s="841"/>
      <c r="B643" s="841"/>
      <c r="C643" s="841"/>
      <c r="D643" s="841"/>
      <c r="E643" s="841"/>
      <c r="F643" s="841"/>
      <c r="G643" s="841"/>
      <c r="H643" s="841"/>
      <c r="I643" s="841"/>
      <c r="J643" s="841"/>
      <c r="K643" s="841"/>
      <c r="L643" s="841"/>
      <c r="M643" s="841"/>
      <c r="N643" s="841"/>
      <c r="O643" s="841"/>
      <c r="P643" s="841"/>
      <c r="Q643" s="841"/>
      <c r="R643" s="841"/>
      <c r="S643" s="841"/>
      <c r="T643" s="841"/>
      <c r="U643" s="841"/>
      <c r="V643" s="841"/>
      <c r="W643" s="841"/>
      <c r="X643" s="841"/>
      <c r="Y643" s="841"/>
      <c r="Z643" s="1226"/>
      <c r="AA643" s="1226"/>
      <c r="AB643" s="1226"/>
      <c r="AC643" s="1226"/>
      <c r="AD643" s="1226"/>
      <c r="AE643" s="1226"/>
      <c r="AF643" s="1226"/>
      <c r="AG643" s="1226"/>
      <c r="AH643" s="1226"/>
      <c r="AI643" s="841"/>
      <c r="AJ643" s="841"/>
      <c r="AK643" s="841"/>
      <c r="AL643" s="841"/>
      <c r="AM643" s="841"/>
      <c r="AN643" s="841"/>
      <c r="AO643" s="841"/>
      <c r="AP643" s="841"/>
      <c r="AQ643" s="841"/>
      <c r="AR643" s="841"/>
      <c r="AS643" s="842"/>
    </row>
    <row r="644" spans="1:45">
      <c r="A644" s="841"/>
      <c r="B644" s="841"/>
      <c r="C644" s="841"/>
      <c r="D644" s="841"/>
      <c r="E644" s="841"/>
      <c r="F644" s="841"/>
      <c r="G644" s="841"/>
      <c r="H644" s="841"/>
      <c r="I644" s="841"/>
      <c r="J644" s="841"/>
      <c r="K644" s="841"/>
      <c r="L644" s="841"/>
      <c r="M644" s="841"/>
      <c r="N644" s="841"/>
      <c r="O644" s="841"/>
      <c r="P644" s="841"/>
      <c r="Q644" s="841"/>
      <c r="R644" s="841"/>
      <c r="S644" s="841"/>
      <c r="T644" s="841"/>
      <c r="U644" s="841"/>
      <c r="V644" s="841"/>
      <c r="W644" s="841"/>
      <c r="X644" s="841"/>
      <c r="Y644" s="841"/>
      <c r="Z644" s="1226"/>
      <c r="AA644" s="1226"/>
      <c r="AB644" s="1226"/>
      <c r="AC644" s="1226"/>
      <c r="AD644" s="1226"/>
      <c r="AE644" s="1226"/>
      <c r="AF644" s="1226"/>
      <c r="AG644" s="1226"/>
      <c r="AH644" s="1226"/>
      <c r="AI644" s="841"/>
      <c r="AJ644" s="841"/>
      <c r="AK644" s="841"/>
      <c r="AL644" s="841"/>
      <c r="AM644" s="841"/>
      <c r="AN644" s="841"/>
      <c r="AO644" s="841"/>
      <c r="AP644" s="841"/>
      <c r="AQ644" s="841"/>
      <c r="AR644" s="841"/>
      <c r="AS644" s="842"/>
    </row>
    <row r="645" spans="1:45">
      <c r="A645" s="841"/>
      <c r="B645" s="841"/>
      <c r="C645" s="841"/>
      <c r="D645" s="841"/>
      <c r="E645" s="841"/>
      <c r="F645" s="841"/>
      <c r="G645" s="841"/>
      <c r="H645" s="841"/>
      <c r="I645" s="841"/>
      <c r="J645" s="841"/>
      <c r="K645" s="841"/>
      <c r="L645" s="841"/>
      <c r="M645" s="841"/>
      <c r="N645" s="841"/>
      <c r="O645" s="841"/>
      <c r="P645" s="841"/>
      <c r="Q645" s="841"/>
      <c r="R645" s="841"/>
      <c r="S645" s="841"/>
      <c r="T645" s="841"/>
      <c r="U645" s="841"/>
      <c r="V645" s="841"/>
      <c r="W645" s="841"/>
      <c r="X645" s="841"/>
      <c r="Y645" s="841"/>
      <c r="Z645" s="1226"/>
      <c r="AA645" s="1226"/>
      <c r="AB645" s="1226"/>
      <c r="AC645" s="1226"/>
      <c r="AD645" s="1226"/>
      <c r="AE645" s="1226"/>
      <c r="AF645" s="1226"/>
      <c r="AG645" s="1226"/>
      <c r="AH645" s="1226"/>
      <c r="AI645" s="841"/>
      <c r="AJ645" s="841"/>
      <c r="AK645" s="841"/>
      <c r="AL645" s="841"/>
      <c r="AM645" s="841"/>
      <c r="AN645" s="841"/>
      <c r="AO645" s="841"/>
      <c r="AP645" s="841"/>
      <c r="AQ645" s="841"/>
      <c r="AR645" s="841"/>
      <c r="AS645" s="842"/>
    </row>
    <row r="646" spans="1:45">
      <c r="A646" s="841"/>
      <c r="B646" s="841"/>
      <c r="C646" s="841"/>
      <c r="D646" s="841"/>
      <c r="E646" s="841"/>
      <c r="F646" s="841"/>
      <c r="G646" s="841"/>
      <c r="H646" s="841"/>
      <c r="I646" s="841"/>
      <c r="J646" s="841"/>
      <c r="K646" s="841"/>
      <c r="L646" s="841"/>
      <c r="M646" s="841"/>
      <c r="N646" s="841"/>
      <c r="O646" s="841"/>
      <c r="P646" s="841"/>
      <c r="Q646" s="841"/>
      <c r="R646" s="841"/>
      <c r="S646" s="841"/>
      <c r="T646" s="841"/>
      <c r="U646" s="841"/>
      <c r="V646" s="841"/>
      <c r="W646" s="841"/>
      <c r="X646" s="841"/>
      <c r="Y646" s="841"/>
      <c r="Z646" s="1226"/>
      <c r="AA646" s="1226"/>
      <c r="AB646" s="1226"/>
      <c r="AC646" s="1226"/>
      <c r="AD646" s="1226"/>
      <c r="AE646" s="1226"/>
      <c r="AF646" s="1226"/>
      <c r="AG646" s="1226"/>
      <c r="AH646" s="1226"/>
      <c r="AI646" s="841"/>
      <c r="AJ646" s="841"/>
      <c r="AK646" s="841"/>
      <c r="AL646" s="841"/>
      <c r="AM646" s="841"/>
      <c r="AN646" s="841"/>
      <c r="AO646" s="841"/>
      <c r="AP646" s="841"/>
      <c r="AQ646" s="841"/>
      <c r="AR646" s="841"/>
      <c r="AS646" s="842"/>
    </row>
    <row r="647" spans="1:45">
      <c r="A647" s="841"/>
      <c r="B647" s="841"/>
      <c r="C647" s="841"/>
      <c r="D647" s="841"/>
      <c r="E647" s="841"/>
      <c r="F647" s="841"/>
      <c r="G647" s="841"/>
      <c r="H647" s="841"/>
      <c r="I647" s="841"/>
      <c r="J647" s="841"/>
      <c r="K647" s="841"/>
      <c r="L647" s="841"/>
      <c r="M647" s="841"/>
      <c r="N647" s="841"/>
      <c r="O647" s="841"/>
      <c r="P647" s="841"/>
      <c r="Q647" s="841"/>
      <c r="R647" s="841"/>
      <c r="S647" s="841"/>
      <c r="T647" s="841"/>
      <c r="U647" s="841"/>
      <c r="V647" s="841"/>
      <c r="W647" s="841"/>
      <c r="X647" s="841"/>
      <c r="Y647" s="841"/>
      <c r="Z647" s="1226"/>
      <c r="AA647" s="1226"/>
      <c r="AB647" s="1226"/>
      <c r="AC647" s="1226"/>
      <c r="AD647" s="1226"/>
      <c r="AE647" s="1226"/>
      <c r="AF647" s="1226"/>
      <c r="AG647" s="1226"/>
      <c r="AH647" s="1226"/>
      <c r="AI647" s="841"/>
      <c r="AJ647" s="841"/>
      <c r="AK647" s="841"/>
      <c r="AL647" s="841"/>
      <c r="AM647" s="841"/>
      <c r="AN647" s="841"/>
      <c r="AO647" s="841"/>
      <c r="AP647" s="841"/>
      <c r="AQ647" s="841"/>
      <c r="AR647" s="841"/>
      <c r="AS647" s="842"/>
    </row>
    <row r="648" spans="1:45">
      <c r="A648" s="841"/>
      <c r="B648" s="841"/>
      <c r="C648" s="841"/>
      <c r="D648" s="841"/>
      <c r="E648" s="841"/>
      <c r="F648" s="841"/>
      <c r="G648" s="841"/>
      <c r="H648" s="841"/>
      <c r="I648" s="841"/>
      <c r="J648" s="841"/>
      <c r="K648" s="841"/>
      <c r="L648" s="841"/>
      <c r="M648" s="841"/>
      <c r="N648" s="841"/>
      <c r="O648" s="841"/>
      <c r="P648" s="841"/>
      <c r="Q648" s="841"/>
      <c r="R648" s="841"/>
      <c r="S648" s="841"/>
      <c r="T648" s="841"/>
      <c r="U648" s="841"/>
      <c r="V648" s="841"/>
      <c r="W648" s="841"/>
      <c r="X648" s="841"/>
      <c r="Y648" s="841"/>
      <c r="Z648" s="1226"/>
      <c r="AA648" s="1226"/>
      <c r="AB648" s="1226"/>
      <c r="AC648" s="1226"/>
      <c r="AD648" s="1226"/>
      <c r="AE648" s="1226"/>
      <c r="AF648" s="1226"/>
      <c r="AG648" s="1226"/>
      <c r="AH648" s="1226"/>
      <c r="AI648" s="841"/>
      <c r="AJ648" s="841"/>
      <c r="AK648" s="841"/>
      <c r="AL648" s="841"/>
      <c r="AM648" s="841"/>
      <c r="AN648" s="841"/>
      <c r="AO648" s="841"/>
      <c r="AP648" s="841"/>
      <c r="AQ648" s="841"/>
      <c r="AR648" s="841"/>
      <c r="AS648" s="842"/>
    </row>
    <row r="649" spans="1:45">
      <c r="A649" s="841"/>
      <c r="B649" s="841"/>
      <c r="C649" s="841"/>
      <c r="D649" s="841"/>
      <c r="E649" s="841"/>
      <c r="F649" s="841"/>
      <c r="G649" s="841"/>
      <c r="H649" s="841"/>
      <c r="I649" s="841"/>
      <c r="J649" s="841"/>
      <c r="K649" s="841"/>
      <c r="L649" s="841"/>
      <c r="M649" s="841"/>
      <c r="N649" s="841"/>
      <c r="O649" s="841"/>
      <c r="P649" s="841"/>
      <c r="Q649" s="841"/>
      <c r="R649" s="841"/>
      <c r="S649" s="841"/>
      <c r="T649" s="841"/>
      <c r="U649" s="841"/>
      <c r="V649" s="841"/>
      <c r="W649" s="841"/>
      <c r="X649" s="841"/>
      <c r="Y649" s="841"/>
      <c r="Z649" s="1226"/>
      <c r="AA649" s="1226"/>
      <c r="AB649" s="1226"/>
      <c r="AC649" s="1226"/>
      <c r="AD649" s="1226"/>
      <c r="AE649" s="1226"/>
      <c r="AF649" s="1226"/>
      <c r="AG649" s="1226"/>
      <c r="AH649" s="1226"/>
      <c r="AI649" s="841"/>
      <c r="AJ649" s="841"/>
      <c r="AK649" s="841"/>
      <c r="AL649" s="841"/>
      <c r="AM649" s="841"/>
      <c r="AN649" s="841"/>
      <c r="AO649" s="841"/>
      <c r="AP649" s="841"/>
      <c r="AQ649" s="841"/>
      <c r="AR649" s="841"/>
      <c r="AS649" s="842"/>
    </row>
    <row r="650" spans="1:45">
      <c r="A650" s="841"/>
      <c r="B650" s="841"/>
      <c r="C650" s="841"/>
      <c r="D650" s="841"/>
      <c r="E650" s="841"/>
      <c r="F650" s="841"/>
      <c r="G650" s="841"/>
      <c r="H650" s="841"/>
      <c r="I650" s="841"/>
      <c r="J650" s="841"/>
      <c r="K650" s="841"/>
      <c r="L650" s="841"/>
      <c r="M650" s="841"/>
      <c r="N650" s="841"/>
      <c r="O650" s="841"/>
      <c r="P650" s="841"/>
      <c r="Q650" s="841"/>
      <c r="R650" s="841"/>
      <c r="S650" s="841"/>
      <c r="T650" s="841"/>
      <c r="U650" s="841"/>
      <c r="V650" s="841"/>
      <c r="W650" s="841"/>
      <c r="X650" s="841"/>
      <c r="Y650" s="841"/>
      <c r="Z650" s="1226"/>
      <c r="AA650" s="1226"/>
      <c r="AB650" s="1226"/>
      <c r="AC650" s="1226"/>
      <c r="AD650" s="1226"/>
      <c r="AE650" s="1226"/>
      <c r="AF650" s="1226"/>
      <c r="AG650" s="1226"/>
      <c r="AH650" s="1226"/>
      <c r="AI650" s="841"/>
      <c r="AJ650" s="841"/>
      <c r="AK650" s="841"/>
      <c r="AL650" s="841"/>
      <c r="AM650" s="841"/>
      <c r="AN650" s="841"/>
      <c r="AO650" s="841"/>
      <c r="AP650" s="841"/>
      <c r="AQ650" s="841"/>
      <c r="AR650" s="841"/>
      <c r="AS650" s="842"/>
    </row>
    <row r="651" spans="1:45">
      <c r="A651" s="841"/>
      <c r="B651" s="841"/>
      <c r="C651" s="841"/>
      <c r="D651" s="841"/>
      <c r="E651" s="841"/>
      <c r="F651" s="841"/>
      <c r="G651" s="841"/>
      <c r="H651" s="841"/>
      <c r="I651" s="841"/>
      <c r="J651" s="841"/>
      <c r="K651" s="841"/>
      <c r="L651" s="841"/>
      <c r="M651" s="841"/>
      <c r="N651" s="841"/>
      <c r="O651" s="841"/>
      <c r="P651" s="841"/>
      <c r="Q651" s="841"/>
      <c r="R651" s="841"/>
      <c r="S651" s="841"/>
      <c r="T651" s="841"/>
      <c r="U651" s="841"/>
      <c r="V651" s="841"/>
      <c r="W651" s="841"/>
      <c r="X651" s="841"/>
      <c r="Y651" s="841"/>
      <c r="Z651" s="1226"/>
      <c r="AA651" s="1226"/>
      <c r="AB651" s="1226"/>
      <c r="AC651" s="1226"/>
      <c r="AD651" s="1226"/>
      <c r="AE651" s="1226"/>
      <c r="AF651" s="1226"/>
      <c r="AG651" s="1226"/>
      <c r="AH651" s="1226"/>
      <c r="AI651" s="841"/>
      <c r="AJ651" s="841"/>
      <c r="AK651" s="841"/>
      <c r="AL651" s="841"/>
      <c r="AM651" s="841"/>
      <c r="AN651" s="841"/>
      <c r="AO651" s="841"/>
      <c r="AP651" s="841"/>
      <c r="AQ651" s="841"/>
      <c r="AR651" s="841"/>
      <c r="AS651" s="842"/>
    </row>
    <row r="652" spans="1:45">
      <c r="A652" s="841"/>
      <c r="B652" s="841"/>
      <c r="C652" s="841"/>
      <c r="D652" s="841"/>
      <c r="E652" s="841"/>
      <c r="F652" s="841"/>
      <c r="G652" s="841"/>
      <c r="H652" s="841"/>
      <c r="I652" s="841"/>
      <c r="J652" s="841"/>
      <c r="K652" s="841"/>
      <c r="L652" s="841"/>
      <c r="M652" s="841"/>
      <c r="N652" s="841"/>
      <c r="O652" s="841"/>
      <c r="P652" s="841"/>
      <c r="Q652" s="841"/>
      <c r="R652" s="841"/>
      <c r="S652" s="841"/>
      <c r="T652" s="841"/>
      <c r="U652" s="841"/>
      <c r="V652" s="841"/>
      <c r="W652" s="841"/>
      <c r="X652" s="841"/>
      <c r="Y652" s="841"/>
      <c r="Z652" s="1226"/>
      <c r="AA652" s="1226"/>
      <c r="AB652" s="1226"/>
      <c r="AC652" s="1226"/>
      <c r="AD652" s="1226"/>
      <c r="AE652" s="1226"/>
      <c r="AF652" s="1226"/>
      <c r="AG652" s="1226"/>
      <c r="AH652" s="1226"/>
      <c r="AI652" s="841"/>
      <c r="AJ652" s="841"/>
      <c r="AK652" s="841"/>
      <c r="AL652" s="841"/>
      <c r="AM652" s="841"/>
      <c r="AN652" s="841"/>
      <c r="AO652" s="841"/>
      <c r="AP652" s="841"/>
      <c r="AQ652" s="841"/>
      <c r="AR652" s="841"/>
      <c r="AS652" s="842"/>
    </row>
    <row r="653" spans="1:45">
      <c r="A653" s="841"/>
      <c r="B653" s="841"/>
      <c r="C653" s="841"/>
      <c r="D653" s="841"/>
      <c r="E653" s="841"/>
      <c r="F653" s="841"/>
      <c r="G653" s="841"/>
      <c r="H653" s="841"/>
      <c r="I653" s="841"/>
      <c r="J653" s="841"/>
      <c r="K653" s="841"/>
      <c r="L653" s="841"/>
      <c r="M653" s="841"/>
      <c r="N653" s="841"/>
      <c r="O653" s="841"/>
      <c r="P653" s="841"/>
      <c r="Q653" s="841"/>
      <c r="R653" s="841"/>
      <c r="S653" s="841"/>
      <c r="T653" s="841"/>
      <c r="U653" s="841"/>
      <c r="V653" s="841"/>
      <c r="W653" s="841"/>
      <c r="X653" s="841"/>
      <c r="Y653" s="841"/>
      <c r="Z653" s="1226"/>
      <c r="AA653" s="1226"/>
      <c r="AB653" s="1226"/>
      <c r="AC653" s="1226"/>
      <c r="AD653" s="1226"/>
      <c r="AE653" s="1226"/>
      <c r="AF653" s="1226"/>
      <c r="AG653" s="1226"/>
      <c r="AH653" s="1226"/>
      <c r="AI653" s="841"/>
      <c r="AJ653" s="841"/>
      <c r="AK653" s="841"/>
      <c r="AL653" s="841"/>
      <c r="AM653" s="841"/>
      <c r="AN653" s="841"/>
      <c r="AO653" s="841"/>
      <c r="AP653" s="841"/>
      <c r="AQ653" s="841"/>
      <c r="AR653" s="841"/>
      <c r="AS653" s="842"/>
    </row>
    <row r="654" spans="1:45">
      <c r="A654" s="841"/>
      <c r="B654" s="841"/>
      <c r="C654" s="841"/>
      <c r="D654" s="841"/>
      <c r="E654" s="841"/>
      <c r="F654" s="841"/>
      <c r="G654" s="841"/>
      <c r="H654" s="841"/>
      <c r="I654" s="841"/>
      <c r="J654" s="841"/>
      <c r="K654" s="841"/>
      <c r="L654" s="841"/>
      <c r="M654" s="841"/>
      <c r="N654" s="841"/>
      <c r="O654" s="841"/>
      <c r="P654" s="841"/>
      <c r="Q654" s="841"/>
      <c r="R654" s="841"/>
      <c r="S654" s="841"/>
      <c r="T654" s="841"/>
      <c r="U654" s="841"/>
      <c r="V654" s="841"/>
      <c r="W654" s="841"/>
      <c r="X654" s="841"/>
      <c r="Y654" s="841"/>
      <c r="Z654" s="1226"/>
      <c r="AA654" s="1226"/>
      <c r="AB654" s="1226"/>
      <c r="AC654" s="1226"/>
      <c r="AD654" s="1226"/>
      <c r="AE654" s="1226"/>
      <c r="AF654" s="1226"/>
      <c r="AG654" s="1226"/>
      <c r="AH654" s="1226"/>
      <c r="AI654" s="841"/>
      <c r="AJ654" s="841"/>
      <c r="AK654" s="841"/>
      <c r="AL654" s="841"/>
      <c r="AM654" s="841"/>
      <c r="AN654" s="841"/>
      <c r="AO654" s="841"/>
      <c r="AP654" s="841"/>
      <c r="AQ654" s="841"/>
      <c r="AR654" s="841"/>
      <c r="AS654" s="842"/>
    </row>
    <row r="655" spans="1:45">
      <c r="A655" s="841"/>
      <c r="B655" s="841"/>
      <c r="C655" s="841"/>
      <c r="D655" s="841"/>
      <c r="E655" s="841"/>
      <c r="F655" s="841"/>
      <c r="G655" s="841"/>
      <c r="H655" s="841"/>
      <c r="I655" s="841"/>
      <c r="J655" s="841"/>
      <c r="K655" s="841"/>
      <c r="L655" s="841"/>
      <c r="M655" s="841"/>
      <c r="N655" s="841"/>
      <c r="O655" s="841"/>
      <c r="P655" s="841"/>
      <c r="Q655" s="841"/>
      <c r="R655" s="841"/>
      <c r="S655" s="841"/>
      <c r="T655" s="841"/>
      <c r="U655" s="841"/>
      <c r="V655" s="841"/>
      <c r="W655" s="841"/>
      <c r="X655" s="841"/>
      <c r="Y655" s="841"/>
      <c r="Z655" s="1226"/>
      <c r="AA655" s="1226"/>
      <c r="AB655" s="1226"/>
      <c r="AC655" s="1226"/>
      <c r="AD655" s="1226"/>
      <c r="AE655" s="1226"/>
      <c r="AF655" s="1226"/>
      <c r="AG655" s="1226"/>
      <c r="AH655" s="1226"/>
      <c r="AI655" s="841"/>
      <c r="AJ655" s="841"/>
      <c r="AK655" s="841"/>
      <c r="AL655" s="841"/>
      <c r="AM655" s="841"/>
      <c r="AN655" s="841"/>
      <c r="AO655" s="841"/>
      <c r="AP655" s="841"/>
      <c r="AQ655" s="841"/>
      <c r="AR655" s="841"/>
      <c r="AS655" s="842"/>
    </row>
    <row r="656" spans="1:45">
      <c r="A656" s="841"/>
      <c r="B656" s="841"/>
      <c r="C656" s="841"/>
      <c r="D656" s="841"/>
      <c r="E656" s="841"/>
      <c r="F656" s="841"/>
      <c r="G656" s="841"/>
      <c r="H656" s="841"/>
      <c r="I656" s="841"/>
      <c r="J656" s="841"/>
      <c r="K656" s="841"/>
      <c r="L656" s="841"/>
      <c r="M656" s="841"/>
      <c r="N656" s="841"/>
      <c r="O656" s="841"/>
      <c r="P656" s="841"/>
      <c r="Q656" s="841"/>
      <c r="R656" s="841"/>
      <c r="S656" s="841"/>
      <c r="T656" s="841"/>
      <c r="U656" s="841"/>
      <c r="V656" s="841"/>
      <c r="W656" s="841"/>
      <c r="X656" s="841"/>
      <c r="Y656" s="841"/>
      <c r="Z656" s="1226"/>
      <c r="AA656" s="1226"/>
      <c r="AB656" s="1226"/>
      <c r="AC656" s="1226"/>
      <c r="AD656" s="1226"/>
      <c r="AE656" s="1226"/>
      <c r="AF656" s="1226"/>
      <c r="AG656" s="1226"/>
      <c r="AH656" s="1226"/>
      <c r="AI656" s="841"/>
      <c r="AJ656" s="841"/>
      <c r="AK656" s="841"/>
      <c r="AL656" s="841"/>
      <c r="AM656" s="841"/>
      <c r="AN656" s="841"/>
      <c r="AO656" s="841"/>
      <c r="AP656" s="841"/>
      <c r="AQ656" s="841"/>
      <c r="AR656" s="841"/>
      <c r="AS656" s="842"/>
    </row>
    <row r="657" spans="1:45">
      <c r="A657" s="841"/>
      <c r="B657" s="841"/>
      <c r="C657" s="841"/>
      <c r="D657" s="841"/>
      <c r="E657" s="841"/>
      <c r="F657" s="841"/>
      <c r="G657" s="841"/>
      <c r="H657" s="841"/>
      <c r="I657" s="841"/>
      <c r="J657" s="841"/>
      <c r="K657" s="841"/>
      <c r="L657" s="841"/>
      <c r="M657" s="841"/>
      <c r="N657" s="841"/>
      <c r="O657" s="841"/>
      <c r="P657" s="841"/>
      <c r="Q657" s="841"/>
      <c r="R657" s="841"/>
      <c r="S657" s="841"/>
      <c r="T657" s="841"/>
      <c r="U657" s="841"/>
      <c r="V657" s="841"/>
      <c r="W657" s="841"/>
      <c r="X657" s="841"/>
      <c r="Y657" s="841"/>
      <c r="Z657" s="1226"/>
      <c r="AA657" s="1226"/>
      <c r="AB657" s="1226"/>
      <c r="AC657" s="1226"/>
      <c r="AD657" s="1226"/>
      <c r="AE657" s="1226"/>
      <c r="AF657" s="1226"/>
      <c r="AG657" s="1226"/>
      <c r="AH657" s="1226"/>
      <c r="AI657" s="841"/>
      <c r="AJ657" s="841"/>
      <c r="AK657" s="841"/>
      <c r="AL657" s="841"/>
      <c r="AM657" s="841"/>
      <c r="AN657" s="841"/>
      <c r="AO657" s="841"/>
      <c r="AP657" s="841"/>
      <c r="AQ657" s="841"/>
      <c r="AR657" s="841"/>
      <c r="AS657" s="842"/>
    </row>
    <row r="658" spans="1:45">
      <c r="A658" s="841"/>
      <c r="B658" s="841"/>
      <c r="C658" s="841"/>
      <c r="D658" s="841"/>
      <c r="E658" s="841"/>
      <c r="F658" s="841"/>
      <c r="G658" s="841"/>
      <c r="H658" s="841"/>
      <c r="I658" s="841"/>
      <c r="J658" s="841"/>
      <c r="K658" s="841"/>
      <c r="L658" s="841"/>
      <c r="M658" s="841"/>
      <c r="N658" s="841"/>
      <c r="O658" s="841"/>
      <c r="P658" s="841"/>
      <c r="Q658" s="841"/>
      <c r="R658" s="841"/>
      <c r="S658" s="841"/>
      <c r="T658" s="841"/>
      <c r="U658" s="841"/>
      <c r="V658" s="841"/>
      <c r="W658" s="841"/>
      <c r="X658" s="841"/>
      <c r="Y658" s="841"/>
      <c r="Z658" s="1226"/>
      <c r="AA658" s="1226"/>
      <c r="AB658" s="1226"/>
      <c r="AC658" s="1226"/>
      <c r="AD658" s="1226"/>
      <c r="AE658" s="1226"/>
      <c r="AF658" s="1226"/>
      <c r="AG658" s="1226"/>
      <c r="AH658" s="1226"/>
      <c r="AI658" s="841"/>
      <c r="AJ658" s="841"/>
      <c r="AK658" s="841"/>
      <c r="AL658" s="841"/>
      <c r="AM658" s="841"/>
      <c r="AN658" s="841"/>
      <c r="AO658" s="841"/>
      <c r="AP658" s="841"/>
      <c r="AQ658" s="841"/>
      <c r="AR658" s="841"/>
      <c r="AS658" s="842"/>
    </row>
    <row r="659" spans="1:45">
      <c r="A659" s="841"/>
      <c r="B659" s="841"/>
      <c r="C659" s="841"/>
      <c r="D659" s="841"/>
      <c r="E659" s="841"/>
      <c r="F659" s="841"/>
      <c r="G659" s="841"/>
      <c r="H659" s="841"/>
      <c r="I659" s="841"/>
      <c r="J659" s="841"/>
      <c r="K659" s="841"/>
      <c r="L659" s="841"/>
      <c r="M659" s="841"/>
      <c r="N659" s="841"/>
      <c r="O659" s="841"/>
      <c r="P659" s="841"/>
      <c r="Q659" s="841"/>
      <c r="R659" s="841"/>
      <c r="S659" s="841"/>
      <c r="T659" s="841"/>
      <c r="U659" s="841"/>
      <c r="V659" s="841"/>
      <c r="W659" s="841"/>
      <c r="X659" s="841"/>
      <c r="Y659" s="841"/>
      <c r="Z659" s="1226"/>
      <c r="AA659" s="1226"/>
      <c r="AB659" s="1226"/>
      <c r="AC659" s="1226"/>
      <c r="AD659" s="1226"/>
      <c r="AE659" s="1226"/>
      <c r="AF659" s="1226"/>
      <c r="AG659" s="1226"/>
      <c r="AH659" s="1226"/>
      <c r="AI659" s="841"/>
      <c r="AJ659" s="841"/>
      <c r="AK659" s="841"/>
      <c r="AL659" s="841"/>
      <c r="AM659" s="841"/>
      <c r="AN659" s="841"/>
      <c r="AO659" s="841"/>
      <c r="AP659" s="841"/>
      <c r="AQ659" s="841"/>
      <c r="AR659" s="841"/>
      <c r="AS659" s="842"/>
    </row>
    <row r="660" spans="1:45">
      <c r="A660" s="841"/>
      <c r="B660" s="841"/>
      <c r="C660" s="841"/>
      <c r="D660" s="841"/>
      <c r="E660" s="841"/>
      <c r="F660" s="841"/>
      <c r="G660" s="841"/>
      <c r="H660" s="841"/>
      <c r="I660" s="841"/>
      <c r="J660" s="841"/>
      <c r="K660" s="841"/>
      <c r="L660" s="841"/>
      <c r="M660" s="841"/>
      <c r="N660" s="841"/>
      <c r="O660" s="841"/>
      <c r="P660" s="841"/>
      <c r="Q660" s="841"/>
      <c r="R660" s="841"/>
      <c r="S660" s="841"/>
      <c r="T660" s="841"/>
      <c r="U660" s="841"/>
      <c r="V660" s="841"/>
      <c r="W660" s="841"/>
      <c r="X660" s="841"/>
      <c r="Y660" s="841"/>
      <c r="Z660" s="1226"/>
      <c r="AA660" s="1226"/>
      <c r="AB660" s="1226"/>
      <c r="AC660" s="1226"/>
      <c r="AD660" s="1226"/>
      <c r="AE660" s="1226"/>
      <c r="AF660" s="1226"/>
      <c r="AG660" s="1226"/>
      <c r="AH660" s="1226"/>
      <c r="AI660" s="841"/>
      <c r="AJ660" s="841"/>
      <c r="AK660" s="841"/>
      <c r="AL660" s="841"/>
      <c r="AM660" s="841"/>
      <c r="AN660" s="841"/>
      <c r="AO660" s="841"/>
      <c r="AP660" s="841"/>
      <c r="AQ660" s="841"/>
      <c r="AR660" s="841"/>
      <c r="AS660" s="842"/>
    </row>
    <row r="661" spans="1:45">
      <c r="A661" s="841"/>
      <c r="B661" s="841"/>
      <c r="C661" s="841"/>
      <c r="D661" s="841"/>
      <c r="E661" s="841"/>
      <c r="F661" s="841"/>
      <c r="G661" s="841"/>
      <c r="H661" s="841"/>
      <c r="I661" s="841"/>
      <c r="J661" s="841"/>
      <c r="K661" s="841"/>
      <c r="L661" s="841"/>
      <c r="M661" s="841"/>
      <c r="N661" s="841"/>
      <c r="O661" s="841"/>
      <c r="P661" s="841"/>
      <c r="Q661" s="841"/>
      <c r="R661" s="841"/>
      <c r="S661" s="841"/>
      <c r="T661" s="841"/>
      <c r="U661" s="841"/>
      <c r="V661" s="841"/>
      <c r="W661" s="841"/>
      <c r="X661" s="841"/>
      <c r="Y661" s="841"/>
      <c r="Z661" s="1226"/>
      <c r="AA661" s="1226"/>
      <c r="AB661" s="1226"/>
      <c r="AC661" s="1226"/>
      <c r="AD661" s="1226"/>
      <c r="AE661" s="1226"/>
      <c r="AF661" s="1226"/>
      <c r="AG661" s="1226"/>
      <c r="AH661" s="1226"/>
      <c r="AI661" s="841"/>
      <c r="AJ661" s="841"/>
      <c r="AK661" s="841"/>
      <c r="AL661" s="841"/>
      <c r="AM661" s="841"/>
      <c r="AN661" s="841"/>
      <c r="AO661" s="841"/>
      <c r="AP661" s="841"/>
      <c r="AQ661" s="841"/>
      <c r="AR661" s="841"/>
      <c r="AS661" s="842"/>
    </row>
    <row r="662" spans="1:45">
      <c r="A662" s="841"/>
      <c r="B662" s="841"/>
      <c r="C662" s="841"/>
      <c r="D662" s="841"/>
      <c r="E662" s="841"/>
      <c r="F662" s="841"/>
      <c r="G662" s="841"/>
      <c r="H662" s="841"/>
      <c r="I662" s="841"/>
      <c r="J662" s="841"/>
      <c r="K662" s="841"/>
      <c r="L662" s="841"/>
      <c r="M662" s="841"/>
      <c r="N662" s="841"/>
      <c r="O662" s="841"/>
      <c r="P662" s="841"/>
      <c r="Q662" s="841"/>
      <c r="R662" s="841"/>
      <c r="S662" s="841"/>
      <c r="T662" s="841"/>
      <c r="U662" s="841"/>
      <c r="V662" s="841"/>
      <c r="W662" s="841"/>
      <c r="X662" s="841"/>
      <c r="Y662" s="841"/>
      <c r="Z662" s="1226"/>
      <c r="AA662" s="1226"/>
      <c r="AB662" s="1226"/>
      <c r="AC662" s="1226"/>
      <c r="AD662" s="1226"/>
      <c r="AE662" s="1226"/>
      <c r="AF662" s="1226"/>
      <c r="AG662" s="1226"/>
      <c r="AH662" s="1226"/>
      <c r="AI662" s="841"/>
      <c r="AJ662" s="841"/>
      <c r="AK662" s="841"/>
      <c r="AL662" s="841"/>
      <c r="AM662" s="841"/>
      <c r="AN662" s="841"/>
      <c r="AO662" s="841"/>
      <c r="AP662" s="841"/>
      <c r="AQ662" s="841"/>
      <c r="AR662" s="841"/>
      <c r="AS662" s="842"/>
    </row>
    <row r="663" spans="1:45">
      <c r="A663" s="841"/>
      <c r="B663" s="841"/>
      <c r="C663" s="841"/>
      <c r="D663" s="841"/>
      <c r="E663" s="841"/>
      <c r="F663" s="841"/>
      <c r="G663" s="841"/>
      <c r="H663" s="841"/>
      <c r="I663" s="841"/>
      <c r="J663" s="841"/>
      <c r="K663" s="841"/>
      <c r="L663" s="841"/>
      <c r="M663" s="841"/>
      <c r="N663" s="841"/>
      <c r="O663" s="841"/>
      <c r="P663" s="841"/>
      <c r="Q663" s="841"/>
      <c r="R663" s="841"/>
      <c r="S663" s="841"/>
      <c r="T663" s="841"/>
      <c r="U663" s="841"/>
      <c r="V663" s="841"/>
      <c r="W663" s="841"/>
      <c r="X663" s="841"/>
      <c r="Y663" s="841"/>
      <c r="Z663" s="1226"/>
      <c r="AA663" s="1226"/>
      <c r="AB663" s="1226"/>
      <c r="AC663" s="1226"/>
      <c r="AD663" s="1226"/>
      <c r="AE663" s="1226"/>
      <c r="AF663" s="1226"/>
      <c r="AG663" s="1226"/>
      <c r="AH663" s="1226"/>
      <c r="AI663" s="841"/>
      <c r="AJ663" s="841"/>
      <c r="AK663" s="841"/>
      <c r="AL663" s="841"/>
      <c r="AM663" s="841"/>
      <c r="AN663" s="841"/>
      <c r="AO663" s="841"/>
      <c r="AP663" s="841"/>
      <c r="AQ663" s="841"/>
      <c r="AR663" s="841"/>
      <c r="AS663" s="842"/>
    </row>
    <row r="664" spans="1:45">
      <c r="A664" s="841"/>
      <c r="B664" s="841"/>
      <c r="C664" s="841"/>
      <c r="D664" s="841"/>
      <c r="E664" s="841"/>
      <c r="F664" s="841"/>
      <c r="G664" s="841"/>
      <c r="H664" s="841"/>
      <c r="I664" s="841"/>
      <c r="J664" s="841"/>
      <c r="K664" s="841"/>
      <c r="L664" s="841"/>
      <c r="M664" s="841"/>
      <c r="N664" s="841"/>
      <c r="O664" s="841"/>
      <c r="P664" s="841"/>
      <c r="Q664" s="841"/>
      <c r="R664" s="841"/>
      <c r="S664" s="841"/>
      <c r="T664" s="841"/>
      <c r="U664" s="841"/>
      <c r="V664" s="841"/>
      <c r="W664" s="841"/>
      <c r="X664" s="841"/>
      <c r="Y664" s="841"/>
      <c r="Z664" s="1226"/>
      <c r="AA664" s="1226"/>
      <c r="AB664" s="1226"/>
      <c r="AC664" s="1226"/>
      <c r="AD664" s="1226"/>
      <c r="AE664" s="1226"/>
      <c r="AF664" s="1226"/>
      <c r="AG664" s="1226"/>
      <c r="AH664" s="1226"/>
      <c r="AI664" s="841"/>
      <c r="AJ664" s="841"/>
      <c r="AK664" s="841"/>
      <c r="AL664" s="841"/>
      <c r="AM664" s="841"/>
      <c r="AN664" s="841"/>
      <c r="AO664" s="841"/>
      <c r="AP664" s="841"/>
      <c r="AQ664" s="841"/>
      <c r="AR664" s="841"/>
      <c r="AS664" s="842"/>
    </row>
    <row r="665" spans="1:45">
      <c r="A665" s="841"/>
      <c r="B665" s="841"/>
      <c r="C665" s="841"/>
      <c r="D665" s="841"/>
      <c r="E665" s="841"/>
      <c r="F665" s="841"/>
      <c r="G665" s="841"/>
      <c r="H665" s="841"/>
      <c r="I665" s="841"/>
      <c r="J665" s="841"/>
      <c r="K665" s="841"/>
      <c r="L665" s="841"/>
      <c r="M665" s="841"/>
      <c r="N665" s="841"/>
      <c r="O665" s="841"/>
      <c r="P665" s="841"/>
      <c r="Q665" s="841"/>
      <c r="R665" s="841"/>
      <c r="S665" s="841"/>
      <c r="T665" s="841"/>
      <c r="U665" s="841"/>
      <c r="V665" s="841"/>
      <c r="W665" s="841"/>
      <c r="X665" s="841"/>
      <c r="Y665" s="841"/>
      <c r="Z665" s="1226"/>
      <c r="AA665" s="1226"/>
      <c r="AB665" s="1226"/>
      <c r="AC665" s="1226"/>
      <c r="AD665" s="1226"/>
      <c r="AE665" s="1226"/>
      <c r="AF665" s="1226"/>
      <c r="AG665" s="1226"/>
      <c r="AH665" s="1226"/>
      <c r="AI665" s="841"/>
      <c r="AJ665" s="841"/>
      <c r="AK665" s="841"/>
      <c r="AL665" s="841"/>
      <c r="AM665" s="841"/>
      <c r="AN665" s="841"/>
      <c r="AO665" s="841"/>
      <c r="AP665" s="841"/>
      <c r="AQ665" s="841"/>
      <c r="AR665" s="841"/>
      <c r="AS665" s="842"/>
    </row>
    <row r="666" spans="1:45">
      <c r="A666" s="841"/>
      <c r="B666" s="841"/>
      <c r="C666" s="841"/>
      <c r="D666" s="841"/>
      <c r="E666" s="841"/>
      <c r="F666" s="841"/>
      <c r="G666" s="841"/>
      <c r="H666" s="841"/>
      <c r="I666" s="841"/>
      <c r="J666" s="841"/>
      <c r="K666" s="841"/>
      <c r="L666" s="841"/>
      <c r="M666" s="841"/>
      <c r="N666" s="841"/>
      <c r="O666" s="841"/>
      <c r="P666" s="841"/>
      <c r="Q666" s="841"/>
      <c r="R666" s="841"/>
      <c r="S666" s="841"/>
      <c r="T666" s="841"/>
      <c r="U666" s="841"/>
      <c r="V666" s="841"/>
      <c r="W666" s="841"/>
      <c r="X666" s="841"/>
      <c r="Y666" s="841"/>
      <c r="Z666" s="1226"/>
      <c r="AA666" s="1226"/>
      <c r="AB666" s="1226"/>
      <c r="AC666" s="1226"/>
      <c r="AD666" s="1226"/>
      <c r="AE666" s="1226"/>
      <c r="AF666" s="1226"/>
      <c r="AG666" s="1226"/>
      <c r="AH666" s="1226"/>
      <c r="AI666" s="841"/>
      <c r="AJ666" s="841"/>
      <c r="AK666" s="841"/>
      <c r="AL666" s="841"/>
      <c r="AM666" s="841"/>
      <c r="AN666" s="841"/>
      <c r="AO666" s="841"/>
      <c r="AP666" s="841"/>
      <c r="AQ666" s="841"/>
      <c r="AR666" s="841"/>
      <c r="AS666" s="842"/>
    </row>
    <row r="667" spans="1:45">
      <c r="A667" s="841"/>
      <c r="B667" s="841"/>
      <c r="C667" s="841"/>
      <c r="D667" s="841"/>
      <c r="E667" s="841"/>
      <c r="F667" s="841"/>
      <c r="G667" s="841"/>
      <c r="H667" s="841"/>
      <c r="I667" s="841"/>
      <c r="J667" s="841"/>
      <c r="K667" s="841"/>
      <c r="L667" s="841"/>
      <c r="M667" s="841"/>
      <c r="N667" s="841"/>
      <c r="O667" s="841"/>
      <c r="P667" s="841"/>
      <c r="Q667" s="841"/>
      <c r="R667" s="841"/>
      <c r="S667" s="841"/>
      <c r="T667" s="841"/>
      <c r="U667" s="841"/>
      <c r="V667" s="841"/>
      <c r="W667" s="841"/>
      <c r="X667" s="841"/>
      <c r="Y667" s="841"/>
      <c r="Z667" s="1226"/>
      <c r="AA667" s="1226"/>
      <c r="AB667" s="1226"/>
      <c r="AC667" s="1226"/>
      <c r="AD667" s="1226"/>
      <c r="AE667" s="1226"/>
      <c r="AF667" s="1226"/>
      <c r="AG667" s="1226"/>
      <c r="AH667" s="1226"/>
      <c r="AI667" s="841"/>
      <c r="AJ667" s="841"/>
      <c r="AK667" s="841"/>
      <c r="AL667" s="841"/>
      <c r="AM667" s="841"/>
      <c r="AN667" s="841"/>
      <c r="AO667" s="841"/>
      <c r="AP667" s="841"/>
      <c r="AQ667" s="841"/>
      <c r="AR667" s="841"/>
      <c r="AS667" s="842"/>
    </row>
    <row r="668" spans="1:45">
      <c r="A668" s="841"/>
      <c r="B668" s="841"/>
      <c r="C668" s="841"/>
      <c r="D668" s="841"/>
      <c r="E668" s="841"/>
      <c r="F668" s="841"/>
      <c r="G668" s="841"/>
      <c r="H668" s="841"/>
      <c r="I668" s="841"/>
      <c r="J668" s="841"/>
      <c r="K668" s="841"/>
      <c r="L668" s="841"/>
      <c r="M668" s="841"/>
      <c r="N668" s="841"/>
      <c r="O668" s="841"/>
      <c r="P668" s="841"/>
      <c r="Q668" s="841"/>
      <c r="R668" s="841"/>
      <c r="S668" s="841"/>
      <c r="T668" s="841"/>
      <c r="U668" s="841"/>
      <c r="V668" s="841"/>
      <c r="W668" s="841"/>
      <c r="X668" s="841"/>
      <c r="Y668" s="841"/>
      <c r="Z668" s="1226"/>
      <c r="AA668" s="1226"/>
      <c r="AB668" s="1226"/>
      <c r="AC668" s="1226"/>
      <c r="AD668" s="1226"/>
      <c r="AE668" s="1226"/>
      <c r="AF668" s="1226"/>
      <c r="AG668" s="1226"/>
      <c r="AH668" s="1226"/>
      <c r="AI668" s="841"/>
      <c r="AJ668" s="841"/>
      <c r="AK668" s="841"/>
      <c r="AL668" s="841"/>
      <c r="AM668" s="841"/>
      <c r="AN668" s="841"/>
      <c r="AO668" s="841"/>
      <c r="AP668" s="841"/>
      <c r="AQ668" s="841"/>
      <c r="AR668" s="841"/>
      <c r="AS668" s="842"/>
    </row>
    <row r="669" spans="1:45">
      <c r="A669" s="841"/>
      <c r="B669" s="841"/>
      <c r="C669" s="841"/>
      <c r="D669" s="841"/>
      <c r="E669" s="841"/>
      <c r="F669" s="841"/>
      <c r="G669" s="841"/>
      <c r="H669" s="841"/>
      <c r="I669" s="841"/>
      <c r="J669" s="841"/>
      <c r="K669" s="841"/>
      <c r="L669" s="841"/>
      <c r="M669" s="841"/>
      <c r="N669" s="841"/>
      <c r="O669" s="841"/>
      <c r="P669" s="841"/>
      <c r="Q669" s="841"/>
      <c r="R669" s="841"/>
      <c r="S669" s="841"/>
      <c r="T669" s="841"/>
      <c r="U669" s="841"/>
      <c r="V669" s="841"/>
      <c r="W669" s="841"/>
      <c r="X669" s="841"/>
      <c r="Y669" s="841"/>
      <c r="Z669" s="1226"/>
      <c r="AA669" s="1226"/>
      <c r="AB669" s="1226"/>
      <c r="AC669" s="1226"/>
      <c r="AD669" s="1226"/>
      <c r="AE669" s="1226"/>
      <c r="AF669" s="1226"/>
      <c r="AG669" s="1226"/>
      <c r="AH669" s="1226"/>
      <c r="AI669" s="841"/>
      <c r="AJ669" s="841"/>
      <c r="AK669" s="841"/>
      <c r="AL669" s="841"/>
      <c r="AM669" s="841"/>
      <c r="AN669" s="841"/>
      <c r="AO669" s="841"/>
      <c r="AP669" s="841"/>
      <c r="AQ669" s="841"/>
      <c r="AR669" s="841"/>
      <c r="AS669" s="842"/>
    </row>
    <row r="670" spans="1:45">
      <c r="A670" s="841"/>
      <c r="B670" s="841"/>
      <c r="C670" s="841"/>
      <c r="D670" s="841"/>
      <c r="E670" s="841"/>
      <c r="F670" s="841"/>
      <c r="G670" s="841"/>
      <c r="H670" s="841"/>
      <c r="I670" s="841"/>
      <c r="J670" s="841"/>
      <c r="K670" s="841"/>
      <c r="L670" s="841"/>
      <c r="M670" s="841"/>
      <c r="N670" s="841"/>
      <c r="O670" s="841"/>
      <c r="P670" s="841"/>
      <c r="Q670" s="841"/>
      <c r="R670" s="841"/>
      <c r="S670" s="841"/>
      <c r="T670" s="841"/>
      <c r="U670" s="841"/>
      <c r="V670" s="841"/>
      <c r="W670" s="841"/>
      <c r="X670" s="841"/>
      <c r="Y670" s="841"/>
      <c r="Z670" s="1226"/>
      <c r="AA670" s="1226"/>
      <c r="AB670" s="1226"/>
      <c r="AC670" s="1226"/>
      <c r="AD670" s="1226"/>
      <c r="AE670" s="1226"/>
      <c r="AF670" s="1226"/>
      <c r="AG670" s="1226"/>
      <c r="AH670" s="1226"/>
      <c r="AI670" s="841"/>
      <c r="AJ670" s="841"/>
      <c r="AK670" s="841"/>
      <c r="AL670" s="841"/>
      <c r="AM670" s="841"/>
      <c r="AN670" s="841"/>
      <c r="AO670" s="841"/>
      <c r="AP670" s="841"/>
      <c r="AQ670" s="841"/>
      <c r="AR670" s="841"/>
      <c r="AS670" s="842"/>
    </row>
    <row r="671" spans="1:45">
      <c r="A671" s="841"/>
      <c r="B671" s="841"/>
      <c r="C671" s="841"/>
      <c r="D671" s="841"/>
      <c r="E671" s="841"/>
      <c r="F671" s="841"/>
      <c r="G671" s="841"/>
      <c r="H671" s="841"/>
      <c r="I671" s="841"/>
      <c r="J671" s="841"/>
      <c r="K671" s="841"/>
      <c r="L671" s="841"/>
      <c r="M671" s="841"/>
      <c r="N671" s="841"/>
      <c r="O671" s="841"/>
      <c r="P671" s="841"/>
      <c r="Q671" s="841"/>
      <c r="R671" s="841"/>
      <c r="S671" s="841"/>
      <c r="T671" s="841"/>
      <c r="U671" s="841"/>
      <c r="V671" s="841"/>
      <c r="W671" s="841"/>
      <c r="X671" s="841"/>
      <c r="Y671" s="841"/>
      <c r="Z671" s="1226"/>
      <c r="AA671" s="1226"/>
      <c r="AB671" s="1226"/>
      <c r="AC671" s="1226"/>
      <c r="AD671" s="1226"/>
      <c r="AE671" s="1226"/>
      <c r="AF671" s="1226"/>
      <c r="AG671" s="1226"/>
      <c r="AH671" s="1226"/>
      <c r="AI671" s="841"/>
      <c r="AJ671" s="841"/>
      <c r="AK671" s="841"/>
      <c r="AL671" s="841"/>
      <c r="AM671" s="841"/>
      <c r="AN671" s="841"/>
      <c r="AO671" s="841"/>
      <c r="AP671" s="841"/>
      <c r="AQ671" s="841"/>
      <c r="AR671" s="841"/>
      <c r="AS671" s="842"/>
    </row>
    <row r="672" spans="1:45">
      <c r="A672" s="841"/>
      <c r="B672" s="841"/>
      <c r="C672" s="841"/>
      <c r="D672" s="841"/>
      <c r="E672" s="841"/>
      <c r="F672" s="841"/>
      <c r="G672" s="841"/>
      <c r="H672" s="841"/>
      <c r="I672" s="841"/>
      <c r="J672" s="841"/>
      <c r="K672" s="841"/>
      <c r="L672" s="841"/>
      <c r="M672" s="841"/>
      <c r="N672" s="841"/>
      <c r="O672" s="841"/>
      <c r="P672" s="841"/>
      <c r="Q672" s="841"/>
      <c r="R672" s="841"/>
      <c r="S672" s="841"/>
      <c r="T672" s="841"/>
      <c r="U672" s="841"/>
      <c r="V672" s="841"/>
      <c r="W672" s="841"/>
      <c r="X672" s="841"/>
      <c r="Y672" s="841"/>
      <c r="Z672" s="1226"/>
      <c r="AA672" s="1226"/>
      <c r="AB672" s="1226"/>
      <c r="AC672" s="1226"/>
      <c r="AD672" s="1226"/>
      <c r="AE672" s="1226"/>
      <c r="AF672" s="1226"/>
      <c r="AG672" s="1226"/>
      <c r="AH672" s="1226"/>
      <c r="AI672" s="841"/>
      <c r="AJ672" s="841"/>
      <c r="AK672" s="841"/>
      <c r="AL672" s="841"/>
      <c r="AM672" s="841"/>
      <c r="AN672" s="841"/>
      <c r="AO672" s="841"/>
      <c r="AP672" s="841"/>
      <c r="AQ672" s="841"/>
      <c r="AR672" s="841"/>
      <c r="AS672" s="842"/>
    </row>
    <row r="673" spans="1:45">
      <c r="A673" s="841"/>
      <c r="B673" s="841"/>
      <c r="C673" s="841"/>
      <c r="D673" s="841"/>
      <c r="E673" s="841"/>
      <c r="F673" s="841"/>
      <c r="G673" s="841"/>
      <c r="H673" s="841"/>
      <c r="I673" s="841"/>
      <c r="J673" s="841"/>
      <c r="K673" s="841"/>
      <c r="L673" s="841"/>
      <c r="M673" s="841"/>
      <c r="N673" s="841"/>
      <c r="O673" s="841"/>
      <c r="P673" s="841"/>
      <c r="Q673" s="841"/>
      <c r="R673" s="841"/>
      <c r="S673" s="841"/>
      <c r="T673" s="841"/>
      <c r="U673" s="841"/>
      <c r="V673" s="841"/>
      <c r="W673" s="841"/>
      <c r="X673" s="841"/>
      <c r="Y673" s="841"/>
      <c r="Z673" s="1226"/>
      <c r="AA673" s="1226"/>
      <c r="AB673" s="1226"/>
      <c r="AC673" s="1226"/>
      <c r="AD673" s="1226"/>
      <c r="AE673" s="1226"/>
      <c r="AF673" s="1226"/>
      <c r="AG673" s="1226"/>
      <c r="AH673" s="1226"/>
      <c r="AI673" s="841"/>
      <c r="AJ673" s="841"/>
      <c r="AK673" s="841"/>
      <c r="AL673" s="841"/>
      <c r="AM673" s="841"/>
      <c r="AN673" s="841"/>
      <c r="AO673" s="841"/>
      <c r="AP673" s="841"/>
      <c r="AQ673" s="841"/>
      <c r="AR673" s="841"/>
      <c r="AS673" s="842"/>
    </row>
    <row r="674" spans="1:45">
      <c r="A674" s="841"/>
      <c r="B674" s="841"/>
      <c r="C674" s="841"/>
      <c r="D674" s="841"/>
      <c r="E674" s="841"/>
      <c r="F674" s="841"/>
      <c r="G674" s="841"/>
      <c r="H674" s="841"/>
      <c r="I674" s="841"/>
      <c r="J674" s="841"/>
      <c r="K674" s="841"/>
      <c r="L674" s="841"/>
      <c r="M674" s="841"/>
      <c r="N674" s="841"/>
      <c r="O674" s="841"/>
      <c r="P674" s="841"/>
      <c r="Q674" s="841"/>
      <c r="R674" s="841"/>
      <c r="S674" s="841"/>
      <c r="T674" s="841"/>
      <c r="U674" s="841"/>
      <c r="V674" s="841"/>
      <c r="W674" s="841"/>
      <c r="X674" s="841"/>
      <c r="Y674" s="841"/>
      <c r="Z674" s="1226"/>
      <c r="AA674" s="1226"/>
      <c r="AB674" s="1226"/>
      <c r="AC674" s="1226"/>
      <c r="AD674" s="1226"/>
      <c r="AE674" s="1226"/>
      <c r="AF674" s="1226"/>
      <c r="AG674" s="1226"/>
      <c r="AH674" s="1226"/>
      <c r="AI674" s="841"/>
      <c r="AJ674" s="841"/>
      <c r="AK674" s="841"/>
      <c r="AL674" s="841"/>
      <c r="AM674" s="841"/>
      <c r="AN674" s="841"/>
      <c r="AO674" s="841"/>
      <c r="AP674" s="841"/>
      <c r="AQ674" s="841"/>
      <c r="AR674" s="841"/>
      <c r="AS674" s="842"/>
    </row>
    <row r="675" spans="1:45">
      <c r="A675" s="841"/>
      <c r="B675" s="841"/>
      <c r="C675" s="841"/>
      <c r="D675" s="841"/>
      <c r="E675" s="841"/>
      <c r="F675" s="841"/>
      <c r="G675" s="841"/>
      <c r="H675" s="841"/>
      <c r="I675" s="841"/>
      <c r="J675" s="841"/>
      <c r="K675" s="841"/>
      <c r="L675" s="841"/>
      <c r="M675" s="841"/>
      <c r="N675" s="841"/>
      <c r="O675" s="841"/>
      <c r="P675" s="841"/>
      <c r="Q675" s="841"/>
      <c r="R675" s="841"/>
      <c r="S675" s="841"/>
      <c r="T675" s="841"/>
      <c r="U675" s="841"/>
      <c r="V675" s="841"/>
      <c r="W675" s="841"/>
      <c r="X675" s="841"/>
      <c r="Y675" s="841"/>
      <c r="Z675" s="1226"/>
      <c r="AA675" s="1226"/>
      <c r="AB675" s="1226"/>
      <c r="AC675" s="1226"/>
      <c r="AD675" s="1226"/>
      <c r="AE675" s="1226"/>
      <c r="AF675" s="1226"/>
      <c r="AG675" s="1226"/>
      <c r="AH675" s="1226"/>
      <c r="AI675" s="841"/>
      <c r="AJ675" s="841"/>
      <c r="AK675" s="841"/>
      <c r="AL675" s="841"/>
      <c r="AM675" s="841"/>
      <c r="AN675" s="841"/>
      <c r="AO675" s="841"/>
      <c r="AP675" s="841"/>
      <c r="AQ675" s="841"/>
      <c r="AR675" s="841"/>
      <c r="AS675" s="842"/>
    </row>
    <row r="676" spans="1:45">
      <c r="A676" s="841"/>
      <c r="B676" s="841"/>
      <c r="C676" s="841"/>
      <c r="D676" s="841"/>
      <c r="E676" s="841"/>
      <c r="F676" s="841"/>
      <c r="G676" s="841"/>
      <c r="H676" s="841"/>
      <c r="I676" s="841"/>
      <c r="J676" s="841"/>
      <c r="K676" s="841"/>
      <c r="L676" s="841"/>
      <c r="M676" s="841"/>
      <c r="N676" s="841"/>
      <c r="O676" s="841"/>
      <c r="P676" s="841"/>
      <c r="Q676" s="841"/>
      <c r="R676" s="841"/>
      <c r="S676" s="841"/>
      <c r="T676" s="841"/>
      <c r="U676" s="841"/>
      <c r="V676" s="841"/>
      <c r="W676" s="841"/>
      <c r="X676" s="841"/>
      <c r="Y676" s="841"/>
      <c r="Z676" s="1226"/>
      <c r="AA676" s="1226"/>
      <c r="AB676" s="1226"/>
      <c r="AC676" s="1226"/>
      <c r="AD676" s="1226"/>
      <c r="AE676" s="1226"/>
      <c r="AF676" s="1226"/>
      <c r="AG676" s="1226"/>
      <c r="AH676" s="1226"/>
      <c r="AI676" s="841"/>
      <c r="AJ676" s="841"/>
      <c r="AK676" s="841"/>
      <c r="AL676" s="841"/>
      <c r="AM676" s="841"/>
      <c r="AN676" s="841"/>
      <c r="AO676" s="841"/>
      <c r="AP676" s="841"/>
      <c r="AQ676" s="841"/>
      <c r="AR676" s="841"/>
      <c r="AS676" s="842"/>
    </row>
    <row r="677" spans="1:45">
      <c r="A677" s="841"/>
      <c r="B677" s="841"/>
      <c r="C677" s="841"/>
      <c r="D677" s="841"/>
      <c r="E677" s="841"/>
      <c r="F677" s="841"/>
      <c r="G677" s="841"/>
      <c r="H677" s="841"/>
      <c r="I677" s="841"/>
      <c r="J677" s="841"/>
      <c r="K677" s="841"/>
      <c r="L677" s="841"/>
      <c r="M677" s="841"/>
      <c r="N677" s="841"/>
      <c r="O677" s="841"/>
      <c r="P677" s="841"/>
      <c r="Q677" s="841"/>
      <c r="R677" s="841"/>
      <c r="S677" s="841"/>
      <c r="T677" s="841"/>
      <c r="U677" s="841"/>
      <c r="V677" s="841"/>
      <c r="W677" s="841"/>
      <c r="X677" s="841"/>
      <c r="Y677" s="841"/>
      <c r="Z677" s="1226"/>
      <c r="AA677" s="1226"/>
      <c r="AB677" s="1226"/>
      <c r="AC677" s="1226"/>
      <c r="AD677" s="1226"/>
      <c r="AE677" s="1226"/>
      <c r="AF677" s="1226"/>
      <c r="AG677" s="1226"/>
      <c r="AH677" s="1226"/>
      <c r="AI677" s="841"/>
      <c r="AJ677" s="841"/>
      <c r="AK677" s="841"/>
      <c r="AL677" s="841"/>
      <c r="AM677" s="841"/>
      <c r="AN677" s="841"/>
      <c r="AO677" s="841"/>
      <c r="AP677" s="841"/>
      <c r="AQ677" s="841"/>
      <c r="AR677" s="841"/>
      <c r="AS677" s="842"/>
    </row>
    <row r="678" spans="1:45">
      <c r="A678" s="841"/>
      <c r="B678" s="841"/>
      <c r="C678" s="841"/>
      <c r="D678" s="841"/>
      <c r="E678" s="841"/>
      <c r="F678" s="841"/>
      <c r="G678" s="841"/>
      <c r="H678" s="841"/>
      <c r="I678" s="841"/>
      <c r="J678" s="841"/>
      <c r="K678" s="841"/>
      <c r="L678" s="841"/>
      <c r="M678" s="841"/>
      <c r="N678" s="841"/>
      <c r="O678" s="841"/>
      <c r="P678" s="841"/>
      <c r="Q678" s="841"/>
      <c r="R678" s="841"/>
      <c r="S678" s="841"/>
      <c r="T678" s="841"/>
      <c r="U678" s="841"/>
      <c r="V678" s="841"/>
      <c r="W678" s="841"/>
      <c r="X678" s="841"/>
      <c r="Y678" s="841"/>
      <c r="Z678" s="1226"/>
      <c r="AA678" s="1226"/>
      <c r="AB678" s="1226"/>
      <c r="AC678" s="1226"/>
      <c r="AD678" s="1226"/>
      <c r="AE678" s="1226"/>
      <c r="AF678" s="1226"/>
      <c r="AG678" s="1226"/>
      <c r="AH678" s="1226"/>
      <c r="AI678" s="841"/>
      <c r="AJ678" s="841"/>
      <c r="AK678" s="841"/>
      <c r="AL678" s="841"/>
      <c r="AM678" s="841"/>
      <c r="AN678" s="841"/>
      <c r="AO678" s="841"/>
      <c r="AP678" s="841"/>
      <c r="AQ678" s="841"/>
      <c r="AR678" s="841"/>
      <c r="AS678" s="842"/>
    </row>
    <row r="679" spans="1:45">
      <c r="A679" s="841"/>
      <c r="B679" s="841"/>
      <c r="C679" s="841"/>
      <c r="D679" s="841"/>
      <c r="E679" s="841"/>
      <c r="F679" s="841"/>
      <c r="G679" s="841"/>
      <c r="H679" s="841"/>
      <c r="I679" s="841"/>
      <c r="J679" s="841"/>
      <c r="K679" s="841"/>
      <c r="L679" s="841"/>
      <c r="M679" s="841"/>
      <c r="N679" s="841"/>
      <c r="O679" s="841"/>
      <c r="P679" s="841"/>
      <c r="Q679" s="841"/>
      <c r="R679" s="841"/>
      <c r="S679" s="841"/>
      <c r="T679" s="841"/>
      <c r="U679" s="841"/>
      <c r="V679" s="841"/>
      <c r="W679" s="841"/>
      <c r="X679" s="841"/>
      <c r="Y679" s="841"/>
      <c r="Z679" s="1226"/>
      <c r="AA679" s="1226"/>
      <c r="AB679" s="1226"/>
      <c r="AC679" s="1226"/>
      <c r="AD679" s="1226"/>
      <c r="AE679" s="1226"/>
      <c r="AF679" s="1226"/>
      <c r="AG679" s="1226"/>
      <c r="AH679" s="1226"/>
      <c r="AI679" s="841"/>
      <c r="AJ679" s="841"/>
      <c r="AK679" s="841"/>
      <c r="AL679" s="841"/>
      <c r="AM679" s="841"/>
      <c r="AN679" s="841"/>
      <c r="AO679" s="841"/>
      <c r="AP679" s="841"/>
      <c r="AQ679" s="841"/>
      <c r="AR679" s="841"/>
      <c r="AS679" s="842"/>
    </row>
    <row r="680" spans="1:45">
      <c r="A680" s="841"/>
      <c r="B680" s="841"/>
      <c r="C680" s="841"/>
      <c r="D680" s="841"/>
      <c r="E680" s="841"/>
      <c r="F680" s="841"/>
      <c r="G680" s="841"/>
      <c r="H680" s="841"/>
      <c r="I680" s="841"/>
      <c r="J680" s="841"/>
      <c r="K680" s="841"/>
      <c r="L680" s="841"/>
      <c r="M680" s="841"/>
      <c r="N680" s="841"/>
      <c r="O680" s="841"/>
      <c r="P680" s="841"/>
      <c r="Q680" s="841"/>
      <c r="R680" s="841"/>
      <c r="S680" s="841"/>
      <c r="T680" s="841"/>
      <c r="U680" s="841"/>
      <c r="V680" s="841"/>
      <c r="W680" s="841"/>
      <c r="X680" s="841"/>
      <c r="Y680" s="841"/>
      <c r="Z680" s="1226"/>
      <c r="AA680" s="1226"/>
      <c r="AB680" s="1226"/>
      <c r="AC680" s="1226"/>
      <c r="AD680" s="1226"/>
      <c r="AE680" s="1226"/>
      <c r="AF680" s="1226"/>
      <c r="AG680" s="1226"/>
      <c r="AH680" s="1226"/>
      <c r="AI680" s="841"/>
      <c r="AJ680" s="841"/>
      <c r="AK680" s="841"/>
      <c r="AL680" s="841"/>
      <c r="AM680" s="841"/>
      <c r="AN680" s="841"/>
      <c r="AO680" s="841"/>
      <c r="AP680" s="841"/>
      <c r="AQ680" s="841"/>
      <c r="AR680" s="841"/>
      <c r="AS680" s="842"/>
    </row>
    <row r="681" spans="1:45">
      <c r="A681" s="841"/>
      <c r="B681" s="841"/>
      <c r="C681" s="841"/>
      <c r="D681" s="841"/>
      <c r="E681" s="841"/>
      <c r="F681" s="841"/>
      <c r="G681" s="841"/>
      <c r="H681" s="841"/>
      <c r="I681" s="841"/>
      <c r="J681" s="841"/>
      <c r="K681" s="841"/>
      <c r="L681" s="841"/>
      <c r="M681" s="841"/>
      <c r="N681" s="841"/>
      <c r="O681" s="841"/>
      <c r="P681" s="841"/>
      <c r="Q681" s="841"/>
      <c r="R681" s="841"/>
      <c r="S681" s="841"/>
      <c r="T681" s="841"/>
      <c r="U681" s="841"/>
      <c r="V681" s="841"/>
      <c r="W681" s="841"/>
      <c r="X681" s="841"/>
      <c r="Y681" s="841"/>
      <c r="Z681" s="1226"/>
      <c r="AA681" s="1226"/>
      <c r="AB681" s="1226"/>
      <c r="AC681" s="1226"/>
      <c r="AD681" s="1226"/>
      <c r="AE681" s="1226"/>
      <c r="AF681" s="1226"/>
      <c r="AG681" s="1226"/>
      <c r="AH681" s="1226"/>
      <c r="AI681" s="841"/>
      <c r="AJ681" s="841"/>
      <c r="AK681" s="841"/>
      <c r="AL681" s="841"/>
      <c r="AM681" s="841"/>
      <c r="AN681" s="841"/>
      <c r="AO681" s="841"/>
      <c r="AP681" s="841"/>
      <c r="AQ681" s="841"/>
      <c r="AR681" s="841"/>
      <c r="AS681" s="842"/>
    </row>
    <row r="682" spans="1:45">
      <c r="A682" s="841"/>
      <c r="B682" s="841"/>
      <c r="C682" s="841"/>
      <c r="D682" s="841"/>
      <c r="E682" s="841"/>
      <c r="F682" s="841"/>
      <c r="G682" s="841"/>
      <c r="H682" s="841"/>
      <c r="I682" s="841"/>
      <c r="J682" s="841"/>
      <c r="K682" s="841"/>
      <c r="L682" s="841"/>
      <c r="M682" s="841"/>
      <c r="N682" s="841"/>
      <c r="O682" s="841"/>
      <c r="P682" s="841"/>
      <c r="Q682" s="841"/>
      <c r="R682" s="841"/>
      <c r="S682" s="841"/>
      <c r="T682" s="841"/>
      <c r="U682" s="841"/>
      <c r="V682" s="841"/>
      <c r="W682" s="841"/>
      <c r="X682" s="841"/>
      <c r="Y682" s="841"/>
      <c r="Z682" s="1226"/>
      <c r="AA682" s="1226"/>
      <c r="AB682" s="1226"/>
      <c r="AC682" s="1226"/>
      <c r="AD682" s="1226"/>
      <c r="AE682" s="1226"/>
      <c r="AF682" s="1226"/>
      <c r="AG682" s="1226"/>
      <c r="AH682" s="1226"/>
      <c r="AI682" s="841"/>
      <c r="AJ682" s="841"/>
      <c r="AK682" s="841"/>
      <c r="AL682" s="841"/>
      <c r="AM682" s="841"/>
      <c r="AN682" s="841"/>
      <c r="AO682" s="841"/>
      <c r="AP682" s="841"/>
      <c r="AQ682" s="841"/>
      <c r="AR682" s="841"/>
      <c r="AS682" s="842"/>
    </row>
    <row r="683" spans="1:45">
      <c r="A683" s="841"/>
      <c r="B683" s="841"/>
      <c r="C683" s="841"/>
      <c r="D683" s="841"/>
      <c r="E683" s="841"/>
      <c r="F683" s="841"/>
      <c r="G683" s="841"/>
      <c r="H683" s="841"/>
      <c r="I683" s="841"/>
      <c r="J683" s="841"/>
      <c r="K683" s="841"/>
      <c r="L683" s="841"/>
      <c r="M683" s="841"/>
      <c r="N683" s="841"/>
      <c r="O683" s="841"/>
      <c r="P683" s="841"/>
      <c r="Q683" s="841"/>
      <c r="R683" s="841"/>
      <c r="S683" s="841"/>
      <c r="T683" s="841"/>
      <c r="U683" s="841"/>
      <c r="V683" s="841"/>
      <c r="W683" s="841"/>
      <c r="X683" s="841"/>
      <c r="Y683" s="841"/>
      <c r="Z683" s="1226"/>
      <c r="AA683" s="1226"/>
      <c r="AB683" s="1226"/>
      <c r="AC683" s="1226"/>
      <c r="AD683" s="1226"/>
      <c r="AE683" s="1226"/>
      <c r="AF683" s="1226"/>
      <c r="AG683" s="1226"/>
      <c r="AH683" s="1226"/>
      <c r="AI683" s="841"/>
      <c r="AJ683" s="841"/>
      <c r="AK683" s="841"/>
      <c r="AL683" s="841"/>
      <c r="AM683" s="841"/>
      <c r="AN683" s="841"/>
      <c r="AO683" s="841"/>
      <c r="AP683" s="841"/>
      <c r="AQ683" s="841"/>
      <c r="AR683" s="841"/>
      <c r="AS683" s="842"/>
    </row>
    <row r="684" spans="1:45">
      <c r="A684" s="841"/>
      <c r="B684" s="841"/>
      <c r="C684" s="841"/>
      <c r="D684" s="841"/>
      <c r="E684" s="841"/>
      <c r="F684" s="841"/>
      <c r="G684" s="841"/>
      <c r="H684" s="841"/>
      <c r="I684" s="841"/>
      <c r="J684" s="841"/>
      <c r="K684" s="841"/>
      <c r="L684" s="841"/>
      <c r="M684" s="841"/>
      <c r="N684" s="841"/>
      <c r="O684" s="841"/>
      <c r="P684" s="841"/>
      <c r="Q684" s="841"/>
      <c r="R684" s="841"/>
      <c r="S684" s="841"/>
      <c r="T684" s="841"/>
      <c r="U684" s="841"/>
      <c r="V684" s="841"/>
      <c r="W684" s="841"/>
      <c r="X684" s="841"/>
      <c r="Y684" s="841"/>
      <c r="Z684" s="1226"/>
      <c r="AA684" s="1226"/>
      <c r="AB684" s="1226"/>
      <c r="AC684" s="1226"/>
      <c r="AD684" s="1226"/>
      <c r="AE684" s="1226"/>
      <c r="AF684" s="1226"/>
      <c r="AG684" s="1226"/>
      <c r="AH684" s="1226"/>
      <c r="AI684" s="841"/>
      <c r="AJ684" s="841"/>
      <c r="AK684" s="841"/>
      <c r="AL684" s="841"/>
      <c r="AM684" s="841"/>
      <c r="AN684" s="841"/>
      <c r="AO684" s="841"/>
      <c r="AP684" s="841"/>
      <c r="AQ684" s="841"/>
      <c r="AR684" s="841"/>
      <c r="AS684" s="842"/>
    </row>
    <row r="685" spans="1:45">
      <c r="A685" s="841"/>
      <c r="B685" s="841"/>
      <c r="C685" s="841"/>
      <c r="D685" s="841"/>
      <c r="E685" s="841"/>
      <c r="F685" s="841"/>
      <c r="G685" s="841"/>
      <c r="H685" s="841"/>
      <c r="I685" s="841"/>
      <c r="J685" s="841"/>
      <c r="K685" s="841"/>
      <c r="L685" s="841"/>
      <c r="M685" s="841"/>
      <c r="N685" s="841"/>
      <c r="O685" s="841"/>
      <c r="P685" s="841"/>
      <c r="Q685" s="841"/>
      <c r="R685" s="841"/>
      <c r="S685" s="841"/>
      <c r="T685" s="841"/>
      <c r="U685" s="841"/>
      <c r="V685" s="841"/>
      <c r="W685" s="841"/>
      <c r="X685" s="841"/>
      <c r="Y685" s="841"/>
      <c r="Z685" s="1226"/>
      <c r="AA685" s="1226"/>
      <c r="AB685" s="1226"/>
      <c r="AC685" s="1226"/>
      <c r="AD685" s="1226"/>
      <c r="AE685" s="1226"/>
      <c r="AF685" s="1226"/>
      <c r="AG685" s="1226"/>
      <c r="AH685" s="1226"/>
      <c r="AI685" s="841"/>
      <c r="AJ685" s="841"/>
      <c r="AK685" s="841"/>
      <c r="AL685" s="841"/>
      <c r="AM685" s="841"/>
      <c r="AN685" s="841"/>
      <c r="AO685" s="841"/>
      <c r="AP685" s="841"/>
      <c r="AQ685" s="841"/>
      <c r="AR685" s="841"/>
      <c r="AS685" s="842"/>
    </row>
    <row r="686" spans="1:45">
      <c r="A686" s="841"/>
      <c r="B686" s="841"/>
      <c r="C686" s="841"/>
      <c r="D686" s="841"/>
      <c r="E686" s="841"/>
      <c r="F686" s="841"/>
      <c r="G686" s="841"/>
      <c r="H686" s="841"/>
      <c r="I686" s="841"/>
      <c r="J686" s="841"/>
      <c r="K686" s="841"/>
      <c r="L686" s="841"/>
      <c r="M686" s="841"/>
      <c r="N686" s="841"/>
      <c r="O686" s="841"/>
      <c r="P686" s="841"/>
      <c r="Q686" s="841"/>
      <c r="R686" s="841"/>
      <c r="S686" s="841"/>
      <c r="T686" s="841"/>
      <c r="U686" s="841"/>
      <c r="V686" s="841"/>
      <c r="W686" s="841"/>
      <c r="X686" s="841"/>
      <c r="Y686" s="841"/>
      <c r="Z686" s="1226"/>
      <c r="AA686" s="1226"/>
      <c r="AB686" s="1226"/>
      <c r="AC686" s="1226"/>
      <c r="AD686" s="1226"/>
      <c r="AE686" s="1226"/>
      <c r="AF686" s="1226"/>
      <c r="AG686" s="1226"/>
      <c r="AH686" s="1226"/>
      <c r="AI686" s="841"/>
      <c r="AJ686" s="841"/>
      <c r="AK686" s="841"/>
      <c r="AL686" s="841"/>
      <c r="AM686" s="841"/>
      <c r="AN686" s="841"/>
      <c r="AO686" s="841"/>
      <c r="AP686" s="841"/>
      <c r="AQ686" s="841"/>
      <c r="AR686" s="841"/>
      <c r="AS686" s="842"/>
    </row>
    <row r="687" spans="1:45">
      <c r="A687" s="841"/>
      <c r="B687" s="841"/>
      <c r="C687" s="841"/>
      <c r="D687" s="841"/>
      <c r="E687" s="841"/>
      <c r="F687" s="841"/>
      <c r="G687" s="841"/>
      <c r="H687" s="841"/>
      <c r="I687" s="841"/>
      <c r="J687" s="841"/>
      <c r="K687" s="841"/>
      <c r="L687" s="841"/>
      <c r="M687" s="841"/>
      <c r="N687" s="841"/>
      <c r="O687" s="841"/>
      <c r="P687" s="841"/>
      <c r="Q687" s="841"/>
      <c r="R687" s="841"/>
      <c r="S687" s="841"/>
      <c r="T687" s="841"/>
      <c r="U687" s="841"/>
      <c r="V687" s="841"/>
      <c r="W687" s="841"/>
      <c r="X687" s="841"/>
      <c r="Y687" s="841"/>
      <c r="Z687" s="1226"/>
      <c r="AA687" s="1226"/>
      <c r="AB687" s="1226"/>
      <c r="AC687" s="1226"/>
      <c r="AD687" s="1226"/>
      <c r="AE687" s="1226"/>
      <c r="AF687" s="1226"/>
      <c r="AG687" s="1226"/>
      <c r="AH687" s="1226"/>
      <c r="AI687" s="841"/>
      <c r="AJ687" s="841"/>
      <c r="AK687" s="841"/>
      <c r="AL687" s="841"/>
      <c r="AM687" s="841"/>
      <c r="AN687" s="841"/>
      <c r="AO687" s="841"/>
      <c r="AP687" s="841"/>
      <c r="AQ687" s="841"/>
      <c r="AR687" s="841"/>
      <c r="AS687" s="842"/>
    </row>
    <row r="688" spans="1:45">
      <c r="A688" s="841"/>
      <c r="B688" s="841"/>
      <c r="C688" s="841"/>
      <c r="D688" s="841"/>
      <c r="E688" s="841"/>
      <c r="F688" s="841"/>
      <c r="G688" s="841"/>
      <c r="H688" s="841"/>
      <c r="I688" s="841"/>
      <c r="J688" s="841"/>
      <c r="K688" s="841"/>
      <c r="L688" s="841"/>
      <c r="M688" s="841"/>
      <c r="N688" s="841"/>
      <c r="O688" s="841"/>
      <c r="P688" s="841"/>
      <c r="Q688" s="841"/>
      <c r="R688" s="841"/>
      <c r="S688" s="841"/>
      <c r="T688" s="841"/>
      <c r="U688" s="841"/>
      <c r="V688" s="841"/>
      <c r="W688" s="841"/>
      <c r="X688" s="841"/>
      <c r="Y688" s="841"/>
      <c r="Z688" s="1226"/>
      <c r="AA688" s="1226"/>
      <c r="AB688" s="1226"/>
      <c r="AC688" s="1226"/>
      <c r="AD688" s="1226"/>
      <c r="AE688" s="1226"/>
      <c r="AF688" s="1226"/>
      <c r="AG688" s="1226"/>
      <c r="AH688" s="1226"/>
      <c r="AI688" s="841"/>
      <c r="AJ688" s="841"/>
      <c r="AK688" s="841"/>
      <c r="AL688" s="841"/>
      <c r="AM688" s="841"/>
      <c r="AN688" s="841"/>
      <c r="AO688" s="841"/>
      <c r="AP688" s="841"/>
      <c r="AQ688" s="841"/>
      <c r="AR688" s="841"/>
      <c r="AS688" s="842"/>
    </row>
    <row r="689" spans="1:45">
      <c r="A689" s="841"/>
      <c r="B689" s="841"/>
      <c r="C689" s="841"/>
      <c r="D689" s="841"/>
      <c r="E689" s="841"/>
      <c r="F689" s="841"/>
      <c r="G689" s="841"/>
      <c r="H689" s="841"/>
      <c r="I689" s="841"/>
      <c r="J689" s="841"/>
      <c r="K689" s="841"/>
      <c r="L689" s="841"/>
      <c r="M689" s="841"/>
      <c r="N689" s="841"/>
      <c r="O689" s="841"/>
      <c r="P689" s="841"/>
      <c r="Q689" s="841"/>
      <c r="R689" s="841"/>
      <c r="S689" s="841"/>
      <c r="T689" s="841"/>
      <c r="U689" s="841"/>
      <c r="V689" s="841"/>
      <c r="W689" s="841"/>
      <c r="X689" s="841"/>
      <c r="Y689" s="841"/>
      <c r="Z689" s="1226"/>
      <c r="AA689" s="1226"/>
      <c r="AB689" s="1226"/>
      <c r="AC689" s="1226"/>
      <c r="AD689" s="1226"/>
      <c r="AE689" s="1226"/>
      <c r="AF689" s="1226"/>
      <c r="AG689" s="1226"/>
      <c r="AH689" s="1226"/>
      <c r="AI689" s="841"/>
      <c r="AJ689" s="841"/>
      <c r="AK689" s="841"/>
      <c r="AL689" s="841"/>
      <c r="AM689" s="841"/>
      <c r="AN689" s="841"/>
      <c r="AO689" s="841"/>
      <c r="AP689" s="841"/>
      <c r="AQ689" s="841"/>
      <c r="AR689" s="841"/>
      <c r="AS689" s="842"/>
    </row>
    <row r="690" spans="1:45">
      <c r="A690" s="841"/>
      <c r="B690" s="841"/>
      <c r="C690" s="841"/>
      <c r="D690" s="841"/>
      <c r="E690" s="841"/>
      <c r="F690" s="841"/>
      <c r="G690" s="841"/>
      <c r="H690" s="841"/>
      <c r="I690" s="841"/>
      <c r="J690" s="841"/>
      <c r="K690" s="841"/>
      <c r="L690" s="841"/>
      <c r="M690" s="841"/>
      <c r="N690" s="841"/>
      <c r="O690" s="841"/>
      <c r="P690" s="841"/>
      <c r="Q690" s="841"/>
      <c r="R690" s="841"/>
      <c r="S690" s="841"/>
      <c r="T690" s="841"/>
      <c r="U690" s="841"/>
      <c r="V690" s="841"/>
      <c r="W690" s="841"/>
      <c r="X690" s="841"/>
      <c r="Y690" s="841"/>
      <c r="Z690" s="1226"/>
      <c r="AA690" s="1226"/>
      <c r="AB690" s="1226"/>
      <c r="AC690" s="1226"/>
      <c r="AD690" s="1226"/>
      <c r="AE690" s="1226"/>
      <c r="AF690" s="1226"/>
      <c r="AG690" s="1226"/>
      <c r="AH690" s="1226"/>
      <c r="AI690" s="841"/>
      <c r="AJ690" s="841"/>
      <c r="AK690" s="841"/>
      <c r="AL690" s="841"/>
      <c r="AM690" s="841"/>
      <c r="AN690" s="841"/>
      <c r="AO690" s="841"/>
      <c r="AP690" s="841"/>
      <c r="AQ690" s="841"/>
      <c r="AR690" s="841"/>
      <c r="AS690" s="842"/>
    </row>
    <row r="691" spans="1:45">
      <c r="A691" s="841"/>
      <c r="B691" s="841"/>
      <c r="C691" s="841"/>
      <c r="D691" s="841"/>
      <c r="E691" s="841"/>
      <c r="F691" s="841"/>
      <c r="G691" s="841"/>
      <c r="H691" s="841"/>
      <c r="I691" s="841"/>
      <c r="J691" s="841"/>
      <c r="K691" s="841"/>
      <c r="L691" s="841"/>
      <c r="M691" s="841"/>
      <c r="N691" s="841"/>
      <c r="O691" s="841"/>
      <c r="P691" s="841"/>
      <c r="Q691" s="841"/>
      <c r="R691" s="841"/>
      <c r="S691" s="841"/>
      <c r="T691" s="841"/>
      <c r="U691" s="841"/>
      <c r="V691" s="841"/>
      <c r="W691" s="841"/>
      <c r="X691" s="841"/>
      <c r="Y691" s="841"/>
      <c r="Z691" s="1226"/>
      <c r="AA691" s="1226"/>
      <c r="AB691" s="1226"/>
      <c r="AC691" s="1226"/>
      <c r="AD691" s="1226"/>
      <c r="AE691" s="1226"/>
      <c r="AF691" s="1226"/>
      <c r="AG691" s="1226"/>
      <c r="AH691" s="1226"/>
      <c r="AI691" s="841"/>
      <c r="AJ691" s="841"/>
      <c r="AK691" s="841"/>
      <c r="AL691" s="841"/>
      <c r="AM691" s="841"/>
      <c r="AN691" s="841"/>
      <c r="AO691" s="841"/>
      <c r="AP691" s="841"/>
      <c r="AQ691" s="841"/>
      <c r="AR691" s="841"/>
      <c r="AS691" s="842"/>
    </row>
    <row r="692" spans="1:45">
      <c r="A692" s="841"/>
      <c r="B692" s="841"/>
      <c r="C692" s="841"/>
      <c r="D692" s="841"/>
      <c r="E692" s="841"/>
      <c r="F692" s="841"/>
      <c r="G692" s="841"/>
      <c r="H692" s="841"/>
      <c r="I692" s="841"/>
      <c r="J692" s="841"/>
      <c r="K692" s="841"/>
      <c r="L692" s="841"/>
      <c r="M692" s="841"/>
      <c r="N692" s="841"/>
      <c r="O692" s="841"/>
      <c r="P692" s="841"/>
      <c r="Q692" s="841"/>
      <c r="R692" s="841"/>
      <c r="S692" s="841"/>
      <c r="T692" s="841"/>
      <c r="U692" s="841"/>
      <c r="V692" s="841"/>
      <c r="W692" s="841"/>
      <c r="X692" s="841"/>
      <c r="Y692" s="841"/>
      <c r="Z692" s="1226"/>
      <c r="AA692" s="1226"/>
      <c r="AB692" s="1226"/>
      <c r="AC692" s="1226"/>
      <c r="AD692" s="1226"/>
      <c r="AE692" s="1226"/>
      <c r="AF692" s="1226"/>
      <c r="AG692" s="1226"/>
      <c r="AH692" s="1226"/>
      <c r="AI692" s="841"/>
      <c r="AJ692" s="841"/>
      <c r="AK692" s="841"/>
      <c r="AL692" s="841"/>
      <c r="AM692" s="841"/>
      <c r="AN692" s="841"/>
      <c r="AO692" s="841"/>
      <c r="AP692" s="841"/>
      <c r="AQ692" s="841"/>
      <c r="AR692" s="841"/>
      <c r="AS692" s="842"/>
    </row>
    <row r="693" spans="1:45">
      <c r="A693" s="841"/>
      <c r="B693" s="841"/>
      <c r="C693" s="841"/>
      <c r="D693" s="841"/>
      <c r="E693" s="841"/>
      <c r="F693" s="841"/>
      <c r="G693" s="841"/>
      <c r="H693" s="841"/>
      <c r="I693" s="841"/>
      <c r="J693" s="841"/>
      <c r="K693" s="841"/>
      <c r="L693" s="841"/>
      <c r="M693" s="841"/>
      <c r="N693" s="841"/>
      <c r="O693" s="841"/>
      <c r="P693" s="841"/>
      <c r="Q693" s="841"/>
      <c r="R693" s="841"/>
      <c r="S693" s="841"/>
      <c r="T693" s="841"/>
      <c r="U693" s="841"/>
      <c r="V693" s="841"/>
      <c r="W693" s="841"/>
      <c r="X693" s="841"/>
      <c r="Y693" s="841"/>
      <c r="Z693" s="1226"/>
      <c r="AA693" s="1226"/>
      <c r="AB693" s="1226"/>
      <c r="AC693" s="1226"/>
      <c r="AD693" s="1226"/>
      <c r="AE693" s="1226"/>
      <c r="AF693" s="1226"/>
      <c r="AG693" s="1226"/>
      <c r="AH693" s="1226"/>
      <c r="AI693" s="841"/>
      <c r="AJ693" s="841"/>
      <c r="AK693" s="841"/>
      <c r="AL693" s="841"/>
      <c r="AM693" s="841"/>
      <c r="AN693" s="841"/>
      <c r="AO693" s="841"/>
      <c r="AP693" s="841"/>
      <c r="AQ693" s="841"/>
      <c r="AR693" s="841"/>
      <c r="AS693" s="842"/>
    </row>
    <row r="694" spans="1:45">
      <c r="A694" s="841"/>
      <c r="B694" s="841"/>
      <c r="C694" s="841"/>
      <c r="D694" s="841"/>
      <c r="E694" s="841"/>
      <c r="F694" s="841"/>
      <c r="G694" s="841"/>
      <c r="H694" s="841"/>
      <c r="I694" s="841"/>
      <c r="J694" s="841"/>
      <c r="K694" s="841"/>
      <c r="L694" s="841"/>
      <c r="M694" s="841"/>
      <c r="N694" s="841"/>
      <c r="O694" s="841"/>
      <c r="P694" s="841"/>
      <c r="Q694" s="841"/>
      <c r="R694" s="841"/>
      <c r="S694" s="841"/>
      <c r="T694" s="841"/>
      <c r="U694" s="841"/>
      <c r="V694" s="841"/>
      <c r="W694" s="841"/>
      <c r="X694" s="841"/>
      <c r="Y694" s="841"/>
      <c r="Z694" s="1226"/>
      <c r="AA694" s="1226"/>
      <c r="AB694" s="1226"/>
      <c r="AC694" s="1226"/>
      <c r="AD694" s="1226"/>
      <c r="AE694" s="1226"/>
      <c r="AF694" s="1226"/>
      <c r="AG694" s="1226"/>
      <c r="AH694" s="1226"/>
      <c r="AI694" s="841"/>
      <c r="AJ694" s="841"/>
      <c r="AK694" s="841"/>
      <c r="AL694" s="841"/>
      <c r="AM694" s="841"/>
      <c r="AN694" s="841"/>
      <c r="AO694" s="841"/>
      <c r="AP694" s="841"/>
      <c r="AQ694" s="841"/>
      <c r="AR694" s="841"/>
      <c r="AS694" s="842"/>
    </row>
    <row r="695" spans="1:45">
      <c r="A695" s="841"/>
      <c r="B695" s="841"/>
      <c r="C695" s="841"/>
      <c r="D695" s="841"/>
      <c r="E695" s="841"/>
      <c r="F695" s="841"/>
      <c r="G695" s="841"/>
      <c r="H695" s="841"/>
      <c r="I695" s="841"/>
      <c r="J695" s="841"/>
      <c r="K695" s="841"/>
      <c r="L695" s="841"/>
      <c r="M695" s="841"/>
      <c r="N695" s="841"/>
      <c r="O695" s="841"/>
      <c r="P695" s="841"/>
      <c r="Q695" s="841"/>
      <c r="R695" s="841"/>
      <c r="S695" s="841"/>
      <c r="T695" s="841"/>
      <c r="U695" s="841"/>
      <c r="V695" s="841"/>
      <c r="W695" s="841"/>
      <c r="X695" s="841"/>
      <c r="Y695" s="841"/>
      <c r="Z695" s="1226"/>
      <c r="AA695" s="1226"/>
      <c r="AB695" s="1226"/>
      <c r="AC695" s="1226"/>
      <c r="AD695" s="1226"/>
      <c r="AE695" s="1226"/>
      <c r="AF695" s="1226"/>
      <c r="AG695" s="1226"/>
      <c r="AH695" s="1226"/>
      <c r="AI695" s="841"/>
      <c r="AJ695" s="841"/>
      <c r="AK695" s="841"/>
      <c r="AL695" s="841"/>
      <c r="AM695" s="841"/>
      <c r="AN695" s="841"/>
      <c r="AO695" s="841"/>
      <c r="AP695" s="841"/>
      <c r="AQ695" s="841"/>
      <c r="AR695" s="841"/>
      <c r="AS695" s="842"/>
    </row>
    <row r="696" spans="1:45">
      <c r="A696" s="841"/>
      <c r="B696" s="841"/>
      <c r="C696" s="841"/>
      <c r="D696" s="841"/>
      <c r="E696" s="841"/>
      <c r="F696" s="841"/>
      <c r="G696" s="841"/>
      <c r="H696" s="841"/>
      <c r="I696" s="841"/>
      <c r="J696" s="841"/>
      <c r="K696" s="841"/>
      <c r="L696" s="841"/>
      <c r="M696" s="841"/>
      <c r="N696" s="841"/>
      <c r="O696" s="841"/>
      <c r="P696" s="841"/>
      <c r="Q696" s="841"/>
      <c r="R696" s="841"/>
      <c r="S696" s="841"/>
      <c r="T696" s="841"/>
      <c r="U696" s="841"/>
      <c r="V696" s="841"/>
      <c r="W696" s="841"/>
      <c r="X696" s="841"/>
      <c r="Y696" s="841"/>
      <c r="Z696" s="1226"/>
      <c r="AA696" s="1226"/>
      <c r="AB696" s="1226"/>
      <c r="AC696" s="1226"/>
      <c r="AD696" s="1226"/>
      <c r="AE696" s="1226"/>
      <c r="AF696" s="1226"/>
      <c r="AG696" s="1226"/>
      <c r="AH696" s="1226"/>
      <c r="AI696" s="841"/>
      <c r="AJ696" s="841"/>
      <c r="AK696" s="841"/>
      <c r="AL696" s="841"/>
      <c r="AM696" s="841"/>
      <c r="AN696" s="841"/>
      <c r="AO696" s="841"/>
      <c r="AP696" s="841"/>
      <c r="AQ696" s="841"/>
      <c r="AR696" s="841"/>
      <c r="AS696" s="842"/>
    </row>
    <row r="697" spans="1:45">
      <c r="A697" s="841"/>
      <c r="B697" s="841"/>
      <c r="C697" s="841"/>
      <c r="D697" s="841"/>
      <c r="E697" s="841"/>
      <c r="F697" s="841"/>
      <c r="G697" s="841"/>
      <c r="H697" s="841"/>
      <c r="I697" s="841"/>
      <c r="J697" s="841"/>
      <c r="K697" s="841"/>
      <c r="L697" s="841"/>
      <c r="M697" s="841"/>
      <c r="N697" s="841"/>
      <c r="O697" s="841"/>
      <c r="P697" s="841"/>
      <c r="Q697" s="841"/>
      <c r="R697" s="841"/>
      <c r="S697" s="841"/>
      <c r="T697" s="841"/>
      <c r="U697" s="841"/>
      <c r="V697" s="841"/>
      <c r="W697" s="841"/>
      <c r="X697" s="841"/>
      <c r="Y697" s="841"/>
      <c r="Z697" s="1226"/>
      <c r="AA697" s="1226"/>
      <c r="AB697" s="1226"/>
      <c r="AC697" s="1226"/>
      <c r="AD697" s="1226"/>
      <c r="AE697" s="1226"/>
      <c r="AF697" s="1226"/>
      <c r="AG697" s="1226"/>
      <c r="AH697" s="1226"/>
      <c r="AI697" s="841"/>
      <c r="AJ697" s="841"/>
      <c r="AK697" s="841"/>
      <c r="AL697" s="841"/>
      <c r="AM697" s="841"/>
      <c r="AN697" s="841"/>
      <c r="AO697" s="841"/>
      <c r="AP697" s="841"/>
      <c r="AQ697" s="841"/>
      <c r="AR697" s="841"/>
      <c r="AS697" s="842"/>
    </row>
    <row r="698" spans="1:45">
      <c r="A698" s="841"/>
      <c r="B698" s="841"/>
      <c r="C698" s="841"/>
      <c r="D698" s="841"/>
      <c r="E698" s="841"/>
      <c r="F698" s="841"/>
      <c r="G698" s="841"/>
      <c r="H698" s="841"/>
      <c r="I698" s="841"/>
      <c r="J698" s="841"/>
      <c r="K698" s="841"/>
      <c r="L698" s="841"/>
      <c r="M698" s="841"/>
      <c r="N698" s="841"/>
      <c r="O698" s="841"/>
      <c r="P698" s="841"/>
      <c r="Q698" s="841"/>
      <c r="R698" s="841"/>
      <c r="S698" s="841"/>
      <c r="T698" s="841"/>
      <c r="U698" s="841"/>
      <c r="V698" s="841"/>
      <c r="W698" s="841"/>
      <c r="X698" s="841"/>
      <c r="Y698" s="841"/>
      <c r="Z698" s="1226"/>
      <c r="AA698" s="1226"/>
      <c r="AB698" s="1226"/>
      <c r="AC698" s="1226"/>
      <c r="AD698" s="1226"/>
      <c r="AE698" s="1226"/>
      <c r="AF698" s="1226"/>
      <c r="AG698" s="1226"/>
      <c r="AH698" s="1226"/>
      <c r="AI698" s="841"/>
      <c r="AJ698" s="841"/>
      <c r="AK698" s="841"/>
      <c r="AL698" s="841"/>
      <c r="AM698" s="841"/>
      <c r="AN698" s="841"/>
      <c r="AO698" s="841"/>
      <c r="AP698" s="841"/>
      <c r="AQ698" s="841"/>
      <c r="AR698" s="841"/>
      <c r="AS698" s="842"/>
    </row>
    <row r="699" spans="1:45">
      <c r="A699" s="841"/>
      <c r="B699" s="841"/>
      <c r="C699" s="841"/>
      <c r="D699" s="841"/>
      <c r="E699" s="841"/>
      <c r="F699" s="841"/>
      <c r="G699" s="841"/>
      <c r="H699" s="841"/>
      <c r="I699" s="841"/>
      <c r="J699" s="841"/>
      <c r="K699" s="841"/>
      <c r="L699" s="841"/>
      <c r="M699" s="841"/>
      <c r="N699" s="841"/>
      <c r="O699" s="841"/>
      <c r="P699" s="841"/>
      <c r="Q699" s="841"/>
      <c r="R699" s="841"/>
      <c r="S699" s="841"/>
      <c r="T699" s="841"/>
      <c r="U699" s="841"/>
      <c r="V699" s="841"/>
      <c r="W699" s="841"/>
      <c r="X699" s="841"/>
      <c r="Y699" s="841"/>
      <c r="Z699" s="1226"/>
      <c r="AA699" s="1226"/>
      <c r="AB699" s="1226"/>
      <c r="AC699" s="1226"/>
      <c r="AD699" s="1226"/>
      <c r="AE699" s="1226"/>
      <c r="AF699" s="1226"/>
      <c r="AG699" s="1226"/>
      <c r="AH699" s="1226"/>
      <c r="AI699" s="841"/>
      <c r="AJ699" s="841"/>
      <c r="AK699" s="841"/>
      <c r="AL699" s="841"/>
      <c r="AM699" s="841"/>
      <c r="AN699" s="841"/>
      <c r="AO699" s="841"/>
      <c r="AP699" s="841"/>
      <c r="AQ699" s="841"/>
      <c r="AR699" s="841"/>
      <c r="AS699" s="842"/>
    </row>
    <row r="700" spans="1:45">
      <c r="A700" s="841"/>
      <c r="B700" s="841"/>
      <c r="C700" s="841"/>
      <c r="D700" s="841"/>
      <c r="E700" s="841"/>
      <c r="F700" s="841"/>
      <c r="G700" s="841"/>
      <c r="H700" s="841"/>
      <c r="I700" s="841"/>
      <c r="J700" s="841"/>
      <c r="K700" s="841"/>
      <c r="L700" s="841"/>
      <c r="M700" s="841"/>
      <c r="N700" s="841"/>
      <c r="O700" s="841"/>
      <c r="P700" s="841"/>
      <c r="Q700" s="841"/>
      <c r="R700" s="841"/>
      <c r="S700" s="841"/>
      <c r="T700" s="841"/>
      <c r="U700" s="841"/>
      <c r="V700" s="841"/>
      <c r="W700" s="841"/>
      <c r="X700" s="841"/>
      <c r="Y700" s="841"/>
      <c r="Z700" s="1226"/>
      <c r="AA700" s="1226"/>
      <c r="AB700" s="1226"/>
      <c r="AC700" s="1226"/>
      <c r="AD700" s="1226"/>
      <c r="AE700" s="1226"/>
      <c r="AF700" s="1226"/>
      <c r="AG700" s="1226"/>
      <c r="AH700" s="1226"/>
      <c r="AI700" s="841"/>
      <c r="AJ700" s="841"/>
      <c r="AK700" s="841"/>
      <c r="AL700" s="841"/>
      <c r="AM700" s="841"/>
      <c r="AN700" s="841"/>
      <c r="AO700" s="841"/>
      <c r="AP700" s="841"/>
      <c r="AQ700" s="841"/>
      <c r="AR700" s="841"/>
      <c r="AS700" s="842"/>
    </row>
    <row r="701" spans="1:45">
      <c r="A701" s="841"/>
      <c r="B701" s="841"/>
      <c r="C701" s="841"/>
      <c r="D701" s="841"/>
      <c r="E701" s="841"/>
      <c r="F701" s="841"/>
      <c r="G701" s="841"/>
      <c r="H701" s="841"/>
      <c r="I701" s="841"/>
      <c r="J701" s="841"/>
      <c r="K701" s="841"/>
      <c r="L701" s="841"/>
      <c r="M701" s="841"/>
      <c r="N701" s="841"/>
      <c r="O701" s="841"/>
      <c r="P701" s="841"/>
      <c r="Q701" s="841"/>
      <c r="R701" s="841"/>
      <c r="S701" s="841"/>
      <c r="T701" s="841"/>
      <c r="U701" s="841"/>
      <c r="V701" s="841"/>
      <c r="W701" s="841"/>
      <c r="X701" s="841"/>
      <c r="Y701" s="841"/>
      <c r="Z701" s="1226"/>
      <c r="AA701" s="1226"/>
      <c r="AB701" s="1226"/>
      <c r="AC701" s="1226"/>
      <c r="AD701" s="1226"/>
      <c r="AE701" s="1226"/>
      <c r="AF701" s="1226"/>
      <c r="AG701" s="1226"/>
      <c r="AH701" s="1226"/>
      <c r="AI701" s="841"/>
      <c r="AJ701" s="841"/>
      <c r="AK701" s="841"/>
      <c r="AL701" s="841"/>
      <c r="AM701" s="841"/>
      <c r="AN701" s="841"/>
      <c r="AO701" s="841"/>
      <c r="AP701" s="841"/>
      <c r="AQ701" s="841"/>
      <c r="AR701" s="841"/>
      <c r="AS701" s="842"/>
    </row>
    <row r="702" spans="1:45">
      <c r="A702" s="841"/>
      <c r="B702" s="841"/>
      <c r="C702" s="841"/>
      <c r="D702" s="841"/>
      <c r="E702" s="841"/>
      <c r="F702" s="841"/>
      <c r="G702" s="841"/>
      <c r="H702" s="841"/>
      <c r="I702" s="841"/>
      <c r="J702" s="841"/>
      <c r="K702" s="841"/>
      <c r="L702" s="841"/>
      <c r="M702" s="841"/>
      <c r="N702" s="841"/>
      <c r="O702" s="841"/>
      <c r="P702" s="841"/>
      <c r="Q702" s="841"/>
      <c r="R702" s="841"/>
      <c r="S702" s="841"/>
      <c r="T702" s="841"/>
      <c r="U702" s="841"/>
      <c r="V702" s="841"/>
      <c r="W702" s="841"/>
      <c r="X702" s="841"/>
      <c r="Y702" s="841"/>
      <c r="Z702" s="1226"/>
      <c r="AA702" s="1226"/>
      <c r="AB702" s="1226"/>
      <c r="AC702" s="1226"/>
      <c r="AD702" s="1226"/>
      <c r="AE702" s="1226"/>
      <c r="AF702" s="1226"/>
      <c r="AG702" s="1226"/>
      <c r="AH702" s="1226"/>
      <c r="AI702" s="841"/>
      <c r="AJ702" s="841"/>
      <c r="AK702" s="841"/>
      <c r="AL702" s="841"/>
      <c r="AM702" s="841"/>
      <c r="AN702" s="841"/>
      <c r="AO702" s="841"/>
      <c r="AP702" s="841"/>
      <c r="AQ702" s="841"/>
      <c r="AR702" s="841"/>
      <c r="AS702" s="842"/>
    </row>
    <row r="703" spans="1:45">
      <c r="A703" s="841"/>
      <c r="B703" s="841"/>
      <c r="C703" s="841"/>
      <c r="D703" s="841"/>
      <c r="E703" s="841"/>
      <c r="F703" s="841"/>
      <c r="G703" s="841"/>
      <c r="H703" s="841"/>
      <c r="I703" s="841"/>
      <c r="J703" s="841"/>
      <c r="K703" s="841"/>
      <c r="L703" s="841"/>
      <c r="M703" s="841"/>
      <c r="N703" s="841"/>
      <c r="O703" s="841"/>
      <c r="P703" s="841"/>
      <c r="Q703" s="841"/>
      <c r="R703" s="841"/>
      <c r="S703" s="841"/>
      <c r="T703" s="841"/>
      <c r="U703" s="841"/>
      <c r="V703" s="841"/>
      <c r="W703" s="841"/>
      <c r="X703" s="841"/>
      <c r="Y703" s="841"/>
      <c r="Z703" s="1226"/>
      <c r="AA703" s="1226"/>
      <c r="AB703" s="1226"/>
      <c r="AC703" s="1226"/>
      <c r="AD703" s="1226"/>
      <c r="AE703" s="1226"/>
      <c r="AF703" s="1226"/>
      <c r="AG703" s="1226"/>
      <c r="AH703" s="1226"/>
      <c r="AI703" s="841"/>
      <c r="AJ703" s="841"/>
      <c r="AK703" s="841"/>
      <c r="AL703" s="841"/>
      <c r="AM703" s="841"/>
      <c r="AN703" s="841"/>
      <c r="AO703" s="841"/>
      <c r="AP703" s="841"/>
      <c r="AQ703" s="841"/>
      <c r="AR703" s="841"/>
      <c r="AS703" s="842"/>
    </row>
    <row r="704" spans="1:45">
      <c r="A704" s="841"/>
      <c r="B704" s="841"/>
      <c r="C704" s="841"/>
      <c r="D704" s="841"/>
      <c r="E704" s="841"/>
      <c r="F704" s="841"/>
      <c r="G704" s="841"/>
      <c r="H704" s="841"/>
      <c r="I704" s="841"/>
      <c r="J704" s="841"/>
      <c r="K704" s="841"/>
      <c r="L704" s="841"/>
      <c r="M704" s="841"/>
      <c r="N704" s="841"/>
      <c r="O704" s="841"/>
      <c r="P704" s="841"/>
      <c r="Q704" s="841"/>
      <c r="R704" s="841"/>
      <c r="S704" s="841"/>
      <c r="T704" s="841"/>
      <c r="U704" s="841"/>
      <c r="V704" s="841"/>
      <c r="W704" s="841"/>
      <c r="X704" s="841"/>
      <c r="Y704" s="841"/>
      <c r="Z704" s="1226"/>
      <c r="AA704" s="1226"/>
      <c r="AB704" s="1226"/>
      <c r="AC704" s="1226"/>
      <c r="AD704" s="1226"/>
      <c r="AE704" s="1226"/>
      <c r="AF704" s="1226"/>
      <c r="AG704" s="1226"/>
      <c r="AH704" s="1226"/>
      <c r="AI704" s="841"/>
      <c r="AJ704" s="841"/>
      <c r="AK704" s="841"/>
      <c r="AL704" s="841"/>
      <c r="AM704" s="841"/>
      <c r="AN704" s="841"/>
      <c r="AO704" s="841"/>
      <c r="AP704" s="841"/>
      <c r="AQ704" s="841"/>
      <c r="AR704" s="841"/>
      <c r="AS704" s="842"/>
    </row>
    <row r="705" spans="1:45">
      <c r="A705" s="841"/>
      <c r="B705" s="841"/>
      <c r="C705" s="841"/>
      <c r="D705" s="841"/>
      <c r="E705" s="841"/>
      <c r="F705" s="841"/>
      <c r="G705" s="841"/>
      <c r="H705" s="841"/>
      <c r="I705" s="841"/>
      <c r="J705" s="841"/>
      <c r="K705" s="841"/>
      <c r="L705" s="841"/>
      <c r="M705" s="841"/>
      <c r="N705" s="841"/>
      <c r="O705" s="841"/>
      <c r="P705" s="841"/>
      <c r="Q705" s="841"/>
      <c r="R705" s="841"/>
      <c r="S705" s="841"/>
      <c r="T705" s="841"/>
      <c r="U705" s="841"/>
      <c r="V705" s="841"/>
      <c r="W705" s="841"/>
      <c r="X705" s="841"/>
      <c r="Y705" s="841"/>
      <c r="Z705" s="1226"/>
      <c r="AA705" s="1226"/>
      <c r="AB705" s="1226"/>
      <c r="AC705" s="1226"/>
      <c r="AD705" s="1226"/>
      <c r="AE705" s="1226"/>
      <c r="AF705" s="1226"/>
      <c r="AG705" s="1226"/>
      <c r="AH705" s="1226"/>
      <c r="AI705" s="841"/>
      <c r="AJ705" s="841"/>
      <c r="AK705" s="841"/>
      <c r="AL705" s="841"/>
      <c r="AM705" s="841"/>
      <c r="AN705" s="841"/>
      <c r="AO705" s="841"/>
      <c r="AP705" s="841"/>
      <c r="AQ705" s="841"/>
      <c r="AR705" s="841"/>
      <c r="AS705" s="842"/>
    </row>
    <row r="706" spans="1:45">
      <c r="A706" s="841"/>
      <c r="B706" s="841"/>
      <c r="C706" s="841"/>
      <c r="D706" s="841"/>
      <c r="E706" s="841"/>
      <c r="F706" s="841"/>
      <c r="G706" s="841"/>
      <c r="H706" s="841"/>
      <c r="I706" s="841"/>
      <c r="J706" s="841"/>
      <c r="K706" s="841"/>
      <c r="L706" s="841"/>
      <c r="M706" s="841"/>
      <c r="N706" s="841"/>
      <c r="O706" s="841"/>
      <c r="P706" s="841"/>
      <c r="Q706" s="841"/>
      <c r="R706" s="841"/>
      <c r="S706" s="841"/>
      <c r="T706" s="841"/>
      <c r="U706" s="841"/>
      <c r="V706" s="841"/>
      <c r="W706" s="841"/>
      <c r="X706" s="841"/>
      <c r="Y706" s="841"/>
      <c r="Z706" s="1226"/>
      <c r="AA706" s="1226"/>
      <c r="AB706" s="1226"/>
      <c r="AC706" s="1226"/>
      <c r="AD706" s="1226"/>
      <c r="AE706" s="1226"/>
      <c r="AF706" s="1226"/>
      <c r="AG706" s="1226"/>
      <c r="AH706" s="1226"/>
      <c r="AI706" s="841"/>
      <c r="AJ706" s="841"/>
      <c r="AK706" s="841"/>
      <c r="AL706" s="841"/>
      <c r="AM706" s="841"/>
      <c r="AN706" s="841"/>
      <c r="AO706" s="841"/>
      <c r="AP706" s="841"/>
      <c r="AQ706" s="841"/>
      <c r="AR706" s="841"/>
      <c r="AS706" s="842"/>
    </row>
    <row r="707" spans="1:45">
      <c r="A707" s="841"/>
      <c r="B707" s="841"/>
      <c r="C707" s="841"/>
      <c r="D707" s="841"/>
      <c r="E707" s="841"/>
      <c r="F707" s="841"/>
      <c r="G707" s="841"/>
      <c r="H707" s="841"/>
      <c r="I707" s="841"/>
      <c r="J707" s="841"/>
      <c r="K707" s="841"/>
      <c r="L707" s="841"/>
      <c r="M707" s="841"/>
      <c r="N707" s="841"/>
      <c r="O707" s="841"/>
      <c r="P707" s="841"/>
      <c r="Q707" s="841"/>
      <c r="R707" s="841"/>
      <c r="S707" s="841"/>
      <c r="T707" s="841"/>
      <c r="U707" s="841"/>
      <c r="V707" s="841"/>
      <c r="W707" s="841"/>
      <c r="X707" s="841"/>
      <c r="Y707" s="841"/>
      <c r="Z707" s="1226"/>
      <c r="AA707" s="1226"/>
      <c r="AB707" s="1226"/>
      <c r="AC707" s="1226"/>
      <c r="AD707" s="1226"/>
      <c r="AE707" s="1226"/>
      <c r="AF707" s="1226"/>
      <c r="AG707" s="1226"/>
      <c r="AH707" s="1226"/>
      <c r="AI707" s="841"/>
      <c r="AJ707" s="841"/>
      <c r="AK707" s="841"/>
      <c r="AL707" s="841"/>
      <c r="AM707" s="841"/>
      <c r="AN707" s="841"/>
      <c r="AO707" s="841"/>
      <c r="AP707" s="841"/>
      <c r="AQ707" s="841"/>
      <c r="AR707" s="841"/>
      <c r="AS707" s="842"/>
    </row>
    <row r="708" spans="1:45">
      <c r="A708" s="841"/>
      <c r="B708" s="841"/>
      <c r="C708" s="841"/>
      <c r="D708" s="841"/>
      <c r="E708" s="841"/>
      <c r="F708" s="841"/>
      <c r="G708" s="841"/>
      <c r="H708" s="841"/>
      <c r="I708" s="841"/>
      <c r="J708" s="841"/>
      <c r="K708" s="841"/>
      <c r="L708" s="841"/>
      <c r="M708" s="841"/>
      <c r="N708" s="841"/>
      <c r="O708" s="841"/>
      <c r="P708" s="841"/>
      <c r="Q708" s="841"/>
      <c r="R708" s="841"/>
      <c r="S708" s="841"/>
      <c r="T708" s="841"/>
      <c r="U708" s="841"/>
      <c r="V708" s="841"/>
      <c r="W708" s="841"/>
      <c r="X708" s="841"/>
      <c r="Y708" s="841"/>
      <c r="Z708" s="1226"/>
      <c r="AA708" s="1226"/>
      <c r="AB708" s="1226"/>
      <c r="AC708" s="1226"/>
      <c r="AD708" s="1226"/>
      <c r="AE708" s="1226"/>
      <c r="AF708" s="1226"/>
      <c r="AG708" s="1226"/>
      <c r="AH708" s="1226"/>
      <c r="AI708" s="841"/>
      <c r="AJ708" s="841"/>
      <c r="AK708" s="841"/>
      <c r="AL708" s="841"/>
      <c r="AM708" s="841"/>
      <c r="AN708" s="841"/>
      <c r="AO708" s="841"/>
      <c r="AP708" s="841"/>
      <c r="AQ708" s="841"/>
      <c r="AR708" s="841"/>
      <c r="AS708" s="842"/>
    </row>
    <row r="709" spans="1:45">
      <c r="A709" s="841"/>
      <c r="B709" s="841"/>
      <c r="C709" s="841"/>
      <c r="D709" s="841"/>
      <c r="E709" s="841"/>
      <c r="F709" s="841"/>
      <c r="G709" s="841"/>
      <c r="H709" s="841"/>
      <c r="I709" s="841"/>
      <c r="J709" s="841"/>
      <c r="K709" s="841"/>
      <c r="L709" s="841"/>
      <c r="M709" s="841"/>
      <c r="N709" s="841"/>
      <c r="O709" s="841"/>
      <c r="P709" s="841"/>
      <c r="Q709" s="841"/>
      <c r="R709" s="841"/>
      <c r="S709" s="841"/>
      <c r="T709" s="841"/>
      <c r="U709" s="841"/>
      <c r="V709" s="841"/>
      <c r="W709" s="841"/>
      <c r="X709" s="841"/>
      <c r="Y709" s="841"/>
      <c r="Z709" s="1226"/>
      <c r="AA709" s="1226"/>
      <c r="AB709" s="1226"/>
      <c r="AC709" s="1226"/>
      <c r="AD709" s="1226"/>
      <c r="AE709" s="1226"/>
      <c r="AF709" s="1226"/>
      <c r="AG709" s="1226"/>
      <c r="AH709" s="1226"/>
      <c r="AI709" s="841"/>
      <c r="AJ709" s="841"/>
      <c r="AK709" s="841"/>
      <c r="AL709" s="841"/>
      <c r="AM709" s="841"/>
      <c r="AN709" s="841"/>
      <c r="AO709" s="841"/>
      <c r="AP709" s="841"/>
      <c r="AQ709" s="841"/>
      <c r="AR709" s="841"/>
      <c r="AS709" s="842"/>
    </row>
    <row r="710" spans="1:45">
      <c r="A710" s="841"/>
      <c r="B710" s="841"/>
      <c r="C710" s="841"/>
      <c r="D710" s="841"/>
      <c r="E710" s="841"/>
      <c r="F710" s="841"/>
      <c r="G710" s="841"/>
      <c r="H710" s="841"/>
      <c r="I710" s="841"/>
      <c r="J710" s="841"/>
      <c r="K710" s="841"/>
      <c r="L710" s="841"/>
      <c r="M710" s="841"/>
      <c r="N710" s="841"/>
      <c r="O710" s="841"/>
      <c r="P710" s="841"/>
      <c r="Q710" s="841"/>
      <c r="R710" s="841"/>
      <c r="S710" s="841"/>
      <c r="T710" s="841"/>
      <c r="U710" s="841"/>
      <c r="V710" s="841"/>
      <c r="W710" s="841"/>
      <c r="X710" s="841"/>
      <c r="Y710" s="841"/>
      <c r="Z710" s="1226"/>
      <c r="AA710" s="1226"/>
      <c r="AB710" s="1226"/>
      <c r="AC710" s="1226"/>
      <c r="AD710" s="1226"/>
      <c r="AE710" s="1226"/>
      <c r="AF710" s="1226"/>
      <c r="AG710" s="1226"/>
      <c r="AH710" s="1226"/>
      <c r="AI710" s="841"/>
      <c r="AJ710" s="841"/>
      <c r="AK710" s="841"/>
      <c r="AL710" s="841"/>
      <c r="AM710" s="841"/>
      <c r="AN710" s="841"/>
      <c r="AO710" s="841"/>
      <c r="AP710" s="841"/>
      <c r="AQ710" s="841"/>
      <c r="AR710" s="841"/>
      <c r="AS710" s="842"/>
    </row>
    <row r="711" spans="1:45">
      <c r="A711" s="841"/>
      <c r="B711" s="841"/>
      <c r="C711" s="841"/>
      <c r="D711" s="841"/>
      <c r="E711" s="841"/>
      <c r="F711" s="841"/>
      <c r="G711" s="841"/>
      <c r="H711" s="841"/>
      <c r="I711" s="841"/>
      <c r="J711" s="841"/>
      <c r="K711" s="841"/>
      <c r="L711" s="841"/>
      <c r="M711" s="841"/>
      <c r="N711" s="841"/>
      <c r="O711" s="841"/>
      <c r="P711" s="841"/>
      <c r="Q711" s="841"/>
      <c r="R711" s="841"/>
      <c r="S711" s="841"/>
      <c r="T711" s="841"/>
      <c r="U711" s="841"/>
      <c r="V711" s="841"/>
      <c r="W711" s="841"/>
      <c r="X711" s="841"/>
      <c r="Y711" s="841"/>
      <c r="Z711" s="1226"/>
      <c r="AA711" s="1226"/>
      <c r="AB711" s="1226"/>
      <c r="AC711" s="1226"/>
      <c r="AD711" s="1226"/>
      <c r="AE711" s="1226"/>
      <c r="AF711" s="1226"/>
      <c r="AG711" s="1226"/>
      <c r="AH711" s="1226"/>
      <c r="AI711" s="841"/>
      <c r="AJ711" s="841"/>
      <c r="AK711" s="841"/>
      <c r="AL711" s="841"/>
      <c r="AM711" s="841"/>
      <c r="AN711" s="841"/>
      <c r="AO711" s="841"/>
      <c r="AP711" s="841"/>
      <c r="AQ711" s="841"/>
      <c r="AR711" s="841"/>
      <c r="AS711" s="842"/>
    </row>
    <row r="712" spans="1:45">
      <c r="A712" s="841"/>
      <c r="B712" s="841"/>
      <c r="C712" s="841"/>
      <c r="D712" s="841"/>
      <c r="E712" s="841"/>
      <c r="F712" s="841"/>
      <c r="G712" s="841"/>
      <c r="H712" s="841"/>
      <c r="I712" s="841"/>
      <c r="J712" s="841"/>
      <c r="K712" s="841"/>
      <c r="L712" s="841"/>
      <c r="M712" s="841"/>
      <c r="N712" s="841"/>
      <c r="O712" s="841"/>
      <c r="P712" s="841"/>
      <c r="Q712" s="841"/>
      <c r="R712" s="841"/>
      <c r="S712" s="841"/>
      <c r="T712" s="841"/>
      <c r="U712" s="841"/>
      <c r="V712" s="841"/>
      <c r="W712" s="841"/>
      <c r="X712" s="841"/>
      <c r="Y712" s="841"/>
      <c r="Z712" s="1226"/>
      <c r="AA712" s="1226"/>
      <c r="AB712" s="1226"/>
      <c r="AC712" s="1226"/>
      <c r="AD712" s="1226"/>
      <c r="AE712" s="1226"/>
      <c r="AF712" s="1226"/>
      <c r="AG712" s="1226"/>
      <c r="AH712" s="1226"/>
      <c r="AI712" s="841"/>
      <c r="AJ712" s="841"/>
      <c r="AK712" s="841"/>
      <c r="AL712" s="841"/>
      <c r="AM712" s="841"/>
      <c r="AN712" s="841"/>
      <c r="AO712" s="841"/>
      <c r="AP712" s="841"/>
      <c r="AQ712" s="841"/>
      <c r="AR712" s="841"/>
      <c r="AS712" s="842"/>
    </row>
    <row r="713" spans="1:45">
      <c r="A713" s="841"/>
      <c r="B713" s="841"/>
      <c r="C713" s="841"/>
      <c r="D713" s="841"/>
      <c r="E713" s="841"/>
      <c r="F713" s="841"/>
      <c r="G713" s="841"/>
      <c r="H713" s="841"/>
      <c r="I713" s="841"/>
      <c r="J713" s="841"/>
      <c r="K713" s="841"/>
      <c r="L713" s="841"/>
      <c r="M713" s="841"/>
      <c r="N713" s="841"/>
      <c r="O713" s="841"/>
      <c r="P713" s="841"/>
      <c r="Q713" s="841"/>
      <c r="R713" s="841"/>
      <c r="S713" s="841"/>
      <c r="T713" s="841"/>
      <c r="U713" s="841"/>
      <c r="V713" s="841"/>
      <c r="W713" s="841"/>
      <c r="X713" s="841"/>
      <c r="Y713" s="841"/>
      <c r="Z713" s="1226"/>
      <c r="AA713" s="1226"/>
      <c r="AB713" s="1226"/>
      <c r="AC713" s="1226"/>
      <c r="AD713" s="1226"/>
      <c r="AE713" s="1226"/>
      <c r="AF713" s="1226"/>
      <c r="AG713" s="1226"/>
      <c r="AH713" s="1226"/>
      <c r="AI713" s="841"/>
      <c r="AJ713" s="841"/>
      <c r="AK713" s="841"/>
      <c r="AL713" s="841"/>
      <c r="AM713" s="841"/>
      <c r="AN713" s="841"/>
      <c r="AO713" s="841"/>
      <c r="AP713" s="841"/>
      <c r="AQ713" s="841"/>
      <c r="AR713" s="841"/>
      <c r="AS713" s="842"/>
    </row>
    <row r="714" spans="1:45">
      <c r="A714" s="841"/>
      <c r="B714" s="841"/>
      <c r="C714" s="841"/>
      <c r="D714" s="841"/>
      <c r="E714" s="841"/>
      <c r="F714" s="841"/>
      <c r="G714" s="841"/>
      <c r="H714" s="841"/>
      <c r="I714" s="841"/>
      <c r="J714" s="841"/>
      <c r="K714" s="841"/>
      <c r="L714" s="841"/>
      <c r="M714" s="841"/>
      <c r="N714" s="841"/>
      <c r="O714" s="841"/>
      <c r="P714" s="841"/>
      <c r="Q714" s="841"/>
      <c r="R714" s="841"/>
      <c r="S714" s="841"/>
      <c r="T714" s="841"/>
      <c r="U714" s="841"/>
      <c r="V714" s="841"/>
      <c r="W714" s="841"/>
      <c r="X714" s="841"/>
      <c r="Y714" s="841"/>
      <c r="Z714" s="1226"/>
      <c r="AA714" s="1226"/>
      <c r="AB714" s="1226"/>
      <c r="AC714" s="1226"/>
      <c r="AD714" s="1226"/>
      <c r="AE714" s="1226"/>
      <c r="AF714" s="1226"/>
      <c r="AG714" s="1226"/>
      <c r="AH714" s="1226"/>
      <c r="AI714" s="841"/>
      <c r="AJ714" s="841"/>
      <c r="AK714" s="841"/>
      <c r="AL714" s="841"/>
      <c r="AM714" s="841"/>
      <c r="AN714" s="841"/>
      <c r="AO714" s="841"/>
      <c r="AP714" s="841"/>
      <c r="AQ714" s="841"/>
      <c r="AR714" s="841"/>
      <c r="AS714" s="842"/>
    </row>
    <row r="715" spans="1:45">
      <c r="A715" s="841"/>
      <c r="B715" s="841"/>
      <c r="C715" s="841"/>
      <c r="D715" s="841"/>
      <c r="E715" s="841"/>
      <c r="F715" s="841"/>
      <c r="G715" s="841"/>
      <c r="H715" s="841"/>
      <c r="I715" s="841"/>
      <c r="J715" s="841"/>
      <c r="K715" s="841"/>
      <c r="L715" s="841"/>
      <c r="M715" s="841"/>
      <c r="N715" s="841"/>
      <c r="O715" s="841"/>
      <c r="P715" s="841"/>
      <c r="Q715" s="841"/>
      <c r="R715" s="841"/>
      <c r="S715" s="841"/>
      <c r="T715" s="841"/>
      <c r="U715" s="841"/>
      <c r="V715" s="841"/>
      <c r="W715" s="841"/>
      <c r="X715" s="841"/>
      <c r="Y715" s="841"/>
      <c r="Z715" s="1226"/>
      <c r="AA715" s="1226"/>
      <c r="AB715" s="1226"/>
      <c r="AC715" s="1226"/>
      <c r="AD715" s="1226"/>
      <c r="AE715" s="1226"/>
      <c r="AF715" s="1226"/>
      <c r="AG715" s="1226"/>
      <c r="AH715" s="1226"/>
      <c r="AI715" s="841"/>
      <c r="AJ715" s="841"/>
      <c r="AK715" s="841"/>
      <c r="AL715" s="841"/>
      <c r="AM715" s="841"/>
      <c r="AN715" s="841"/>
      <c r="AO715" s="841"/>
      <c r="AP715" s="841"/>
      <c r="AQ715" s="841"/>
      <c r="AR715" s="841"/>
      <c r="AS715" s="842"/>
    </row>
    <row r="716" spans="1:45">
      <c r="A716" s="841"/>
      <c r="B716" s="841"/>
      <c r="C716" s="841"/>
      <c r="D716" s="841"/>
      <c r="E716" s="841"/>
      <c r="F716" s="841"/>
      <c r="G716" s="841"/>
      <c r="H716" s="841"/>
      <c r="I716" s="841"/>
      <c r="J716" s="841"/>
      <c r="K716" s="841"/>
      <c r="L716" s="841"/>
      <c r="M716" s="841"/>
      <c r="N716" s="841"/>
      <c r="O716" s="841"/>
      <c r="P716" s="841"/>
      <c r="Q716" s="841"/>
      <c r="R716" s="841"/>
      <c r="S716" s="841"/>
      <c r="T716" s="841"/>
      <c r="U716" s="841"/>
      <c r="V716" s="841"/>
      <c r="W716" s="841"/>
      <c r="X716" s="841"/>
      <c r="Y716" s="841"/>
      <c r="Z716" s="1226"/>
      <c r="AA716" s="1226"/>
      <c r="AB716" s="1226"/>
      <c r="AC716" s="1226"/>
      <c r="AD716" s="1226"/>
      <c r="AE716" s="1226"/>
      <c r="AF716" s="1226"/>
      <c r="AG716" s="1226"/>
      <c r="AH716" s="1226"/>
      <c r="AI716" s="841"/>
      <c r="AJ716" s="841"/>
      <c r="AK716" s="841"/>
      <c r="AL716" s="841"/>
      <c r="AM716" s="841"/>
      <c r="AN716" s="841"/>
      <c r="AO716" s="841"/>
      <c r="AP716" s="841"/>
      <c r="AQ716" s="841"/>
      <c r="AR716" s="841"/>
      <c r="AS716" s="842"/>
    </row>
    <row r="717" spans="1:45">
      <c r="A717" s="841"/>
      <c r="B717" s="841"/>
      <c r="C717" s="841"/>
      <c r="D717" s="841"/>
      <c r="E717" s="841"/>
      <c r="F717" s="841"/>
      <c r="G717" s="841"/>
      <c r="H717" s="841"/>
      <c r="I717" s="841"/>
      <c r="J717" s="841"/>
      <c r="K717" s="841"/>
      <c r="L717" s="841"/>
      <c r="M717" s="841"/>
      <c r="N717" s="841"/>
      <c r="O717" s="841"/>
      <c r="P717" s="841"/>
      <c r="Q717" s="841"/>
      <c r="R717" s="841"/>
      <c r="S717" s="841"/>
      <c r="T717" s="841"/>
      <c r="U717" s="841"/>
      <c r="V717" s="841"/>
      <c r="W717" s="841"/>
      <c r="X717" s="841"/>
      <c r="Y717" s="841"/>
      <c r="Z717" s="1226"/>
      <c r="AA717" s="1226"/>
      <c r="AB717" s="1226"/>
      <c r="AC717" s="1226"/>
      <c r="AD717" s="1226"/>
      <c r="AE717" s="1226"/>
      <c r="AF717" s="1226"/>
      <c r="AG717" s="1226"/>
      <c r="AH717" s="1226"/>
      <c r="AI717" s="841"/>
      <c r="AJ717" s="841"/>
      <c r="AK717" s="841"/>
      <c r="AL717" s="841"/>
      <c r="AM717" s="841"/>
      <c r="AN717" s="841"/>
      <c r="AO717" s="841"/>
      <c r="AP717" s="841"/>
      <c r="AQ717" s="841"/>
      <c r="AR717" s="841"/>
      <c r="AS717" s="842"/>
    </row>
    <row r="718" spans="1:45">
      <c r="A718" s="841"/>
      <c r="B718" s="841"/>
      <c r="C718" s="841"/>
      <c r="D718" s="841"/>
      <c r="E718" s="841"/>
      <c r="F718" s="841"/>
      <c r="G718" s="841"/>
      <c r="H718" s="841"/>
      <c r="I718" s="841"/>
      <c r="J718" s="841"/>
      <c r="K718" s="841"/>
      <c r="L718" s="841"/>
      <c r="M718" s="841"/>
      <c r="N718" s="841"/>
      <c r="O718" s="841"/>
      <c r="P718" s="841"/>
      <c r="Q718" s="841"/>
      <c r="R718" s="841"/>
      <c r="S718" s="841"/>
      <c r="T718" s="841"/>
      <c r="U718" s="841"/>
      <c r="V718" s="841"/>
      <c r="W718" s="841"/>
      <c r="X718" s="841"/>
      <c r="Y718" s="841"/>
      <c r="Z718" s="1226"/>
      <c r="AA718" s="1226"/>
      <c r="AB718" s="1226"/>
      <c r="AC718" s="1226"/>
      <c r="AD718" s="1226"/>
      <c r="AE718" s="1226"/>
      <c r="AF718" s="1226"/>
      <c r="AG718" s="1226"/>
      <c r="AH718" s="1226"/>
      <c r="AI718" s="841"/>
      <c r="AJ718" s="841"/>
      <c r="AK718" s="841"/>
      <c r="AL718" s="841"/>
      <c r="AM718" s="841"/>
      <c r="AN718" s="841"/>
      <c r="AO718" s="841"/>
      <c r="AP718" s="841"/>
      <c r="AQ718" s="841"/>
      <c r="AR718" s="841"/>
      <c r="AS718" s="842"/>
    </row>
    <row r="719" spans="1:45">
      <c r="A719" s="841"/>
      <c r="B719" s="841"/>
      <c r="C719" s="841"/>
      <c r="D719" s="841"/>
      <c r="E719" s="841"/>
      <c r="F719" s="841"/>
      <c r="G719" s="841"/>
      <c r="H719" s="841"/>
      <c r="I719" s="841"/>
      <c r="J719" s="841"/>
      <c r="K719" s="841"/>
      <c r="L719" s="841"/>
      <c r="M719" s="841"/>
      <c r="N719" s="841"/>
      <c r="O719" s="841"/>
      <c r="P719" s="841"/>
      <c r="Q719" s="841"/>
      <c r="R719" s="841"/>
      <c r="S719" s="841"/>
      <c r="T719" s="841"/>
      <c r="U719" s="841"/>
      <c r="V719" s="841"/>
      <c r="W719" s="841"/>
      <c r="X719" s="841"/>
      <c r="Y719" s="841"/>
      <c r="Z719" s="1226"/>
      <c r="AA719" s="1226"/>
      <c r="AB719" s="1226"/>
      <c r="AC719" s="1226"/>
      <c r="AD719" s="1226"/>
      <c r="AE719" s="1226"/>
      <c r="AF719" s="1226"/>
      <c r="AG719" s="1226"/>
      <c r="AH719" s="1226"/>
      <c r="AI719" s="841"/>
      <c r="AJ719" s="841"/>
      <c r="AK719" s="841"/>
      <c r="AL719" s="841"/>
      <c r="AM719" s="841"/>
      <c r="AN719" s="841"/>
      <c r="AO719" s="841"/>
      <c r="AP719" s="841"/>
      <c r="AQ719" s="841"/>
      <c r="AR719" s="841"/>
      <c r="AS719" s="842"/>
    </row>
    <row r="720" spans="1:45">
      <c r="A720" s="841"/>
      <c r="B720" s="841"/>
      <c r="C720" s="841"/>
      <c r="D720" s="841"/>
      <c r="E720" s="841"/>
      <c r="F720" s="841"/>
      <c r="G720" s="841"/>
      <c r="H720" s="841"/>
      <c r="I720" s="841"/>
      <c r="J720" s="841"/>
      <c r="K720" s="841"/>
      <c r="L720" s="841"/>
      <c r="M720" s="841"/>
      <c r="N720" s="841"/>
      <c r="O720" s="841"/>
      <c r="P720" s="841"/>
      <c r="Q720" s="841"/>
      <c r="R720" s="841"/>
      <c r="S720" s="841"/>
      <c r="T720" s="841"/>
      <c r="U720" s="841"/>
      <c r="V720" s="841"/>
      <c r="W720" s="841"/>
      <c r="X720" s="841"/>
      <c r="Y720" s="841"/>
      <c r="Z720" s="1226"/>
      <c r="AA720" s="1226"/>
      <c r="AB720" s="1226"/>
      <c r="AC720" s="1226"/>
      <c r="AD720" s="1226"/>
      <c r="AE720" s="1226"/>
      <c r="AF720" s="1226"/>
      <c r="AG720" s="1226"/>
      <c r="AH720" s="1226"/>
      <c r="AI720" s="841"/>
      <c r="AJ720" s="841"/>
      <c r="AK720" s="841"/>
      <c r="AL720" s="841"/>
      <c r="AM720" s="841"/>
      <c r="AN720" s="841"/>
      <c r="AO720" s="841"/>
      <c r="AP720" s="841"/>
      <c r="AQ720" s="841"/>
      <c r="AR720" s="841"/>
      <c r="AS720" s="842"/>
    </row>
    <row r="721" spans="1:45">
      <c r="A721" s="841"/>
      <c r="B721" s="841"/>
      <c r="C721" s="841"/>
      <c r="D721" s="841"/>
      <c r="E721" s="841"/>
      <c r="F721" s="841"/>
      <c r="G721" s="841"/>
      <c r="H721" s="841"/>
      <c r="I721" s="841"/>
      <c r="J721" s="841"/>
      <c r="K721" s="841"/>
      <c r="L721" s="841"/>
      <c r="M721" s="841"/>
      <c r="N721" s="841"/>
      <c r="O721" s="841"/>
      <c r="P721" s="841"/>
      <c r="Q721" s="841"/>
      <c r="R721" s="841"/>
      <c r="S721" s="841"/>
      <c r="T721" s="841"/>
      <c r="U721" s="841"/>
      <c r="V721" s="841"/>
      <c r="W721" s="841"/>
      <c r="X721" s="841"/>
      <c r="Y721" s="841"/>
      <c r="Z721" s="1226"/>
      <c r="AA721" s="1226"/>
      <c r="AB721" s="1226"/>
      <c r="AC721" s="1226"/>
      <c r="AD721" s="1226"/>
      <c r="AE721" s="1226"/>
      <c r="AF721" s="1226"/>
      <c r="AG721" s="1226"/>
      <c r="AH721" s="1226"/>
      <c r="AI721" s="841"/>
      <c r="AJ721" s="841"/>
      <c r="AK721" s="841"/>
      <c r="AL721" s="841"/>
      <c r="AM721" s="841"/>
      <c r="AN721" s="841"/>
      <c r="AO721" s="841"/>
      <c r="AP721" s="841"/>
      <c r="AQ721" s="841"/>
      <c r="AR721" s="841"/>
      <c r="AS721" s="842"/>
    </row>
    <row r="722" spans="1:45">
      <c r="A722" s="841"/>
      <c r="B722" s="841"/>
      <c r="C722" s="841"/>
      <c r="D722" s="841"/>
      <c r="E722" s="841"/>
      <c r="F722" s="841"/>
      <c r="G722" s="841"/>
      <c r="H722" s="841"/>
      <c r="I722" s="841"/>
      <c r="J722" s="841"/>
      <c r="K722" s="841"/>
      <c r="L722" s="841"/>
      <c r="M722" s="841"/>
      <c r="N722" s="841"/>
      <c r="O722" s="841"/>
      <c r="P722" s="841"/>
      <c r="Q722" s="841"/>
      <c r="R722" s="841"/>
      <c r="S722" s="841"/>
      <c r="T722" s="841"/>
      <c r="U722" s="841"/>
      <c r="V722" s="841"/>
      <c r="W722" s="841"/>
      <c r="X722" s="841"/>
      <c r="Y722" s="841"/>
      <c r="Z722" s="1226"/>
      <c r="AA722" s="1226"/>
      <c r="AB722" s="1226"/>
      <c r="AC722" s="1226"/>
      <c r="AD722" s="1226"/>
      <c r="AE722" s="1226"/>
      <c r="AF722" s="1226"/>
      <c r="AG722" s="1226"/>
      <c r="AH722" s="1226"/>
      <c r="AI722" s="841"/>
      <c r="AJ722" s="841"/>
      <c r="AK722" s="841"/>
      <c r="AL722" s="841"/>
      <c r="AM722" s="841"/>
      <c r="AN722" s="841"/>
      <c r="AO722" s="841"/>
      <c r="AP722" s="841"/>
      <c r="AQ722" s="841"/>
      <c r="AR722" s="841"/>
      <c r="AS722" s="842"/>
    </row>
    <row r="723" spans="1:45">
      <c r="A723" s="841"/>
      <c r="B723" s="841"/>
      <c r="C723" s="841"/>
      <c r="D723" s="841"/>
      <c r="E723" s="841"/>
      <c r="F723" s="841"/>
      <c r="G723" s="841"/>
      <c r="H723" s="841"/>
      <c r="I723" s="841"/>
      <c r="J723" s="841"/>
      <c r="K723" s="841"/>
      <c r="L723" s="841"/>
      <c r="M723" s="841"/>
      <c r="N723" s="841"/>
      <c r="O723" s="841"/>
      <c r="P723" s="841"/>
      <c r="Q723" s="841"/>
      <c r="R723" s="841"/>
      <c r="S723" s="841"/>
      <c r="T723" s="841"/>
      <c r="U723" s="841"/>
      <c r="V723" s="841"/>
      <c r="W723" s="841"/>
      <c r="X723" s="841"/>
      <c r="Y723" s="841"/>
      <c r="Z723" s="1226"/>
      <c r="AA723" s="1226"/>
      <c r="AB723" s="1226"/>
      <c r="AC723" s="1226"/>
      <c r="AD723" s="1226"/>
      <c r="AE723" s="1226"/>
      <c r="AF723" s="1226"/>
      <c r="AG723" s="1226"/>
      <c r="AH723" s="1226"/>
      <c r="AI723" s="841"/>
      <c r="AJ723" s="841"/>
      <c r="AK723" s="841"/>
      <c r="AL723" s="841"/>
      <c r="AM723" s="841"/>
      <c r="AN723" s="841"/>
      <c r="AO723" s="841"/>
      <c r="AP723" s="841"/>
      <c r="AQ723" s="841"/>
      <c r="AR723" s="841"/>
      <c r="AS723" s="842"/>
    </row>
    <row r="724" spans="1:45">
      <c r="A724" s="841"/>
      <c r="B724" s="841"/>
      <c r="C724" s="841"/>
      <c r="D724" s="841"/>
      <c r="E724" s="841"/>
      <c r="F724" s="841"/>
      <c r="G724" s="841"/>
      <c r="H724" s="841"/>
      <c r="I724" s="841"/>
      <c r="J724" s="841"/>
      <c r="K724" s="841"/>
      <c r="L724" s="841"/>
      <c r="M724" s="841"/>
      <c r="N724" s="841"/>
      <c r="O724" s="841"/>
      <c r="P724" s="841"/>
      <c r="Q724" s="841"/>
      <c r="R724" s="841"/>
      <c r="S724" s="841"/>
      <c r="T724" s="841"/>
      <c r="U724" s="841"/>
      <c r="V724" s="841"/>
      <c r="W724" s="841"/>
      <c r="X724" s="841"/>
      <c r="Y724" s="841"/>
      <c r="Z724" s="1226"/>
      <c r="AA724" s="1226"/>
      <c r="AB724" s="1226"/>
      <c r="AC724" s="1226"/>
      <c r="AD724" s="1226"/>
      <c r="AE724" s="1226"/>
      <c r="AF724" s="1226"/>
      <c r="AG724" s="1226"/>
      <c r="AH724" s="1226"/>
      <c r="AI724" s="841"/>
      <c r="AJ724" s="841"/>
      <c r="AK724" s="841"/>
      <c r="AL724" s="841"/>
      <c r="AM724" s="841"/>
      <c r="AN724" s="841"/>
      <c r="AO724" s="841"/>
      <c r="AP724" s="841"/>
      <c r="AQ724" s="841"/>
      <c r="AR724" s="841"/>
      <c r="AS724" s="842"/>
    </row>
    <row r="725" spans="1:45">
      <c r="A725" s="841"/>
      <c r="B725" s="841"/>
      <c r="C725" s="841"/>
      <c r="D725" s="841"/>
      <c r="E725" s="841"/>
      <c r="F725" s="841"/>
      <c r="G725" s="841"/>
      <c r="H725" s="841"/>
      <c r="I725" s="841"/>
      <c r="J725" s="841"/>
      <c r="K725" s="841"/>
      <c r="L725" s="841"/>
      <c r="M725" s="841"/>
      <c r="N725" s="841"/>
      <c r="O725" s="841"/>
      <c r="P725" s="841"/>
      <c r="Q725" s="841"/>
      <c r="R725" s="841"/>
      <c r="S725" s="841"/>
      <c r="T725" s="841"/>
      <c r="U725" s="841"/>
      <c r="V725" s="841"/>
      <c r="W725" s="841"/>
      <c r="X725" s="841"/>
      <c r="Y725" s="841"/>
      <c r="Z725" s="1226"/>
      <c r="AA725" s="1226"/>
      <c r="AB725" s="1226"/>
      <c r="AC725" s="1226"/>
      <c r="AD725" s="1226"/>
      <c r="AE725" s="1226"/>
      <c r="AF725" s="1226"/>
      <c r="AG725" s="1226"/>
      <c r="AH725" s="1226"/>
      <c r="AI725" s="841"/>
      <c r="AJ725" s="841"/>
      <c r="AK725" s="841"/>
      <c r="AL725" s="841"/>
      <c r="AM725" s="841"/>
      <c r="AN725" s="841"/>
      <c r="AO725" s="841"/>
      <c r="AP725" s="841"/>
      <c r="AQ725" s="841"/>
      <c r="AR725" s="841"/>
      <c r="AS725" s="842"/>
    </row>
    <row r="726" spans="1:45">
      <c r="A726" s="841"/>
      <c r="B726" s="841"/>
      <c r="C726" s="841"/>
      <c r="D726" s="841"/>
      <c r="E726" s="841"/>
      <c r="F726" s="841"/>
      <c r="G726" s="841"/>
      <c r="H726" s="841"/>
      <c r="I726" s="841"/>
      <c r="J726" s="841"/>
      <c r="K726" s="841"/>
      <c r="L726" s="841"/>
      <c r="M726" s="841"/>
      <c r="N726" s="841"/>
      <c r="O726" s="841"/>
      <c r="P726" s="841"/>
      <c r="Q726" s="841"/>
      <c r="R726" s="841"/>
      <c r="S726" s="841"/>
      <c r="T726" s="841"/>
      <c r="U726" s="841"/>
      <c r="V726" s="841"/>
      <c r="W726" s="841"/>
      <c r="X726" s="841"/>
      <c r="Y726" s="841"/>
      <c r="Z726" s="1226"/>
      <c r="AA726" s="1226"/>
      <c r="AB726" s="1226"/>
      <c r="AC726" s="1226"/>
      <c r="AD726" s="1226"/>
      <c r="AE726" s="1226"/>
      <c r="AF726" s="1226"/>
      <c r="AG726" s="1226"/>
      <c r="AH726" s="1226"/>
      <c r="AI726" s="841"/>
      <c r="AJ726" s="841"/>
      <c r="AK726" s="841"/>
      <c r="AL726" s="841"/>
      <c r="AM726" s="841"/>
      <c r="AN726" s="841"/>
      <c r="AO726" s="841"/>
      <c r="AP726" s="841"/>
      <c r="AQ726" s="841"/>
      <c r="AR726" s="841"/>
      <c r="AS726" s="842"/>
    </row>
    <row r="727" spans="1:45">
      <c r="A727" s="841"/>
      <c r="B727" s="841"/>
      <c r="C727" s="841"/>
      <c r="D727" s="841"/>
      <c r="E727" s="841"/>
      <c r="F727" s="841"/>
      <c r="G727" s="841"/>
      <c r="H727" s="841"/>
      <c r="I727" s="841"/>
      <c r="J727" s="841"/>
      <c r="K727" s="841"/>
      <c r="L727" s="841"/>
      <c r="M727" s="841"/>
      <c r="N727" s="841"/>
      <c r="O727" s="841"/>
      <c r="P727" s="841"/>
      <c r="Q727" s="841"/>
      <c r="R727" s="841"/>
      <c r="S727" s="841"/>
      <c r="T727" s="841"/>
      <c r="U727" s="841"/>
      <c r="V727" s="841"/>
      <c r="W727" s="841"/>
      <c r="X727" s="841"/>
      <c r="Y727" s="841"/>
      <c r="Z727" s="1226"/>
      <c r="AA727" s="1226"/>
      <c r="AB727" s="1226"/>
      <c r="AC727" s="1226"/>
      <c r="AD727" s="1226"/>
      <c r="AE727" s="1226"/>
      <c r="AF727" s="1226"/>
      <c r="AG727" s="1226"/>
      <c r="AH727" s="1226"/>
      <c r="AI727" s="841"/>
      <c r="AJ727" s="841"/>
      <c r="AK727" s="841"/>
      <c r="AL727" s="841"/>
      <c r="AM727" s="841"/>
      <c r="AN727" s="841"/>
      <c r="AO727" s="841"/>
      <c r="AP727" s="841"/>
      <c r="AQ727" s="841"/>
      <c r="AR727" s="841"/>
      <c r="AS727" s="842"/>
    </row>
    <row r="728" spans="1:45">
      <c r="A728" s="841"/>
      <c r="B728" s="841"/>
      <c r="C728" s="841"/>
      <c r="D728" s="841"/>
      <c r="E728" s="841"/>
      <c r="F728" s="841"/>
      <c r="G728" s="841"/>
      <c r="H728" s="841"/>
      <c r="I728" s="841"/>
      <c r="J728" s="841"/>
      <c r="K728" s="841"/>
      <c r="L728" s="841"/>
      <c r="M728" s="841"/>
      <c r="N728" s="841"/>
      <c r="O728" s="841"/>
      <c r="P728" s="841"/>
      <c r="Q728" s="841"/>
      <c r="R728" s="841"/>
      <c r="S728" s="841"/>
      <c r="T728" s="841"/>
      <c r="U728" s="841"/>
      <c r="V728" s="841"/>
      <c r="W728" s="841"/>
      <c r="X728" s="841"/>
      <c r="Y728" s="841"/>
      <c r="Z728" s="1226"/>
      <c r="AA728" s="1226"/>
      <c r="AB728" s="1226"/>
      <c r="AC728" s="1226"/>
      <c r="AD728" s="1226"/>
      <c r="AE728" s="1226"/>
      <c r="AF728" s="1226"/>
      <c r="AG728" s="1226"/>
      <c r="AH728" s="1226"/>
      <c r="AI728" s="841"/>
      <c r="AJ728" s="841"/>
      <c r="AK728" s="841"/>
      <c r="AL728" s="841"/>
      <c r="AM728" s="841"/>
      <c r="AN728" s="841"/>
      <c r="AO728" s="841"/>
      <c r="AP728" s="841"/>
      <c r="AQ728" s="841"/>
      <c r="AR728" s="841"/>
      <c r="AS728" s="842"/>
    </row>
    <row r="729" spans="1:45">
      <c r="A729" s="841"/>
      <c r="B729" s="841"/>
      <c r="C729" s="841"/>
      <c r="D729" s="841"/>
      <c r="E729" s="841"/>
      <c r="F729" s="841"/>
      <c r="G729" s="841"/>
      <c r="H729" s="841"/>
      <c r="I729" s="841"/>
      <c r="J729" s="841"/>
      <c r="K729" s="841"/>
      <c r="L729" s="841"/>
      <c r="M729" s="841"/>
      <c r="N729" s="841"/>
      <c r="O729" s="841"/>
      <c r="P729" s="841"/>
      <c r="Q729" s="841"/>
      <c r="R729" s="841"/>
      <c r="S729" s="841"/>
      <c r="T729" s="841"/>
      <c r="U729" s="841"/>
      <c r="V729" s="841"/>
      <c r="W729" s="841"/>
      <c r="X729" s="841"/>
      <c r="Y729" s="841"/>
      <c r="Z729" s="1226"/>
      <c r="AA729" s="1226"/>
      <c r="AB729" s="1226"/>
      <c r="AC729" s="1226"/>
      <c r="AD729" s="1226"/>
      <c r="AE729" s="1226"/>
      <c r="AF729" s="1226"/>
      <c r="AG729" s="1226"/>
      <c r="AH729" s="1226"/>
      <c r="AI729" s="841"/>
      <c r="AJ729" s="841"/>
      <c r="AK729" s="841"/>
      <c r="AL729" s="841"/>
      <c r="AM729" s="841"/>
      <c r="AN729" s="841"/>
      <c r="AO729" s="841"/>
      <c r="AP729" s="841"/>
      <c r="AQ729" s="841"/>
      <c r="AR729" s="841"/>
      <c r="AS729" s="842"/>
    </row>
    <row r="730" spans="1:45">
      <c r="A730" s="841"/>
      <c r="B730" s="841"/>
      <c r="C730" s="841"/>
      <c r="D730" s="841"/>
      <c r="E730" s="841"/>
      <c r="F730" s="841"/>
      <c r="G730" s="841"/>
      <c r="H730" s="841"/>
      <c r="I730" s="841"/>
      <c r="J730" s="841"/>
      <c r="K730" s="841"/>
      <c r="L730" s="841"/>
      <c r="M730" s="841"/>
      <c r="N730" s="841"/>
      <c r="O730" s="841"/>
      <c r="P730" s="841"/>
      <c r="Q730" s="841"/>
      <c r="R730" s="841"/>
      <c r="S730" s="841"/>
      <c r="T730" s="841"/>
      <c r="U730" s="841"/>
      <c r="V730" s="841"/>
      <c r="W730" s="841"/>
      <c r="X730" s="841"/>
      <c r="Y730" s="841"/>
      <c r="Z730" s="1226"/>
      <c r="AA730" s="1226"/>
      <c r="AB730" s="1226"/>
      <c r="AC730" s="1226"/>
      <c r="AD730" s="1226"/>
      <c r="AE730" s="1226"/>
      <c r="AF730" s="1226"/>
      <c r="AG730" s="1226"/>
      <c r="AH730" s="1226"/>
      <c r="AI730" s="841"/>
      <c r="AJ730" s="841"/>
      <c r="AK730" s="841"/>
      <c r="AL730" s="841"/>
      <c r="AM730" s="841"/>
      <c r="AN730" s="841"/>
      <c r="AO730" s="841"/>
      <c r="AP730" s="841"/>
      <c r="AQ730" s="841"/>
      <c r="AR730" s="841"/>
      <c r="AS730" s="842"/>
    </row>
    <row r="731" spans="1:45">
      <c r="A731" s="841"/>
      <c r="B731" s="841"/>
      <c r="C731" s="841"/>
      <c r="D731" s="841"/>
      <c r="E731" s="841"/>
      <c r="F731" s="841"/>
      <c r="G731" s="841"/>
      <c r="H731" s="841"/>
      <c r="I731" s="841"/>
      <c r="J731" s="841"/>
      <c r="K731" s="841"/>
      <c r="L731" s="841"/>
      <c r="M731" s="841"/>
      <c r="N731" s="841"/>
      <c r="O731" s="841"/>
      <c r="P731" s="841"/>
      <c r="Q731" s="841"/>
      <c r="R731" s="841"/>
      <c r="S731" s="841"/>
      <c r="T731" s="841"/>
      <c r="U731" s="841"/>
      <c r="V731" s="841"/>
      <c r="W731" s="841"/>
      <c r="X731" s="841"/>
      <c r="Y731" s="841"/>
      <c r="Z731" s="1226"/>
      <c r="AA731" s="1226"/>
      <c r="AB731" s="1226"/>
      <c r="AC731" s="1226"/>
      <c r="AD731" s="1226"/>
      <c r="AE731" s="1226"/>
      <c r="AF731" s="1226"/>
      <c r="AG731" s="1226"/>
      <c r="AH731" s="1226"/>
      <c r="AI731" s="841"/>
      <c r="AJ731" s="841"/>
      <c r="AK731" s="841"/>
      <c r="AL731" s="841"/>
      <c r="AM731" s="841"/>
      <c r="AN731" s="841"/>
      <c r="AO731" s="841"/>
      <c r="AP731" s="841"/>
      <c r="AQ731" s="841"/>
      <c r="AR731" s="841"/>
      <c r="AS731" s="842"/>
    </row>
    <row r="732" spans="1:45">
      <c r="A732" s="841"/>
      <c r="B732" s="841"/>
      <c r="C732" s="841"/>
      <c r="D732" s="841"/>
      <c r="E732" s="841"/>
      <c r="F732" s="841"/>
      <c r="G732" s="841"/>
      <c r="H732" s="841"/>
      <c r="I732" s="841"/>
      <c r="J732" s="841"/>
      <c r="K732" s="841"/>
      <c r="L732" s="841"/>
      <c r="M732" s="841"/>
      <c r="N732" s="841"/>
      <c r="O732" s="841"/>
      <c r="P732" s="841"/>
      <c r="Q732" s="841"/>
      <c r="R732" s="841"/>
      <c r="S732" s="841"/>
      <c r="T732" s="841"/>
      <c r="U732" s="841"/>
      <c r="V732" s="841"/>
      <c r="W732" s="841"/>
      <c r="X732" s="841"/>
      <c r="Y732" s="841"/>
      <c r="Z732" s="1226"/>
      <c r="AA732" s="1226"/>
      <c r="AB732" s="1226"/>
      <c r="AC732" s="1226"/>
      <c r="AD732" s="1226"/>
      <c r="AE732" s="1226"/>
      <c r="AF732" s="1226"/>
      <c r="AG732" s="1226"/>
      <c r="AH732" s="1226"/>
      <c r="AI732" s="841"/>
      <c r="AJ732" s="841"/>
      <c r="AK732" s="841"/>
      <c r="AL732" s="841"/>
      <c r="AM732" s="841"/>
      <c r="AN732" s="841"/>
      <c r="AO732" s="841"/>
      <c r="AP732" s="841"/>
      <c r="AQ732" s="841"/>
      <c r="AR732" s="841"/>
      <c r="AS732" s="842"/>
    </row>
    <row r="733" spans="1:45">
      <c r="A733" s="841"/>
      <c r="B733" s="841"/>
      <c r="C733" s="841"/>
      <c r="D733" s="841"/>
      <c r="E733" s="841"/>
      <c r="F733" s="841"/>
      <c r="G733" s="841"/>
      <c r="H733" s="841"/>
      <c r="I733" s="841"/>
      <c r="J733" s="841"/>
      <c r="K733" s="841"/>
      <c r="L733" s="841"/>
      <c r="M733" s="841"/>
      <c r="N733" s="841"/>
      <c r="O733" s="841"/>
      <c r="P733" s="841"/>
      <c r="Q733" s="841"/>
      <c r="R733" s="841"/>
      <c r="S733" s="841"/>
      <c r="T733" s="841"/>
      <c r="U733" s="841"/>
      <c r="V733" s="841"/>
      <c r="W733" s="841"/>
      <c r="X733" s="841"/>
      <c r="Y733" s="841"/>
      <c r="Z733" s="1226"/>
      <c r="AA733" s="1226"/>
      <c r="AB733" s="1226"/>
      <c r="AC733" s="1226"/>
      <c r="AD733" s="1226"/>
      <c r="AE733" s="1226"/>
      <c r="AF733" s="1226"/>
      <c r="AG733" s="1226"/>
      <c r="AH733" s="1226"/>
      <c r="AI733" s="841"/>
      <c r="AJ733" s="841"/>
      <c r="AK733" s="841"/>
      <c r="AL733" s="841"/>
      <c r="AM733" s="841"/>
      <c r="AN733" s="841"/>
      <c r="AO733" s="841"/>
      <c r="AP733" s="841"/>
      <c r="AQ733" s="841"/>
      <c r="AR733" s="841"/>
      <c r="AS733" s="842"/>
    </row>
    <row r="734" spans="1:45">
      <c r="A734" s="841"/>
      <c r="B734" s="841"/>
      <c r="C734" s="841"/>
      <c r="D734" s="841"/>
      <c r="E734" s="841"/>
      <c r="F734" s="841"/>
      <c r="G734" s="841"/>
      <c r="H734" s="841"/>
      <c r="I734" s="841"/>
      <c r="J734" s="841"/>
      <c r="K734" s="841"/>
      <c r="L734" s="841"/>
      <c r="M734" s="841"/>
      <c r="N734" s="841"/>
      <c r="O734" s="841"/>
      <c r="P734" s="841"/>
      <c r="Q734" s="841"/>
      <c r="R734" s="841"/>
      <c r="S734" s="841"/>
      <c r="T734" s="841"/>
      <c r="U734" s="841"/>
      <c r="V734" s="841"/>
      <c r="W734" s="841"/>
      <c r="X734" s="841"/>
      <c r="Y734" s="841"/>
      <c r="Z734" s="1226"/>
      <c r="AA734" s="1226"/>
      <c r="AB734" s="1226"/>
      <c r="AC734" s="1226"/>
      <c r="AD734" s="1226"/>
      <c r="AE734" s="1226"/>
      <c r="AF734" s="1226"/>
      <c r="AG734" s="1226"/>
      <c r="AH734" s="1226"/>
      <c r="AI734" s="841"/>
      <c r="AJ734" s="841"/>
      <c r="AK734" s="841"/>
      <c r="AL734" s="841"/>
      <c r="AM734" s="841"/>
      <c r="AN734" s="841"/>
      <c r="AO734" s="841"/>
      <c r="AP734" s="841"/>
      <c r="AQ734" s="841"/>
      <c r="AR734" s="841"/>
      <c r="AS734" s="842"/>
    </row>
    <row r="735" spans="1:45">
      <c r="A735" s="841"/>
      <c r="B735" s="841"/>
      <c r="C735" s="841"/>
      <c r="D735" s="841"/>
      <c r="E735" s="841"/>
      <c r="F735" s="841"/>
      <c r="G735" s="841"/>
      <c r="H735" s="841"/>
      <c r="I735" s="841"/>
      <c r="J735" s="841"/>
      <c r="K735" s="841"/>
      <c r="L735" s="841"/>
      <c r="M735" s="841"/>
      <c r="N735" s="841"/>
      <c r="O735" s="841"/>
      <c r="P735" s="841"/>
      <c r="Q735" s="841"/>
      <c r="R735" s="841"/>
      <c r="S735" s="841"/>
      <c r="T735" s="841"/>
      <c r="U735" s="841"/>
      <c r="V735" s="841"/>
      <c r="W735" s="841"/>
      <c r="X735" s="841"/>
      <c r="Y735" s="841"/>
      <c r="Z735" s="1226"/>
      <c r="AA735" s="1226"/>
      <c r="AB735" s="1226"/>
      <c r="AC735" s="1226"/>
      <c r="AD735" s="1226"/>
      <c r="AE735" s="1226"/>
      <c r="AF735" s="1226"/>
      <c r="AG735" s="1226"/>
      <c r="AH735" s="1226"/>
      <c r="AI735" s="841"/>
      <c r="AJ735" s="841"/>
      <c r="AK735" s="841"/>
      <c r="AL735" s="841"/>
      <c r="AM735" s="841"/>
      <c r="AN735" s="841"/>
      <c r="AO735" s="841"/>
      <c r="AP735" s="841"/>
      <c r="AQ735" s="841"/>
      <c r="AR735" s="841"/>
      <c r="AS735" s="842"/>
    </row>
    <row r="736" spans="1:45">
      <c r="A736" s="841"/>
      <c r="B736" s="841"/>
      <c r="C736" s="841"/>
      <c r="D736" s="841"/>
      <c r="E736" s="841"/>
      <c r="F736" s="841"/>
      <c r="G736" s="841"/>
      <c r="H736" s="841"/>
      <c r="I736" s="841"/>
      <c r="J736" s="841"/>
      <c r="K736" s="841"/>
      <c r="L736" s="841"/>
      <c r="M736" s="841"/>
      <c r="N736" s="841"/>
      <c r="O736" s="841"/>
      <c r="P736" s="841"/>
      <c r="Q736" s="841"/>
      <c r="R736" s="841"/>
      <c r="S736" s="841"/>
      <c r="T736" s="841"/>
      <c r="U736" s="841"/>
      <c r="V736" s="841"/>
      <c r="W736" s="841"/>
      <c r="X736" s="841"/>
      <c r="Y736" s="841"/>
      <c r="Z736" s="1226"/>
      <c r="AA736" s="1226"/>
      <c r="AB736" s="1226"/>
      <c r="AC736" s="1226"/>
      <c r="AD736" s="1226"/>
      <c r="AE736" s="1226"/>
      <c r="AF736" s="1226"/>
      <c r="AG736" s="1226"/>
      <c r="AH736" s="1226"/>
      <c r="AI736" s="841"/>
      <c r="AJ736" s="841"/>
      <c r="AK736" s="841"/>
      <c r="AL736" s="841"/>
      <c r="AM736" s="841"/>
      <c r="AN736" s="841"/>
      <c r="AO736" s="841"/>
      <c r="AP736" s="841"/>
      <c r="AQ736" s="841"/>
      <c r="AR736" s="841"/>
      <c r="AS736" s="842"/>
    </row>
    <row r="737" spans="1:45">
      <c r="A737" s="841"/>
      <c r="B737" s="841"/>
      <c r="C737" s="841"/>
      <c r="D737" s="841"/>
      <c r="E737" s="841"/>
      <c r="F737" s="841"/>
      <c r="G737" s="841"/>
      <c r="H737" s="841"/>
      <c r="I737" s="841"/>
      <c r="J737" s="841"/>
      <c r="K737" s="841"/>
      <c r="L737" s="841"/>
      <c r="M737" s="841"/>
      <c r="N737" s="841"/>
      <c r="O737" s="841"/>
      <c r="P737" s="841"/>
      <c r="Q737" s="841"/>
      <c r="R737" s="841"/>
      <c r="S737" s="841"/>
      <c r="T737" s="841"/>
      <c r="U737" s="841"/>
      <c r="V737" s="841"/>
      <c r="W737" s="841"/>
      <c r="X737" s="841"/>
      <c r="Y737" s="841"/>
      <c r="Z737" s="1226"/>
      <c r="AA737" s="1226"/>
      <c r="AB737" s="1226"/>
      <c r="AC737" s="1226"/>
      <c r="AD737" s="1226"/>
      <c r="AE737" s="1226"/>
      <c r="AF737" s="1226"/>
      <c r="AG737" s="1226"/>
      <c r="AH737" s="1226"/>
      <c r="AI737" s="841"/>
      <c r="AJ737" s="841"/>
      <c r="AK737" s="841"/>
      <c r="AL737" s="841"/>
      <c r="AM737" s="841"/>
      <c r="AN737" s="841"/>
      <c r="AO737" s="841"/>
      <c r="AP737" s="841"/>
      <c r="AQ737" s="841"/>
      <c r="AR737" s="841"/>
      <c r="AS737" s="842"/>
    </row>
    <row r="738" spans="1:45">
      <c r="A738" s="841"/>
      <c r="B738" s="841"/>
      <c r="C738" s="841"/>
      <c r="D738" s="841"/>
      <c r="E738" s="841"/>
      <c r="F738" s="841"/>
      <c r="G738" s="841"/>
      <c r="H738" s="841"/>
      <c r="I738" s="841"/>
      <c r="J738" s="841"/>
      <c r="K738" s="841"/>
      <c r="L738" s="841"/>
      <c r="M738" s="841"/>
      <c r="N738" s="841"/>
      <c r="O738" s="841"/>
      <c r="P738" s="841"/>
      <c r="Q738" s="841"/>
      <c r="R738" s="841"/>
      <c r="S738" s="841"/>
      <c r="T738" s="841"/>
      <c r="U738" s="841"/>
      <c r="V738" s="841"/>
      <c r="W738" s="841"/>
      <c r="X738" s="841"/>
      <c r="Y738" s="841"/>
      <c r="Z738" s="1226"/>
      <c r="AA738" s="1226"/>
      <c r="AB738" s="1226"/>
      <c r="AC738" s="1226"/>
      <c r="AD738" s="1226"/>
      <c r="AE738" s="1226"/>
      <c r="AF738" s="1226"/>
      <c r="AG738" s="1226"/>
      <c r="AH738" s="1226"/>
      <c r="AI738" s="841"/>
      <c r="AJ738" s="841"/>
      <c r="AK738" s="841"/>
      <c r="AL738" s="841"/>
      <c r="AM738" s="841"/>
      <c r="AN738" s="841"/>
      <c r="AO738" s="841"/>
      <c r="AP738" s="841"/>
      <c r="AQ738" s="841"/>
      <c r="AR738" s="841"/>
      <c r="AS738" s="842"/>
    </row>
    <row r="739" spans="1:45">
      <c r="A739" s="841"/>
      <c r="B739" s="841"/>
      <c r="C739" s="841"/>
      <c r="D739" s="841"/>
      <c r="E739" s="841"/>
      <c r="F739" s="841"/>
      <c r="G739" s="841"/>
      <c r="H739" s="841"/>
      <c r="I739" s="841"/>
      <c r="J739" s="841"/>
      <c r="K739" s="841"/>
      <c r="L739" s="841"/>
      <c r="M739" s="841"/>
      <c r="N739" s="841"/>
      <c r="O739" s="841"/>
      <c r="P739" s="841"/>
      <c r="Q739" s="841"/>
      <c r="R739" s="841"/>
      <c r="S739" s="841"/>
      <c r="T739" s="841"/>
      <c r="U739" s="841"/>
      <c r="V739" s="841"/>
      <c r="W739" s="841"/>
      <c r="X739" s="841"/>
      <c r="Y739" s="841"/>
      <c r="Z739" s="1226"/>
      <c r="AA739" s="1226"/>
      <c r="AB739" s="1226"/>
      <c r="AC739" s="1226"/>
      <c r="AD739" s="1226"/>
      <c r="AE739" s="1226"/>
      <c r="AF739" s="1226"/>
      <c r="AG739" s="1226"/>
      <c r="AH739" s="1226"/>
      <c r="AI739" s="841"/>
      <c r="AJ739" s="841"/>
      <c r="AK739" s="841"/>
      <c r="AL739" s="841"/>
      <c r="AM739" s="841"/>
      <c r="AN739" s="841"/>
      <c r="AO739" s="841"/>
      <c r="AP739" s="841"/>
      <c r="AQ739" s="841"/>
      <c r="AR739" s="841"/>
      <c r="AS739" s="842"/>
    </row>
    <row r="740" spans="1:45">
      <c r="A740" s="841"/>
      <c r="B740" s="841"/>
      <c r="C740" s="841"/>
      <c r="D740" s="841"/>
      <c r="E740" s="841"/>
      <c r="F740" s="841"/>
      <c r="G740" s="841"/>
      <c r="H740" s="841"/>
      <c r="I740" s="841"/>
      <c r="J740" s="841"/>
      <c r="K740" s="841"/>
      <c r="L740" s="841"/>
      <c r="M740" s="841"/>
      <c r="N740" s="841"/>
      <c r="O740" s="841"/>
      <c r="P740" s="841"/>
      <c r="Q740" s="841"/>
      <c r="R740" s="841"/>
      <c r="S740" s="841"/>
      <c r="T740" s="841"/>
      <c r="U740" s="841"/>
      <c r="V740" s="841"/>
      <c r="W740" s="841"/>
      <c r="X740" s="841"/>
      <c r="Y740" s="841"/>
      <c r="Z740" s="1226"/>
      <c r="AA740" s="1226"/>
      <c r="AB740" s="1226"/>
      <c r="AC740" s="1226"/>
      <c r="AD740" s="1226"/>
      <c r="AE740" s="1226"/>
      <c r="AF740" s="1226"/>
      <c r="AG740" s="1226"/>
      <c r="AH740" s="1226"/>
      <c r="AI740" s="841"/>
      <c r="AJ740" s="841"/>
      <c r="AK740" s="841"/>
      <c r="AL740" s="841"/>
      <c r="AM740" s="841"/>
      <c r="AN740" s="841"/>
      <c r="AO740" s="841"/>
      <c r="AP740" s="841"/>
      <c r="AQ740" s="841"/>
      <c r="AR740" s="841"/>
      <c r="AS740" s="842"/>
    </row>
    <row r="741" spans="1:45">
      <c r="A741" s="841"/>
      <c r="B741" s="841"/>
      <c r="C741" s="841"/>
      <c r="D741" s="841"/>
      <c r="E741" s="841"/>
      <c r="F741" s="841"/>
      <c r="G741" s="841"/>
      <c r="H741" s="841"/>
      <c r="I741" s="841"/>
      <c r="J741" s="841"/>
      <c r="K741" s="841"/>
      <c r="L741" s="841"/>
      <c r="M741" s="841"/>
      <c r="N741" s="841"/>
      <c r="O741" s="841"/>
      <c r="P741" s="841"/>
      <c r="Q741" s="841"/>
      <c r="R741" s="841"/>
      <c r="S741" s="841"/>
      <c r="T741" s="841"/>
      <c r="U741" s="841"/>
      <c r="V741" s="841"/>
      <c r="W741" s="841"/>
      <c r="X741" s="841"/>
      <c r="Y741" s="841"/>
      <c r="Z741" s="1226"/>
      <c r="AA741" s="1226"/>
      <c r="AB741" s="1226"/>
      <c r="AC741" s="1226"/>
      <c r="AD741" s="1226"/>
      <c r="AE741" s="1226"/>
      <c r="AF741" s="1226"/>
      <c r="AG741" s="1226"/>
      <c r="AH741" s="1226"/>
      <c r="AI741" s="841"/>
      <c r="AJ741" s="841"/>
      <c r="AK741" s="841"/>
      <c r="AL741" s="841"/>
      <c r="AM741" s="841"/>
      <c r="AN741" s="841"/>
      <c r="AO741" s="841"/>
      <c r="AP741" s="841"/>
      <c r="AQ741" s="841"/>
      <c r="AR741" s="841"/>
      <c r="AS741" s="842"/>
    </row>
    <row r="742" spans="1:45">
      <c r="A742" s="841"/>
      <c r="B742" s="841"/>
      <c r="C742" s="841"/>
      <c r="D742" s="841"/>
      <c r="E742" s="841"/>
      <c r="F742" s="841"/>
      <c r="G742" s="841"/>
      <c r="H742" s="841"/>
      <c r="I742" s="841"/>
      <c r="J742" s="841"/>
      <c r="K742" s="841"/>
      <c r="L742" s="841"/>
      <c r="M742" s="841"/>
      <c r="N742" s="841"/>
      <c r="O742" s="841"/>
      <c r="P742" s="841"/>
      <c r="Q742" s="841"/>
      <c r="R742" s="841"/>
      <c r="S742" s="841"/>
      <c r="T742" s="841"/>
      <c r="U742" s="841"/>
      <c r="V742" s="841"/>
      <c r="W742" s="841"/>
      <c r="X742" s="841"/>
      <c r="Y742" s="841"/>
      <c r="Z742" s="1226"/>
      <c r="AA742" s="1226"/>
      <c r="AB742" s="1226"/>
      <c r="AC742" s="1226"/>
      <c r="AD742" s="1226"/>
      <c r="AE742" s="1226"/>
      <c r="AF742" s="1226"/>
      <c r="AG742" s="1226"/>
      <c r="AH742" s="1226"/>
      <c r="AI742" s="841"/>
      <c r="AJ742" s="841"/>
      <c r="AK742" s="841"/>
      <c r="AL742" s="841"/>
      <c r="AM742" s="841"/>
      <c r="AN742" s="841"/>
      <c r="AO742" s="841"/>
      <c r="AP742" s="841"/>
      <c r="AQ742" s="841"/>
      <c r="AR742" s="841"/>
      <c r="AS742" s="842"/>
    </row>
    <row r="743" spans="1:45">
      <c r="A743" s="841"/>
      <c r="B743" s="841"/>
      <c r="C743" s="841"/>
      <c r="D743" s="841"/>
      <c r="E743" s="841"/>
      <c r="F743" s="841"/>
      <c r="G743" s="841"/>
      <c r="H743" s="841"/>
      <c r="I743" s="841"/>
      <c r="J743" s="841"/>
      <c r="K743" s="841"/>
      <c r="L743" s="841"/>
      <c r="M743" s="841"/>
      <c r="N743" s="841"/>
      <c r="O743" s="841"/>
      <c r="P743" s="841"/>
      <c r="Q743" s="841"/>
      <c r="R743" s="841"/>
      <c r="S743" s="841"/>
      <c r="T743" s="841"/>
      <c r="U743" s="841"/>
      <c r="V743" s="841"/>
      <c r="W743" s="841"/>
      <c r="X743" s="841"/>
      <c r="Y743" s="841"/>
      <c r="Z743" s="1226"/>
      <c r="AA743" s="1226"/>
      <c r="AB743" s="1226"/>
      <c r="AC743" s="1226"/>
      <c r="AD743" s="1226"/>
      <c r="AE743" s="1226"/>
      <c r="AF743" s="1226"/>
      <c r="AG743" s="1226"/>
      <c r="AH743" s="1226"/>
      <c r="AI743" s="841"/>
      <c r="AJ743" s="841"/>
      <c r="AK743" s="841"/>
      <c r="AL743" s="841"/>
      <c r="AM743" s="841"/>
      <c r="AN743" s="841"/>
      <c r="AO743" s="841"/>
      <c r="AP743" s="841"/>
      <c r="AQ743" s="841"/>
      <c r="AR743" s="841"/>
      <c r="AS743" s="842"/>
    </row>
    <row r="744" spans="1:45">
      <c r="A744" s="841"/>
      <c r="B744" s="841"/>
      <c r="C744" s="841"/>
      <c r="D744" s="841"/>
      <c r="E744" s="841"/>
      <c r="F744" s="841"/>
      <c r="G744" s="841"/>
      <c r="H744" s="841"/>
      <c r="I744" s="841"/>
      <c r="J744" s="841"/>
      <c r="K744" s="841"/>
      <c r="L744" s="841"/>
      <c r="M744" s="841"/>
      <c r="N744" s="841"/>
      <c r="O744" s="841"/>
      <c r="P744" s="841"/>
      <c r="Q744" s="841"/>
      <c r="R744" s="841"/>
      <c r="S744" s="841"/>
      <c r="T744" s="841"/>
      <c r="U744" s="841"/>
      <c r="V744" s="841"/>
      <c r="W744" s="841"/>
      <c r="X744" s="841"/>
      <c r="Y744" s="841"/>
      <c r="Z744" s="1226"/>
      <c r="AA744" s="1226"/>
      <c r="AB744" s="1226"/>
      <c r="AC744" s="1226"/>
      <c r="AD744" s="1226"/>
      <c r="AE744" s="1226"/>
      <c r="AF744" s="1226"/>
      <c r="AG744" s="1226"/>
      <c r="AH744" s="1226"/>
      <c r="AI744" s="841"/>
      <c r="AJ744" s="841"/>
      <c r="AK744" s="841"/>
      <c r="AL744" s="841"/>
      <c r="AM744" s="841"/>
      <c r="AN744" s="841"/>
      <c r="AO744" s="841"/>
      <c r="AP744" s="841"/>
      <c r="AQ744" s="841"/>
      <c r="AR744" s="841"/>
      <c r="AS744" s="842"/>
    </row>
    <row r="745" spans="1:45">
      <c r="A745" s="841"/>
      <c r="B745" s="841"/>
      <c r="C745" s="841"/>
      <c r="D745" s="841"/>
      <c r="E745" s="841"/>
      <c r="F745" s="841"/>
      <c r="G745" s="841"/>
      <c r="H745" s="841"/>
      <c r="I745" s="841"/>
      <c r="J745" s="841"/>
      <c r="K745" s="841"/>
      <c r="L745" s="841"/>
      <c r="M745" s="841"/>
      <c r="N745" s="841"/>
      <c r="O745" s="841"/>
      <c r="P745" s="841"/>
      <c r="Q745" s="841"/>
      <c r="R745" s="841"/>
      <c r="S745" s="841"/>
      <c r="T745" s="841"/>
      <c r="U745" s="841"/>
      <c r="V745" s="841"/>
      <c r="W745" s="841"/>
      <c r="X745" s="841"/>
      <c r="Y745" s="841"/>
      <c r="Z745" s="1226"/>
      <c r="AA745" s="1226"/>
      <c r="AB745" s="1226"/>
      <c r="AC745" s="1226"/>
      <c r="AD745" s="1226"/>
      <c r="AE745" s="1226"/>
      <c r="AF745" s="1226"/>
      <c r="AG745" s="1226"/>
      <c r="AH745" s="1226"/>
      <c r="AI745" s="841"/>
      <c r="AJ745" s="841"/>
      <c r="AK745" s="841"/>
      <c r="AL745" s="841"/>
      <c r="AM745" s="841"/>
      <c r="AN745" s="841"/>
      <c r="AO745" s="841"/>
      <c r="AP745" s="841"/>
      <c r="AQ745" s="841"/>
      <c r="AR745" s="841"/>
      <c r="AS745" s="842"/>
    </row>
    <row r="746" spans="1:45">
      <c r="A746" s="841"/>
      <c r="B746" s="841"/>
      <c r="C746" s="841"/>
      <c r="D746" s="841"/>
      <c r="E746" s="841"/>
      <c r="F746" s="841"/>
      <c r="G746" s="841"/>
      <c r="H746" s="841"/>
      <c r="I746" s="841"/>
      <c r="J746" s="841"/>
      <c r="K746" s="841"/>
      <c r="L746" s="841"/>
      <c r="M746" s="841"/>
      <c r="N746" s="841"/>
      <c r="O746" s="841"/>
      <c r="P746" s="841"/>
      <c r="Q746" s="841"/>
      <c r="R746" s="841"/>
      <c r="S746" s="841"/>
      <c r="T746" s="841"/>
      <c r="U746" s="841"/>
      <c r="V746" s="841"/>
      <c r="W746" s="841"/>
      <c r="X746" s="841"/>
      <c r="Y746" s="841"/>
      <c r="Z746" s="1226"/>
      <c r="AA746" s="1226"/>
      <c r="AB746" s="1226"/>
      <c r="AC746" s="1226"/>
      <c r="AD746" s="1226"/>
      <c r="AE746" s="1226"/>
      <c r="AF746" s="1226"/>
      <c r="AG746" s="1226"/>
      <c r="AH746" s="1226"/>
      <c r="AI746" s="841"/>
      <c r="AJ746" s="841"/>
      <c r="AK746" s="841"/>
      <c r="AL746" s="841"/>
      <c r="AM746" s="841"/>
      <c r="AN746" s="841"/>
      <c r="AO746" s="841"/>
      <c r="AP746" s="841"/>
      <c r="AQ746" s="841"/>
      <c r="AR746" s="841"/>
      <c r="AS746" s="842"/>
    </row>
    <row r="747" spans="1:45">
      <c r="A747" s="841"/>
      <c r="B747" s="841"/>
      <c r="C747" s="841"/>
      <c r="D747" s="841"/>
      <c r="E747" s="841"/>
      <c r="F747" s="841"/>
      <c r="G747" s="841"/>
      <c r="H747" s="841"/>
      <c r="I747" s="841"/>
      <c r="J747" s="841"/>
      <c r="K747" s="841"/>
      <c r="L747" s="841"/>
      <c r="M747" s="841"/>
      <c r="N747" s="841"/>
      <c r="O747" s="841"/>
      <c r="P747" s="841"/>
      <c r="Q747" s="841"/>
      <c r="R747" s="841"/>
      <c r="S747" s="841"/>
      <c r="T747" s="841"/>
      <c r="U747" s="841"/>
      <c r="V747" s="841"/>
      <c r="W747" s="841"/>
      <c r="X747" s="841"/>
      <c r="Y747" s="841"/>
      <c r="Z747" s="1226"/>
      <c r="AA747" s="1226"/>
      <c r="AB747" s="1226"/>
      <c r="AC747" s="1226"/>
      <c r="AD747" s="1226"/>
      <c r="AE747" s="1226"/>
      <c r="AF747" s="1226"/>
      <c r="AG747" s="1226"/>
      <c r="AH747" s="1226"/>
      <c r="AI747" s="841"/>
      <c r="AJ747" s="841"/>
      <c r="AK747" s="841"/>
      <c r="AL747" s="841"/>
      <c r="AM747" s="841"/>
      <c r="AN747" s="841"/>
      <c r="AO747" s="841"/>
      <c r="AP747" s="841"/>
      <c r="AQ747" s="841"/>
      <c r="AR747" s="841"/>
      <c r="AS747" s="842"/>
    </row>
    <row r="748" spans="1:45">
      <c r="A748" s="841"/>
      <c r="B748" s="841"/>
      <c r="C748" s="841"/>
      <c r="D748" s="841"/>
      <c r="E748" s="841"/>
      <c r="F748" s="841"/>
      <c r="G748" s="841"/>
      <c r="H748" s="841"/>
      <c r="I748" s="841"/>
      <c r="J748" s="841"/>
      <c r="K748" s="841"/>
      <c r="L748" s="841"/>
      <c r="M748" s="841"/>
      <c r="N748" s="841"/>
      <c r="O748" s="841"/>
      <c r="P748" s="841"/>
      <c r="Q748" s="841"/>
      <c r="R748" s="841"/>
      <c r="S748" s="841"/>
      <c r="T748" s="841"/>
      <c r="U748" s="841"/>
      <c r="V748" s="841"/>
      <c r="W748" s="841"/>
      <c r="X748" s="841"/>
      <c r="Y748" s="841"/>
      <c r="Z748" s="1226"/>
      <c r="AA748" s="1226"/>
      <c r="AB748" s="1226"/>
      <c r="AC748" s="1226"/>
      <c r="AD748" s="1226"/>
      <c r="AE748" s="1226"/>
      <c r="AF748" s="1226"/>
      <c r="AG748" s="1226"/>
      <c r="AH748" s="1226"/>
      <c r="AI748" s="841"/>
      <c r="AJ748" s="841"/>
      <c r="AK748" s="841"/>
      <c r="AL748" s="841"/>
      <c r="AM748" s="841"/>
      <c r="AN748" s="841"/>
      <c r="AO748" s="841"/>
      <c r="AP748" s="841"/>
      <c r="AQ748" s="841"/>
      <c r="AR748" s="841"/>
      <c r="AS748" s="842"/>
    </row>
    <row r="749" spans="1:45">
      <c r="A749" s="841"/>
      <c r="B749" s="841"/>
      <c r="C749" s="841"/>
      <c r="D749" s="841"/>
      <c r="E749" s="841"/>
      <c r="F749" s="841"/>
      <c r="G749" s="841"/>
      <c r="H749" s="841"/>
      <c r="I749" s="841"/>
      <c r="J749" s="841"/>
      <c r="K749" s="841"/>
      <c r="L749" s="841"/>
      <c r="M749" s="841"/>
      <c r="N749" s="841"/>
      <c r="O749" s="841"/>
      <c r="P749" s="841"/>
      <c r="Q749" s="841"/>
      <c r="R749" s="841"/>
      <c r="S749" s="841"/>
      <c r="T749" s="841"/>
      <c r="U749" s="841"/>
      <c r="V749" s="841"/>
      <c r="W749" s="841"/>
      <c r="X749" s="841"/>
      <c r="Y749" s="841"/>
      <c r="Z749" s="1226"/>
      <c r="AA749" s="1226"/>
      <c r="AB749" s="1226"/>
      <c r="AC749" s="1226"/>
      <c r="AD749" s="1226"/>
      <c r="AE749" s="1226"/>
      <c r="AF749" s="1226"/>
      <c r="AG749" s="1226"/>
      <c r="AH749" s="1226"/>
      <c r="AI749" s="841"/>
      <c r="AJ749" s="841"/>
      <c r="AK749" s="841"/>
      <c r="AL749" s="841"/>
      <c r="AM749" s="841"/>
      <c r="AN749" s="841"/>
      <c r="AO749" s="841"/>
      <c r="AP749" s="841"/>
      <c r="AQ749" s="841"/>
      <c r="AR749" s="841"/>
      <c r="AS749" s="842"/>
    </row>
    <row r="750" spans="1:45">
      <c r="A750" s="841"/>
      <c r="B750" s="841"/>
      <c r="C750" s="841"/>
      <c r="D750" s="841"/>
      <c r="E750" s="841"/>
      <c r="F750" s="841"/>
      <c r="G750" s="841"/>
      <c r="H750" s="841"/>
      <c r="I750" s="841"/>
      <c r="J750" s="841"/>
      <c r="K750" s="841"/>
      <c r="L750" s="841"/>
      <c r="M750" s="841"/>
      <c r="N750" s="841"/>
      <c r="O750" s="841"/>
      <c r="P750" s="841"/>
      <c r="Q750" s="841"/>
      <c r="R750" s="841"/>
      <c r="S750" s="841"/>
      <c r="T750" s="841"/>
      <c r="U750" s="841"/>
      <c r="V750" s="841"/>
      <c r="W750" s="841"/>
      <c r="X750" s="841"/>
      <c r="Y750" s="841"/>
      <c r="Z750" s="1226"/>
      <c r="AA750" s="1226"/>
      <c r="AB750" s="1226"/>
      <c r="AC750" s="1226"/>
      <c r="AD750" s="1226"/>
      <c r="AE750" s="1226"/>
      <c r="AF750" s="1226"/>
      <c r="AG750" s="1226"/>
      <c r="AH750" s="1226"/>
      <c r="AI750" s="841"/>
      <c r="AJ750" s="841"/>
      <c r="AK750" s="841"/>
      <c r="AL750" s="841"/>
      <c r="AM750" s="841"/>
      <c r="AN750" s="841"/>
      <c r="AO750" s="841"/>
      <c r="AP750" s="841"/>
      <c r="AQ750" s="841"/>
      <c r="AR750" s="841"/>
      <c r="AS750" s="842"/>
    </row>
    <row r="751" spans="1:45">
      <c r="A751" s="841"/>
      <c r="B751" s="841"/>
      <c r="C751" s="841"/>
      <c r="D751" s="841"/>
      <c r="E751" s="841"/>
      <c r="F751" s="841"/>
      <c r="G751" s="841"/>
      <c r="H751" s="841"/>
      <c r="I751" s="841"/>
      <c r="J751" s="841"/>
      <c r="K751" s="841"/>
      <c r="L751" s="841"/>
      <c r="M751" s="841"/>
      <c r="N751" s="841"/>
      <c r="O751" s="841"/>
      <c r="P751" s="841"/>
      <c r="Q751" s="841"/>
      <c r="R751" s="841"/>
      <c r="S751" s="841"/>
      <c r="T751" s="841"/>
      <c r="U751" s="841"/>
      <c r="V751" s="841"/>
      <c r="W751" s="841"/>
      <c r="X751" s="841"/>
      <c r="Y751" s="841"/>
      <c r="Z751" s="1226"/>
      <c r="AA751" s="1226"/>
      <c r="AB751" s="1226"/>
      <c r="AC751" s="1226"/>
      <c r="AD751" s="1226"/>
      <c r="AE751" s="1226"/>
      <c r="AF751" s="1226"/>
      <c r="AG751" s="1226"/>
      <c r="AH751" s="1226"/>
      <c r="AI751" s="841"/>
      <c r="AJ751" s="841"/>
      <c r="AK751" s="841"/>
      <c r="AL751" s="841"/>
      <c r="AM751" s="841"/>
      <c r="AN751" s="841"/>
      <c r="AO751" s="841"/>
      <c r="AP751" s="841"/>
      <c r="AQ751" s="841"/>
      <c r="AR751" s="841"/>
      <c r="AS751" s="842"/>
    </row>
    <row r="752" spans="1:45">
      <c r="A752" s="841"/>
      <c r="B752" s="841"/>
      <c r="C752" s="841"/>
      <c r="D752" s="841"/>
      <c r="E752" s="841"/>
      <c r="F752" s="841"/>
      <c r="G752" s="841"/>
      <c r="H752" s="841"/>
      <c r="I752" s="841"/>
      <c r="J752" s="841"/>
      <c r="K752" s="841"/>
      <c r="L752" s="841"/>
      <c r="M752" s="841"/>
      <c r="N752" s="841"/>
      <c r="O752" s="841"/>
      <c r="P752" s="841"/>
      <c r="Q752" s="841"/>
      <c r="R752" s="841"/>
      <c r="S752" s="841"/>
      <c r="T752" s="841"/>
      <c r="U752" s="841"/>
      <c r="V752" s="841"/>
      <c r="W752" s="841"/>
      <c r="X752" s="841"/>
      <c r="Y752" s="841"/>
      <c r="Z752" s="1226"/>
      <c r="AA752" s="1226"/>
      <c r="AB752" s="1226"/>
      <c r="AC752" s="1226"/>
      <c r="AD752" s="1226"/>
      <c r="AE752" s="1226"/>
      <c r="AF752" s="1226"/>
      <c r="AG752" s="1226"/>
      <c r="AH752" s="1226"/>
      <c r="AI752" s="841"/>
      <c r="AJ752" s="841"/>
      <c r="AK752" s="841"/>
      <c r="AL752" s="841"/>
      <c r="AM752" s="841"/>
      <c r="AN752" s="841"/>
      <c r="AO752" s="841"/>
      <c r="AP752" s="841"/>
      <c r="AQ752" s="841"/>
      <c r="AR752" s="841"/>
      <c r="AS752" s="842"/>
    </row>
    <row r="753" spans="1:45">
      <c r="A753" s="841"/>
      <c r="B753" s="841"/>
      <c r="C753" s="841"/>
      <c r="D753" s="841"/>
      <c r="E753" s="841"/>
      <c r="F753" s="841"/>
      <c r="G753" s="841"/>
      <c r="H753" s="841"/>
      <c r="I753" s="841"/>
      <c r="J753" s="841"/>
      <c r="K753" s="841"/>
      <c r="L753" s="841"/>
      <c r="M753" s="841"/>
      <c r="N753" s="841"/>
      <c r="O753" s="841"/>
      <c r="P753" s="841"/>
      <c r="Q753" s="841"/>
      <c r="R753" s="841"/>
      <c r="S753" s="841"/>
      <c r="T753" s="841"/>
      <c r="U753" s="841"/>
      <c r="V753" s="841"/>
      <c r="W753" s="841"/>
      <c r="X753" s="841"/>
      <c r="Y753" s="841"/>
      <c r="Z753" s="1226"/>
      <c r="AA753" s="1226"/>
      <c r="AB753" s="1226"/>
      <c r="AC753" s="1226"/>
      <c r="AD753" s="1226"/>
      <c r="AE753" s="1226"/>
      <c r="AF753" s="1226"/>
      <c r="AG753" s="1226"/>
      <c r="AH753" s="1226"/>
      <c r="AI753" s="841"/>
      <c r="AJ753" s="841"/>
      <c r="AK753" s="841"/>
      <c r="AL753" s="841"/>
      <c r="AM753" s="841"/>
      <c r="AN753" s="841"/>
      <c r="AO753" s="841"/>
      <c r="AP753" s="841"/>
      <c r="AQ753" s="841"/>
      <c r="AR753" s="841"/>
      <c r="AS753" s="842"/>
    </row>
    <row r="754" spans="1:45">
      <c r="A754" s="841"/>
      <c r="B754" s="841"/>
      <c r="C754" s="841"/>
      <c r="D754" s="841"/>
      <c r="E754" s="841"/>
      <c r="F754" s="841"/>
      <c r="G754" s="841"/>
      <c r="H754" s="841"/>
      <c r="I754" s="841"/>
      <c r="J754" s="841"/>
      <c r="K754" s="841"/>
      <c r="L754" s="841"/>
      <c r="M754" s="841"/>
      <c r="N754" s="841"/>
      <c r="O754" s="841"/>
      <c r="P754" s="841"/>
      <c r="Q754" s="841"/>
      <c r="R754" s="841"/>
      <c r="S754" s="841"/>
      <c r="T754" s="841"/>
      <c r="U754" s="841"/>
      <c r="V754" s="841"/>
      <c r="W754" s="841"/>
      <c r="X754" s="841"/>
      <c r="Y754" s="841"/>
      <c r="Z754" s="1226"/>
      <c r="AA754" s="1226"/>
      <c r="AB754" s="1226"/>
      <c r="AC754" s="1226"/>
      <c r="AD754" s="1226"/>
      <c r="AE754" s="1226"/>
      <c r="AF754" s="1226"/>
      <c r="AG754" s="1226"/>
      <c r="AH754" s="1226"/>
      <c r="AI754" s="841"/>
      <c r="AJ754" s="841"/>
      <c r="AK754" s="841"/>
      <c r="AL754" s="841"/>
      <c r="AM754" s="841"/>
      <c r="AN754" s="841"/>
      <c r="AO754" s="841"/>
      <c r="AP754" s="841"/>
      <c r="AQ754" s="841"/>
      <c r="AR754" s="841"/>
      <c r="AS754" s="842"/>
    </row>
    <row r="755" spans="1:45">
      <c r="A755" s="841"/>
      <c r="B755" s="841"/>
      <c r="C755" s="841"/>
      <c r="D755" s="841"/>
      <c r="E755" s="841"/>
      <c r="F755" s="841"/>
      <c r="G755" s="841"/>
      <c r="H755" s="841"/>
      <c r="I755" s="841"/>
      <c r="J755" s="841"/>
      <c r="K755" s="841"/>
      <c r="L755" s="841"/>
      <c r="M755" s="841"/>
      <c r="N755" s="841"/>
      <c r="O755" s="841"/>
      <c r="P755" s="841"/>
      <c r="Q755" s="841"/>
      <c r="R755" s="841"/>
      <c r="S755" s="841"/>
      <c r="T755" s="841"/>
      <c r="U755" s="841"/>
      <c r="V755" s="841"/>
      <c r="W755" s="841"/>
      <c r="X755" s="841"/>
      <c r="Y755" s="841"/>
      <c r="Z755" s="1226"/>
      <c r="AA755" s="1226"/>
      <c r="AB755" s="1226"/>
      <c r="AC755" s="1226"/>
      <c r="AD755" s="1226"/>
      <c r="AE755" s="1226"/>
      <c r="AF755" s="1226"/>
      <c r="AG755" s="1226"/>
      <c r="AH755" s="1226"/>
      <c r="AI755" s="841"/>
      <c r="AJ755" s="841"/>
      <c r="AK755" s="841"/>
      <c r="AL755" s="841"/>
      <c r="AM755" s="841"/>
      <c r="AN755" s="841"/>
      <c r="AO755" s="841"/>
      <c r="AP755" s="841"/>
      <c r="AQ755" s="841"/>
      <c r="AR755" s="841"/>
      <c r="AS755" s="842"/>
    </row>
    <row r="756" spans="1:45">
      <c r="A756" s="841"/>
      <c r="B756" s="841"/>
      <c r="C756" s="841"/>
      <c r="D756" s="841"/>
      <c r="E756" s="841"/>
      <c r="F756" s="841"/>
      <c r="G756" s="841"/>
      <c r="H756" s="841"/>
      <c r="I756" s="841"/>
      <c r="J756" s="841"/>
      <c r="K756" s="841"/>
      <c r="L756" s="841"/>
      <c r="M756" s="841"/>
      <c r="N756" s="841"/>
      <c r="O756" s="841"/>
      <c r="P756" s="841"/>
      <c r="Q756" s="841"/>
      <c r="R756" s="841"/>
      <c r="S756" s="841"/>
      <c r="T756" s="841"/>
      <c r="U756" s="841"/>
      <c r="V756" s="841"/>
      <c r="W756" s="841"/>
      <c r="X756" s="841"/>
      <c r="Y756" s="841"/>
      <c r="Z756" s="1226"/>
      <c r="AA756" s="1226"/>
      <c r="AB756" s="1226"/>
      <c r="AC756" s="1226"/>
      <c r="AD756" s="1226"/>
      <c r="AE756" s="1226"/>
      <c r="AF756" s="1226"/>
      <c r="AG756" s="1226"/>
      <c r="AH756" s="1226"/>
      <c r="AI756" s="841"/>
      <c r="AJ756" s="841"/>
      <c r="AK756" s="841"/>
      <c r="AL756" s="841"/>
      <c r="AM756" s="841"/>
      <c r="AN756" s="841"/>
      <c r="AO756" s="841"/>
      <c r="AP756" s="841"/>
      <c r="AQ756" s="841"/>
      <c r="AR756" s="841"/>
      <c r="AS756" s="842"/>
    </row>
    <row r="757" spans="1:45">
      <c r="A757" s="841"/>
      <c r="B757" s="841"/>
      <c r="C757" s="841"/>
      <c r="D757" s="841"/>
      <c r="E757" s="841"/>
      <c r="F757" s="841"/>
      <c r="G757" s="841"/>
      <c r="H757" s="841"/>
      <c r="I757" s="841"/>
      <c r="J757" s="841"/>
      <c r="K757" s="841"/>
      <c r="L757" s="841"/>
      <c r="M757" s="841"/>
      <c r="N757" s="841"/>
      <c r="O757" s="841"/>
      <c r="P757" s="841"/>
      <c r="Q757" s="841"/>
      <c r="R757" s="841"/>
      <c r="S757" s="841"/>
      <c r="T757" s="841"/>
      <c r="U757" s="841"/>
      <c r="V757" s="841"/>
      <c r="W757" s="841"/>
      <c r="X757" s="841"/>
      <c r="Y757" s="841"/>
      <c r="Z757" s="1226"/>
      <c r="AA757" s="1226"/>
      <c r="AB757" s="1226"/>
      <c r="AC757" s="1226"/>
      <c r="AD757" s="1226"/>
      <c r="AE757" s="1226"/>
      <c r="AF757" s="1226"/>
      <c r="AG757" s="1226"/>
      <c r="AH757" s="1226"/>
      <c r="AI757" s="841"/>
      <c r="AJ757" s="841"/>
      <c r="AK757" s="841"/>
      <c r="AL757" s="841"/>
      <c r="AM757" s="841"/>
      <c r="AN757" s="841"/>
      <c r="AO757" s="841"/>
      <c r="AP757" s="841"/>
      <c r="AQ757" s="841"/>
      <c r="AR757" s="841"/>
      <c r="AS757" s="842"/>
    </row>
    <row r="758" spans="1:45">
      <c r="A758" s="841"/>
      <c r="B758" s="841"/>
      <c r="C758" s="841"/>
      <c r="D758" s="841"/>
      <c r="E758" s="841"/>
      <c r="F758" s="841"/>
      <c r="G758" s="841"/>
      <c r="H758" s="841"/>
      <c r="I758" s="841"/>
      <c r="J758" s="841"/>
      <c r="K758" s="841"/>
      <c r="L758" s="841"/>
      <c r="M758" s="841"/>
      <c r="N758" s="841"/>
      <c r="O758" s="841"/>
      <c r="P758" s="841"/>
      <c r="Q758" s="841"/>
      <c r="R758" s="841"/>
      <c r="S758" s="841"/>
      <c r="T758" s="841"/>
      <c r="U758" s="841"/>
      <c r="V758" s="841"/>
      <c r="W758" s="841"/>
      <c r="X758" s="841"/>
      <c r="Y758" s="841"/>
      <c r="Z758" s="1226"/>
      <c r="AA758" s="1226"/>
      <c r="AB758" s="1226"/>
      <c r="AC758" s="1226"/>
      <c r="AD758" s="1226"/>
      <c r="AE758" s="1226"/>
      <c r="AF758" s="1226"/>
      <c r="AG758" s="1226"/>
      <c r="AH758" s="1226"/>
      <c r="AI758" s="841"/>
      <c r="AJ758" s="841"/>
      <c r="AK758" s="841"/>
      <c r="AL758" s="841"/>
      <c r="AM758" s="841"/>
      <c r="AN758" s="841"/>
      <c r="AO758" s="841"/>
      <c r="AP758" s="841"/>
      <c r="AQ758" s="841"/>
      <c r="AR758" s="841"/>
      <c r="AS758" s="842"/>
    </row>
    <row r="759" spans="1:45">
      <c r="A759" s="841"/>
      <c r="B759" s="841"/>
      <c r="C759" s="841"/>
      <c r="D759" s="841"/>
      <c r="E759" s="841"/>
      <c r="F759" s="841"/>
      <c r="G759" s="841"/>
      <c r="H759" s="841"/>
      <c r="I759" s="841"/>
      <c r="J759" s="841"/>
      <c r="K759" s="841"/>
      <c r="L759" s="841"/>
      <c r="M759" s="841"/>
      <c r="N759" s="841"/>
      <c r="O759" s="841"/>
      <c r="P759" s="841"/>
      <c r="Q759" s="841"/>
      <c r="R759" s="841"/>
      <c r="S759" s="841"/>
      <c r="T759" s="841"/>
      <c r="U759" s="841"/>
      <c r="V759" s="841"/>
      <c r="W759" s="841"/>
      <c r="X759" s="841"/>
      <c r="Y759" s="841"/>
      <c r="Z759" s="1226"/>
      <c r="AA759" s="1226"/>
      <c r="AB759" s="1226"/>
      <c r="AC759" s="1226"/>
      <c r="AD759" s="1226"/>
      <c r="AE759" s="1226"/>
      <c r="AF759" s="1226"/>
      <c r="AG759" s="1226"/>
      <c r="AH759" s="1226"/>
      <c r="AI759" s="841"/>
      <c r="AJ759" s="841"/>
      <c r="AK759" s="841"/>
      <c r="AL759" s="841"/>
      <c r="AM759" s="841"/>
      <c r="AN759" s="841"/>
      <c r="AO759" s="841"/>
      <c r="AP759" s="841"/>
      <c r="AQ759" s="841"/>
      <c r="AR759" s="841"/>
      <c r="AS759" s="842"/>
    </row>
    <row r="760" spans="1:45">
      <c r="A760" s="841"/>
      <c r="B760" s="841"/>
      <c r="C760" s="841"/>
      <c r="D760" s="841"/>
      <c r="E760" s="841"/>
      <c r="F760" s="841"/>
      <c r="G760" s="841"/>
      <c r="H760" s="841"/>
      <c r="I760" s="841"/>
      <c r="J760" s="841"/>
      <c r="K760" s="841"/>
      <c r="L760" s="841"/>
      <c r="M760" s="841"/>
      <c r="N760" s="841"/>
      <c r="O760" s="841"/>
      <c r="P760" s="841"/>
      <c r="Q760" s="841"/>
      <c r="R760" s="841"/>
      <c r="S760" s="841"/>
      <c r="T760" s="841"/>
      <c r="U760" s="841"/>
      <c r="V760" s="841"/>
      <c r="W760" s="841"/>
      <c r="X760" s="841"/>
      <c r="Y760" s="841"/>
      <c r="Z760" s="1226"/>
      <c r="AA760" s="1226"/>
      <c r="AB760" s="1226"/>
      <c r="AC760" s="1226"/>
      <c r="AD760" s="1226"/>
      <c r="AE760" s="1226"/>
      <c r="AF760" s="1226"/>
      <c r="AG760" s="1226"/>
      <c r="AH760" s="1226"/>
      <c r="AI760" s="841"/>
      <c r="AJ760" s="841"/>
      <c r="AK760" s="841"/>
      <c r="AL760" s="841"/>
      <c r="AM760" s="841"/>
      <c r="AN760" s="841"/>
      <c r="AO760" s="841"/>
      <c r="AP760" s="841"/>
      <c r="AQ760" s="841"/>
      <c r="AR760" s="841"/>
      <c r="AS760" s="842"/>
    </row>
    <row r="761" spans="1:45">
      <c r="A761" s="841"/>
      <c r="B761" s="841"/>
      <c r="C761" s="841"/>
      <c r="D761" s="841"/>
      <c r="E761" s="841"/>
      <c r="F761" s="841"/>
      <c r="G761" s="841"/>
      <c r="H761" s="841"/>
      <c r="I761" s="841"/>
      <c r="J761" s="841"/>
      <c r="K761" s="841"/>
      <c r="L761" s="841"/>
      <c r="M761" s="841"/>
      <c r="N761" s="841"/>
      <c r="O761" s="841"/>
      <c r="P761" s="841"/>
      <c r="Q761" s="841"/>
      <c r="R761" s="841"/>
      <c r="S761" s="841"/>
      <c r="T761" s="841"/>
      <c r="U761" s="841"/>
      <c r="V761" s="841"/>
      <c r="W761" s="841"/>
      <c r="X761" s="841"/>
      <c r="Y761" s="841"/>
      <c r="Z761" s="1226"/>
      <c r="AA761" s="1226"/>
      <c r="AB761" s="1226"/>
      <c r="AC761" s="1226"/>
      <c r="AD761" s="1226"/>
      <c r="AE761" s="1226"/>
      <c r="AF761" s="1226"/>
      <c r="AG761" s="1226"/>
      <c r="AH761" s="1226"/>
      <c r="AI761" s="841"/>
      <c r="AJ761" s="841"/>
      <c r="AK761" s="841"/>
      <c r="AL761" s="841"/>
      <c r="AM761" s="841"/>
      <c r="AN761" s="841"/>
      <c r="AO761" s="841"/>
      <c r="AP761" s="841"/>
      <c r="AQ761" s="841"/>
      <c r="AR761" s="841"/>
      <c r="AS761" s="842"/>
    </row>
    <row r="762" spans="1:45">
      <c r="A762" s="841"/>
      <c r="B762" s="841"/>
      <c r="C762" s="841"/>
      <c r="D762" s="841"/>
      <c r="E762" s="841"/>
      <c r="F762" s="841"/>
      <c r="G762" s="841"/>
      <c r="H762" s="841"/>
      <c r="I762" s="841"/>
      <c r="J762" s="841"/>
      <c r="K762" s="841"/>
      <c r="L762" s="841"/>
      <c r="M762" s="841"/>
      <c r="N762" s="841"/>
      <c r="O762" s="841"/>
      <c r="P762" s="841"/>
      <c r="Q762" s="841"/>
      <c r="R762" s="841"/>
      <c r="S762" s="841"/>
      <c r="T762" s="841"/>
      <c r="U762" s="841"/>
      <c r="V762" s="841"/>
      <c r="W762" s="841"/>
      <c r="X762" s="841"/>
      <c r="Y762" s="841"/>
      <c r="Z762" s="1226"/>
      <c r="AA762" s="1226"/>
      <c r="AB762" s="1226"/>
      <c r="AC762" s="1226"/>
      <c r="AD762" s="1226"/>
      <c r="AE762" s="1226"/>
      <c r="AF762" s="1226"/>
      <c r="AG762" s="1226"/>
      <c r="AH762" s="1226"/>
      <c r="AI762" s="841"/>
      <c r="AJ762" s="841"/>
      <c r="AK762" s="841"/>
      <c r="AL762" s="841"/>
      <c r="AM762" s="841"/>
      <c r="AN762" s="841"/>
      <c r="AO762" s="841"/>
      <c r="AP762" s="841"/>
      <c r="AQ762" s="841"/>
      <c r="AR762" s="841"/>
      <c r="AS762" s="842"/>
    </row>
    <row r="763" spans="1:45">
      <c r="A763" s="841"/>
      <c r="B763" s="841"/>
      <c r="C763" s="841"/>
      <c r="D763" s="841"/>
      <c r="E763" s="841"/>
      <c r="F763" s="841"/>
      <c r="G763" s="841"/>
      <c r="H763" s="841"/>
      <c r="I763" s="841"/>
      <c r="J763" s="841"/>
      <c r="K763" s="841"/>
      <c r="L763" s="841"/>
      <c r="M763" s="841"/>
      <c r="N763" s="841"/>
      <c r="O763" s="841"/>
      <c r="P763" s="841"/>
      <c r="Q763" s="841"/>
      <c r="R763" s="841"/>
      <c r="S763" s="841"/>
      <c r="T763" s="841"/>
      <c r="U763" s="841"/>
      <c r="V763" s="841"/>
      <c r="W763" s="841"/>
      <c r="X763" s="841"/>
      <c r="Y763" s="841"/>
      <c r="Z763" s="1226"/>
      <c r="AA763" s="1226"/>
      <c r="AB763" s="1226"/>
      <c r="AC763" s="1226"/>
      <c r="AD763" s="1226"/>
      <c r="AE763" s="1226"/>
      <c r="AF763" s="1226"/>
      <c r="AG763" s="1226"/>
      <c r="AH763" s="1226"/>
      <c r="AI763" s="841"/>
      <c r="AJ763" s="841"/>
      <c r="AK763" s="841"/>
      <c r="AL763" s="841"/>
      <c r="AM763" s="841"/>
      <c r="AN763" s="841"/>
      <c r="AO763" s="841"/>
      <c r="AP763" s="841"/>
      <c r="AQ763" s="841"/>
      <c r="AR763" s="841"/>
      <c r="AS763" s="842"/>
    </row>
    <row r="764" spans="1:45">
      <c r="A764" s="841"/>
      <c r="B764" s="841"/>
      <c r="C764" s="841"/>
      <c r="D764" s="841"/>
      <c r="E764" s="841"/>
      <c r="F764" s="841"/>
      <c r="G764" s="841"/>
      <c r="H764" s="841"/>
      <c r="I764" s="841"/>
      <c r="J764" s="841"/>
      <c r="K764" s="841"/>
      <c r="L764" s="841"/>
      <c r="M764" s="841"/>
      <c r="N764" s="841"/>
      <c r="O764" s="841"/>
      <c r="P764" s="841"/>
      <c r="Q764" s="841"/>
      <c r="R764" s="841"/>
      <c r="S764" s="841"/>
      <c r="T764" s="841"/>
      <c r="U764" s="841"/>
      <c r="V764" s="841"/>
      <c r="W764" s="841"/>
      <c r="X764" s="841"/>
      <c r="Y764" s="841"/>
      <c r="Z764" s="1226"/>
      <c r="AA764" s="1226"/>
      <c r="AB764" s="1226"/>
      <c r="AC764" s="1226"/>
      <c r="AD764" s="1226"/>
      <c r="AE764" s="1226"/>
      <c r="AF764" s="1226"/>
      <c r="AG764" s="1226"/>
      <c r="AH764" s="1226"/>
      <c r="AI764" s="841"/>
      <c r="AJ764" s="841"/>
      <c r="AK764" s="841"/>
      <c r="AL764" s="841"/>
      <c r="AM764" s="841"/>
      <c r="AN764" s="841"/>
      <c r="AO764" s="841"/>
      <c r="AP764" s="841"/>
      <c r="AQ764" s="841"/>
      <c r="AR764" s="841"/>
      <c r="AS764" s="842"/>
    </row>
    <row r="765" spans="1:45">
      <c r="A765" s="841"/>
      <c r="B765" s="841"/>
      <c r="C765" s="841"/>
      <c r="D765" s="841"/>
      <c r="E765" s="841"/>
      <c r="F765" s="841"/>
      <c r="G765" s="841"/>
      <c r="H765" s="841"/>
      <c r="I765" s="841"/>
      <c r="J765" s="841"/>
      <c r="K765" s="841"/>
      <c r="L765" s="841"/>
      <c r="M765" s="841"/>
      <c r="N765" s="841"/>
      <c r="O765" s="841"/>
      <c r="P765" s="841"/>
      <c r="Q765" s="841"/>
      <c r="R765" s="841"/>
      <c r="S765" s="841"/>
      <c r="T765" s="841"/>
      <c r="U765" s="841"/>
      <c r="V765" s="841"/>
      <c r="W765" s="841"/>
      <c r="X765" s="841"/>
      <c r="Y765" s="841"/>
      <c r="Z765" s="1226"/>
      <c r="AA765" s="1226"/>
      <c r="AB765" s="1226"/>
      <c r="AC765" s="1226"/>
      <c r="AD765" s="1226"/>
      <c r="AE765" s="1226"/>
      <c r="AF765" s="1226"/>
      <c r="AG765" s="1226"/>
      <c r="AH765" s="1226"/>
      <c r="AI765" s="841"/>
      <c r="AJ765" s="841"/>
      <c r="AK765" s="841"/>
      <c r="AL765" s="841"/>
      <c r="AM765" s="841"/>
      <c r="AN765" s="841"/>
      <c r="AO765" s="841"/>
      <c r="AP765" s="841"/>
      <c r="AQ765" s="841"/>
      <c r="AR765" s="841"/>
      <c r="AS765" s="842"/>
    </row>
    <row r="766" spans="1:45">
      <c r="A766" s="841"/>
      <c r="B766" s="841"/>
      <c r="C766" s="841"/>
      <c r="D766" s="841"/>
      <c r="E766" s="841"/>
      <c r="F766" s="841"/>
      <c r="G766" s="841"/>
      <c r="H766" s="841"/>
      <c r="I766" s="841"/>
      <c r="J766" s="841"/>
      <c r="K766" s="841"/>
      <c r="L766" s="841"/>
      <c r="M766" s="841"/>
      <c r="N766" s="841"/>
      <c r="O766" s="841"/>
      <c r="P766" s="841"/>
      <c r="Q766" s="841"/>
      <c r="R766" s="841"/>
      <c r="S766" s="841"/>
      <c r="T766" s="841"/>
      <c r="U766" s="841"/>
      <c r="V766" s="841"/>
      <c r="W766" s="841"/>
      <c r="X766" s="841"/>
      <c r="Y766" s="841"/>
      <c r="Z766" s="1226"/>
      <c r="AA766" s="1226"/>
      <c r="AB766" s="1226"/>
      <c r="AC766" s="1226"/>
      <c r="AD766" s="1226"/>
      <c r="AE766" s="1226"/>
      <c r="AF766" s="1226"/>
      <c r="AG766" s="1226"/>
      <c r="AH766" s="1226"/>
      <c r="AI766" s="841"/>
      <c r="AJ766" s="841"/>
      <c r="AK766" s="841"/>
      <c r="AL766" s="841"/>
      <c r="AM766" s="841"/>
      <c r="AN766" s="841"/>
      <c r="AO766" s="841"/>
      <c r="AP766" s="841"/>
      <c r="AQ766" s="841"/>
      <c r="AR766" s="841"/>
      <c r="AS766" s="842"/>
    </row>
    <row r="767" spans="1:45">
      <c r="A767" s="841"/>
      <c r="B767" s="841"/>
      <c r="C767" s="841"/>
      <c r="D767" s="841"/>
      <c r="E767" s="841"/>
      <c r="F767" s="841"/>
      <c r="G767" s="841"/>
      <c r="H767" s="841"/>
      <c r="I767" s="841"/>
      <c r="J767" s="841"/>
      <c r="K767" s="841"/>
      <c r="L767" s="841"/>
      <c r="M767" s="841"/>
      <c r="N767" s="841"/>
      <c r="O767" s="841"/>
      <c r="P767" s="841"/>
      <c r="Q767" s="841"/>
      <c r="R767" s="841"/>
      <c r="S767" s="841"/>
      <c r="T767" s="841"/>
      <c r="U767" s="841"/>
      <c r="V767" s="841"/>
      <c r="W767" s="841"/>
      <c r="X767" s="841"/>
      <c r="Y767" s="841"/>
      <c r="Z767" s="1226"/>
      <c r="AA767" s="1226"/>
      <c r="AB767" s="1226"/>
      <c r="AC767" s="1226"/>
      <c r="AD767" s="1226"/>
      <c r="AE767" s="1226"/>
      <c r="AF767" s="1226"/>
      <c r="AG767" s="1226"/>
      <c r="AH767" s="1226"/>
      <c r="AI767" s="841"/>
      <c r="AJ767" s="841"/>
      <c r="AK767" s="841"/>
      <c r="AL767" s="841"/>
      <c r="AM767" s="841"/>
      <c r="AN767" s="841"/>
      <c r="AO767" s="841"/>
      <c r="AP767" s="841"/>
      <c r="AQ767" s="841"/>
      <c r="AR767" s="841"/>
      <c r="AS767" s="842"/>
    </row>
    <row r="768" spans="1:45">
      <c r="A768" s="841"/>
      <c r="B768" s="841"/>
      <c r="C768" s="841"/>
      <c r="D768" s="841"/>
      <c r="E768" s="841"/>
      <c r="F768" s="841"/>
      <c r="G768" s="841"/>
      <c r="H768" s="841"/>
      <c r="I768" s="841"/>
      <c r="J768" s="841"/>
      <c r="K768" s="841"/>
      <c r="L768" s="841"/>
      <c r="M768" s="841"/>
      <c r="N768" s="841"/>
      <c r="O768" s="841"/>
      <c r="P768" s="841"/>
      <c r="Q768" s="841"/>
      <c r="R768" s="841"/>
      <c r="S768" s="841"/>
      <c r="T768" s="841"/>
      <c r="U768" s="841"/>
      <c r="V768" s="841"/>
      <c r="W768" s="841"/>
      <c r="X768" s="841"/>
      <c r="Y768" s="841"/>
      <c r="Z768" s="1226"/>
      <c r="AA768" s="1226"/>
      <c r="AB768" s="1226"/>
      <c r="AC768" s="1226"/>
      <c r="AD768" s="1226"/>
      <c r="AE768" s="1226"/>
      <c r="AF768" s="1226"/>
      <c r="AG768" s="1226"/>
      <c r="AH768" s="1226"/>
      <c r="AI768" s="841"/>
      <c r="AJ768" s="841"/>
      <c r="AK768" s="841"/>
      <c r="AL768" s="841"/>
      <c r="AM768" s="841"/>
      <c r="AN768" s="841"/>
      <c r="AO768" s="841"/>
      <c r="AP768" s="841"/>
      <c r="AQ768" s="841"/>
      <c r="AR768" s="841"/>
      <c r="AS768" s="842"/>
    </row>
    <row r="769" spans="1:45">
      <c r="A769" s="841"/>
      <c r="B769" s="841"/>
      <c r="C769" s="841"/>
      <c r="D769" s="841"/>
      <c r="E769" s="841"/>
      <c r="F769" s="841"/>
      <c r="G769" s="841"/>
      <c r="H769" s="841"/>
      <c r="I769" s="841"/>
      <c r="J769" s="841"/>
      <c r="K769" s="841"/>
      <c r="L769" s="841"/>
      <c r="M769" s="841"/>
      <c r="N769" s="841"/>
      <c r="O769" s="841"/>
      <c r="P769" s="841"/>
      <c r="Q769" s="841"/>
      <c r="R769" s="841"/>
      <c r="S769" s="841"/>
      <c r="T769" s="841"/>
      <c r="U769" s="841"/>
      <c r="V769" s="841"/>
      <c r="W769" s="841"/>
      <c r="X769" s="841"/>
      <c r="Y769" s="841"/>
      <c r="Z769" s="1226"/>
      <c r="AA769" s="1226"/>
      <c r="AB769" s="1226"/>
      <c r="AC769" s="1226"/>
      <c r="AD769" s="1226"/>
      <c r="AE769" s="1226"/>
      <c r="AF769" s="1226"/>
      <c r="AG769" s="1226"/>
      <c r="AH769" s="1226"/>
      <c r="AI769" s="841"/>
      <c r="AJ769" s="841"/>
      <c r="AK769" s="841"/>
      <c r="AL769" s="841"/>
      <c r="AM769" s="841"/>
      <c r="AN769" s="841"/>
      <c r="AO769" s="841"/>
      <c r="AP769" s="841"/>
      <c r="AQ769" s="841"/>
      <c r="AR769" s="841"/>
      <c r="AS769" s="842"/>
    </row>
    <row r="770" spans="1:45">
      <c r="A770" s="841"/>
      <c r="B770" s="841"/>
      <c r="C770" s="841"/>
      <c r="D770" s="841"/>
      <c r="E770" s="841"/>
      <c r="F770" s="841"/>
      <c r="G770" s="841"/>
      <c r="H770" s="841"/>
      <c r="I770" s="841"/>
      <c r="J770" s="841"/>
      <c r="K770" s="841"/>
      <c r="L770" s="841"/>
      <c r="M770" s="841"/>
      <c r="N770" s="841"/>
      <c r="O770" s="841"/>
      <c r="P770" s="841"/>
      <c r="Q770" s="841"/>
      <c r="R770" s="841"/>
      <c r="S770" s="841"/>
      <c r="T770" s="841"/>
      <c r="U770" s="841"/>
      <c r="V770" s="841"/>
      <c r="W770" s="841"/>
      <c r="X770" s="841"/>
      <c r="Y770" s="841"/>
      <c r="Z770" s="1226"/>
      <c r="AA770" s="1226"/>
      <c r="AB770" s="1226"/>
      <c r="AC770" s="1226"/>
      <c r="AD770" s="1226"/>
      <c r="AE770" s="1226"/>
      <c r="AF770" s="1226"/>
      <c r="AG770" s="1226"/>
      <c r="AH770" s="1226"/>
      <c r="AI770" s="841"/>
      <c r="AJ770" s="841"/>
      <c r="AK770" s="841"/>
      <c r="AL770" s="841"/>
      <c r="AM770" s="841"/>
      <c r="AN770" s="841"/>
      <c r="AO770" s="841"/>
      <c r="AP770" s="841"/>
      <c r="AQ770" s="841"/>
      <c r="AR770" s="841"/>
      <c r="AS770" s="842"/>
    </row>
    <row r="771" spans="1:45">
      <c r="A771" s="841"/>
      <c r="B771" s="841"/>
      <c r="C771" s="841"/>
      <c r="D771" s="841"/>
      <c r="E771" s="841"/>
      <c r="F771" s="841"/>
      <c r="G771" s="841"/>
      <c r="H771" s="841"/>
      <c r="I771" s="841"/>
      <c r="J771" s="841"/>
      <c r="K771" s="841"/>
      <c r="L771" s="841"/>
      <c r="M771" s="841"/>
      <c r="N771" s="841"/>
      <c r="O771" s="841"/>
      <c r="P771" s="841"/>
      <c r="Q771" s="841"/>
      <c r="R771" s="841"/>
      <c r="S771" s="841"/>
      <c r="T771" s="841"/>
      <c r="U771" s="841"/>
      <c r="V771" s="841"/>
      <c r="W771" s="841"/>
      <c r="X771" s="841"/>
      <c r="Y771" s="841"/>
      <c r="Z771" s="1226"/>
      <c r="AA771" s="1226"/>
      <c r="AB771" s="1226"/>
      <c r="AC771" s="1226"/>
      <c r="AD771" s="1226"/>
      <c r="AE771" s="1226"/>
      <c r="AF771" s="1226"/>
      <c r="AG771" s="1226"/>
      <c r="AH771" s="1226"/>
      <c r="AI771" s="841"/>
      <c r="AJ771" s="841"/>
      <c r="AK771" s="841"/>
      <c r="AL771" s="841"/>
      <c r="AM771" s="841"/>
      <c r="AN771" s="841"/>
      <c r="AO771" s="841"/>
      <c r="AP771" s="841"/>
      <c r="AQ771" s="841"/>
      <c r="AR771" s="841"/>
      <c r="AS771" s="842"/>
    </row>
    <row r="772" spans="1:45">
      <c r="A772" s="841"/>
      <c r="B772" s="841"/>
      <c r="C772" s="841"/>
      <c r="D772" s="841"/>
      <c r="E772" s="841"/>
      <c r="F772" s="841"/>
      <c r="G772" s="841"/>
      <c r="H772" s="841"/>
      <c r="I772" s="841"/>
      <c r="J772" s="841"/>
      <c r="K772" s="841"/>
      <c r="L772" s="841"/>
      <c r="M772" s="841"/>
      <c r="N772" s="841"/>
      <c r="O772" s="841"/>
      <c r="P772" s="841"/>
      <c r="Q772" s="841"/>
      <c r="R772" s="841"/>
      <c r="S772" s="841"/>
      <c r="T772" s="841"/>
      <c r="U772" s="841"/>
      <c r="V772" s="841"/>
      <c r="W772" s="841"/>
      <c r="X772" s="841"/>
      <c r="Y772" s="841"/>
      <c r="Z772" s="1226"/>
      <c r="AA772" s="1226"/>
      <c r="AB772" s="1226"/>
      <c r="AC772" s="1226"/>
      <c r="AD772" s="1226"/>
      <c r="AE772" s="1226"/>
      <c r="AF772" s="1226"/>
      <c r="AG772" s="1226"/>
      <c r="AH772" s="1226"/>
      <c r="AI772" s="841"/>
      <c r="AJ772" s="841"/>
      <c r="AK772" s="841"/>
      <c r="AL772" s="841"/>
      <c r="AM772" s="841"/>
      <c r="AN772" s="841"/>
      <c r="AO772" s="841"/>
      <c r="AP772" s="841"/>
      <c r="AQ772" s="841"/>
      <c r="AR772" s="841"/>
      <c r="AS772" s="842"/>
    </row>
    <row r="773" spans="1:45">
      <c r="A773" s="841"/>
      <c r="B773" s="841"/>
      <c r="C773" s="841"/>
      <c r="D773" s="841"/>
      <c r="E773" s="841"/>
      <c r="F773" s="841"/>
      <c r="G773" s="841"/>
      <c r="H773" s="841"/>
      <c r="I773" s="841"/>
      <c r="J773" s="841"/>
      <c r="K773" s="841"/>
      <c r="L773" s="841"/>
      <c r="M773" s="841"/>
      <c r="N773" s="841"/>
      <c r="O773" s="841"/>
      <c r="P773" s="841"/>
      <c r="Q773" s="841"/>
      <c r="R773" s="841"/>
      <c r="S773" s="841"/>
      <c r="T773" s="841"/>
      <c r="U773" s="841"/>
      <c r="V773" s="841"/>
      <c r="W773" s="841"/>
      <c r="X773" s="841"/>
      <c r="Y773" s="841"/>
      <c r="Z773" s="1226"/>
      <c r="AA773" s="1226"/>
      <c r="AB773" s="1226"/>
      <c r="AC773" s="1226"/>
      <c r="AD773" s="1226"/>
      <c r="AE773" s="1226"/>
      <c r="AF773" s="1226"/>
      <c r="AG773" s="1226"/>
      <c r="AH773" s="1226"/>
      <c r="AI773" s="841"/>
      <c r="AJ773" s="841"/>
      <c r="AK773" s="841"/>
      <c r="AL773" s="841"/>
      <c r="AM773" s="841"/>
      <c r="AN773" s="841"/>
      <c r="AO773" s="841"/>
      <c r="AP773" s="841"/>
      <c r="AQ773" s="841"/>
      <c r="AR773" s="841"/>
      <c r="AS773" s="842"/>
    </row>
    <row r="774" spans="1:45">
      <c r="A774" s="841"/>
      <c r="B774" s="841"/>
      <c r="C774" s="841"/>
      <c r="D774" s="841"/>
      <c r="E774" s="841"/>
      <c r="F774" s="841"/>
      <c r="G774" s="841"/>
      <c r="H774" s="841"/>
      <c r="I774" s="841"/>
      <c r="J774" s="841"/>
      <c r="K774" s="841"/>
      <c r="L774" s="841"/>
      <c r="M774" s="841"/>
      <c r="N774" s="841"/>
      <c r="O774" s="841"/>
      <c r="P774" s="841"/>
      <c r="Q774" s="841"/>
      <c r="R774" s="841"/>
      <c r="S774" s="841"/>
      <c r="T774" s="841"/>
      <c r="U774" s="841"/>
      <c r="V774" s="841"/>
      <c r="W774" s="841"/>
      <c r="X774" s="841"/>
      <c r="Y774" s="841"/>
      <c r="Z774" s="1226"/>
      <c r="AA774" s="1226"/>
      <c r="AB774" s="1226"/>
      <c r="AC774" s="1226"/>
      <c r="AD774" s="1226"/>
      <c r="AE774" s="1226"/>
      <c r="AF774" s="1226"/>
      <c r="AG774" s="1226"/>
      <c r="AH774" s="1226"/>
      <c r="AI774" s="841"/>
      <c r="AJ774" s="841"/>
      <c r="AK774" s="841"/>
      <c r="AL774" s="841"/>
      <c r="AM774" s="841"/>
      <c r="AN774" s="841"/>
      <c r="AO774" s="841"/>
      <c r="AP774" s="841"/>
      <c r="AQ774" s="841"/>
      <c r="AR774" s="841"/>
      <c r="AS774" s="842"/>
    </row>
    <row r="775" spans="1:45">
      <c r="A775" s="841"/>
      <c r="B775" s="841"/>
      <c r="C775" s="841"/>
      <c r="D775" s="841"/>
      <c r="E775" s="841"/>
      <c r="F775" s="841"/>
      <c r="G775" s="841"/>
      <c r="H775" s="841"/>
      <c r="I775" s="841"/>
      <c r="J775" s="841"/>
      <c r="K775" s="841"/>
      <c r="L775" s="841"/>
      <c r="M775" s="841"/>
      <c r="N775" s="841"/>
      <c r="O775" s="841"/>
      <c r="P775" s="841"/>
      <c r="Q775" s="841"/>
      <c r="R775" s="841"/>
      <c r="S775" s="841"/>
      <c r="T775" s="841"/>
      <c r="U775" s="841"/>
      <c r="V775" s="841"/>
      <c r="W775" s="841"/>
      <c r="X775" s="841"/>
      <c r="Y775" s="841"/>
      <c r="Z775" s="1226"/>
      <c r="AA775" s="1226"/>
      <c r="AB775" s="1226"/>
      <c r="AC775" s="1226"/>
      <c r="AD775" s="1226"/>
      <c r="AE775" s="1226"/>
      <c r="AF775" s="1226"/>
      <c r="AG775" s="1226"/>
      <c r="AH775" s="1226"/>
      <c r="AI775" s="841"/>
      <c r="AJ775" s="841"/>
      <c r="AK775" s="841"/>
      <c r="AL775" s="841"/>
      <c r="AM775" s="841"/>
      <c r="AN775" s="841"/>
      <c r="AO775" s="841"/>
      <c r="AP775" s="841"/>
      <c r="AQ775" s="841"/>
      <c r="AR775" s="841"/>
      <c r="AS775" s="842"/>
    </row>
    <row r="776" spans="1:45">
      <c r="A776" s="841"/>
      <c r="B776" s="841"/>
      <c r="C776" s="841"/>
      <c r="D776" s="841"/>
      <c r="E776" s="841"/>
      <c r="F776" s="841"/>
      <c r="G776" s="841"/>
      <c r="H776" s="841"/>
      <c r="I776" s="841"/>
      <c r="J776" s="841"/>
      <c r="K776" s="841"/>
      <c r="L776" s="841"/>
      <c r="M776" s="841"/>
      <c r="N776" s="841"/>
      <c r="O776" s="841"/>
      <c r="P776" s="841"/>
      <c r="Q776" s="841"/>
      <c r="R776" s="841"/>
      <c r="S776" s="841"/>
      <c r="T776" s="841"/>
      <c r="U776" s="841"/>
      <c r="V776" s="841"/>
      <c r="W776" s="841"/>
      <c r="X776" s="841"/>
      <c r="Y776" s="841"/>
      <c r="Z776" s="1226"/>
      <c r="AA776" s="1226"/>
      <c r="AB776" s="1226"/>
      <c r="AC776" s="1226"/>
      <c r="AD776" s="1226"/>
      <c r="AE776" s="1226"/>
      <c r="AF776" s="1226"/>
      <c r="AG776" s="1226"/>
      <c r="AH776" s="1226"/>
      <c r="AI776" s="841"/>
      <c r="AJ776" s="841"/>
      <c r="AK776" s="841"/>
      <c r="AL776" s="841"/>
      <c r="AM776" s="841"/>
      <c r="AN776" s="841"/>
      <c r="AO776" s="841"/>
      <c r="AP776" s="841"/>
      <c r="AQ776" s="841"/>
      <c r="AR776" s="841"/>
      <c r="AS776" s="842"/>
    </row>
    <row r="777" spans="1:45">
      <c r="A777" s="841"/>
      <c r="B777" s="841"/>
      <c r="C777" s="841"/>
      <c r="D777" s="841"/>
      <c r="E777" s="841"/>
      <c r="F777" s="841"/>
      <c r="G777" s="841"/>
      <c r="H777" s="841"/>
      <c r="I777" s="841"/>
      <c r="J777" s="841"/>
      <c r="K777" s="841"/>
      <c r="L777" s="841"/>
      <c r="M777" s="841"/>
      <c r="N777" s="841"/>
      <c r="O777" s="841"/>
      <c r="P777" s="841"/>
      <c r="Q777" s="841"/>
      <c r="R777" s="841"/>
      <c r="S777" s="841"/>
      <c r="T777" s="841"/>
      <c r="U777" s="841"/>
      <c r="V777" s="841"/>
      <c r="W777" s="841"/>
      <c r="X777" s="841"/>
      <c r="Y777" s="841"/>
      <c r="Z777" s="1226"/>
      <c r="AA777" s="1226"/>
      <c r="AB777" s="1226"/>
      <c r="AC777" s="1226"/>
      <c r="AD777" s="1226"/>
      <c r="AE777" s="1226"/>
      <c r="AF777" s="1226"/>
      <c r="AG777" s="1226"/>
      <c r="AH777" s="1226"/>
      <c r="AI777" s="841"/>
      <c r="AJ777" s="841"/>
      <c r="AK777" s="841"/>
      <c r="AL777" s="841"/>
      <c r="AM777" s="841"/>
      <c r="AN777" s="841"/>
      <c r="AO777" s="841"/>
      <c r="AP777" s="841"/>
      <c r="AQ777" s="841"/>
      <c r="AR777" s="841"/>
      <c r="AS777" s="842"/>
    </row>
    <row r="778" spans="1:45">
      <c r="A778" s="841"/>
      <c r="B778" s="841"/>
      <c r="C778" s="841"/>
      <c r="D778" s="841"/>
      <c r="E778" s="841"/>
      <c r="F778" s="841"/>
      <c r="G778" s="841"/>
      <c r="H778" s="841"/>
      <c r="I778" s="841"/>
      <c r="J778" s="841"/>
      <c r="K778" s="841"/>
      <c r="L778" s="841"/>
      <c r="M778" s="841"/>
      <c r="N778" s="841"/>
      <c r="O778" s="841"/>
      <c r="P778" s="841"/>
      <c r="Q778" s="841"/>
      <c r="R778" s="841"/>
      <c r="S778" s="841"/>
      <c r="T778" s="841"/>
      <c r="U778" s="841"/>
      <c r="V778" s="841"/>
      <c r="W778" s="841"/>
      <c r="X778" s="841"/>
      <c r="Y778" s="841"/>
      <c r="Z778" s="1226"/>
      <c r="AA778" s="1226"/>
      <c r="AB778" s="1226"/>
      <c r="AC778" s="1226"/>
      <c r="AD778" s="1226"/>
      <c r="AE778" s="1226"/>
      <c r="AF778" s="1226"/>
      <c r="AG778" s="1226"/>
      <c r="AH778" s="1226"/>
      <c r="AI778" s="841"/>
      <c r="AJ778" s="841"/>
      <c r="AK778" s="841"/>
      <c r="AL778" s="841"/>
      <c r="AM778" s="841"/>
      <c r="AN778" s="841"/>
      <c r="AO778" s="841"/>
      <c r="AP778" s="841"/>
      <c r="AQ778" s="841"/>
      <c r="AR778" s="841"/>
      <c r="AS778" s="842"/>
    </row>
    <row r="779" spans="1:45">
      <c r="A779" s="841"/>
      <c r="B779" s="841"/>
      <c r="C779" s="841"/>
      <c r="D779" s="841"/>
      <c r="E779" s="841"/>
      <c r="F779" s="841"/>
      <c r="G779" s="841"/>
      <c r="H779" s="841"/>
      <c r="I779" s="841"/>
      <c r="J779" s="841"/>
      <c r="K779" s="841"/>
      <c r="L779" s="841"/>
      <c r="M779" s="841"/>
      <c r="N779" s="841"/>
      <c r="O779" s="841"/>
      <c r="P779" s="841"/>
      <c r="Q779" s="841"/>
      <c r="R779" s="841"/>
      <c r="S779" s="841"/>
      <c r="T779" s="841"/>
      <c r="U779" s="841"/>
      <c r="V779" s="841"/>
      <c r="W779" s="841"/>
      <c r="X779" s="841"/>
      <c r="Y779" s="841"/>
      <c r="Z779" s="1226"/>
      <c r="AA779" s="1226"/>
      <c r="AB779" s="1226"/>
      <c r="AC779" s="1226"/>
      <c r="AD779" s="1226"/>
      <c r="AE779" s="1226"/>
      <c r="AF779" s="1226"/>
      <c r="AG779" s="1226"/>
      <c r="AH779" s="1226"/>
      <c r="AI779" s="841"/>
      <c r="AJ779" s="841"/>
      <c r="AK779" s="841"/>
      <c r="AL779" s="841"/>
      <c r="AM779" s="841"/>
      <c r="AN779" s="841"/>
      <c r="AO779" s="841"/>
      <c r="AP779" s="841"/>
      <c r="AQ779" s="841"/>
      <c r="AR779" s="841"/>
      <c r="AS779" s="842"/>
    </row>
    <row r="780" spans="1:45">
      <c r="A780" s="841"/>
      <c r="B780" s="841"/>
      <c r="C780" s="841"/>
      <c r="D780" s="841"/>
      <c r="E780" s="841"/>
      <c r="F780" s="841"/>
      <c r="G780" s="841"/>
      <c r="H780" s="841"/>
      <c r="I780" s="841"/>
      <c r="J780" s="841"/>
      <c r="K780" s="841"/>
      <c r="L780" s="841"/>
      <c r="M780" s="841"/>
      <c r="N780" s="841"/>
      <c r="O780" s="841"/>
      <c r="P780" s="841"/>
      <c r="Q780" s="841"/>
      <c r="R780" s="841"/>
      <c r="S780" s="841"/>
      <c r="T780" s="841"/>
      <c r="U780" s="841"/>
      <c r="V780" s="841"/>
      <c r="W780" s="841"/>
      <c r="X780" s="841"/>
      <c r="Y780" s="841"/>
      <c r="Z780" s="1226"/>
      <c r="AA780" s="1226"/>
      <c r="AB780" s="1226"/>
      <c r="AC780" s="1226"/>
      <c r="AD780" s="1226"/>
      <c r="AE780" s="1226"/>
      <c r="AF780" s="1226"/>
      <c r="AG780" s="1226"/>
      <c r="AH780" s="1226"/>
      <c r="AI780" s="841"/>
      <c r="AJ780" s="841"/>
      <c r="AK780" s="841"/>
      <c r="AL780" s="841"/>
      <c r="AM780" s="841"/>
      <c r="AN780" s="841"/>
      <c r="AO780" s="841"/>
      <c r="AP780" s="841"/>
      <c r="AQ780" s="841"/>
      <c r="AR780" s="841"/>
      <c r="AS780" s="842"/>
    </row>
    <row r="781" spans="1:45">
      <c r="A781" s="841"/>
      <c r="B781" s="841"/>
      <c r="C781" s="841"/>
      <c r="D781" s="841"/>
      <c r="E781" s="841"/>
      <c r="F781" s="841"/>
      <c r="G781" s="841"/>
      <c r="H781" s="841"/>
      <c r="I781" s="841"/>
      <c r="J781" s="841"/>
      <c r="K781" s="841"/>
      <c r="L781" s="841"/>
      <c r="M781" s="841"/>
      <c r="N781" s="841"/>
      <c r="O781" s="841"/>
      <c r="P781" s="841"/>
      <c r="Q781" s="841"/>
      <c r="R781" s="841"/>
      <c r="S781" s="841"/>
      <c r="T781" s="841"/>
      <c r="U781" s="841"/>
      <c r="V781" s="841"/>
      <c r="W781" s="841"/>
      <c r="X781" s="841"/>
      <c r="Y781" s="841"/>
      <c r="Z781" s="1226"/>
      <c r="AA781" s="1226"/>
      <c r="AB781" s="1226"/>
      <c r="AC781" s="1226"/>
      <c r="AD781" s="1226"/>
      <c r="AE781" s="1226"/>
      <c r="AF781" s="1226"/>
      <c r="AG781" s="1226"/>
      <c r="AH781" s="1226"/>
      <c r="AI781" s="841"/>
      <c r="AJ781" s="841"/>
      <c r="AK781" s="841"/>
      <c r="AL781" s="841"/>
      <c r="AM781" s="841"/>
      <c r="AN781" s="841"/>
      <c r="AO781" s="841"/>
      <c r="AP781" s="841"/>
      <c r="AQ781" s="841"/>
      <c r="AR781" s="841"/>
      <c r="AS781" s="842"/>
    </row>
    <row r="782" spans="1:45">
      <c r="A782" s="841"/>
      <c r="B782" s="841"/>
      <c r="C782" s="841"/>
      <c r="D782" s="841"/>
      <c r="E782" s="841"/>
      <c r="F782" s="841"/>
      <c r="G782" s="841"/>
      <c r="H782" s="841"/>
      <c r="I782" s="841"/>
      <c r="J782" s="841"/>
      <c r="K782" s="841"/>
      <c r="L782" s="841"/>
      <c r="M782" s="841"/>
      <c r="N782" s="841"/>
      <c r="O782" s="841"/>
      <c r="P782" s="841"/>
      <c r="Q782" s="841"/>
      <c r="R782" s="841"/>
      <c r="S782" s="841"/>
      <c r="T782" s="841"/>
      <c r="U782" s="841"/>
      <c r="V782" s="841"/>
      <c r="W782" s="841"/>
      <c r="X782" s="841"/>
      <c r="Y782" s="841"/>
      <c r="Z782" s="1226"/>
      <c r="AA782" s="1226"/>
      <c r="AB782" s="1226"/>
      <c r="AC782" s="1226"/>
      <c r="AD782" s="1226"/>
      <c r="AE782" s="1226"/>
      <c r="AF782" s="1226"/>
      <c r="AG782" s="1226"/>
      <c r="AH782" s="1226"/>
      <c r="AI782" s="841"/>
      <c r="AJ782" s="841"/>
      <c r="AK782" s="841"/>
      <c r="AL782" s="841"/>
      <c r="AM782" s="841"/>
      <c r="AN782" s="841"/>
      <c r="AO782" s="841"/>
      <c r="AP782" s="841"/>
      <c r="AQ782" s="841"/>
      <c r="AR782" s="841"/>
      <c r="AS782" s="842"/>
    </row>
    <row r="783" spans="1:45">
      <c r="A783" s="841"/>
      <c r="B783" s="841"/>
      <c r="C783" s="841"/>
      <c r="D783" s="841"/>
      <c r="E783" s="841"/>
      <c r="F783" s="841"/>
      <c r="G783" s="841"/>
      <c r="H783" s="841"/>
      <c r="I783" s="841"/>
      <c r="J783" s="841"/>
      <c r="K783" s="841"/>
      <c r="L783" s="841"/>
      <c r="M783" s="841"/>
      <c r="N783" s="841"/>
      <c r="O783" s="841"/>
      <c r="P783" s="841"/>
      <c r="Q783" s="841"/>
      <c r="R783" s="841"/>
      <c r="S783" s="841"/>
      <c r="T783" s="841"/>
      <c r="U783" s="841"/>
      <c r="V783" s="841"/>
      <c r="W783" s="841"/>
      <c r="X783" s="841"/>
      <c r="Y783" s="841"/>
      <c r="Z783" s="1226"/>
      <c r="AA783" s="1226"/>
      <c r="AB783" s="1226"/>
      <c r="AC783" s="1226"/>
      <c r="AD783" s="1226"/>
      <c r="AE783" s="1226"/>
      <c r="AF783" s="1226"/>
      <c r="AG783" s="1226"/>
      <c r="AH783" s="1226"/>
      <c r="AI783" s="841"/>
      <c r="AJ783" s="841"/>
      <c r="AK783" s="841"/>
      <c r="AL783" s="841"/>
      <c r="AM783" s="841"/>
      <c r="AN783" s="841"/>
      <c r="AO783" s="841"/>
      <c r="AP783" s="841"/>
      <c r="AQ783" s="841"/>
      <c r="AR783" s="841"/>
      <c r="AS783" s="842"/>
    </row>
    <row r="784" spans="1:45">
      <c r="A784" s="841"/>
      <c r="B784" s="841"/>
      <c r="C784" s="841"/>
      <c r="D784" s="841"/>
      <c r="E784" s="841"/>
      <c r="F784" s="841"/>
      <c r="G784" s="841"/>
      <c r="H784" s="841"/>
      <c r="I784" s="841"/>
      <c r="J784" s="841"/>
      <c r="K784" s="841"/>
      <c r="L784" s="841"/>
      <c r="M784" s="841"/>
      <c r="N784" s="841"/>
      <c r="O784" s="841"/>
      <c r="P784" s="841"/>
      <c r="Q784" s="841"/>
      <c r="R784" s="841"/>
      <c r="S784" s="841"/>
      <c r="T784" s="841"/>
      <c r="U784" s="841"/>
      <c r="V784" s="841"/>
      <c r="W784" s="841"/>
      <c r="X784" s="841"/>
      <c r="Y784" s="841"/>
      <c r="Z784" s="1226"/>
      <c r="AA784" s="1226"/>
      <c r="AB784" s="1226"/>
      <c r="AC784" s="1226"/>
      <c r="AD784" s="1226"/>
      <c r="AE784" s="1226"/>
      <c r="AF784" s="1226"/>
      <c r="AG784" s="1226"/>
      <c r="AH784" s="1226"/>
      <c r="AI784" s="841"/>
      <c r="AJ784" s="841"/>
      <c r="AK784" s="841"/>
      <c r="AL784" s="841"/>
      <c r="AM784" s="841"/>
      <c r="AN784" s="841"/>
      <c r="AO784" s="841"/>
      <c r="AP784" s="841"/>
      <c r="AQ784" s="841"/>
      <c r="AR784" s="841"/>
      <c r="AS784" s="842"/>
    </row>
    <row r="785" spans="1:45">
      <c r="A785" s="841"/>
      <c r="B785" s="841"/>
      <c r="C785" s="841"/>
      <c r="D785" s="841"/>
      <c r="E785" s="841"/>
      <c r="F785" s="841"/>
      <c r="G785" s="841"/>
      <c r="H785" s="841"/>
      <c r="I785" s="841"/>
      <c r="J785" s="841"/>
      <c r="K785" s="841"/>
      <c r="L785" s="841"/>
      <c r="M785" s="841"/>
      <c r="N785" s="841"/>
      <c r="O785" s="841"/>
      <c r="P785" s="841"/>
      <c r="Q785" s="841"/>
      <c r="R785" s="841"/>
      <c r="S785" s="841"/>
      <c r="T785" s="841"/>
      <c r="U785" s="841"/>
      <c r="V785" s="841"/>
      <c r="W785" s="841"/>
      <c r="X785" s="841"/>
      <c r="Y785" s="841"/>
      <c r="Z785" s="1226"/>
      <c r="AA785" s="1226"/>
      <c r="AB785" s="1226"/>
      <c r="AC785" s="1226"/>
      <c r="AD785" s="1226"/>
      <c r="AE785" s="1226"/>
      <c r="AF785" s="1226"/>
      <c r="AG785" s="1226"/>
      <c r="AH785" s="1226"/>
      <c r="AI785" s="841"/>
      <c r="AJ785" s="841"/>
      <c r="AK785" s="841"/>
      <c r="AL785" s="841"/>
      <c r="AM785" s="841"/>
      <c r="AN785" s="841"/>
      <c r="AO785" s="841"/>
      <c r="AP785" s="841"/>
      <c r="AQ785" s="841"/>
      <c r="AR785" s="841"/>
      <c r="AS785" s="842"/>
    </row>
    <row r="786" spans="1:45">
      <c r="A786" s="841"/>
      <c r="B786" s="841"/>
      <c r="C786" s="841"/>
      <c r="D786" s="841"/>
      <c r="E786" s="841"/>
      <c r="F786" s="841"/>
      <c r="G786" s="841"/>
      <c r="H786" s="841"/>
      <c r="I786" s="841"/>
      <c r="J786" s="841"/>
      <c r="K786" s="841"/>
      <c r="L786" s="841"/>
      <c r="M786" s="841"/>
      <c r="N786" s="841"/>
      <c r="O786" s="841"/>
      <c r="P786" s="841"/>
      <c r="Q786" s="841"/>
      <c r="R786" s="841"/>
      <c r="S786" s="841"/>
      <c r="T786" s="841"/>
      <c r="U786" s="841"/>
      <c r="V786" s="841"/>
      <c r="W786" s="841"/>
      <c r="X786" s="841"/>
      <c r="Y786" s="841"/>
      <c r="Z786" s="1226"/>
      <c r="AA786" s="1226"/>
      <c r="AB786" s="1226"/>
      <c r="AC786" s="1226"/>
      <c r="AD786" s="1226"/>
      <c r="AE786" s="1226"/>
      <c r="AF786" s="1226"/>
      <c r="AG786" s="1226"/>
      <c r="AH786" s="1226"/>
      <c r="AI786" s="841"/>
      <c r="AJ786" s="841"/>
      <c r="AK786" s="841"/>
      <c r="AL786" s="841"/>
      <c r="AM786" s="841"/>
      <c r="AN786" s="841"/>
      <c r="AO786" s="841"/>
      <c r="AP786" s="841"/>
      <c r="AQ786" s="841"/>
      <c r="AR786" s="841"/>
      <c r="AS786" s="842"/>
    </row>
    <row r="787" spans="1:45">
      <c r="A787" s="841"/>
      <c r="B787" s="841"/>
      <c r="C787" s="841"/>
      <c r="D787" s="841"/>
      <c r="E787" s="841"/>
      <c r="F787" s="841"/>
      <c r="G787" s="841"/>
      <c r="H787" s="841"/>
      <c r="I787" s="841"/>
      <c r="J787" s="841"/>
      <c r="K787" s="841"/>
      <c r="L787" s="841"/>
      <c r="M787" s="841"/>
      <c r="N787" s="841"/>
      <c r="O787" s="841"/>
      <c r="P787" s="841"/>
      <c r="Q787" s="841"/>
      <c r="R787" s="841"/>
      <c r="S787" s="841"/>
      <c r="T787" s="841"/>
      <c r="U787" s="841"/>
      <c r="V787" s="841"/>
      <c r="W787" s="841"/>
      <c r="X787" s="841"/>
      <c r="Y787" s="841"/>
      <c r="Z787" s="1226"/>
      <c r="AA787" s="1226"/>
      <c r="AB787" s="1226"/>
      <c r="AC787" s="1226"/>
      <c r="AD787" s="1226"/>
      <c r="AE787" s="1226"/>
      <c r="AF787" s="1226"/>
      <c r="AG787" s="1226"/>
      <c r="AH787" s="1226"/>
      <c r="AI787" s="841"/>
      <c r="AJ787" s="841"/>
      <c r="AK787" s="841"/>
      <c r="AL787" s="841"/>
      <c r="AM787" s="841"/>
      <c r="AN787" s="841"/>
      <c r="AO787" s="841"/>
      <c r="AP787" s="841"/>
      <c r="AQ787" s="841"/>
      <c r="AR787" s="841"/>
      <c r="AS787" s="842"/>
    </row>
    <row r="788" spans="1:45">
      <c r="A788" s="841"/>
      <c r="B788" s="841"/>
      <c r="C788" s="841"/>
      <c r="D788" s="841"/>
      <c r="E788" s="841"/>
      <c r="F788" s="841"/>
      <c r="G788" s="841"/>
      <c r="H788" s="841"/>
      <c r="I788" s="841"/>
      <c r="J788" s="841"/>
      <c r="K788" s="841"/>
      <c r="L788" s="841"/>
      <c r="M788" s="841"/>
      <c r="N788" s="841"/>
      <c r="O788" s="841"/>
      <c r="P788" s="841"/>
      <c r="Q788" s="841"/>
      <c r="R788" s="841"/>
      <c r="S788" s="841"/>
      <c r="T788" s="841"/>
      <c r="U788" s="841"/>
      <c r="V788" s="841"/>
      <c r="W788" s="841"/>
      <c r="X788" s="841"/>
      <c r="Y788" s="841"/>
      <c r="Z788" s="1226"/>
      <c r="AA788" s="1226"/>
      <c r="AB788" s="1226"/>
      <c r="AC788" s="1226"/>
      <c r="AD788" s="1226"/>
      <c r="AE788" s="1226"/>
      <c r="AF788" s="1226"/>
      <c r="AG788" s="1226"/>
      <c r="AH788" s="1226"/>
      <c r="AI788" s="841"/>
      <c r="AJ788" s="841"/>
      <c r="AK788" s="841"/>
      <c r="AL788" s="841"/>
      <c r="AM788" s="841"/>
      <c r="AN788" s="841"/>
      <c r="AO788" s="841"/>
      <c r="AP788" s="841"/>
      <c r="AQ788" s="841"/>
      <c r="AR788" s="841"/>
      <c r="AS788" s="842"/>
    </row>
    <row r="789" spans="1:45">
      <c r="A789" s="841"/>
      <c r="B789" s="841"/>
      <c r="C789" s="841"/>
      <c r="D789" s="841"/>
      <c r="E789" s="841"/>
      <c r="F789" s="841"/>
      <c r="G789" s="841"/>
      <c r="H789" s="841"/>
      <c r="I789" s="841"/>
      <c r="J789" s="841"/>
      <c r="K789" s="841"/>
      <c r="L789" s="841"/>
      <c r="M789" s="841"/>
      <c r="N789" s="841"/>
      <c r="O789" s="841"/>
      <c r="P789" s="841"/>
      <c r="Q789" s="841"/>
      <c r="R789" s="841"/>
      <c r="S789" s="841"/>
      <c r="T789" s="841"/>
      <c r="U789" s="841"/>
      <c r="V789" s="841"/>
      <c r="W789" s="841"/>
      <c r="X789" s="841"/>
      <c r="Y789" s="841"/>
      <c r="Z789" s="1226"/>
      <c r="AA789" s="1226"/>
      <c r="AB789" s="1226"/>
      <c r="AC789" s="1226"/>
      <c r="AD789" s="1226"/>
      <c r="AE789" s="1226"/>
      <c r="AF789" s="1226"/>
      <c r="AG789" s="1226"/>
      <c r="AH789" s="1226"/>
      <c r="AI789" s="841"/>
      <c r="AJ789" s="841"/>
      <c r="AK789" s="841"/>
      <c r="AL789" s="841"/>
      <c r="AM789" s="841"/>
      <c r="AN789" s="841"/>
      <c r="AO789" s="841"/>
      <c r="AP789" s="841"/>
      <c r="AQ789" s="841"/>
      <c r="AR789" s="841"/>
      <c r="AS789" s="842"/>
    </row>
    <row r="790" spans="1:45">
      <c r="A790" s="841"/>
      <c r="B790" s="841"/>
      <c r="C790" s="841"/>
      <c r="D790" s="841"/>
      <c r="E790" s="841"/>
      <c r="F790" s="841"/>
      <c r="G790" s="841"/>
      <c r="H790" s="841"/>
      <c r="I790" s="841"/>
      <c r="J790" s="841"/>
      <c r="K790" s="841"/>
      <c r="L790" s="841"/>
      <c r="M790" s="841"/>
      <c r="N790" s="841"/>
      <c r="O790" s="841"/>
      <c r="P790" s="841"/>
      <c r="Q790" s="841"/>
      <c r="R790" s="841"/>
      <c r="S790" s="841"/>
      <c r="T790" s="841"/>
      <c r="U790" s="841"/>
      <c r="V790" s="841"/>
      <c r="W790" s="841"/>
      <c r="X790" s="841"/>
      <c r="Y790" s="841"/>
      <c r="Z790" s="1226"/>
      <c r="AA790" s="1226"/>
      <c r="AB790" s="1226"/>
      <c r="AC790" s="1226"/>
      <c r="AD790" s="1226"/>
      <c r="AE790" s="1226"/>
      <c r="AF790" s="1226"/>
      <c r="AG790" s="1226"/>
      <c r="AH790" s="1226"/>
      <c r="AI790" s="841"/>
      <c r="AJ790" s="841"/>
      <c r="AK790" s="841"/>
      <c r="AL790" s="841"/>
      <c r="AM790" s="841"/>
      <c r="AN790" s="841"/>
      <c r="AO790" s="841"/>
      <c r="AP790" s="841"/>
      <c r="AQ790" s="841"/>
      <c r="AR790" s="841"/>
      <c r="AS790" s="842"/>
    </row>
    <row r="791" spans="1:45">
      <c r="A791" s="841"/>
      <c r="B791" s="841"/>
      <c r="C791" s="841"/>
      <c r="D791" s="841"/>
      <c r="E791" s="841"/>
      <c r="F791" s="841"/>
      <c r="G791" s="841"/>
      <c r="H791" s="841"/>
      <c r="I791" s="841"/>
      <c r="J791" s="841"/>
      <c r="K791" s="841"/>
      <c r="L791" s="841"/>
      <c r="M791" s="841"/>
      <c r="N791" s="841"/>
      <c r="O791" s="841"/>
      <c r="P791" s="841"/>
      <c r="Q791" s="841"/>
      <c r="R791" s="841"/>
      <c r="S791" s="841"/>
      <c r="T791" s="841"/>
      <c r="U791" s="841"/>
      <c r="V791" s="841"/>
      <c r="W791" s="841"/>
      <c r="X791" s="841"/>
      <c r="Y791" s="841"/>
      <c r="Z791" s="1226"/>
      <c r="AA791" s="1226"/>
      <c r="AB791" s="1226"/>
      <c r="AC791" s="1226"/>
      <c r="AD791" s="1226"/>
      <c r="AE791" s="1226"/>
      <c r="AF791" s="1226"/>
      <c r="AG791" s="1226"/>
      <c r="AH791" s="1226"/>
      <c r="AI791" s="841"/>
      <c r="AJ791" s="841"/>
      <c r="AK791" s="841"/>
      <c r="AL791" s="841"/>
      <c r="AM791" s="841"/>
      <c r="AN791" s="841"/>
      <c r="AO791" s="841"/>
      <c r="AP791" s="841"/>
      <c r="AQ791" s="841"/>
      <c r="AR791" s="841"/>
      <c r="AS791" s="842"/>
    </row>
    <row r="792" spans="1:45">
      <c r="A792" s="841"/>
      <c r="B792" s="841"/>
      <c r="C792" s="841"/>
      <c r="D792" s="841"/>
      <c r="E792" s="841"/>
      <c r="F792" s="841"/>
      <c r="G792" s="841"/>
      <c r="H792" s="841"/>
      <c r="I792" s="841"/>
      <c r="J792" s="841"/>
      <c r="K792" s="841"/>
      <c r="L792" s="841"/>
      <c r="M792" s="841"/>
      <c r="N792" s="841"/>
      <c r="O792" s="841"/>
      <c r="P792" s="841"/>
      <c r="Q792" s="841"/>
      <c r="R792" s="841"/>
      <c r="S792" s="841"/>
      <c r="T792" s="841"/>
      <c r="U792" s="841"/>
      <c r="V792" s="841"/>
      <c r="W792" s="841"/>
      <c r="X792" s="841"/>
      <c r="Y792" s="841"/>
      <c r="Z792" s="1226"/>
      <c r="AA792" s="1226"/>
      <c r="AB792" s="1226"/>
      <c r="AC792" s="1226"/>
      <c r="AD792" s="1226"/>
      <c r="AE792" s="1226"/>
      <c r="AF792" s="1226"/>
      <c r="AG792" s="1226"/>
      <c r="AH792" s="1226"/>
      <c r="AI792" s="841"/>
      <c r="AJ792" s="841"/>
      <c r="AK792" s="841"/>
      <c r="AL792" s="841"/>
      <c r="AM792" s="841"/>
      <c r="AN792" s="841"/>
      <c r="AO792" s="841"/>
      <c r="AP792" s="841"/>
      <c r="AQ792" s="841"/>
      <c r="AR792" s="841"/>
      <c r="AS792" s="842"/>
    </row>
    <row r="793" spans="1:45">
      <c r="A793" s="841"/>
      <c r="B793" s="841"/>
      <c r="C793" s="841"/>
      <c r="D793" s="841"/>
      <c r="E793" s="841"/>
      <c r="F793" s="841"/>
      <c r="G793" s="841"/>
      <c r="H793" s="841"/>
      <c r="I793" s="841"/>
      <c r="J793" s="841"/>
      <c r="K793" s="841"/>
      <c r="L793" s="841"/>
      <c r="M793" s="841"/>
      <c r="N793" s="841"/>
      <c r="O793" s="841"/>
      <c r="P793" s="841"/>
      <c r="Q793" s="841"/>
      <c r="R793" s="841"/>
      <c r="S793" s="841"/>
      <c r="T793" s="841"/>
      <c r="U793" s="841"/>
      <c r="V793" s="841"/>
      <c r="W793" s="841"/>
      <c r="X793" s="841"/>
      <c r="Y793" s="841"/>
      <c r="Z793" s="1226"/>
      <c r="AA793" s="1226"/>
      <c r="AB793" s="1226"/>
      <c r="AC793" s="1226"/>
      <c r="AD793" s="1226"/>
      <c r="AE793" s="1226"/>
      <c r="AF793" s="1226"/>
      <c r="AG793" s="1226"/>
      <c r="AH793" s="1226"/>
      <c r="AI793" s="841"/>
      <c r="AJ793" s="841"/>
      <c r="AK793" s="841"/>
      <c r="AL793" s="841"/>
      <c r="AM793" s="841"/>
      <c r="AN793" s="841"/>
      <c r="AO793" s="841"/>
      <c r="AP793" s="841"/>
      <c r="AQ793" s="841"/>
      <c r="AR793" s="841"/>
      <c r="AS793" s="842"/>
    </row>
    <row r="794" spans="1:45">
      <c r="A794" s="841"/>
      <c r="B794" s="841"/>
      <c r="C794" s="841"/>
      <c r="D794" s="841"/>
      <c r="E794" s="841"/>
      <c r="F794" s="841"/>
      <c r="G794" s="841"/>
      <c r="H794" s="841"/>
      <c r="I794" s="841"/>
      <c r="J794" s="841"/>
      <c r="K794" s="841"/>
      <c r="L794" s="841"/>
      <c r="M794" s="841"/>
      <c r="N794" s="841"/>
      <c r="O794" s="841"/>
      <c r="P794" s="841"/>
      <c r="Q794" s="841"/>
      <c r="R794" s="841"/>
      <c r="S794" s="841"/>
      <c r="T794" s="841"/>
      <c r="U794" s="841"/>
      <c r="V794" s="841"/>
      <c r="W794" s="841"/>
      <c r="X794" s="841"/>
      <c r="Y794" s="841"/>
      <c r="Z794" s="1226"/>
      <c r="AA794" s="1226"/>
      <c r="AB794" s="1226"/>
      <c r="AC794" s="1226"/>
      <c r="AD794" s="1226"/>
      <c r="AE794" s="1226"/>
      <c r="AF794" s="1226"/>
      <c r="AG794" s="1226"/>
      <c r="AH794" s="1226"/>
      <c r="AI794" s="841"/>
      <c r="AJ794" s="841"/>
      <c r="AK794" s="841"/>
      <c r="AL794" s="841"/>
      <c r="AM794" s="841"/>
      <c r="AN794" s="841"/>
      <c r="AO794" s="841"/>
      <c r="AP794" s="841"/>
      <c r="AQ794" s="841"/>
      <c r="AR794" s="841"/>
      <c r="AS794" s="842"/>
    </row>
    <row r="795" spans="1:45">
      <c r="A795" s="841"/>
      <c r="B795" s="841"/>
      <c r="C795" s="841"/>
      <c r="D795" s="841"/>
      <c r="E795" s="841"/>
      <c r="F795" s="841"/>
      <c r="G795" s="841"/>
      <c r="H795" s="841"/>
      <c r="I795" s="841"/>
      <c r="J795" s="841"/>
      <c r="K795" s="841"/>
      <c r="L795" s="841"/>
      <c r="M795" s="841"/>
      <c r="N795" s="841"/>
      <c r="O795" s="841"/>
      <c r="P795" s="841"/>
      <c r="Q795" s="841"/>
      <c r="R795" s="841"/>
      <c r="S795" s="841"/>
      <c r="T795" s="841"/>
      <c r="U795" s="841"/>
      <c r="V795" s="841"/>
      <c r="W795" s="841"/>
      <c r="X795" s="841"/>
      <c r="Y795" s="841"/>
      <c r="Z795" s="1226"/>
      <c r="AA795" s="1226"/>
      <c r="AB795" s="1226"/>
      <c r="AC795" s="1226"/>
      <c r="AD795" s="1226"/>
      <c r="AE795" s="1226"/>
      <c r="AF795" s="1226"/>
      <c r="AG795" s="1226"/>
      <c r="AH795" s="1226"/>
      <c r="AI795" s="841"/>
      <c r="AJ795" s="841"/>
      <c r="AK795" s="841"/>
      <c r="AL795" s="841"/>
      <c r="AM795" s="841"/>
      <c r="AN795" s="841"/>
      <c r="AO795" s="841"/>
      <c r="AP795" s="841"/>
      <c r="AQ795" s="841"/>
      <c r="AR795" s="841"/>
      <c r="AS795" s="842"/>
    </row>
    <row r="796" spans="1:45">
      <c r="A796" s="841"/>
      <c r="B796" s="841"/>
      <c r="C796" s="841"/>
      <c r="D796" s="841"/>
      <c r="E796" s="841"/>
      <c r="F796" s="841"/>
      <c r="G796" s="841"/>
      <c r="H796" s="841"/>
      <c r="I796" s="841"/>
      <c r="J796" s="841"/>
      <c r="K796" s="841"/>
      <c r="L796" s="841"/>
      <c r="M796" s="841"/>
      <c r="N796" s="841"/>
      <c r="O796" s="841"/>
      <c r="P796" s="841"/>
      <c r="Q796" s="841"/>
      <c r="R796" s="841"/>
      <c r="S796" s="841"/>
      <c r="T796" s="841"/>
      <c r="U796" s="841"/>
      <c r="V796" s="841"/>
      <c r="W796" s="841"/>
      <c r="X796" s="841"/>
      <c r="Y796" s="841"/>
      <c r="Z796" s="1226"/>
      <c r="AA796" s="1226"/>
      <c r="AB796" s="1226"/>
      <c r="AC796" s="1226"/>
      <c r="AD796" s="1226"/>
      <c r="AE796" s="1226"/>
      <c r="AF796" s="1226"/>
      <c r="AG796" s="1226"/>
      <c r="AH796" s="1226"/>
      <c r="AI796" s="841"/>
      <c r="AJ796" s="841"/>
      <c r="AK796" s="841"/>
      <c r="AL796" s="841"/>
      <c r="AM796" s="841"/>
      <c r="AN796" s="841"/>
      <c r="AO796" s="841"/>
      <c r="AP796" s="841"/>
      <c r="AQ796" s="841"/>
      <c r="AR796" s="841"/>
      <c r="AS796" s="842"/>
    </row>
    <row r="797" spans="1:45">
      <c r="A797" s="841"/>
      <c r="B797" s="841"/>
      <c r="C797" s="841"/>
      <c r="D797" s="841"/>
      <c r="E797" s="841"/>
      <c r="F797" s="841"/>
      <c r="G797" s="841"/>
      <c r="H797" s="841"/>
      <c r="I797" s="841"/>
      <c r="J797" s="841"/>
      <c r="K797" s="841"/>
      <c r="L797" s="841"/>
      <c r="M797" s="841"/>
      <c r="N797" s="841"/>
      <c r="O797" s="841"/>
      <c r="P797" s="841"/>
      <c r="Q797" s="841"/>
      <c r="R797" s="841"/>
      <c r="S797" s="841"/>
      <c r="T797" s="841"/>
      <c r="U797" s="841"/>
      <c r="V797" s="841"/>
      <c r="W797" s="841"/>
      <c r="X797" s="841"/>
      <c r="Y797" s="841"/>
      <c r="Z797" s="1226"/>
      <c r="AA797" s="1226"/>
      <c r="AB797" s="1226"/>
      <c r="AC797" s="1226"/>
      <c r="AD797" s="1226"/>
      <c r="AE797" s="1226"/>
      <c r="AF797" s="1226"/>
      <c r="AG797" s="1226"/>
      <c r="AH797" s="1226"/>
      <c r="AI797" s="841"/>
      <c r="AJ797" s="841"/>
      <c r="AK797" s="841"/>
      <c r="AL797" s="841"/>
      <c r="AM797" s="841"/>
      <c r="AN797" s="841"/>
      <c r="AO797" s="841"/>
      <c r="AP797" s="841"/>
      <c r="AQ797" s="841"/>
      <c r="AR797" s="841"/>
      <c r="AS797" s="842"/>
    </row>
    <row r="798" spans="1:45">
      <c r="A798" s="841"/>
      <c r="B798" s="841"/>
      <c r="C798" s="841"/>
      <c r="D798" s="841"/>
      <c r="E798" s="841"/>
      <c r="F798" s="841"/>
      <c r="G798" s="841"/>
      <c r="H798" s="841"/>
      <c r="I798" s="841"/>
      <c r="J798" s="841"/>
      <c r="K798" s="841"/>
      <c r="L798" s="841"/>
      <c r="M798" s="841"/>
      <c r="N798" s="841"/>
      <c r="O798" s="841"/>
      <c r="P798" s="841"/>
      <c r="Q798" s="841"/>
      <c r="R798" s="841"/>
      <c r="S798" s="841"/>
      <c r="T798" s="841"/>
      <c r="U798" s="841"/>
      <c r="V798" s="841"/>
      <c r="W798" s="841"/>
      <c r="X798" s="841"/>
      <c r="Y798" s="841"/>
      <c r="Z798" s="1226"/>
      <c r="AA798" s="1226"/>
      <c r="AB798" s="1226"/>
      <c r="AC798" s="1226"/>
      <c r="AD798" s="1226"/>
      <c r="AE798" s="1226"/>
      <c r="AF798" s="1226"/>
      <c r="AG798" s="1226"/>
      <c r="AH798" s="1226"/>
      <c r="AI798" s="841"/>
      <c r="AJ798" s="841"/>
      <c r="AK798" s="841"/>
      <c r="AL798" s="841"/>
      <c r="AM798" s="841"/>
      <c r="AN798" s="841"/>
      <c r="AO798" s="841"/>
      <c r="AP798" s="841"/>
      <c r="AQ798" s="841"/>
      <c r="AR798" s="841"/>
      <c r="AS798" s="842"/>
    </row>
    <row r="799" spans="1:45">
      <c r="A799" s="841"/>
      <c r="B799" s="841"/>
      <c r="C799" s="841"/>
      <c r="D799" s="841"/>
      <c r="E799" s="841"/>
      <c r="F799" s="841"/>
      <c r="G799" s="841"/>
      <c r="H799" s="841"/>
      <c r="I799" s="841"/>
      <c r="J799" s="841"/>
      <c r="K799" s="841"/>
      <c r="L799" s="841"/>
      <c r="M799" s="841"/>
      <c r="N799" s="841"/>
      <c r="O799" s="841"/>
      <c r="P799" s="841"/>
      <c r="Q799" s="841"/>
      <c r="R799" s="841"/>
      <c r="S799" s="841"/>
      <c r="T799" s="841"/>
      <c r="U799" s="841"/>
      <c r="V799" s="841"/>
      <c r="W799" s="841"/>
      <c r="X799" s="841"/>
      <c r="Y799" s="841"/>
      <c r="Z799" s="1226"/>
      <c r="AA799" s="1226"/>
      <c r="AB799" s="1226"/>
      <c r="AC799" s="1226"/>
      <c r="AD799" s="1226"/>
      <c r="AE799" s="1226"/>
      <c r="AF799" s="1226"/>
      <c r="AG799" s="1226"/>
      <c r="AH799" s="1226"/>
      <c r="AI799" s="841"/>
      <c r="AJ799" s="841"/>
      <c r="AK799" s="841"/>
      <c r="AL799" s="841"/>
      <c r="AM799" s="841"/>
      <c r="AN799" s="841"/>
      <c r="AO799" s="841"/>
      <c r="AP799" s="841"/>
      <c r="AQ799" s="841"/>
      <c r="AR799" s="841"/>
      <c r="AS799" s="842"/>
    </row>
    <row r="800" spans="1:45">
      <c r="A800" s="841"/>
      <c r="B800" s="841"/>
      <c r="C800" s="841"/>
      <c r="D800" s="841"/>
      <c r="E800" s="841"/>
      <c r="F800" s="841"/>
      <c r="G800" s="841"/>
      <c r="H800" s="841"/>
      <c r="I800" s="841"/>
      <c r="J800" s="841"/>
      <c r="K800" s="841"/>
      <c r="L800" s="841"/>
      <c r="M800" s="841"/>
      <c r="N800" s="841"/>
      <c r="O800" s="841"/>
      <c r="P800" s="841"/>
      <c r="Q800" s="841"/>
      <c r="R800" s="841"/>
      <c r="S800" s="841"/>
      <c r="T800" s="841"/>
      <c r="U800" s="841"/>
      <c r="V800" s="841"/>
      <c r="W800" s="841"/>
      <c r="X800" s="841"/>
      <c r="Y800" s="841"/>
      <c r="Z800" s="1226"/>
      <c r="AA800" s="1226"/>
      <c r="AB800" s="1226"/>
      <c r="AC800" s="1226"/>
      <c r="AD800" s="1226"/>
      <c r="AE800" s="1226"/>
      <c r="AF800" s="1226"/>
      <c r="AG800" s="1226"/>
      <c r="AH800" s="1226"/>
      <c r="AI800" s="841"/>
      <c r="AJ800" s="841"/>
      <c r="AK800" s="841"/>
      <c r="AL800" s="841"/>
      <c r="AM800" s="841"/>
      <c r="AN800" s="841"/>
      <c r="AO800" s="841"/>
      <c r="AP800" s="841"/>
      <c r="AQ800" s="841"/>
      <c r="AR800" s="841"/>
      <c r="AS800" s="842"/>
    </row>
    <row r="801" spans="1:45">
      <c r="A801" s="841"/>
      <c r="B801" s="841"/>
      <c r="C801" s="841"/>
      <c r="D801" s="841"/>
      <c r="E801" s="841"/>
      <c r="F801" s="841"/>
      <c r="G801" s="841"/>
      <c r="H801" s="841"/>
      <c r="I801" s="841"/>
      <c r="J801" s="841"/>
      <c r="K801" s="841"/>
      <c r="L801" s="841"/>
      <c r="M801" s="841"/>
      <c r="N801" s="841"/>
      <c r="O801" s="841"/>
      <c r="P801" s="841"/>
      <c r="Q801" s="841"/>
      <c r="R801" s="841"/>
      <c r="S801" s="841"/>
      <c r="T801" s="841"/>
      <c r="U801" s="841"/>
      <c r="V801" s="841"/>
      <c r="W801" s="841"/>
      <c r="X801" s="841"/>
      <c r="Y801" s="841"/>
      <c r="Z801" s="1226"/>
      <c r="AA801" s="1226"/>
      <c r="AB801" s="1226"/>
      <c r="AC801" s="1226"/>
      <c r="AD801" s="1226"/>
      <c r="AE801" s="1226"/>
      <c r="AF801" s="1226"/>
      <c r="AG801" s="1226"/>
      <c r="AH801" s="1226"/>
      <c r="AI801" s="841"/>
      <c r="AJ801" s="841"/>
      <c r="AK801" s="841"/>
      <c r="AL801" s="841"/>
      <c r="AM801" s="841"/>
      <c r="AN801" s="841"/>
      <c r="AO801" s="841"/>
      <c r="AP801" s="841"/>
      <c r="AQ801" s="841"/>
      <c r="AR801" s="841"/>
      <c r="AS801" s="842"/>
    </row>
    <row r="802" spans="1:45">
      <c r="A802" s="841"/>
      <c r="B802" s="841"/>
      <c r="C802" s="841"/>
      <c r="D802" s="841"/>
      <c r="E802" s="841"/>
      <c r="F802" s="841"/>
      <c r="G802" s="841"/>
      <c r="H802" s="841"/>
      <c r="I802" s="841"/>
      <c r="J802" s="841"/>
      <c r="K802" s="841"/>
      <c r="L802" s="841"/>
      <c r="M802" s="841"/>
      <c r="N802" s="841"/>
      <c r="O802" s="841"/>
      <c r="P802" s="841"/>
      <c r="Q802" s="841"/>
      <c r="R802" s="841"/>
      <c r="S802" s="841"/>
      <c r="T802" s="841"/>
      <c r="U802" s="841"/>
      <c r="V802" s="841"/>
      <c r="W802" s="841"/>
      <c r="X802" s="841"/>
      <c r="Y802" s="841"/>
      <c r="Z802" s="1226"/>
      <c r="AA802" s="1226"/>
      <c r="AB802" s="1226"/>
      <c r="AC802" s="1226"/>
      <c r="AD802" s="1226"/>
      <c r="AE802" s="1226"/>
      <c r="AF802" s="1226"/>
      <c r="AG802" s="1226"/>
      <c r="AH802" s="1226"/>
      <c r="AI802" s="841"/>
      <c r="AJ802" s="841"/>
      <c r="AK802" s="841"/>
      <c r="AL802" s="841"/>
      <c r="AM802" s="841"/>
      <c r="AN802" s="841"/>
      <c r="AO802" s="841"/>
      <c r="AP802" s="841"/>
      <c r="AQ802" s="841"/>
      <c r="AR802" s="841"/>
      <c r="AS802" s="842"/>
    </row>
    <row r="803" spans="1:45">
      <c r="A803" s="841"/>
      <c r="B803" s="841"/>
      <c r="C803" s="841"/>
      <c r="D803" s="841"/>
      <c r="E803" s="841"/>
      <c r="F803" s="841"/>
      <c r="G803" s="841"/>
      <c r="H803" s="841"/>
      <c r="I803" s="841"/>
      <c r="J803" s="841"/>
      <c r="K803" s="841"/>
      <c r="L803" s="841"/>
      <c r="M803" s="841"/>
      <c r="N803" s="841"/>
      <c r="O803" s="841"/>
      <c r="P803" s="841"/>
      <c r="Q803" s="841"/>
      <c r="R803" s="841"/>
      <c r="S803" s="841"/>
      <c r="T803" s="841"/>
      <c r="U803" s="841"/>
      <c r="V803" s="841"/>
      <c r="W803" s="841"/>
      <c r="X803" s="841"/>
      <c r="Y803" s="841"/>
      <c r="Z803" s="1226"/>
      <c r="AA803" s="1226"/>
      <c r="AB803" s="1226"/>
      <c r="AC803" s="1226"/>
      <c r="AD803" s="1226"/>
      <c r="AE803" s="1226"/>
      <c r="AF803" s="1226"/>
      <c r="AG803" s="1226"/>
      <c r="AH803" s="1226"/>
      <c r="AI803" s="841"/>
      <c r="AJ803" s="841"/>
      <c r="AK803" s="841"/>
      <c r="AL803" s="841"/>
      <c r="AM803" s="841"/>
      <c r="AN803" s="841"/>
      <c r="AO803" s="841"/>
      <c r="AP803" s="841"/>
      <c r="AQ803" s="841"/>
      <c r="AR803" s="841"/>
      <c r="AS803" s="842"/>
    </row>
    <row r="804" spans="1:45">
      <c r="A804" s="841"/>
      <c r="B804" s="841"/>
      <c r="C804" s="841"/>
      <c r="D804" s="841"/>
      <c r="E804" s="841"/>
      <c r="F804" s="841"/>
      <c r="G804" s="841"/>
      <c r="H804" s="841"/>
      <c r="I804" s="841"/>
      <c r="J804" s="841"/>
      <c r="K804" s="841"/>
      <c r="L804" s="841"/>
      <c r="M804" s="841"/>
      <c r="N804" s="841"/>
      <c r="O804" s="841"/>
      <c r="P804" s="841"/>
      <c r="Q804" s="841"/>
      <c r="R804" s="841"/>
      <c r="S804" s="841"/>
      <c r="T804" s="841"/>
      <c r="U804" s="841"/>
      <c r="V804" s="841"/>
      <c r="W804" s="841"/>
      <c r="X804" s="841"/>
      <c r="Y804" s="841"/>
      <c r="Z804" s="1226"/>
      <c r="AA804" s="1226"/>
      <c r="AB804" s="1226"/>
      <c r="AC804" s="1226"/>
      <c r="AD804" s="1226"/>
      <c r="AE804" s="1226"/>
      <c r="AF804" s="1226"/>
      <c r="AG804" s="1226"/>
      <c r="AH804" s="1226"/>
      <c r="AI804" s="841"/>
      <c r="AJ804" s="841"/>
      <c r="AK804" s="841"/>
      <c r="AL804" s="841"/>
      <c r="AM804" s="841"/>
      <c r="AN804" s="841"/>
      <c r="AO804" s="841"/>
      <c r="AP804" s="841"/>
      <c r="AQ804" s="841"/>
      <c r="AR804" s="841"/>
      <c r="AS804" s="842"/>
    </row>
    <row r="805" spans="1:45">
      <c r="A805" s="841"/>
      <c r="B805" s="841"/>
      <c r="C805" s="841"/>
      <c r="D805" s="841"/>
      <c r="E805" s="841"/>
      <c r="F805" s="841"/>
      <c r="G805" s="841"/>
      <c r="H805" s="841"/>
      <c r="I805" s="841"/>
      <c r="J805" s="841"/>
      <c r="K805" s="841"/>
      <c r="L805" s="841"/>
      <c r="M805" s="841"/>
      <c r="N805" s="841"/>
      <c r="O805" s="841"/>
      <c r="P805" s="841"/>
      <c r="Q805" s="841"/>
      <c r="R805" s="841"/>
      <c r="S805" s="841"/>
      <c r="T805" s="841"/>
      <c r="U805" s="841"/>
      <c r="V805" s="841"/>
      <c r="W805" s="841"/>
      <c r="X805" s="841"/>
      <c r="Y805" s="841"/>
      <c r="Z805" s="1226"/>
      <c r="AA805" s="1226"/>
      <c r="AB805" s="1226"/>
      <c r="AC805" s="1226"/>
      <c r="AD805" s="1226"/>
      <c r="AE805" s="1226"/>
      <c r="AF805" s="1226"/>
      <c r="AG805" s="1226"/>
      <c r="AH805" s="1226"/>
      <c r="AI805" s="841"/>
      <c r="AJ805" s="841"/>
      <c r="AK805" s="841"/>
      <c r="AL805" s="841"/>
      <c r="AM805" s="841"/>
      <c r="AN805" s="841"/>
      <c r="AO805" s="841"/>
      <c r="AP805" s="841"/>
      <c r="AQ805" s="841"/>
      <c r="AR805" s="841"/>
      <c r="AS805" s="842"/>
    </row>
    <row r="806" spans="1:45">
      <c r="A806" s="841"/>
      <c r="B806" s="841"/>
      <c r="C806" s="841"/>
      <c r="D806" s="841"/>
      <c r="E806" s="841"/>
      <c r="F806" s="841"/>
      <c r="G806" s="841"/>
      <c r="H806" s="841"/>
      <c r="I806" s="841"/>
      <c r="J806" s="841"/>
      <c r="K806" s="841"/>
      <c r="L806" s="841"/>
      <c r="M806" s="841"/>
      <c r="N806" s="841"/>
      <c r="O806" s="841"/>
      <c r="P806" s="841"/>
      <c r="Q806" s="841"/>
      <c r="R806" s="841"/>
      <c r="S806" s="841"/>
      <c r="T806" s="841"/>
      <c r="U806" s="841"/>
      <c r="V806" s="841"/>
      <c r="W806" s="841"/>
      <c r="X806" s="841"/>
      <c r="Y806" s="841"/>
      <c r="Z806" s="1226"/>
      <c r="AA806" s="1226"/>
      <c r="AB806" s="1226"/>
      <c r="AC806" s="1226"/>
      <c r="AD806" s="1226"/>
      <c r="AE806" s="1226"/>
      <c r="AF806" s="1226"/>
      <c r="AG806" s="1226"/>
      <c r="AH806" s="1226"/>
      <c r="AI806" s="841"/>
      <c r="AJ806" s="841"/>
      <c r="AK806" s="841"/>
      <c r="AL806" s="841"/>
      <c r="AM806" s="841"/>
      <c r="AN806" s="841"/>
      <c r="AO806" s="841"/>
      <c r="AP806" s="841"/>
      <c r="AQ806" s="841"/>
      <c r="AR806" s="841"/>
      <c r="AS806" s="842"/>
    </row>
    <row r="807" spans="1:45">
      <c r="A807" s="841"/>
      <c r="B807" s="841"/>
      <c r="C807" s="841"/>
      <c r="D807" s="841"/>
      <c r="E807" s="841"/>
      <c r="F807" s="841"/>
      <c r="G807" s="841"/>
      <c r="H807" s="841"/>
      <c r="I807" s="841"/>
      <c r="J807" s="841"/>
      <c r="K807" s="841"/>
      <c r="L807" s="841"/>
      <c r="M807" s="841"/>
      <c r="N807" s="841"/>
      <c r="O807" s="841"/>
      <c r="P807" s="841"/>
      <c r="Q807" s="841"/>
      <c r="R807" s="841"/>
      <c r="S807" s="841"/>
      <c r="T807" s="841"/>
      <c r="U807" s="841"/>
      <c r="V807" s="841"/>
      <c r="W807" s="841"/>
      <c r="X807" s="841"/>
      <c r="Y807" s="841"/>
      <c r="Z807" s="1226"/>
      <c r="AA807" s="1226"/>
      <c r="AB807" s="1226"/>
      <c r="AC807" s="1226"/>
      <c r="AD807" s="1226"/>
      <c r="AE807" s="1226"/>
      <c r="AF807" s="1226"/>
      <c r="AG807" s="1226"/>
      <c r="AH807" s="1226"/>
      <c r="AI807" s="841"/>
      <c r="AJ807" s="841"/>
      <c r="AK807" s="841"/>
      <c r="AL807" s="841"/>
      <c r="AM807" s="841"/>
      <c r="AN807" s="841"/>
      <c r="AO807" s="841"/>
      <c r="AP807" s="841"/>
      <c r="AQ807" s="841"/>
      <c r="AR807" s="841"/>
      <c r="AS807" s="842"/>
    </row>
    <row r="808" spans="1:45">
      <c r="A808" s="841"/>
      <c r="B808" s="841"/>
      <c r="C808" s="841"/>
      <c r="D808" s="841"/>
      <c r="E808" s="841"/>
      <c r="F808" s="841"/>
      <c r="G808" s="841"/>
      <c r="H808" s="841"/>
      <c r="I808" s="841"/>
      <c r="J808" s="841"/>
      <c r="K808" s="841"/>
      <c r="L808" s="841"/>
      <c r="M808" s="841"/>
      <c r="N808" s="841"/>
      <c r="O808" s="841"/>
      <c r="P808" s="841"/>
      <c r="Q808" s="841"/>
      <c r="R808" s="841"/>
      <c r="S808" s="841"/>
      <c r="T808" s="841"/>
      <c r="U808" s="841"/>
      <c r="V808" s="841"/>
      <c r="W808" s="841"/>
      <c r="X808" s="841"/>
      <c r="Y808" s="841"/>
      <c r="Z808" s="1226"/>
      <c r="AA808" s="1226"/>
      <c r="AB808" s="1226"/>
      <c r="AC808" s="1226"/>
      <c r="AD808" s="1226"/>
      <c r="AE808" s="1226"/>
      <c r="AF808" s="1226"/>
      <c r="AG808" s="1226"/>
      <c r="AH808" s="1226"/>
      <c r="AI808" s="841"/>
      <c r="AJ808" s="841"/>
      <c r="AK808" s="841"/>
      <c r="AL808" s="841"/>
      <c r="AM808" s="841"/>
      <c r="AN808" s="841"/>
      <c r="AO808" s="841"/>
      <c r="AP808" s="841"/>
      <c r="AQ808" s="841"/>
      <c r="AR808" s="841"/>
      <c r="AS808" s="842"/>
    </row>
    <row r="809" spans="1:45">
      <c r="A809" s="841"/>
      <c r="B809" s="841"/>
      <c r="C809" s="841"/>
      <c r="D809" s="841"/>
      <c r="E809" s="841"/>
      <c r="F809" s="841"/>
      <c r="G809" s="841"/>
      <c r="H809" s="841"/>
      <c r="I809" s="841"/>
      <c r="J809" s="841"/>
      <c r="K809" s="841"/>
      <c r="L809" s="841"/>
      <c r="M809" s="841"/>
      <c r="N809" s="841"/>
      <c r="O809" s="841"/>
      <c r="P809" s="841"/>
      <c r="Q809" s="841"/>
      <c r="R809" s="841"/>
      <c r="S809" s="841"/>
      <c r="T809" s="841"/>
      <c r="U809" s="841"/>
      <c r="V809" s="841"/>
      <c r="W809" s="841"/>
      <c r="X809" s="841"/>
      <c r="Y809" s="841"/>
      <c r="Z809" s="1226"/>
      <c r="AA809" s="1226"/>
      <c r="AB809" s="1226"/>
      <c r="AC809" s="1226"/>
      <c r="AD809" s="1226"/>
      <c r="AE809" s="1226"/>
      <c r="AF809" s="1226"/>
      <c r="AG809" s="1226"/>
      <c r="AH809" s="1226"/>
      <c r="AI809" s="841"/>
      <c r="AJ809" s="841"/>
      <c r="AK809" s="841"/>
      <c r="AL809" s="841"/>
      <c r="AM809" s="841"/>
      <c r="AN809" s="841"/>
      <c r="AO809" s="841"/>
      <c r="AP809" s="841"/>
      <c r="AQ809" s="841"/>
      <c r="AR809" s="841"/>
      <c r="AS809" s="842"/>
    </row>
    <row r="810" spans="1:45">
      <c r="A810" s="841"/>
      <c r="B810" s="841"/>
      <c r="C810" s="841"/>
      <c r="D810" s="841"/>
      <c r="E810" s="841"/>
      <c r="F810" s="841"/>
      <c r="G810" s="841"/>
      <c r="H810" s="841"/>
      <c r="I810" s="841"/>
      <c r="J810" s="841"/>
      <c r="K810" s="841"/>
      <c r="L810" s="841"/>
      <c r="M810" s="841"/>
      <c r="N810" s="841"/>
      <c r="O810" s="841"/>
      <c r="P810" s="841"/>
      <c r="Q810" s="841"/>
      <c r="R810" s="841"/>
      <c r="S810" s="841"/>
      <c r="T810" s="841"/>
      <c r="U810" s="841"/>
      <c r="V810" s="841"/>
      <c r="W810" s="841"/>
      <c r="X810" s="841"/>
      <c r="Y810" s="841"/>
      <c r="Z810" s="1226"/>
      <c r="AA810" s="1226"/>
      <c r="AB810" s="1226"/>
      <c r="AC810" s="1226"/>
      <c r="AD810" s="1226"/>
      <c r="AE810" s="1226"/>
      <c r="AF810" s="1226"/>
      <c r="AG810" s="1226"/>
      <c r="AH810" s="1226"/>
      <c r="AI810" s="841"/>
      <c r="AJ810" s="841"/>
      <c r="AK810" s="841"/>
      <c r="AL810" s="841"/>
      <c r="AM810" s="841"/>
      <c r="AN810" s="841"/>
      <c r="AO810" s="841"/>
      <c r="AP810" s="841"/>
      <c r="AQ810" s="841"/>
      <c r="AR810" s="841"/>
      <c r="AS810" s="842"/>
    </row>
    <row r="811" spans="1:45">
      <c r="A811" s="841"/>
      <c r="B811" s="841"/>
      <c r="C811" s="841"/>
      <c r="D811" s="841"/>
      <c r="E811" s="841"/>
      <c r="F811" s="841"/>
      <c r="G811" s="841"/>
      <c r="H811" s="841"/>
      <c r="I811" s="841"/>
      <c r="J811" s="841"/>
      <c r="K811" s="841"/>
      <c r="L811" s="841"/>
      <c r="M811" s="841"/>
      <c r="N811" s="841"/>
      <c r="O811" s="841"/>
      <c r="P811" s="841"/>
      <c r="Q811" s="841"/>
      <c r="R811" s="841"/>
      <c r="S811" s="841"/>
      <c r="T811" s="841"/>
      <c r="U811" s="841"/>
      <c r="V811" s="841"/>
      <c r="W811" s="841"/>
      <c r="X811" s="841"/>
      <c r="Y811" s="841"/>
      <c r="Z811" s="1226"/>
      <c r="AA811" s="1226"/>
      <c r="AB811" s="1226"/>
      <c r="AC811" s="1226"/>
      <c r="AD811" s="1226"/>
      <c r="AE811" s="1226"/>
      <c r="AF811" s="1226"/>
      <c r="AG811" s="1226"/>
      <c r="AH811" s="1226"/>
      <c r="AI811" s="841"/>
      <c r="AJ811" s="841"/>
      <c r="AK811" s="841"/>
      <c r="AL811" s="841"/>
      <c r="AM811" s="841"/>
      <c r="AN811" s="841"/>
      <c r="AO811" s="841"/>
      <c r="AP811" s="841"/>
      <c r="AQ811" s="841"/>
      <c r="AR811" s="841"/>
      <c r="AS811" s="842"/>
    </row>
    <row r="812" spans="1:45">
      <c r="A812" s="841"/>
      <c r="B812" s="841"/>
      <c r="C812" s="841"/>
      <c r="D812" s="841"/>
      <c r="E812" s="841"/>
      <c r="F812" s="841"/>
      <c r="G812" s="841"/>
      <c r="H812" s="841"/>
      <c r="I812" s="841"/>
      <c r="J812" s="841"/>
      <c r="K812" s="841"/>
      <c r="L812" s="841"/>
      <c r="M812" s="841"/>
      <c r="N812" s="841"/>
      <c r="O812" s="841"/>
      <c r="P812" s="841"/>
      <c r="Q812" s="841"/>
      <c r="R812" s="841"/>
      <c r="S812" s="841"/>
      <c r="T812" s="841"/>
      <c r="U812" s="841"/>
      <c r="V812" s="841"/>
      <c r="W812" s="841"/>
      <c r="X812" s="841"/>
      <c r="Y812" s="841"/>
      <c r="Z812" s="1226"/>
      <c r="AA812" s="1226"/>
      <c r="AB812" s="1226"/>
      <c r="AC812" s="1226"/>
      <c r="AD812" s="1226"/>
      <c r="AE812" s="1226"/>
      <c r="AF812" s="1226"/>
      <c r="AG812" s="1226"/>
      <c r="AH812" s="1226"/>
      <c r="AI812" s="841"/>
      <c r="AJ812" s="841"/>
      <c r="AK812" s="841"/>
      <c r="AL812" s="841"/>
      <c r="AM812" s="841"/>
      <c r="AN812" s="841"/>
      <c r="AO812" s="841"/>
      <c r="AP812" s="841"/>
      <c r="AQ812" s="841"/>
      <c r="AR812" s="841"/>
      <c r="AS812" s="842"/>
    </row>
    <row r="813" spans="1:45">
      <c r="A813" s="841"/>
      <c r="B813" s="841"/>
      <c r="C813" s="841"/>
      <c r="D813" s="841"/>
      <c r="E813" s="841"/>
      <c r="F813" s="841"/>
      <c r="G813" s="841"/>
      <c r="H813" s="841"/>
      <c r="I813" s="841"/>
      <c r="J813" s="841"/>
      <c r="K813" s="841"/>
      <c r="L813" s="841"/>
      <c r="M813" s="841"/>
      <c r="N813" s="841"/>
      <c r="O813" s="841"/>
      <c r="P813" s="841"/>
      <c r="Q813" s="841"/>
      <c r="R813" s="841"/>
      <c r="S813" s="841"/>
      <c r="T813" s="841"/>
      <c r="U813" s="841"/>
      <c r="V813" s="841"/>
      <c r="W813" s="841"/>
      <c r="X813" s="841"/>
      <c r="Y813" s="841"/>
      <c r="Z813" s="1226"/>
      <c r="AA813" s="1226"/>
      <c r="AB813" s="1226"/>
      <c r="AC813" s="1226"/>
      <c r="AD813" s="1226"/>
      <c r="AE813" s="1226"/>
      <c r="AF813" s="1226"/>
      <c r="AG813" s="1226"/>
      <c r="AH813" s="1226"/>
      <c r="AI813" s="841"/>
      <c r="AJ813" s="841"/>
      <c r="AK813" s="841"/>
      <c r="AL813" s="841"/>
      <c r="AM813" s="841"/>
      <c r="AN813" s="841"/>
      <c r="AO813" s="841"/>
      <c r="AP813" s="841"/>
      <c r="AQ813" s="841"/>
      <c r="AR813" s="841"/>
      <c r="AS813" s="842"/>
    </row>
    <row r="814" spans="1:45">
      <c r="A814" s="841"/>
      <c r="B814" s="841"/>
      <c r="C814" s="841"/>
      <c r="D814" s="841"/>
      <c r="E814" s="841"/>
      <c r="F814" s="841"/>
      <c r="G814" s="841"/>
      <c r="H814" s="841"/>
      <c r="I814" s="841"/>
      <c r="J814" s="841"/>
      <c r="K814" s="841"/>
      <c r="L814" s="841"/>
      <c r="M814" s="841"/>
      <c r="N814" s="841"/>
      <c r="O814" s="841"/>
      <c r="P814" s="841"/>
      <c r="Q814" s="841"/>
      <c r="R814" s="841"/>
      <c r="S814" s="841"/>
      <c r="T814" s="841"/>
      <c r="U814" s="841"/>
      <c r="V814" s="841"/>
      <c r="W814" s="841"/>
      <c r="X814" s="841"/>
      <c r="Y814" s="841"/>
      <c r="Z814" s="1226"/>
      <c r="AA814" s="1226"/>
      <c r="AB814" s="1226"/>
      <c r="AC814" s="1226"/>
      <c r="AD814" s="1226"/>
      <c r="AE814" s="1226"/>
      <c r="AF814" s="1226"/>
      <c r="AG814" s="1226"/>
      <c r="AH814" s="1226"/>
      <c r="AI814" s="841"/>
      <c r="AJ814" s="841"/>
      <c r="AK814" s="841"/>
      <c r="AL814" s="841"/>
      <c r="AM814" s="841"/>
      <c r="AN814" s="841"/>
      <c r="AO814" s="841"/>
      <c r="AP814" s="841"/>
      <c r="AQ814" s="841"/>
      <c r="AR814" s="841"/>
      <c r="AS814" s="842"/>
    </row>
    <row r="815" spans="1:45">
      <c r="A815" s="841"/>
      <c r="B815" s="841"/>
      <c r="C815" s="841"/>
      <c r="D815" s="841"/>
      <c r="E815" s="841"/>
      <c r="F815" s="841"/>
      <c r="G815" s="841"/>
      <c r="H815" s="841"/>
      <c r="I815" s="841"/>
      <c r="J815" s="841"/>
      <c r="K815" s="841"/>
      <c r="L815" s="841"/>
      <c r="M815" s="841"/>
      <c r="N815" s="841"/>
      <c r="O815" s="841"/>
      <c r="P815" s="841"/>
      <c r="Q815" s="841"/>
      <c r="R815" s="841"/>
      <c r="S815" s="841"/>
      <c r="T815" s="841"/>
      <c r="U815" s="841"/>
      <c r="V815" s="841"/>
      <c r="W815" s="841"/>
      <c r="X815" s="841"/>
      <c r="Y815" s="841"/>
      <c r="Z815" s="1226"/>
      <c r="AA815" s="1226"/>
      <c r="AB815" s="1226"/>
      <c r="AC815" s="1226"/>
      <c r="AD815" s="1226"/>
      <c r="AE815" s="1226"/>
      <c r="AF815" s="1226"/>
      <c r="AG815" s="1226"/>
      <c r="AH815" s="1226"/>
      <c r="AI815" s="841"/>
      <c r="AJ815" s="841"/>
      <c r="AK815" s="841"/>
      <c r="AL815" s="841"/>
      <c r="AM815" s="841"/>
      <c r="AN815" s="841"/>
      <c r="AO815" s="841"/>
      <c r="AP815" s="841"/>
      <c r="AQ815" s="841"/>
      <c r="AR815" s="841"/>
      <c r="AS815" s="842"/>
    </row>
    <row r="816" spans="1:45">
      <c r="A816" s="841"/>
      <c r="B816" s="841"/>
      <c r="C816" s="841"/>
      <c r="D816" s="841"/>
      <c r="E816" s="841"/>
      <c r="F816" s="841"/>
      <c r="G816" s="841"/>
      <c r="H816" s="841"/>
      <c r="I816" s="841"/>
      <c r="J816" s="841"/>
      <c r="K816" s="841"/>
      <c r="L816" s="841"/>
      <c r="M816" s="841"/>
      <c r="N816" s="841"/>
      <c r="O816" s="841"/>
      <c r="P816" s="841"/>
      <c r="Q816" s="841"/>
      <c r="R816" s="841"/>
      <c r="S816" s="841"/>
      <c r="T816" s="841"/>
      <c r="U816" s="841"/>
      <c r="V816" s="841"/>
      <c r="W816" s="841"/>
      <c r="X816" s="841"/>
      <c r="Y816" s="841"/>
      <c r="Z816" s="1226"/>
      <c r="AA816" s="1226"/>
      <c r="AB816" s="1226"/>
      <c r="AC816" s="1226"/>
      <c r="AD816" s="1226"/>
      <c r="AE816" s="1226"/>
      <c r="AF816" s="1226"/>
      <c r="AG816" s="1226"/>
      <c r="AH816" s="1226"/>
      <c r="AI816" s="841"/>
      <c r="AJ816" s="841"/>
      <c r="AK816" s="841"/>
      <c r="AL816" s="841"/>
      <c r="AM816" s="841"/>
      <c r="AN816" s="841"/>
      <c r="AO816" s="841"/>
      <c r="AP816" s="841"/>
      <c r="AQ816" s="841"/>
      <c r="AR816" s="841"/>
      <c r="AS816" s="842"/>
    </row>
    <row r="817" spans="1:45">
      <c r="A817" s="841"/>
      <c r="B817" s="841"/>
      <c r="C817" s="841"/>
      <c r="D817" s="841"/>
      <c r="E817" s="841"/>
      <c r="F817" s="841"/>
      <c r="G817" s="841"/>
      <c r="H817" s="841"/>
      <c r="I817" s="841"/>
      <c r="J817" s="841"/>
      <c r="K817" s="841"/>
      <c r="L817" s="841"/>
      <c r="M817" s="841"/>
      <c r="N817" s="841"/>
      <c r="O817" s="841"/>
      <c r="P817" s="841"/>
      <c r="Q817" s="841"/>
      <c r="R817" s="841"/>
      <c r="S817" s="841"/>
      <c r="T817" s="841"/>
      <c r="U817" s="841"/>
      <c r="V817" s="841"/>
      <c r="W817" s="841"/>
      <c r="X817" s="841"/>
      <c r="Y817" s="841"/>
      <c r="Z817" s="1226"/>
      <c r="AA817" s="1226"/>
      <c r="AB817" s="1226"/>
      <c r="AC817" s="1226"/>
      <c r="AD817" s="1226"/>
      <c r="AE817" s="1226"/>
      <c r="AF817" s="1226"/>
      <c r="AG817" s="1226"/>
      <c r="AH817" s="1226"/>
      <c r="AI817" s="841"/>
      <c r="AJ817" s="841"/>
      <c r="AK817" s="841"/>
      <c r="AL817" s="841"/>
      <c r="AM817" s="841"/>
      <c r="AN817" s="841"/>
      <c r="AO817" s="841"/>
      <c r="AP817" s="841"/>
      <c r="AQ817" s="841"/>
      <c r="AR817" s="841"/>
      <c r="AS817" s="842"/>
    </row>
    <row r="818" spans="1:45">
      <c r="A818" s="841"/>
      <c r="B818" s="841"/>
      <c r="C818" s="841"/>
      <c r="D818" s="841"/>
      <c r="E818" s="841"/>
      <c r="F818" s="841"/>
      <c r="G818" s="841"/>
      <c r="H818" s="841"/>
      <c r="I818" s="841"/>
      <c r="J818" s="841"/>
      <c r="K818" s="841"/>
      <c r="L818" s="841"/>
      <c r="M818" s="841"/>
      <c r="N818" s="841"/>
      <c r="O818" s="841"/>
      <c r="P818" s="841"/>
      <c r="Q818" s="841"/>
      <c r="R818" s="841"/>
      <c r="S818" s="841"/>
      <c r="T818" s="841"/>
      <c r="U818" s="841"/>
      <c r="V818" s="841"/>
      <c r="W818" s="841"/>
      <c r="X818" s="841"/>
      <c r="Y818" s="841"/>
      <c r="Z818" s="1226"/>
      <c r="AA818" s="1226"/>
      <c r="AB818" s="1226"/>
      <c r="AC818" s="1226"/>
      <c r="AD818" s="1226"/>
      <c r="AE818" s="1226"/>
      <c r="AF818" s="1226"/>
      <c r="AG818" s="1226"/>
      <c r="AH818" s="1226"/>
      <c r="AI818" s="841"/>
      <c r="AJ818" s="841"/>
      <c r="AK818" s="841"/>
      <c r="AL818" s="841"/>
      <c r="AM818" s="841"/>
      <c r="AN818" s="841"/>
      <c r="AO818" s="841"/>
      <c r="AP818" s="841"/>
      <c r="AQ818" s="841"/>
      <c r="AR818" s="841"/>
      <c r="AS818" s="842"/>
    </row>
    <row r="819" spans="1:45">
      <c r="A819" s="841"/>
      <c r="B819" s="841"/>
      <c r="C819" s="841"/>
      <c r="D819" s="841"/>
      <c r="E819" s="841"/>
      <c r="F819" s="841"/>
      <c r="G819" s="841"/>
      <c r="H819" s="841"/>
      <c r="I819" s="841"/>
      <c r="J819" s="841"/>
      <c r="K819" s="841"/>
      <c r="L819" s="841"/>
      <c r="M819" s="841"/>
      <c r="N819" s="841"/>
      <c r="O819" s="841"/>
      <c r="P819" s="841"/>
      <c r="Q819" s="841"/>
      <c r="R819" s="841"/>
      <c r="S819" s="841"/>
      <c r="T819" s="841"/>
      <c r="U819" s="841"/>
      <c r="V819" s="841"/>
      <c r="W819" s="841"/>
      <c r="X819" s="841"/>
      <c r="Y819" s="841"/>
      <c r="Z819" s="1226"/>
      <c r="AA819" s="1226"/>
      <c r="AB819" s="1226"/>
      <c r="AC819" s="1226"/>
      <c r="AD819" s="1226"/>
      <c r="AE819" s="1226"/>
      <c r="AF819" s="1226"/>
      <c r="AG819" s="1226"/>
      <c r="AH819" s="1226"/>
      <c r="AI819" s="841"/>
      <c r="AJ819" s="841"/>
      <c r="AK819" s="841"/>
      <c r="AL819" s="841"/>
      <c r="AM819" s="841"/>
      <c r="AN819" s="841"/>
      <c r="AO819" s="841"/>
      <c r="AP819" s="841"/>
      <c r="AQ819" s="841"/>
      <c r="AR819" s="841"/>
      <c r="AS819" s="842"/>
    </row>
    <row r="820" spans="1:45">
      <c r="A820" s="841"/>
      <c r="B820" s="841"/>
      <c r="C820" s="841"/>
      <c r="D820" s="841"/>
      <c r="E820" s="841"/>
      <c r="F820" s="841"/>
      <c r="G820" s="841"/>
      <c r="H820" s="841"/>
      <c r="I820" s="841"/>
      <c r="J820" s="841"/>
      <c r="K820" s="841"/>
      <c r="L820" s="841"/>
      <c r="M820" s="841"/>
      <c r="N820" s="841"/>
      <c r="O820" s="841"/>
      <c r="P820" s="841"/>
      <c r="Q820" s="841"/>
      <c r="R820" s="841"/>
      <c r="S820" s="841"/>
      <c r="T820" s="841"/>
      <c r="U820" s="841"/>
      <c r="V820" s="841"/>
      <c r="W820" s="841"/>
      <c r="X820" s="841"/>
      <c r="Y820" s="841"/>
      <c r="Z820" s="1226"/>
      <c r="AA820" s="1226"/>
      <c r="AB820" s="1226"/>
      <c r="AC820" s="1226"/>
      <c r="AD820" s="1226"/>
      <c r="AE820" s="1226"/>
      <c r="AF820" s="1226"/>
      <c r="AG820" s="1226"/>
      <c r="AH820" s="1226"/>
      <c r="AI820" s="841"/>
      <c r="AJ820" s="841"/>
      <c r="AK820" s="841"/>
      <c r="AL820" s="841"/>
      <c r="AM820" s="841"/>
      <c r="AN820" s="841"/>
      <c r="AO820" s="841"/>
      <c r="AP820" s="841"/>
      <c r="AQ820" s="841"/>
      <c r="AR820" s="841"/>
      <c r="AS820" s="842"/>
    </row>
    <row r="821" spans="1:45">
      <c r="A821" s="841"/>
      <c r="B821" s="841"/>
      <c r="C821" s="841"/>
      <c r="D821" s="841"/>
      <c r="E821" s="841"/>
      <c r="F821" s="841"/>
      <c r="G821" s="841"/>
      <c r="H821" s="841"/>
      <c r="I821" s="841"/>
      <c r="J821" s="841"/>
      <c r="K821" s="841"/>
      <c r="L821" s="841"/>
      <c r="M821" s="841"/>
      <c r="N821" s="841"/>
      <c r="O821" s="841"/>
      <c r="P821" s="841"/>
      <c r="Q821" s="841"/>
      <c r="R821" s="841"/>
      <c r="S821" s="841"/>
      <c r="T821" s="841"/>
      <c r="U821" s="841"/>
      <c r="V821" s="841"/>
      <c r="W821" s="841"/>
      <c r="X821" s="841"/>
      <c r="Y821" s="841"/>
      <c r="Z821" s="1226"/>
      <c r="AA821" s="1226"/>
      <c r="AB821" s="1226"/>
      <c r="AC821" s="1226"/>
      <c r="AD821" s="1226"/>
      <c r="AE821" s="1226"/>
      <c r="AF821" s="1226"/>
      <c r="AG821" s="1226"/>
      <c r="AH821" s="1226"/>
      <c r="AI821" s="841"/>
      <c r="AJ821" s="841"/>
      <c r="AK821" s="841"/>
      <c r="AL821" s="841"/>
      <c r="AM821" s="841"/>
      <c r="AN821" s="841"/>
      <c r="AO821" s="841"/>
      <c r="AP821" s="841"/>
      <c r="AQ821" s="841"/>
      <c r="AR821" s="841"/>
      <c r="AS821" s="842"/>
    </row>
    <row r="822" spans="1:45">
      <c r="A822" s="841"/>
      <c r="B822" s="841"/>
      <c r="C822" s="841"/>
      <c r="D822" s="841"/>
      <c r="E822" s="841"/>
      <c r="F822" s="841"/>
      <c r="G822" s="841"/>
      <c r="H822" s="841"/>
      <c r="I822" s="841"/>
      <c r="J822" s="841"/>
      <c r="K822" s="841"/>
      <c r="L822" s="841"/>
      <c r="M822" s="841"/>
      <c r="N822" s="841"/>
      <c r="O822" s="841"/>
      <c r="P822" s="841"/>
      <c r="Q822" s="841"/>
      <c r="R822" s="841"/>
      <c r="S822" s="841"/>
      <c r="T822" s="841"/>
      <c r="U822" s="841"/>
      <c r="V822" s="841"/>
      <c r="W822" s="841"/>
      <c r="X822" s="841"/>
      <c r="Y822" s="841"/>
      <c r="Z822" s="1226"/>
      <c r="AA822" s="1226"/>
      <c r="AB822" s="1226"/>
      <c r="AC822" s="1226"/>
      <c r="AD822" s="1226"/>
      <c r="AE822" s="1226"/>
      <c r="AF822" s="1226"/>
      <c r="AG822" s="1226"/>
      <c r="AH822" s="1226"/>
      <c r="AI822" s="841"/>
      <c r="AJ822" s="841"/>
      <c r="AK822" s="841"/>
      <c r="AL822" s="841"/>
      <c r="AM822" s="841"/>
      <c r="AN822" s="841"/>
      <c r="AO822" s="841"/>
      <c r="AP822" s="841"/>
      <c r="AQ822" s="841"/>
      <c r="AR822" s="841"/>
      <c r="AS822" s="842"/>
    </row>
    <row r="823" spans="1:45">
      <c r="A823" s="841"/>
      <c r="B823" s="841"/>
      <c r="C823" s="841"/>
      <c r="D823" s="841"/>
      <c r="E823" s="841"/>
      <c r="F823" s="841"/>
      <c r="G823" s="841"/>
      <c r="H823" s="841"/>
      <c r="I823" s="841"/>
      <c r="J823" s="841"/>
      <c r="K823" s="841"/>
      <c r="L823" s="841"/>
      <c r="M823" s="841"/>
      <c r="N823" s="841"/>
      <c r="O823" s="841"/>
      <c r="P823" s="841"/>
      <c r="Q823" s="841"/>
      <c r="R823" s="841"/>
      <c r="S823" s="841"/>
      <c r="T823" s="841"/>
      <c r="U823" s="841"/>
      <c r="V823" s="841"/>
      <c r="W823" s="841"/>
      <c r="X823" s="841"/>
      <c r="Y823" s="841"/>
      <c r="Z823" s="1226"/>
      <c r="AA823" s="1226"/>
      <c r="AB823" s="1226"/>
      <c r="AC823" s="1226"/>
      <c r="AD823" s="1226"/>
      <c r="AE823" s="1226"/>
      <c r="AF823" s="1226"/>
      <c r="AG823" s="1226"/>
      <c r="AH823" s="1226"/>
      <c r="AI823" s="841"/>
      <c r="AJ823" s="841"/>
      <c r="AK823" s="841"/>
      <c r="AL823" s="841"/>
      <c r="AM823" s="841"/>
      <c r="AN823" s="841"/>
      <c r="AO823" s="841"/>
      <c r="AP823" s="841"/>
      <c r="AQ823" s="841"/>
      <c r="AR823" s="841"/>
      <c r="AS823" s="842"/>
    </row>
    <row r="824" spans="1:45">
      <c r="A824" s="841"/>
      <c r="B824" s="841"/>
      <c r="C824" s="841"/>
      <c r="D824" s="841"/>
      <c r="E824" s="841"/>
      <c r="F824" s="841"/>
      <c r="G824" s="841"/>
      <c r="H824" s="841"/>
      <c r="I824" s="841"/>
      <c r="J824" s="841"/>
      <c r="K824" s="841"/>
      <c r="L824" s="841"/>
      <c r="M824" s="841"/>
      <c r="N824" s="841"/>
      <c r="O824" s="841"/>
      <c r="P824" s="841"/>
      <c r="Q824" s="841"/>
      <c r="R824" s="841"/>
      <c r="S824" s="841"/>
      <c r="T824" s="841"/>
      <c r="U824" s="841"/>
      <c r="V824" s="841"/>
      <c r="W824" s="841"/>
      <c r="X824" s="841"/>
      <c r="Y824" s="841"/>
      <c r="Z824" s="1226"/>
      <c r="AA824" s="1226"/>
      <c r="AB824" s="1226"/>
      <c r="AC824" s="1226"/>
      <c r="AD824" s="1226"/>
      <c r="AE824" s="1226"/>
      <c r="AF824" s="1226"/>
      <c r="AG824" s="1226"/>
      <c r="AH824" s="1226"/>
      <c r="AI824" s="841"/>
      <c r="AJ824" s="841"/>
      <c r="AK824" s="841"/>
      <c r="AL824" s="841"/>
      <c r="AM824" s="841"/>
      <c r="AN824" s="841"/>
      <c r="AO824" s="841"/>
      <c r="AP824" s="841"/>
      <c r="AQ824" s="841"/>
      <c r="AR824" s="841"/>
      <c r="AS824" s="842"/>
    </row>
    <row r="825" spans="1:45">
      <c r="A825" s="841"/>
      <c r="B825" s="841"/>
      <c r="C825" s="841"/>
      <c r="D825" s="841"/>
      <c r="E825" s="841"/>
      <c r="F825" s="841"/>
      <c r="G825" s="841"/>
      <c r="H825" s="841"/>
      <c r="I825" s="841"/>
      <c r="J825" s="841"/>
      <c r="K825" s="841"/>
      <c r="L825" s="841"/>
      <c r="M825" s="841"/>
      <c r="N825" s="841"/>
      <c r="O825" s="841"/>
      <c r="P825" s="841"/>
      <c r="Q825" s="841"/>
      <c r="R825" s="841"/>
      <c r="S825" s="841"/>
      <c r="T825" s="841"/>
      <c r="U825" s="841"/>
      <c r="V825" s="841"/>
      <c r="W825" s="841"/>
      <c r="X825" s="841"/>
      <c r="Y825" s="841"/>
      <c r="Z825" s="1226"/>
      <c r="AA825" s="1226"/>
      <c r="AB825" s="1226"/>
      <c r="AC825" s="1226"/>
      <c r="AD825" s="1226"/>
      <c r="AE825" s="1226"/>
      <c r="AF825" s="1226"/>
      <c r="AG825" s="1226"/>
      <c r="AH825" s="1226"/>
      <c r="AI825" s="841"/>
      <c r="AJ825" s="841"/>
      <c r="AK825" s="841"/>
      <c r="AL825" s="841"/>
      <c r="AM825" s="841"/>
      <c r="AN825" s="841"/>
      <c r="AO825" s="841"/>
      <c r="AP825" s="841"/>
      <c r="AQ825" s="841"/>
      <c r="AR825" s="841"/>
      <c r="AS825" s="842"/>
    </row>
    <row r="826" spans="1:45">
      <c r="A826" s="841"/>
      <c r="B826" s="841"/>
      <c r="C826" s="841"/>
      <c r="D826" s="841"/>
      <c r="E826" s="841"/>
      <c r="F826" s="841"/>
      <c r="G826" s="841"/>
      <c r="H826" s="841"/>
      <c r="I826" s="841"/>
      <c r="J826" s="841"/>
      <c r="K826" s="841"/>
      <c r="L826" s="841"/>
      <c r="M826" s="841"/>
      <c r="N826" s="841"/>
      <c r="O826" s="841"/>
      <c r="P826" s="841"/>
      <c r="Q826" s="841"/>
      <c r="R826" s="841"/>
      <c r="S826" s="841"/>
      <c r="T826" s="841"/>
      <c r="U826" s="841"/>
      <c r="V826" s="841"/>
      <c r="W826" s="841"/>
      <c r="X826" s="841"/>
      <c r="Y826" s="841"/>
      <c r="Z826" s="1226"/>
      <c r="AA826" s="1226"/>
      <c r="AB826" s="1226"/>
      <c r="AC826" s="1226"/>
      <c r="AD826" s="1226"/>
      <c r="AE826" s="1226"/>
      <c r="AF826" s="1226"/>
      <c r="AG826" s="1226"/>
      <c r="AH826" s="1226"/>
      <c r="AI826" s="841"/>
      <c r="AJ826" s="841"/>
      <c r="AK826" s="841"/>
      <c r="AL826" s="841"/>
      <c r="AM826" s="841"/>
      <c r="AN826" s="841"/>
      <c r="AO826" s="841"/>
      <c r="AP826" s="841"/>
      <c r="AQ826" s="841"/>
      <c r="AR826" s="841"/>
      <c r="AS826" s="842"/>
    </row>
    <row r="827" spans="1:45">
      <c r="A827" s="841"/>
      <c r="B827" s="841"/>
      <c r="C827" s="841"/>
      <c r="D827" s="841"/>
      <c r="E827" s="841"/>
      <c r="F827" s="841"/>
      <c r="G827" s="841"/>
      <c r="H827" s="841"/>
      <c r="I827" s="841"/>
      <c r="J827" s="841"/>
      <c r="K827" s="841"/>
      <c r="L827" s="841"/>
      <c r="M827" s="841"/>
      <c r="N827" s="841"/>
      <c r="O827" s="841"/>
      <c r="P827" s="841"/>
      <c r="Q827" s="841"/>
      <c r="R827" s="841"/>
      <c r="S827" s="841"/>
      <c r="T827" s="841"/>
      <c r="U827" s="841"/>
      <c r="V827" s="841"/>
      <c r="W827" s="841"/>
      <c r="X827" s="841"/>
      <c r="Y827" s="841"/>
      <c r="Z827" s="1226"/>
      <c r="AA827" s="1226"/>
      <c r="AB827" s="1226"/>
      <c r="AC827" s="1226"/>
      <c r="AD827" s="1226"/>
      <c r="AE827" s="1226"/>
      <c r="AF827" s="1226"/>
      <c r="AG827" s="1226"/>
      <c r="AH827" s="1226"/>
      <c r="AI827" s="841"/>
      <c r="AJ827" s="841"/>
      <c r="AK827" s="841"/>
      <c r="AL827" s="841"/>
      <c r="AM827" s="841"/>
      <c r="AN827" s="841"/>
      <c r="AO827" s="841"/>
      <c r="AP827" s="841"/>
      <c r="AQ827" s="841"/>
      <c r="AR827" s="841"/>
      <c r="AS827" s="842"/>
    </row>
    <row r="828" spans="1:45">
      <c r="A828" s="841"/>
      <c r="B828" s="841"/>
      <c r="C828" s="841"/>
      <c r="D828" s="841"/>
      <c r="E828" s="841"/>
      <c r="F828" s="841"/>
      <c r="G828" s="841"/>
      <c r="H828" s="841"/>
      <c r="I828" s="841"/>
      <c r="J828" s="841"/>
      <c r="K828" s="841"/>
      <c r="L828" s="841"/>
      <c r="M828" s="841"/>
      <c r="N828" s="841"/>
      <c r="O828" s="841"/>
      <c r="P828" s="841"/>
      <c r="Q828" s="841"/>
      <c r="R828" s="841"/>
      <c r="S828" s="841"/>
      <c r="T828" s="841"/>
      <c r="U828" s="841"/>
      <c r="V828" s="841"/>
      <c r="W828" s="841"/>
      <c r="X828" s="841"/>
      <c r="Y828" s="841"/>
      <c r="Z828" s="1226"/>
      <c r="AA828" s="1226"/>
      <c r="AB828" s="1226"/>
      <c r="AC828" s="1226"/>
      <c r="AD828" s="1226"/>
      <c r="AE828" s="1226"/>
      <c r="AF828" s="1226"/>
      <c r="AG828" s="1226"/>
      <c r="AH828" s="1226"/>
      <c r="AI828" s="841"/>
      <c r="AJ828" s="841"/>
      <c r="AK828" s="841"/>
      <c r="AL828" s="841"/>
      <c r="AM828" s="841"/>
      <c r="AN828" s="841"/>
      <c r="AO828" s="841"/>
      <c r="AP828" s="841"/>
      <c r="AQ828" s="841"/>
      <c r="AR828" s="841"/>
      <c r="AS828" s="842"/>
    </row>
    <row r="829" spans="1:45">
      <c r="A829" s="841"/>
      <c r="B829" s="841"/>
      <c r="C829" s="841"/>
      <c r="D829" s="841"/>
      <c r="E829" s="841"/>
      <c r="F829" s="841"/>
      <c r="G829" s="841"/>
      <c r="H829" s="841"/>
      <c r="I829" s="841"/>
      <c r="J829" s="841"/>
      <c r="K829" s="841"/>
      <c r="L829" s="841"/>
      <c r="M829" s="841"/>
      <c r="N829" s="841"/>
      <c r="O829" s="841"/>
      <c r="P829" s="841"/>
      <c r="Q829" s="841"/>
      <c r="R829" s="841"/>
      <c r="S829" s="841"/>
      <c r="T829" s="841"/>
      <c r="U829" s="841"/>
      <c r="V829" s="841"/>
      <c r="W829" s="841"/>
      <c r="X829" s="841"/>
      <c r="Y829" s="841"/>
      <c r="Z829" s="1226"/>
      <c r="AA829" s="1226"/>
      <c r="AB829" s="1226"/>
      <c r="AC829" s="1226"/>
      <c r="AD829" s="1226"/>
      <c r="AE829" s="1226"/>
      <c r="AF829" s="1226"/>
      <c r="AG829" s="1226"/>
      <c r="AH829" s="1226"/>
      <c r="AI829" s="841"/>
      <c r="AJ829" s="841"/>
      <c r="AK829" s="841"/>
      <c r="AL829" s="841"/>
      <c r="AM829" s="841"/>
      <c r="AN829" s="841"/>
      <c r="AO829" s="841"/>
      <c r="AP829" s="841"/>
      <c r="AQ829" s="841"/>
      <c r="AR829" s="841"/>
      <c r="AS829" s="842"/>
    </row>
    <row r="830" spans="1:45">
      <c r="A830" s="841"/>
      <c r="B830" s="841"/>
      <c r="C830" s="841"/>
      <c r="D830" s="841"/>
      <c r="E830" s="841"/>
      <c r="F830" s="841"/>
      <c r="G830" s="841"/>
      <c r="H830" s="841"/>
      <c r="I830" s="841"/>
      <c r="J830" s="841"/>
      <c r="K830" s="841"/>
      <c r="L830" s="841"/>
      <c r="M830" s="841"/>
      <c r="N830" s="841"/>
      <c r="O830" s="841"/>
      <c r="P830" s="841"/>
      <c r="Q830" s="841"/>
      <c r="R830" s="841"/>
      <c r="S830" s="841"/>
      <c r="T830" s="841"/>
      <c r="U830" s="841"/>
      <c r="V830" s="841"/>
      <c r="W830" s="841"/>
      <c r="X830" s="841"/>
      <c r="Y830" s="841"/>
      <c r="Z830" s="1226"/>
      <c r="AA830" s="1226"/>
      <c r="AB830" s="1226"/>
      <c r="AC830" s="1226"/>
      <c r="AD830" s="1226"/>
      <c r="AE830" s="1226"/>
      <c r="AF830" s="1226"/>
      <c r="AG830" s="1226"/>
      <c r="AH830" s="1226"/>
      <c r="AI830" s="841"/>
      <c r="AJ830" s="841"/>
      <c r="AK830" s="841"/>
      <c r="AL830" s="841"/>
      <c r="AM830" s="841"/>
      <c r="AN830" s="841"/>
      <c r="AO830" s="841"/>
      <c r="AP830" s="841"/>
      <c r="AQ830" s="841"/>
      <c r="AR830" s="841"/>
      <c r="AS830" s="842"/>
    </row>
    <row r="831" spans="1:45">
      <c r="A831" s="841"/>
      <c r="B831" s="841"/>
      <c r="C831" s="841"/>
      <c r="D831" s="841"/>
      <c r="E831" s="841"/>
      <c r="F831" s="841"/>
      <c r="G831" s="841"/>
      <c r="H831" s="841"/>
      <c r="I831" s="841"/>
      <c r="J831" s="841"/>
      <c r="K831" s="841"/>
      <c r="L831" s="841"/>
      <c r="M831" s="841"/>
      <c r="N831" s="841"/>
      <c r="O831" s="841"/>
      <c r="P831" s="841"/>
      <c r="Q831" s="841"/>
      <c r="R831" s="841"/>
      <c r="S831" s="841"/>
      <c r="T831" s="841"/>
      <c r="U831" s="841"/>
      <c r="V831" s="841"/>
      <c r="W831" s="841"/>
      <c r="X831" s="841"/>
      <c r="Y831" s="841"/>
      <c r="Z831" s="1226"/>
      <c r="AA831" s="1226"/>
      <c r="AB831" s="1226"/>
      <c r="AC831" s="1226"/>
      <c r="AD831" s="1226"/>
      <c r="AE831" s="1226"/>
      <c r="AF831" s="1226"/>
      <c r="AG831" s="1226"/>
      <c r="AH831" s="1226"/>
      <c r="AI831" s="841"/>
      <c r="AJ831" s="841"/>
      <c r="AK831" s="841"/>
      <c r="AL831" s="841"/>
      <c r="AM831" s="841"/>
      <c r="AN831" s="841"/>
      <c r="AO831" s="841"/>
      <c r="AP831" s="841"/>
      <c r="AQ831" s="841"/>
      <c r="AR831" s="841"/>
      <c r="AS831" s="842"/>
    </row>
    <row r="832" spans="1:45">
      <c r="A832" s="841"/>
      <c r="B832" s="841"/>
      <c r="C832" s="841"/>
      <c r="D832" s="841"/>
      <c r="E832" s="841"/>
      <c r="F832" s="841"/>
      <c r="G832" s="841"/>
      <c r="H832" s="841"/>
      <c r="I832" s="841"/>
      <c r="J832" s="841"/>
      <c r="K832" s="841"/>
      <c r="L832" s="841"/>
      <c r="M832" s="841"/>
      <c r="N832" s="841"/>
      <c r="O832" s="841"/>
      <c r="P832" s="841"/>
      <c r="Q832" s="841"/>
      <c r="R832" s="841"/>
      <c r="S832" s="841"/>
      <c r="T832" s="841"/>
      <c r="U832" s="841"/>
      <c r="V832" s="841"/>
      <c r="W832" s="841"/>
      <c r="X832" s="841"/>
      <c r="Y832" s="841"/>
      <c r="Z832" s="1226"/>
      <c r="AA832" s="1226"/>
      <c r="AB832" s="1226"/>
      <c r="AC832" s="1226"/>
      <c r="AD832" s="1226"/>
      <c r="AE832" s="1226"/>
      <c r="AF832" s="1226"/>
      <c r="AG832" s="1226"/>
      <c r="AH832" s="1226"/>
      <c r="AI832" s="841"/>
      <c r="AJ832" s="841"/>
      <c r="AK832" s="841"/>
      <c r="AL832" s="841"/>
      <c r="AM832" s="841"/>
      <c r="AN832" s="841"/>
      <c r="AO832" s="841"/>
      <c r="AP832" s="841"/>
      <c r="AQ832" s="841"/>
      <c r="AR832" s="841"/>
      <c r="AS832" s="842"/>
    </row>
    <row r="833" spans="1:45">
      <c r="A833" s="841"/>
      <c r="B833" s="841"/>
      <c r="C833" s="841"/>
      <c r="D833" s="841"/>
      <c r="E833" s="841"/>
      <c r="F833" s="841"/>
      <c r="G833" s="841"/>
      <c r="H833" s="841"/>
      <c r="I833" s="841"/>
      <c r="J833" s="841"/>
      <c r="K833" s="841"/>
      <c r="L833" s="841"/>
      <c r="M833" s="841"/>
      <c r="N833" s="841"/>
      <c r="O833" s="841"/>
      <c r="P833" s="841"/>
      <c r="Q833" s="841"/>
      <c r="R833" s="841"/>
      <c r="S833" s="841"/>
      <c r="T833" s="841"/>
      <c r="U833" s="841"/>
      <c r="V833" s="841"/>
      <c r="W833" s="841"/>
      <c r="X833" s="841"/>
      <c r="Y833" s="841"/>
      <c r="Z833" s="1226"/>
      <c r="AA833" s="1226"/>
      <c r="AB833" s="1226"/>
      <c r="AC833" s="1226"/>
      <c r="AD833" s="1226"/>
      <c r="AE833" s="1226"/>
      <c r="AF833" s="1226"/>
      <c r="AG833" s="1226"/>
      <c r="AH833" s="1226"/>
      <c r="AI833" s="841"/>
      <c r="AJ833" s="841"/>
      <c r="AK833" s="841"/>
      <c r="AL833" s="841"/>
      <c r="AM833" s="841"/>
      <c r="AN833" s="841"/>
      <c r="AO833" s="841"/>
      <c r="AP833" s="841"/>
      <c r="AQ833" s="841"/>
      <c r="AR833" s="841"/>
      <c r="AS833" s="842"/>
    </row>
    <row r="834" spans="1:45">
      <c r="A834" s="841"/>
      <c r="B834" s="841"/>
      <c r="C834" s="841"/>
      <c r="D834" s="841"/>
      <c r="E834" s="841"/>
      <c r="F834" s="841"/>
      <c r="G834" s="841"/>
      <c r="H834" s="841"/>
      <c r="I834" s="841"/>
      <c r="J834" s="841"/>
      <c r="K834" s="841"/>
      <c r="L834" s="841"/>
      <c r="M834" s="841"/>
      <c r="N834" s="841"/>
      <c r="O834" s="841"/>
      <c r="P834" s="841"/>
      <c r="Q834" s="841"/>
      <c r="R834" s="841"/>
      <c r="S834" s="841"/>
      <c r="T834" s="841"/>
      <c r="U834" s="841"/>
      <c r="V834" s="841"/>
      <c r="W834" s="841"/>
      <c r="X834" s="841"/>
      <c r="Y834" s="841"/>
      <c r="Z834" s="1226"/>
      <c r="AA834" s="1226"/>
      <c r="AB834" s="1226"/>
      <c r="AC834" s="1226"/>
      <c r="AD834" s="1226"/>
      <c r="AE834" s="1226"/>
      <c r="AF834" s="1226"/>
      <c r="AG834" s="1226"/>
      <c r="AH834" s="1226"/>
      <c r="AI834" s="841"/>
      <c r="AJ834" s="841"/>
      <c r="AK834" s="841"/>
      <c r="AL834" s="841"/>
      <c r="AM834" s="841"/>
      <c r="AN834" s="841"/>
      <c r="AO834" s="841"/>
      <c r="AP834" s="841"/>
      <c r="AQ834" s="841"/>
      <c r="AR834" s="841"/>
      <c r="AS834" s="842"/>
    </row>
    <row r="835" spans="1:45">
      <c r="A835" s="841"/>
      <c r="B835" s="841"/>
      <c r="C835" s="841"/>
      <c r="D835" s="841"/>
      <c r="E835" s="841"/>
      <c r="F835" s="841"/>
      <c r="G835" s="841"/>
      <c r="H835" s="841"/>
      <c r="I835" s="841"/>
      <c r="J835" s="841"/>
      <c r="K835" s="841"/>
      <c r="L835" s="841"/>
      <c r="M835" s="841"/>
      <c r="N835" s="841"/>
      <c r="O835" s="841"/>
      <c r="P835" s="841"/>
      <c r="Q835" s="841"/>
      <c r="R835" s="841"/>
      <c r="S835" s="841"/>
      <c r="T835" s="841"/>
      <c r="U835" s="841"/>
      <c r="V835" s="841"/>
      <c r="W835" s="841"/>
      <c r="X835" s="841"/>
      <c r="Y835" s="841"/>
      <c r="Z835" s="1226"/>
      <c r="AA835" s="1226"/>
      <c r="AB835" s="1226"/>
      <c r="AC835" s="1226"/>
      <c r="AD835" s="1226"/>
      <c r="AE835" s="1226"/>
      <c r="AF835" s="1226"/>
      <c r="AG835" s="1226"/>
      <c r="AH835" s="1226"/>
      <c r="AI835" s="841"/>
      <c r="AJ835" s="841"/>
      <c r="AK835" s="841"/>
      <c r="AL835" s="841"/>
      <c r="AM835" s="841"/>
      <c r="AN835" s="841"/>
      <c r="AO835" s="841"/>
      <c r="AP835" s="841"/>
      <c r="AQ835" s="841"/>
      <c r="AR835" s="841"/>
      <c r="AS835" s="842"/>
    </row>
    <row r="836" spans="1:45">
      <c r="A836" s="841"/>
      <c r="B836" s="841"/>
      <c r="C836" s="841"/>
      <c r="D836" s="841"/>
      <c r="E836" s="841"/>
      <c r="F836" s="841"/>
      <c r="G836" s="841"/>
      <c r="H836" s="841"/>
      <c r="I836" s="841"/>
      <c r="J836" s="841"/>
      <c r="K836" s="841"/>
      <c r="L836" s="841"/>
      <c r="M836" s="841"/>
      <c r="N836" s="841"/>
      <c r="O836" s="841"/>
      <c r="P836" s="841"/>
      <c r="Q836" s="841"/>
      <c r="R836" s="841"/>
      <c r="S836" s="841"/>
      <c r="T836" s="841"/>
      <c r="U836" s="841"/>
      <c r="V836" s="841"/>
      <c r="W836" s="841"/>
      <c r="X836" s="841"/>
      <c r="Y836" s="841"/>
      <c r="Z836" s="1226"/>
      <c r="AA836" s="1226"/>
      <c r="AB836" s="1226"/>
      <c r="AC836" s="1226"/>
      <c r="AD836" s="1226"/>
      <c r="AE836" s="1226"/>
      <c r="AF836" s="1226"/>
      <c r="AG836" s="1226"/>
      <c r="AH836" s="1226"/>
      <c r="AI836" s="841"/>
      <c r="AJ836" s="841"/>
      <c r="AK836" s="841"/>
      <c r="AL836" s="841"/>
      <c r="AM836" s="841"/>
      <c r="AN836" s="841"/>
      <c r="AO836" s="841"/>
      <c r="AP836" s="841"/>
      <c r="AQ836" s="841"/>
      <c r="AR836" s="841"/>
      <c r="AS836" s="842"/>
    </row>
    <row r="837" spans="1:45">
      <c r="A837" s="841"/>
      <c r="B837" s="841"/>
      <c r="C837" s="841"/>
      <c r="D837" s="841"/>
      <c r="E837" s="841"/>
      <c r="F837" s="841"/>
      <c r="G837" s="841"/>
      <c r="H837" s="841"/>
      <c r="I837" s="841"/>
      <c r="J837" s="841"/>
      <c r="K837" s="841"/>
      <c r="L837" s="841"/>
      <c r="M837" s="841"/>
      <c r="N837" s="841"/>
      <c r="O837" s="841"/>
      <c r="P837" s="841"/>
      <c r="Q837" s="841"/>
      <c r="R837" s="841"/>
      <c r="S837" s="841"/>
      <c r="T837" s="841"/>
      <c r="U837" s="841"/>
      <c r="V837" s="841"/>
      <c r="W837" s="841"/>
      <c r="X837" s="841"/>
      <c r="Y837" s="841"/>
      <c r="Z837" s="1226"/>
      <c r="AA837" s="1226"/>
      <c r="AB837" s="1226"/>
      <c r="AC837" s="1226"/>
      <c r="AD837" s="1226"/>
      <c r="AE837" s="1226"/>
      <c r="AF837" s="1226"/>
      <c r="AG837" s="1226"/>
      <c r="AH837" s="1226"/>
      <c r="AI837" s="841"/>
      <c r="AJ837" s="841"/>
      <c r="AK837" s="841"/>
      <c r="AL837" s="841"/>
      <c r="AM837" s="841"/>
      <c r="AN837" s="841"/>
      <c r="AO837" s="841"/>
      <c r="AP837" s="841"/>
      <c r="AQ837" s="841"/>
      <c r="AR837" s="841"/>
      <c r="AS837" s="842"/>
    </row>
    <row r="838" spans="1:45">
      <c r="A838" s="841"/>
      <c r="B838" s="841"/>
      <c r="C838" s="841"/>
      <c r="D838" s="841"/>
      <c r="E838" s="841"/>
      <c r="F838" s="841"/>
      <c r="G838" s="841"/>
      <c r="H838" s="841"/>
      <c r="I838" s="841"/>
      <c r="J838" s="841"/>
      <c r="K838" s="841"/>
      <c r="L838" s="841"/>
      <c r="M838" s="841"/>
      <c r="N838" s="841"/>
      <c r="O838" s="841"/>
      <c r="P838" s="841"/>
      <c r="Q838" s="841"/>
      <c r="R838" s="841"/>
      <c r="S838" s="841"/>
      <c r="T838" s="841"/>
      <c r="U838" s="841"/>
      <c r="V838" s="841"/>
      <c r="W838" s="841"/>
      <c r="X838" s="841"/>
      <c r="Y838" s="841"/>
      <c r="Z838" s="1226"/>
      <c r="AA838" s="1226"/>
      <c r="AB838" s="1226"/>
      <c r="AC838" s="1226"/>
      <c r="AD838" s="1226"/>
      <c r="AE838" s="1226"/>
      <c r="AF838" s="1226"/>
      <c r="AG838" s="1226"/>
      <c r="AH838" s="1226"/>
      <c r="AI838" s="841"/>
      <c r="AJ838" s="841"/>
      <c r="AK838" s="841"/>
      <c r="AL838" s="841"/>
      <c r="AM838" s="841"/>
      <c r="AN838" s="841"/>
      <c r="AO838" s="841"/>
      <c r="AP838" s="841"/>
      <c r="AQ838" s="841"/>
      <c r="AR838" s="841"/>
      <c r="AS838" s="842"/>
    </row>
    <row r="839" spans="1:45">
      <c r="A839" s="841"/>
      <c r="B839" s="841"/>
      <c r="C839" s="841"/>
      <c r="D839" s="841"/>
      <c r="E839" s="841"/>
      <c r="F839" s="841"/>
      <c r="G839" s="841"/>
      <c r="H839" s="841"/>
      <c r="I839" s="841"/>
      <c r="J839" s="841"/>
      <c r="K839" s="841"/>
      <c r="L839" s="841"/>
      <c r="M839" s="841"/>
      <c r="N839" s="841"/>
      <c r="O839" s="841"/>
      <c r="P839" s="841"/>
      <c r="Q839" s="841"/>
      <c r="R839" s="841"/>
      <c r="S839" s="841"/>
      <c r="T839" s="841"/>
      <c r="U839" s="841"/>
      <c r="V839" s="841"/>
      <c r="W839" s="841"/>
      <c r="X839" s="841"/>
      <c r="Y839" s="841"/>
      <c r="Z839" s="1226"/>
      <c r="AA839" s="1226"/>
      <c r="AB839" s="1226"/>
      <c r="AC839" s="1226"/>
      <c r="AD839" s="1226"/>
      <c r="AE839" s="1226"/>
      <c r="AF839" s="1226"/>
      <c r="AG839" s="1226"/>
      <c r="AH839" s="1226"/>
      <c r="AI839" s="841"/>
      <c r="AJ839" s="841"/>
      <c r="AK839" s="841"/>
      <c r="AL839" s="841"/>
      <c r="AM839" s="841"/>
      <c r="AN839" s="841"/>
      <c r="AO839" s="841"/>
      <c r="AP839" s="841"/>
      <c r="AQ839" s="841"/>
      <c r="AR839" s="841"/>
      <c r="AS839" s="842"/>
    </row>
    <row r="840" spans="1:45">
      <c r="A840" s="841"/>
      <c r="B840" s="841"/>
      <c r="C840" s="841"/>
      <c r="D840" s="841"/>
      <c r="E840" s="841"/>
      <c r="F840" s="841"/>
      <c r="G840" s="841"/>
      <c r="H840" s="841"/>
      <c r="I840" s="841"/>
      <c r="J840" s="841"/>
      <c r="K840" s="841"/>
      <c r="L840" s="841"/>
      <c r="M840" s="841"/>
      <c r="N840" s="841"/>
      <c r="O840" s="841"/>
      <c r="P840" s="841"/>
      <c r="Q840" s="841"/>
      <c r="R840" s="841"/>
      <c r="S840" s="841"/>
      <c r="T840" s="841"/>
      <c r="U840" s="841"/>
      <c r="V840" s="841"/>
      <c r="W840" s="841"/>
      <c r="X840" s="841"/>
      <c r="Y840" s="841"/>
      <c r="Z840" s="1226"/>
      <c r="AA840" s="1226"/>
      <c r="AB840" s="1226"/>
      <c r="AC840" s="1226"/>
      <c r="AD840" s="1226"/>
      <c r="AE840" s="1226"/>
      <c r="AF840" s="1226"/>
      <c r="AG840" s="1226"/>
      <c r="AH840" s="1226"/>
      <c r="AI840" s="841"/>
      <c r="AJ840" s="841"/>
      <c r="AK840" s="841"/>
      <c r="AL840" s="841"/>
      <c r="AM840" s="841"/>
      <c r="AN840" s="841"/>
      <c r="AO840" s="841"/>
      <c r="AP840" s="841"/>
      <c r="AQ840" s="841"/>
      <c r="AR840" s="841"/>
      <c r="AS840" s="842"/>
    </row>
    <row r="841" spans="1:45">
      <c r="A841" s="841"/>
      <c r="B841" s="841"/>
      <c r="C841" s="841"/>
      <c r="D841" s="841"/>
      <c r="E841" s="841"/>
      <c r="F841" s="841"/>
      <c r="G841" s="841"/>
      <c r="H841" s="841"/>
      <c r="I841" s="841"/>
      <c r="J841" s="841"/>
      <c r="K841" s="841"/>
      <c r="L841" s="841"/>
      <c r="M841" s="841"/>
      <c r="N841" s="841"/>
      <c r="O841" s="841"/>
      <c r="P841" s="841"/>
      <c r="Q841" s="841"/>
      <c r="R841" s="841"/>
      <c r="S841" s="841"/>
      <c r="T841" s="841"/>
      <c r="U841" s="841"/>
      <c r="V841" s="841"/>
      <c r="W841" s="841"/>
      <c r="X841" s="841"/>
      <c r="Y841" s="841"/>
      <c r="Z841" s="1226"/>
      <c r="AA841" s="1226"/>
      <c r="AB841" s="1226"/>
      <c r="AC841" s="1226"/>
      <c r="AD841" s="1226"/>
      <c r="AE841" s="1226"/>
      <c r="AF841" s="1226"/>
      <c r="AG841" s="1226"/>
      <c r="AH841" s="1226"/>
      <c r="AI841" s="841"/>
      <c r="AJ841" s="841"/>
      <c r="AK841" s="841"/>
      <c r="AL841" s="841"/>
      <c r="AM841" s="841"/>
      <c r="AN841" s="841"/>
      <c r="AO841" s="841"/>
      <c r="AP841" s="841"/>
      <c r="AQ841" s="841"/>
      <c r="AR841" s="841"/>
      <c r="AS841" s="842"/>
    </row>
    <row r="842" spans="1:45">
      <c r="A842" s="841"/>
      <c r="B842" s="841"/>
      <c r="C842" s="841"/>
      <c r="D842" s="841"/>
      <c r="E842" s="841"/>
      <c r="F842" s="841"/>
      <c r="G842" s="841"/>
      <c r="H842" s="841"/>
      <c r="I842" s="841"/>
      <c r="J842" s="841"/>
      <c r="K842" s="841"/>
      <c r="L842" s="841"/>
      <c r="M842" s="841"/>
      <c r="N842" s="841"/>
      <c r="O842" s="841"/>
      <c r="P842" s="841"/>
      <c r="Q842" s="841"/>
      <c r="R842" s="841"/>
      <c r="S842" s="841"/>
      <c r="T842" s="841"/>
      <c r="U842" s="841"/>
      <c r="V842" s="841"/>
      <c r="W842" s="841"/>
      <c r="X842" s="841"/>
      <c r="Y842" s="841"/>
      <c r="Z842" s="1226"/>
      <c r="AA842" s="1226"/>
      <c r="AB842" s="1226"/>
      <c r="AC842" s="1226"/>
      <c r="AD842" s="1226"/>
      <c r="AE842" s="1226"/>
      <c r="AF842" s="1226"/>
      <c r="AG842" s="1226"/>
      <c r="AH842" s="1226"/>
      <c r="AI842" s="841"/>
      <c r="AJ842" s="841"/>
      <c r="AK842" s="841"/>
      <c r="AL842" s="841"/>
      <c r="AM842" s="841"/>
      <c r="AN842" s="841"/>
      <c r="AO842" s="841"/>
      <c r="AP842" s="841"/>
      <c r="AQ842" s="841"/>
      <c r="AR842" s="841"/>
      <c r="AS842" s="842"/>
    </row>
    <row r="843" spans="1:45">
      <c r="A843" s="841"/>
      <c r="B843" s="841"/>
      <c r="C843" s="841"/>
      <c r="D843" s="841"/>
      <c r="E843" s="841"/>
      <c r="F843" s="841"/>
      <c r="G843" s="841"/>
      <c r="H843" s="841"/>
      <c r="I843" s="841"/>
      <c r="J843" s="841"/>
      <c r="K843" s="841"/>
      <c r="L843" s="841"/>
      <c r="M843" s="841"/>
      <c r="N843" s="841"/>
      <c r="O843" s="841"/>
      <c r="P843" s="841"/>
      <c r="Q843" s="841"/>
      <c r="R843" s="841"/>
      <c r="S843" s="841"/>
      <c r="T843" s="841"/>
      <c r="U843" s="841"/>
      <c r="V843" s="841"/>
      <c r="W843" s="841"/>
      <c r="X843" s="841"/>
      <c r="Y843" s="841"/>
      <c r="Z843" s="1226"/>
      <c r="AA843" s="1226"/>
      <c r="AB843" s="1226"/>
      <c r="AC843" s="1226"/>
      <c r="AD843" s="1226"/>
      <c r="AE843" s="1226"/>
      <c r="AF843" s="1226"/>
      <c r="AG843" s="1226"/>
      <c r="AH843" s="1226"/>
      <c r="AI843" s="841"/>
      <c r="AJ843" s="841"/>
      <c r="AK843" s="841"/>
      <c r="AL843" s="841"/>
      <c r="AM843" s="841"/>
      <c r="AN843" s="841"/>
      <c r="AO843" s="841"/>
      <c r="AP843" s="841"/>
      <c r="AQ843" s="841"/>
      <c r="AR843" s="841"/>
      <c r="AS843" s="842"/>
    </row>
    <row r="844" spans="1:45">
      <c r="A844" s="841"/>
      <c r="B844" s="841"/>
      <c r="C844" s="841"/>
      <c r="D844" s="841"/>
      <c r="E844" s="841"/>
      <c r="F844" s="841"/>
      <c r="G844" s="841"/>
      <c r="H844" s="841"/>
      <c r="I844" s="841"/>
      <c r="J844" s="841"/>
      <c r="K844" s="841"/>
      <c r="L844" s="841"/>
      <c r="M844" s="841"/>
      <c r="N844" s="841"/>
      <c r="O844" s="841"/>
      <c r="P844" s="841"/>
      <c r="Q844" s="841"/>
      <c r="R844" s="841"/>
      <c r="S844" s="841"/>
      <c r="T844" s="841"/>
      <c r="U844" s="841"/>
      <c r="V844" s="841"/>
      <c r="W844" s="841"/>
      <c r="X844" s="841"/>
      <c r="Y844" s="841"/>
      <c r="Z844" s="1226"/>
      <c r="AA844" s="1226"/>
      <c r="AB844" s="1226"/>
      <c r="AC844" s="1226"/>
      <c r="AD844" s="1226"/>
      <c r="AE844" s="1226"/>
      <c r="AF844" s="1226"/>
      <c r="AG844" s="1226"/>
      <c r="AH844" s="1226"/>
      <c r="AI844" s="841"/>
      <c r="AJ844" s="841"/>
      <c r="AK844" s="841"/>
      <c r="AL844" s="841"/>
      <c r="AM844" s="841"/>
      <c r="AN844" s="841"/>
      <c r="AO844" s="841"/>
      <c r="AP844" s="841"/>
      <c r="AQ844" s="841"/>
      <c r="AR844" s="841"/>
      <c r="AS844" s="842"/>
    </row>
    <row r="845" spans="1:45">
      <c r="A845" s="841"/>
      <c r="B845" s="841"/>
      <c r="C845" s="841"/>
      <c r="D845" s="841"/>
      <c r="E845" s="841"/>
      <c r="F845" s="841"/>
      <c r="G845" s="841"/>
      <c r="H845" s="841"/>
      <c r="I845" s="841"/>
      <c r="J845" s="841"/>
      <c r="K845" s="841"/>
      <c r="L845" s="841"/>
      <c r="M845" s="841"/>
      <c r="N845" s="841"/>
      <c r="O845" s="841"/>
      <c r="P845" s="841"/>
      <c r="Q845" s="841"/>
      <c r="R845" s="841"/>
      <c r="S845" s="841"/>
      <c r="T845" s="841"/>
      <c r="U845" s="841"/>
      <c r="V845" s="841"/>
      <c r="W845" s="841"/>
      <c r="X845" s="841"/>
      <c r="Y845" s="841"/>
      <c r="Z845" s="1226"/>
      <c r="AA845" s="1226"/>
      <c r="AB845" s="1226"/>
      <c r="AC845" s="1226"/>
      <c r="AD845" s="1226"/>
      <c r="AE845" s="1226"/>
      <c r="AF845" s="1226"/>
      <c r="AG845" s="1226"/>
      <c r="AH845" s="1226"/>
      <c r="AI845" s="841"/>
      <c r="AJ845" s="841"/>
      <c r="AK845" s="841"/>
      <c r="AL845" s="841"/>
      <c r="AM845" s="841"/>
      <c r="AN845" s="841"/>
      <c r="AO845" s="841"/>
      <c r="AP845" s="841"/>
      <c r="AQ845" s="841"/>
      <c r="AR845" s="841"/>
      <c r="AS845" s="842"/>
    </row>
    <row r="846" spans="1:45">
      <c r="A846" s="841"/>
      <c r="B846" s="841"/>
      <c r="C846" s="841"/>
      <c r="D846" s="841"/>
      <c r="E846" s="841"/>
      <c r="F846" s="841"/>
      <c r="G846" s="841"/>
      <c r="H846" s="841"/>
      <c r="I846" s="841"/>
      <c r="J846" s="841"/>
      <c r="K846" s="841"/>
      <c r="L846" s="841"/>
      <c r="M846" s="841"/>
      <c r="N846" s="841"/>
      <c r="O846" s="841"/>
      <c r="P846" s="841"/>
      <c r="Q846" s="841"/>
      <c r="R846" s="841"/>
      <c r="S846" s="841"/>
      <c r="T846" s="841"/>
      <c r="U846" s="841"/>
      <c r="V846" s="841"/>
      <c r="W846" s="841"/>
      <c r="X846" s="841"/>
      <c r="Y846" s="841"/>
      <c r="Z846" s="1226"/>
      <c r="AA846" s="1226"/>
      <c r="AB846" s="1226"/>
      <c r="AC846" s="1226"/>
      <c r="AD846" s="1226"/>
      <c r="AE846" s="1226"/>
      <c r="AF846" s="1226"/>
      <c r="AG846" s="1226"/>
      <c r="AH846" s="1226"/>
      <c r="AI846" s="841"/>
      <c r="AJ846" s="841"/>
      <c r="AK846" s="841"/>
      <c r="AL846" s="841"/>
      <c r="AM846" s="841"/>
      <c r="AN846" s="841"/>
      <c r="AO846" s="841"/>
      <c r="AP846" s="841"/>
      <c r="AQ846" s="841"/>
      <c r="AR846" s="841"/>
      <c r="AS846" s="842"/>
    </row>
    <row r="847" spans="1:45">
      <c r="A847" s="841"/>
      <c r="B847" s="841"/>
      <c r="C847" s="841"/>
      <c r="D847" s="841"/>
      <c r="E847" s="841"/>
      <c r="F847" s="841"/>
      <c r="G847" s="841"/>
      <c r="H847" s="841"/>
      <c r="I847" s="841"/>
      <c r="J847" s="841"/>
      <c r="K847" s="841"/>
      <c r="L847" s="841"/>
      <c r="M847" s="841"/>
      <c r="N847" s="841"/>
      <c r="O847" s="841"/>
      <c r="P847" s="841"/>
      <c r="Q847" s="841"/>
      <c r="R847" s="841"/>
      <c r="S847" s="841"/>
      <c r="T847" s="841"/>
      <c r="U847" s="841"/>
      <c r="V847" s="841"/>
      <c r="W847" s="841"/>
      <c r="X847" s="841"/>
      <c r="Y847" s="841"/>
      <c r="Z847" s="1226"/>
      <c r="AA847" s="1226"/>
      <c r="AB847" s="1226"/>
      <c r="AC847" s="1226"/>
      <c r="AD847" s="1226"/>
      <c r="AE847" s="1226"/>
      <c r="AF847" s="1226"/>
      <c r="AG847" s="1226"/>
      <c r="AH847" s="1226"/>
      <c r="AI847" s="841"/>
      <c r="AJ847" s="841"/>
      <c r="AK847" s="841"/>
      <c r="AL847" s="841"/>
      <c r="AM847" s="841"/>
      <c r="AN847" s="841"/>
      <c r="AO847" s="841"/>
      <c r="AP847" s="841"/>
      <c r="AQ847" s="841"/>
      <c r="AR847" s="841"/>
      <c r="AS847" s="842"/>
    </row>
    <row r="848" spans="1:45">
      <c r="A848" s="841"/>
      <c r="B848" s="841"/>
      <c r="C848" s="841"/>
      <c r="D848" s="841"/>
      <c r="E848" s="841"/>
      <c r="F848" s="841"/>
      <c r="G848" s="841"/>
      <c r="H848" s="841"/>
      <c r="I848" s="841"/>
      <c r="J848" s="841"/>
      <c r="K848" s="841"/>
      <c r="L848" s="841"/>
      <c r="M848" s="841"/>
      <c r="N848" s="841"/>
      <c r="O848" s="841"/>
      <c r="P848" s="841"/>
      <c r="Q848" s="841"/>
      <c r="R848" s="841"/>
      <c r="S848" s="841"/>
      <c r="T848" s="841"/>
      <c r="U848" s="841"/>
      <c r="V848" s="841"/>
      <c r="W848" s="841"/>
      <c r="X848" s="841"/>
      <c r="Y848" s="841"/>
      <c r="Z848" s="1226"/>
      <c r="AA848" s="1226"/>
      <c r="AB848" s="1226"/>
      <c r="AC848" s="1226"/>
      <c r="AD848" s="1226"/>
      <c r="AE848" s="1226"/>
      <c r="AF848" s="1226"/>
      <c r="AG848" s="1226"/>
      <c r="AH848" s="1226"/>
      <c r="AI848" s="841"/>
      <c r="AJ848" s="841"/>
      <c r="AK848" s="841"/>
      <c r="AL848" s="841"/>
      <c r="AM848" s="841"/>
      <c r="AN848" s="841"/>
      <c r="AO848" s="841"/>
      <c r="AP848" s="841"/>
      <c r="AQ848" s="841"/>
      <c r="AR848" s="841"/>
      <c r="AS848" s="842"/>
    </row>
    <row r="849" spans="1:45">
      <c r="A849" s="841"/>
      <c r="B849" s="841"/>
      <c r="C849" s="841"/>
      <c r="D849" s="841"/>
      <c r="E849" s="841"/>
      <c r="F849" s="841"/>
      <c r="G849" s="841"/>
      <c r="H849" s="841"/>
      <c r="I849" s="841"/>
      <c r="J849" s="841"/>
      <c r="K849" s="841"/>
      <c r="L849" s="841"/>
      <c r="M849" s="841"/>
      <c r="N849" s="841"/>
      <c r="O849" s="841"/>
      <c r="P849" s="841"/>
      <c r="Q849" s="841"/>
      <c r="R849" s="841"/>
      <c r="S849" s="841"/>
      <c r="T849" s="841"/>
      <c r="U849" s="841"/>
      <c r="V849" s="841"/>
      <c r="W849" s="841"/>
      <c r="X849" s="841"/>
      <c r="Y849" s="841"/>
      <c r="Z849" s="1226"/>
      <c r="AA849" s="1226"/>
      <c r="AB849" s="1226"/>
      <c r="AC849" s="1226"/>
      <c r="AD849" s="1226"/>
      <c r="AE849" s="1226"/>
      <c r="AF849" s="1226"/>
      <c r="AG849" s="1226"/>
      <c r="AH849" s="1226"/>
      <c r="AI849" s="841"/>
      <c r="AJ849" s="841"/>
      <c r="AK849" s="841"/>
      <c r="AL849" s="841"/>
      <c r="AM849" s="841"/>
      <c r="AN849" s="841"/>
      <c r="AO849" s="841"/>
      <c r="AP849" s="841"/>
      <c r="AQ849" s="841"/>
      <c r="AR849" s="841"/>
      <c r="AS849" s="842"/>
    </row>
    <row r="850" spans="1:45">
      <c r="A850" s="841"/>
      <c r="B850" s="841"/>
      <c r="C850" s="841"/>
      <c r="D850" s="841"/>
      <c r="E850" s="841"/>
      <c r="F850" s="841"/>
      <c r="G850" s="841"/>
      <c r="H850" s="841"/>
      <c r="I850" s="841"/>
      <c r="J850" s="841"/>
      <c r="K850" s="841"/>
      <c r="L850" s="841"/>
      <c r="M850" s="841"/>
      <c r="N850" s="841"/>
      <c r="O850" s="841"/>
      <c r="P850" s="841"/>
      <c r="Q850" s="841"/>
      <c r="R850" s="841"/>
      <c r="S850" s="841"/>
      <c r="T850" s="841"/>
      <c r="U850" s="841"/>
      <c r="V850" s="841"/>
      <c r="W850" s="841"/>
      <c r="X850" s="841"/>
      <c r="Y850" s="841"/>
      <c r="Z850" s="1226"/>
      <c r="AA850" s="1226"/>
      <c r="AB850" s="1226"/>
      <c r="AC850" s="1226"/>
      <c r="AD850" s="1226"/>
      <c r="AE850" s="1226"/>
      <c r="AF850" s="1226"/>
      <c r="AG850" s="1226"/>
      <c r="AH850" s="1226"/>
      <c r="AI850" s="841"/>
      <c r="AJ850" s="841"/>
      <c r="AK850" s="841"/>
      <c r="AL850" s="841"/>
      <c r="AM850" s="841"/>
      <c r="AN850" s="841"/>
      <c r="AO850" s="841"/>
      <c r="AP850" s="841"/>
      <c r="AQ850" s="841"/>
      <c r="AR850" s="841"/>
      <c r="AS850" s="842"/>
    </row>
    <row r="851" spans="1:45">
      <c r="A851" s="841"/>
      <c r="B851" s="841"/>
      <c r="C851" s="841"/>
      <c r="D851" s="841"/>
      <c r="E851" s="841"/>
      <c r="F851" s="841"/>
      <c r="G851" s="841"/>
      <c r="H851" s="841"/>
      <c r="I851" s="841"/>
      <c r="J851" s="841"/>
      <c r="K851" s="841"/>
      <c r="L851" s="841"/>
      <c r="M851" s="841"/>
      <c r="N851" s="841"/>
      <c r="O851" s="841"/>
      <c r="P851" s="841"/>
      <c r="Q851" s="841"/>
      <c r="R851" s="841"/>
      <c r="S851" s="841"/>
      <c r="T851" s="841"/>
      <c r="U851" s="841"/>
      <c r="V851" s="841"/>
      <c r="W851" s="841"/>
      <c r="X851" s="841"/>
      <c r="Y851" s="841"/>
      <c r="Z851" s="1226"/>
      <c r="AA851" s="1226"/>
      <c r="AB851" s="1226"/>
      <c r="AC851" s="1226"/>
      <c r="AD851" s="1226"/>
      <c r="AE851" s="1226"/>
      <c r="AF851" s="1226"/>
      <c r="AG851" s="1226"/>
      <c r="AH851" s="1226"/>
      <c r="AI851" s="841"/>
      <c r="AJ851" s="841"/>
      <c r="AK851" s="841"/>
      <c r="AL851" s="841"/>
      <c r="AM851" s="841"/>
      <c r="AN851" s="841"/>
      <c r="AO851" s="841"/>
      <c r="AP851" s="841"/>
      <c r="AQ851" s="841"/>
      <c r="AR851" s="841"/>
      <c r="AS851" s="842"/>
    </row>
    <row r="852" spans="1:45">
      <c r="A852" s="841"/>
      <c r="B852" s="841"/>
      <c r="C852" s="841"/>
      <c r="D852" s="841"/>
      <c r="E852" s="841"/>
      <c r="F852" s="841"/>
      <c r="G852" s="841"/>
      <c r="H852" s="841"/>
      <c r="I852" s="841"/>
      <c r="J852" s="841"/>
      <c r="K852" s="841"/>
      <c r="L852" s="841"/>
      <c r="M852" s="841"/>
      <c r="N852" s="841"/>
      <c r="O852" s="841"/>
      <c r="P852" s="841"/>
      <c r="Q852" s="841"/>
      <c r="R852" s="841"/>
      <c r="S852" s="841"/>
      <c r="T852" s="841"/>
      <c r="U852" s="841"/>
      <c r="V852" s="841"/>
      <c r="W852" s="841"/>
      <c r="X852" s="841"/>
      <c r="Y852" s="841"/>
      <c r="Z852" s="1226"/>
      <c r="AA852" s="1226"/>
      <c r="AB852" s="1226"/>
      <c r="AC852" s="1226"/>
      <c r="AD852" s="1226"/>
      <c r="AE852" s="1226"/>
      <c r="AF852" s="1226"/>
      <c r="AG852" s="1226"/>
      <c r="AH852" s="1226"/>
      <c r="AI852" s="841"/>
      <c r="AJ852" s="841"/>
      <c r="AK852" s="841"/>
      <c r="AL852" s="841"/>
      <c r="AM852" s="841"/>
      <c r="AN852" s="841"/>
      <c r="AO852" s="841"/>
      <c r="AP852" s="841"/>
      <c r="AQ852" s="841"/>
      <c r="AR852" s="841"/>
      <c r="AS852" s="842"/>
    </row>
    <row r="853" spans="1:45">
      <c r="A853" s="841"/>
      <c r="B853" s="841"/>
      <c r="C853" s="841"/>
      <c r="D853" s="841"/>
      <c r="E853" s="841"/>
      <c r="F853" s="841"/>
      <c r="G853" s="841"/>
      <c r="H853" s="841"/>
      <c r="I853" s="841"/>
      <c r="J853" s="841"/>
      <c r="K853" s="841"/>
      <c r="L853" s="841"/>
      <c r="M853" s="841"/>
      <c r="N853" s="841"/>
      <c r="O853" s="841"/>
      <c r="P853" s="841"/>
      <c r="Q853" s="841"/>
      <c r="R853" s="841"/>
      <c r="S853" s="841"/>
      <c r="T853" s="841"/>
      <c r="U853" s="841"/>
      <c r="V853" s="841"/>
      <c r="W853" s="841"/>
      <c r="X853" s="841"/>
      <c r="Y853" s="841"/>
      <c r="Z853" s="1226"/>
      <c r="AA853" s="1226"/>
      <c r="AB853" s="1226"/>
      <c r="AC853" s="1226"/>
      <c r="AD853" s="1226"/>
      <c r="AE853" s="1226"/>
      <c r="AF853" s="1226"/>
      <c r="AG853" s="1226"/>
      <c r="AH853" s="1226"/>
      <c r="AI853" s="841"/>
      <c r="AJ853" s="841"/>
      <c r="AK853" s="841"/>
      <c r="AL853" s="841"/>
      <c r="AM853" s="841"/>
      <c r="AN853" s="841"/>
      <c r="AO853" s="841"/>
      <c r="AP853" s="841"/>
      <c r="AQ853" s="841"/>
      <c r="AR853" s="841"/>
      <c r="AS853" s="842"/>
    </row>
    <row r="854" spans="1:45">
      <c r="A854" s="841"/>
      <c r="B854" s="841"/>
      <c r="C854" s="841"/>
      <c r="D854" s="841"/>
      <c r="E854" s="841"/>
      <c r="F854" s="841"/>
      <c r="G854" s="841"/>
      <c r="H854" s="841"/>
      <c r="I854" s="841"/>
      <c r="J854" s="841"/>
      <c r="K854" s="841"/>
      <c r="L854" s="841"/>
      <c r="M854" s="841"/>
      <c r="N854" s="841"/>
      <c r="O854" s="841"/>
      <c r="P854" s="841"/>
      <c r="Q854" s="841"/>
      <c r="R854" s="841"/>
      <c r="S854" s="841"/>
      <c r="T854" s="841"/>
      <c r="U854" s="841"/>
      <c r="V854" s="841"/>
      <c r="W854" s="841"/>
      <c r="X854" s="841"/>
      <c r="Y854" s="841"/>
      <c r="Z854" s="1226"/>
      <c r="AA854" s="1226"/>
      <c r="AB854" s="1226"/>
      <c r="AC854" s="1226"/>
      <c r="AD854" s="1226"/>
      <c r="AE854" s="1226"/>
      <c r="AF854" s="1226"/>
      <c r="AG854" s="1226"/>
      <c r="AH854" s="1226"/>
      <c r="AI854" s="841"/>
      <c r="AJ854" s="841"/>
      <c r="AK854" s="841"/>
      <c r="AL854" s="841"/>
      <c r="AM854" s="841"/>
      <c r="AN854" s="841"/>
      <c r="AO854" s="841"/>
      <c r="AP854" s="841"/>
      <c r="AQ854" s="841"/>
      <c r="AR854" s="841"/>
      <c r="AS854" s="842"/>
    </row>
    <row r="855" spans="1:45">
      <c r="A855" s="841"/>
      <c r="B855" s="841"/>
      <c r="C855" s="841"/>
      <c r="D855" s="841"/>
      <c r="E855" s="841"/>
      <c r="F855" s="841"/>
      <c r="G855" s="841"/>
      <c r="H855" s="841"/>
      <c r="I855" s="841"/>
      <c r="J855" s="841"/>
      <c r="K855" s="841"/>
      <c r="L855" s="841"/>
      <c r="M855" s="841"/>
      <c r="N855" s="841"/>
      <c r="O855" s="841"/>
      <c r="P855" s="841"/>
      <c r="Q855" s="841"/>
      <c r="R855" s="841"/>
      <c r="S855" s="841"/>
      <c r="T855" s="841"/>
      <c r="U855" s="841"/>
      <c r="V855" s="841"/>
      <c r="W855" s="841"/>
      <c r="X855" s="841"/>
      <c r="Y855" s="841"/>
      <c r="Z855" s="1226"/>
      <c r="AA855" s="1226"/>
      <c r="AB855" s="1226"/>
      <c r="AC855" s="1226"/>
      <c r="AD855" s="1226"/>
      <c r="AE855" s="1226"/>
      <c r="AF855" s="1226"/>
      <c r="AG855" s="1226"/>
      <c r="AH855" s="1226"/>
      <c r="AI855" s="841"/>
      <c r="AJ855" s="841"/>
      <c r="AK855" s="841"/>
      <c r="AL855" s="841"/>
      <c r="AM855" s="841"/>
      <c r="AN855" s="841"/>
      <c r="AO855" s="841"/>
      <c r="AP855" s="841"/>
      <c r="AQ855" s="841"/>
      <c r="AR855" s="841"/>
      <c r="AS855" s="842"/>
    </row>
    <row r="856" spans="1:45">
      <c r="A856" s="841"/>
      <c r="B856" s="841"/>
      <c r="C856" s="841"/>
      <c r="D856" s="841"/>
      <c r="E856" s="841"/>
      <c r="F856" s="841"/>
      <c r="G856" s="841"/>
      <c r="H856" s="841"/>
      <c r="I856" s="841"/>
      <c r="J856" s="841"/>
      <c r="K856" s="841"/>
      <c r="L856" s="841"/>
      <c r="M856" s="841"/>
      <c r="N856" s="841"/>
      <c r="O856" s="841"/>
      <c r="P856" s="841"/>
      <c r="Q856" s="841"/>
      <c r="R856" s="841"/>
      <c r="S856" s="841"/>
      <c r="T856" s="841"/>
      <c r="U856" s="841"/>
      <c r="V856" s="841"/>
      <c r="W856" s="841"/>
      <c r="X856" s="841"/>
      <c r="Y856" s="841"/>
      <c r="Z856" s="1226"/>
      <c r="AA856" s="1226"/>
      <c r="AB856" s="1226"/>
      <c r="AC856" s="1226"/>
      <c r="AD856" s="1226"/>
      <c r="AE856" s="1226"/>
      <c r="AF856" s="1226"/>
      <c r="AG856" s="1226"/>
      <c r="AH856" s="1226"/>
      <c r="AI856" s="841"/>
      <c r="AJ856" s="841"/>
      <c r="AK856" s="841"/>
      <c r="AL856" s="841"/>
      <c r="AM856" s="841"/>
      <c r="AN856" s="841"/>
      <c r="AO856" s="841"/>
      <c r="AP856" s="841"/>
      <c r="AQ856" s="841"/>
      <c r="AR856" s="841"/>
      <c r="AS856" s="842"/>
    </row>
    <row r="857" spans="1:45">
      <c r="A857" s="841"/>
      <c r="B857" s="841"/>
      <c r="C857" s="841"/>
      <c r="D857" s="841"/>
      <c r="E857" s="841"/>
      <c r="F857" s="841"/>
      <c r="G857" s="841"/>
      <c r="H857" s="841"/>
      <c r="I857" s="841"/>
      <c r="J857" s="841"/>
      <c r="K857" s="841"/>
      <c r="L857" s="841"/>
      <c r="M857" s="841"/>
      <c r="N857" s="841"/>
      <c r="O857" s="841"/>
      <c r="P857" s="841"/>
      <c r="Q857" s="841"/>
      <c r="R857" s="841"/>
      <c r="S857" s="841"/>
      <c r="T857" s="841"/>
      <c r="U857" s="841"/>
      <c r="V857" s="841"/>
      <c r="W857" s="841"/>
      <c r="X857" s="841"/>
      <c r="Y857" s="841"/>
      <c r="Z857" s="1226"/>
      <c r="AA857" s="1226"/>
      <c r="AB857" s="1226"/>
      <c r="AC857" s="1226"/>
      <c r="AD857" s="1226"/>
      <c r="AE857" s="1226"/>
      <c r="AF857" s="1226"/>
      <c r="AG857" s="1226"/>
      <c r="AH857" s="1226"/>
      <c r="AI857" s="841"/>
      <c r="AJ857" s="841"/>
      <c r="AK857" s="841"/>
      <c r="AL857" s="841"/>
      <c r="AM857" s="841"/>
      <c r="AN857" s="841"/>
      <c r="AO857" s="841"/>
      <c r="AP857" s="841"/>
      <c r="AQ857" s="841"/>
      <c r="AR857" s="841"/>
      <c r="AS857" s="842"/>
    </row>
    <row r="858" spans="1:45">
      <c r="A858" s="841"/>
      <c r="B858" s="841"/>
      <c r="C858" s="841"/>
      <c r="D858" s="841"/>
      <c r="E858" s="841"/>
      <c r="F858" s="841"/>
      <c r="G858" s="841"/>
      <c r="H858" s="841"/>
      <c r="I858" s="841"/>
      <c r="J858" s="841"/>
      <c r="K858" s="841"/>
      <c r="L858" s="841"/>
      <c r="M858" s="841"/>
      <c r="N858" s="841"/>
      <c r="O858" s="841"/>
      <c r="P858" s="841"/>
      <c r="Q858" s="841"/>
      <c r="R858" s="841"/>
      <c r="S858" s="841"/>
      <c r="T858" s="841"/>
      <c r="U858" s="841"/>
      <c r="V858" s="841"/>
      <c r="W858" s="841"/>
      <c r="X858" s="841"/>
      <c r="Y858" s="841"/>
      <c r="Z858" s="1226"/>
      <c r="AA858" s="1226"/>
      <c r="AB858" s="1226"/>
      <c r="AC858" s="1226"/>
      <c r="AD858" s="1226"/>
      <c r="AE858" s="1226"/>
      <c r="AF858" s="1226"/>
      <c r="AG858" s="1226"/>
      <c r="AH858" s="1226"/>
      <c r="AI858" s="841"/>
      <c r="AJ858" s="841"/>
      <c r="AK858" s="841"/>
      <c r="AL858" s="841"/>
      <c r="AM858" s="841"/>
      <c r="AN858" s="841"/>
      <c r="AO858" s="841"/>
      <c r="AP858" s="841"/>
      <c r="AQ858" s="841"/>
      <c r="AR858" s="841"/>
      <c r="AS858" s="842"/>
    </row>
    <row r="859" spans="1:45">
      <c r="A859" s="841"/>
      <c r="B859" s="841"/>
      <c r="C859" s="841"/>
      <c r="D859" s="841"/>
      <c r="E859" s="841"/>
      <c r="F859" s="841"/>
      <c r="G859" s="841"/>
      <c r="H859" s="841"/>
      <c r="I859" s="841"/>
      <c r="J859" s="841"/>
      <c r="K859" s="841"/>
      <c r="L859" s="841"/>
      <c r="M859" s="841"/>
      <c r="N859" s="841"/>
      <c r="O859" s="841"/>
      <c r="P859" s="841"/>
      <c r="Q859" s="841"/>
      <c r="R859" s="841"/>
      <c r="S859" s="841"/>
      <c r="T859" s="841"/>
      <c r="U859" s="841"/>
      <c r="V859" s="841"/>
      <c r="W859" s="841"/>
      <c r="X859" s="841"/>
      <c r="Y859" s="841"/>
      <c r="Z859" s="1226"/>
      <c r="AA859" s="1226"/>
      <c r="AB859" s="1226"/>
      <c r="AC859" s="1226"/>
      <c r="AD859" s="1226"/>
      <c r="AE859" s="1226"/>
      <c r="AF859" s="1226"/>
      <c r="AG859" s="1226"/>
      <c r="AH859" s="1226"/>
      <c r="AI859" s="841"/>
      <c r="AJ859" s="841"/>
      <c r="AK859" s="841"/>
      <c r="AL859" s="841"/>
      <c r="AM859" s="841"/>
      <c r="AN859" s="841"/>
      <c r="AO859" s="841"/>
      <c r="AP859" s="841"/>
      <c r="AQ859" s="841"/>
      <c r="AR859" s="841"/>
      <c r="AS859" s="842"/>
    </row>
    <row r="860" spans="1:45">
      <c r="A860" s="841"/>
      <c r="B860" s="841"/>
      <c r="C860" s="841"/>
      <c r="D860" s="841"/>
      <c r="E860" s="841"/>
      <c r="F860" s="841"/>
      <c r="G860" s="841"/>
      <c r="H860" s="841"/>
      <c r="I860" s="841"/>
      <c r="J860" s="841"/>
      <c r="K860" s="841"/>
      <c r="L860" s="841"/>
      <c r="M860" s="841"/>
      <c r="N860" s="841"/>
      <c r="O860" s="841"/>
      <c r="P860" s="841"/>
      <c r="Q860" s="841"/>
      <c r="R860" s="841"/>
      <c r="S860" s="841"/>
      <c r="T860" s="841"/>
      <c r="U860" s="841"/>
      <c r="V860" s="841"/>
      <c r="W860" s="841"/>
      <c r="X860" s="841"/>
      <c r="Y860" s="841"/>
      <c r="Z860" s="1226"/>
      <c r="AA860" s="1226"/>
      <c r="AB860" s="1226"/>
      <c r="AC860" s="1226"/>
      <c r="AD860" s="1226"/>
      <c r="AE860" s="1226"/>
      <c r="AF860" s="1226"/>
      <c r="AG860" s="1226"/>
      <c r="AH860" s="1226"/>
      <c r="AI860" s="841"/>
      <c r="AJ860" s="841"/>
      <c r="AK860" s="841"/>
      <c r="AL860" s="841"/>
      <c r="AM860" s="841"/>
      <c r="AN860" s="841"/>
      <c r="AO860" s="841"/>
      <c r="AP860" s="841"/>
      <c r="AQ860" s="841"/>
      <c r="AR860" s="841"/>
      <c r="AS860" s="842"/>
    </row>
    <row r="861" spans="1:45">
      <c r="A861" s="841"/>
      <c r="B861" s="841"/>
      <c r="C861" s="841"/>
      <c r="D861" s="841"/>
      <c r="E861" s="841"/>
      <c r="F861" s="841"/>
      <c r="G861" s="841"/>
      <c r="H861" s="841"/>
      <c r="I861" s="841"/>
      <c r="J861" s="841"/>
      <c r="K861" s="841"/>
      <c r="L861" s="841"/>
      <c r="M861" s="841"/>
      <c r="N861" s="841"/>
      <c r="O861" s="841"/>
      <c r="P861" s="841"/>
      <c r="Q861" s="841"/>
      <c r="R861" s="841"/>
      <c r="S861" s="841"/>
      <c r="T861" s="841"/>
      <c r="U861" s="841"/>
      <c r="V861" s="841"/>
      <c r="W861" s="841"/>
      <c r="X861" s="841"/>
      <c r="Y861" s="841"/>
      <c r="Z861" s="1226"/>
      <c r="AA861" s="1226"/>
      <c r="AB861" s="1226"/>
      <c r="AC861" s="1226"/>
      <c r="AD861" s="1226"/>
      <c r="AE861" s="1226"/>
      <c r="AF861" s="1226"/>
      <c r="AG861" s="1226"/>
      <c r="AH861" s="1226"/>
      <c r="AI861" s="841"/>
      <c r="AJ861" s="841"/>
      <c r="AK861" s="841"/>
      <c r="AL861" s="841"/>
      <c r="AM861" s="841"/>
      <c r="AN861" s="841"/>
      <c r="AO861" s="841"/>
      <c r="AP861" s="841"/>
      <c r="AQ861" s="841"/>
      <c r="AR861" s="841"/>
      <c r="AS861" s="842"/>
    </row>
    <row r="862" spans="1:45">
      <c r="A862" s="841"/>
      <c r="B862" s="841"/>
      <c r="C862" s="841"/>
      <c r="D862" s="841"/>
      <c r="E862" s="841"/>
      <c r="F862" s="841"/>
      <c r="G862" s="841"/>
      <c r="H862" s="841"/>
      <c r="I862" s="841"/>
      <c r="J862" s="841"/>
      <c r="K862" s="841"/>
      <c r="L862" s="841"/>
      <c r="M862" s="841"/>
      <c r="N862" s="841"/>
      <c r="O862" s="841"/>
      <c r="P862" s="841"/>
      <c r="Q862" s="841"/>
      <c r="R862" s="841"/>
      <c r="S862" s="841"/>
      <c r="T862" s="841"/>
      <c r="U862" s="841"/>
      <c r="V862" s="841"/>
      <c r="W862" s="841"/>
      <c r="X862" s="841"/>
      <c r="Y862" s="841"/>
      <c r="Z862" s="1226"/>
      <c r="AA862" s="1226"/>
      <c r="AB862" s="1226"/>
      <c r="AC862" s="1226"/>
      <c r="AD862" s="1226"/>
      <c r="AE862" s="1226"/>
      <c r="AF862" s="1226"/>
      <c r="AG862" s="1226"/>
      <c r="AH862" s="1226"/>
      <c r="AI862" s="841"/>
      <c r="AJ862" s="841"/>
      <c r="AK862" s="841"/>
      <c r="AL862" s="841"/>
      <c r="AM862" s="841"/>
      <c r="AN862" s="841"/>
      <c r="AO862" s="841"/>
      <c r="AP862" s="841"/>
      <c r="AQ862" s="841"/>
      <c r="AR862" s="841"/>
      <c r="AS862" s="842"/>
    </row>
    <row r="863" spans="1:45">
      <c r="A863" s="841"/>
      <c r="B863" s="841"/>
      <c r="C863" s="841"/>
      <c r="D863" s="841"/>
      <c r="E863" s="841"/>
      <c r="F863" s="841"/>
      <c r="G863" s="841"/>
      <c r="H863" s="841"/>
      <c r="I863" s="841"/>
      <c r="J863" s="841"/>
      <c r="K863" s="841"/>
      <c r="L863" s="841"/>
      <c r="M863" s="841"/>
      <c r="N863" s="841"/>
      <c r="O863" s="841"/>
      <c r="P863" s="841"/>
      <c r="Q863" s="841"/>
      <c r="R863" s="841"/>
      <c r="S863" s="841"/>
      <c r="T863" s="841"/>
      <c r="U863" s="841"/>
      <c r="V863" s="841"/>
      <c r="W863" s="841"/>
      <c r="X863" s="841"/>
      <c r="Y863" s="841"/>
      <c r="Z863" s="1226"/>
      <c r="AA863" s="1226"/>
      <c r="AB863" s="1226"/>
      <c r="AC863" s="1226"/>
      <c r="AD863" s="1226"/>
      <c r="AE863" s="1226"/>
      <c r="AF863" s="1226"/>
      <c r="AG863" s="1226"/>
      <c r="AH863" s="1226"/>
      <c r="AI863" s="841"/>
      <c r="AJ863" s="841"/>
      <c r="AK863" s="841"/>
      <c r="AL863" s="841"/>
      <c r="AM863" s="841"/>
      <c r="AN863" s="841"/>
      <c r="AO863" s="841"/>
      <c r="AP863" s="841"/>
      <c r="AQ863" s="841"/>
      <c r="AR863" s="841"/>
      <c r="AS863" s="842"/>
    </row>
    <row r="864" spans="1:45">
      <c r="A864" s="841"/>
      <c r="B864" s="841"/>
      <c r="C864" s="841"/>
      <c r="D864" s="841"/>
      <c r="E864" s="841"/>
      <c r="F864" s="841"/>
      <c r="G864" s="841"/>
      <c r="H864" s="841"/>
      <c r="I864" s="841"/>
      <c r="J864" s="841"/>
      <c r="K864" s="841"/>
      <c r="L864" s="841"/>
      <c r="M864" s="841"/>
      <c r="N864" s="841"/>
      <c r="O864" s="841"/>
      <c r="P864" s="841"/>
      <c r="Q864" s="841"/>
      <c r="R864" s="841"/>
      <c r="S864" s="841"/>
      <c r="T864" s="841"/>
      <c r="U864" s="841"/>
      <c r="V864" s="841"/>
      <c r="W864" s="841"/>
      <c r="X864" s="841"/>
      <c r="Y864" s="841"/>
      <c r="Z864" s="1226"/>
      <c r="AA864" s="1226"/>
      <c r="AB864" s="1226"/>
      <c r="AC864" s="1226"/>
      <c r="AD864" s="1226"/>
      <c r="AE864" s="1226"/>
      <c r="AF864" s="1226"/>
      <c r="AG864" s="1226"/>
      <c r="AH864" s="1226"/>
      <c r="AI864" s="841"/>
      <c r="AJ864" s="841"/>
      <c r="AK864" s="841"/>
      <c r="AL864" s="841"/>
      <c r="AM864" s="841"/>
      <c r="AN864" s="841"/>
      <c r="AO864" s="841"/>
      <c r="AP864" s="841"/>
      <c r="AQ864" s="841"/>
      <c r="AR864" s="841"/>
      <c r="AS864" s="842"/>
    </row>
    <row r="865" spans="1:45">
      <c r="A865" s="841"/>
      <c r="B865" s="841"/>
      <c r="C865" s="841"/>
      <c r="D865" s="841"/>
      <c r="E865" s="841"/>
      <c r="F865" s="841"/>
      <c r="G865" s="841"/>
      <c r="H865" s="841"/>
      <c r="I865" s="841"/>
      <c r="J865" s="841"/>
      <c r="K865" s="841"/>
      <c r="L865" s="841"/>
      <c r="M865" s="841"/>
      <c r="N865" s="841"/>
      <c r="O865" s="841"/>
      <c r="P865" s="841"/>
      <c r="Q865" s="841"/>
      <c r="R865" s="841"/>
      <c r="S865" s="841"/>
      <c r="T865" s="841"/>
      <c r="U865" s="841"/>
      <c r="V865" s="841"/>
      <c r="W865" s="841"/>
      <c r="X865" s="841"/>
      <c r="Y865" s="841"/>
      <c r="Z865" s="1226"/>
      <c r="AA865" s="1226"/>
      <c r="AB865" s="1226"/>
      <c r="AC865" s="1226"/>
      <c r="AD865" s="1226"/>
      <c r="AE865" s="1226"/>
      <c r="AF865" s="1226"/>
      <c r="AG865" s="1226"/>
      <c r="AH865" s="1226"/>
      <c r="AI865" s="841"/>
      <c r="AJ865" s="841"/>
      <c r="AK865" s="841"/>
      <c r="AL865" s="841"/>
      <c r="AM865" s="841"/>
      <c r="AN865" s="841"/>
      <c r="AO865" s="841"/>
      <c r="AP865" s="841"/>
      <c r="AQ865" s="841"/>
      <c r="AR865" s="841"/>
      <c r="AS865" s="842"/>
    </row>
    <row r="866" spans="1:45">
      <c r="A866" s="841"/>
      <c r="B866" s="841"/>
      <c r="C866" s="841"/>
      <c r="D866" s="841"/>
      <c r="E866" s="841"/>
      <c r="F866" s="841"/>
      <c r="G866" s="841"/>
      <c r="H866" s="841"/>
      <c r="I866" s="841"/>
      <c r="J866" s="841"/>
      <c r="K866" s="841"/>
      <c r="L866" s="841"/>
      <c r="M866" s="841"/>
      <c r="N866" s="841"/>
      <c r="O866" s="841"/>
      <c r="P866" s="841"/>
      <c r="Q866" s="841"/>
      <c r="R866" s="841"/>
      <c r="S866" s="841"/>
      <c r="T866" s="841"/>
      <c r="U866" s="841"/>
      <c r="V866" s="841"/>
      <c r="W866" s="841"/>
      <c r="X866" s="841"/>
      <c r="Y866" s="841"/>
      <c r="Z866" s="1226"/>
      <c r="AA866" s="1226"/>
      <c r="AB866" s="1226"/>
      <c r="AC866" s="1226"/>
      <c r="AD866" s="1226"/>
      <c r="AE866" s="1226"/>
      <c r="AF866" s="1226"/>
      <c r="AG866" s="1226"/>
      <c r="AH866" s="1226"/>
      <c r="AI866" s="841"/>
      <c r="AJ866" s="841"/>
      <c r="AK866" s="841"/>
      <c r="AL866" s="841"/>
      <c r="AM866" s="841"/>
      <c r="AN866" s="841"/>
      <c r="AO866" s="841"/>
      <c r="AP866" s="841"/>
      <c r="AQ866" s="841"/>
      <c r="AR866" s="841"/>
      <c r="AS866" s="842"/>
    </row>
    <row r="867" spans="1:45">
      <c r="A867" s="841"/>
      <c r="B867" s="841"/>
      <c r="C867" s="841"/>
      <c r="D867" s="841"/>
      <c r="E867" s="841"/>
      <c r="F867" s="841"/>
      <c r="G867" s="841"/>
      <c r="H867" s="841"/>
      <c r="I867" s="841"/>
      <c r="J867" s="841"/>
      <c r="K867" s="841"/>
      <c r="L867" s="841"/>
      <c r="M867" s="841"/>
      <c r="N867" s="841"/>
      <c r="O867" s="841"/>
      <c r="P867" s="841"/>
      <c r="Q867" s="841"/>
      <c r="R867" s="841"/>
      <c r="S867" s="841"/>
      <c r="T867" s="841"/>
      <c r="U867" s="841"/>
      <c r="V867" s="841"/>
      <c r="W867" s="841"/>
      <c r="X867" s="841"/>
      <c r="Y867" s="841"/>
      <c r="Z867" s="1226"/>
      <c r="AA867" s="1226"/>
      <c r="AB867" s="1226"/>
      <c r="AC867" s="1226"/>
      <c r="AD867" s="1226"/>
      <c r="AE867" s="1226"/>
      <c r="AF867" s="1226"/>
      <c r="AG867" s="1226"/>
      <c r="AH867" s="1226"/>
      <c r="AI867" s="841"/>
      <c r="AJ867" s="841"/>
      <c r="AK867" s="841"/>
      <c r="AL867" s="841"/>
      <c r="AM867" s="841"/>
      <c r="AN867" s="841"/>
      <c r="AO867" s="841"/>
      <c r="AP867" s="841"/>
      <c r="AQ867" s="841"/>
      <c r="AR867" s="841"/>
      <c r="AS867" s="842"/>
    </row>
    <row r="868" spans="1:45">
      <c r="A868" s="841"/>
      <c r="B868" s="841"/>
      <c r="C868" s="841"/>
      <c r="D868" s="841"/>
      <c r="E868" s="841"/>
      <c r="F868" s="841"/>
      <c r="G868" s="841"/>
      <c r="H868" s="841"/>
      <c r="I868" s="841"/>
      <c r="J868" s="841"/>
      <c r="K868" s="841"/>
      <c r="L868" s="841"/>
      <c r="M868" s="841"/>
      <c r="N868" s="841"/>
      <c r="O868" s="841"/>
      <c r="P868" s="841"/>
      <c r="Q868" s="841"/>
      <c r="R868" s="841"/>
      <c r="S868" s="841"/>
      <c r="T868" s="841"/>
      <c r="U868" s="841"/>
      <c r="V868" s="841"/>
      <c r="W868" s="841"/>
      <c r="X868" s="841"/>
      <c r="Y868" s="841"/>
      <c r="Z868" s="1226"/>
      <c r="AA868" s="1226"/>
      <c r="AB868" s="1226"/>
      <c r="AC868" s="1226"/>
      <c r="AD868" s="1226"/>
      <c r="AE868" s="1226"/>
      <c r="AF868" s="1226"/>
      <c r="AG868" s="1226"/>
      <c r="AH868" s="1226"/>
      <c r="AI868" s="841"/>
      <c r="AJ868" s="841"/>
      <c r="AK868" s="841"/>
      <c r="AL868" s="841"/>
      <c r="AM868" s="841"/>
      <c r="AN868" s="841"/>
      <c r="AO868" s="841"/>
      <c r="AP868" s="841"/>
      <c r="AQ868" s="841"/>
      <c r="AR868" s="841"/>
      <c r="AS868" s="842"/>
    </row>
    <row r="869" spans="1:45">
      <c r="A869" s="841"/>
      <c r="B869" s="841"/>
      <c r="C869" s="841"/>
      <c r="D869" s="841"/>
      <c r="E869" s="841"/>
      <c r="F869" s="841"/>
      <c r="G869" s="841"/>
      <c r="H869" s="841"/>
      <c r="I869" s="841"/>
      <c r="J869" s="841"/>
      <c r="K869" s="841"/>
      <c r="L869" s="841"/>
      <c r="M869" s="841"/>
      <c r="N869" s="841"/>
      <c r="O869" s="841"/>
      <c r="P869" s="841"/>
      <c r="Q869" s="841"/>
      <c r="R869" s="841"/>
      <c r="S869" s="841"/>
      <c r="T869" s="841"/>
      <c r="U869" s="841"/>
      <c r="V869" s="841"/>
      <c r="W869" s="841"/>
      <c r="X869" s="841"/>
      <c r="Y869" s="841"/>
      <c r="Z869" s="1226"/>
      <c r="AA869" s="1226"/>
      <c r="AB869" s="1226"/>
      <c r="AC869" s="1226"/>
      <c r="AD869" s="1226"/>
      <c r="AE869" s="1226"/>
      <c r="AF869" s="1226"/>
      <c r="AG869" s="1226"/>
      <c r="AH869" s="1226"/>
      <c r="AI869" s="841"/>
      <c r="AJ869" s="841"/>
      <c r="AK869" s="841"/>
      <c r="AL869" s="841"/>
      <c r="AM869" s="841"/>
      <c r="AN869" s="841"/>
      <c r="AO869" s="841"/>
      <c r="AP869" s="841"/>
      <c r="AQ869" s="841"/>
      <c r="AR869" s="841"/>
      <c r="AS869" s="842"/>
    </row>
    <row r="870" spans="1:45">
      <c r="A870" s="841"/>
      <c r="B870" s="841"/>
      <c r="C870" s="841"/>
      <c r="D870" s="841"/>
      <c r="E870" s="841"/>
      <c r="F870" s="841"/>
      <c r="G870" s="841"/>
      <c r="H870" s="841"/>
      <c r="I870" s="841"/>
      <c r="J870" s="841"/>
      <c r="K870" s="841"/>
      <c r="L870" s="841"/>
      <c r="M870" s="841"/>
      <c r="N870" s="841"/>
      <c r="O870" s="841"/>
      <c r="P870" s="841"/>
      <c r="Q870" s="841"/>
      <c r="R870" s="841"/>
      <c r="S870" s="841"/>
      <c r="T870" s="841"/>
      <c r="U870" s="841"/>
      <c r="V870" s="841"/>
      <c r="W870" s="841"/>
      <c r="X870" s="841"/>
      <c r="Y870" s="841"/>
      <c r="Z870" s="1226"/>
      <c r="AA870" s="1226"/>
      <c r="AB870" s="1226"/>
      <c r="AC870" s="1226"/>
      <c r="AD870" s="1226"/>
      <c r="AE870" s="1226"/>
      <c r="AF870" s="1226"/>
      <c r="AG870" s="1226"/>
      <c r="AH870" s="1226"/>
      <c r="AI870" s="841"/>
      <c r="AJ870" s="841"/>
      <c r="AK870" s="841"/>
      <c r="AL870" s="841"/>
      <c r="AM870" s="841"/>
      <c r="AN870" s="841"/>
      <c r="AO870" s="841"/>
      <c r="AP870" s="841"/>
      <c r="AQ870" s="841"/>
      <c r="AR870" s="841"/>
      <c r="AS870" s="842"/>
    </row>
    <row r="871" spans="1:45">
      <c r="A871" s="841"/>
      <c r="B871" s="841"/>
      <c r="C871" s="841"/>
      <c r="D871" s="841"/>
      <c r="E871" s="841"/>
      <c r="F871" s="841"/>
      <c r="G871" s="841"/>
      <c r="H871" s="841"/>
      <c r="I871" s="841"/>
      <c r="J871" s="841"/>
      <c r="K871" s="841"/>
      <c r="L871" s="841"/>
      <c r="M871" s="841"/>
      <c r="N871" s="841"/>
      <c r="O871" s="841"/>
      <c r="P871" s="841"/>
      <c r="Q871" s="841"/>
      <c r="R871" s="841"/>
      <c r="S871" s="841"/>
      <c r="T871" s="841"/>
      <c r="U871" s="841"/>
      <c r="V871" s="841"/>
      <c r="W871" s="841"/>
      <c r="X871" s="841"/>
      <c r="Y871" s="841"/>
      <c r="Z871" s="1226"/>
      <c r="AA871" s="1226"/>
      <c r="AB871" s="1226"/>
      <c r="AC871" s="1226"/>
      <c r="AD871" s="1226"/>
      <c r="AE871" s="1226"/>
      <c r="AF871" s="1226"/>
      <c r="AG871" s="1226"/>
      <c r="AH871" s="1226"/>
      <c r="AI871" s="841"/>
      <c r="AJ871" s="841"/>
      <c r="AK871" s="841"/>
      <c r="AL871" s="841"/>
      <c r="AM871" s="841"/>
      <c r="AN871" s="841"/>
      <c r="AO871" s="841"/>
      <c r="AP871" s="841"/>
      <c r="AQ871" s="841"/>
      <c r="AR871" s="841"/>
      <c r="AS871" s="842"/>
    </row>
    <row r="872" spans="1:45">
      <c r="A872" s="841"/>
      <c r="B872" s="841"/>
      <c r="C872" s="841"/>
      <c r="D872" s="841"/>
      <c r="E872" s="841"/>
      <c r="F872" s="841"/>
      <c r="G872" s="841"/>
      <c r="H872" s="841"/>
      <c r="I872" s="841"/>
      <c r="J872" s="841"/>
      <c r="K872" s="841"/>
      <c r="L872" s="841"/>
      <c r="M872" s="841"/>
      <c r="N872" s="841"/>
      <c r="O872" s="841"/>
      <c r="P872" s="841"/>
      <c r="Q872" s="841"/>
      <c r="R872" s="841"/>
      <c r="S872" s="841"/>
      <c r="T872" s="841"/>
      <c r="U872" s="841"/>
      <c r="V872" s="841"/>
      <c r="W872" s="841"/>
      <c r="X872" s="841"/>
      <c r="Y872" s="841"/>
      <c r="Z872" s="1226"/>
      <c r="AA872" s="1226"/>
      <c r="AB872" s="1226"/>
      <c r="AC872" s="1226"/>
      <c r="AD872" s="1226"/>
      <c r="AE872" s="1226"/>
      <c r="AF872" s="1226"/>
      <c r="AG872" s="1226"/>
      <c r="AH872" s="1226"/>
      <c r="AI872" s="841"/>
      <c r="AJ872" s="841"/>
      <c r="AK872" s="841"/>
      <c r="AL872" s="841"/>
      <c r="AM872" s="841"/>
      <c r="AN872" s="841"/>
      <c r="AO872" s="841"/>
      <c r="AP872" s="841"/>
      <c r="AQ872" s="841"/>
      <c r="AR872" s="841"/>
      <c r="AS872" s="842"/>
    </row>
    <row r="873" spans="1:45">
      <c r="A873" s="841"/>
      <c r="B873" s="841"/>
      <c r="C873" s="841"/>
      <c r="D873" s="841"/>
      <c r="E873" s="841"/>
      <c r="F873" s="841"/>
      <c r="G873" s="841"/>
      <c r="H873" s="841"/>
      <c r="I873" s="841"/>
      <c r="J873" s="841"/>
      <c r="K873" s="841"/>
      <c r="L873" s="841"/>
      <c r="M873" s="841"/>
      <c r="N873" s="841"/>
      <c r="O873" s="841"/>
      <c r="P873" s="841"/>
      <c r="Q873" s="841"/>
      <c r="R873" s="841"/>
      <c r="S873" s="841"/>
      <c r="T873" s="841"/>
      <c r="U873" s="841"/>
      <c r="V873" s="841"/>
      <c r="W873" s="841"/>
      <c r="X873" s="841"/>
      <c r="Y873" s="841"/>
      <c r="Z873" s="1226"/>
      <c r="AA873" s="1226"/>
      <c r="AB873" s="1226"/>
      <c r="AC873" s="1226"/>
      <c r="AD873" s="1226"/>
      <c r="AE873" s="1226"/>
      <c r="AF873" s="1226"/>
      <c r="AG873" s="1226"/>
      <c r="AH873" s="1226"/>
      <c r="AI873" s="841"/>
      <c r="AJ873" s="841"/>
      <c r="AK873" s="841"/>
      <c r="AL873" s="841"/>
      <c r="AM873" s="841"/>
      <c r="AN873" s="841"/>
      <c r="AO873" s="841"/>
      <c r="AP873" s="841"/>
      <c r="AQ873" s="841"/>
      <c r="AR873" s="841"/>
      <c r="AS873" s="842"/>
    </row>
    <row r="874" spans="1:45">
      <c r="A874" s="841"/>
      <c r="B874" s="841"/>
      <c r="C874" s="841"/>
      <c r="D874" s="841"/>
      <c r="E874" s="841"/>
      <c r="F874" s="841"/>
      <c r="G874" s="841"/>
      <c r="H874" s="841"/>
      <c r="I874" s="841"/>
      <c r="J874" s="841"/>
      <c r="K874" s="841"/>
      <c r="L874" s="841"/>
      <c r="M874" s="841"/>
      <c r="N874" s="841"/>
      <c r="O874" s="841"/>
      <c r="P874" s="841"/>
      <c r="Q874" s="841"/>
      <c r="R874" s="841"/>
      <c r="S874" s="841"/>
      <c r="T874" s="841"/>
      <c r="U874" s="841"/>
      <c r="V874" s="841"/>
      <c r="W874" s="841"/>
      <c r="X874" s="841"/>
      <c r="Y874" s="841"/>
      <c r="Z874" s="1226"/>
      <c r="AA874" s="1226"/>
      <c r="AB874" s="1226"/>
      <c r="AC874" s="1226"/>
      <c r="AD874" s="1226"/>
      <c r="AE874" s="1226"/>
      <c r="AF874" s="1226"/>
      <c r="AG874" s="1226"/>
      <c r="AH874" s="1226"/>
      <c r="AI874" s="841"/>
      <c r="AJ874" s="841"/>
      <c r="AK874" s="841"/>
      <c r="AL874" s="841"/>
      <c r="AM874" s="841"/>
      <c r="AN874" s="841"/>
      <c r="AO874" s="841"/>
      <c r="AP874" s="841"/>
      <c r="AQ874" s="841"/>
      <c r="AR874" s="841"/>
      <c r="AS874" s="842"/>
    </row>
    <row r="875" spans="1:45">
      <c r="A875" s="841"/>
      <c r="B875" s="841"/>
      <c r="C875" s="841"/>
      <c r="D875" s="841"/>
      <c r="E875" s="841"/>
      <c r="F875" s="841"/>
      <c r="G875" s="841"/>
      <c r="H875" s="841"/>
      <c r="I875" s="841"/>
      <c r="J875" s="841"/>
      <c r="K875" s="841"/>
      <c r="L875" s="841"/>
      <c r="M875" s="841"/>
      <c r="N875" s="841"/>
      <c r="O875" s="841"/>
      <c r="P875" s="841"/>
      <c r="Q875" s="841"/>
      <c r="R875" s="841"/>
      <c r="S875" s="841"/>
      <c r="T875" s="841"/>
      <c r="U875" s="841"/>
      <c r="V875" s="841"/>
      <c r="W875" s="841"/>
      <c r="X875" s="841"/>
      <c r="Y875" s="841"/>
      <c r="Z875" s="1226"/>
      <c r="AA875" s="1226"/>
      <c r="AB875" s="1226"/>
      <c r="AC875" s="1226"/>
      <c r="AD875" s="1226"/>
      <c r="AE875" s="1226"/>
      <c r="AF875" s="1226"/>
      <c r="AG875" s="1226"/>
      <c r="AH875" s="1226"/>
      <c r="AI875" s="841"/>
      <c r="AJ875" s="841"/>
      <c r="AK875" s="841"/>
      <c r="AL875" s="841"/>
      <c r="AM875" s="841"/>
      <c r="AN875" s="841"/>
      <c r="AO875" s="841"/>
      <c r="AP875" s="841"/>
      <c r="AQ875" s="841"/>
      <c r="AR875" s="841"/>
      <c r="AS875" s="842"/>
    </row>
    <row r="876" spans="1:45">
      <c r="A876" s="841"/>
      <c r="B876" s="841"/>
      <c r="C876" s="841"/>
      <c r="D876" s="841"/>
      <c r="E876" s="841"/>
      <c r="F876" s="841"/>
      <c r="G876" s="841"/>
      <c r="H876" s="841"/>
      <c r="I876" s="841"/>
      <c r="J876" s="841"/>
      <c r="K876" s="841"/>
      <c r="L876" s="841"/>
      <c r="M876" s="841"/>
      <c r="N876" s="841"/>
      <c r="O876" s="841"/>
      <c r="P876" s="841"/>
      <c r="Q876" s="841"/>
      <c r="R876" s="841"/>
      <c r="S876" s="841"/>
      <c r="T876" s="841"/>
      <c r="U876" s="841"/>
      <c r="V876" s="841"/>
      <c r="W876" s="841"/>
      <c r="X876" s="841"/>
      <c r="Y876" s="841"/>
      <c r="Z876" s="1226"/>
      <c r="AA876" s="1226"/>
      <c r="AB876" s="1226"/>
      <c r="AC876" s="1226"/>
      <c r="AD876" s="1226"/>
      <c r="AE876" s="1226"/>
      <c r="AF876" s="1226"/>
      <c r="AG876" s="1226"/>
      <c r="AH876" s="1226"/>
      <c r="AI876" s="841"/>
      <c r="AJ876" s="841"/>
      <c r="AK876" s="841"/>
      <c r="AL876" s="841"/>
      <c r="AM876" s="841"/>
      <c r="AN876" s="841"/>
      <c r="AO876" s="841"/>
      <c r="AP876" s="841"/>
      <c r="AQ876" s="841"/>
      <c r="AR876" s="841"/>
      <c r="AS876" s="842"/>
    </row>
    <row r="877" spans="1:45">
      <c r="A877" s="841"/>
      <c r="B877" s="841"/>
      <c r="C877" s="841"/>
      <c r="D877" s="841"/>
      <c r="E877" s="841"/>
      <c r="F877" s="841"/>
      <c r="G877" s="841"/>
      <c r="H877" s="841"/>
      <c r="I877" s="841"/>
      <c r="J877" s="841"/>
      <c r="K877" s="841"/>
      <c r="L877" s="841"/>
      <c r="M877" s="841"/>
      <c r="N877" s="841"/>
      <c r="O877" s="841"/>
      <c r="P877" s="841"/>
      <c r="Q877" s="841"/>
      <c r="R877" s="841"/>
      <c r="S877" s="841"/>
      <c r="T877" s="841"/>
      <c r="U877" s="841"/>
      <c r="V877" s="841"/>
      <c r="W877" s="841"/>
      <c r="X877" s="841"/>
      <c r="Y877" s="841"/>
      <c r="Z877" s="1226"/>
      <c r="AA877" s="1226"/>
      <c r="AB877" s="1226"/>
      <c r="AC877" s="1226"/>
      <c r="AD877" s="1226"/>
      <c r="AE877" s="1226"/>
      <c r="AF877" s="1226"/>
      <c r="AG877" s="1226"/>
      <c r="AH877" s="1226"/>
      <c r="AI877" s="841"/>
      <c r="AJ877" s="841"/>
      <c r="AK877" s="841"/>
      <c r="AL877" s="841"/>
      <c r="AM877" s="841"/>
      <c r="AN877" s="841"/>
      <c r="AO877" s="841"/>
      <c r="AP877" s="841"/>
      <c r="AQ877" s="841"/>
      <c r="AR877" s="841"/>
      <c r="AS877" s="842"/>
    </row>
    <row r="878" spans="1:45">
      <c r="A878" s="841"/>
      <c r="B878" s="841"/>
      <c r="C878" s="841"/>
      <c r="D878" s="841"/>
      <c r="E878" s="841"/>
      <c r="F878" s="841"/>
      <c r="G878" s="841"/>
      <c r="H878" s="841"/>
      <c r="I878" s="841"/>
      <c r="J878" s="841"/>
      <c r="K878" s="841"/>
      <c r="L878" s="841"/>
      <c r="M878" s="841"/>
      <c r="N878" s="841"/>
      <c r="O878" s="841"/>
      <c r="P878" s="841"/>
      <c r="Q878" s="841"/>
      <c r="R878" s="841"/>
      <c r="S878" s="841"/>
      <c r="T878" s="841"/>
      <c r="U878" s="841"/>
      <c r="V878" s="841"/>
      <c r="W878" s="841"/>
      <c r="X878" s="841"/>
      <c r="Y878" s="841"/>
      <c r="Z878" s="1226"/>
      <c r="AA878" s="1226"/>
      <c r="AB878" s="1226"/>
      <c r="AC878" s="1226"/>
      <c r="AD878" s="1226"/>
      <c r="AE878" s="1226"/>
      <c r="AF878" s="1226"/>
      <c r="AG878" s="1226"/>
      <c r="AH878" s="1226"/>
      <c r="AI878" s="841"/>
      <c r="AJ878" s="841"/>
      <c r="AK878" s="841"/>
      <c r="AL878" s="841"/>
      <c r="AM878" s="841"/>
      <c r="AN878" s="841"/>
      <c r="AO878" s="841"/>
      <c r="AP878" s="841"/>
      <c r="AQ878" s="841"/>
      <c r="AR878" s="841"/>
      <c r="AS878" s="842"/>
    </row>
    <row r="879" spans="1:45">
      <c r="A879" s="841"/>
      <c r="B879" s="841"/>
      <c r="C879" s="841"/>
      <c r="D879" s="841"/>
      <c r="E879" s="841"/>
      <c r="F879" s="841"/>
      <c r="G879" s="841"/>
      <c r="H879" s="841"/>
      <c r="I879" s="841"/>
      <c r="J879" s="841"/>
      <c r="K879" s="841"/>
      <c r="L879" s="841"/>
      <c r="M879" s="841"/>
      <c r="N879" s="841"/>
      <c r="O879" s="841"/>
      <c r="P879" s="841"/>
      <c r="Q879" s="841"/>
      <c r="R879" s="841"/>
      <c r="S879" s="841"/>
      <c r="T879" s="841"/>
      <c r="U879" s="841"/>
      <c r="V879" s="841"/>
      <c r="W879" s="841"/>
      <c r="X879" s="841"/>
      <c r="Y879" s="841"/>
      <c r="Z879" s="1226"/>
      <c r="AA879" s="1226"/>
      <c r="AB879" s="1226"/>
      <c r="AC879" s="1226"/>
      <c r="AD879" s="1226"/>
      <c r="AE879" s="1226"/>
      <c r="AF879" s="1226"/>
      <c r="AG879" s="1226"/>
      <c r="AH879" s="1226"/>
      <c r="AI879" s="841"/>
      <c r="AJ879" s="841"/>
      <c r="AK879" s="841"/>
      <c r="AL879" s="841"/>
      <c r="AM879" s="841"/>
      <c r="AN879" s="841"/>
      <c r="AO879" s="841"/>
      <c r="AP879" s="841"/>
      <c r="AQ879" s="841"/>
      <c r="AR879" s="841"/>
      <c r="AS879" s="842"/>
    </row>
    <row r="880" spans="1:45">
      <c r="A880" s="841"/>
      <c r="B880" s="841"/>
      <c r="C880" s="841"/>
      <c r="D880" s="841"/>
      <c r="E880" s="841"/>
      <c r="F880" s="841"/>
      <c r="G880" s="841"/>
      <c r="H880" s="841"/>
      <c r="I880" s="841"/>
      <c r="J880" s="841"/>
      <c r="K880" s="841"/>
      <c r="L880" s="841"/>
      <c r="M880" s="841"/>
      <c r="N880" s="841"/>
      <c r="O880" s="841"/>
      <c r="P880" s="841"/>
      <c r="Q880" s="841"/>
      <c r="R880" s="841"/>
      <c r="S880" s="841"/>
      <c r="T880" s="841"/>
      <c r="U880" s="841"/>
      <c r="V880" s="841"/>
      <c r="W880" s="841"/>
      <c r="X880" s="841"/>
      <c r="Y880" s="841"/>
      <c r="Z880" s="1226"/>
      <c r="AA880" s="1226"/>
      <c r="AB880" s="1226"/>
      <c r="AC880" s="1226"/>
      <c r="AD880" s="1226"/>
      <c r="AE880" s="1226"/>
      <c r="AF880" s="1226"/>
      <c r="AG880" s="1226"/>
      <c r="AH880" s="1226"/>
      <c r="AI880" s="841"/>
      <c r="AJ880" s="841"/>
      <c r="AK880" s="841"/>
      <c r="AL880" s="841"/>
      <c r="AM880" s="841"/>
      <c r="AN880" s="841"/>
      <c r="AO880" s="841"/>
      <c r="AP880" s="841"/>
      <c r="AQ880" s="841"/>
      <c r="AR880" s="841"/>
      <c r="AS880" s="842"/>
    </row>
    <row r="881" spans="1:45">
      <c r="A881" s="841"/>
      <c r="B881" s="841"/>
      <c r="C881" s="841"/>
      <c r="D881" s="841"/>
      <c r="E881" s="841"/>
      <c r="F881" s="841"/>
      <c r="G881" s="841"/>
      <c r="H881" s="841"/>
      <c r="I881" s="841"/>
      <c r="J881" s="841"/>
      <c r="K881" s="841"/>
      <c r="L881" s="841"/>
      <c r="M881" s="841"/>
      <c r="N881" s="841"/>
      <c r="O881" s="841"/>
      <c r="P881" s="841"/>
      <c r="Q881" s="841"/>
      <c r="R881" s="841"/>
      <c r="S881" s="841"/>
      <c r="T881" s="841"/>
      <c r="U881" s="841"/>
      <c r="V881" s="841"/>
      <c r="W881" s="841"/>
      <c r="X881" s="841"/>
      <c r="Y881" s="841"/>
      <c r="Z881" s="1226"/>
      <c r="AA881" s="1226"/>
      <c r="AB881" s="1226"/>
      <c r="AC881" s="1226"/>
      <c r="AD881" s="1226"/>
      <c r="AE881" s="1226"/>
      <c r="AF881" s="1226"/>
      <c r="AG881" s="1226"/>
      <c r="AH881" s="1226"/>
      <c r="AI881" s="841"/>
      <c r="AJ881" s="841"/>
      <c r="AK881" s="841"/>
      <c r="AL881" s="841"/>
      <c r="AM881" s="841"/>
      <c r="AN881" s="841"/>
      <c r="AO881" s="841"/>
      <c r="AP881" s="841"/>
      <c r="AQ881" s="841"/>
      <c r="AR881" s="841"/>
      <c r="AS881" s="842"/>
    </row>
    <row r="882" spans="1:45">
      <c r="A882" s="841"/>
      <c r="B882" s="841"/>
      <c r="C882" s="841"/>
      <c r="D882" s="841"/>
      <c r="E882" s="841"/>
      <c r="F882" s="841"/>
      <c r="G882" s="841"/>
      <c r="H882" s="841"/>
      <c r="I882" s="841"/>
      <c r="J882" s="841"/>
      <c r="K882" s="841"/>
      <c r="L882" s="841"/>
      <c r="M882" s="841"/>
      <c r="N882" s="841"/>
      <c r="O882" s="841"/>
      <c r="P882" s="841"/>
      <c r="Q882" s="841"/>
      <c r="R882" s="841"/>
      <c r="S882" s="841"/>
      <c r="T882" s="841"/>
      <c r="U882" s="841"/>
      <c r="V882" s="841"/>
      <c r="W882" s="841"/>
      <c r="X882" s="841"/>
      <c r="Y882" s="841"/>
      <c r="Z882" s="1226"/>
      <c r="AA882" s="1226"/>
      <c r="AB882" s="1226"/>
      <c r="AC882" s="1226"/>
      <c r="AD882" s="1226"/>
      <c r="AE882" s="1226"/>
      <c r="AF882" s="1226"/>
      <c r="AG882" s="1226"/>
      <c r="AH882" s="1226"/>
      <c r="AI882" s="841"/>
      <c r="AJ882" s="841"/>
      <c r="AK882" s="841"/>
      <c r="AL882" s="841"/>
      <c r="AM882" s="841"/>
      <c r="AN882" s="841"/>
      <c r="AO882" s="841"/>
      <c r="AP882" s="841"/>
      <c r="AQ882" s="841"/>
      <c r="AR882" s="841"/>
      <c r="AS882" s="842"/>
    </row>
    <row r="883" spans="1:45">
      <c r="A883" s="841"/>
      <c r="B883" s="841"/>
      <c r="C883" s="841"/>
      <c r="D883" s="841"/>
      <c r="E883" s="841"/>
      <c r="F883" s="841"/>
      <c r="G883" s="841"/>
      <c r="H883" s="841"/>
      <c r="I883" s="841"/>
      <c r="J883" s="841"/>
      <c r="K883" s="841"/>
      <c r="L883" s="841"/>
      <c r="M883" s="841"/>
      <c r="N883" s="841"/>
      <c r="O883" s="841"/>
      <c r="P883" s="841"/>
      <c r="Q883" s="841"/>
      <c r="R883" s="841"/>
      <c r="S883" s="841"/>
      <c r="T883" s="841"/>
      <c r="U883" s="841"/>
      <c r="V883" s="841"/>
      <c r="W883" s="841"/>
      <c r="X883" s="841"/>
      <c r="Y883" s="841"/>
      <c r="Z883" s="1226"/>
      <c r="AA883" s="1226"/>
      <c r="AB883" s="1226"/>
      <c r="AC883" s="1226"/>
      <c r="AD883" s="1226"/>
      <c r="AE883" s="1226"/>
      <c r="AF883" s="1226"/>
      <c r="AG883" s="1226"/>
      <c r="AH883" s="1226"/>
      <c r="AI883" s="841"/>
      <c r="AJ883" s="841"/>
      <c r="AK883" s="841"/>
      <c r="AL883" s="841"/>
      <c r="AM883" s="841"/>
      <c r="AN883" s="841"/>
      <c r="AO883" s="841"/>
      <c r="AP883" s="841"/>
      <c r="AQ883" s="841"/>
      <c r="AR883" s="841"/>
      <c r="AS883" s="842"/>
    </row>
    <row r="884" spans="1:45">
      <c r="A884" s="841"/>
      <c r="B884" s="841"/>
      <c r="C884" s="841"/>
      <c r="D884" s="841"/>
      <c r="E884" s="841"/>
      <c r="F884" s="841"/>
      <c r="G884" s="841"/>
      <c r="H884" s="841"/>
      <c r="I884" s="841"/>
      <c r="J884" s="841"/>
      <c r="K884" s="841"/>
      <c r="L884" s="841"/>
      <c r="M884" s="841"/>
      <c r="N884" s="841"/>
      <c r="O884" s="841"/>
      <c r="P884" s="841"/>
      <c r="Q884" s="841"/>
      <c r="R884" s="841"/>
      <c r="S884" s="841"/>
      <c r="T884" s="841"/>
      <c r="U884" s="841"/>
      <c r="V884" s="841"/>
      <c r="W884" s="841"/>
      <c r="X884" s="841"/>
      <c r="Y884" s="841"/>
      <c r="Z884" s="1226"/>
      <c r="AA884" s="1226"/>
      <c r="AB884" s="1226"/>
      <c r="AC884" s="1226"/>
      <c r="AD884" s="1226"/>
      <c r="AE884" s="1226"/>
      <c r="AF884" s="1226"/>
      <c r="AG884" s="1226"/>
      <c r="AH884" s="1226"/>
      <c r="AI884" s="841"/>
      <c r="AJ884" s="841"/>
      <c r="AK884" s="841"/>
      <c r="AL884" s="841"/>
      <c r="AM884" s="841"/>
      <c r="AN884" s="841"/>
      <c r="AO884" s="841"/>
      <c r="AP884" s="841"/>
      <c r="AQ884" s="841"/>
      <c r="AR884" s="841"/>
      <c r="AS884" s="842"/>
    </row>
    <row r="885" spans="1:45">
      <c r="A885" s="841"/>
      <c r="B885" s="841"/>
      <c r="C885" s="841"/>
      <c r="D885" s="841"/>
      <c r="E885" s="841"/>
      <c r="F885" s="841"/>
      <c r="G885" s="841"/>
      <c r="H885" s="841"/>
      <c r="I885" s="841"/>
      <c r="J885" s="841"/>
      <c r="K885" s="841"/>
      <c r="L885" s="841"/>
      <c r="M885" s="841"/>
      <c r="N885" s="841"/>
      <c r="O885" s="841"/>
      <c r="P885" s="841"/>
      <c r="Q885" s="841"/>
      <c r="R885" s="841"/>
      <c r="S885" s="841"/>
      <c r="T885" s="841"/>
      <c r="U885" s="841"/>
      <c r="V885" s="841"/>
      <c r="W885" s="841"/>
      <c r="X885" s="841"/>
      <c r="Y885" s="841"/>
      <c r="Z885" s="1226"/>
      <c r="AA885" s="1226"/>
      <c r="AB885" s="1226"/>
      <c r="AC885" s="1226"/>
      <c r="AD885" s="1226"/>
      <c r="AE885" s="1226"/>
      <c r="AF885" s="1226"/>
      <c r="AG885" s="1226"/>
      <c r="AH885" s="1226"/>
      <c r="AI885" s="841"/>
      <c r="AJ885" s="841"/>
      <c r="AK885" s="841"/>
      <c r="AL885" s="841"/>
      <c r="AM885" s="841"/>
      <c r="AN885" s="841"/>
      <c r="AO885" s="841"/>
      <c r="AP885" s="841"/>
      <c r="AQ885" s="841"/>
      <c r="AR885" s="841"/>
      <c r="AS885" s="842"/>
    </row>
    <row r="886" spans="1:45">
      <c r="A886" s="841"/>
      <c r="B886" s="841"/>
      <c r="C886" s="841"/>
      <c r="D886" s="841"/>
      <c r="E886" s="841"/>
      <c r="F886" s="841"/>
      <c r="G886" s="841"/>
      <c r="H886" s="841"/>
      <c r="I886" s="841"/>
      <c r="J886" s="841"/>
      <c r="K886" s="841"/>
      <c r="L886" s="841"/>
      <c r="M886" s="841"/>
      <c r="N886" s="841"/>
      <c r="O886" s="841"/>
      <c r="P886" s="841"/>
      <c r="Q886" s="841"/>
      <c r="R886" s="841"/>
      <c r="S886" s="841"/>
      <c r="T886" s="841"/>
      <c r="U886" s="841"/>
      <c r="V886" s="841"/>
      <c r="W886" s="841"/>
      <c r="X886" s="841"/>
      <c r="Y886" s="841"/>
      <c r="Z886" s="1226"/>
      <c r="AA886" s="1226"/>
      <c r="AB886" s="1226"/>
      <c r="AC886" s="1226"/>
      <c r="AD886" s="1226"/>
      <c r="AE886" s="1226"/>
      <c r="AF886" s="1226"/>
      <c r="AG886" s="1226"/>
      <c r="AH886" s="1226"/>
      <c r="AI886" s="841"/>
      <c r="AJ886" s="841"/>
      <c r="AK886" s="841"/>
      <c r="AL886" s="841"/>
      <c r="AM886" s="841"/>
      <c r="AN886" s="841"/>
      <c r="AO886" s="841"/>
      <c r="AP886" s="841"/>
      <c r="AQ886" s="841"/>
      <c r="AR886" s="841"/>
      <c r="AS886" s="842"/>
    </row>
    <row r="887" spans="1:45">
      <c r="A887" s="841"/>
      <c r="B887" s="841"/>
      <c r="C887" s="841"/>
      <c r="D887" s="841"/>
      <c r="E887" s="841"/>
      <c r="F887" s="841"/>
      <c r="G887" s="841"/>
      <c r="H887" s="841"/>
      <c r="I887" s="841"/>
      <c r="J887" s="841"/>
      <c r="K887" s="841"/>
      <c r="L887" s="841"/>
      <c r="M887" s="841"/>
      <c r="N887" s="841"/>
      <c r="O887" s="841"/>
      <c r="P887" s="841"/>
      <c r="Q887" s="841"/>
      <c r="R887" s="841"/>
      <c r="S887" s="841"/>
      <c r="T887" s="841"/>
      <c r="U887" s="841"/>
      <c r="V887" s="841"/>
      <c r="W887" s="841"/>
      <c r="X887" s="841"/>
      <c r="Y887" s="841"/>
      <c r="Z887" s="1226"/>
      <c r="AA887" s="1226"/>
      <c r="AB887" s="1226"/>
      <c r="AC887" s="1226"/>
      <c r="AD887" s="1226"/>
      <c r="AE887" s="1226"/>
      <c r="AF887" s="1226"/>
      <c r="AG887" s="1226"/>
      <c r="AH887" s="1226"/>
      <c r="AI887" s="841"/>
      <c r="AJ887" s="841"/>
      <c r="AK887" s="841"/>
      <c r="AL887" s="841"/>
      <c r="AM887" s="841"/>
      <c r="AN887" s="841"/>
      <c r="AO887" s="841"/>
      <c r="AP887" s="841"/>
      <c r="AQ887" s="841"/>
      <c r="AR887" s="841"/>
      <c r="AS887" s="842"/>
    </row>
    <row r="888" spans="1:45">
      <c r="A888" s="841"/>
      <c r="B888" s="841"/>
      <c r="C888" s="841"/>
      <c r="D888" s="841"/>
      <c r="E888" s="841"/>
      <c r="F888" s="841"/>
      <c r="G888" s="841"/>
      <c r="H888" s="841"/>
      <c r="I888" s="841"/>
      <c r="J888" s="841"/>
      <c r="K888" s="841"/>
      <c r="L888" s="841"/>
      <c r="M888" s="841"/>
      <c r="N888" s="841"/>
      <c r="O888" s="841"/>
      <c r="P888" s="841"/>
      <c r="Q888" s="841"/>
      <c r="R888" s="841"/>
      <c r="S888" s="841"/>
      <c r="T888" s="841"/>
      <c r="U888" s="841"/>
      <c r="V888" s="841"/>
      <c r="W888" s="841"/>
      <c r="X888" s="841"/>
      <c r="Y888" s="841"/>
      <c r="Z888" s="1226"/>
      <c r="AA888" s="1226"/>
      <c r="AB888" s="1226"/>
      <c r="AC888" s="1226"/>
      <c r="AD888" s="1226"/>
      <c r="AE888" s="1226"/>
      <c r="AF888" s="1226"/>
      <c r="AG888" s="1226"/>
      <c r="AH888" s="1226"/>
      <c r="AI888" s="841"/>
      <c r="AJ888" s="841"/>
      <c r="AK888" s="841"/>
      <c r="AL888" s="841"/>
      <c r="AM888" s="841"/>
      <c r="AN888" s="841"/>
      <c r="AO888" s="841"/>
      <c r="AP888" s="841"/>
      <c r="AQ888" s="841"/>
      <c r="AR888" s="841"/>
      <c r="AS888" s="842"/>
    </row>
    <row r="889" spans="1:45">
      <c r="A889" s="841"/>
      <c r="B889" s="841"/>
      <c r="C889" s="841"/>
      <c r="D889" s="841"/>
      <c r="E889" s="841"/>
      <c r="F889" s="841"/>
      <c r="G889" s="841"/>
      <c r="H889" s="841"/>
      <c r="I889" s="841"/>
      <c r="J889" s="841"/>
      <c r="K889" s="841"/>
      <c r="L889" s="841"/>
      <c r="M889" s="841"/>
      <c r="N889" s="841"/>
      <c r="O889" s="841"/>
      <c r="P889" s="841"/>
      <c r="Q889" s="841"/>
      <c r="R889" s="841"/>
      <c r="S889" s="841"/>
      <c r="T889" s="841"/>
      <c r="U889" s="841"/>
      <c r="V889" s="841"/>
      <c r="W889" s="841"/>
      <c r="X889" s="841"/>
      <c r="Y889" s="841"/>
      <c r="Z889" s="1226"/>
      <c r="AA889" s="1226"/>
      <c r="AB889" s="1226"/>
      <c r="AC889" s="1226"/>
      <c r="AD889" s="1226"/>
      <c r="AE889" s="1226"/>
      <c r="AF889" s="1226"/>
      <c r="AG889" s="1226"/>
      <c r="AH889" s="1226"/>
      <c r="AI889" s="841"/>
      <c r="AJ889" s="841"/>
      <c r="AK889" s="841"/>
      <c r="AL889" s="841"/>
      <c r="AM889" s="841"/>
      <c r="AN889" s="841"/>
      <c r="AO889" s="841"/>
      <c r="AP889" s="841"/>
      <c r="AQ889" s="841"/>
      <c r="AR889" s="841"/>
      <c r="AS889" s="842"/>
    </row>
    <row r="890" spans="1:45">
      <c r="A890" s="841"/>
      <c r="B890" s="841"/>
      <c r="C890" s="841"/>
      <c r="D890" s="841"/>
      <c r="E890" s="841"/>
      <c r="F890" s="841"/>
      <c r="G890" s="841"/>
      <c r="H890" s="841"/>
      <c r="I890" s="841"/>
      <c r="J890" s="841"/>
      <c r="K890" s="841"/>
      <c r="L890" s="841"/>
      <c r="M890" s="841"/>
      <c r="N890" s="841"/>
      <c r="O890" s="841"/>
      <c r="P890" s="841"/>
      <c r="Q890" s="841"/>
      <c r="R890" s="841"/>
      <c r="S890" s="841"/>
      <c r="T890" s="841"/>
      <c r="U890" s="841"/>
      <c r="V890" s="841"/>
      <c r="W890" s="841"/>
      <c r="X890" s="841"/>
      <c r="Y890" s="841"/>
      <c r="Z890" s="1226"/>
      <c r="AA890" s="1226"/>
      <c r="AB890" s="1226"/>
      <c r="AC890" s="1226"/>
      <c r="AD890" s="1226"/>
      <c r="AE890" s="1226"/>
      <c r="AF890" s="1226"/>
      <c r="AG890" s="1226"/>
      <c r="AH890" s="1226"/>
      <c r="AI890" s="841"/>
      <c r="AJ890" s="841"/>
      <c r="AK890" s="841"/>
      <c r="AL890" s="841"/>
      <c r="AM890" s="841"/>
      <c r="AN890" s="841"/>
      <c r="AO890" s="841"/>
      <c r="AP890" s="841"/>
      <c r="AQ890" s="841"/>
      <c r="AR890" s="841"/>
      <c r="AS890" s="842"/>
    </row>
    <row r="891" spans="1:45">
      <c r="A891" s="841"/>
      <c r="B891" s="841"/>
      <c r="C891" s="841"/>
      <c r="D891" s="841"/>
      <c r="E891" s="841"/>
      <c r="F891" s="841"/>
      <c r="G891" s="841"/>
      <c r="H891" s="841"/>
      <c r="I891" s="841"/>
      <c r="J891" s="841"/>
      <c r="K891" s="841"/>
      <c r="L891" s="841"/>
      <c r="M891" s="841"/>
      <c r="N891" s="841"/>
      <c r="O891" s="841"/>
      <c r="P891" s="841"/>
      <c r="Q891" s="841"/>
      <c r="R891" s="841"/>
      <c r="S891" s="841"/>
      <c r="T891" s="841"/>
      <c r="U891" s="841"/>
      <c r="V891" s="841"/>
      <c r="W891" s="841"/>
      <c r="X891" s="841"/>
      <c r="Y891" s="841"/>
      <c r="Z891" s="1226"/>
      <c r="AA891" s="1226"/>
      <c r="AB891" s="1226"/>
      <c r="AC891" s="1226"/>
      <c r="AD891" s="1226"/>
      <c r="AE891" s="1226"/>
      <c r="AF891" s="1226"/>
      <c r="AG891" s="1226"/>
      <c r="AH891" s="1226"/>
      <c r="AI891" s="841"/>
      <c r="AJ891" s="841"/>
      <c r="AK891" s="841"/>
      <c r="AL891" s="841"/>
      <c r="AM891" s="841"/>
      <c r="AN891" s="841"/>
      <c r="AO891" s="841"/>
      <c r="AP891" s="841"/>
      <c r="AQ891" s="841"/>
      <c r="AR891" s="841"/>
      <c r="AS891" s="842"/>
    </row>
    <row r="892" spans="1:45">
      <c r="A892" s="841"/>
      <c r="B892" s="841"/>
      <c r="C892" s="841"/>
      <c r="D892" s="841"/>
      <c r="E892" s="841"/>
      <c r="F892" s="841"/>
      <c r="G892" s="841"/>
      <c r="H892" s="841"/>
      <c r="I892" s="841"/>
      <c r="J892" s="841"/>
      <c r="K892" s="841"/>
      <c r="L892" s="841"/>
      <c r="M892" s="841"/>
      <c r="N892" s="841"/>
      <c r="O892" s="841"/>
      <c r="P892" s="841"/>
      <c r="Q892" s="841"/>
      <c r="R892" s="841"/>
      <c r="S892" s="841"/>
      <c r="T892" s="841"/>
      <c r="U892" s="841"/>
      <c r="V892" s="841"/>
      <c r="W892" s="841"/>
      <c r="X892" s="841"/>
      <c r="Y892" s="841"/>
      <c r="Z892" s="1226"/>
      <c r="AA892" s="1226"/>
      <c r="AB892" s="1226"/>
      <c r="AC892" s="1226"/>
      <c r="AD892" s="1226"/>
      <c r="AE892" s="1226"/>
      <c r="AF892" s="1226"/>
      <c r="AG892" s="1226"/>
      <c r="AH892" s="1226"/>
      <c r="AI892" s="841"/>
      <c r="AJ892" s="841"/>
      <c r="AK892" s="841"/>
      <c r="AL892" s="841"/>
      <c r="AM892" s="841"/>
      <c r="AN892" s="841"/>
      <c r="AO892" s="841"/>
      <c r="AP892" s="841"/>
      <c r="AQ892" s="841"/>
      <c r="AR892" s="841"/>
      <c r="AS892" s="842"/>
    </row>
    <row r="893" spans="1:45">
      <c r="A893" s="841"/>
      <c r="B893" s="841"/>
      <c r="C893" s="841"/>
      <c r="D893" s="841"/>
      <c r="E893" s="841"/>
      <c r="F893" s="841"/>
      <c r="G893" s="841"/>
      <c r="H893" s="841"/>
      <c r="I893" s="841"/>
      <c r="J893" s="841"/>
      <c r="K893" s="841"/>
      <c r="L893" s="841"/>
      <c r="M893" s="841"/>
      <c r="N893" s="841"/>
      <c r="O893" s="841"/>
      <c r="P893" s="841"/>
      <c r="Q893" s="841"/>
      <c r="R893" s="841"/>
      <c r="S893" s="841"/>
      <c r="T893" s="841"/>
      <c r="U893" s="841"/>
      <c r="V893" s="841"/>
      <c r="W893" s="841"/>
      <c r="X893" s="841"/>
      <c r="Y893" s="841"/>
      <c r="Z893" s="1226"/>
      <c r="AA893" s="1226"/>
      <c r="AB893" s="1226"/>
      <c r="AC893" s="1226"/>
      <c r="AD893" s="1226"/>
      <c r="AE893" s="1226"/>
      <c r="AF893" s="1226"/>
      <c r="AG893" s="1226"/>
      <c r="AH893" s="1226"/>
      <c r="AI893" s="841"/>
      <c r="AJ893" s="841"/>
      <c r="AK893" s="841"/>
      <c r="AL893" s="841"/>
      <c r="AM893" s="841"/>
      <c r="AN893" s="841"/>
      <c r="AO893" s="841"/>
      <c r="AP893" s="841"/>
      <c r="AQ893" s="841"/>
      <c r="AR893" s="841"/>
      <c r="AS893" s="842"/>
    </row>
    <row r="894" spans="1:45">
      <c r="A894" s="841"/>
      <c r="B894" s="841"/>
      <c r="C894" s="841"/>
      <c r="D894" s="841"/>
      <c r="E894" s="841"/>
      <c r="F894" s="841"/>
      <c r="G894" s="841"/>
      <c r="H894" s="841"/>
      <c r="I894" s="841"/>
      <c r="J894" s="841"/>
      <c r="K894" s="841"/>
      <c r="L894" s="841"/>
      <c r="M894" s="841"/>
      <c r="N894" s="841"/>
      <c r="O894" s="841"/>
      <c r="P894" s="841"/>
      <c r="Q894" s="841"/>
      <c r="R894" s="841"/>
      <c r="S894" s="841"/>
      <c r="T894" s="841"/>
      <c r="U894" s="841"/>
      <c r="V894" s="841"/>
      <c r="W894" s="841"/>
      <c r="X894" s="841"/>
      <c r="Y894" s="841"/>
      <c r="Z894" s="1226"/>
      <c r="AA894" s="1226"/>
      <c r="AB894" s="1226"/>
      <c r="AC894" s="1226"/>
      <c r="AD894" s="1226"/>
      <c r="AE894" s="1226"/>
      <c r="AF894" s="1226"/>
      <c r="AG894" s="1226"/>
      <c r="AH894" s="1226"/>
      <c r="AI894" s="841"/>
      <c r="AJ894" s="841"/>
      <c r="AK894" s="841"/>
      <c r="AL894" s="841"/>
      <c r="AM894" s="841"/>
      <c r="AN894" s="841"/>
      <c r="AO894" s="841"/>
      <c r="AP894" s="841"/>
      <c r="AQ894" s="841"/>
      <c r="AR894" s="841"/>
      <c r="AS894" s="842"/>
    </row>
    <row r="895" spans="1:45">
      <c r="A895" s="841"/>
      <c r="B895" s="841"/>
      <c r="C895" s="841"/>
      <c r="D895" s="841"/>
      <c r="E895" s="841"/>
      <c r="F895" s="841"/>
      <c r="G895" s="841"/>
      <c r="H895" s="841"/>
      <c r="I895" s="841"/>
      <c r="J895" s="841"/>
      <c r="K895" s="841"/>
      <c r="L895" s="841"/>
      <c r="M895" s="841"/>
      <c r="N895" s="841"/>
      <c r="O895" s="841"/>
      <c r="P895" s="841"/>
      <c r="Q895" s="841"/>
      <c r="R895" s="841"/>
      <c r="S895" s="841"/>
      <c r="T895" s="841"/>
      <c r="U895" s="841"/>
      <c r="V895" s="841"/>
      <c r="W895" s="841"/>
      <c r="X895" s="841"/>
      <c r="Y895" s="841"/>
      <c r="Z895" s="1226"/>
      <c r="AA895" s="1226"/>
      <c r="AB895" s="1226"/>
      <c r="AC895" s="1226"/>
      <c r="AD895" s="1226"/>
      <c r="AE895" s="1226"/>
      <c r="AF895" s="1226"/>
      <c r="AG895" s="1226"/>
      <c r="AH895" s="1226"/>
      <c r="AI895" s="841"/>
      <c r="AJ895" s="841"/>
      <c r="AK895" s="841"/>
      <c r="AL895" s="841"/>
      <c r="AM895" s="841"/>
      <c r="AN895" s="841"/>
      <c r="AO895" s="841"/>
      <c r="AP895" s="841"/>
      <c r="AQ895" s="841"/>
      <c r="AR895" s="841"/>
      <c r="AS895" s="842"/>
    </row>
    <row r="896" spans="1:45">
      <c r="A896" s="841"/>
      <c r="B896" s="841"/>
      <c r="C896" s="841"/>
      <c r="D896" s="841"/>
      <c r="E896" s="841"/>
      <c r="F896" s="841"/>
      <c r="G896" s="841"/>
      <c r="H896" s="841"/>
      <c r="I896" s="841"/>
      <c r="J896" s="841"/>
      <c r="K896" s="841"/>
      <c r="L896" s="841"/>
      <c r="M896" s="841"/>
      <c r="N896" s="841"/>
      <c r="O896" s="841"/>
      <c r="P896" s="841"/>
      <c r="Q896" s="841"/>
      <c r="R896" s="841"/>
      <c r="S896" s="841"/>
      <c r="T896" s="841"/>
      <c r="U896" s="841"/>
      <c r="V896" s="841"/>
      <c r="W896" s="841"/>
      <c r="X896" s="841"/>
      <c r="Y896" s="841"/>
      <c r="Z896" s="1226"/>
      <c r="AA896" s="1226"/>
      <c r="AB896" s="1226"/>
      <c r="AC896" s="1226"/>
      <c r="AD896" s="1226"/>
      <c r="AE896" s="1226"/>
      <c r="AF896" s="1226"/>
      <c r="AG896" s="1226"/>
      <c r="AH896" s="1226"/>
      <c r="AI896" s="841"/>
      <c r="AJ896" s="841"/>
      <c r="AK896" s="841"/>
      <c r="AL896" s="841"/>
      <c r="AM896" s="841"/>
      <c r="AN896" s="841"/>
      <c r="AO896" s="841"/>
      <c r="AP896" s="841"/>
      <c r="AQ896" s="841"/>
      <c r="AR896" s="841"/>
      <c r="AS896" s="842"/>
    </row>
    <row r="897" spans="1:45">
      <c r="A897" s="841"/>
      <c r="B897" s="841"/>
      <c r="C897" s="841"/>
      <c r="D897" s="841"/>
      <c r="E897" s="841"/>
      <c r="F897" s="841"/>
      <c r="G897" s="841"/>
      <c r="H897" s="841"/>
      <c r="I897" s="841"/>
      <c r="J897" s="841"/>
      <c r="K897" s="841"/>
      <c r="L897" s="841"/>
      <c r="M897" s="841"/>
      <c r="N897" s="841"/>
      <c r="O897" s="841"/>
      <c r="P897" s="841"/>
      <c r="Q897" s="841"/>
      <c r="R897" s="841"/>
      <c r="S897" s="841"/>
      <c r="T897" s="841"/>
      <c r="U897" s="841"/>
      <c r="V897" s="841"/>
      <c r="W897" s="841"/>
      <c r="X897" s="841"/>
      <c r="Y897" s="841"/>
      <c r="Z897" s="1226"/>
      <c r="AA897" s="1226"/>
      <c r="AB897" s="1226"/>
      <c r="AC897" s="1226"/>
      <c r="AD897" s="1226"/>
      <c r="AE897" s="1226"/>
      <c r="AF897" s="1226"/>
      <c r="AG897" s="1226"/>
      <c r="AH897" s="1226"/>
      <c r="AI897" s="841"/>
      <c r="AJ897" s="841"/>
      <c r="AK897" s="841"/>
      <c r="AL897" s="841"/>
      <c r="AM897" s="841"/>
      <c r="AN897" s="841"/>
      <c r="AO897" s="841"/>
      <c r="AP897" s="841"/>
      <c r="AQ897" s="841"/>
      <c r="AR897" s="841"/>
      <c r="AS897" s="842"/>
    </row>
    <row r="898" spans="1:45">
      <c r="A898" s="841"/>
      <c r="B898" s="841"/>
      <c r="C898" s="841"/>
      <c r="D898" s="841"/>
      <c r="E898" s="841"/>
      <c r="F898" s="841"/>
      <c r="G898" s="841"/>
      <c r="H898" s="841"/>
      <c r="I898" s="841"/>
      <c r="J898" s="841"/>
      <c r="K898" s="841"/>
      <c r="L898" s="841"/>
      <c r="M898" s="841"/>
      <c r="N898" s="841"/>
      <c r="O898" s="841"/>
      <c r="P898" s="841"/>
      <c r="Q898" s="841"/>
      <c r="R898" s="841"/>
      <c r="S898" s="841"/>
      <c r="T898" s="841"/>
      <c r="U898" s="841"/>
      <c r="V898" s="841"/>
      <c r="W898" s="841"/>
      <c r="X898" s="841"/>
      <c r="Y898" s="841"/>
      <c r="Z898" s="1226"/>
      <c r="AA898" s="1226"/>
      <c r="AB898" s="1226"/>
      <c r="AC898" s="1226"/>
      <c r="AD898" s="1226"/>
      <c r="AE898" s="1226"/>
      <c r="AF898" s="1226"/>
      <c r="AG898" s="1226"/>
      <c r="AH898" s="1226"/>
      <c r="AI898" s="841"/>
      <c r="AJ898" s="841"/>
      <c r="AK898" s="841"/>
      <c r="AL898" s="841"/>
      <c r="AM898" s="841"/>
      <c r="AN898" s="841"/>
      <c r="AO898" s="841"/>
      <c r="AP898" s="841"/>
      <c r="AQ898" s="841"/>
      <c r="AR898" s="841"/>
      <c r="AS898" s="842"/>
    </row>
    <row r="899" spans="1:45">
      <c r="A899" s="841"/>
      <c r="B899" s="841"/>
      <c r="C899" s="841"/>
      <c r="D899" s="841"/>
      <c r="E899" s="841"/>
      <c r="F899" s="841"/>
      <c r="G899" s="841"/>
      <c r="H899" s="841"/>
      <c r="I899" s="841"/>
      <c r="J899" s="841"/>
      <c r="K899" s="841"/>
      <c r="L899" s="841"/>
      <c r="M899" s="841"/>
      <c r="N899" s="841"/>
      <c r="O899" s="841"/>
      <c r="P899" s="841"/>
      <c r="Q899" s="841"/>
      <c r="R899" s="841"/>
      <c r="S899" s="841"/>
      <c r="T899" s="841"/>
      <c r="U899" s="841"/>
      <c r="V899" s="841"/>
      <c r="W899" s="841"/>
      <c r="X899" s="841"/>
      <c r="Y899" s="841"/>
      <c r="Z899" s="1226"/>
      <c r="AA899" s="1226"/>
      <c r="AB899" s="1226"/>
      <c r="AC899" s="1226"/>
      <c r="AD899" s="1226"/>
      <c r="AE899" s="1226"/>
      <c r="AF899" s="1226"/>
      <c r="AG899" s="1226"/>
      <c r="AH899" s="1226"/>
      <c r="AI899" s="841"/>
      <c r="AJ899" s="841"/>
      <c r="AK899" s="841"/>
      <c r="AL899" s="841"/>
      <c r="AM899" s="841"/>
      <c r="AN899" s="841"/>
      <c r="AO899" s="841"/>
      <c r="AP899" s="841"/>
      <c r="AQ899" s="841"/>
      <c r="AR899" s="841"/>
      <c r="AS899" s="842"/>
    </row>
    <row r="900" spans="1:45">
      <c r="A900" s="841"/>
      <c r="B900" s="841"/>
      <c r="C900" s="841"/>
      <c r="D900" s="841"/>
      <c r="E900" s="841"/>
      <c r="F900" s="841"/>
      <c r="G900" s="841"/>
      <c r="H900" s="841"/>
      <c r="I900" s="841"/>
      <c r="J900" s="841"/>
      <c r="K900" s="841"/>
      <c r="L900" s="841"/>
      <c r="M900" s="841"/>
      <c r="N900" s="841"/>
      <c r="O900" s="841"/>
      <c r="P900" s="841"/>
      <c r="Q900" s="841"/>
      <c r="R900" s="841"/>
      <c r="S900" s="841"/>
      <c r="T900" s="841"/>
      <c r="U900" s="841"/>
      <c r="V900" s="841"/>
      <c r="W900" s="841"/>
      <c r="X900" s="841"/>
      <c r="Y900" s="841"/>
      <c r="Z900" s="1226"/>
      <c r="AA900" s="1226"/>
      <c r="AB900" s="1226"/>
      <c r="AC900" s="1226"/>
      <c r="AD900" s="1226"/>
      <c r="AE900" s="1226"/>
      <c r="AF900" s="1226"/>
      <c r="AG900" s="1226"/>
      <c r="AH900" s="1226"/>
      <c r="AI900" s="841"/>
      <c r="AJ900" s="841"/>
      <c r="AK900" s="841"/>
      <c r="AL900" s="841"/>
      <c r="AM900" s="841"/>
      <c r="AN900" s="841"/>
      <c r="AO900" s="841"/>
      <c r="AP900" s="841"/>
      <c r="AQ900" s="841"/>
      <c r="AR900" s="841"/>
      <c r="AS900" s="842"/>
    </row>
    <row r="901" spans="1:45">
      <c r="A901" s="841"/>
      <c r="B901" s="841"/>
      <c r="C901" s="841"/>
      <c r="D901" s="841"/>
      <c r="E901" s="841"/>
      <c r="F901" s="841"/>
      <c r="G901" s="841"/>
      <c r="H901" s="841"/>
      <c r="I901" s="841"/>
      <c r="J901" s="841"/>
      <c r="K901" s="841"/>
      <c r="L901" s="841"/>
      <c r="M901" s="841"/>
      <c r="N901" s="841"/>
      <c r="O901" s="841"/>
      <c r="P901" s="841"/>
      <c r="Q901" s="841"/>
      <c r="R901" s="841"/>
      <c r="S901" s="841"/>
      <c r="T901" s="841"/>
      <c r="U901" s="841"/>
      <c r="V901" s="841"/>
      <c r="W901" s="841"/>
      <c r="X901" s="841"/>
      <c r="Y901" s="841"/>
      <c r="Z901" s="1226"/>
      <c r="AA901" s="1226"/>
      <c r="AB901" s="1226"/>
      <c r="AC901" s="1226"/>
      <c r="AD901" s="1226"/>
      <c r="AE901" s="1226"/>
      <c r="AF901" s="1226"/>
      <c r="AG901" s="1226"/>
      <c r="AH901" s="1226"/>
      <c r="AI901" s="841"/>
      <c r="AJ901" s="841"/>
      <c r="AK901" s="841"/>
      <c r="AL901" s="841"/>
      <c r="AM901" s="841"/>
      <c r="AN901" s="841"/>
      <c r="AO901" s="841"/>
      <c r="AP901" s="841"/>
      <c r="AQ901" s="841"/>
      <c r="AR901" s="841"/>
      <c r="AS901" s="842"/>
    </row>
    <row r="902" spans="1:45">
      <c r="A902" s="841"/>
      <c r="B902" s="841"/>
      <c r="C902" s="841"/>
      <c r="D902" s="841"/>
      <c r="E902" s="841"/>
      <c r="F902" s="841"/>
      <c r="G902" s="841"/>
      <c r="H902" s="841"/>
      <c r="I902" s="841"/>
      <c r="J902" s="841"/>
      <c r="K902" s="841"/>
      <c r="L902" s="841"/>
      <c r="M902" s="841"/>
      <c r="N902" s="841"/>
      <c r="O902" s="841"/>
      <c r="P902" s="841"/>
      <c r="Q902" s="841"/>
      <c r="R902" s="841"/>
      <c r="S902" s="841"/>
      <c r="T902" s="841"/>
      <c r="U902" s="841"/>
      <c r="V902" s="841"/>
      <c r="W902" s="841"/>
      <c r="X902" s="841"/>
      <c r="Y902" s="841"/>
      <c r="Z902" s="1226"/>
      <c r="AA902" s="1226"/>
      <c r="AB902" s="1226"/>
      <c r="AC902" s="1226"/>
      <c r="AD902" s="1226"/>
      <c r="AE902" s="1226"/>
      <c r="AF902" s="1226"/>
      <c r="AG902" s="1226"/>
      <c r="AH902" s="1226"/>
      <c r="AI902" s="841"/>
      <c r="AJ902" s="841"/>
      <c r="AK902" s="841"/>
      <c r="AL902" s="841"/>
      <c r="AM902" s="841"/>
      <c r="AN902" s="841"/>
      <c r="AO902" s="841"/>
      <c r="AP902" s="841"/>
      <c r="AQ902" s="841"/>
      <c r="AR902" s="841"/>
      <c r="AS902" s="842"/>
    </row>
    <row r="903" spans="1:45">
      <c r="A903" s="841"/>
      <c r="B903" s="841"/>
      <c r="C903" s="841"/>
      <c r="D903" s="841"/>
      <c r="E903" s="841"/>
      <c r="F903" s="841"/>
      <c r="G903" s="841"/>
      <c r="H903" s="841"/>
      <c r="I903" s="841"/>
      <c r="J903" s="841"/>
      <c r="K903" s="841"/>
      <c r="L903" s="841"/>
      <c r="M903" s="841"/>
      <c r="N903" s="841"/>
      <c r="O903" s="841"/>
      <c r="P903" s="841"/>
      <c r="Q903" s="841"/>
      <c r="R903" s="841"/>
      <c r="S903" s="841"/>
      <c r="T903" s="841"/>
      <c r="U903" s="841"/>
      <c r="V903" s="841"/>
      <c r="W903" s="841"/>
      <c r="X903" s="841"/>
      <c r="Y903" s="841"/>
      <c r="Z903" s="1226"/>
      <c r="AA903" s="1226"/>
      <c r="AB903" s="1226"/>
      <c r="AC903" s="1226"/>
      <c r="AD903" s="1226"/>
      <c r="AE903" s="1226"/>
      <c r="AF903" s="1226"/>
      <c r="AG903" s="1226"/>
      <c r="AH903" s="1226"/>
      <c r="AI903" s="841"/>
      <c r="AJ903" s="841"/>
      <c r="AK903" s="841"/>
      <c r="AL903" s="841"/>
      <c r="AM903" s="841"/>
      <c r="AN903" s="841"/>
      <c r="AO903" s="841"/>
      <c r="AP903" s="841"/>
      <c r="AQ903" s="841"/>
      <c r="AR903" s="841"/>
      <c r="AS903" s="842"/>
    </row>
    <row r="904" spans="1:45">
      <c r="A904" s="841"/>
      <c r="B904" s="841"/>
      <c r="C904" s="841"/>
      <c r="D904" s="841"/>
      <c r="E904" s="841"/>
      <c r="F904" s="841"/>
      <c r="G904" s="841"/>
      <c r="H904" s="841"/>
      <c r="I904" s="841"/>
      <c r="J904" s="841"/>
      <c r="K904" s="841"/>
      <c r="L904" s="841"/>
      <c r="M904" s="841"/>
      <c r="N904" s="841"/>
      <c r="O904" s="841"/>
      <c r="P904" s="841"/>
      <c r="Q904" s="841"/>
      <c r="R904" s="841"/>
      <c r="S904" s="841"/>
      <c r="T904" s="841"/>
      <c r="U904" s="841"/>
      <c r="V904" s="841"/>
      <c r="W904" s="841"/>
      <c r="X904" s="841"/>
      <c r="Y904" s="841"/>
      <c r="Z904" s="1226"/>
      <c r="AA904" s="1226"/>
      <c r="AB904" s="1226"/>
      <c r="AC904" s="1226"/>
      <c r="AD904" s="1226"/>
      <c r="AE904" s="1226"/>
      <c r="AF904" s="1226"/>
      <c r="AG904" s="1226"/>
      <c r="AH904" s="1226"/>
      <c r="AI904" s="841"/>
      <c r="AJ904" s="841"/>
      <c r="AK904" s="841"/>
      <c r="AL904" s="841"/>
      <c r="AM904" s="841"/>
      <c r="AN904" s="841"/>
      <c r="AO904" s="841"/>
      <c r="AP904" s="841"/>
      <c r="AQ904" s="841"/>
      <c r="AR904" s="841"/>
      <c r="AS904" s="842"/>
    </row>
    <row r="905" spans="1:45">
      <c r="A905" s="841"/>
      <c r="B905" s="841"/>
      <c r="C905" s="841"/>
      <c r="D905" s="841"/>
      <c r="E905" s="841"/>
      <c r="F905" s="841"/>
      <c r="G905" s="841"/>
      <c r="H905" s="841"/>
      <c r="I905" s="841"/>
      <c r="J905" s="841"/>
      <c r="K905" s="841"/>
      <c r="L905" s="841"/>
      <c r="M905" s="841"/>
      <c r="N905" s="841"/>
      <c r="O905" s="841"/>
      <c r="P905" s="841"/>
      <c r="Q905" s="841"/>
      <c r="R905" s="841"/>
      <c r="S905" s="841"/>
      <c r="T905" s="841"/>
      <c r="U905" s="841"/>
      <c r="V905" s="841"/>
      <c r="W905" s="841"/>
      <c r="X905" s="841"/>
      <c r="Y905" s="841"/>
      <c r="Z905" s="1226"/>
      <c r="AA905" s="1226"/>
      <c r="AB905" s="1226"/>
      <c r="AC905" s="1226"/>
      <c r="AD905" s="1226"/>
      <c r="AE905" s="1226"/>
      <c r="AF905" s="1226"/>
      <c r="AG905" s="1226"/>
      <c r="AH905" s="1226"/>
      <c r="AI905" s="841"/>
      <c r="AJ905" s="841"/>
      <c r="AK905" s="841"/>
      <c r="AL905" s="841"/>
      <c r="AM905" s="841"/>
      <c r="AN905" s="841"/>
      <c r="AO905" s="841"/>
      <c r="AP905" s="841"/>
      <c r="AQ905" s="841"/>
      <c r="AR905" s="841"/>
      <c r="AS905" s="842"/>
    </row>
    <row r="906" spans="1:45">
      <c r="A906" s="841"/>
      <c r="B906" s="841"/>
      <c r="C906" s="841"/>
      <c r="D906" s="841"/>
      <c r="E906" s="841"/>
      <c r="F906" s="841"/>
      <c r="G906" s="841"/>
      <c r="H906" s="841"/>
      <c r="I906" s="841"/>
      <c r="J906" s="841"/>
      <c r="K906" s="841"/>
      <c r="L906" s="841"/>
      <c r="M906" s="841"/>
      <c r="N906" s="841"/>
      <c r="O906" s="841"/>
      <c r="P906" s="841"/>
      <c r="Q906" s="841"/>
      <c r="R906" s="841"/>
      <c r="S906" s="841"/>
      <c r="T906" s="841"/>
      <c r="U906" s="841"/>
      <c r="V906" s="841"/>
      <c r="W906" s="841"/>
      <c r="X906" s="841"/>
      <c r="Y906" s="841"/>
      <c r="Z906" s="1226"/>
      <c r="AA906" s="1226"/>
      <c r="AB906" s="1226"/>
      <c r="AC906" s="1226"/>
      <c r="AD906" s="1226"/>
      <c r="AE906" s="1226"/>
      <c r="AF906" s="1226"/>
      <c r="AG906" s="1226"/>
      <c r="AH906" s="1226"/>
      <c r="AI906" s="841"/>
      <c r="AJ906" s="841"/>
      <c r="AK906" s="841"/>
      <c r="AL906" s="841"/>
      <c r="AM906" s="841"/>
      <c r="AN906" s="841"/>
      <c r="AO906" s="841"/>
      <c r="AP906" s="841"/>
      <c r="AQ906" s="841"/>
      <c r="AR906" s="841"/>
      <c r="AS906" s="842"/>
    </row>
    <row r="907" spans="1:45">
      <c r="A907" s="841"/>
      <c r="B907" s="841"/>
      <c r="C907" s="841"/>
      <c r="D907" s="841"/>
      <c r="E907" s="841"/>
      <c r="F907" s="841"/>
      <c r="G907" s="841"/>
      <c r="H907" s="841"/>
      <c r="I907" s="841"/>
      <c r="J907" s="841"/>
      <c r="K907" s="841"/>
      <c r="L907" s="841"/>
      <c r="M907" s="841"/>
      <c r="N907" s="841"/>
      <c r="O907" s="841"/>
      <c r="P907" s="841"/>
      <c r="Q907" s="841"/>
      <c r="R907" s="841"/>
      <c r="S907" s="841"/>
      <c r="T907" s="841"/>
      <c r="U907" s="841"/>
      <c r="V907" s="841"/>
      <c r="W907" s="841"/>
      <c r="X907" s="841"/>
      <c r="Y907" s="841"/>
      <c r="Z907" s="1226"/>
      <c r="AA907" s="1226"/>
      <c r="AB907" s="1226"/>
      <c r="AC907" s="1226"/>
      <c r="AD907" s="1226"/>
      <c r="AE907" s="1226"/>
      <c r="AF907" s="1226"/>
      <c r="AG907" s="1226"/>
      <c r="AH907" s="1226"/>
      <c r="AI907" s="841"/>
      <c r="AJ907" s="841"/>
      <c r="AK907" s="841"/>
      <c r="AL907" s="841"/>
      <c r="AM907" s="841"/>
      <c r="AN907" s="841"/>
      <c r="AO907" s="841"/>
      <c r="AP907" s="841"/>
      <c r="AQ907" s="841"/>
      <c r="AR907" s="841"/>
      <c r="AS907" s="842"/>
    </row>
    <row r="908" spans="1:45">
      <c r="A908" s="841"/>
      <c r="B908" s="841"/>
      <c r="C908" s="841"/>
      <c r="D908" s="841"/>
      <c r="E908" s="841"/>
      <c r="F908" s="841"/>
      <c r="G908" s="841"/>
      <c r="H908" s="841"/>
      <c r="I908" s="841"/>
      <c r="J908" s="841"/>
      <c r="K908" s="841"/>
      <c r="L908" s="841"/>
      <c r="M908" s="841"/>
      <c r="N908" s="841"/>
      <c r="O908" s="841"/>
      <c r="P908" s="841"/>
      <c r="Q908" s="841"/>
      <c r="R908" s="841"/>
      <c r="S908" s="841"/>
      <c r="T908" s="841"/>
      <c r="U908" s="841"/>
      <c r="V908" s="841"/>
      <c r="W908" s="841"/>
      <c r="X908" s="841"/>
      <c r="Y908" s="841"/>
      <c r="Z908" s="1226"/>
      <c r="AA908" s="1226"/>
      <c r="AB908" s="1226"/>
      <c r="AC908" s="1226"/>
      <c r="AD908" s="1226"/>
      <c r="AE908" s="1226"/>
      <c r="AF908" s="1226"/>
      <c r="AG908" s="1226"/>
      <c r="AH908" s="1226"/>
      <c r="AI908" s="841"/>
      <c r="AJ908" s="841"/>
      <c r="AK908" s="841"/>
      <c r="AL908" s="841"/>
      <c r="AM908" s="841"/>
      <c r="AN908" s="841"/>
      <c r="AO908" s="841"/>
      <c r="AP908" s="841"/>
      <c r="AQ908" s="841"/>
      <c r="AR908" s="841"/>
      <c r="AS908" s="842"/>
    </row>
    <row r="909" spans="1:45">
      <c r="A909" s="841"/>
      <c r="B909" s="841"/>
      <c r="C909" s="841"/>
      <c r="D909" s="841"/>
      <c r="E909" s="841"/>
      <c r="F909" s="841"/>
      <c r="G909" s="841"/>
      <c r="H909" s="841"/>
      <c r="I909" s="841"/>
      <c r="J909" s="841"/>
      <c r="K909" s="841"/>
      <c r="L909" s="841"/>
      <c r="M909" s="841"/>
      <c r="N909" s="841"/>
      <c r="O909" s="841"/>
      <c r="P909" s="841"/>
      <c r="Q909" s="841"/>
      <c r="R909" s="841"/>
      <c r="S909" s="841"/>
      <c r="T909" s="841"/>
      <c r="U909" s="841"/>
      <c r="V909" s="841"/>
      <c r="W909" s="841"/>
      <c r="X909" s="841"/>
      <c r="Y909" s="841"/>
      <c r="Z909" s="1226"/>
      <c r="AA909" s="1226"/>
      <c r="AB909" s="1226"/>
      <c r="AC909" s="1226"/>
      <c r="AD909" s="1226"/>
      <c r="AE909" s="1226"/>
      <c r="AF909" s="1226"/>
      <c r="AG909" s="1226"/>
      <c r="AH909" s="1226"/>
      <c r="AI909" s="841"/>
      <c r="AJ909" s="841"/>
      <c r="AK909" s="841"/>
      <c r="AL909" s="841"/>
      <c r="AM909" s="841"/>
      <c r="AN909" s="841"/>
      <c r="AO909" s="841"/>
      <c r="AP909" s="841"/>
      <c r="AQ909" s="841"/>
      <c r="AR909" s="841"/>
      <c r="AS909" s="842"/>
    </row>
    <row r="910" spans="1:45">
      <c r="A910" s="841"/>
      <c r="B910" s="841"/>
      <c r="C910" s="841"/>
      <c r="D910" s="841"/>
      <c r="E910" s="841"/>
      <c r="F910" s="841"/>
      <c r="G910" s="841"/>
      <c r="H910" s="841"/>
      <c r="I910" s="841"/>
      <c r="J910" s="841"/>
      <c r="K910" s="841"/>
      <c r="L910" s="841"/>
      <c r="M910" s="841"/>
      <c r="N910" s="841"/>
      <c r="O910" s="841"/>
      <c r="P910" s="841"/>
      <c r="Q910" s="841"/>
      <c r="R910" s="841"/>
      <c r="S910" s="841"/>
      <c r="T910" s="841"/>
      <c r="U910" s="841"/>
      <c r="V910" s="841"/>
      <c r="W910" s="841"/>
      <c r="X910" s="841"/>
      <c r="Y910" s="841"/>
      <c r="Z910" s="1226"/>
      <c r="AA910" s="1226"/>
      <c r="AB910" s="1226"/>
      <c r="AC910" s="1226"/>
      <c r="AD910" s="1226"/>
      <c r="AE910" s="1226"/>
      <c r="AF910" s="1226"/>
      <c r="AG910" s="1226"/>
      <c r="AH910" s="1226"/>
      <c r="AI910" s="841"/>
      <c r="AJ910" s="841"/>
      <c r="AK910" s="841"/>
      <c r="AL910" s="841"/>
      <c r="AM910" s="841"/>
      <c r="AN910" s="841"/>
      <c r="AO910" s="841"/>
      <c r="AP910" s="841"/>
      <c r="AQ910" s="841"/>
      <c r="AR910" s="841"/>
      <c r="AS910" s="842"/>
    </row>
    <row r="911" spans="1:45">
      <c r="A911" s="841"/>
      <c r="B911" s="841"/>
      <c r="C911" s="841"/>
      <c r="D911" s="841"/>
      <c r="E911" s="841"/>
      <c r="F911" s="841"/>
      <c r="G911" s="841"/>
      <c r="H911" s="841"/>
      <c r="I911" s="841"/>
      <c r="J911" s="841"/>
      <c r="K911" s="841"/>
      <c r="L911" s="841"/>
      <c r="M911" s="841"/>
      <c r="N911" s="841"/>
      <c r="O911" s="841"/>
      <c r="P911" s="841"/>
      <c r="Q911" s="841"/>
      <c r="R911" s="841"/>
      <c r="S911" s="841"/>
      <c r="T911" s="841"/>
      <c r="U911" s="841"/>
      <c r="V911" s="841"/>
      <c r="W911" s="841"/>
      <c r="X911" s="841"/>
      <c r="Y911" s="841"/>
      <c r="Z911" s="1226"/>
      <c r="AA911" s="1226"/>
      <c r="AB911" s="1226"/>
      <c r="AC911" s="1226"/>
      <c r="AD911" s="1226"/>
      <c r="AE911" s="1226"/>
      <c r="AF911" s="1226"/>
      <c r="AG911" s="1226"/>
      <c r="AH911" s="1226"/>
      <c r="AI911" s="841"/>
      <c r="AJ911" s="841"/>
      <c r="AK911" s="841"/>
      <c r="AL911" s="841"/>
      <c r="AM911" s="841"/>
      <c r="AN911" s="841"/>
      <c r="AO911" s="841"/>
      <c r="AP911" s="841"/>
      <c r="AQ911" s="841"/>
      <c r="AR911" s="841"/>
      <c r="AS911" s="842"/>
    </row>
    <row r="912" spans="1:45">
      <c r="A912" s="841"/>
      <c r="B912" s="841"/>
      <c r="C912" s="841"/>
      <c r="D912" s="841"/>
      <c r="E912" s="841"/>
      <c r="F912" s="841"/>
      <c r="G912" s="841"/>
      <c r="H912" s="841"/>
      <c r="I912" s="841"/>
      <c r="J912" s="841"/>
      <c r="K912" s="841"/>
      <c r="L912" s="841"/>
      <c r="M912" s="841"/>
      <c r="N912" s="841"/>
      <c r="O912" s="841"/>
      <c r="P912" s="841"/>
      <c r="Q912" s="841"/>
      <c r="R912" s="841"/>
      <c r="S912" s="841"/>
      <c r="T912" s="841"/>
      <c r="U912" s="841"/>
      <c r="V912" s="841"/>
      <c r="W912" s="841"/>
      <c r="X912" s="841"/>
      <c r="Y912" s="841"/>
      <c r="Z912" s="1226"/>
      <c r="AA912" s="1226"/>
      <c r="AB912" s="1226"/>
      <c r="AC912" s="1226"/>
      <c r="AD912" s="1226"/>
      <c r="AE912" s="1226"/>
      <c r="AF912" s="1226"/>
      <c r="AG912" s="1226"/>
      <c r="AH912" s="1226"/>
      <c r="AI912" s="841"/>
      <c r="AJ912" s="841"/>
      <c r="AK912" s="841"/>
      <c r="AL912" s="841"/>
      <c r="AM912" s="841"/>
      <c r="AN912" s="841"/>
      <c r="AO912" s="841"/>
      <c r="AP912" s="841"/>
      <c r="AQ912" s="841"/>
      <c r="AR912" s="841"/>
      <c r="AS912" s="842"/>
    </row>
    <row r="913" spans="1:45">
      <c r="A913" s="841"/>
      <c r="B913" s="841"/>
      <c r="C913" s="841"/>
      <c r="D913" s="841"/>
      <c r="E913" s="841"/>
      <c r="F913" s="841"/>
      <c r="G913" s="841"/>
      <c r="H913" s="841"/>
      <c r="I913" s="841"/>
      <c r="J913" s="841"/>
      <c r="K913" s="841"/>
      <c r="L913" s="841"/>
      <c r="M913" s="841"/>
      <c r="N913" s="841"/>
      <c r="O913" s="841"/>
      <c r="P913" s="841"/>
      <c r="Q913" s="841"/>
      <c r="R913" s="841"/>
      <c r="S913" s="841"/>
      <c r="T913" s="841"/>
      <c r="U913" s="841"/>
      <c r="V913" s="841"/>
      <c r="W913" s="841"/>
      <c r="X913" s="841"/>
      <c r="Y913" s="841"/>
      <c r="Z913" s="1226"/>
      <c r="AA913" s="1226"/>
      <c r="AB913" s="1226"/>
      <c r="AC913" s="1226"/>
      <c r="AD913" s="1226"/>
      <c r="AE913" s="1226"/>
      <c r="AF913" s="1226"/>
      <c r="AG913" s="1226"/>
      <c r="AH913" s="1226"/>
      <c r="AI913" s="841"/>
      <c r="AJ913" s="841"/>
      <c r="AK913" s="841"/>
      <c r="AL913" s="841"/>
      <c r="AM913" s="841"/>
      <c r="AN913" s="841"/>
      <c r="AO913" s="841"/>
      <c r="AP913" s="841"/>
      <c r="AQ913" s="841"/>
      <c r="AR913" s="841"/>
      <c r="AS913" s="842"/>
    </row>
    <row r="914" spans="1:45">
      <c r="A914" s="841"/>
      <c r="B914" s="841"/>
      <c r="C914" s="841"/>
      <c r="D914" s="841"/>
      <c r="E914" s="841"/>
      <c r="F914" s="841"/>
      <c r="G914" s="841"/>
      <c r="H914" s="841"/>
      <c r="I914" s="841"/>
      <c r="J914" s="841"/>
      <c r="K914" s="841"/>
      <c r="L914" s="841"/>
      <c r="M914" s="841"/>
      <c r="N914" s="841"/>
      <c r="O914" s="841"/>
      <c r="P914" s="841"/>
      <c r="Q914" s="841"/>
      <c r="R914" s="841"/>
      <c r="S914" s="841"/>
      <c r="T914" s="841"/>
      <c r="U914" s="841"/>
      <c r="V914" s="841"/>
      <c r="W914" s="841"/>
      <c r="X914" s="841"/>
      <c r="Y914" s="841"/>
      <c r="Z914" s="1226"/>
      <c r="AA914" s="1226"/>
      <c r="AB914" s="1226"/>
      <c r="AC914" s="1226"/>
      <c r="AD914" s="1226"/>
      <c r="AE914" s="1226"/>
      <c r="AF914" s="1226"/>
      <c r="AG914" s="1226"/>
      <c r="AH914" s="1226"/>
      <c r="AI914" s="841"/>
      <c r="AJ914" s="841"/>
      <c r="AK914" s="841"/>
      <c r="AL914" s="841"/>
      <c r="AM914" s="841"/>
      <c r="AN914" s="841"/>
      <c r="AO914" s="841"/>
      <c r="AP914" s="841"/>
      <c r="AQ914" s="841"/>
      <c r="AR914" s="841"/>
      <c r="AS914" s="842"/>
    </row>
    <row r="915" spans="1:45">
      <c r="A915" s="841"/>
      <c r="B915" s="841"/>
      <c r="C915" s="841"/>
      <c r="D915" s="841"/>
      <c r="E915" s="841"/>
      <c r="F915" s="841"/>
      <c r="G915" s="841"/>
      <c r="H915" s="841"/>
      <c r="I915" s="841"/>
      <c r="J915" s="841"/>
      <c r="K915" s="841"/>
      <c r="L915" s="841"/>
      <c r="M915" s="841"/>
      <c r="N915" s="841"/>
      <c r="O915" s="841"/>
      <c r="P915" s="841"/>
      <c r="Q915" s="841"/>
      <c r="R915" s="841"/>
      <c r="S915" s="841"/>
      <c r="T915" s="841"/>
      <c r="U915" s="841"/>
      <c r="V915" s="841"/>
      <c r="W915" s="841"/>
      <c r="X915" s="841"/>
      <c r="Y915" s="841"/>
      <c r="Z915" s="1226"/>
      <c r="AA915" s="1226"/>
      <c r="AB915" s="1226"/>
      <c r="AC915" s="1226"/>
      <c r="AD915" s="1226"/>
      <c r="AE915" s="1226"/>
      <c r="AF915" s="1226"/>
      <c r="AG915" s="1226"/>
      <c r="AH915" s="1226"/>
      <c r="AI915" s="841"/>
      <c r="AJ915" s="841"/>
      <c r="AK915" s="841"/>
      <c r="AL915" s="841"/>
      <c r="AM915" s="841"/>
      <c r="AN915" s="841"/>
      <c r="AO915" s="841"/>
      <c r="AP915" s="841"/>
      <c r="AQ915" s="841"/>
      <c r="AR915" s="841"/>
      <c r="AS915" s="842"/>
    </row>
    <row r="916" spans="1:45">
      <c r="A916" s="841"/>
      <c r="B916" s="841"/>
      <c r="C916" s="841"/>
      <c r="D916" s="841"/>
      <c r="E916" s="841"/>
      <c r="F916" s="841"/>
      <c r="G916" s="841"/>
      <c r="H916" s="841"/>
      <c r="I916" s="841"/>
      <c r="J916" s="841"/>
      <c r="K916" s="841"/>
      <c r="L916" s="841"/>
      <c r="M916" s="841"/>
      <c r="N916" s="841"/>
      <c r="O916" s="841"/>
      <c r="P916" s="841"/>
      <c r="Q916" s="841"/>
      <c r="R916" s="841"/>
      <c r="S916" s="841"/>
      <c r="T916" s="841"/>
      <c r="U916" s="841"/>
      <c r="V916" s="841"/>
      <c r="W916" s="841"/>
      <c r="X916" s="841"/>
      <c r="Y916" s="841"/>
      <c r="Z916" s="1226"/>
      <c r="AA916" s="1226"/>
      <c r="AB916" s="1226"/>
      <c r="AC916" s="1226"/>
      <c r="AD916" s="1226"/>
      <c r="AE916" s="1226"/>
      <c r="AF916" s="1226"/>
      <c r="AG916" s="1226"/>
      <c r="AH916" s="1226"/>
      <c r="AI916" s="841"/>
      <c r="AJ916" s="841"/>
      <c r="AK916" s="841"/>
      <c r="AL916" s="841"/>
      <c r="AM916" s="841"/>
      <c r="AN916" s="841"/>
      <c r="AO916" s="841"/>
      <c r="AP916" s="841"/>
      <c r="AQ916" s="841"/>
      <c r="AR916" s="841"/>
      <c r="AS916" s="842"/>
    </row>
    <row r="917" spans="1:45">
      <c r="A917" s="841"/>
      <c r="B917" s="841"/>
      <c r="C917" s="841"/>
      <c r="D917" s="841"/>
      <c r="E917" s="841"/>
      <c r="F917" s="841"/>
      <c r="G917" s="841"/>
      <c r="H917" s="841"/>
      <c r="I917" s="841"/>
      <c r="J917" s="841"/>
      <c r="K917" s="841"/>
      <c r="L917" s="841"/>
      <c r="M917" s="841"/>
      <c r="N917" s="841"/>
      <c r="O917" s="841"/>
      <c r="P917" s="841"/>
      <c r="Q917" s="841"/>
      <c r="R917" s="841"/>
      <c r="S917" s="841"/>
      <c r="T917" s="841"/>
      <c r="U917" s="841"/>
      <c r="V917" s="841"/>
      <c r="W917" s="841"/>
      <c r="X917" s="841"/>
      <c r="Y917" s="841"/>
      <c r="Z917" s="1226"/>
      <c r="AA917" s="1226"/>
      <c r="AB917" s="1226"/>
      <c r="AC917" s="1226"/>
      <c r="AD917" s="1226"/>
      <c r="AE917" s="1226"/>
      <c r="AF917" s="1226"/>
      <c r="AG917" s="1226"/>
      <c r="AH917" s="1226"/>
      <c r="AI917" s="841"/>
      <c r="AJ917" s="841"/>
      <c r="AK917" s="841"/>
      <c r="AL917" s="841"/>
      <c r="AM917" s="841"/>
      <c r="AN917" s="841"/>
      <c r="AO917" s="841"/>
      <c r="AP917" s="841"/>
      <c r="AQ917" s="841"/>
      <c r="AR917" s="841"/>
      <c r="AS917" s="842"/>
    </row>
    <row r="918" spans="1:45">
      <c r="A918" s="841"/>
      <c r="B918" s="841"/>
      <c r="C918" s="841"/>
      <c r="D918" s="841"/>
      <c r="E918" s="841"/>
      <c r="F918" s="841"/>
      <c r="G918" s="841"/>
      <c r="H918" s="841"/>
      <c r="I918" s="841"/>
      <c r="J918" s="841"/>
      <c r="K918" s="841"/>
      <c r="L918" s="841"/>
      <c r="M918" s="841"/>
      <c r="N918" s="841"/>
      <c r="O918" s="841"/>
      <c r="P918" s="841"/>
      <c r="Q918" s="841"/>
      <c r="R918" s="841"/>
      <c r="S918" s="841"/>
      <c r="T918" s="841"/>
      <c r="U918" s="841"/>
      <c r="V918" s="841"/>
      <c r="W918" s="841"/>
      <c r="X918" s="841"/>
      <c r="Y918" s="841"/>
      <c r="Z918" s="1226"/>
      <c r="AA918" s="1226"/>
      <c r="AB918" s="1226"/>
      <c r="AC918" s="1226"/>
      <c r="AD918" s="1226"/>
      <c r="AE918" s="1226"/>
      <c r="AF918" s="1226"/>
      <c r="AG918" s="1226"/>
      <c r="AH918" s="1226"/>
      <c r="AI918" s="841"/>
      <c r="AJ918" s="841"/>
      <c r="AK918" s="841"/>
      <c r="AL918" s="841"/>
      <c r="AM918" s="841"/>
      <c r="AN918" s="841"/>
      <c r="AO918" s="841"/>
      <c r="AP918" s="841"/>
      <c r="AQ918" s="841"/>
      <c r="AR918" s="841"/>
      <c r="AS918" s="842"/>
    </row>
    <row r="919" spans="1:45">
      <c r="A919" s="841"/>
      <c r="B919" s="841"/>
      <c r="C919" s="841"/>
      <c r="D919" s="841"/>
      <c r="E919" s="841"/>
      <c r="F919" s="841"/>
      <c r="G919" s="841"/>
      <c r="H919" s="841"/>
      <c r="I919" s="841"/>
      <c r="J919" s="841"/>
      <c r="K919" s="841"/>
      <c r="L919" s="841"/>
      <c r="M919" s="841"/>
      <c r="N919" s="841"/>
      <c r="O919" s="841"/>
      <c r="P919" s="841"/>
      <c r="Q919" s="841"/>
      <c r="R919" s="841"/>
      <c r="S919" s="841"/>
      <c r="T919" s="841"/>
      <c r="U919" s="841"/>
      <c r="V919" s="841"/>
      <c r="W919" s="841"/>
      <c r="X919" s="841"/>
      <c r="Y919" s="841"/>
      <c r="Z919" s="1226"/>
      <c r="AA919" s="1226"/>
      <c r="AB919" s="1226"/>
      <c r="AC919" s="1226"/>
      <c r="AD919" s="1226"/>
      <c r="AE919" s="1226"/>
      <c r="AF919" s="1226"/>
      <c r="AG919" s="1226"/>
      <c r="AH919" s="1226"/>
      <c r="AI919" s="841"/>
      <c r="AJ919" s="841"/>
      <c r="AK919" s="841"/>
      <c r="AL919" s="841"/>
      <c r="AM919" s="841"/>
      <c r="AN919" s="841"/>
      <c r="AO919" s="841"/>
      <c r="AP919" s="841"/>
      <c r="AQ919" s="841"/>
      <c r="AR919" s="841"/>
      <c r="AS919" s="842"/>
    </row>
    <row r="920" spans="1:45">
      <c r="A920" s="841"/>
      <c r="B920" s="841"/>
      <c r="C920" s="841"/>
      <c r="D920" s="841"/>
      <c r="E920" s="841"/>
      <c r="F920" s="841"/>
      <c r="G920" s="841"/>
      <c r="H920" s="841"/>
      <c r="I920" s="841"/>
      <c r="J920" s="841"/>
      <c r="K920" s="841"/>
      <c r="L920" s="841"/>
      <c r="M920" s="841"/>
      <c r="N920" s="841"/>
      <c r="O920" s="841"/>
      <c r="P920" s="841"/>
      <c r="Q920" s="841"/>
      <c r="R920" s="841"/>
      <c r="S920" s="841"/>
      <c r="T920" s="841"/>
      <c r="U920" s="841"/>
      <c r="V920" s="841"/>
      <c r="W920" s="841"/>
      <c r="X920" s="841"/>
      <c r="Y920" s="841"/>
      <c r="Z920" s="1226"/>
      <c r="AA920" s="1226"/>
      <c r="AB920" s="1226"/>
      <c r="AC920" s="1226"/>
      <c r="AD920" s="1226"/>
      <c r="AE920" s="1226"/>
      <c r="AF920" s="1226"/>
      <c r="AG920" s="1226"/>
      <c r="AH920" s="1226"/>
      <c r="AI920" s="841"/>
      <c r="AJ920" s="841"/>
      <c r="AK920" s="841"/>
      <c r="AL920" s="841"/>
      <c r="AM920" s="841"/>
      <c r="AN920" s="841"/>
      <c r="AO920" s="841"/>
      <c r="AP920" s="841"/>
      <c r="AQ920" s="841"/>
      <c r="AR920" s="841"/>
      <c r="AS920" s="842"/>
    </row>
    <row r="921" spans="1:45">
      <c r="A921" s="841"/>
      <c r="B921" s="841"/>
      <c r="C921" s="841"/>
      <c r="D921" s="841"/>
      <c r="E921" s="841"/>
      <c r="F921" s="841"/>
      <c r="G921" s="841"/>
      <c r="H921" s="841"/>
      <c r="I921" s="841"/>
      <c r="J921" s="841"/>
      <c r="K921" s="841"/>
      <c r="L921" s="841"/>
      <c r="M921" s="841"/>
      <c r="N921" s="841"/>
      <c r="O921" s="841"/>
      <c r="P921" s="841"/>
      <c r="Q921" s="841"/>
      <c r="R921" s="841"/>
      <c r="S921" s="841"/>
      <c r="T921" s="841"/>
      <c r="U921" s="841"/>
      <c r="V921" s="841"/>
      <c r="W921" s="841"/>
      <c r="X921" s="841"/>
      <c r="Y921" s="841"/>
      <c r="Z921" s="1226"/>
      <c r="AA921" s="1226"/>
      <c r="AB921" s="1226"/>
      <c r="AC921" s="1226"/>
      <c r="AD921" s="1226"/>
      <c r="AE921" s="1226"/>
      <c r="AF921" s="1226"/>
      <c r="AG921" s="1226"/>
      <c r="AH921" s="1226"/>
      <c r="AI921" s="841"/>
      <c r="AJ921" s="841"/>
      <c r="AK921" s="841"/>
      <c r="AL921" s="841"/>
      <c r="AM921" s="841"/>
      <c r="AN921" s="841"/>
      <c r="AO921" s="841"/>
      <c r="AP921" s="841"/>
      <c r="AQ921" s="841"/>
      <c r="AR921" s="841"/>
      <c r="AS921" s="842"/>
    </row>
    <row r="922" spans="1:45">
      <c r="A922" s="841"/>
      <c r="B922" s="841"/>
      <c r="C922" s="841"/>
      <c r="D922" s="841"/>
      <c r="E922" s="841"/>
      <c r="F922" s="841"/>
      <c r="G922" s="841"/>
      <c r="H922" s="841"/>
      <c r="I922" s="841"/>
      <c r="J922" s="841"/>
      <c r="K922" s="841"/>
      <c r="L922" s="841"/>
      <c r="M922" s="841"/>
      <c r="N922" s="841"/>
      <c r="O922" s="841"/>
      <c r="P922" s="841"/>
      <c r="Q922" s="841"/>
      <c r="R922" s="841"/>
      <c r="S922" s="841"/>
      <c r="T922" s="841"/>
      <c r="U922" s="841"/>
      <c r="V922" s="841"/>
      <c r="W922" s="841"/>
      <c r="X922" s="841"/>
      <c r="Y922" s="841"/>
      <c r="Z922" s="1226"/>
      <c r="AA922" s="1226"/>
      <c r="AB922" s="1226"/>
      <c r="AC922" s="1226"/>
      <c r="AD922" s="1226"/>
      <c r="AE922" s="1226"/>
      <c r="AF922" s="1226"/>
      <c r="AG922" s="1226"/>
      <c r="AH922" s="1226"/>
      <c r="AI922" s="841"/>
      <c r="AJ922" s="841"/>
      <c r="AK922" s="841"/>
      <c r="AL922" s="841"/>
      <c r="AM922" s="841"/>
      <c r="AN922" s="841"/>
      <c r="AO922" s="841"/>
      <c r="AP922" s="841"/>
      <c r="AQ922" s="841"/>
      <c r="AR922" s="841"/>
      <c r="AS922" s="842"/>
    </row>
    <row r="923" spans="1:45">
      <c r="A923" s="841"/>
      <c r="B923" s="841"/>
      <c r="C923" s="841"/>
      <c r="D923" s="841"/>
      <c r="E923" s="841"/>
      <c r="F923" s="841"/>
      <c r="G923" s="841"/>
      <c r="H923" s="841"/>
      <c r="I923" s="841"/>
      <c r="J923" s="841"/>
      <c r="K923" s="841"/>
      <c r="L923" s="841"/>
      <c r="M923" s="841"/>
      <c r="N923" s="841"/>
      <c r="O923" s="841"/>
      <c r="P923" s="841"/>
      <c r="Q923" s="841"/>
      <c r="R923" s="841"/>
      <c r="S923" s="841"/>
      <c r="T923" s="841"/>
      <c r="U923" s="841"/>
      <c r="V923" s="841"/>
      <c r="W923" s="841"/>
      <c r="X923" s="841"/>
      <c r="Y923" s="841"/>
      <c r="Z923" s="1226"/>
      <c r="AA923" s="1226"/>
      <c r="AB923" s="1226"/>
      <c r="AC923" s="1226"/>
      <c r="AD923" s="1226"/>
      <c r="AE923" s="1226"/>
      <c r="AF923" s="1226"/>
      <c r="AG923" s="1226"/>
      <c r="AH923" s="1226"/>
      <c r="AI923" s="841"/>
      <c r="AJ923" s="841"/>
      <c r="AK923" s="841"/>
      <c r="AL923" s="841"/>
      <c r="AM923" s="841"/>
      <c r="AN923" s="841"/>
      <c r="AO923" s="841"/>
      <c r="AP923" s="841"/>
      <c r="AQ923" s="841"/>
      <c r="AR923" s="841"/>
      <c r="AS923" s="842"/>
    </row>
    <row r="924" spans="1:45">
      <c r="A924" s="841"/>
      <c r="B924" s="841"/>
      <c r="C924" s="841"/>
      <c r="D924" s="841"/>
      <c r="E924" s="841"/>
      <c r="F924" s="841"/>
      <c r="G924" s="841"/>
      <c r="H924" s="841"/>
      <c r="I924" s="841"/>
      <c r="J924" s="841"/>
      <c r="K924" s="841"/>
      <c r="L924" s="841"/>
      <c r="M924" s="841"/>
      <c r="N924" s="841"/>
      <c r="O924" s="841"/>
      <c r="P924" s="841"/>
      <c r="Q924" s="841"/>
      <c r="R924" s="841"/>
      <c r="S924" s="841"/>
      <c r="T924" s="841"/>
      <c r="U924" s="841"/>
      <c r="V924" s="841"/>
      <c r="W924" s="841"/>
      <c r="X924" s="841"/>
      <c r="Y924" s="841"/>
      <c r="Z924" s="1226"/>
      <c r="AA924" s="1226"/>
      <c r="AB924" s="1226"/>
      <c r="AC924" s="1226"/>
      <c r="AD924" s="1226"/>
      <c r="AE924" s="1226"/>
      <c r="AF924" s="1226"/>
      <c r="AG924" s="1226"/>
      <c r="AH924" s="1226"/>
      <c r="AI924" s="841"/>
      <c r="AJ924" s="841"/>
      <c r="AK924" s="841"/>
      <c r="AL924" s="841"/>
      <c r="AM924" s="841"/>
      <c r="AN924" s="841"/>
      <c r="AO924" s="841"/>
      <c r="AP924" s="841"/>
      <c r="AQ924" s="841"/>
      <c r="AR924" s="841"/>
      <c r="AS924" s="842"/>
    </row>
    <row r="925" spans="1:45">
      <c r="A925" s="841"/>
      <c r="B925" s="841"/>
      <c r="C925" s="841"/>
      <c r="D925" s="841"/>
      <c r="E925" s="841"/>
      <c r="F925" s="841"/>
      <c r="G925" s="841"/>
      <c r="H925" s="841"/>
      <c r="I925" s="841"/>
      <c r="J925" s="841"/>
      <c r="K925" s="841"/>
      <c r="L925" s="841"/>
      <c r="M925" s="841"/>
      <c r="N925" s="841"/>
      <c r="O925" s="841"/>
      <c r="P925" s="841"/>
      <c r="Q925" s="841"/>
      <c r="R925" s="841"/>
      <c r="S925" s="841"/>
      <c r="T925" s="841"/>
      <c r="U925" s="841"/>
      <c r="V925" s="841"/>
      <c r="W925" s="841"/>
      <c r="X925" s="841"/>
      <c r="Y925" s="841"/>
      <c r="Z925" s="1226"/>
      <c r="AA925" s="1226"/>
      <c r="AB925" s="1226"/>
      <c r="AC925" s="1226"/>
      <c r="AD925" s="1226"/>
      <c r="AE925" s="1226"/>
      <c r="AF925" s="1226"/>
      <c r="AG925" s="1226"/>
      <c r="AH925" s="1226"/>
      <c r="AI925" s="841"/>
      <c r="AJ925" s="841"/>
      <c r="AK925" s="841"/>
      <c r="AL925" s="841"/>
      <c r="AM925" s="841"/>
      <c r="AN925" s="841"/>
      <c r="AO925" s="841"/>
      <c r="AP925" s="841"/>
      <c r="AQ925" s="841"/>
      <c r="AR925" s="841"/>
      <c r="AS925" s="842"/>
    </row>
    <row r="926" spans="1:45">
      <c r="A926" s="841"/>
      <c r="B926" s="841"/>
      <c r="C926" s="841"/>
      <c r="D926" s="841"/>
      <c r="E926" s="841"/>
      <c r="F926" s="841"/>
      <c r="G926" s="841"/>
      <c r="H926" s="841"/>
      <c r="I926" s="841"/>
      <c r="J926" s="841"/>
      <c r="K926" s="841"/>
      <c r="L926" s="841"/>
      <c r="M926" s="841"/>
      <c r="N926" s="841"/>
      <c r="O926" s="841"/>
      <c r="P926" s="841"/>
      <c r="Q926" s="841"/>
      <c r="R926" s="841"/>
      <c r="S926" s="841"/>
      <c r="T926" s="841"/>
      <c r="U926" s="841"/>
      <c r="V926" s="841"/>
      <c r="W926" s="841"/>
      <c r="X926" s="841"/>
      <c r="Y926" s="841"/>
      <c r="Z926" s="1226"/>
      <c r="AA926" s="1226"/>
      <c r="AB926" s="1226"/>
      <c r="AC926" s="1226"/>
      <c r="AD926" s="1226"/>
      <c r="AE926" s="1226"/>
      <c r="AF926" s="1226"/>
      <c r="AG926" s="1226"/>
      <c r="AH926" s="1226"/>
      <c r="AI926" s="841"/>
      <c r="AJ926" s="841"/>
      <c r="AK926" s="841"/>
      <c r="AL926" s="841"/>
      <c r="AM926" s="841"/>
      <c r="AN926" s="841"/>
      <c r="AO926" s="841"/>
      <c r="AP926" s="841"/>
      <c r="AQ926" s="841"/>
      <c r="AR926" s="841"/>
      <c r="AS926" s="842"/>
    </row>
    <row r="927" spans="1:45">
      <c r="A927" s="841"/>
      <c r="B927" s="841"/>
      <c r="C927" s="841"/>
      <c r="D927" s="841"/>
      <c r="E927" s="841"/>
      <c r="F927" s="841"/>
      <c r="G927" s="841"/>
      <c r="H927" s="841"/>
      <c r="I927" s="841"/>
      <c r="J927" s="841"/>
      <c r="K927" s="841"/>
      <c r="L927" s="841"/>
      <c r="M927" s="841"/>
      <c r="N927" s="841"/>
      <c r="O927" s="841"/>
      <c r="P927" s="841"/>
      <c r="Q927" s="841"/>
      <c r="R927" s="841"/>
      <c r="S927" s="841"/>
      <c r="T927" s="841"/>
      <c r="U927" s="841"/>
      <c r="V927" s="841"/>
      <c r="W927" s="841"/>
      <c r="X927" s="841"/>
      <c r="Y927" s="841"/>
      <c r="Z927" s="1226"/>
      <c r="AA927" s="1226"/>
      <c r="AB927" s="1226"/>
      <c r="AC927" s="1226"/>
      <c r="AD927" s="1226"/>
      <c r="AE927" s="1226"/>
      <c r="AF927" s="1226"/>
      <c r="AG927" s="1226"/>
      <c r="AH927" s="1226"/>
      <c r="AI927" s="841"/>
      <c r="AJ927" s="841"/>
      <c r="AK927" s="841"/>
      <c r="AL927" s="841"/>
      <c r="AM927" s="841"/>
      <c r="AN927" s="841"/>
      <c r="AO927" s="841"/>
      <c r="AP927" s="841"/>
      <c r="AQ927" s="841"/>
      <c r="AR927" s="841"/>
      <c r="AS927" s="842"/>
    </row>
    <row r="928" spans="1:45">
      <c r="A928" s="841"/>
      <c r="B928" s="841"/>
      <c r="C928" s="841"/>
      <c r="D928" s="841"/>
      <c r="E928" s="841"/>
      <c r="F928" s="841"/>
      <c r="G928" s="841"/>
      <c r="H928" s="841"/>
      <c r="I928" s="841"/>
      <c r="J928" s="841"/>
      <c r="K928" s="841"/>
      <c r="L928" s="841"/>
      <c r="M928" s="841"/>
      <c r="N928" s="841"/>
      <c r="O928" s="841"/>
      <c r="P928" s="841"/>
      <c r="Q928" s="841"/>
      <c r="R928" s="841"/>
      <c r="S928" s="841"/>
      <c r="T928" s="841"/>
      <c r="U928" s="841"/>
      <c r="V928" s="841"/>
      <c r="W928" s="841"/>
      <c r="X928" s="841"/>
      <c r="Y928" s="841"/>
      <c r="Z928" s="1226"/>
      <c r="AA928" s="1226"/>
      <c r="AB928" s="1226"/>
      <c r="AC928" s="1226"/>
      <c r="AD928" s="1226"/>
      <c r="AE928" s="1226"/>
      <c r="AF928" s="1226"/>
      <c r="AG928" s="1226"/>
      <c r="AH928" s="1226"/>
      <c r="AI928" s="841"/>
      <c r="AJ928" s="841"/>
      <c r="AK928" s="841"/>
      <c r="AL928" s="841"/>
      <c r="AM928" s="841"/>
      <c r="AN928" s="841"/>
      <c r="AO928" s="841"/>
      <c r="AP928" s="841"/>
      <c r="AQ928" s="841"/>
      <c r="AR928" s="841"/>
      <c r="AS928" s="842"/>
    </row>
    <row r="929" spans="1:45">
      <c r="A929" s="841"/>
      <c r="B929" s="841"/>
      <c r="C929" s="841"/>
      <c r="D929" s="841"/>
      <c r="E929" s="841"/>
      <c r="F929" s="841"/>
      <c r="G929" s="841"/>
      <c r="H929" s="841"/>
      <c r="I929" s="841"/>
      <c r="J929" s="841"/>
      <c r="K929" s="841"/>
      <c r="L929" s="841"/>
      <c r="M929" s="841"/>
      <c r="N929" s="841"/>
      <c r="O929" s="841"/>
      <c r="P929" s="841"/>
      <c r="Q929" s="841"/>
      <c r="R929" s="841"/>
      <c r="S929" s="841"/>
      <c r="T929" s="841"/>
      <c r="U929" s="841"/>
      <c r="V929" s="841"/>
      <c r="W929" s="841"/>
      <c r="X929" s="841"/>
      <c r="Y929" s="841"/>
      <c r="Z929" s="1226"/>
      <c r="AA929" s="1226"/>
      <c r="AB929" s="1226"/>
      <c r="AC929" s="1226"/>
      <c r="AD929" s="1226"/>
      <c r="AE929" s="1226"/>
      <c r="AF929" s="1226"/>
      <c r="AG929" s="1226"/>
      <c r="AH929" s="1226"/>
      <c r="AI929" s="841"/>
      <c r="AJ929" s="841"/>
      <c r="AK929" s="841"/>
      <c r="AL929" s="841"/>
      <c r="AM929" s="841"/>
      <c r="AN929" s="841"/>
      <c r="AO929" s="841"/>
      <c r="AP929" s="841"/>
      <c r="AQ929" s="841"/>
      <c r="AR929" s="841"/>
      <c r="AS929" s="842"/>
    </row>
    <row r="930" spans="1:45">
      <c r="A930" s="841"/>
      <c r="B930" s="841"/>
      <c r="C930" s="841"/>
      <c r="D930" s="841"/>
      <c r="E930" s="841"/>
      <c r="F930" s="841"/>
      <c r="G930" s="841"/>
      <c r="H930" s="841"/>
      <c r="I930" s="841"/>
      <c r="J930" s="841"/>
      <c r="K930" s="841"/>
      <c r="L930" s="841"/>
      <c r="M930" s="841"/>
      <c r="N930" s="841"/>
      <c r="O930" s="841"/>
      <c r="P930" s="841"/>
      <c r="Q930" s="841"/>
      <c r="R930" s="841"/>
      <c r="S930" s="841"/>
      <c r="T930" s="841"/>
      <c r="U930" s="841"/>
      <c r="V930" s="841"/>
      <c r="W930" s="841"/>
      <c r="X930" s="841"/>
      <c r="Y930" s="841"/>
      <c r="Z930" s="1226"/>
      <c r="AA930" s="1226"/>
      <c r="AB930" s="1226"/>
      <c r="AC930" s="1226"/>
      <c r="AD930" s="1226"/>
      <c r="AE930" s="1226"/>
      <c r="AF930" s="1226"/>
      <c r="AG930" s="1226"/>
      <c r="AH930" s="1226"/>
      <c r="AI930" s="841"/>
      <c r="AJ930" s="841"/>
      <c r="AK930" s="841"/>
      <c r="AL930" s="841"/>
      <c r="AM930" s="841"/>
      <c r="AN930" s="841"/>
      <c r="AO930" s="841"/>
      <c r="AP930" s="841"/>
      <c r="AQ930" s="841"/>
      <c r="AR930" s="841"/>
      <c r="AS930" s="842"/>
    </row>
    <row r="931" spans="1:45">
      <c r="A931" s="841"/>
      <c r="B931" s="841"/>
      <c r="C931" s="841"/>
      <c r="D931" s="841"/>
      <c r="E931" s="841"/>
      <c r="F931" s="841"/>
      <c r="G931" s="841"/>
      <c r="H931" s="841"/>
      <c r="I931" s="841"/>
      <c r="J931" s="841"/>
      <c r="K931" s="841"/>
      <c r="L931" s="841"/>
      <c r="M931" s="841"/>
      <c r="N931" s="841"/>
      <c r="O931" s="841"/>
      <c r="P931" s="841"/>
      <c r="Q931" s="841"/>
      <c r="R931" s="841"/>
      <c r="S931" s="841"/>
      <c r="T931" s="841"/>
      <c r="U931" s="841"/>
      <c r="V931" s="841"/>
      <c r="W931" s="841"/>
      <c r="X931" s="841"/>
      <c r="Y931" s="841"/>
      <c r="Z931" s="1226"/>
      <c r="AA931" s="1226"/>
      <c r="AB931" s="1226"/>
      <c r="AC931" s="1226"/>
      <c r="AD931" s="1226"/>
      <c r="AE931" s="1226"/>
      <c r="AF931" s="1226"/>
      <c r="AG931" s="1226"/>
      <c r="AH931" s="1226"/>
      <c r="AI931" s="841"/>
      <c r="AJ931" s="841"/>
      <c r="AK931" s="841"/>
      <c r="AL931" s="841"/>
      <c r="AM931" s="841"/>
      <c r="AN931" s="841"/>
      <c r="AO931" s="841"/>
      <c r="AP931" s="841"/>
      <c r="AQ931" s="841"/>
      <c r="AR931" s="841"/>
      <c r="AS931" s="842"/>
    </row>
    <row r="932" spans="1:45">
      <c r="A932" s="841"/>
      <c r="B932" s="841"/>
      <c r="C932" s="841"/>
      <c r="D932" s="841"/>
      <c r="E932" s="841"/>
      <c r="F932" s="841"/>
      <c r="G932" s="841"/>
      <c r="H932" s="841"/>
      <c r="I932" s="841"/>
      <c r="J932" s="841"/>
      <c r="K932" s="841"/>
      <c r="L932" s="841"/>
      <c r="M932" s="841"/>
      <c r="N932" s="841"/>
      <c r="O932" s="841"/>
      <c r="P932" s="841"/>
      <c r="Q932" s="841"/>
      <c r="R932" s="841"/>
      <c r="S932" s="841"/>
      <c r="T932" s="841"/>
      <c r="U932" s="841"/>
      <c r="V932" s="841"/>
      <c r="W932" s="841"/>
      <c r="X932" s="841"/>
      <c r="Y932" s="841"/>
      <c r="Z932" s="1226"/>
      <c r="AA932" s="1226"/>
      <c r="AB932" s="1226"/>
      <c r="AC932" s="1226"/>
      <c r="AD932" s="1226"/>
      <c r="AE932" s="1226"/>
      <c r="AF932" s="1226"/>
      <c r="AG932" s="1226"/>
      <c r="AH932" s="1226"/>
      <c r="AI932" s="841"/>
      <c r="AJ932" s="841"/>
      <c r="AK932" s="841"/>
      <c r="AL932" s="841"/>
      <c r="AM932" s="841"/>
      <c r="AN932" s="841"/>
      <c r="AO932" s="841"/>
      <c r="AP932" s="841"/>
      <c r="AQ932" s="841"/>
      <c r="AR932" s="841"/>
      <c r="AS932" s="842"/>
    </row>
    <row r="933" spans="1:45">
      <c r="A933" s="841"/>
      <c r="B933" s="841"/>
      <c r="C933" s="841"/>
      <c r="D933" s="841"/>
      <c r="E933" s="841"/>
      <c r="F933" s="841"/>
      <c r="G933" s="841"/>
      <c r="H933" s="841"/>
      <c r="I933" s="841"/>
      <c r="J933" s="841"/>
      <c r="K933" s="841"/>
      <c r="L933" s="841"/>
      <c r="M933" s="841"/>
      <c r="N933" s="841"/>
      <c r="O933" s="841"/>
      <c r="P933" s="841"/>
      <c r="Q933" s="841"/>
      <c r="R933" s="841"/>
      <c r="S933" s="841"/>
      <c r="T933" s="841"/>
      <c r="U933" s="841"/>
      <c r="V933" s="841"/>
      <c r="W933" s="841"/>
      <c r="X933" s="841"/>
      <c r="Y933" s="841"/>
      <c r="Z933" s="1226"/>
      <c r="AA933" s="1226"/>
      <c r="AB933" s="1226"/>
      <c r="AC933" s="1226"/>
      <c r="AD933" s="1226"/>
      <c r="AE933" s="1226"/>
      <c r="AF933" s="1226"/>
      <c r="AG933" s="1226"/>
      <c r="AH933" s="1226"/>
      <c r="AI933" s="841"/>
      <c r="AJ933" s="841"/>
      <c r="AK933" s="841"/>
      <c r="AL933" s="841"/>
      <c r="AM933" s="841"/>
      <c r="AN933" s="841"/>
      <c r="AO933" s="841"/>
      <c r="AP933" s="841"/>
      <c r="AQ933" s="841"/>
      <c r="AR933" s="841"/>
      <c r="AS933" s="842"/>
    </row>
    <row r="934" spans="1:45">
      <c r="A934" s="841"/>
      <c r="B934" s="841"/>
      <c r="C934" s="841"/>
      <c r="D934" s="841"/>
      <c r="E934" s="841"/>
      <c r="F934" s="841"/>
      <c r="G934" s="841"/>
      <c r="H934" s="841"/>
      <c r="I934" s="841"/>
      <c r="J934" s="841"/>
      <c r="K934" s="841"/>
      <c r="L934" s="841"/>
      <c r="M934" s="841"/>
      <c r="N934" s="841"/>
      <c r="O934" s="841"/>
      <c r="P934" s="841"/>
      <c r="Q934" s="841"/>
      <c r="R934" s="841"/>
      <c r="S934" s="841"/>
      <c r="T934" s="841"/>
      <c r="U934" s="841"/>
      <c r="V934" s="841"/>
      <c r="W934" s="841"/>
      <c r="X934" s="841"/>
      <c r="Y934" s="841"/>
      <c r="Z934" s="1226"/>
      <c r="AA934" s="1226"/>
      <c r="AB934" s="1226"/>
      <c r="AC934" s="1226"/>
      <c r="AD934" s="1226"/>
      <c r="AE934" s="1226"/>
      <c r="AF934" s="1226"/>
      <c r="AG934" s="1226"/>
      <c r="AH934" s="1226"/>
      <c r="AI934" s="841"/>
      <c r="AJ934" s="841"/>
      <c r="AK934" s="841"/>
      <c r="AL934" s="841"/>
      <c r="AM934" s="841"/>
      <c r="AN934" s="841"/>
      <c r="AO934" s="841"/>
      <c r="AP934" s="841"/>
      <c r="AQ934" s="841"/>
      <c r="AR934" s="841"/>
      <c r="AS934" s="842"/>
    </row>
    <row r="935" spans="1:45">
      <c r="A935" s="841"/>
      <c r="B935" s="841"/>
      <c r="C935" s="841"/>
      <c r="D935" s="841"/>
      <c r="E935" s="841"/>
      <c r="F935" s="841"/>
      <c r="G935" s="841"/>
      <c r="H935" s="841"/>
      <c r="I935" s="841"/>
      <c r="J935" s="841"/>
      <c r="K935" s="841"/>
      <c r="L935" s="841"/>
      <c r="M935" s="841"/>
      <c r="N935" s="841"/>
      <c r="O935" s="841"/>
      <c r="P935" s="841"/>
      <c r="Q935" s="841"/>
      <c r="R935" s="841"/>
      <c r="S935" s="841"/>
      <c r="T935" s="841"/>
      <c r="U935" s="841"/>
      <c r="V935" s="841"/>
      <c r="W935" s="841"/>
      <c r="X935" s="841"/>
      <c r="Y935" s="841"/>
      <c r="Z935" s="1226"/>
      <c r="AA935" s="1226"/>
      <c r="AB935" s="1226"/>
      <c r="AC935" s="1226"/>
      <c r="AD935" s="1226"/>
      <c r="AE935" s="1226"/>
      <c r="AF935" s="1226"/>
      <c r="AG935" s="1226"/>
      <c r="AH935" s="1226"/>
      <c r="AI935" s="841"/>
      <c r="AJ935" s="841"/>
      <c r="AK935" s="841"/>
      <c r="AL935" s="841"/>
      <c r="AM935" s="841"/>
      <c r="AN935" s="841"/>
      <c r="AO935" s="841"/>
      <c r="AP935" s="841"/>
      <c r="AQ935" s="841"/>
      <c r="AR935" s="841"/>
      <c r="AS935" s="842"/>
    </row>
    <row r="936" spans="1:45">
      <c r="A936" s="841"/>
      <c r="B936" s="841"/>
      <c r="C936" s="841"/>
      <c r="D936" s="841"/>
      <c r="E936" s="841"/>
      <c r="F936" s="841"/>
      <c r="G936" s="841"/>
      <c r="H936" s="841"/>
      <c r="I936" s="841"/>
      <c r="J936" s="841"/>
      <c r="K936" s="841"/>
      <c r="L936" s="841"/>
      <c r="M936" s="841"/>
      <c r="N936" s="841"/>
      <c r="O936" s="841"/>
      <c r="P936" s="841"/>
      <c r="Q936" s="841"/>
      <c r="R936" s="841"/>
      <c r="S936" s="841"/>
      <c r="T936" s="841"/>
      <c r="U936" s="841"/>
      <c r="V936" s="841"/>
      <c r="W936" s="841"/>
      <c r="X936" s="841"/>
      <c r="Y936" s="841"/>
      <c r="Z936" s="1226"/>
      <c r="AA936" s="1226"/>
      <c r="AB936" s="1226"/>
      <c r="AC936" s="1226"/>
      <c r="AD936" s="1226"/>
      <c r="AE936" s="1226"/>
      <c r="AF936" s="1226"/>
      <c r="AG936" s="1226"/>
      <c r="AH936" s="1226"/>
      <c r="AI936" s="841"/>
      <c r="AJ936" s="841"/>
      <c r="AK936" s="841"/>
      <c r="AL936" s="841"/>
      <c r="AM936" s="841"/>
      <c r="AN936" s="841"/>
      <c r="AO936" s="841"/>
      <c r="AP936" s="841"/>
      <c r="AQ936" s="841"/>
      <c r="AR936" s="841"/>
      <c r="AS936" s="842"/>
    </row>
    <row r="937" spans="1:45">
      <c r="A937" s="841"/>
      <c r="B937" s="841"/>
      <c r="C937" s="841"/>
      <c r="D937" s="841"/>
      <c r="E937" s="841"/>
      <c r="F937" s="841"/>
      <c r="G937" s="841"/>
      <c r="H937" s="841"/>
      <c r="I937" s="841"/>
      <c r="J937" s="841"/>
      <c r="K937" s="841"/>
      <c r="L937" s="841"/>
      <c r="M937" s="841"/>
      <c r="N937" s="841"/>
      <c r="O937" s="841"/>
      <c r="P937" s="841"/>
      <c r="Q937" s="841"/>
      <c r="R937" s="841"/>
      <c r="S937" s="841"/>
      <c r="T937" s="841"/>
      <c r="U937" s="841"/>
      <c r="V937" s="841"/>
      <c r="W937" s="841"/>
      <c r="X937" s="841"/>
      <c r="Y937" s="841"/>
      <c r="Z937" s="1226"/>
      <c r="AA937" s="1226"/>
      <c r="AB937" s="1226"/>
      <c r="AC937" s="1226"/>
      <c r="AD937" s="1226"/>
      <c r="AE937" s="1226"/>
      <c r="AF937" s="1226"/>
      <c r="AG937" s="1226"/>
      <c r="AH937" s="1226"/>
      <c r="AI937" s="841"/>
      <c r="AJ937" s="841"/>
      <c r="AK937" s="841"/>
      <c r="AL937" s="841"/>
      <c r="AM937" s="841"/>
      <c r="AN937" s="841"/>
      <c r="AO937" s="841"/>
      <c r="AP937" s="841"/>
      <c r="AQ937" s="841"/>
      <c r="AR937" s="841"/>
      <c r="AS937" s="842"/>
    </row>
    <row r="938" spans="1:45">
      <c r="A938" s="841"/>
      <c r="B938" s="841"/>
      <c r="C938" s="841"/>
      <c r="D938" s="841"/>
      <c r="E938" s="841"/>
      <c r="F938" s="841"/>
      <c r="G938" s="841"/>
      <c r="H938" s="841"/>
      <c r="I938" s="841"/>
      <c r="J938" s="841"/>
      <c r="K938" s="841"/>
      <c r="L938" s="841"/>
      <c r="M938" s="841"/>
      <c r="N938" s="841"/>
      <c r="O938" s="841"/>
      <c r="P938" s="841"/>
      <c r="Q938" s="841"/>
      <c r="R938" s="841"/>
      <c r="S938" s="841"/>
      <c r="T938" s="841"/>
      <c r="U938" s="841"/>
      <c r="V938" s="841"/>
      <c r="W938" s="841"/>
      <c r="X938" s="841"/>
      <c r="Y938" s="841"/>
      <c r="Z938" s="1226"/>
      <c r="AA938" s="1226"/>
      <c r="AB938" s="1226"/>
      <c r="AC938" s="1226"/>
      <c r="AD938" s="1226"/>
      <c r="AE938" s="1226"/>
      <c r="AF938" s="1226"/>
      <c r="AG938" s="1226"/>
      <c r="AH938" s="1226"/>
      <c r="AI938" s="841"/>
      <c r="AJ938" s="841"/>
      <c r="AK938" s="841"/>
      <c r="AL938" s="841"/>
      <c r="AM938" s="841"/>
      <c r="AN938" s="841"/>
      <c r="AO938" s="841"/>
      <c r="AP938" s="841"/>
      <c r="AQ938" s="841"/>
      <c r="AR938" s="841"/>
      <c r="AS938" s="842"/>
    </row>
    <row r="939" spans="1:45">
      <c r="A939" s="841"/>
      <c r="B939" s="841"/>
      <c r="C939" s="841"/>
      <c r="D939" s="841"/>
      <c r="E939" s="841"/>
      <c r="F939" s="841"/>
      <c r="G939" s="841"/>
      <c r="H939" s="841"/>
      <c r="I939" s="841"/>
      <c r="J939" s="841"/>
      <c r="K939" s="841"/>
      <c r="L939" s="841"/>
      <c r="M939" s="841"/>
      <c r="N939" s="841"/>
      <c r="O939" s="841"/>
      <c r="P939" s="841"/>
      <c r="Q939" s="841"/>
      <c r="R939" s="841"/>
      <c r="S939" s="841"/>
      <c r="T939" s="841"/>
      <c r="U939" s="841"/>
      <c r="V939" s="841"/>
      <c r="W939" s="841"/>
      <c r="X939" s="841"/>
      <c r="Y939" s="841"/>
      <c r="Z939" s="1226"/>
      <c r="AA939" s="1226"/>
      <c r="AB939" s="1226"/>
      <c r="AC939" s="1226"/>
      <c r="AD939" s="1226"/>
      <c r="AE939" s="1226"/>
      <c r="AF939" s="1226"/>
      <c r="AG939" s="1226"/>
      <c r="AH939" s="1226"/>
      <c r="AI939" s="841"/>
      <c r="AJ939" s="841"/>
      <c r="AK939" s="841"/>
      <c r="AL939" s="841"/>
      <c r="AM939" s="841"/>
      <c r="AN939" s="841"/>
      <c r="AO939" s="841"/>
      <c r="AP939" s="841"/>
      <c r="AQ939" s="841"/>
      <c r="AR939" s="841"/>
      <c r="AS939" s="842"/>
    </row>
    <row r="940" spans="1:45">
      <c r="A940" s="841"/>
      <c r="B940" s="841"/>
      <c r="C940" s="841"/>
      <c r="D940" s="841"/>
      <c r="E940" s="841"/>
      <c r="F940" s="841"/>
      <c r="G940" s="841"/>
      <c r="H940" s="841"/>
      <c r="I940" s="841"/>
      <c r="J940" s="841"/>
      <c r="K940" s="841"/>
      <c r="L940" s="841"/>
      <c r="M940" s="841"/>
      <c r="N940" s="841"/>
      <c r="O940" s="841"/>
      <c r="P940" s="841"/>
      <c r="Q940" s="841"/>
      <c r="R940" s="841"/>
      <c r="S940" s="841"/>
      <c r="T940" s="841"/>
      <c r="U940" s="841"/>
      <c r="V940" s="841"/>
      <c r="W940" s="841"/>
      <c r="X940" s="841"/>
      <c r="Y940" s="841"/>
      <c r="Z940" s="1226"/>
      <c r="AA940" s="1226"/>
      <c r="AB940" s="1226"/>
      <c r="AC940" s="1226"/>
      <c r="AD940" s="1226"/>
      <c r="AE940" s="1226"/>
      <c r="AF940" s="1226"/>
      <c r="AG940" s="1226"/>
      <c r="AH940" s="1226"/>
      <c r="AI940" s="841"/>
      <c r="AJ940" s="841"/>
      <c r="AK940" s="841"/>
      <c r="AL940" s="841"/>
      <c r="AM940" s="841"/>
      <c r="AN940" s="841"/>
      <c r="AO940" s="841"/>
      <c r="AP940" s="841"/>
      <c r="AQ940" s="841"/>
      <c r="AR940" s="841"/>
      <c r="AS940" s="842"/>
    </row>
    <row r="941" spans="1:45">
      <c r="A941" s="841"/>
      <c r="B941" s="841"/>
      <c r="C941" s="841"/>
      <c r="D941" s="841"/>
      <c r="E941" s="841"/>
      <c r="F941" s="841"/>
      <c r="G941" s="841"/>
      <c r="H941" s="841"/>
      <c r="I941" s="841"/>
      <c r="J941" s="841"/>
      <c r="K941" s="841"/>
      <c r="L941" s="841"/>
      <c r="M941" s="841"/>
      <c r="N941" s="841"/>
      <c r="O941" s="841"/>
      <c r="P941" s="841"/>
      <c r="Q941" s="841"/>
      <c r="R941" s="841"/>
      <c r="S941" s="841"/>
      <c r="T941" s="841"/>
      <c r="U941" s="841"/>
      <c r="V941" s="841"/>
      <c r="W941" s="841"/>
      <c r="X941" s="841"/>
      <c r="Y941" s="841"/>
      <c r="Z941" s="1226"/>
      <c r="AA941" s="1226"/>
      <c r="AB941" s="1226"/>
      <c r="AC941" s="1226"/>
      <c r="AD941" s="1226"/>
      <c r="AE941" s="1226"/>
      <c r="AF941" s="1226"/>
      <c r="AG941" s="1226"/>
      <c r="AH941" s="1226"/>
      <c r="AI941" s="841"/>
      <c r="AJ941" s="841"/>
      <c r="AK941" s="841"/>
      <c r="AL941" s="841"/>
      <c r="AM941" s="841"/>
      <c r="AN941" s="841"/>
      <c r="AO941" s="841"/>
      <c r="AP941" s="841"/>
      <c r="AQ941" s="841"/>
      <c r="AR941" s="841"/>
      <c r="AS941" s="842"/>
    </row>
    <row r="942" spans="1:45">
      <c r="A942" s="841"/>
      <c r="B942" s="841"/>
      <c r="C942" s="841"/>
      <c r="D942" s="841"/>
      <c r="E942" s="841"/>
      <c r="F942" s="841"/>
      <c r="G942" s="841"/>
      <c r="H942" s="841"/>
      <c r="I942" s="841"/>
      <c r="J942" s="841"/>
      <c r="K942" s="841"/>
      <c r="L942" s="841"/>
      <c r="M942" s="841"/>
      <c r="N942" s="841"/>
      <c r="O942" s="841"/>
      <c r="P942" s="841"/>
      <c r="Q942" s="841"/>
      <c r="R942" s="841"/>
      <c r="S942" s="841"/>
      <c r="T942" s="841"/>
      <c r="U942" s="841"/>
      <c r="V942" s="841"/>
      <c r="W942" s="841"/>
      <c r="X942" s="841"/>
      <c r="Y942" s="841"/>
      <c r="Z942" s="1226"/>
      <c r="AA942" s="1226"/>
      <c r="AB942" s="1226"/>
      <c r="AC942" s="1226"/>
      <c r="AD942" s="1226"/>
      <c r="AE942" s="1226"/>
      <c r="AF942" s="1226"/>
      <c r="AG942" s="1226"/>
      <c r="AH942" s="1226"/>
      <c r="AI942" s="841"/>
      <c r="AJ942" s="841"/>
      <c r="AK942" s="841"/>
      <c r="AL942" s="841"/>
      <c r="AM942" s="841"/>
      <c r="AN942" s="841"/>
      <c r="AO942" s="841"/>
      <c r="AP942" s="841"/>
      <c r="AQ942" s="841"/>
      <c r="AR942" s="841"/>
      <c r="AS942" s="842"/>
    </row>
    <row r="943" spans="1:45">
      <c r="A943" s="841"/>
      <c r="B943" s="841"/>
      <c r="C943" s="841"/>
      <c r="D943" s="841"/>
      <c r="E943" s="841"/>
      <c r="F943" s="841"/>
      <c r="G943" s="841"/>
      <c r="H943" s="841"/>
      <c r="I943" s="841"/>
      <c r="J943" s="841"/>
      <c r="K943" s="841"/>
      <c r="L943" s="841"/>
      <c r="M943" s="841"/>
      <c r="N943" s="841"/>
      <c r="O943" s="841"/>
      <c r="P943" s="841"/>
      <c r="Q943" s="841"/>
      <c r="R943" s="841"/>
      <c r="S943" s="841"/>
      <c r="T943" s="841"/>
      <c r="U943" s="841"/>
      <c r="V943" s="841"/>
      <c r="W943" s="841"/>
      <c r="X943" s="841"/>
      <c r="Y943" s="841"/>
      <c r="Z943" s="1226"/>
      <c r="AA943" s="1226"/>
      <c r="AB943" s="1226"/>
      <c r="AC943" s="1226"/>
      <c r="AD943" s="1226"/>
      <c r="AE943" s="1226"/>
      <c r="AF943" s="1226"/>
      <c r="AG943" s="1226"/>
      <c r="AH943" s="1226"/>
      <c r="AI943" s="841"/>
      <c r="AJ943" s="841"/>
      <c r="AK943" s="841"/>
      <c r="AL943" s="841"/>
      <c r="AM943" s="841"/>
      <c r="AN943" s="841"/>
      <c r="AO943" s="841"/>
      <c r="AP943" s="841"/>
      <c r="AQ943" s="841"/>
      <c r="AR943" s="841"/>
      <c r="AS943" s="842"/>
    </row>
    <row r="944" spans="1:45">
      <c r="A944" s="841"/>
      <c r="B944" s="841"/>
      <c r="C944" s="841"/>
      <c r="D944" s="841"/>
      <c r="E944" s="841"/>
      <c r="F944" s="841"/>
      <c r="G944" s="841"/>
      <c r="H944" s="841"/>
      <c r="I944" s="841"/>
      <c r="J944" s="841"/>
      <c r="K944" s="841"/>
      <c r="L944" s="841"/>
      <c r="M944" s="841"/>
      <c r="N944" s="841"/>
      <c r="O944" s="841"/>
      <c r="P944" s="841"/>
      <c r="Q944" s="841"/>
      <c r="R944" s="841"/>
      <c r="S944" s="841"/>
      <c r="T944" s="841"/>
      <c r="U944" s="841"/>
      <c r="V944" s="841"/>
      <c r="W944" s="841"/>
      <c r="X944" s="841"/>
      <c r="Y944" s="841"/>
      <c r="Z944" s="1226"/>
      <c r="AA944" s="1226"/>
      <c r="AB944" s="1226"/>
      <c r="AC944" s="1226"/>
      <c r="AD944" s="1226"/>
      <c r="AE944" s="1226"/>
      <c r="AF944" s="1226"/>
      <c r="AG944" s="1226"/>
      <c r="AH944" s="1226"/>
      <c r="AI944" s="841"/>
      <c r="AJ944" s="841"/>
      <c r="AK944" s="841"/>
      <c r="AL944" s="841"/>
      <c r="AM944" s="841"/>
      <c r="AN944" s="841"/>
      <c r="AO944" s="841"/>
      <c r="AP944" s="841"/>
      <c r="AQ944" s="841"/>
      <c r="AR944" s="841"/>
      <c r="AS944" s="842"/>
    </row>
    <row r="945" spans="1:45">
      <c r="A945" s="841"/>
      <c r="B945" s="841"/>
      <c r="C945" s="841"/>
      <c r="D945" s="841"/>
      <c r="E945" s="841"/>
      <c r="F945" s="841"/>
      <c r="G945" s="841"/>
      <c r="H945" s="841"/>
      <c r="I945" s="841"/>
      <c r="J945" s="841"/>
      <c r="K945" s="841"/>
      <c r="L945" s="841"/>
      <c r="M945" s="841"/>
      <c r="N945" s="841"/>
      <c r="O945" s="841"/>
      <c r="P945" s="841"/>
      <c r="Q945" s="841"/>
      <c r="R945" s="841"/>
      <c r="S945" s="841"/>
      <c r="T945" s="841"/>
      <c r="U945" s="841"/>
      <c r="V945" s="841"/>
      <c r="W945" s="841"/>
      <c r="X945" s="841"/>
      <c r="Y945" s="841"/>
      <c r="Z945" s="1226"/>
      <c r="AA945" s="1226"/>
      <c r="AB945" s="1226"/>
      <c r="AC945" s="1226"/>
      <c r="AD945" s="1226"/>
      <c r="AE945" s="1226"/>
      <c r="AF945" s="1226"/>
      <c r="AG945" s="1226"/>
      <c r="AH945" s="1226"/>
      <c r="AI945" s="841"/>
      <c r="AJ945" s="841"/>
      <c r="AK945" s="841"/>
      <c r="AL945" s="841"/>
      <c r="AM945" s="841"/>
      <c r="AN945" s="841"/>
      <c r="AO945" s="841"/>
      <c r="AP945" s="841"/>
      <c r="AQ945" s="841"/>
      <c r="AR945" s="841"/>
      <c r="AS945" s="842"/>
    </row>
    <row r="946" spans="1:45">
      <c r="A946" s="841"/>
      <c r="B946" s="841"/>
      <c r="C946" s="841"/>
      <c r="D946" s="841"/>
      <c r="E946" s="841"/>
      <c r="F946" s="841"/>
      <c r="G946" s="841"/>
      <c r="H946" s="841"/>
      <c r="I946" s="841"/>
      <c r="J946" s="841"/>
      <c r="K946" s="841"/>
      <c r="L946" s="841"/>
      <c r="M946" s="841"/>
      <c r="N946" s="841"/>
      <c r="O946" s="841"/>
      <c r="P946" s="841"/>
      <c r="Q946" s="841"/>
      <c r="R946" s="841"/>
      <c r="S946" s="841"/>
      <c r="T946" s="841"/>
      <c r="U946" s="841"/>
      <c r="V946" s="841"/>
      <c r="W946" s="841"/>
      <c r="X946" s="841"/>
      <c r="Y946" s="841"/>
      <c r="Z946" s="1226"/>
      <c r="AA946" s="1226"/>
      <c r="AB946" s="1226"/>
      <c r="AC946" s="1226"/>
      <c r="AD946" s="1226"/>
      <c r="AE946" s="1226"/>
      <c r="AF946" s="1226"/>
      <c r="AG946" s="1226"/>
      <c r="AH946" s="1226"/>
      <c r="AI946" s="841"/>
      <c r="AJ946" s="841"/>
      <c r="AK946" s="841"/>
      <c r="AL946" s="841"/>
      <c r="AM946" s="841"/>
      <c r="AN946" s="841"/>
      <c r="AO946" s="841"/>
      <c r="AP946" s="841"/>
      <c r="AQ946" s="841"/>
      <c r="AR946" s="841"/>
      <c r="AS946" s="842"/>
    </row>
    <row r="947" spans="1:45">
      <c r="A947" s="841"/>
      <c r="B947" s="841"/>
      <c r="C947" s="841"/>
      <c r="D947" s="841"/>
      <c r="E947" s="841"/>
      <c r="F947" s="841"/>
      <c r="G947" s="841"/>
      <c r="H947" s="841"/>
      <c r="I947" s="841"/>
      <c r="J947" s="841"/>
      <c r="K947" s="841"/>
      <c r="L947" s="841"/>
      <c r="M947" s="841"/>
      <c r="N947" s="841"/>
      <c r="O947" s="841"/>
      <c r="P947" s="841"/>
      <c r="Q947" s="841"/>
      <c r="R947" s="841"/>
      <c r="S947" s="841"/>
      <c r="T947" s="841"/>
      <c r="U947" s="841"/>
      <c r="V947" s="841"/>
      <c r="W947" s="841"/>
      <c r="X947" s="841"/>
      <c r="Y947" s="841"/>
      <c r="Z947" s="1226"/>
      <c r="AA947" s="1226"/>
      <c r="AB947" s="1226"/>
      <c r="AC947" s="1226"/>
      <c r="AD947" s="1226"/>
      <c r="AE947" s="1226"/>
      <c r="AF947" s="1226"/>
      <c r="AG947" s="1226"/>
      <c r="AH947" s="1226"/>
      <c r="AI947" s="841"/>
      <c r="AJ947" s="841"/>
      <c r="AK947" s="841"/>
      <c r="AL947" s="841"/>
      <c r="AM947" s="841"/>
      <c r="AN947" s="841"/>
      <c r="AO947" s="841"/>
      <c r="AP947" s="841"/>
      <c r="AQ947" s="841"/>
      <c r="AR947" s="841"/>
      <c r="AS947" s="842"/>
    </row>
    <row r="948" spans="1:45">
      <c r="A948" s="841"/>
      <c r="B948" s="841"/>
      <c r="C948" s="841"/>
      <c r="D948" s="841"/>
      <c r="E948" s="841"/>
      <c r="F948" s="841"/>
      <c r="G948" s="841"/>
      <c r="H948" s="841"/>
      <c r="I948" s="841"/>
      <c r="J948" s="841"/>
      <c r="K948" s="841"/>
      <c r="L948" s="841"/>
      <c r="M948" s="841"/>
      <c r="N948" s="841"/>
      <c r="O948" s="841"/>
      <c r="P948" s="841"/>
      <c r="Q948" s="841"/>
      <c r="R948" s="841"/>
      <c r="S948" s="841"/>
      <c r="T948" s="841"/>
      <c r="U948" s="841"/>
      <c r="V948" s="841"/>
      <c r="W948" s="841"/>
      <c r="X948" s="841"/>
      <c r="Y948" s="841"/>
      <c r="Z948" s="1226"/>
      <c r="AA948" s="1226"/>
      <c r="AB948" s="1226"/>
      <c r="AC948" s="1226"/>
      <c r="AD948" s="1226"/>
      <c r="AE948" s="1226"/>
      <c r="AF948" s="1226"/>
      <c r="AG948" s="1226"/>
      <c r="AH948" s="1226"/>
      <c r="AI948" s="841"/>
      <c r="AJ948" s="841"/>
      <c r="AK948" s="841"/>
      <c r="AL948" s="841"/>
      <c r="AM948" s="841"/>
      <c r="AN948" s="841"/>
      <c r="AO948" s="841"/>
      <c r="AP948" s="841"/>
      <c r="AQ948" s="841"/>
      <c r="AR948" s="841"/>
      <c r="AS948" s="842"/>
    </row>
    <row r="949" spans="1:45">
      <c r="A949" s="841"/>
      <c r="B949" s="841"/>
      <c r="C949" s="841"/>
      <c r="D949" s="841"/>
      <c r="E949" s="841"/>
      <c r="F949" s="841"/>
      <c r="G949" s="841"/>
      <c r="H949" s="841"/>
      <c r="I949" s="841"/>
      <c r="J949" s="841"/>
      <c r="K949" s="841"/>
      <c r="L949" s="841"/>
      <c r="M949" s="841"/>
      <c r="N949" s="841"/>
      <c r="O949" s="841"/>
      <c r="P949" s="841"/>
      <c r="Q949" s="841"/>
      <c r="R949" s="841"/>
      <c r="S949" s="841"/>
      <c r="T949" s="841"/>
      <c r="U949" s="841"/>
      <c r="V949" s="841"/>
      <c r="W949" s="841"/>
      <c r="X949" s="841"/>
      <c r="Y949" s="841"/>
      <c r="Z949" s="1226"/>
      <c r="AA949" s="1226"/>
      <c r="AB949" s="1226"/>
      <c r="AC949" s="1226"/>
      <c r="AD949" s="1226"/>
      <c r="AE949" s="1226"/>
      <c r="AF949" s="1226"/>
      <c r="AG949" s="1226"/>
      <c r="AH949" s="1226"/>
      <c r="AI949" s="841"/>
      <c r="AJ949" s="841"/>
      <c r="AK949" s="841"/>
      <c r="AL949" s="841"/>
      <c r="AM949" s="841"/>
      <c r="AN949" s="841"/>
      <c r="AO949" s="841"/>
      <c r="AP949" s="841"/>
      <c r="AQ949" s="841"/>
      <c r="AR949" s="841"/>
      <c r="AS949" s="842"/>
    </row>
    <row r="950" spans="1:45">
      <c r="A950" s="841"/>
      <c r="B950" s="841"/>
      <c r="C950" s="841"/>
      <c r="D950" s="841"/>
      <c r="E950" s="841"/>
      <c r="F950" s="841"/>
      <c r="G950" s="841"/>
      <c r="H950" s="841"/>
      <c r="I950" s="841"/>
      <c r="J950" s="841"/>
      <c r="K950" s="841"/>
      <c r="L950" s="841"/>
      <c r="M950" s="841"/>
      <c r="N950" s="841"/>
      <c r="O950" s="841"/>
      <c r="P950" s="841"/>
      <c r="Q950" s="841"/>
      <c r="R950" s="841"/>
      <c r="S950" s="841"/>
      <c r="T950" s="841"/>
      <c r="U950" s="841"/>
      <c r="V950" s="841"/>
      <c r="W950" s="841"/>
      <c r="X950" s="841"/>
      <c r="Y950" s="841"/>
      <c r="Z950" s="1226"/>
      <c r="AA950" s="1226"/>
      <c r="AB950" s="1226"/>
      <c r="AC950" s="1226"/>
      <c r="AD950" s="1226"/>
      <c r="AE950" s="1226"/>
      <c r="AF950" s="1226"/>
      <c r="AG950" s="1226"/>
      <c r="AH950" s="1226"/>
      <c r="AI950" s="841"/>
      <c r="AJ950" s="841"/>
      <c r="AK950" s="841"/>
      <c r="AL950" s="841"/>
      <c r="AM950" s="841"/>
      <c r="AN950" s="841"/>
      <c r="AO950" s="841"/>
      <c r="AP950" s="841"/>
      <c r="AQ950" s="841"/>
      <c r="AR950" s="841"/>
      <c r="AS950" s="842"/>
    </row>
    <row r="951" spans="1:45">
      <c r="A951" s="841"/>
      <c r="B951" s="841"/>
      <c r="C951" s="841"/>
      <c r="D951" s="841"/>
      <c r="E951" s="841"/>
      <c r="F951" s="841"/>
      <c r="G951" s="841"/>
      <c r="H951" s="841"/>
      <c r="I951" s="841"/>
      <c r="J951" s="841"/>
      <c r="K951" s="841"/>
      <c r="L951" s="841"/>
      <c r="M951" s="841"/>
      <c r="N951" s="841"/>
      <c r="O951" s="841"/>
      <c r="P951" s="841"/>
      <c r="Q951" s="841"/>
      <c r="R951" s="841"/>
      <c r="S951" s="841"/>
      <c r="T951" s="841"/>
      <c r="U951" s="841"/>
      <c r="V951" s="841"/>
      <c r="W951" s="841"/>
      <c r="X951" s="841"/>
      <c r="Y951" s="841"/>
      <c r="Z951" s="1226"/>
      <c r="AA951" s="1226"/>
      <c r="AB951" s="1226"/>
      <c r="AC951" s="1226"/>
      <c r="AD951" s="1226"/>
      <c r="AE951" s="1226"/>
      <c r="AF951" s="1226"/>
      <c r="AG951" s="1226"/>
      <c r="AH951" s="1226"/>
      <c r="AI951" s="841"/>
      <c r="AJ951" s="841"/>
      <c r="AK951" s="841"/>
      <c r="AL951" s="841"/>
      <c r="AM951" s="841"/>
      <c r="AN951" s="841"/>
      <c r="AO951" s="841"/>
      <c r="AP951" s="841"/>
      <c r="AQ951" s="841"/>
      <c r="AR951" s="841"/>
      <c r="AS951" s="842"/>
    </row>
    <row r="952" spans="1:45">
      <c r="A952" s="841"/>
      <c r="B952" s="841"/>
      <c r="C952" s="841"/>
      <c r="D952" s="841"/>
      <c r="E952" s="841"/>
      <c r="F952" s="841"/>
      <c r="G952" s="841"/>
      <c r="H952" s="841"/>
      <c r="I952" s="841"/>
      <c r="J952" s="841"/>
      <c r="K952" s="841"/>
      <c r="L952" s="841"/>
      <c r="M952" s="841"/>
      <c r="N952" s="841"/>
      <c r="O952" s="841"/>
      <c r="P952" s="841"/>
      <c r="Q952" s="841"/>
      <c r="R952" s="841"/>
      <c r="S952" s="841"/>
      <c r="T952" s="841"/>
      <c r="U952" s="841"/>
      <c r="V952" s="841"/>
      <c r="W952" s="841"/>
      <c r="X952" s="841"/>
      <c r="Y952" s="841"/>
      <c r="Z952" s="1226"/>
      <c r="AA952" s="1226"/>
      <c r="AB952" s="1226"/>
      <c r="AC952" s="1226"/>
      <c r="AD952" s="1226"/>
      <c r="AE952" s="1226"/>
      <c r="AF952" s="1226"/>
      <c r="AG952" s="1226"/>
      <c r="AH952" s="1226"/>
      <c r="AI952" s="841"/>
      <c r="AJ952" s="841"/>
      <c r="AK952" s="841"/>
      <c r="AL952" s="841"/>
      <c r="AM952" s="841"/>
      <c r="AN952" s="841"/>
      <c r="AO952" s="841"/>
      <c r="AP952" s="841"/>
      <c r="AQ952" s="841"/>
      <c r="AR952" s="841"/>
      <c r="AS952" s="842"/>
    </row>
    <row r="953" spans="1:45">
      <c r="A953" s="841"/>
      <c r="B953" s="841"/>
      <c r="C953" s="841"/>
      <c r="D953" s="841"/>
      <c r="E953" s="841"/>
      <c r="F953" s="841"/>
      <c r="G953" s="841"/>
      <c r="H953" s="841"/>
      <c r="I953" s="841"/>
      <c r="J953" s="841"/>
      <c r="K953" s="841"/>
      <c r="L953" s="841"/>
      <c r="M953" s="841"/>
      <c r="N953" s="841"/>
      <c r="O953" s="841"/>
      <c r="P953" s="841"/>
      <c r="Q953" s="841"/>
      <c r="R953" s="841"/>
      <c r="S953" s="841"/>
      <c r="T953" s="841"/>
      <c r="U953" s="841"/>
      <c r="V953" s="841"/>
      <c r="W953" s="841"/>
      <c r="X953" s="841"/>
      <c r="Y953" s="841"/>
      <c r="Z953" s="1226"/>
      <c r="AA953" s="1226"/>
      <c r="AB953" s="1226"/>
      <c r="AC953" s="1226"/>
      <c r="AD953" s="1226"/>
      <c r="AE953" s="1226"/>
      <c r="AF953" s="1226"/>
      <c r="AG953" s="1226"/>
      <c r="AH953" s="1226"/>
      <c r="AI953" s="841"/>
      <c r="AJ953" s="841"/>
      <c r="AK953" s="841"/>
      <c r="AL953" s="841"/>
      <c r="AM953" s="841"/>
      <c r="AN953" s="841"/>
      <c r="AO953" s="841"/>
      <c r="AP953" s="841"/>
      <c r="AQ953" s="841"/>
      <c r="AR953" s="841"/>
      <c r="AS953" s="842"/>
    </row>
    <row r="954" spans="1:45">
      <c r="A954" s="841"/>
      <c r="B954" s="841"/>
      <c r="C954" s="841"/>
      <c r="D954" s="841"/>
      <c r="E954" s="841"/>
      <c r="F954" s="841"/>
      <c r="G954" s="841"/>
      <c r="H954" s="841"/>
      <c r="I954" s="841"/>
      <c r="J954" s="841"/>
      <c r="K954" s="841"/>
      <c r="L954" s="841"/>
      <c r="M954" s="841"/>
      <c r="N954" s="841"/>
      <c r="O954" s="841"/>
      <c r="P954" s="841"/>
      <c r="Q954" s="841"/>
      <c r="R954" s="841"/>
      <c r="S954" s="841"/>
      <c r="T954" s="841"/>
      <c r="U954" s="841"/>
      <c r="V954" s="841"/>
      <c r="W954" s="841"/>
      <c r="X954" s="841"/>
      <c r="Y954" s="841"/>
      <c r="Z954" s="1226"/>
      <c r="AA954" s="1226"/>
      <c r="AB954" s="1226"/>
      <c r="AC954" s="1226"/>
      <c r="AD954" s="1226"/>
      <c r="AE954" s="1226"/>
      <c r="AF954" s="1226"/>
      <c r="AG954" s="1226"/>
      <c r="AH954" s="1226"/>
      <c r="AI954" s="841"/>
      <c r="AJ954" s="841"/>
      <c r="AK954" s="841"/>
      <c r="AL954" s="841"/>
      <c r="AM954" s="841"/>
      <c r="AN954" s="841"/>
      <c r="AO954" s="841"/>
      <c r="AP954" s="841"/>
      <c r="AQ954" s="841"/>
      <c r="AR954" s="841"/>
      <c r="AS954" s="842"/>
    </row>
    <row r="955" spans="1:45">
      <c r="A955" s="841"/>
      <c r="B955" s="841"/>
      <c r="C955" s="841"/>
      <c r="D955" s="841"/>
      <c r="E955" s="841"/>
      <c r="F955" s="841"/>
      <c r="G955" s="841"/>
      <c r="H955" s="841"/>
      <c r="I955" s="841"/>
      <c r="J955" s="841"/>
      <c r="K955" s="841"/>
      <c r="L955" s="841"/>
      <c r="M955" s="841"/>
      <c r="N955" s="841"/>
      <c r="O955" s="841"/>
      <c r="P955" s="841"/>
      <c r="Q955" s="841"/>
      <c r="R955" s="841"/>
      <c r="S955" s="841"/>
      <c r="T955" s="841"/>
      <c r="U955" s="841"/>
      <c r="V955" s="841"/>
      <c r="W955" s="841"/>
      <c r="X955" s="841"/>
      <c r="Y955" s="841"/>
      <c r="Z955" s="1226"/>
      <c r="AA955" s="1226"/>
      <c r="AB955" s="1226"/>
      <c r="AC955" s="1226"/>
      <c r="AD955" s="1226"/>
      <c r="AE955" s="1226"/>
      <c r="AF955" s="1226"/>
      <c r="AG955" s="1226"/>
      <c r="AH955" s="1226"/>
      <c r="AI955" s="841"/>
      <c r="AJ955" s="841"/>
      <c r="AK955" s="841"/>
      <c r="AL955" s="841"/>
      <c r="AM955" s="841"/>
      <c r="AN955" s="841"/>
      <c r="AO955" s="841"/>
      <c r="AP955" s="841"/>
      <c r="AQ955" s="841"/>
      <c r="AR955" s="841"/>
      <c r="AS955" s="842"/>
    </row>
    <row r="956" spans="1:45">
      <c r="A956" s="841"/>
      <c r="B956" s="841"/>
      <c r="C956" s="841"/>
      <c r="D956" s="841"/>
      <c r="E956" s="841"/>
      <c r="F956" s="841"/>
      <c r="G956" s="841"/>
      <c r="H956" s="841"/>
      <c r="I956" s="841"/>
      <c r="J956" s="841"/>
      <c r="K956" s="841"/>
      <c r="L956" s="841"/>
      <c r="M956" s="841"/>
      <c r="N956" s="841"/>
      <c r="O956" s="841"/>
      <c r="P956" s="841"/>
      <c r="Q956" s="841"/>
      <c r="R956" s="841"/>
      <c r="S956" s="841"/>
      <c r="T956" s="841"/>
      <c r="U956" s="841"/>
      <c r="V956" s="841"/>
      <c r="W956" s="841"/>
      <c r="X956" s="841"/>
      <c r="Y956" s="841"/>
      <c r="Z956" s="1226"/>
      <c r="AA956" s="1226"/>
      <c r="AB956" s="1226"/>
      <c r="AC956" s="1226"/>
      <c r="AD956" s="1226"/>
      <c r="AE956" s="1226"/>
      <c r="AF956" s="1226"/>
      <c r="AG956" s="1226"/>
      <c r="AH956" s="1226"/>
      <c r="AI956" s="841"/>
      <c r="AJ956" s="841"/>
      <c r="AK956" s="841"/>
      <c r="AL956" s="841"/>
      <c r="AM956" s="841"/>
      <c r="AN956" s="841"/>
      <c r="AO956" s="841"/>
      <c r="AP956" s="841"/>
      <c r="AQ956" s="841"/>
      <c r="AR956" s="841"/>
      <c r="AS956" s="842"/>
    </row>
    <row r="957" spans="1:45">
      <c r="A957" s="841"/>
      <c r="B957" s="841"/>
      <c r="C957" s="841"/>
      <c r="D957" s="841"/>
      <c r="E957" s="841"/>
      <c r="F957" s="841"/>
      <c r="G957" s="841"/>
      <c r="H957" s="841"/>
      <c r="I957" s="841"/>
      <c r="J957" s="841"/>
      <c r="K957" s="841"/>
      <c r="L957" s="841"/>
      <c r="M957" s="841"/>
      <c r="N957" s="841"/>
      <c r="O957" s="841"/>
      <c r="P957" s="841"/>
      <c r="Q957" s="841"/>
      <c r="R957" s="841"/>
      <c r="S957" s="841"/>
      <c r="T957" s="841"/>
      <c r="U957" s="841"/>
      <c r="V957" s="841"/>
      <c r="W957" s="841"/>
      <c r="X957" s="841"/>
      <c r="Y957" s="841"/>
      <c r="Z957" s="1226"/>
      <c r="AA957" s="1226"/>
      <c r="AB957" s="1226"/>
      <c r="AC957" s="1226"/>
      <c r="AD957" s="1226"/>
      <c r="AE957" s="1226"/>
      <c r="AF957" s="1226"/>
      <c r="AG957" s="1226"/>
      <c r="AH957" s="1226"/>
      <c r="AI957" s="841"/>
      <c r="AJ957" s="841"/>
      <c r="AK957" s="841"/>
      <c r="AL957" s="841"/>
      <c r="AM957" s="841"/>
      <c r="AN957" s="841"/>
      <c r="AO957" s="841"/>
      <c r="AP957" s="841"/>
      <c r="AQ957" s="841"/>
      <c r="AR957" s="841"/>
      <c r="AS957" s="842"/>
    </row>
    <row r="958" spans="1:45">
      <c r="A958" s="841"/>
      <c r="B958" s="841"/>
      <c r="C958" s="841"/>
      <c r="D958" s="841"/>
      <c r="E958" s="841"/>
      <c r="F958" s="841"/>
      <c r="G958" s="841"/>
      <c r="H958" s="841"/>
      <c r="I958" s="841"/>
      <c r="J958" s="841"/>
      <c r="K958" s="841"/>
      <c r="L958" s="841"/>
      <c r="M958" s="841"/>
      <c r="N958" s="841"/>
      <c r="O958" s="841"/>
      <c r="P958" s="841"/>
      <c r="Q958" s="841"/>
      <c r="R958" s="841"/>
      <c r="S958" s="841"/>
      <c r="T958" s="841"/>
      <c r="U958" s="841"/>
      <c r="V958" s="841"/>
      <c r="W958" s="841"/>
      <c r="X958" s="841"/>
      <c r="Y958" s="841"/>
      <c r="Z958" s="1226"/>
      <c r="AA958" s="1226"/>
      <c r="AB958" s="1226"/>
      <c r="AC958" s="1226"/>
      <c r="AD958" s="1226"/>
      <c r="AE958" s="1226"/>
      <c r="AF958" s="1226"/>
      <c r="AG958" s="1226"/>
      <c r="AH958" s="1226"/>
      <c r="AI958" s="841"/>
      <c r="AJ958" s="841"/>
      <c r="AK958" s="841"/>
      <c r="AL958" s="841"/>
      <c r="AM958" s="841"/>
      <c r="AN958" s="841"/>
      <c r="AO958" s="841"/>
      <c r="AP958" s="841"/>
      <c r="AQ958" s="841"/>
      <c r="AR958" s="841"/>
      <c r="AS958" s="842"/>
    </row>
    <row r="959" spans="1:45">
      <c r="A959" s="841"/>
      <c r="B959" s="841"/>
      <c r="C959" s="841"/>
      <c r="D959" s="841"/>
      <c r="E959" s="841"/>
      <c r="F959" s="841"/>
      <c r="G959" s="841"/>
      <c r="H959" s="841"/>
      <c r="I959" s="841"/>
      <c r="J959" s="841"/>
      <c r="K959" s="841"/>
      <c r="L959" s="841"/>
      <c r="M959" s="841"/>
      <c r="N959" s="841"/>
      <c r="O959" s="841"/>
      <c r="P959" s="841"/>
      <c r="Q959" s="841"/>
      <c r="R959" s="841"/>
      <c r="S959" s="841"/>
      <c r="T959" s="841"/>
      <c r="U959" s="841"/>
      <c r="V959" s="841"/>
      <c r="W959" s="841"/>
      <c r="X959" s="841"/>
      <c r="Y959" s="841"/>
      <c r="Z959" s="1226"/>
      <c r="AA959" s="1226"/>
      <c r="AB959" s="1226"/>
      <c r="AC959" s="1226"/>
      <c r="AD959" s="1226"/>
      <c r="AE959" s="1226"/>
      <c r="AF959" s="1226"/>
      <c r="AG959" s="1226"/>
      <c r="AH959" s="1226"/>
      <c r="AI959" s="841"/>
      <c r="AJ959" s="841"/>
      <c r="AK959" s="841"/>
      <c r="AL959" s="841"/>
      <c r="AM959" s="841"/>
      <c r="AN959" s="841"/>
      <c r="AO959" s="841"/>
      <c r="AP959" s="841"/>
      <c r="AQ959" s="841"/>
      <c r="AR959" s="841"/>
      <c r="AS959" s="842"/>
    </row>
    <row r="960" spans="1:45">
      <c r="A960" s="841"/>
      <c r="B960" s="841"/>
      <c r="C960" s="841"/>
      <c r="D960" s="841"/>
      <c r="E960" s="841"/>
      <c r="F960" s="841"/>
      <c r="G960" s="841"/>
      <c r="H960" s="841"/>
      <c r="I960" s="841"/>
      <c r="J960" s="841"/>
      <c r="K960" s="841"/>
      <c r="L960" s="841"/>
      <c r="M960" s="841"/>
      <c r="N960" s="841"/>
      <c r="O960" s="841"/>
      <c r="P960" s="841"/>
      <c r="Q960" s="841"/>
      <c r="R960" s="841"/>
      <c r="S960" s="841"/>
      <c r="T960" s="841"/>
      <c r="U960" s="841"/>
      <c r="V960" s="841"/>
      <c r="W960" s="841"/>
      <c r="X960" s="841"/>
      <c r="Y960" s="841"/>
      <c r="Z960" s="1226"/>
      <c r="AA960" s="1226"/>
      <c r="AB960" s="1226"/>
      <c r="AC960" s="1226"/>
      <c r="AD960" s="1226"/>
      <c r="AE960" s="1226"/>
      <c r="AF960" s="1226"/>
      <c r="AG960" s="1226"/>
      <c r="AH960" s="1226"/>
      <c r="AI960" s="841"/>
      <c r="AJ960" s="841"/>
      <c r="AK960" s="841"/>
      <c r="AL960" s="841"/>
      <c r="AM960" s="841"/>
      <c r="AN960" s="841"/>
      <c r="AO960" s="841"/>
      <c r="AP960" s="841"/>
      <c r="AQ960" s="841"/>
      <c r="AR960" s="841"/>
      <c r="AS960" s="842"/>
    </row>
    <row r="961" spans="1:45">
      <c r="A961" s="841"/>
      <c r="B961" s="841"/>
      <c r="C961" s="841"/>
      <c r="D961" s="841"/>
      <c r="E961" s="841"/>
      <c r="F961" s="841"/>
      <c r="G961" s="841"/>
      <c r="H961" s="841"/>
      <c r="I961" s="841"/>
      <c r="J961" s="841"/>
      <c r="K961" s="841"/>
      <c r="L961" s="841"/>
      <c r="M961" s="841"/>
      <c r="N961" s="841"/>
      <c r="O961" s="841"/>
      <c r="P961" s="841"/>
      <c r="Q961" s="841"/>
      <c r="R961" s="841"/>
      <c r="S961" s="841"/>
      <c r="T961" s="841"/>
      <c r="U961" s="841"/>
      <c r="V961" s="841"/>
      <c r="W961" s="841"/>
      <c r="X961" s="841"/>
      <c r="Y961" s="841"/>
      <c r="Z961" s="1226"/>
      <c r="AA961" s="1226"/>
      <c r="AB961" s="1226"/>
      <c r="AC961" s="1226"/>
      <c r="AD961" s="1226"/>
      <c r="AE961" s="1226"/>
      <c r="AF961" s="1226"/>
      <c r="AG961" s="1226"/>
      <c r="AH961" s="1226"/>
      <c r="AI961" s="841"/>
      <c r="AJ961" s="841"/>
      <c r="AK961" s="841"/>
      <c r="AL961" s="841"/>
      <c r="AM961" s="841"/>
      <c r="AN961" s="841"/>
      <c r="AO961" s="841"/>
      <c r="AP961" s="841"/>
      <c r="AQ961" s="841"/>
      <c r="AR961" s="841"/>
      <c r="AS961" s="842"/>
    </row>
    <row r="962" spans="1:45">
      <c r="A962" s="841"/>
      <c r="B962" s="841"/>
      <c r="C962" s="841"/>
      <c r="D962" s="841"/>
      <c r="E962" s="841"/>
      <c r="F962" s="841"/>
      <c r="G962" s="841"/>
      <c r="H962" s="841"/>
      <c r="I962" s="841"/>
      <c r="J962" s="841"/>
      <c r="K962" s="841"/>
      <c r="L962" s="841"/>
      <c r="M962" s="841"/>
      <c r="N962" s="841"/>
      <c r="O962" s="841"/>
      <c r="P962" s="841"/>
      <c r="Q962" s="841"/>
      <c r="R962" s="841"/>
      <c r="S962" s="841"/>
      <c r="T962" s="841"/>
      <c r="U962" s="841"/>
      <c r="V962" s="841"/>
      <c r="W962" s="841"/>
      <c r="X962" s="841"/>
      <c r="Y962" s="841"/>
      <c r="Z962" s="1226"/>
      <c r="AA962" s="1226"/>
      <c r="AB962" s="1226"/>
      <c r="AC962" s="1226"/>
      <c r="AD962" s="1226"/>
      <c r="AE962" s="1226"/>
      <c r="AF962" s="1226"/>
      <c r="AG962" s="1226"/>
      <c r="AH962" s="1226"/>
      <c r="AI962" s="841"/>
      <c r="AJ962" s="841"/>
      <c r="AK962" s="841"/>
      <c r="AL962" s="841"/>
      <c r="AM962" s="841"/>
      <c r="AN962" s="841"/>
      <c r="AO962" s="841"/>
      <c r="AP962" s="841"/>
      <c r="AQ962" s="841"/>
      <c r="AR962" s="841"/>
      <c r="AS962" s="842"/>
    </row>
    <row r="963" spans="1:45">
      <c r="A963" s="841"/>
      <c r="B963" s="841"/>
      <c r="C963" s="841"/>
      <c r="D963" s="841"/>
      <c r="E963" s="841"/>
      <c r="F963" s="841"/>
      <c r="G963" s="841"/>
      <c r="H963" s="841"/>
      <c r="I963" s="841"/>
      <c r="J963" s="841"/>
      <c r="K963" s="841"/>
      <c r="L963" s="841"/>
      <c r="M963" s="841"/>
      <c r="N963" s="841"/>
      <c r="O963" s="841"/>
      <c r="P963" s="841"/>
      <c r="Q963" s="841"/>
      <c r="R963" s="841"/>
      <c r="S963" s="841"/>
      <c r="T963" s="841"/>
      <c r="U963" s="841"/>
      <c r="V963" s="841"/>
      <c r="W963" s="841"/>
      <c r="X963" s="841"/>
      <c r="Y963" s="841"/>
      <c r="Z963" s="1226"/>
      <c r="AA963" s="1226"/>
      <c r="AB963" s="1226"/>
      <c r="AC963" s="1226"/>
      <c r="AD963" s="1226"/>
      <c r="AE963" s="1226"/>
      <c r="AF963" s="1226"/>
      <c r="AG963" s="1226"/>
      <c r="AH963" s="1226"/>
      <c r="AI963" s="841"/>
      <c r="AJ963" s="841"/>
      <c r="AK963" s="841"/>
      <c r="AL963" s="841"/>
      <c r="AM963" s="841"/>
      <c r="AN963" s="841"/>
      <c r="AO963" s="841"/>
      <c r="AP963" s="841"/>
      <c r="AQ963" s="841"/>
      <c r="AR963" s="841"/>
      <c r="AS963" s="842"/>
    </row>
    <row r="964" spans="1:45">
      <c r="A964" s="841"/>
      <c r="B964" s="841"/>
      <c r="C964" s="841"/>
      <c r="D964" s="841"/>
      <c r="E964" s="841"/>
      <c r="F964" s="841"/>
      <c r="G964" s="841"/>
      <c r="H964" s="841"/>
      <c r="I964" s="841"/>
      <c r="J964" s="841"/>
      <c r="K964" s="841"/>
      <c r="L964" s="841"/>
      <c r="M964" s="841"/>
      <c r="N964" s="841"/>
      <c r="O964" s="841"/>
      <c r="P964" s="841"/>
      <c r="Q964" s="841"/>
      <c r="R964" s="841"/>
      <c r="S964" s="841"/>
      <c r="T964" s="841"/>
      <c r="U964" s="841"/>
      <c r="V964" s="841"/>
      <c r="W964" s="841"/>
      <c r="X964" s="841"/>
      <c r="Y964" s="841"/>
      <c r="Z964" s="1226"/>
      <c r="AA964" s="1226"/>
      <c r="AB964" s="1226"/>
      <c r="AC964" s="1226"/>
      <c r="AD964" s="1226"/>
      <c r="AE964" s="1226"/>
      <c r="AF964" s="1226"/>
      <c r="AG964" s="1226"/>
      <c r="AH964" s="1226"/>
      <c r="AI964" s="841"/>
      <c r="AJ964" s="841"/>
      <c r="AK964" s="841"/>
      <c r="AL964" s="841"/>
      <c r="AM964" s="841"/>
      <c r="AN964" s="841"/>
      <c r="AO964" s="841"/>
      <c r="AP964" s="841"/>
      <c r="AQ964" s="841"/>
      <c r="AR964" s="841"/>
      <c r="AS964" s="842"/>
    </row>
    <row r="965" spans="1:45">
      <c r="A965" s="841"/>
      <c r="B965" s="841"/>
      <c r="C965" s="841"/>
      <c r="D965" s="841"/>
      <c r="E965" s="841"/>
      <c r="F965" s="841"/>
      <c r="G965" s="841"/>
      <c r="H965" s="841"/>
      <c r="I965" s="841"/>
      <c r="J965" s="841"/>
      <c r="K965" s="841"/>
      <c r="L965" s="841"/>
      <c r="M965" s="841"/>
      <c r="N965" s="841"/>
      <c r="O965" s="841"/>
      <c r="P965" s="841"/>
      <c r="Q965" s="841"/>
      <c r="R965" s="841"/>
      <c r="S965" s="841"/>
      <c r="T965" s="841"/>
      <c r="U965" s="841"/>
      <c r="V965" s="841"/>
      <c r="W965" s="841"/>
      <c r="X965" s="841"/>
      <c r="Y965" s="841"/>
      <c r="Z965" s="1226"/>
      <c r="AA965" s="1226"/>
      <c r="AB965" s="1226"/>
      <c r="AC965" s="1226"/>
      <c r="AD965" s="1226"/>
      <c r="AE965" s="1226"/>
      <c r="AF965" s="1226"/>
      <c r="AG965" s="1226"/>
      <c r="AH965" s="1226"/>
      <c r="AI965" s="841"/>
      <c r="AJ965" s="841"/>
      <c r="AK965" s="841"/>
      <c r="AL965" s="841"/>
      <c r="AM965" s="841"/>
      <c r="AN965" s="841"/>
      <c r="AO965" s="841"/>
      <c r="AP965" s="841"/>
      <c r="AQ965" s="841"/>
      <c r="AR965" s="841"/>
      <c r="AS965" s="842"/>
    </row>
    <row r="966" spans="1:45">
      <c r="A966" s="841"/>
      <c r="B966" s="841"/>
      <c r="C966" s="841"/>
      <c r="D966" s="841"/>
      <c r="E966" s="841"/>
      <c r="F966" s="841"/>
      <c r="G966" s="841"/>
      <c r="H966" s="841"/>
      <c r="I966" s="841"/>
      <c r="J966" s="841"/>
      <c r="K966" s="841"/>
      <c r="L966" s="841"/>
      <c r="M966" s="841"/>
      <c r="N966" s="841"/>
      <c r="O966" s="841"/>
      <c r="P966" s="841"/>
      <c r="Q966" s="841"/>
      <c r="R966" s="841"/>
      <c r="S966" s="841"/>
      <c r="T966" s="841"/>
      <c r="U966" s="841"/>
      <c r="V966" s="841"/>
      <c r="W966" s="841"/>
      <c r="X966" s="841"/>
      <c r="Y966" s="841"/>
      <c r="Z966" s="1226"/>
      <c r="AA966" s="1226"/>
      <c r="AB966" s="1226"/>
      <c r="AC966" s="1226"/>
      <c r="AD966" s="1226"/>
      <c r="AE966" s="1226"/>
      <c r="AF966" s="1226"/>
      <c r="AG966" s="1226"/>
      <c r="AH966" s="1226"/>
      <c r="AI966" s="841"/>
      <c r="AJ966" s="841"/>
      <c r="AK966" s="841"/>
      <c r="AL966" s="841"/>
      <c r="AM966" s="841"/>
      <c r="AN966" s="841"/>
      <c r="AO966" s="841"/>
      <c r="AP966" s="841"/>
      <c r="AQ966" s="841"/>
      <c r="AR966" s="841"/>
      <c r="AS966" s="842"/>
    </row>
    <row r="967" spans="1:45">
      <c r="A967" s="841"/>
      <c r="B967" s="841"/>
      <c r="C967" s="841"/>
      <c r="D967" s="841"/>
      <c r="E967" s="841"/>
      <c r="F967" s="841"/>
      <c r="G967" s="841"/>
      <c r="H967" s="841"/>
      <c r="I967" s="841"/>
      <c r="J967" s="841"/>
      <c r="K967" s="841"/>
      <c r="L967" s="841"/>
      <c r="M967" s="841"/>
      <c r="N967" s="841"/>
      <c r="O967" s="841"/>
      <c r="P967" s="841"/>
      <c r="Q967" s="841"/>
      <c r="R967" s="841"/>
      <c r="S967" s="841"/>
      <c r="T967" s="841"/>
      <c r="U967" s="841"/>
      <c r="V967" s="841"/>
      <c r="W967" s="841"/>
      <c r="X967" s="841"/>
      <c r="Y967" s="841"/>
      <c r="Z967" s="1226"/>
      <c r="AA967" s="1226"/>
      <c r="AB967" s="1226"/>
      <c r="AC967" s="1226"/>
      <c r="AD967" s="1226"/>
      <c r="AE967" s="1226"/>
      <c r="AF967" s="1226"/>
      <c r="AG967" s="1226"/>
      <c r="AH967" s="1226"/>
      <c r="AI967" s="841"/>
      <c r="AJ967" s="841"/>
      <c r="AK967" s="841"/>
      <c r="AL967" s="841"/>
      <c r="AM967" s="841"/>
      <c r="AN967" s="841"/>
      <c r="AO967" s="841"/>
      <c r="AP967" s="841"/>
      <c r="AQ967" s="841"/>
      <c r="AR967" s="841"/>
      <c r="AS967" s="842"/>
    </row>
    <row r="968" spans="1:45">
      <c r="A968" s="841"/>
      <c r="B968" s="841"/>
      <c r="C968" s="841"/>
      <c r="D968" s="841"/>
      <c r="E968" s="841"/>
      <c r="F968" s="841"/>
      <c r="G968" s="841"/>
      <c r="H968" s="841"/>
      <c r="I968" s="841"/>
      <c r="J968" s="841"/>
      <c r="K968" s="841"/>
      <c r="L968" s="841"/>
      <c r="M968" s="841"/>
      <c r="N968" s="841"/>
      <c r="O968" s="841"/>
      <c r="P968" s="841"/>
      <c r="Q968" s="841"/>
      <c r="R968" s="841"/>
      <c r="S968" s="841"/>
      <c r="T968" s="841"/>
      <c r="U968" s="841"/>
      <c r="V968" s="841"/>
      <c r="W968" s="841"/>
      <c r="X968" s="841"/>
      <c r="Y968" s="841"/>
      <c r="Z968" s="1226"/>
      <c r="AA968" s="1226"/>
      <c r="AB968" s="1226"/>
      <c r="AC968" s="1226"/>
      <c r="AD968" s="1226"/>
      <c r="AE968" s="1226"/>
      <c r="AF968" s="1226"/>
      <c r="AG968" s="1226"/>
      <c r="AH968" s="1226"/>
      <c r="AI968" s="841"/>
      <c r="AJ968" s="841"/>
      <c r="AK968" s="841"/>
      <c r="AL968" s="841"/>
      <c r="AM968" s="841"/>
      <c r="AN968" s="841"/>
      <c r="AO968" s="841"/>
      <c r="AP968" s="841"/>
      <c r="AQ968" s="841"/>
      <c r="AR968" s="841"/>
      <c r="AS968" s="842"/>
    </row>
    <row r="969" spans="1:45">
      <c r="A969" s="841"/>
      <c r="B969" s="841"/>
      <c r="C969" s="841"/>
      <c r="D969" s="841"/>
      <c r="E969" s="841"/>
      <c r="F969" s="841"/>
      <c r="G969" s="841"/>
      <c r="H969" s="841"/>
      <c r="I969" s="841"/>
      <c r="J969" s="841"/>
      <c r="K969" s="841"/>
      <c r="L969" s="841"/>
      <c r="M969" s="841"/>
      <c r="N969" s="841"/>
      <c r="O969" s="841"/>
      <c r="P969" s="841"/>
      <c r="Q969" s="841"/>
      <c r="R969" s="841"/>
      <c r="S969" s="841"/>
      <c r="T969" s="841"/>
      <c r="U969" s="841"/>
      <c r="V969" s="841"/>
      <c r="W969" s="841"/>
      <c r="X969" s="841"/>
      <c r="Y969" s="841"/>
      <c r="Z969" s="1226"/>
      <c r="AA969" s="1226"/>
      <c r="AB969" s="1226"/>
      <c r="AC969" s="1226"/>
      <c r="AD969" s="1226"/>
      <c r="AE969" s="1226"/>
      <c r="AF969" s="1226"/>
      <c r="AG969" s="1226"/>
      <c r="AH969" s="1226"/>
      <c r="AI969" s="841"/>
      <c r="AJ969" s="841"/>
      <c r="AK969" s="841"/>
      <c r="AL969" s="841"/>
      <c r="AM969" s="841"/>
      <c r="AN969" s="841"/>
      <c r="AO969" s="841"/>
      <c r="AP969" s="841"/>
      <c r="AQ969" s="841"/>
      <c r="AR969" s="841"/>
      <c r="AS969" s="842"/>
    </row>
    <row r="970" spans="1:45">
      <c r="A970" s="841"/>
      <c r="B970" s="841"/>
      <c r="C970" s="841"/>
      <c r="D970" s="841"/>
      <c r="E970" s="841"/>
      <c r="F970" s="841"/>
      <c r="G970" s="841"/>
      <c r="H970" s="841"/>
      <c r="I970" s="841"/>
      <c r="J970" s="841"/>
      <c r="K970" s="841"/>
      <c r="L970" s="841"/>
      <c r="M970" s="841"/>
      <c r="N970" s="841"/>
      <c r="O970" s="841"/>
      <c r="P970" s="841"/>
      <c r="Q970" s="841"/>
      <c r="R970" s="841"/>
      <c r="S970" s="841"/>
      <c r="T970" s="841"/>
      <c r="U970" s="841"/>
      <c r="V970" s="841"/>
      <c r="W970" s="841"/>
      <c r="X970" s="841"/>
      <c r="Y970" s="841"/>
      <c r="Z970" s="1226"/>
      <c r="AA970" s="1226"/>
      <c r="AB970" s="1226"/>
      <c r="AC970" s="1226"/>
      <c r="AD970" s="1226"/>
      <c r="AE970" s="1226"/>
      <c r="AF970" s="1226"/>
      <c r="AG970" s="1226"/>
      <c r="AH970" s="1226"/>
      <c r="AI970" s="841"/>
      <c r="AJ970" s="841"/>
      <c r="AK970" s="841"/>
      <c r="AL970" s="841"/>
      <c r="AM970" s="841"/>
      <c r="AN970" s="841"/>
      <c r="AO970" s="841"/>
      <c r="AP970" s="841"/>
      <c r="AQ970" s="841"/>
      <c r="AR970" s="841"/>
      <c r="AS970" s="842"/>
    </row>
    <row r="971" spans="1:45">
      <c r="A971" s="841"/>
      <c r="B971" s="841"/>
      <c r="C971" s="841"/>
      <c r="D971" s="841"/>
      <c r="E971" s="841"/>
      <c r="F971" s="841"/>
      <c r="G971" s="841"/>
      <c r="H971" s="841"/>
      <c r="I971" s="841"/>
      <c r="J971" s="841"/>
      <c r="K971" s="841"/>
      <c r="L971" s="841"/>
      <c r="M971" s="841"/>
      <c r="N971" s="841"/>
      <c r="O971" s="841"/>
      <c r="P971" s="841"/>
      <c r="Q971" s="841"/>
      <c r="R971" s="841"/>
      <c r="S971" s="841"/>
      <c r="T971" s="841"/>
      <c r="U971" s="841"/>
      <c r="V971" s="841"/>
      <c r="W971" s="841"/>
      <c r="X971" s="841"/>
      <c r="Y971" s="841"/>
      <c r="Z971" s="1226"/>
      <c r="AA971" s="1226"/>
      <c r="AB971" s="1226"/>
      <c r="AC971" s="1226"/>
      <c r="AD971" s="1226"/>
      <c r="AE971" s="1226"/>
      <c r="AF971" s="1226"/>
      <c r="AG971" s="1226"/>
      <c r="AH971" s="1226"/>
      <c r="AI971" s="841"/>
      <c r="AJ971" s="841"/>
      <c r="AK971" s="841"/>
      <c r="AL971" s="841"/>
      <c r="AM971" s="841"/>
      <c r="AN971" s="841"/>
      <c r="AO971" s="841"/>
      <c r="AP971" s="841"/>
      <c r="AQ971" s="841"/>
      <c r="AR971" s="841"/>
      <c r="AS971" s="842"/>
    </row>
    <row r="972" spans="1:45">
      <c r="A972" s="841"/>
      <c r="B972" s="841"/>
      <c r="C972" s="841"/>
      <c r="D972" s="841"/>
      <c r="E972" s="841"/>
      <c r="F972" s="841"/>
      <c r="G972" s="841"/>
      <c r="H972" s="841"/>
      <c r="I972" s="841"/>
      <c r="J972" s="841"/>
      <c r="K972" s="841"/>
      <c r="L972" s="841"/>
      <c r="M972" s="841"/>
      <c r="N972" s="841"/>
      <c r="O972" s="841"/>
      <c r="P972" s="841"/>
      <c r="Q972" s="841"/>
      <c r="R972" s="841"/>
      <c r="S972" s="841"/>
      <c r="T972" s="841"/>
      <c r="U972" s="841"/>
      <c r="V972" s="841"/>
      <c r="W972" s="841"/>
      <c r="X972" s="841"/>
      <c r="Y972" s="841"/>
      <c r="Z972" s="1226"/>
      <c r="AA972" s="1226"/>
      <c r="AB972" s="1226"/>
      <c r="AC972" s="1226"/>
      <c r="AD972" s="1226"/>
      <c r="AE972" s="1226"/>
      <c r="AF972" s="1226"/>
      <c r="AG972" s="1226"/>
      <c r="AH972" s="1226"/>
      <c r="AI972" s="841"/>
      <c r="AJ972" s="841"/>
      <c r="AK972" s="841"/>
      <c r="AL972" s="841"/>
      <c r="AM972" s="841"/>
      <c r="AN972" s="841"/>
      <c r="AO972" s="841"/>
      <c r="AP972" s="841"/>
      <c r="AQ972" s="841"/>
      <c r="AR972" s="841"/>
      <c r="AS972" s="842"/>
    </row>
    <row r="973" spans="1:45">
      <c r="A973" s="841"/>
      <c r="B973" s="841"/>
      <c r="C973" s="841"/>
      <c r="D973" s="841"/>
      <c r="E973" s="841"/>
      <c r="F973" s="841"/>
      <c r="G973" s="841"/>
      <c r="H973" s="841"/>
      <c r="I973" s="841"/>
      <c r="J973" s="841"/>
      <c r="K973" s="841"/>
      <c r="L973" s="841"/>
      <c r="M973" s="841"/>
      <c r="N973" s="841"/>
      <c r="O973" s="841"/>
      <c r="P973" s="841"/>
      <c r="Q973" s="841"/>
      <c r="R973" s="841"/>
      <c r="S973" s="841"/>
      <c r="T973" s="841"/>
      <c r="U973" s="841"/>
      <c r="V973" s="841"/>
      <c r="W973" s="841"/>
      <c r="X973" s="841"/>
      <c r="Y973" s="841"/>
      <c r="Z973" s="1226"/>
      <c r="AA973" s="1226"/>
      <c r="AB973" s="1226"/>
      <c r="AC973" s="1226"/>
      <c r="AD973" s="1226"/>
      <c r="AE973" s="1226"/>
      <c r="AF973" s="1226"/>
      <c r="AG973" s="1226"/>
      <c r="AH973" s="1226"/>
      <c r="AI973" s="841"/>
      <c r="AJ973" s="841"/>
      <c r="AK973" s="841"/>
      <c r="AL973" s="841"/>
      <c r="AM973" s="841"/>
      <c r="AN973" s="841"/>
      <c r="AO973" s="841"/>
      <c r="AP973" s="841"/>
      <c r="AQ973" s="841"/>
      <c r="AR973" s="841"/>
      <c r="AS973" s="842"/>
    </row>
    <row r="974" spans="1:45">
      <c r="A974" s="841"/>
      <c r="B974" s="841"/>
      <c r="C974" s="841"/>
      <c r="D974" s="841"/>
      <c r="E974" s="841"/>
      <c r="F974" s="841"/>
      <c r="G974" s="841"/>
      <c r="H974" s="841"/>
      <c r="I974" s="841"/>
      <c r="J974" s="841"/>
      <c r="K974" s="841"/>
      <c r="L974" s="841"/>
      <c r="M974" s="841"/>
      <c r="N974" s="841"/>
      <c r="O974" s="841"/>
      <c r="P974" s="841"/>
      <c r="Q974" s="841"/>
      <c r="R974" s="841"/>
      <c r="S974" s="841"/>
      <c r="T974" s="841"/>
      <c r="U974" s="841"/>
      <c r="V974" s="841"/>
      <c r="W974" s="841"/>
      <c r="X974" s="841"/>
      <c r="Y974" s="841"/>
      <c r="Z974" s="1226"/>
      <c r="AA974" s="1226"/>
      <c r="AB974" s="1226"/>
      <c r="AC974" s="1226"/>
      <c r="AD974" s="1226"/>
      <c r="AE974" s="1226"/>
      <c r="AF974" s="1226"/>
      <c r="AG974" s="1226"/>
      <c r="AH974" s="1226"/>
      <c r="AI974" s="841"/>
      <c r="AJ974" s="841"/>
      <c r="AK974" s="841"/>
      <c r="AL974" s="841"/>
      <c r="AM974" s="841"/>
      <c r="AN974" s="841"/>
      <c r="AO974" s="841"/>
      <c r="AP974" s="841"/>
      <c r="AQ974" s="841"/>
      <c r="AR974" s="841"/>
      <c r="AS974" s="842"/>
    </row>
    <row r="975" spans="1:45">
      <c r="A975" s="841"/>
      <c r="B975" s="841"/>
      <c r="C975" s="841"/>
      <c r="D975" s="841"/>
      <c r="E975" s="841"/>
      <c r="F975" s="841"/>
      <c r="G975" s="841"/>
      <c r="H975" s="841"/>
      <c r="I975" s="841"/>
      <c r="J975" s="841"/>
      <c r="K975" s="841"/>
      <c r="L975" s="841"/>
      <c r="M975" s="841"/>
      <c r="N975" s="841"/>
      <c r="O975" s="841"/>
      <c r="P975" s="841"/>
      <c r="Q975" s="841"/>
      <c r="R975" s="841"/>
      <c r="S975" s="841"/>
      <c r="T975" s="841"/>
      <c r="U975" s="841"/>
      <c r="V975" s="841"/>
      <c r="W975" s="841"/>
      <c r="X975" s="841"/>
      <c r="Y975" s="841"/>
      <c r="Z975" s="1226"/>
      <c r="AA975" s="1226"/>
      <c r="AB975" s="1226"/>
      <c r="AC975" s="1226"/>
      <c r="AD975" s="1226"/>
      <c r="AE975" s="1226"/>
      <c r="AF975" s="1226"/>
      <c r="AG975" s="1226"/>
      <c r="AH975" s="1226"/>
      <c r="AI975" s="841"/>
      <c r="AJ975" s="841"/>
      <c r="AK975" s="841"/>
      <c r="AL975" s="841"/>
      <c r="AM975" s="841"/>
      <c r="AN975" s="841"/>
      <c r="AO975" s="841"/>
      <c r="AP975" s="841"/>
      <c r="AQ975" s="841"/>
      <c r="AR975" s="841"/>
      <c r="AS975" s="842"/>
    </row>
    <row r="976" spans="1:45">
      <c r="A976" s="841"/>
      <c r="B976" s="841"/>
      <c r="C976" s="841"/>
      <c r="D976" s="841"/>
      <c r="E976" s="841"/>
      <c r="F976" s="841"/>
      <c r="G976" s="841"/>
      <c r="H976" s="841"/>
      <c r="I976" s="841"/>
      <c r="J976" s="841"/>
      <c r="K976" s="841"/>
      <c r="L976" s="841"/>
      <c r="M976" s="841"/>
      <c r="N976" s="841"/>
      <c r="O976" s="841"/>
      <c r="P976" s="841"/>
      <c r="Q976" s="841"/>
      <c r="R976" s="841"/>
      <c r="S976" s="841"/>
      <c r="T976" s="841"/>
      <c r="U976" s="841"/>
      <c r="V976" s="841"/>
      <c r="W976" s="841"/>
      <c r="X976" s="841"/>
      <c r="Y976" s="841"/>
      <c r="Z976" s="1226"/>
      <c r="AA976" s="1226"/>
      <c r="AB976" s="1226"/>
      <c r="AC976" s="1226"/>
      <c r="AD976" s="1226"/>
      <c r="AE976" s="1226"/>
      <c r="AF976" s="1226"/>
      <c r="AG976" s="1226"/>
      <c r="AH976" s="1226"/>
      <c r="AI976" s="841"/>
      <c r="AJ976" s="841"/>
      <c r="AK976" s="841"/>
      <c r="AL976" s="841"/>
      <c r="AM976" s="841"/>
      <c r="AN976" s="841"/>
      <c r="AO976" s="841"/>
      <c r="AP976" s="841"/>
      <c r="AQ976" s="841"/>
      <c r="AR976" s="841"/>
      <c r="AS976" s="842"/>
    </row>
    <row r="977" spans="1:45">
      <c r="A977" s="841"/>
      <c r="B977" s="841"/>
      <c r="C977" s="841"/>
      <c r="D977" s="841"/>
      <c r="E977" s="841"/>
      <c r="F977" s="841"/>
      <c r="G977" s="841"/>
      <c r="H977" s="841"/>
      <c r="I977" s="841"/>
      <c r="J977" s="841"/>
      <c r="K977" s="841"/>
      <c r="L977" s="841"/>
      <c r="M977" s="841"/>
      <c r="N977" s="841"/>
      <c r="O977" s="841"/>
      <c r="P977" s="841"/>
      <c r="Q977" s="841"/>
      <c r="R977" s="841"/>
      <c r="S977" s="841"/>
      <c r="T977" s="841"/>
      <c r="U977" s="841"/>
      <c r="V977" s="841"/>
      <c r="W977" s="841"/>
      <c r="X977" s="841"/>
      <c r="Y977" s="841"/>
      <c r="Z977" s="1226"/>
      <c r="AA977" s="1226"/>
      <c r="AB977" s="1226"/>
      <c r="AC977" s="1226"/>
      <c r="AD977" s="1226"/>
      <c r="AE977" s="1226"/>
      <c r="AF977" s="1226"/>
      <c r="AG977" s="1226"/>
      <c r="AH977" s="1226"/>
      <c r="AI977" s="841"/>
      <c r="AJ977" s="841"/>
      <c r="AK977" s="841"/>
      <c r="AL977" s="841"/>
      <c r="AM977" s="841"/>
      <c r="AN977" s="841"/>
      <c r="AO977" s="841"/>
      <c r="AP977" s="841"/>
      <c r="AQ977" s="841"/>
      <c r="AR977" s="841"/>
      <c r="AS977" s="842"/>
    </row>
    <row r="978" spans="1:45">
      <c r="A978" s="841"/>
      <c r="B978" s="841"/>
      <c r="C978" s="841"/>
      <c r="D978" s="841"/>
      <c r="E978" s="841"/>
      <c r="F978" s="841"/>
      <c r="G978" s="841"/>
      <c r="H978" s="841"/>
      <c r="I978" s="841"/>
      <c r="J978" s="841"/>
      <c r="K978" s="841"/>
      <c r="L978" s="841"/>
      <c r="M978" s="841"/>
      <c r="N978" s="841"/>
      <c r="O978" s="841"/>
      <c r="P978" s="841"/>
      <c r="Q978" s="841"/>
      <c r="R978" s="841"/>
      <c r="S978" s="841"/>
      <c r="T978" s="841"/>
      <c r="U978" s="841"/>
      <c r="V978" s="841"/>
      <c r="W978" s="841"/>
      <c r="X978" s="841"/>
      <c r="Y978" s="841"/>
      <c r="Z978" s="1226"/>
      <c r="AA978" s="1226"/>
      <c r="AB978" s="1226"/>
      <c r="AC978" s="1226"/>
      <c r="AD978" s="1226"/>
      <c r="AE978" s="1226"/>
      <c r="AF978" s="1226"/>
      <c r="AG978" s="1226"/>
      <c r="AH978" s="1226"/>
      <c r="AI978" s="841"/>
      <c r="AJ978" s="841"/>
      <c r="AK978" s="841"/>
      <c r="AL978" s="841"/>
      <c r="AM978" s="841"/>
      <c r="AN978" s="841"/>
      <c r="AO978" s="841"/>
      <c r="AP978" s="841"/>
      <c r="AQ978" s="841"/>
      <c r="AR978" s="841"/>
      <c r="AS978" s="842"/>
    </row>
    <row r="979" spans="1:45">
      <c r="A979" s="841"/>
      <c r="B979" s="841"/>
      <c r="C979" s="841"/>
      <c r="D979" s="841"/>
      <c r="E979" s="841"/>
      <c r="F979" s="841"/>
      <c r="G979" s="841"/>
      <c r="H979" s="841"/>
      <c r="I979" s="841"/>
      <c r="J979" s="841"/>
      <c r="K979" s="841"/>
      <c r="L979" s="841"/>
      <c r="M979" s="841"/>
      <c r="N979" s="841"/>
      <c r="O979" s="841"/>
      <c r="P979" s="841"/>
      <c r="Q979" s="841"/>
      <c r="R979" s="841"/>
      <c r="S979" s="841"/>
      <c r="T979" s="841"/>
      <c r="U979" s="841"/>
      <c r="V979" s="841"/>
      <c r="W979" s="841"/>
      <c r="X979" s="841"/>
      <c r="Y979" s="841"/>
      <c r="Z979" s="1226"/>
      <c r="AA979" s="1226"/>
      <c r="AB979" s="1226"/>
      <c r="AC979" s="1226"/>
      <c r="AD979" s="1226"/>
      <c r="AE979" s="1226"/>
      <c r="AF979" s="1226"/>
      <c r="AG979" s="1226"/>
      <c r="AH979" s="1226"/>
      <c r="AI979" s="841"/>
      <c r="AJ979" s="841"/>
      <c r="AK979" s="841"/>
      <c r="AL979" s="841"/>
      <c r="AM979" s="841"/>
      <c r="AN979" s="841"/>
      <c r="AO979" s="841"/>
      <c r="AP979" s="841"/>
      <c r="AQ979" s="841"/>
      <c r="AR979" s="841"/>
      <c r="AS979" s="842"/>
    </row>
    <row r="980" spans="1:45">
      <c r="A980" s="841"/>
      <c r="B980" s="841"/>
      <c r="C980" s="841"/>
      <c r="D980" s="841"/>
      <c r="E980" s="841"/>
      <c r="F980" s="841"/>
      <c r="G980" s="841"/>
      <c r="H980" s="841"/>
      <c r="I980" s="841"/>
      <c r="J980" s="841"/>
      <c r="K980" s="841"/>
      <c r="L980" s="841"/>
      <c r="M980" s="841"/>
      <c r="N980" s="841"/>
      <c r="O980" s="841"/>
      <c r="P980" s="841"/>
      <c r="Q980" s="841"/>
      <c r="R980" s="841"/>
      <c r="S980" s="841"/>
      <c r="T980" s="841"/>
      <c r="U980" s="841"/>
      <c r="V980" s="841"/>
      <c r="W980" s="841"/>
      <c r="X980" s="841"/>
      <c r="Y980" s="841"/>
      <c r="Z980" s="1226"/>
      <c r="AA980" s="1226"/>
      <c r="AB980" s="1226"/>
      <c r="AC980" s="1226"/>
      <c r="AD980" s="1226"/>
      <c r="AE980" s="1226"/>
      <c r="AF980" s="1226"/>
      <c r="AG980" s="1226"/>
      <c r="AH980" s="1226"/>
      <c r="AI980" s="841"/>
      <c r="AJ980" s="841"/>
      <c r="AK980" s="841"/>
      <c r="AL980" s="841"/>
      <c r="AM980" s="841"/>
      <c r="AN980" s="841"/>
      <c r="AO980" s="841"/>
      <c r="AP980" s="841"/>
      <c r="AQ980" s="841"/>
      <c r="AR980" s="841"/>
      <c r="AS980" s="842"/>
    </row>
    <row r="981" spans="1:45">
      <c r="A981" s="841"/>
      <c r="B981" s="841"/>
      <c r="C981" s="841"/>
      <c r="D981" s="841"/>
      <c r="E981" s="841"/>
      <c r="F981" s="841"/>
      <c r="G981" s="841"/>
      <c r="H981" s="841"/>
      <c r="I981" s="841"/>
      <c r="J981" s="841"/>
      <c r="K981" s="841"/>
      <c r="L981" s="841"/>
      <c r="M981" s="841"/>
      <c r="N981" s="841"/>
      <c r="O981" s="841"/>
      <c r="P981" s="841"/>
      <c r="Q981" s="841"/>
      <c r="R981" s="841"/>
      <c r="S981" s="841"/>
      <c r="T981" s="841"/>
      <c r="U981" s="841"/>
      <c r="V981" s="841"/>
      <c r="W981" s="841"/>
      <c r="X981" s="841"/>
      <c r="Y981" s="841"/>
      <c r="Z981" s="1226"/>
      <c r="AA981" s="1226"/>
      <c r="AB981" s="1226"/>
      <c r="AC981" s="1226"/>
      <c r="AD981" s="1226"/>
      <c r="AE981" s="1226"/>
      <c r="AF981" s="1226"/>
      <c r="AG981" s="1226"/>
      <c r="AH981" s="1226"/>
      <c r="AI981" s="841"/>
      <c r="AJ981" s="841"/>
      <c r="AK981" s="841"/>
      <c r="AL981" s="841"/>
      <c r="AM981" s="841"/>
      <c r="AN981" s="841"/>
      <c r="AO981" s="841"/>
      <c r="AP981" s="841"/>
      <c r="AQ981" s="841"/>
      <c r="AR981" s="841"/>
      <c r="AS981" s="842"/>
    </row>
    <row r="982" spans="1:45">
      <c r="A982" s="841"/>
      <c r="B982" s="841"/>
      <c r="C982" s="841"/>
      <c r="D982" s="841"/>
      <c r="E982" s="841"/>
      <c r="F982" s="841"/>
      <c r="G982" s="841"/>
      <c r="H982" s="841"/>
      <c r="I982" s="841"/>
      <c r="J982" s="841"/>
      <c r="K982" s="841"/>
      <c r="L982" s="841"/>
      <c r="M982" s="841"/>
      <c r="N982" s="841"/>
      <c r="O982" s="841"/>
      <c r="P982" s="841"/>
      <c r="Q982" s="841"/>
      <c r="R982" s="841"/>
      <c r="S982" s="841"/>
      <c r="T982" s="841"/>
      <c r="U982" s="841"/>
      <c r="V982" s="841"/>
      <c r="W982" s="841"/>
      <c r="X982" s="841"/>
      <c r="Y982" s="841"/>
      <c r="Z982" s="1226"/>
      <c r="AA982" s="1226"/>
      <c r="AB982" s="1226"/>
      <c r="AC982" s="1226"/>
      <c r="AD982" s="1226"/>
      <c r="AE982" s="1226"/>
      <c r="AF982" s="1226"/>
      <c r="AG982" s="1226"/>
      <c r="AH982" s="1226"/>
      <c r="AI982" s="841"/>
      <c r="AJ982" s="841"/>
      <c r="AK982" s="841"/>
      <c r="AL982" s="841"/>
      <c r="AM982" s="841"/>
      <c r="AN982" s="841"/>
      <c r="AO982" s="841"/>
      <c r="AP982" s="841"/>
      <c r="AQ982" s="841"/>
      <c r="AR982" s="841"/>
      <c r="AS982" s="842"/>
    </row>
    <row r="983" spans="1:45">
      <c r="A983" s="841"/>
      <c r="B983" s="841"/>
      <c r="C983" s="841"/>
      <c r="D983" s="841"/>
      <c r="E983" s="841"/>
      <c r="F983" s="841"/>
      <c r="G983" s="841"/>
      <c r="H983" s="841"/>
      <c r="I983" s="841"/>
      <c r="J983" s="841"/>
      <c r="K983" s="841"/>
      <c r="L983" s="841"/>
      <c r="M983" s="841"/>
      <c r="N983" s="841"/>
      <c r="O983" s="841"/>
      <c r="P983" s="841"/>
      <c r="Q983" s="841"/>
      <c r="R983" s="841"/>
      <c r="S983" s="841"/>
      <c r="T983" s="841"/>
      <c r="U983" s="841"/>
      <c r="V983" s="841"/>
      <c r="W983" s="841"/>
      <c r="X983" s="841"/>
      <c r="Y983" s="841"/>
      <c r="Z983" s="1226"/>
      <c r="AA983" s="1226"/>
      <c r="AB983" s="1226"/>
      <c r="AC983" s="1226"/>
      <c r="AD983" s="1226"/>
      <c r="AE983" s="1226"/>
      <c r="AF983" s="1226"/>
      <c r="AG983" s="1226"/>
      <c r="AH983" s="1226"/>
      <c r="AI983" s="841"/>
      <c r="AJ983" s="841"/>
      <c r="AK983" s="841"/>
      <c r="AL983" s="841"/>
      <c r="AM983" s="841"/>
      <c r="AN983" s="841"/>
      <c r="AO983" s="841"/>
      <c r="AP983" s="841"/>
      <c r="AQ983" s="841"/>
      <c r="AR983" s="841"/>
      <c r="AS983" s="842"/>
    </row>
    <row r="984" spans="1:45">
      <c r="A984" s="841"/>
      <c r="B984" s="841"/>
      <c r="C984" s="841"/>
      <c r="D984" s="841"/>
      <c r="E984" s="841"/>
      <c r="F984" s="841"/>
      <c r="G984" s="841"/>
      <c r="H984" s="841"/>
      <c r="I984" s="841"/>
      <c r="J984" s="841"/>
      <c r="K984" s="841"/>
      <c r="L984" s="841"/>
      <c r="M984" s="841"/>
      <c r="N984" s="841"/>
      <c r="O984" s="841"/>
      <c r="P984" s="841"/>
      <c r="Q984" s="841"/>
      <c r="R984" s="841"/>
      <c r="S984" s="841"/>
      <c r="T984" s="841"/>
      <c r="U984" s="841"/>
      <c r="V984" s="841"/>
      <c r="W984" s="841"/>
      <c r="X984" s="841"/>
      <c r="Y984" s="841"/>
      <c r="Z984" s="1226"/>
      <c r="AA984" s="1226"/>
      <c r="AB984" s="1226"/>
      <c r="AC984" s="1226"/>
      <c r="AD984" s="1226"/>
      <c r="AE984" s="1226"/>
      <c r="AF984" s="1226"/>
      <c r="AG984" s="1226"/>
      <c r="AH984" s="1226"/>
      <c r="AI984" s="841"/>
      <c r="AJ984" s="841"/>
      <c r="AK984" s="841"/>
      <c r="AL984" s="841"/>
      <c r="AM984" s="841"/>
      <c r="AN984" s="841"/>
      <c r="AO984" s="841"/>
      <c r="AP984" s="841"/>
      <c r="AQ984" s="841"/>
      <c r="AR984" s="841"/>
      <c r="AS984" s="842"/>
    </row>
    <row r="985" spans="1:45">
      <c r="A985" s="841"/>
      <c r="B985" s="841"/>
      <c r="C985" s="841"/>
      <c r="D985" s="841"/>
      <c r="E985" s="841"/>
      <c r="F985" s="841"/>
      <c r="G985" s="841"/>
      <c r="H985" s="841"/>
      <c r="I985" s="841"/>
      <c r="J985" s="841"/>
      <c r="K985" s="841"/>
      <c r="L985" s="841"/>
      <c r="M985" s="841"/>
      <c r="N985" s="841"/>
      <c r="O985" s="841"/>
      <c r="P985" s="841"/>
      <c r="Q985" s="841"/>
      <c r="R985" s="841"/>
      <c r="S985" s="841"/>
      <c r="T985" s="841"/>
      <c r="U985" s="841"/>
      <c r="V985" s="841"/>
      <c r="W985" s="841"/>
      <c r="X985" s="841"/>
      <c r="Y985" s="841"/>
      <c r="Z985" s="1226"/>
      <c r="AA985" s="1226"/>
      <c r="AB985" s="1226"/>
      <c r="AC985" s="1226"/>
      <c r="AD985" s="1226"/>
      <c r="AE985" s="1226"/>
      <c r="AF985" s="1226"/>
      <c r="AG985" s="1226"/>
      <c r="AH985" s="1226"/>
      <c r="AI985" s="841"/>
      <c r="AJ985" s="841"/>
      <c r="AK985" s="841"/>
      <c r="AL985" s="841"/>
      <c r="AM985" s="841"/>
      <c r="AN985" s="841"/>
      <c r="AO985" s="841"/>
      <c r="AP985" s="841"/>
      <c r="AQ985" s="841"/>
      <c r="AR985" s="841"/>
      <c r="AS985" s="842"/>
    </row>
    <row r="986" spans="1:45">
      <c r="A986" s="841"/>
      <c r="B986" s="841"/>
      <c r="C986" s="841"/>
      <c r="D986" s="841"/>
      <c r="E986" s="841"/>
      <c r="F986" s="841"/>
      <c r="G986" s="841"/>
      <c r="H986" s="841"/>
      <c r="I986" s="841"/>
      <c r="J986" s="841"/>
      <c r="K986" s="841"/>
      <c r="L986" s="841"/>
      <c r="M986" s="841"/>
      <c r="N986" s="841"/>
      <c r="O986" s="841"/>
      <c r="P986" s="841"/>
      <c r="Q986" s="841"/>
      <c r="R986" s="841"/>
      <c r="S986" s="841"/>
      <c r="T986" s="841"/>
      <c r="U986" s="841"/>
      <c r="V986" s="841"/>
      <c r="W986" s="841"/>
      <c r="X986" s="841"/>
      <c r="Y986" s="841"/>
      <c r="Z986" s="1226"/>
      <c r="AA986" s="1226"/>
      <c r="AB986" s="1226"/>
      <c r="AC986" s="1226"/>
      <c r="AD986" s="1226"/>
      <c r="AE986" s="1226"/>
      <c r="AF986" s="1226"/>
      <c r="AG986" s="1226"/>
      <c r="AH986" s="1226"/>
      <c r="AI986" s="841"/>
      <c r="AJ986" s="841"/>
      <c r="AK986" s="841"/>
      <c r="AL986" s="841"/>
      <c r="AM986" s="841"/>
      <c r="AN986" s="841"/>
      <c r="AO986" s="841"/>
      <c r="AP986" s="841"/>
      <c r="AQ986" s="841"/>
      <c r="AR986" s="841"/>
      <c r="AS986" s="842"/>
    </row>
    <row r="987" spans="1:45">
      <c r="A987" s="841"/>
      <c r="B987" s="841"/>
      <c r="C987" s="841"/>
      <c r="D987" s="841"/>
      <c r="E987" s="841"/>
      <c r="F987" s="841"/>
      <c r="G987" s="841"/>
      <c r="H987" s="841"/>
      <c r="I987" s="841"/>
      <c r="J987" s="841"/>
      <c r="K987" s="841"/>
      <c r="L987" s="841"/>
      <c r="M987" s="841"/>
      <c r="N987" s="841"/>
      <c r="O987" s="841"/>
      <c r="P987" s="841"/>
      <c r="Q987" s="841"/>
      <c r="R987" s="841"/>
      <c r="S987" s="841"/>
      <c r="T987" s="841"/>
      <c r="U987" s="841"/>
      <c r="V987" s="841"/>
      <c r="W987" s="841"/>
      <c r="X987" s="841"/>
      <c r="Y987" s="841"/>
      <c r="Z987" s="1226"/>
      <c r="AA987" s="1226"/>
      <c r="AB987" s="1226"/>
      <c r="AC987" s="1226"/>
      <c r="AD987" s="1226"/>
      <c r="AE987" s="1226"/>
      <c r="AF987" s="1226"/>
      <c r="AG987" s="1226"/>
      <c r="AH987" s="1226"/>
      <c r="AI987" s="841"/>
      <c r="AJ987" s="841"/>
      <c r="AK987" s="841"/>
      <c r="AL987" s="841"/>
      <c r="AM987" s="841"/>
      <c r="AN987" s="841"/>
      <c r="AO987" s="841"/>
      <c r="AP987" s="841"/>
      <c r="AQ987" s="841"/>
      <c r="AR987" s="841"/>
      <c r="AS987" s="842"/>
    </row>
    <row r="988" spans="1:45">
      <c r="A988" s="841"/>
      <c r="B988" s="841"/>
      <c r="C988" s="841"/>
      <c r="D988" s="841"/>
      <c r="E988" s="841"/>
      <c r="F988" s="841"/>
      <c r="G988" s="841"/>
      <c r="H988" s="841"/>
      <c r="I988" s="841"/>
      <c r="J988" s="841"/>
      <c r="K988" s="841"/>
      <c r="L988" s="841"/>
      <c r="M988" s="841"/>
      <c r="N988" s="841"/>
      <c r="O988" s="841"/>
      <c r="P988" s="841"/>
      <c r="Q988" s="841"/>
      <c r="R988" s="841"/>
      <c r="S988" s="841"/>
      <c r="T988" s="841"/>
      <c r="U988" s="841"/>
      <c r="V988" s="841"/>
      <c r="W988" s="841"/>
      <c r="X988" s="841"/>
      <c r="Y988" s="841"/>
      <c r="Z988" s="1226"/>
      <c r="AA988" s="1226"/>
      <c r="AB988" s="1226"/>
      <c r="AC988" s="1226"/>
      <c r="AD988" s="1226"/>
      <c r="AE988" s="1226"/>
      <c r="AF988" s="1226"/>
      <c r="AG988" s="1226"/>
      <c r="AH988" s="1226"/>
      <c r="AI988" s="841"/>
      <c r="AJ988" s="841"/>
      <c r="AK988" s="841"/>
      <c r="AL988" s="841"/>
      <c r="AM988" s="841"/>
      <c r="AN988" s="841"/>
      <c r="AO988" s="841"/>
      <c r="AP988" s="841"/>
      <c r="AQ988" s="841"/>
      <c r="AR988" s="841"/>
      <c r="AS988" s="842"/>
    </row>
    <row r="989" spans="1:45">
      <c r="A989" s="841"/>
      <c r="B989" s="841"/>
      <c r="C989" s="841"/>
      <c r="D989" s="841"/>
      <c r="E989" s="841"/>
      <c r="F989" s="841"/>
      <c r="G989" s="841"/>
      <c r="H989" s="841"/>
      <c r="I989" s="841"/>
      <c r="J989" s="841"/>
      <c r="K989" s="841"/>
      <c r="L989" s="841"/>
      <c r="M989" s="841"/>
      <c r="N989" s="841"/>
      <c r="O989" s="841"/>
      <c r="P989" s="841"/>
      <c r="Q989" s="841"/>
      <c r="R989" s="841"/>
      <c r="S989" s="841"/>
      <c r="T989" s="841"/>
      <c r="U989" s="841"/>
      <c r="V989" s="841"/>
      <c r="W989" s="841"/>
      <c r="X989" s="841"/>
      <c r="Y989" s="841"/>
      <c r="Z989" s="1226"/>
      <c r="AA989" s="1226"/>
      <c r="AB989" s="1226"/>
      <c r="AC989" s="1226"/>
      <c r="AD989" s="1226"/>
      <c r="AE989" s="1226"/>
      <c r="AF989" s="1226"/>
      <c r="AG989" s="1226"/>
      <c r="AH989" s="1226"/>
      <c r="AI989" s="841"/>
      <c r="AJ989" s="841"/>
      <c r="AK989" s="841"/>
      <c r="AL989" s="841"/>
      <c r="AM989" s="841"/>
      <c r="AN989" s="841"/>
      <c r="AO989" s="841"/>
      <c r="AP989" s="841"/>
      <c r="AQ989" s="841"/>
      <c r="AR989" s="841"/>
      <c r="AS989" s="842"/>
    </row>
    <row r="990" spans="1:45">
      <c r="A990" s="841"/>
      <c r="B990" s="841"/>
      <c r="C990" s="841"/>
      <c r="D990" s="841"/>
      <c r="E990" s="841"/>
      <c r="F990" s="841"/>
      <c r="G990" s="841"/>
      <c r="H990" s="841"/>
      <c r="I990" s="841"/>
      <c r="J990" s="841"/>
      <c r="K990" s="841"/>
      <c r="L990" s="841"/>
      <c r="M990" s="841"/>
      <c r="N990" s="841"/>
      <c r="O990" s="841"/>
      <c r="P990" s="841"/>
      <c r="Q990" s="841"/>
      <c r="R990" s="841"/>
      <c r="S990" s="841"/>
      <c r="T990" s="841"/>
      <c r="U990" s="841"/>
      <c r="V990" s="841"/>
      <c r="W990" s="841"/>
      <c r="X990" s="841"/>
      <c r="Y990" s="841"/>
      <c r="Z990" s="1226"/>
      <c r="AA990" s="1226"/>
      <c r="AB990" s="1226"/>
      <c r="AC990" s="1226"/>
      <c r="AD990" s="1226"/>
      <c r="AE990" s="1226"/>
      <c r="AF990" s="1226"/>
      <c r="AG990" s="1226"/>
      <c r="AH990" s="1226"/>
      <c r="AI990" s="841"/>
      <c r="AJ990" s="841"/>
      <c r="AK990" s="841"/>
      <c r="AL990" s="841"/>
      <c r="AM990" s="841"/>
      <c r="AN990" s="841"/>
      <c r="AO990" s="841"/>
      <c r="AP990" s="841"/>
      <c r="AQ990" s="841"/>
      <c r="AR990" s="841"/>
      <c r="AS990" s="842"/>
    </row>
    <row r="991" spans="1:45">
      <c r="A991" s="841"/>
      <c r="B991" s="841"/>
      <c r="C991" s="841"/>
      <c r="D991" s="841"/>
      <c r="E991" s="841"/>
      <c r="F991" s="841"/>
      <c r="G991" s="841"/>
      <c r="H991" s="841"/>
      <c r="I991" s="841"/>
      <c r="J991" s="841"/>
      <c r="K991" s="841"/>
      <c r="L991" s="841"/>
      <c r="M991" s="841"/>
      <c r="N991" s="841"/>
      <c r="O991" s="841"/>
      <c r="P991" s="841"/>
      <c r="Q991" s="841"/>
      <c r="R991" s="841"/>
      <c r="S991" s="841"/>
      <c r="T991" s="841"/>
      <c r="U991" s="841"/>
      <c r="V991" s="841"/>
      <c r="W991" s="841"/>
      <c r="X991" s="841"/>
      <c r="Y991" s="841"/>
      <c r="Z991" s="1226"/>
      <c r="AA991" s="1226"/>
      <c r="AB991" s="1226"/>
      <c r="AC991" s="1226"/>
      <c r="AD991" s="1226"/>
      <c r="AE991" s="1226"/>
      <c r="AF991" s="1226"/>
      <c r="AG991" s="1226"/>
      <c r="AH991" s="1226"/>
      <c r="AI991" s="841"/>
      <c r="AJ991" s="841"/>
      <c r="AK991" s="841"/>
      <c r="AL991" s="841"/>
      <c r="AM991" s="841"/>
      <c r="AN991" s="841"/>
      <c r="AO991" s="841"/>
      <c r="AP991" s="841"/>
      <c r="AQ991" s="841"/>
      <c r="AR991" s="841"/>
      <c r="AS991" s="842"/>
    </row>
    <row r="992" spans="1:45">
      <c r="A992" s="841"/>
      <c r="B992" s="841"/>
      <c r="C992" s="841"/>
      <c r="D992" s="841"/>
      <c r="E992" s="841"/>
      <c r="F992" s="841"/>
      <c r="G992" s="841"/>
      <c r="H992" s="841"/>
      <c r="I992" s="841"/>
      <c r="J992" s="841"/>
      <c r="K992" s="841"/>
      <c r="L992" s="841"/>
      <c r="M992" s="841"/>
      <c r="N992" s="841"/>
      <c r="O992" s="841"/>
      <c r="P992" s="841"/>
      <c r="Q992" s="841"/>
      <c r="R992" s="841"/>
      <c r="S992" s="841"/>
      <c r="T992" s="841"/>
      <c r="U992" s="841"/>
      <c r="V992" s="841"/>
      <c r="W992" s="841"/>
      <c r="X992" s="841"/>
      <c r="Y992" s="841"/>
      <c r="Z992" s="1226"/>
      <c r="AA992" s="1226"/>
      <c r="AB992" s="1226"/>
      <c r="AC992" s="1226"/>
      <c r="AD992" s="1226"/>
      <c r="AE992" s="1226"/>
      <c r="AF992" s="1226"/>
      <c r="AG992" s="1226"/>
      <c r="AH992" s="1226"/>
      <c r="AI992" s="841"/>
      <c r="AJ992" s="841"/>
      <c r="AK992" s="841"/>
      <c r="AL992" s="841"/>
      <c r="AM992" s="841"/>
      <c r="AN992" s="841"/>
      <c r="AO992" s="841"/>
      <c r="AP992" s="841"/>
      <c r="AQ992" s="841"/>
      <c r="AR992" s="841"/>
      <c r="AS992" s="842"/>
    </row>
    <row r="993" spans="1:45">
      <c r="A993" s="841"/>
      <c r="B993" s="841"/>
      <c r="C993" s="841"/>
      <c r="D993" s="841"/>
      <c r="E993" s="841"/>
      <c r="F993" s="841"/>
      <c r="G993" s="841"/>
      <c r="H993" s="841"/>
      <c r="I993" s="841"/>
      <c r="J993" s="841"/>
      <c r="K993" s="841"/>
      <c r="L993" s="841"/>
      <c r="M993" s="841"/>
      <c r="N993" s="841"/>
      <c r="O993" s="841"/>
      <c r="P993" s="841"/>
      <c r="Q993" s="841"/>
      <c r="R993" s="841"/>
      <c r="S993" s="841"/>
      <c r="T993" s="841"/>
      <c r="U993" s="841"/>
      <c r="V993" s="841"/>
      <c r="W993" s="841"/>
      <c r="X993" s="841"/>
      <c r="Y993" s="841"/>
      <c r="Z993" s="1226"/>
      <c r="AA993" s="1226"/>
      <c r="AB993" s="1226"/>
      <c r="AC993" s="1226"/>
      <c r="AD993" s="1226"/>
      <c r="AE993" s="1226"/>
      <c r="AF993" s="1226"/>
      <c r="AG993" s="1226"/>
      <c r="AH993" s="1226"/>
      <c r="AI993" s="841"/>
      <c r="AJ993" s="841"/>
      <c r="AK993" s="841"/>
      <c r="AL993" s="841"/>
      <c r="AM993" s="841"/>
      <c r="AN993" s="841"/>
      <c r="AO993" s="841"/>
      <c r="AP993" s="841"/>
      <c r="AQ993" s="841"/>
      <c r="AR993" s="841"/>
      <c r="AS993" s="842"/>
    </row>
    <row r="994" spans="1:45">
      <c r="A994" s="841"/>
      <c r="B994" s="841"/>
      <c r="C994" s="841"/>
      <c r="D994" s="841"/>
      <c r="E994" s="841"/>
      <c r="F994" s="841"/>
      <c r="G994" s="841"/>
      <c r="H994" s="841"/>
      <c r="I994" s="841"/>
      <c r="J994" s="841"/>
      <c r="K994" s="841"/>
      <c r="L994" s="841"/>
      <c r="M994" s="841"/>
      <c r="N994" s="841"/>
      <c r="O994" s="841"/>
      <c r="P994" s="841"/>
      <c r="Q994" s="841"/>
      <c r="R994" s="841"/>
      <c r="S994" s="841"/>
      <c r="T994" s="841"/>
      <c r="U994" s="841"/>
      <c r="V994" s="841"/>
      <c r="W994" s="841"/>
      <c r="X994" s="841"/>
      <c r="Y994" s="841"/>
      <c r="Z994" s="1226"/>
      <c r="AA994" s="1226"/>
      <c r="AB994" s="1226"/>
      <c r="AC994" s="1226"/>
      <c r="AD994" s="1226"/>
      <c r="AE994" s="1226"/>
      <c r="AF994" s="1226"/>
      <c r="AG994" s="1226"/>
      <c r="AH994" s="1226"/>
      <c r="AI994" s="841"/>
      <c r="AJ994" s="841"/>
      <c r="AK994" s="841"/>
      <c r="AL994" s="841"/>
      <c r="AM994" s="841"/>
      <c r="AN994" s="841"/>
      <c r="AO994" s="841"/>
      <c r="AP994" s="841"/>
      <c r="AQ994" s="841"/>
      <c r="AR994" s="841"/>
      <c r="AS994" s="842"/>
    </row>
    <row r="995" spans="1:45">
      <c r="A995" s="841"/>
      <c r="B995" s="841"/>
      <c r="C995" s="841"/>
      <c r="D995" s="841"/>
      <c r="E995" s="841"/>
      <c r="F995" s="841"/>
      <c r="G995" s="841"/>
      <c r="H995" s="841"/>
      <c r="I995" s="841"/>
      <c r="J995" s="841"/>
      <c r="K995" s="841"/>
      <c r="L995" s="841"/>
      <c r="M995" s="841"/>
      <c r="N995" s="841"/>
      <c r="O995" s="841"/>
      <c r="P995" s="841"/>
      <c r="Q995" s="841"/>
      <c r="R995" s="841"/>
      <c r="S995" s="841"/>
      <c r="T995" s="841"/>
      <c r="U995" s="841"/>
      <c r="V995" s="841"/>
      <c r="W995" s="841"/>
      <c r="X995" s="841"/>
      <c r="Y995" s="841"/>
      <c r="Z995" s="1226"/>
      <c r="AA995" s="1226"/>
      <c r="AB995" s="1226"/>
      <c r="AC995" s="1226"/>
      <c r="AD995" s="1226"/>
      <c r="AE995" s="1226"/>
      <c r="AF995" s="1226"/>
      <c r="AG995" s="1226"/>
      <c r="AH995" s="1226"/>
      <c r="AI995" s="841"/>
      <c r="AJ995" s="841"/>
      <c r="AK995" s="841"/>
      <c r="AL995" s="841"/>
      <c r="AM995" s="841"/>
      <c r="AN995" s="841"/>
      <c r="AO995" s="841"/>
      <c r="AP995" s="841"/>
      <c r="AQ995" s="841"/>
      <c r="AR995" s="841"/>
      <c r="AS995" s="842"/>
    </row>
    <row r="996" spans="1:45">
      <c r="A996" s="841"/>
      <c r="B996" s="841"/>
      <c r="C996" s="841"/>
      <c r="D996" s="841"/>
      <c r="E996" s="841"/>
      <c r="F996" s="841"/>
      <c r="G996" s="841"/>
      <c r="H996" s="841"/>
      <c r="I996" s="841"/>
      <c r="J996" s="841"/>
      <c r="K996" s="841"/>
      <c r="L996" s="841"/>
      <c r="M996" s="841"/>
      <c r="N996" s="841"/>
      <c r="O996" s="841"/>
      <c r="P996" s="841"/>
      <c r="Q996" s="841"/>
      <c r="R996" s="841"/>
      <c r="S996" s="841"/>
      <c r="T996" s="841"/>
      <c r="U996" s="841"/>
      <c r="V996" s="841"/>
      <c r="W996" s="841"/>
      <c r="X996" s="841"/>
      <c r="Y996" s="841"/>
      <c r="Z996" s="1226"/>
      <c r="AA996" s="1226"/>
      <c r="AB996" s="1226"/>
      <c r="AC996" s="1226"/>
      <c r="AD996" s="1226"/>
      <c r="AE996" s="1226"/>
      <c r="AF996" s="1226"/>
      <c r="AG996" s="1226"/>
      <c r="AH996" s="1226"/>
      <c r="AI996" s="841"/>
      <c r="AJ996" s="841"/>
      <c r="AK996" s="841"/>
      <c r="AL996" s="841"/>
      <c r="AM996" s="841"/>
      <c r="AN996" s="841"/>
      <c r="AO996" s="841"/>
      <c r="AP996" s="841"/>
      <c r="AQ996" s="841"/>
      <c r="AR996" s="841"/>
      <c r="AS996" s="842"/>
    </row>
    <row r="997" spans="1:45">
      <c r="A997" s="841"/>
      <c r="B997" s="841"/>
      <c r="C997" s="841"/>
      <c r="D997" s="841"/>
      <c r="E997" s="841"/>
      <c r="F997" s="841"/>
      <c r="G997" s="841"/>
      <c r="H997" s="841"/>
      <c r="I997" s="841"/>
      <c r="J997" s="841"/>
      <c r="K997" s="841"/>
      <c r="L997" s="841"/>
      <c r="M997" s="841"/>
      <c r="N997" s="841"/>
      <c r="O997" s="841"/>
      <c r="P997" s="841"/>
      <c r="Q997" s="841"/>
      <c r="R997" s="841"/>
      <c r="S997" s="841"/>
      <c r="T997" s="841"/>
      <c r="U997" s="841"/>
      <c r="V997" s="841"/>
      <c r="W997" s="841"/>
      <c r="X997" s="841"/>
      <c r="Y997" s="841"/>
      <c r="Z997" s="1226"/>
      <c r="AA997" s="1226"/>
      <c r="AB997" s="1226"/>
      <c r="AC997" s="1226"/>
      <c r="AD997" s="1226"/>
      <c r="AE997" s="1226"/>
      <c r="AF997" s="1226"/>
      <c r="AG997" s="1226"/>
      <c r="AH997" s="1226"/>
      <c r="AI997" s="841"/>
      <c r="AJ997" s="841"/>
      <c r="AK997" s="841"/>
      <c r="AL997" s="841"/>
      <c r="AM997" s="841"/>
      <c r="AN997" s="841"/>
      <c r="AO997" s="841"/>
      <c r="AP997" s="841"/>
      <c r="AQ997" s="841"/>
      <c r="AR997" s="841"/>
      <c r="AS997" s="842"/>
    </row>
    <row r="998" spans="1:45">
      <c r="A998" s="841"/>
      <c r="B998" s="841"/>
      <c r="C998" s="841"/>
      <c r="D998" s="841"/>
      <c r="E998" s="841"/>
      <c r="F998" s="841"/>
      <c r="G998" s="841"/>
      <c r="H998" s="841"/>
      <c r="I998" s="841"/>
      <c r="J998" s="841"/>
      <c r="K998" s="841"/>
      <c r="L998" s="841"/>
      <c r="M998" s="841"/>
      <c r="N998" s="841"/>
      <c r="O998" s="841"/>
      <c r="P998" s="841"/>
      <c r="Q998" s="841"/>
      <c r="R998" s="841"/>
      <c r="S998" s="841"/>
      <c r="T998" s="841"/>
      <c r="U998" s="841"/>
      <c r="V998" s="841"/>
      <c r="W998" s="841"/>
      <c r="X998" s="841"/>
      <c r="Y998" s="841"/>
      <c r="Z998" s="1226"/>
      <c r="AA998" s="1226"/>
      <c r="AB998" s="1226"/>
      <c r="AC998" s="1226"/>
      <c r="AD998" s="1226"/>
      <c r="AE998" s="1226"/>
      <c r="AF998" s="1226"/>
      <c r="AG998" s="1226"/>
      <c r="AH998" s="1226"/>
      <c r="AI998" s="841"/>
      <c r="AJ998" s="841"/>
      <c r="AK998" s="841"/>
      <c r="AL998" s="841"/>
      <c r="AM998" s="841"/>
      <c r="AN998" s="841"/>
      <c r="AO998" s="841"/>
      <c r="AP998" s="841"/>
      <c r="AQ998" s="841"/>
      <c r="AR998" s="841"/>
      <c r="AS998" s="842"/>
    </row>
    <row r="999" spans="1:45">
      <c r="A999" s="841"/>
      <c r="B999" s="841"/>
      <c r="C999" s="841"/>
      <c r="D999" s="841"/>
      <c r="E999" s="841"/>
      <c r="F999" s="841"/>
      <c r="G999" s="841"/>
      <c r="H999" s="841"/>
      <c r="I999" s="841"/>
      <c r="J999" s="841"/>
      <c r="K999" s="841"/>
      <c r="L999" s="841"/>
      <c r="M999" s="841"/>
      <c r="N999" s="841"/>
      <c r="O999" s="841"/>
      <c r="P999" s="841"/>
      <c r="Q999" s="841"/>
      <c r="R999" s="841"/>
      <c r="S999" s="841"/>
      <c r="T999" s="841"/>
      <c r="U999" s="841"/>
      <c r="V999" s="841"/>
      <c r="W999" s="841"/>
      <c r="X999" s="841"/>
      <c r="Y999" s="841"/>
      <c r="Z999" s="1226"/>
      <c r="AA999" s="1226"/>
      <c r="AB999" s="1226"/>
      <c r="AC999" s="1226"/>
      <c r="AD999" s="1226"/>
      <c r="AE999" s="1226"/>
      <c r="AF999" s="1226"/>
      <c r="AG999" s="1226"/>
      <c r="AH999" s="1226"/>
      <c r="AI999" s="841"/>
      <c r="AJ999" s="841"/>
      <c r="AK999" s="841"/>
      <c r="AL999" s="841"/>
      <c r="AM999" s="841"/>
      <c r="AN999" s="841"/>
      <c r="AO999" s="841"/>
      <c r="AP999" s="841"/>
      <c r="AQ999" s="841"/>
      <c r="AR999" s="841"/>
      <c r="AS999" s="842"/>
    </row>
    <row r="1000" spans="1:45">
      <c r="A1000" s="841"/>
      <c r="B1000" s="841"/>
      <c r="C1000" s="841"/>
      <c r="D1000" s="841"/>
      <c r="E1000" s="841"/>
      <c r="F1000" s="841"/>
      <c r="G1000" s="841"/>
      <c r="H1000" s="841"/>
      <c r="I1000" s="841"/>
      <c r="J1000" s="841"/>
      <c r="K1000" s="841"/>
      <c r="L1000" s="841"/>
      <c r="M1000" s="841"/>
      <c r="N1000" s="841"/>
      <c r="O1000" s="841"/>
      <c r="P1000" s="841"/>
      <c r="Q1000" s="841"/>
      <c r="R1000" s="841"/>
      <c r="S1000" s="841"/>
      <c r="T1000" s="841"/>
      <c r="U1000" s="841"/>
      <c r="V1000" s="841"/>
      <c r="W1000" s="841"/>
      <c r="X1000" s="841"/>
      <c r="Y1000" s="841"/>
      <c r="Z1000" s="1226"/>
      <c r="AA1000" s="1226"/>
      <c r="AB1000" s="1226"/>
      <c r="AC1000" s="1226"/>
      <c r="AD1000" s="1226"/>
      <c r="AE1000" s="1226"/>
      <c r="AF1000" s="1226"/>
      <c r="AG1000" s="1226"/>
      <c r="AH1000" s="1226"/>
      <c r="AI1000" s="841"/>
      <c r="AJ1000" s="841"/>
      <c r="AK1000" s="841"/>
      <c r="AL1000" s="841"/>
      <c r="AM1000" s="841"/>
      <c r="AN1000" s="841"/>
      <c r="AO1000" s="841"/>
      <c r="AP1000" s="841"/>
      <c r="AQ1000" s="841"/>
      <c r="AR1000" s="841"/>
      <c r="AS1000" s="842"/>
    </row>
    <row r="1001" spans="1:45">
      <c r="A1001" s="841"/>
      <c r="B1001" s="841"/>
      <c r="C1001" s="841"/>
      <c r="D1001" s="841"/>
      <c r="E1001" s="841"/>
      <c r="F1001" s="841"/>
      <c r="G1001" s="841"/>
      <c r="H1001" s="841"/>
      <c r="I1001" s="841"/>
      <c r="J1001" s="841"/>
      <c r="K1001" s="841"/>
      <c r="L1001" s="841"/>
      <c r="M1001" s="841"/>
      <c r="N1001" s="841"/>
      <c r="O1001" s="841"/>
      <c r="P1001" s="841"/>
      <c r="Q1001" s="841"/>
      <c r="R1001" s="841"/>
      <c r="S1001" s="841"/>
      <c r="T1001" s="841"/>
      <c r="U1001" s="841"/>
      <c r="V1001" s="841"/>
      <c r="W1001" s="841"/>
      <c r="X1001" s="841"/>
      <c r="Y1001" s="841"/>
      <c r="Z1001" s="1226"/>
      <c r="AA1001" s="1226"/>
      <c r="AB1001" s="1226"/>
      <c r="AC1001" s="1226"/>
      <c r="AD1001" s="1226"/>
      <c r="AE1001" s="1226"/>
      <c r="AF1001" s="1226"/>
      <c r="AG1001" s="1226"/>
      <c r="AH1001" s="1226"/>
      <c r="AI1001" s="841"/>
      <c r="AJ1001" s="841"/>
      <c r="AK1001" s="841"/>
      <c r="AL1001" s="841"/>
      <c r="AM1001" s="841"/>
      <c r="AN1001" s="841"/>
      <c r="AO1001" s="841"/>
      <c r="AP1001" s="841"/>
      <c r="AQ1001" s="841"/>
      <c r="AR1001" s="841"/>
      <c r="AS1001" s="842"/>
    </row>
    <row r="1002" spans="1:45">
      <c r="A1002" s="841"/>
      <c r="B1002" s="841"/>
      <c r="C1002" s="841"/>
      <c r="D1002" s="841"/>
      <c r="E1002" s="841"/>
      <c r="F1002" s="841"/>
      <c r="G1002" s="841"/>
      <c r="H1002" s="841"/>
      <c r="I1002" s="841"/>
      <c r="J1002" s="841"/>
      <c r="K1002" s="841"/>
      <c r="L1002" s="841"/>
      <c r="M1002" s="841"/>
      <c r="N1002" s="841"/>
      <c r="O1002" s="841"/>
      <c r="P1002" s="841"/>
      <c r="Q1002" s="841"/>
      <c r="R1002" s="841"/>
      <c r="S1002" s="841"/>
      <c r="T1002" s="841"/>
      <c r="U1002" s="841"/>
      <c r="V1002" s="841"/>
      <c r="W1002" s="841"/>
      <c r="X1002" s="841"/>
      <c r="Y1002" s="841"/>
      <c r="Z1002" s="1226"/>
      <c r="AA1002" s="1226"/>
      <c r="AB1002" s="1226"/>
      <c r="AC1002" s="1226"/>
      <c r="AD1002" s="1226"/>
      <c r="AE1002" s="1226"/>
      <c r="AF1002" s="1226"/>
      <c r="AG1002" s="1226"/>
      <c r="AH1002" s="1226"/>
      <c r="AI1002" s="841"/>
      <c r="AJ1002" s="841"/>
      <c r="AK1002" s="841"/>
      <c r="AL1002" s="841"/>
      <c r="AM1002" s="841"/>
      <c r="AN1002" s="841"/>
      <c r="AO1002" s="841"/>
      <c r="AP1002" s="841"/>
      <c r="AQ1002" s="841"/>
      <c r="AR1002" s="841"/>
      <c r="AS1002" s="842"/>
    </row>
    <row r="1003" spans="1:45">
      <c r="A1003" s="841"/>
      <c r="B1003" s="841"/>
      <c r="C1003" s="841"/>
      <c r="D1003" s="841"/>
      <c r="E1003" s="841"/>
      <c r="F1003" s="841"/>
      <c r="G1003" s="841"/>
      <c r="H1003" s="841"/>
      <c r="I1003" s="841"/>
      <c r="J1003" s="841"/>
      <c r="K1003" s="841"/>
      <c r="L1003" s="841"/>
      <c r="M1003" s="841"/>
      <c r="N1003" s="841"/>
      <c r="O1003" s="841"/>
      <c r="P1003" s="841"/>
      <c r="Q1003" s="841"/>
      <c r="R1003" s="841"/>
      <c r="S1003" s="841"/>
      <c r="T1003" s="841"/>
      <c r="U1003" s="841"/>
      <c r="V1003" s="841"/>
      <c r="W1003" s="841"/>
      <c r="X1003" s="841"/>
      <c r="Y1003" s="841"/>
      <c r="Z1003" s="1226"/>
      <c r="AA1003" s="1226"/>
      <c r="AB1003" s="1226"/>
      <c r="AC1003" s="1226"/>
      <c r="AD1003" s="1226"/>
      <c r="AE1003" s="1226"/>
      <c r="AF1003" s="1226"/>
      <c r="AG1003" s="1226"/>
      <c r="AH1003" s="1226"/>
      <c r="AI1003" s="841"/>
      <c r="AJ1003" s="841"/>
      <c r="AK1003" s="841"/>
      <c r="AL1003" s="841"/>
      <c r="AM1003" s="841"/>
      <c r="AN1003" s="841"/>
      <c r="AO1003" s="841"/>
      <c r="AP1003" s="841"/>
      <c r="AQ1003" s="841"/>
      <c r="AR1003" s="841"/>
      <c r="AS1003" s="842"/>
    </row>
    <row r="1004" spans="1:45">
      <c r="A1004" s="841"/>
      <c r="B1004" s="841"/>
      <c r="C1004" s="841"/>
      <c r="D1004" s="841"/>
      <c r="E1004" s="841"/>
      <c r="F1004" s="841"/>
      <c r="G1004" s="841"/>
      <c r="H1004" s="841"/>
      <c r="I1004" s="841"/>
      <c r="J1004" s="841"/>
      <c r="K1004" s="841"/>
      <c r="L1004" s="841"/>
      <c r="M1004" s="841"/>
      <c r="N1004" s="841"/>
      <c r="O1004" s="841"/>
      <c r="P1004" s="841"/>
      <c r="Q1004" s="841"/>
      <c r="R1004" s="841"/>
      <c r="S1004" s="841"/>
      <c r="T1004" s="841"/>
      <c r="U1004" s="841"/>
      <c r="V1004" s="841"/>
      <c r="W1004" s="841"/>
      <c r="X1004" s="841"/>
      <c r="Y1004" s="841"/>
      <c r="Z1004" s="1226"/>
      <c r="AA1004" s="1226"/>
      <c r="AB1004" s="1226"/>
      <c r="AC1004" s="1226"/>
      <c r="AD1004" s="1226"/>
      <c r="AE1004" s="1226"/>
      <c r="AF1004" s="1226"/>
      <c r="AG1004" s="1226"/>
      <c r="AH1004" s="1226"/>
      <c r="AI1004" s="841"/>
      <c r="AJ1004" s="841"/>
      <c r="AK1004" s="841"/>
      <c r="AL1004" s="841"/>
      <c r="AM1004" s="841"/>
      <c r="AN1004" s="841"/>
      <c r="AO1004" s="841"/>
      <c r="AP1004" s="841"/>
      <c r="AQ1004" s="841"/>
      <c r="AR1004" s="841"/>
      <c r="AS1004" s="842"/>
    </row>
    <row r="1005" spans="1:45">
      <c r="A1005" s="841"/>
      <c r="B1005" s="841"/>
      <c r="C1005" s="841"/>
      <c r="D1005" s="841"/>
      <c r="E1005" s="841"/>
      <c r="F1005" s="841"/>
      <c r="G1005" s="841"/>
      <c r="H1005" s="841"/>
      <c r="I1005" s="841"/>
      <c r="J1005" s="841"/>
      <c r="K1005" s="841"/>
      <c r="L1005" s="841"/>
      <c r="M1005" s="841"/>
      <c r="N1005" s="841"/>
      <c r="O1005" s="841"/>
      <c r="P1005" s="841"/>
      <c r="Q1005" s="841"/>
      <c r="R1005" s="841"/>
      <c r="S1005" s="841"/>
      <c r="T1005" s="841"/>
      <c r="U1005" s="841"/>
      <c r="V1005" s="841"/>
      <c r="W1005" s="841"/>
      <c r="X1005" s="841"/>
      <c r="Y1005" s="841"/>
      <c r="Z1005" s="1226"/>
      <c r="AA1005" s="1226"/>
      <c r="AB1005" s="1226"/>
      <c r="AC1005" s="1226"/>
      <c r="AD1005" s="1226"/>
      <c r="AE1005" s="1226"/>
      <c r="AF1005" s="1226"/>
      <c r="AG1005" s="1226"/>
      <c r="AH1005" s="1226"/>
      <c r="AI1005" s="841"/>
      <c r="AJ1005" s="841"/>
      <c r="AK1005" s="841"/>
      <c r="AL1005" s="841"/>
      <c r="AM1005" s="841"/>
      <c r="AN1005" s="841"/>
      <c r="AO1005" s="841"/>
      <c r="AP1005" s="841"/>
      <c r="AQ1005" s="841"/>
      <c r="AR1005" s="841"/>
      <c r="AS1005" s="842"/>
    </row>
    <row r="1006" spans="1:45">
      <c r="A1006" s="841"/>
      <c r="B1006" s="841"/>
      <c r="C1006" s="841"/>
      <c r="D1006" s="841"/>
      <c r="E1006" s="841"/>
      <c r="F1006" s="841"/>
      <c r="G1006" s="841"/>
      <c r="H1006" s="841"/>
      <c r="I1006" s="841"/>
      <c r="J1006" s="841"/>
      <c r="K1006" s="841"/>
      <c r="L1006" s="841"/>
      <c r="M1006" s="841"/>
      <c r="N1006" s="841"/>
      <c r="O1006" s="841"/>
      <c r="P1006" s="841"/>
      <c r="Q1006" s="841"/>
      <c r="R1006" s="841"/>
      <c r="S1006" s="841"/>
      <c r="T1006" s="841"/>
      <c r="U1006" s="841"/>
      <c r="V1006" s="841"/>
      <c r="W1006" s="841"/>
      <c r="X1006" s="841"/>
      <c r="Y1006" s="841"/>
      <c r="Z1006" s="1226"/>
      <c r="AA1006" s="1226"/>
      <c r="AB1006" s="1226"/>
      <c r="AC1006" s="1226"/>
      <c r="AD1006" s="1226"/>
      <c r="AE1006" s="1226"/>
      <c r="AF1006" s="1226"/>
      <c r="AG1006" s="1226"/>
      <c r="AH1006" s="1226"/>
      <c r="AI1006" s="841"/>
      <c r="AJ1006" s="841"/>
      <c r="AK1006" s="841"/>
      <c r="AL1006" s="841"/>
      <c r="AM1006" s="841"/>
      <c r="AN1006" s="841"/>
      <c r="AO1006" s="841"/>
      <c r="AP1006" s="841"/>
      <c r="AQ1006" s="841"/>
      <c r="AR1006" s="841"/>
      <c r="AS1006" s="842"/>
    </row>
    <row r="1007" spans="1:45">
      <c r="A1007" s="841"/>
      <c r="B1007" s="841"/>
      <c r="C1007" s="841"/>
      <c r="D1007" s="841"/>
      <c r="E1007" s="841"/>
      <c r="F1007" s="841"/>
      <c r="G1007" s="841"/>
      <c r="H1007" s="841"/>
      <c r="I1007" s="841"/>
      <c r="J1007" s="841"/>
      <c r="K1007" s="841"/>
      <c r="L1007" s="841"/>
      <c r="M1007" s="841"/>
      <c r="N1007" s="841"/>
      <c r="O1007" s="841"/>
      <c r="P1007" s="841"/>
      <c r="Q1007" s="841"/>
      <c r="R1007" s="841"/>
      <c r="S1007" s="841"/>
      <c r="T1007" s="841"/>
      <c r="U1007" s="841"/>
      <c r="V1007" s="841"/>
      <c r="W1007" s="841"/>
      <c r="X1007" s="841"/>
      <c r="Y1007" s="841"/>
      <c r="Z1007" s="1226"/>
      <c r="AA1007" s="1226"/>
      <c r="AB1007" s="1226"/>
      <c r="AC1007" s="1226"/>
      <c r="AD1007" s="1226"/>
      <c r="AE1007" s="1226"/>
      <c r="AF1007" s="1226"/>
      <c r="AG1007" s="1226"/>
      <c r="AH1007" s="1226"/>
      <c r="AI1007" s="841"/>
      <c r="AJ1007" s="841"/>
      <c r="AK1007" s="841"/>
      <c r="AL1007" s="841"/>
      <c r="AM1007" s="841"/>
      <c r="AN1007" s="841"/>
      <c r="AO1007" s="841"/>
      <c r="AP1007" s="841"/>
      <c r="AQ1007" s="841"/>
      <c r="AR1007" s="841"/>
      <c r="AS1007" s="842"/>
    </row>
    <row r="1008" spans="1:45">
      <c r="A1008" s="841"/>
      <c r="B1008" s="841"/>
      <c r="C1008" s="841"/>
      <c r="D1008" s="841"/>
      <c r="E1008" s="841"/>
      <c r="F1008" s="841"/>
      <c r="G1008" s="841"/>
      <c r="H1008" s="841"/>
      <c r="I1008" s="841"/>
      <c r="J1008" s="841"/>
      <c r="K1008" s="841"/>
      <c r="L1008" s="841"/>
      <c r="M1008" s="841"/>
      <c r="N1008" s="841"/>
      <c r="O1008" s="841"/>
      <c r="P1008" s="841"/>
      <c r="Q1008" s="841"/>
      <c r="R1008" s="841"/>
      <c r="S1008" s="841"/>
      <c r="T1008" s="841"/>
      <c r="U1008" s="841"/>
      <c r="V1008" s="841"/>
      <c r="W1008" s="841"/>
      <c r="X1008" s="841"/>
      <c r="Y1008" s="841"/>
      <c r="Z1008" s="1226"/>
      <c r="AA1008" s="1226"/>
      <c r="AB1008" s="1226"/>
      <c r="AC1008" s="1226"/>
      <c r="AD1008" s="1226"/>
      <c r="AE1008" s="1226"/>
      <c r="AF1008" s="1226"/>
      <c r="AG1008" s="1226"/>
      <c r="AH1008" s="1226"/>
      <c r="AI1008" s="841"/>
      <c r="AJ1008" s="841"/>
      <c r="AK1008" s="841"/>
      <c r="AL1008" s="841"/>
      <c r="AM1008" s="841"/>
      <c r="AN1008" s="841"/>
      <c r="AO1008" s="841"/>
      <c r="AP1008" s="841"/>
      <c r="AQ1008" s="841"/>
      <c r="AR1008" s="841"/>
      <c r="AS1008" s="842"/>
    </row>
    <row r="1009" spans="1:45">
      <c r="A1009" s="841"/>
      <c r="B1009" s="841"/>
      <c r="C1009" s="841"/>
      <c r="D1009" s="841"/>
      <c r="E1009" s="841"/>
      <c r="F1009" s="841"/>
      <c r="G1009" s="841"/>
      <c r="H1009" s="841"/>
      <c r="I1009" s="841"/>
      <c r="J1009" s="841"/>
      <c r="K1009" s="841"/>
      <c r="L1009" s="841"/>
      <c r="M1009" s="841"/>
      <c r="N1009" s="841"/>
      <c r="O1009" s="841"/>
      <c r="P1009" s="841"/>
      <c r="Q1009" s="841"/>
      <c r="R1009" s="841"/>
      <c r="S1009" s="841"/>
      <c r="T1009" s="841"/>
      <c r="U1009" s="841"/>
      <c r="V1009" s="841"/>
      <c r="W1009" s="841"/>
      <c r="X1009" s="841"/>
      <c r="Y1009" s="841"/>
      <c r="Z1009" s="1226"/>
      <c r="AA1009" s="1226"/>
      <c r="AB1009" s="1226"/>
      <c r="AC1009" s="1226"/>
      <c r="AD1009" s="1226"/>
      <c r="AE1009" s="1226"/>
      <c r="AF1009" s="1226"/>
      <c r="AG1009" s="1226"/>
      <c r="AH1009" s="1226"/>
      <c r="AI1009" s="841"/>
      <c r="AJ1009" s="841"/>
      <c r="AK1009" s="841"/>
      <c r="AL1009" s="841"/>
      <c r="AM1009" s="841"/>
      <c r="AN1009" s="841"/>
      <c r="AO1009" s="841"/>
      <c r="AP1009" s="841"/>
      <c r="AQ1009" s="841"/>
      <c r="AR1009" s="841"/>
      <c r="AS1009" s="842"/>
    </row>
    <row r="1010" spans="1:45">
      <c r="A1010" s="841"/>
      <c r="B1010" s="841"/>
      <c r="C1010" s="841"/>
      <c r="D1010" s="841"/>
      <c r="E1010" s="841"/>
      <c r="F1010" s="841"/>
      <c r="G1010" s="841"/>
      <c r="H1010" s="841"/>
      <c r="I1010" s="841"/>
      <c r="J1010" s="841"/>
      <c r="K1010" s="841"/>
      <c r="L1010" s="841"/>
      <c r="M1010" s="841"/>
      <c r="N1010" s="841"/>
      <c r="O1010" s="841"/>
      <c r="P1010" s="841"/>
      <c r="Q1010" s="841"/>
      <c r="R1010" s="841"/>
      <c r="S1010" s="841"/>
      <c r="T1010" s="841"/>
      <c r="U1010" s="841"/>
      <c r="V1010" s="841"/>
      <c r="W1010" s="841"/>
      <c r="X1010" s="841"/>
      <c r="Y1010" s="841"/>
      <c r="Z1010" s="1226"/>
      <c r="AA1010" s="1226"/>
      <c r="AB1010" s="1226"/>
      <c r="AC1010" s="1226"/>
      <c r="AD1010" s="1226"/>
      <c r="AE1010" s="1226"/>
      <c r="AF1010" s="1226"/>
      <c r="AG1010" s="1226"/>
      <c r="AH1010" s="1226"/>
      <c r="AI1010" s="841"/>
      <c r="AJ1010" s="841"/>
      <c r="AK1010" s="841"/>
      <c r="AL1010" s="841"/>
      <c r="AM1010" s="841"/>
      <c r="AN1010" s="841"/>
      <c r="AO1010" s="841"/>
      <c r="AP1010" s="841"/>
      <c r="AQ1010" s="841"/>
      <c r="AR1010" s="841"/>
      <c r="AS1010" s="842"/>
    </row>
    <row r="1011" spans="1:45">
      <c r="A1011" s="841"/>
      <c r="B1011" s="841"/>
      <c r="C1011" s="841"/>
      <c r="D1011" s="841"/>
      <c r="E1011" s="841"/>
      <c r="F1011" s="841"/>
      <c r="G1011" s="841"/>
      <c r="H1011" s="841"/>
      <c r="I1011" s="841"/>
      <c r="J1011" s="841"/>
      <c r="K1011" s="841"/>
      <c r="L1011" s="841"/>
      <c r="M1011" s="841"/>
      <c r="N1011" s="841"/>
      <c r="O1011" s="841"/>
      <c r="P1011" s="841"/>
      <c r="Q1011" s="841"/>
      <c r="R1011" s="841"/>
      <c r="S1011" s="841"/>
      <c r="T1011" s="841"/>
      <c r="U1011" s="841"/>
      <c r="V1011" s="841"/>
      <c r="W1011" s="841"/>
      <c r="X1011" s="841"/>
      <c r="Y1011" s="841"/>
      <c r="Z1011" s="1226"/>
      <c r="AA1011" s="1226"/>
      <c r="AB1011" s="1226"/>
      <c r="AC1011" s="1226"/>
      <c r="AD1011" s="1226"/>
      <c r="AE1011" s="1226"/>
      <c r="AF1011" s="1226"/>
      <c r="AG1011" s="1226"/>
      <c r="AH1011" s="1226"/>
      <c r="AI1011" s="841"/>
      <c r="AJ1011" s="841"/>
      <c r="AK1011" s="841"/>
      <c r="AL1011" s="841"/>
      <c r="AM1011" s="841"/>
      <c r="AN1011" s="841"/>
      <c r="AO1011" s="841"/>
      <c r="AP1011" s="841"/>
      <c r="AQ1011" s="841"/>
      <c r="AR1011" s="841"/>
      <c r="AS1011" s="842"/>
    </row>
    <row r="1012" spans="1:45">
      <c r="A1012" s="841"/>
      <c r="B1012" s="841"/>
      <c r="C1012" s="841"/>
      <c r="D1012" s="841"/>
      <c r="E1012" s="841"/>
      <c r="F1012" s="841"/>
      <c r="G1012" s="841"/>
      <c r="H1012" s="841"/>
      <c r="I1012" s="841"/>
      <c r="J1012" s="841"/>
      <c r="K1012" s="841"/>
      <c r="L1012" s="841"/>
      <c r="M1012" s="841"/>
      <c r="N1012" s="841"/>
      <c r="O1012" s="841"/>
      <c r="P1012" s="841"/>
      <c r="Q1012" s="841"/>
      <c r="R1012" s="841"/>
      <c r="S1012" s="841"/>
      <c r="T1012" s="841"/>
      <c r="U1012" s="841"/>
      <c r="V1012" s="841"/>
      <c r="W1012" s="841"/>
      <c r="X1012" s="841"/>
      <c r="Y1012" s="841"/>
      <c r="Z1012" s="1226"/>
      <c r="AA1012" s="1226"/>
      <c r="AB1012" s="1226"/>
      <c r="AC1012" s="1226"/>
      <c r="AD1012" s="1226"/>
      <c r="AE1012" s="1226"/>
      <c r="AF1012" s="1226"/>
      <c r="AG1012" s="1226"/>
      <c r="AH1012" s="1226"/>
      <c r="AI1012" s="841"/>
      <c r="AJ1012" s="841"/>
      <c r="AK1012" s="841"/>
      <c r="AL1012" s="841"/>
      <c r="AM1012" s="841"/>
      <c r="AN1012" s="841"/>
      <c r="AO1012" s="841"/>
      <c r="AP1012" s="841"/>
      <c r="AQ1012" s="841"/>
      <c r="AR1012" s="841"/>
      <c r="AS1012" s="842"/>
    </row>
    <row r="1013" spans="1:45">
      <c r="A1013" s="841"/>
      <c r="B1013" s="841"/>
      <c r="C1013" s="841"/>
      <c r="D1013" s="841"/>
      <c r="E1013" s="841"/>
      <c r="F1013" s="841"/>
      <c r="G1013" s="841"/>
      <c r="H1013" s="841"/>
      <c r="I1013" s="841"/>
      <c r="J1013" s="841"/>
      <c r="K1013" s="841"/>
      <c r="L1013" s="841"/>
      <c r="M1013" s="841"/>
      <c r="N1013" s="841"/>
      <c r="O1013" s="841"/>
      <c r="P1013" s="841"/>
      <c r="Q1013" s="841"/>
      <c r="R1013" s="841"/>
      <c r="S1013" s="841"/>
      <c r="T1013" s="841"/>
      <c r="U1013" s="841"/>
      <c r="V1013" s="841"/>
      <c r="W1013" s="841"/>
      <c r="X1013" s="841"/>
      <c r="Y1013" s="841"/>
      <c r="Z1013" s="1226"/>
      <c r="AA1013" s="1226"/>
      <c r="AB1013" s="1226"/>
      <c r="AC1013" s="1226"/>
      <c r="AD1013" s="1226"/>
      <c r="AE1013" s="1226"/>
      <c r="AF1013" s="1226"/>
      <c r="AG1013" s="1226"/>
      <c r="AH1013" s="1226"/>
      <c r="AI1013" s="841"/>
      <c r="AJ1013" s="841"/>
      <c r="AK1013" s="841"/>
      <c r="AL1013" s="841"/>
      <c r="AM1013" s="841"/>
      <c r="AN1013" s="841"/>
      <c r="AO1013" s="841"/>
      <c r="AP1013" s="841"/>
      <c r="AQ1013" s="841"/>
      <c r="AR1013" s="841"/>
      <c r="AS1013" s="842"/>
    </row>
    <row r="1014" spans="1:45">
      <c r="A1014" s="841"/>
      <c r="B1014" s="841"/>
      <c r="C1014" s="841"/>
      <c r="D1014" s="841"/>
      <c r="E1014" s="841"/>
      <c r="F1014" s="841"/>
      <c r="G1014" s="841"/>
      <c r="H1014" s="841"/>
      <c r="I1014" s="841"/>
      <c r="J1014" s="841"/>
      <c r="K1014" s="841"/>
      <c r="L1014" s="841"/>
      <c r="M1014" s="841"/>
      <c r="N1014" s="841"/>
      <c r="O1014" s="841"/>
      <c r="P1014" s="841"/>
      <c r="Q1014" s="841"/>
      <c r="R1014" s="841"/>
      <c r="S1014" s="841"/>
      <c r="T1014" s="841"/>
      <c r="U1014" s="841"/>
      <c r="V1014" s="841"/>
      <c r="W1014" s="841"/>
      <c r="X1014" s="841"/>
      <c r="Y1014" s="841"/>
      <c r="Z1014" s="1226"/>
      <c r="AA1014" s="1226"/>
      <c r="AB1014" s="1226"/>
      <c r="AC1014" s="1226"/>
      <c r="AD1014" s="1226"/>
      <c r="AE1014" s="1226"/>
      <c r="AF1014" s="1226"/>
      <c r="AG1014" s="1226"/>
      <c r="AH1014" s="1226"/>
      <c r="AI1014" s="841"/>
      <c r="AJ1014" s="841"/>
      <c r="AK1014" s="841"/>
      <c r="AL1014" s="841"/>
      <c r="AM1014" s="841"/>
      <c r="AN1014" s="841"/>
      <c r="AO1014" s="841"/>
      <c r="AP1014" s="841"/>
      <c r="AQ1014" s="841"/>
      <c r="AR1014" s="841"/>
      <c r="AS1014" s="842"/>
    </row>
    <row r="1015" spans="1:45">
      <c r="A1015" s="841"/>
      <c r="B1015" s="841"/>
      <c r="C1015" s="841"/>
      <c r="D1015" s="841"/>
      <c r="E1015" s="841"/>
      <c r="F1015" s="841"/>
      <c r="G1015" s="841"/>
      <c r="H1015" s="841"/>
      <c r="I1015" s="841"/>
      <c r="J1015" s="841"/>
      <c r="K1015" s="841"/>
      <c r="L1015" s="841"/>
      <c r="M1015" s="841"/>
      <c r="N1015" s="841"/>
      <c r="O1015" s="841"/>
      <c r="P1015" s="841"/>
      <c r="Q1015" s="841"/>
      <c r="R1015" s="841"/>
      <c r="S1015" s="841"/>
      <c r="T1015" s="841"/>
      <c r="U1015" s="841"/>
      <c r="V1015" s="841"/>
      <c r="W1015" s="841"/>
      <c r="X1015" s="841"/>
      <c r="Y1015" s="841"/>
      <c r="Z1015" s="1226"/>
      <c r="AA1015" s="1226"/>
      <c r="AB1015" s="1226"/>
      <c r="AC1015" s="1226"/>
      <c r="AD1015" s="1226"/>
      <c r="AE1015" s="1226"/>
      <c r="AF1015" s="1226"/>
      <c r="AG1015" s="1226"/>
      <c r="AH1015" s="1226"/>
      <c r="AI1015" s="841"/>
      <c r="AJ1015" s="841"/>
      <c r="AK1015" s="841"/>
      <c r="AL1015" s="841"/>
      <c r="AM1015" s="841"/>
      <c r="AN1015" s="841"/>
      <c r="AO1015" s="841"/>
      <c r="AP1015" s="841"/>
      <c r="AQ1015" s="841"/>
      <c r="AR1015" s="841"/>
      <c r="AS1015" s="842"/>
    </row>
    <row r="1016" spans="1:45">
      <c r="A1016" s="841"/>
      <c r="B1016" s="841"/>
      <c r="C1016" s="841"/>
      <c r="D1016" s="841"/>
      <c r="E1016" s="841"/>
      <c r="F1016" s="841"/>
      <c r="G1016" s="841"/>
      <c r="H1016" s="841"/>
      <c r="I1016" s="841"/>
      <c r="J1016" s="841"/>
      <c r="K1016" s="841"/>
      <c r="L1016" s="841"/>
      <c r="M1016" s="841"/>
      <c r="N1016" s="841"/>
      <c r="O1016" s="841"/>
      <c r="P1016" s="841"/>
      <c r="Q1016" s="841"/>
      <c r="R1016" s="841"/>
      <c r="S1016" s="841"/>
      <c r="T1016" s="841"/>
      <c r="U1016" s="841"/>
      <c r="V1016" s="841"/>
      <c r="W1016" s="841"/>
      <c r="X1016" s="841"/>
      <c r="Y1016" s="841"/>
      <c r="Z1016" s="1226"/>
      <c r="AA1016" s="1226"/>
      <c r="AB1016" s="1226"/>
      <c r="AC1016" s="1226"/>
      <c r="AD1016" s="1226"/>
      <c r="AE1016" s="1226"/>
      <c r="AF1016" s="1226"/>
      <c r="AG1016" s="1226"/>
      <c r="AH1016" s="1226"/>
      <c r="AI1016" s="841"/>
      <c r="AJ1016" s="841"/>
      <c r="AK1016" s="841"/>
      <c r="AL1016" s="841"/>
      <c r="AM1016" s="841"/>
      <c r="AN1016" s="841"/>
      <c r="AO1016" s="841"/>
      <c r="AP1016" s="841"/>
      <c r="AQ1016" s="841"/>
      <c r="AR1016" s="841"/>
      <c r="AS1016" s="842"/>
    </row>
    <row r="1017" spans="1:45">
      <c r="A1017" s="841"/>
      <c r="B1017" s="841"/>
      <c r="C1017" s="841"/>
      <c r="D1017" s="841"/>
      <c r="E1017" s="841"/>
      <c r="F1017" s="841"/>
      <c r="G1017" s="841"/>
      <c r="H1017" s="841"/>
      <c r="I1017" s="841"/>
      <c r="J1017" s="841"/>
      <c r="K1017" s="841"/>
      <c r="L1017" s="841"/>
      <c r="M1017" s="841"/>
      <c r="N1017" s="841"/>
      <c r="O1017" s="841"/>
      <c r="P1017" s="841"/>
      <c r="Q1017" s="841"/>
      <c r="R1017" s="841"/>
      <c r="S1017" s="841"/>
      <c r="T1017" s="841"/>
      <c r="U1017" s="841"/>
      <c r="V1017" s="841"/>
      <c r="W1017" s="841"/>
      <c r="X1017" s="841"/>
      <c r="Y1017" s="841"/>
      <c r="Z1017" s="1226"/>
      <c r="AA1017" s="1226"/>
      <c r="AB1017" s="1226"/>
      <c r="AC1017" s="1226"/>
      <c r="AD1017" s="1226"/>
      <c r="AE1017" s="1226"/>
      <c r="AF1017" s="1226"/>
      <c r="AG1017" s="1226"/>
      <c r="AH1017" s="1226"/>
      <c r="AI1017" s="841"/>
      <c r="AJ1017" s="841"/>
      <c r="AK1017" s="841"/>
      <c r="AL1017" s="841"/>
      <c r="AM1017" s="841"/>
      <c r="AN1017" s="841"/>
      <c r="AO1017" s="841"/>
      <c r="AP1017" s="841"/>
      <c r="AQ1017" s="841"/>
      <c r="AR1017" s="841"/>
      <c r="AS1017" s="842"/>
    </row>
    <row r="1018" spans="1:45">
      <c r="A1018" s="841"/>
      <c r="B1018" s="841"/>
      <c r="C1018" s="841"/>
      <c r="D1018" s="841"/>
      <c r="E1018" s="841"/>
      <c r="F1018" s="841"/>
      <c r="G1018" s="841"/>
      <c r="H1018" s="841"/>
      <c r="I1018" s="841"/>
      <c r="J1018" s="841"/>
      <c r="K1018" s="841"/>
      <c r="L1018" s="841"/>
      <c r="M1018" s="841"/>
      <c r="N1018" s="841"/>
      <c r="O1018" s="841"/>
      <c r="P1018" s="841"/>
      <c r="Q1018" s="841"/>
      <c r="R1018" s="841"/>
      <c r="S1018" s="841"/>
      <c r="T1018" s="841"/>
      <c r="U1018" s="841"/>
      <c r="V1018" s="841"/>
      <c r="W1018" s="841"/>
      <c r="X1018" s="841"/>
      <c r="Y1018" s="841"/>
      <c r="Z1018" s="1226"/>
      <c r="AA1018" s="1226"/>
      <c r="AB1018" s="1226"/>
      <c r="AC1018" s="1226"/>
      <c r="AD1018" s="1226"/>
      <c r="AE1018" s="1226"/>
      <c r="AF1018" s="1226"/>
      <c r="AG1018" s="1226"/>
      <c r="AH1018" s="1226"/>
      <c r="AI1018" s="841"/>
      <c r="AJ1018" s="841"/>
      <c r="AK1018" s="841"/>
      <c r="AL1018" s="841"/>
      <c r="AM1018" s="841"/>
      <c r="AN1018" s="841"/>
      <c r="AO1018" s="841"/>
      <c r="AP1018" s="841"/>
      <c r="AQ1018" s="841"/>
      <c r="AR1018" s="841"/>
      <c r="AS1018" s="842"/>
    </row>
    <row r="1019" spans="1:45">
      <c r="A1019" s="841"/>
      <c r="B1019" s="841"/>
      <c r="C1019" s="841"/>
      <c r="D1019" s="841"/>
      <c r="E1019" s="841"/>
      <c r="F1019" s="841"/>
      <c r="G1019" s="841"/>
      <c r="H1019" s="841"/>
      <c r="I1019" s="841"/>
      <c r="J1019" s="841"/>
      <c r="K1019" s="841"/>
      <c r="L1019" s="841"/>
      <c r="M1019" s="841"/>
      <c r="N1019" s="841"/>
      <c r="O1019" s="841"/>
      <c r="P1019" s="841"/>
      <c r="Q1019" s="841"/>
      <c r="R1019" s="841"/>
      <c r="S1019" s="841"/>
      <c r="T1019" s="841"/>
      <c r="U1019" s="841"/>
      <c r="V1019" s="841"/>
      <c r="W1019" s="841"/>
      <c r="X1019" s="841"/>
      <c r="Y1019" s="841"/>
      <c r="Z1019" s="1226"/>
      <c r="AA1019" s="1226"/>
      <c r="AB1019" s="1226"/>
      <c r="AC1019" s="1226"/>
      <c r="AD1019" s="1226"/>
      <c r="AE1019" s="1226"/>
      <c r="AF1019" s="1226"/>
      <c r="AG1019" s="1226"/>
      <c r="AH1019" s="1226"/>
      <c r="AI1019" s="841"/>
      <c r="AJ1019" s="841"/>
      <c r="AK1019" s="841"/>
      <c r="AL1019" s="841"/>
      <c r="AM1019" s="841"/>
      <c r="AN1019" s="841"/>
      <c r="AO1019" s="841"/>
      <c r="AP1019" s="841"/>
      <c r="AQ1019" s="841"/>
      <c r="AR1019" s="841"/>
      <c r="AS1019" s="842"/>
    </row>
    <row r="1020" spans="1:45">
      <c r="A1020" s="841"/>
      <c r="B1020" s="841"/>
      <c r="C1020" s="841"/>
      <c r="D1020" s="841"/>
      <c r="E1020" s="841"/>
      <c r="F1020" s="841"/>
      <c r="G1020" s="841"/>
      <c r="H1020" s="841"/>
      <c r="I1020" s="841"/>
      <c r="J1020" s="841"/>
      <c r="K1020" s="841"/>
      <c r="L1020" s="841"/>
      <c r="M1020" s="841"/>
      <c r="N1020" s="841"/>
      <c r="O1020" s="841"/>
      <c r="P1020" s="841"/>
      <c r="Q1020" s="841"/>
      <c r="R1020" s="841"/>
      <c r="S1020" s="841"/>
      <c r="T1020" s="841"/>
      <c r="U1020" s="841"/>
      <c r="V1020" s="841"/>
      <c r="W1020" s="841"/>
      <c r="X1020" s="841"/>
      <c r="Y1020" s="841"/>
      <c r="Z1020" s="1226"/>
      <c r="AA1020" s="1226"/>
      <c r="AB1020" s="1226"/>
      <c r="AC1020" s="1226"/>
      <c r="AD1020" s="1226"/>
      <c r="AE1020" s="1226"/>
      <c r="AF1020" s="1226"/>
      <c r="AG1020" s="1226"/>
      <c r="AH1020" s="1226"/>
      <c r="AI1020" s="841"/>
      <c r="AJ1020" s="841"/>
      <c r="AK1020" s="841"/>
      <c r="AL1020" s="841"/>
      <c r="AM1020" s="841"/>
      <c r="AN1020" s="841"/>
      <c r="AO1020" s="841"/>
      <c r="AP1020" s="841"/>
      <c r="AQ1020" s="841"/>
      <c r="AR1020" s="841"/>
      <c r="AS1020" s="842"/>
    </row>
    <row r="1021" spans="1:45">
      <c r="A1021" s="841"/>
      <c r="B1021" s="841"/>
      <c r="C1021" s="841"/>
      <c r="D1021" s="841"/>
      <c r="E1021" s="841"/>
      <c r="F1021" s="841"/>
      <c r="G1021" s="841"/>
      <c r="H1021" s="841"/>
      <c r="I1021" s="841"/>
      <c r="J1021" s="841"/>
      <c r="K1021" s="841"/>
      <c r="L1021" s="841"/>
      <c r="M1021" s="841"/>
      <c r="N1021" s="841"/>
      <c r="O1021" s="841"/>
      <c r="P1021" s="841"/>
      <c r="Q1021" s="841"/>
      <c r="R1021" s="841"/>
      <c r="S1021" s="841"/>
      <c r="T1021" s="841"/>
      <c r="U1021" s="841"/>
      <c r="V1021" s="841"/>
      <c r="W1021" s="841"/>
      <c r="X1021" s="841"/>
      <c r="Y1021" s="841"/>
      <c r="Z1021" s="1226"/>
      <c r="AA1021" s="1226"/>
      <c r="AB1021" s="1226"/>
      <c r="AC1021" s="1226"/>
      <c r="AD1021" s="1226"/>
      <c r="AE1021" s="1226"/>
      <c r="AF1021" s="1226"/>
      <c r="AG1021" s="1226"/>
      <c r="AH1021" s="1226"/>
      <c r="AI1021" s="841"/>
      <c r="AJ1021" s="841"/>
      <c r="AK1021" s="841"/>
      <c r="AL1021" s="841"/>
      <c r="AM1021" s="841"/>
      <c r="AN1021" s="841"/>
      <c r="AO1021" s="841"/>
      <c r="AP1021" s="841"/>
      <c r="AQ1021" s="841"/>
      <c r="AR1021" s="841"/>
      <c r="AS1021" s="842"/>
    </row>
    <row r="1022" spans="1:45">
      <c r="A1022" s="841"/>
      <c r="B1022" s="841"/>
      <c r="C1022" s="841"/>
      <c r="D1022" s="841"/>
      <c r="E1022" s="841"/>
      <c r="F1022" s="841"/>
      <c r="G1022" s="841"/>
      <c r="H1022" s="841"/>
      <c r="I1022" s="841"/>
      <c r="J1022" s="841"/>
      <c r="K1022" s="841"/>
      <c r="L1022" s="841"/>
      <c r="M1022" s="841"/>
      <c r="N1022" s="841"/>
      <c r="O1022" s="841"/>
      <c r="P1022" s="841"/>
      <c r="Q1022" s="841"/>
      <c r="R1022" s="841"/>
      <c r="S1022" s="841"/>
      <c r="T1022" s="841"/>
      <c r="U1022" s="841"/>
      <c r="V1022" s="841"/>
      <c r="W1022" s="841"/>
      <c r="X1022" s="841"/>
      <c r="Y1022" s="841"/>
      <c r="Z1022" s="1226"/>
      <c r="AA1022" s="1226"/>
      <c r="AB1022" s="1226"/>
      <c r="AC1022" s="1226"/>
      <c r="AD1022" s="1226"/>
      <c r="AE1022" s="1226"/>
      <c r="AF1022" s="1226"/>
      <c r="AG1022" s="1226"/>
      <c r="AH1022" s="1226"/>
      <c r="AI1022" s="841"/>
      <c r="AJ1022" s="841"/>
      <c r="AK1022" s="841"/>
      <c r="AL1022" s="841"/>
      <c r="AM1022" s="841"/>
      <c r="AN1022" s="841"/>
      <c r="AO1022" s="841"/>
      <c r="AP1022" s="841"/>
      <c r="AQ1022" s="841"/>
      <c r="AR1022" s="841"/>
      <c r="AS1022" s="842"/>
    </row>
    <row r="1023" spans="1:45">
      <c r="A1023" s="841"/>
      <c r="B1023" s="841"/>
      <c r="C1023" s="841"/>
      <c r="D1023" s="841"/>
      <c r="E1023" s="841"/>
      <c r="F1023" s="841"/>
      <c r="G1023" s="841"/>
      <c r="H1023" s="841"/>
      <c r="I1023" s="841"/>
      <c r="J1023" s="841"/>
      <c r="K1023" s="841"/>
      <c r="L1023" s="841"/>
      <c r="M1023" s="841"/>
      <c r="N1023" s="841"/>
      <c r="O1023" s="841"/>
      <c r="P1023" s="841"/>
      <c r="Q1023" s="841"/>
      <c r="R1023" s="841"/>
      <c r="S1023" s="841"/>
      <c r="T1023" s="841"/>
      <c r="U1023" s="841"/>
      <c r="V1023" s="841"/>
      <c r="W1023" s="841"/>
      <c r="X1023" s="841"/>
      <c r="Y1023" s="841"/>
      <c r="Z1023" s="1226"/>
      <c r="AA1023" s="1226"/>
      <c r="AB1023" s="1226"/>
      <c r="AC1023" s="1226"/>
      <c r="AD1023" s="1226"/>
      <c r="AE1023" s="1226"/>
      <c r="AF1023" s="1226"/>
      <c r="AG1023" s="1226"/>
      <c r="AH1023" s="1226"/>
      <c r="AI1023" s="841"/>
      <c r="AJ1023" s="841"/>
      <c r="AK1023" s="841"/>
      <c r="AL1023" s="841"/>
      <c r="AM1023" s="841"/>
      <c r="AN1023" s="841"/>
      <c r="AO1023" s="841"/>
      <c r="AP1023" s="841"/>
      <c r="AQ1023" s="841"/>
      <c r="AR1023" s="841"/>
      <c r="AS1023" s="842"/>
    </row>
    <row r="1024" spans="1:45">
      <c r="A1024" s="841"/>
      <c r="B1024" s="841"/>
      <c r="C1024" s="841"/>
      <c r="D1024" s="841"/>
      <c r="E1024" s="841"/>
      <c r="F1024" s="841"/>
      <c r="G1024" s="841"/>
      <c r="H1024" s="841"/>
      <c r="I1024" s="841"/>
      <c r="J1024" s="841"/>
      <c r="K1024" s="841"/>
      <c r="L1024" s="841"/>
      <c r="M1024" s="841"/>
      <c r="N1024" s="841"/>
      <c r="O1024" s="841"/>
      <c r="P1024" s="841"/>
      <c r="Q1024" s="841"/>
      <c r="R1024" s="841"/>
      <c r="S1024" s="841"/>
      <c r="T1024" s="841"/>
      <c r="U1024" s="841"/>
      <c r="V1024" s="841"/>
      <c r="W1024" s="841"/>
      <c r="X1024" s="841"/>
      <c r="Y1024" s="841"/>
      <c r="Z1024" s="1226"/>
      <c r="AA1024" s="1226"/>
      <c r="AB1024" s="1226"/>
      <c r="AC1024" s="1226"/>
      <c r="AD1024" s="1226"/>
      <c r="AE1024" s="1226"/>
      <c r="AF1024" s="1226"/>
      <c r="AG1024" s="1226"/>
      <c r="AH1024" s="1226"/>
      <c r="AI1024" s="841"/>
      <c r="AJ1024" s="841"/>
      <c r="AK1024" s="841"/>
      <c r="AL1024" s="841"/>
      <c r="AM1024" s="841"/>
      <c r="AN1024" s="841"/>
      <c r="AO1024" s="841"/>
      <c r="AP1024" s="841"/>
      <c r="AQ1024" s="841"/>
      <c r="AR1024" s="841"/>
      <c r="AS1024" s="842"/>
    </row>
    <row r="1025" spans="1:45">
      <c r="A1025" s="841"/>
      <c r="B1025" s="841"/>
      <c r="C1025" s="841"/>
      <c r="D1025" s="841"/>
      <c r="E1025" s="841"/>
      <c r="F1025" s="841"/>
      <c r="G1025" s="841"/>
      <c r="H1025" s="841"/>
      <c r="I1025" s="841"/>
      <c r="J1025" s="841"/>
      <c r="K1025" s="841"/>
      <c r="L1025" s="841"/>
      <c r="M1025" s="841"/>
      <c r="N1025" s="841"/>
      <c r="O1025" s="841"/>
      <c r="P1025" s="841"/>
      <c r="Q1025" s="841"/>
      <c r="R1025" s="841"/>
      <c r="S1025" s="841"/>
      <c r="T1025" s="841"/>
      <c r="U1025" s="841"/>
      <c r="V1025" s="841"/>
      <c r="W1025" s="841"/>
      <c r="X1025" s="841"/>
      <c r="Y1025" s="841"/>
      <c r="Z1025" s="1226"/>
      <c r="AA1025" s="1226"/>
      <c r="AB1025" s="1226"/>
      <c r="AC1025" s="1226"/>
      <c r="AD1025" s="1226"/>
      <c r="AE1025" s="1226"/>
      <c r="AF1025" s="1226"/>
      <c r="AG1025" s="1226"/>
      <c r="AH1025" s="1226"/>
      <c r="AI1025" s="841"/>
      <c r="AJ1025" s="841"/>
      <c r="AK1025" s="841"/>
      <c r="AL1025" s="841"/>
      <c r="AM1025" s="841"/>
      <c r="AN1025" s="841"/>
      <c r="AO1025" s="841"/>
      <c r="AP1025" s="841"/>
      <c r="AQ1025" s="841"/>
      <c r="AR1025" s="841"/>
      <c r="AS1025" s="842"/>
    </row>
    <row r="1026" spans="1:45">
      <c r="A1026" s="841"/>
      <c r="B1026" s="841"/>
      <c r="C1026" s="841"/>
      <c r="D1026" s="841"/>
      <c r="E1026" s="841"/>
      <c r="F1026" s="841"/>
      <c r="G1026" s="841"/>
      <c r="H1026" s="841"/>
      <c r="I1026" s="841"/>
      <c r="J1026" s="841"/>
      <c r="K1026" s="841"/>
      <c r="L1026" s="841"/>
      <c r="M1026" s="841"/>
      <c r="N1026" s="841"/>
      <c r="O1026" s="841"/>
      <c r="P1026" s="841"/>
      <c r="Q1026" s="841"/>
      <c r="R1026" s="841"/>
      <c r="S1026" s="841"/>
      <c r="T1026" s="841"/>
      <c r="U1026" s="841"/>
      <c r="V1026" s="841"/>
      <c r="W1026" s="841"/>
      <c r="X1026" s="841"/>
      <c r="Y1026" s="841"/>
      <c r="Z1026" s="1226"/>
      <c r="AA1026" s="1226"/>
      <c r="AB1026" s="1226"/>
      <c r="AC1026" s="1226"/>
      <c r="AD1026" s="1226"/>
      <c r="AE1026" s="1226"/>
      <c r="AF1026" s="1226"/>
      <c r="AG1026" s="1226"/>
      <c r="AH1026" s="1226"/>
      <c r="AI1026" s="841"/>
      <c r="AJ1026" s="841"/>
      <c r="AK1026" s="841"/>
      <c r="AL1026" s="841"/>
      <c r="AM1026" s="841"/>
      <c r="AN1026" s="841"/>
      <c r="AO1026" s="841"/>
      <c r="AP1026" s="841"/>
      <c r="AQ1026" s="841"/>
      <c r="AR1026" s="841"/>
      <c r="AS1026" s="842"/>
    </row>
    <row r="1027" spans="1:45">
      <c r="A1027" s="841"/>
      <c r="B1027" s="841"/>
      <c r="C1027" s="841"/>
      <c r="D1027" s="841"/>
      <c r="E1027" s="841"/>
      <c r="F1027" s="841"/>
      <c r="G1027" s="841"/>
      <c r="H1027" s="841"/>
      <c r="I1027" s="841"/>
      <c r="J1027" s="841"/>
      <c r="K1027" s="841"/>
      <c r="L1027" s="841"/>
      <c r="M1027" s="841"/>
      <c r="N1027" s="841"/>
      <c r="O1027" s="841"/>
      <c r="P1027" s="841"/>
      <c r="Q1027" s="841"/>
      <c r="R1027" s="841"/>
      <c r="S1027" s="841"/>
      <c r="T1027" s="841"/>
      <c r="U1027" s="841"/>
      <c r="V1027" s="841"/>
      <c r="W1027" s="841"/>
      <c r="X1027" s="841"/>
      <c r="Y1027" s="841"/>
      <c r="Z1027" s="1226"/>
      <c r="AA1027" s="1226"/>
      <c r="AB1027" s="1226"/>
      <c r="AC1027" s="1226"/>
      <c r="AD1027" s="1226"/>
      <c r="AE1027" s="1226"/>
      <c r="AF1027" s="1226"/>
      <c r="AG1027" s="1226"/>
      <c r="AH1027" s="1226"/>
      <c r="AI1027" s="841"/>
      <c r="AJ1027" s="841"/>
      <c r="AK1027" s="841"/>
      <c r="AL1027" s="841"/>
      <c r="AM1027" s="841"/>
      <c r="AN1027" s="841"/>
      <c r="AO1027" s="841"/>
      <c r="AP1027" s="841"/>
      <c r="AQ1027" s="841"/>
      <c r="AR1027" s="841"/>
      <c r="AS1027" s="842"/>
    </row>
    <row r="1028" spans="1:45">
      <c r="A1028" s="841"/>
      <c r="B1028" s="841"/>
      <c r="C1028" s="841"/>
      <c r="D1028" s="841"/>
      <c r="E1028" s="841"/>
      <c r="F1028" s="841"/>
      <c r="G1028" s="841"/>
      <c r="H1028" s="841"/>
      <c r="I1028" s="841"/>
      <c r="J1028" s="841"/>
      <c r="K1028" s="841"/>
      <c r="L1028" s="841"/>
      <c r="M1028" s="841"/>
      <c r="N1028" s="841"/>
      <c r="O1028" s="841"/>
      <c r="P1028" s="841"/>
      <c r="Q1028" s="841"/>
      <c r="R1028" s="841"/>
      <c r="S1028" s="841"/>
      <c r="T1028" s="841"/>
      <c r="U1028" s="841"/>
      <c r="V1028" s="841"/>
      <c r="W1028" s="841"/>
      <c r="X1028" s="841"/>
      <c r="Y1028" s="841"/>
      <c r="Z1028" s="1226"/>
      <c r="AA1028" s="1226"/>
      <c r="AB1028" s="1226"/>
      <c r="AC1028" s="1226"/>
      <c r="AD1028" s="1226"/>
      <c r="AE1028" s="1226"/>
      <c r="AF1028" s="1226"/>
      <c r="AG1028" s="1226"/>
      <c r="AH1028" s="1226"/>
      <c r="AI1028" s="841"/>
      <c r="AJ1028" s="841"/>
      <c r="AK1028" s="841"/>
      <c r="AL1028" s="841"/>
      <c r="AM1028" s="841"/>
      <c r="AN1028" s="841"/>
      <c r="AO1028" s="841"/>
      <c r="AP1028" s="841"/>
      <c r="AQ1028" s="841"/>
      <c r="AR1028" s="841"/>
      <c r="AS1028" s="842"/>
    </row>
    <row r="1029" spans="1:45">
      <c r="A1029" s="841"/>
      <c r="B1029" s="841"/>
      <c r="C1029" s="841"/>
      <c r="D1029" s="841"/>
      <c r="E1029" s="841"/>
      <c r="F1029" s="841"/>
      <c r="G1029" s="841"/>
      <c r="H1029" s="841"/>
      <c r="I1029" s="841"/>
      <c r="J1029" s="841"/>
      <c r="K1029" s="841"/>
      <c r="L1029" s="841"/>
      <c r="M1029" s="841"/>
      <c r="N1029" s="841"/>
      <c r="O1029" s="841"/>
      <c r="P1029" s="841"/>
      <c r="Q1029" s="841"/>
      <c r="R1029" s="841"/>
      <c r="S1029" s="841"/>
      <c r="T1029" s="841"/>
      <c r="U1029" s="841"/>
      <c r="V1029" s="841"/>
      <c r="W1029" s="841"/>
      <c r="X1029" s="841"/>
      <c r="Y1029" s="841"/>
      <c r="Z1029" s="1226"/>
      <c r="AA1029" s="1226"/>
      <c r="AB1029" s="1226"/>
      <c r="AC1029" s="1226"/>
      <c r="AD1029" s="1226"/>
      <c r="AE1029" s="1226"/>
      <c r="AF1029" s="1226"/>
      <c r="AG1029" s="1226"/>
      <c r="AH1029" s="1226"/>
      <c r="AI1029" s="841"/>
      <c r="AJ1029" s="841"/>
      <c r="AK1029" s="841"/>
      <c r="AL1029" s="841"/>
      <c r="AM1029" s="841"/>
      <c r="AN1029" s="841"/>
      <c r="AO1029" s="841"/>
      <c r="AP1029" s="841"/>
      <c r="AQ1029" s="841"/>
      <c r="AR1029" s="841"/>
      <c r="AS1029" s="842"/>
    </row>
    <row r="1030" spans="1:45">
      <c r="A1030" s="841"/>
      <c r="B1030" s="841"/>
      <c r="C1030" s="841"/>
      <c r="D1030" s="841"/>
      <c r="E1030" s="841"/>
      <c r="F1030" s="841"/>
      <c r="G1030" s="841"/>
      <c r="H1030" s="841"/>
      <c r="I1030" s="841"/>
      <c r="J1030" s="841"/>
      <c r="K1030" s="841"/>
      <c r="L1030" s="841"/>
      <c r="M1030" s="841"/>
      <c r="N1030" s="841"/>
      <c r="O1030" s="841"/>
      <c r="P1030" s="841"/>
      <c r="Q1030" s="841"/>
      <c r="R1030" s="841"/>
      <c r="S1030" s="841"/>
      <c r="T1030" s="841"/>
      <c r="U1030" s="841"/>
      <c r="V1030" s="841"/>
      <c r="W1030" s="841"/>
      <c r="X1030" s="841"/>
      <c r="Y1030" s="841"/>
      <c r="Z1030" s="1226"/>
      <c r="AA1030" s="1226"/>
      <c r="AB1030" s="1226"/>
      <c r="AC1030" s="1226"/>
      <c r="AD1030" s="1226"/>
      <c r="AE1030" s="1226"/>
      <c r="AF1030" s="1226"/>
      <c r="AG1030" s="1226"/>
      <c r="AH1030" s="1226"/>
      <c r="AI1030" s="841"/>
      <c r="AJ1030" s="841"/>
      <c r="AK1030" s="841"/>
      <c r="AL1030" s="841"/>
      <c r="AM1030" s="841"/>
      <c r="AN1030" s="841"/>
      <c r="AO1030" s="841"/>
      <c r="AP1030" s="841"/>
      <c r="AQ1030" s="841"/>
      <c r="AR1030" s="841"/>
      <c r="AS1030" s="842"/>
    </row>
    <row r="1031" spans="1:45">
      <c r="A1031" s="841"/>
      <c r="B1031" s="841"/>
      <c r="C1031" s="841"/>
      <c r="D1031" s="841"/>
      <c r="E1031" s="841"/>
      <c r="F1031" s="841"/>
      <c r="G1031" s="841"/>
      <c r="H1031" s="841"/>
      <c r="I1031" s="841"/>
      <c r="J1031" s="841"/>
      <c r="K1031" s="841"/>
      <c r="L1031" s="841"/>
      <c r="M1031" s="841"/>
      <c r="N1031" s="841"/>
      <c r="O1031" s="841"/>
      <c r="P1031" s="841"/>
      <c r="Q1031" s="841"/>
      <c r="R1031" s="841"/>
      <c r="S1031" s="841"/>
      <c r="T1031" s="841"/>
      <c r="U1031" s="841"/>
      <c r="V1031" s="841"/>
      <c r="W1031" s="841"/>
      <c r="X1031" s="841"/>
      <c r="Y1031" s="841"/>
      <c r="Z1031" s="1226"/>
      <c r="AA1031" s="1226"/>
      <c r="AB1031" s="1226"/>
      <c r="AC1031" s="1226"/>
      <c r="AD1031" s="1226"/>
      <c r="AE1031" s="1226"/>
      <c r="AF1031" s="1226"/>
      <c r="AG1031" s="1226"/>
      <c r="AH1031" s="1226"/>
      <c r="AI1031" s="841"/>
      <c r="AJ1031" s="841"/>
      <c r="AK1031" s="841"/>
      <c r="AL1031" s="841"/>
      <c r="AM1031" s="841"/>
      <c r="AN1031" s="841"/>
      <c r="AO1031" s="841"/>
      <c r="AP1031" s="841"/>
      <c r="AQ1031" s="841"/>
      <c r="AR1031" s="841"/>
      <c r="AS1031" s="842"/>
    </row>
    <row r="1032" spans="1:45">
      <c r="A1032" s="841"/>
      <c r="B1032" s="841"/>
      <c r="C1032" s="841"/>
      <c r="D1032" s="841"/>
      <c r="E1032" s="841"/>
      <c r="F1032" s="841"/>
      <c r="G1032" s="841"/>
      <c r="H1032" s="841"/>
      <c r="I1032" s="841"/>
      <c r="J1032" s="841"/>
      <c r="K1032" s="841"/>
      <c r="L1032" s="841"/>
      <c r="M1032" s="841"/>
      <c r="N1032" s="841"/>
      <c r="O1032" s="841"/>
      <c r="P1032" s="841"/>
      <c r="Q1032" s="841"/>
      <c r="R1032" s="841"/>
      <c r="S1032" s="841"/>
      <c r="T1032" s="841"/>
      <c r="U1032" s="841"/>
      <c r="V1032" s="841"/>
      <c r="W1032" s="841"/>
      <c r="X1032" s="841"/>
      <c r="Y1032" s="841"/>
      <c r="Z1032" s="1226"/>
      <c r="AA1032" s="1226"/>
      <c r="AB1032" s="1226"/>
      <c r="AC1032" s="1226"/>
      <c r="AD1032" s="1226"/>
      <c r="AE1032" s="1226"/>
      <c r="AF1032" s="1226"/>
      <c r="AG1032" s="1226"/>
      <c r="AH1032" s="1226"/>
      <c r="AI1032" s="841"/>
      <c r="AJ1032" s="841"/>
      <c r="AK1032" s="841"/>
      <c r="AL1032" s="841"/>
      <c r="AM1032" s="841"/>
      <c r="AN1032" s="841"/>
      <c r="AO1032" s="841"/>
      <c r="AP1032" s="841"/>
      <c r="AQ1032" s="841"/>
      <c r="AR1032" s="841"/>
      <c r="AS1032" s="842"/>
    </row>
    <row r="1033" spans="1:45">
      <c r="A1033" s="841"/>
      <c r="B1033" s="841"/>
      <c r="C1033" s="841"/>
      <c r="D1033" s="841"/>
      <c r="E1033" s="841"/>
      <c r="F1033" s="841"/>
      <c r="G1033" s="841"/>
      <c r="H1033" s="841"/>
      <c r="I1033" s="841"/>
      <c r="J1033" s="841"/>
      <c r="K1033" s="841"/>
      <c r="L1033" s="841"/>
      <c r="M1033" s="841"/>
      <c r="N1033" s="841"/>
      <c r="O1033" s="841"/>
      <c r="P1033" s="841"/>
      <c r="Q1033" s="841"/>
      <c r="R1033" s="841"/>
      <c r="S1033" s="841"/>
      <c r="T1033" s="841"/>
      <c r="U1033" s="841"/>
      <c r="V1033" s="841"/>
      <c r="W1033" s="841"/>
      <c r="X1033" s="841"/>
      <c r="Y1033" s="841"/>
      <c r="Z1033" s="1226"/>
      <c r="AA1033" s="1226"/>
      <c r="AB1033" s="1226"/>
      <c r="AC1033" s="1226"/>
      <c r="AD1033" s="1226"/>
      <c r="AE1033" s="1226"/>
      <c r="AF1033" s="1226"/>
      <c r="AG1033" s="1226"/>
      <c r="AH1033" s="1226"/>
      <c r="AI1033" s="841"/>
      <c r="AJ1033" s="841"/>
      <c r="AK1033" s="841"/>
      <c r="AL1033" s="841"/>
      <c r="AM1033" s="841"/>
      <c r="AN1033" s="841"/>
      <c r="AO1033" s="841"/>
      <c r="AP1033" s="841"/>
      <c r="AQ1033" s="841"/>
      <c r="AR1033" s="841"/>
      <c r="AS1033" s="842"/>
    </row>
    <row r="1034" spans="1:45">
      <c r="A1034" s="841"/>
      <c r="B1034" s="841"/>
      <c r="C1034" s="841"/>
      <c r="D1034" s="841"/>
      <c r="E1034" s="841"/>
      <c r="F1034" s="841"/>
      <c r="G1034" s="841"/>
      <c r="H1034" s="841"/>
      <c r="I1034" s="841"/>
      <c r="J1034" s="841"/>
      <c r="K1034" s="841"/>
      <c r="L1034" s="841"/>
      <c r="M1034" s="841"/>
      <c r="N1034" s="841"/>
      <c r="O1034" s="841"/>
      <c r="P1034" s="841"/>
      <c r="Q1034" s="841"/>
      <c r="R1034" s="841"/>
      <c r="S1034" s="841"/>
      <c r="T1034" s="841"/>
      <c r="U1034" s="841"/>
      <c r="V1034" s="841"/>
      <c r="W1034" s="841"/>
      <c r="X1034" s="841"/>
      <c r="Y1034" s="841"/>
      <c r="Z1034" s="1226"/>
      <c r="AA1034" s="1226"/>
      <c r="AB1034" s="1226"/>
      <c r="AC1034" s="1226"/>
      <c r="AD1034" s="1226"/>
      <c r="AE1034" s="1226"/>
      <c r="AF1034" s="1226"/>
      <c r="AG1034" s="1226"/>
      <c r="AH1034" s="1226"/>
      <c r="AI1034" s="841"/>
      <c r="AJ1034" s="841"/>
      <c r="AK1034" s="841"/>
      <c r="AL1034" s="841"/>
      <c r="AM1034" s="841"/>
      <c r="AN1034" s="841"/>
      <c r="AO1034" s="841"/>
      <c r="AP1034" s="841"/>
      <c r="AQ1034" s="841"/>
      <c r="AR1034" s="841"/>
      <c r="AS1034" s="842"/>
    </row>
    <row r="1035" spans="1:45">
      <c r="A1035" s="841"/>
      <c r="B1035" s="841"/>
      <c r="C1035" s="841"/>
      <c r="D1035" s="841"/>
      <c r="E1035" s="841"/>
      <c r="F1035" s="841"/>
      <c r="G1035" s="841"/>
      <c r="H1035" s="841"/>
      <c r="I1035" s="841"/>
      <c r="J1035" s="841"/>
      <c r="K1035" s="841"/>
      <c r="L1035" s="841"/>
      <c r="M1035" s="841"/>
      <c r="N1035" s="841"/>
      <c r="O1035" s="841"/>
      <c r="P1035" s="841"/>
      <c r="Q1035" s="841"/>
      <c r="R1035" s="841"/>
      <c r="S1035" s="841"/>
      <c r="T1035" s="841"/>
      <c r="U1035" s="841"/>
      <c r="V1035" s="841"/>
      <c r="W1035" s="841"/>
      <c r="X1035" s="841"/>
      <c r="Y1035" s="841"/>
      <c r="Z1035" s="1226"/>
      <c r="AA1035" s="1226"/>
      <c r="AB1035" s="1226"/>
      <c r="AC1035" s="1226"/>
      <c r="AD1035" s="1226"/>
      <c r="AE1035" s="1226"/>
      <c r="AF1035" s="1226"/>
      <c r="AG1035" s="1226"/>
      <c r="AH1035" s="1226"/>
      <c r="AI1035" s="841"/>
      <c r="AJ1035" s="841"/>
      <c r="AK1035" s="841"/>
      <c r="AL1035" s="841"/>
      <c r="AM1035" s="841"/>
      <c r="AN1035" s="841"/>
      <c r="AO1035" s="841"/>
      <c r="AP1035" s="841"/>
      <c r="AQ1035" s="841"/>
      <c r="AR1035" s="841"/>
      <c r="AS1035" s="842"/>
    </row>
    <row r="1036" spans="1:45">
      <c r="A1036" s="841"/>
      <c r="B1036" s="841"/>
      <c r="C1036" s="841"/>
      <c r="D1036" s="841"/>
      <c r="E1036" s="841"/>
      <c r="F1036" s="841"/>
      <c r="G1036" s="841"/>
      <c r="H1036" s="841"/>
      <c r="I1036" s="841"/>
      <c r="J1036" s="841"/>
      <c r="K1036" s="841"/>
      <c r="L1036" s="841"/>
      <c r="M1036" s="841"/>
      <c r="N1036" s="841"/>
      <c r="O1036" s="841"/>
      <c r="P1036" s="841"/>
      <c r="Q1036" s="841"/>
      <c r="R1036" s="841"/>
      <c r="S1036" s="841"/>
      <c r="T1036" s="841"/>
      <c r="U1036" s="841"/>
      <c r="V1036" s="841"/>
      <c r="W1036" s="841"/>
      <c r="X1036" s="841"/>
      <c r="Y1036" s="841"/>
      <c r="Z1036" s="1226"/>
      <c r="AA1036" s="1226"/>
      <c r="AB1036" s="1226"/>
      <c r="AC1036" s="1226"/>
      <c r="AD1036" s="1226"/>
      <c r="AE1036" s="1226"/>
      <c r="AF1036" s="1226"/>
      <c r="AG1036" s="1226"/>
      <c r="AH1036" s="1226"/>
      <c r="AI1036" s="841"/>
      <c r="AJ1036" s="841"/>
      <c r="AK1036" s="841"/>
      <c r="AL1036" s="841"/>
      <c r="AM1036" s="841"/>
      <c r="AN1036" s="841"/>
      <c r="AO1036" s="841"/>
      <c r="AP1036" s="841"/>
      <c r="AQ1036" s="841"/>
      <c r="AR1036" s="841"/>
      <c r="AS1036" s="842"/>
    </row>
    <row r="1037" spans="1:45">
      <c r="A1037" s="841"/>
      <c r="B1037" s="841"/>
      <c r="C1037" s="841"/>
      <c r="D1037" s="841"/>
      <c r="E1037" s="841"/>
      <c r="F1037" s="841"/>
      <c r="G1037" s="841"/>
      <c r="H1037" s="841"/>
      <c r="I1037" s="841"/>
      <c r="J1037" s="841"/>
      <c r="K1037" s="841"/>
      <c r="L1037" s="841"/>
      <c r="M1037" s="841"/>
      <c r="N1037" s="841"/>
      <c r="O1037" s="841"/>
      <c r="P1037" s="841"/>
      <c r="Q1037" s="841"/>
      <c r="R1037" s="841"/>
      <c r="S1037" s="841"/>
      <c r="T1037" s="841"/>
      <c r="U1037" s="841"/>
      <c r="V1037" s="841"/>
      <c r="W1037" s="841"/>
      <c r="X1037" s="841"/>
      <c r="Y1037" s="841"/>
      <c r="Z1037" s="1226"/>
      <c r="AA1037" s="1226"/>
      <c r="AB1037" s="1226"/>
      <c r="AC1037" s="1226"/>
      <c r="AD1037" s="1226"/>
      <c r="AE1037" s="1226"/>
      <c r="AF1037" s="1226"/>
      <c r="AG1037" s="1226"/>
      <c r="AH1037" s="1226"/>
      <c r="AI1037" s="841"/>
      <c r="AJ1037" s="841"/>
      <c r="AK1037" s="841"/>
      <c r="AL1037" s="841"/>
      <c r="AM1037" s="841"/>
      <c r="AN1037" s="841"/>
      <c r="AO1037" s="841"/>
      <c r="AP1037" s="841"/>
      <c r="AQ1037" s="841"/>
      <c r="AR1037" s="841"/>
      <c r="AS1037" s="842"/>
    </row>
    <row r="1038" spans="1:45">
      <c r="A1038" s="841"/>
      <c r="B1038" s="841"/>
      <c r="C1038" s="841"/>
      <c r="D1038" s="841"/>
      <c r="E1038" s="841"/>
      <c r="F1038" s="841"/>
      <c r="G1038" s="841"/>
      <c r="H1038" s="841"/>
      <c r="I1038" s="841"/>
      <c r="J1038" s="841"/>
      <c r="K1038" s="841"/>
      <c r="L1038" s="841"/>
      <c r="M1038" s="841"/>
      <c r="N1038" s="841"/>
      <c r="O1038" s="841"/>
      <c r="P1038" s="841"/>
      <c r="Q1038" s="841"/>
      <c r="R1038" s="841"/>
      <c r="S1038" s="841"/>
      <c r="T1038" s="841"/>
      <c r="U1038" s="841"/>
      <c r="V1038" s="841"/>
      <c r="W1038" s="841"/>
      <c r="X1038" s="841"/>
      <c r="Y1038" s="841"/>
      <c r="Z1038" s="1226"/>
      <c r="AA1038" s="1226"/>
      <c r="AB1038" s="1226"/>
      <c r="AC1038" s="1226"/>
      <c r="AD1038" s="1226"/>
      <c r="AE1038" s="1226"/>
      <c r="AF1038" s="1226"/>
      <c r="AG1038" s="1226"/>
      <c r="AH1038" s="1226"/>
      <c r="AI1038" s="841"/>
      <c r="AJ1038" s="841"/>
      <c r="AK1038" s="841"/>
      <c r="AL1038" s="841"/>
      <c r="AM1038" s="841"/>
      <c r="AN1038" s="841"/>
      <c r="AO1038" s="841"/>
      <c r="AP1038" s="841"/>
      <c r="AQ1038" s="841"/>
      <c r="AR1038" s="841"/>
      <c r="AS1038" s="842"/>
    </row>
    <row r="1039" spans="1:45">
      <c r="A1039" s="841"/>
      <c r="B1039" s="841"/>
      <c r="C1039" s="841"/>
      <c r="D1039" s="841"/>
      <c r="E1039" s="841"/>
      <c r="F1039" s="841"/>
      <c r="G1039" s="841"/>
      <c r="H1039" s="841"/>
      <c r="I1039" s="841"/>
      <c r="J1039" s="841"/>
      <c r="K1039" s="841"/>
      <c r="L1039" s="841"/>
      <c r="M1039" s="841"/>
      <c r="N1039" s="841"/>
      <c r="O1039" s="841"/>
      <c r="P1039" s="841"/>
      <c r="Q1039" s="841"/>
      <c r="R1039" s="841"/>
      <c r="S1039" s="841"/>
      <c r="T1039" s="841"/>
      <c r="U1039" s="841"/>
      <c r="V1039" s="841"/>
      <c r="W1039" s="841"/>
      <c r="X1039" s="841"/>
      <c r="Y1039" s="841"/>
      <c r="Z1039" s="1226"/>
      <c r="AA1039" s="1226"/>
      <c r="AB1039" s="1226"/>
      <c r="AC1039" s="1226"/>
      <c r="AD1039" s="1226"/>
      <c r="AE1039" s="1226"/>
      <c r="AF1039" s="1226"/>
      <c r="AG1039" s="1226"/>
      <c r="AH1039" s="1226"/>
      <c r="AI1039" s="841"/>
      <c r="AJ1039" s="841"/>
      <c r="AK1039" s="841"/>
      <c r="AL1039" s="841"/>
      <c r="AM1039" s="841"/>
      <c r="AN1039" s="841"/>
      <c r="AO1039" s="841"/>
      <c r="AP1039" s="841"/>
      <c r="AQ1039" s="841"/>
      <c r="AR1039" s="841"/>
      <c r="AS1039" s="842"/>
    </row>
    <row r="1040" spans="1:45">
      <c r="A1040" s="841"/>
      <c r="B1040" s="841"/>
      <c r="C1040" s="841"/>
      <c r="D1040" s="841"/>
      <c r="E1040" s="841"/>
      <c r="F1040" s="841"/>
      <c r="G1040" s="841"/>
      <c r="H1040" s="841"/>
      <c r="I1040" s="841"/>
      <c r="J1040" s="841"/>
      <c r="K1040" s="841"/>
      <c r="L1040" s="841"/>
      <c r="M1040" s="841"/>
      <c r="N1040" s="841"/>
      <c r="O1040" s="841"/>
      <c r="P1040" s="841"/>
      <c r="Q1040" s="841"/>
      <c r="R1040" s="841"/>
      <c r="S1040" s="841"/>
      <c r="T1040" s="841"/>
      <c r="U1040" s="841"/>
      <c r="V1040" s="841"/>
      <c r="W1040" s="841"/>
      <c r="X1040" s="841"/>
      <c r="Y1040" s="841"/>
      <c r="Z1040" s="1226"/>
      <c r="AA1040" s="1226"/>
      <c r="AB1040" s="1226"/>
      <c r="AC1040" s="1226"/>
      <c r="AD1040" s="1226"/>
      <c r="AE1040" s="1226"/>
      <c r="AF1040" s="1226"/>
      <c r="AG1040" s="1226"/>
      <c r="AH1040" s="1226"/>
      <c r="AI1040" s="841"/>
      <c r="AJ1040" s="841"/>
      <c r="AK1040" s="841"/>
      <c r="AL1040" s="841"/>
      <c r="AM1040" s="841"/>
      <c r="AN1040" s="841"/>
      <c r="AO1040" s="841"/>
      <c r="AP1040" s="841"/>
      <c r="AQ1040" s="841"/>
      <c r="AR1040" s="841"/>
      <c r="AS1040" s="842"/>
    </row>
    <row r="1041" spans="1:45">
      <c r="A1041" s="841"/>
      <c r="B1041" s="841"/>
      <c r="C1041" s="841"/>
      <c r="D1041" s="841"/>
      <c r="E1041" s="841"/>
      <c r="F1041" s="841"/>
      <c r="G1041" s="841"/>
      <c r="H1041" s="841"/>
      <c r="I1041" s="841"/>
      <c r="J1041" s="841"/>
      <c r="K1041" s="841"/>
      <c r="L1041" s="841"/>
      <c r="M1041" s="841"/>
      <c r="N1041" s="841"/>
      <c r="O1041" s="841"/>
      <c r="P1041" s="841"/>
      <c r="Q1041" s="841"/>
      <c r="R1041" s="841"/>
      <c r="S1041" s="841"/>
      <c r="T1041" s="841"/>
      <c r="U1041" s="841"/>
      <c r="V1041" s="841"/>
      <c r="W1041" s="841"/>
      <c r="X1041" s="841"/>
      <c r="Y1041" s="841"/>
      <c r="Z1041" s="1226"/>
      <c r="AA1041" s="1226"/>
      <c r="AB1041" s="1226"/>
      <c r="AC1041" s="1226"/>
      <c r="AD1041" s="1226"/>
      <c r="AE1041" s="1226"/>
      <c r="AF1041" s="1226"/>
      <c r="AG1041" s="1226"/>
      <c r="AH1041" s="1226"/>
      <c r="AI1041" s="841"/>
      <c r="AJ1041" s="841"/>
      <c r="AK1041" s="841"/>
      <c r="AL1041" s="841"/>
      <c r="AM1041" s="841"/>
      <c r="AN1041" s="841"/>
      <c r="AO1041" s="841"/>
      <c r="AP1041" s="841"/>
      <c r="AQ1041" s="841"/>
      <c r="AR1041" s="841"/>
      <c r="AS1041" s="842"/>
    </row>
    <row r="1042" spans="1:45">
      <c r="A1042" s="841"/>
      <c r="B1042" s="841"/>
      <c r="C1042" s="841"/>
      <c r="D1042" s="841"/>
      <c r="E1042" s="841"/>
      <c r="F1042" s="841"/>
      <c r="G1042" s="841"/>
      <c r="H1042" s="841"/>
      <c r="I1042" s="841"/>
      <c r="J1042" s="841"/>
      <c r="K1042" s="841"/>
      <c r="L1042" s="841"/>
      <c r="M1042" s="841"/>
      <c r="N1042" s="841"/>
      <c r="O1042" s="841"/>
      <c r="P1042" s="841"/>
      <c r="Q1042" s="841"/>
      <c r="R1042" s="841"/>
      <c r="S1042" s="841"/>
      <c r="T1042" s="841"/>
      <c r="U1042" s="841"/>
      <c r="V1042" s="841"/>
      <c r="W1042" s="841"/>
      <c r="X1042" s="841"/>
      <c r="Y1042" s="841"/>
      <c r="Z1042" s="1226"/>
      <c r="AA1042" s="1226"/>
      <c r="AB1042" s="1226"/>
      <c r="AC1042" s="1226"/>
      <c r="AD1042" s="1226"/>
      <c r="AE1042" s="1226"/>
      <c r="AF1042" s="1226"/>
      <c r="AG1042" s="1226"/>
      <c r="AH1042" s="1226"/>
      <c r="AI1042" s="841"/>
      <c r="AJ1042" s="841"/>
      <c r="AK1042" s="841"/>
      <c r="AL1042" s="841"/>
      <c r="AM1042" s="841"/>
      <c r="AN1042" s="841"/>
      <c r="AO1042" s="841"/>
      <c r="AP1042" s="841"/>
      <c r="AQ1042" s="841"/>
      <c r="AR1042" s="841"/>
      <c r="AS1042" s="842"/>
    </row>
    <row r="1043" spans="1:45">
      <c r="A1043" s="841"/>
      <c r="B1043" s="841"/>
      <c r="C1043" s="841"/>
      <c r="D1043" s="841"/>
      <c r="E1043" s="841"/>
      <c r="F1043" s="841"/>
      <c r="G1043" s="841"/>
      <c r="H1043" s="841"/>
      <c r="I1043" s="841"/>
      <c r="J1043" s="841"/>
      <c r="K1043" s="841"/>
      <c r="L1043" s="841"/>
      <c r="M1043" s="841"/>
      <c r="N1043" s="841"/>
      <c r="O1043" s="841"/>
      <c r="P1043" s="841"/>
      <c r="Q1043" s="841"/>
      <c r="R1043" s="841"/>
      <c r="S1043" s="841"/>
      <c r="T1043" s="841"/>
      <c r="U1043" s="841"/>
      <c r="V1043" s="841"/>
      <c r="W1043" s="841"/>
      <c r="X1043" s="841"/>
      <c r="Y1043" s="841"/>
      <c r="Z1043" s="1226"/>
      <c r="AA1043" s="1226"/>
      <c r="AB1043" s="1226"/>
      <c r="AC1043" s="1226"/>
      <c r="AD1043" s="1226"/>
      <c r="AE1043" s="1226"/>
      <c r="AF1043" s="1226"/>
      <c r="AG1043" s="1226"/>
      <c r="AH1043" s="1226"/>
      <c r="AI1043" s="841"/>
      <c r="AJ1043" s="841"/>
      <c r="AK1043" s="841"/>
      <c r="AL1043" s="841"/>
      <c r="AM1043" s="841"/>
      <c r="AN1043" s="841"/>
      <c r="AO1043" s="841"/>
      <c r="AP1043" s="841"/>
      <c r="AQ1043" s="841"/>
      <c r="AR1043" s="841"/>
      <c r="AS1043" s="842"/>
    </row>
    <row r="1044" spans="1:45">
      <c r="A1044" s="841"/>
      <c r="B1044" s="841"/>
      <c r="C1044" s="841"/>
      <c r="D1044" s="841"/>
      <c r="E1044" s="841"/>
      <c r="F1044" s="841"/>
      <c r="G1044" s="841"/>
      <c r="H1044" s="841"/>
      <c r="I1044" s="841"/>
      <c r="J1044" s="841"/>
      <c r="K1044" s="841"/>
      <c r="L1044" s="841"/>
      <c r="M1044" s="841"/>
      <c r="N1044" s="841"/>
      <c r="O1044" s="841"/>
      <c r="P1044" s="841"/>
      <c r="Q1044" s="841"/>
      <c r="R1044" s="841"/>
      <c r="S1044" s="841"/>
      <c r="T1044" s="841"/>
      <c r="U1044" s="841"/>
      <c r="V1044" s="841"/>
      <c r="W1044" s="841"/>
      <c r="X1044" s="841"/>
      <c r="Y1044" s="841"/>
      <c r="Z1044" s="1226"/>
      <c r="AA1044" s="1226"/>
      <c r="AB1044" s="1226"/>
      <c r="AC1044" s="1226"/>
      <c r="AD1044" s="1226"/>
      <c r="AE1044" s="1226"/>
      <c r="AF1044" s="1226"/>
      <c r="AG1044" s="1226"/>
      <c r="AH1044" s="1226"/>
      <c r="AI1044" s="841"/>
      <c r="AJ1044" s="841"/>
      <c r="AK1044" s="841"/>
      <c r="AL1044" s="841"/>
      <c r="AM1044" s="841"/>
      <c r="AN1044" s="841"/>
      <c r="AO1044" s="841"/>
      <c r="AP1044" s="841"/>
      <c r="AQ1044" s="841"/>
      <c r="AR1044" s="841"/>
      <c r="AS1044" s="842"/>
    </row>
    <row r="1045" spans="1:45">
      <c r="A1045" s="841"/>
      <c r="B1045" s="841"/>
      <c r="C1045" s="841"/>
      <c r="D1045" s="841"/>
      <c r="E1045" s="841"/>
      <c r="F1045" s="841"/>
      <c r="G1045" s="841"/>
      <c r="H1045" s="841"/>
      <c r="I1045" s="841"/>
      <c r="J1045" s="841"/>
      <c r="K1045" s="841"/>
      <c r="L1045" s="841"/>
      <c r="M1045" s="841"/>
      <c r="N1045" s="841"/>
      <c r="O1045" s="841"/>
      <c r="P1045" s="841"/>
      <c r="Q1045" s="841"/>
      <c r="R1045" s="841"/>
      <c r="S1045" s="841"/>
      <c r="T1045" s="841"/>
      <c r="U1045" s="841"/>
      <c r="V1045" s="841"/>
      <c r="W1045" s="841"/>
      <c r="X1045" s="841"/>
      <c r="Y1045" s="841"/>
      <c r="Z1045" s="1226"/>
      <c r="AA1045" s="1226"/>
      <c r="AB1045" s="1226"/>
      <c r="AC1045" s="1226"/>
      <c r="AD1045" s="1226"/>
      <c r="AE1045" s="1226"/>
      <c r="AF1045" s="1226"/>
      <c r="AG1045" s="1226"/>
      <c r="AH1045" s="1226"/>
      <c r="AI1045" s="841"/>
      <c r="AJ1045" s="841"/>
      <c r="AK1045" s="841"/>
      <c r="AL1045" s="841"/>
      <c r="AM1045" s="841"/>
      <c r="AN1045" s="841"/>
      <c r="AO1045" s="841"/>
      <c r="AP1045" s="841"/>
      <c r="AQ1045" s="841"/>
      <c r="AR1045" s="841"/>
      <c r="AS1045" s="842"/>
    </row>
    <row r="1046" spans="1:45">
      <c r="A1046" s="841"/>
      <c r="B1046" s="841"/>
      <c r="C1046" s="841"/>
      <c r="D1046" s="841"/>
      <c r="E1046" s="841"/>
      <c r="F1046" s="841"/>
      <c r="G1046" s="841"/>
      <c r="H1046" s="841"/>
      <c r="I1046" s="841"/>
      <c r="J1046" s="841"/>
      <c r="K1046" s="841"/>
      <c r="L1046" s="841"/>
      <c r="M1046" s="841"/>
      <c r="N1046" s="841"/>
      <c r="O1046" s="841"/>
      <c r="P1046" s="841"/>
      <c r="Q1046" s="841"/>
      <c r="R1046" s="841"/>
      <c r="S1046" s="841"/>
      <c r="T1046" s="841"/>
      <c r="U1046" s="841"/>
      <c r="V1046" s="841"/>
      <c r="W1046" s="841"/>
      <c r="X1046" s="841"/>
      <c r="Y1046" s="841"/>
      <c r="Z1046" s="1226"/>
      <c r="AA1046" s="1226"/>
      <c r="AB1046" s="1226"/>
      <c r="AC1046" s="1226"/>
      <c r="AD1046" s="1226"/>
      <c r="AE1046" s="1226"/>
      <c r="AF1046" s="1226"/>
      <c r="AG1046" s="1226"/>
      <c r="AH1046" s="1226"/>
      <c r="AI1046" s="841"/>
      <c r="AJ1046" s="841"/>
      <c r="AK1046" s="841"/>
      <c r="AL1046" s="841"/>
      <c r="AM1046" s="841"/>
      <c r="AN1046" s="841"/>
      <c r="AO1046" s="841"/>
      <c r="AP1046" s="841"/>
      <c r="AQ1046" s="841"/>
      <c r="AR1046" s="841"/>
      <c r="AS1046" s="842"/>
    </row>
    <row r="1047" spans="1:45">
      <c r="A1047" s="841"/>
      <c r="B1047" s="841"/>
      <c r="C1047" s="841"/>
      <c r="D1047" s="841"/>
      <c r="E1047" s="841"/>
      <c r="F1047" s="841"/>
      <c r="G1047" s="841"/>
      <c r="H1047" s="841"/>
      <c r="I1047" s="841"/>
      <c r="J1047" s="841"/>
      <c r="K1047" s="841"/>
      <c r="L1047" s="841"/>
      <c r="M1047" s="841"/>
      <c r="N1047" s="841"/>
      <c r="O1047" s="841"/>
      <c r="P1047" s="841"/>
      <c r="Q1047" s="841"/>
      <c r="R1047" s="841"/>
      <c r="S1047" s="841"/>
      <c r="T1047" s="841"/>
      <c r="U1047" s="841"/>
      <c r="V1047" s="841"/>
      <c r="W1047" s="841"/>
      <c r="X1047" s="841"/>
      <c r="Y1047" s="841"/>
      <c r="Z1047" s="1226"/>
      <c r="AA1047" s="1226"/>
      <c r="AB1047" s="1226"/>
      <c r="AC1047" s="1226"/>
      <c r="AD1047" s="1226"/>
      <c r="AE1047" s="1226"/>
      <c r="AF1047" s="1226"/>
      <c r="AG1047" s="1226"/>
      <c r="AH1047" s="1226"/>
      <c r="AI1047" s="841"/>
      <c r="AJ1047" s="841"/>
      <c r="AK1047" s="841"/>
      <c r="AL1047" s="841"/>
      <c r="AM1047" s="841"/>
      <c r="AN1047" s="841"/>
      <c r="AO1047" s="841"/>
      <c r="AP1047" s="841"/>
      <c r="AQ1047" s="841"/>
      <c r="AR1047" s="841"/>
      <c r="AS1047" s="842"/>
    </row>
    <row r="1048" spans="1:45">
      <c r="A1048" s="841"/>
      <c r="B1048" s="841"/>
      <c r="C1048" s="841"/>
      <c r="D1048" s="841"/>
      <c r="E1048" s="841"/>
      <c r="F1048" s="841"/>
      <c r="G1048" s="841"/>
      <c r="H1048" s="841"/>
      <c r="I1048" s="841"/>
      <c r="J1048" s="841"/>
      <c r="K1048" s="841"/>
      <c r="L1048" s="841"/>
      <c r="M1048" s="841"/>
      <c r="N1048" s="841"/>
      <c r="O1048" s="841"/>
      <c r="P1048" s="841"/>
      <c r="Q1048" s="841"/>
      <c r="R1048" s="841"/>
      <c r="S1048" s="841"/>
      <c r="T1048" s="841"/>
      <c r="U1048" s="841"/>
      <c r="V1048" s="841"/>
      <c r="W1048" s="841"/>
      <c r="X1048" s="841"/>
      <c r="Y1048" s="841"/>
      <c r="Z1048" s="1226"/>
      <c r="AA1048" s="1226"/>
      <c r="AB1048" s="1226"/>
      <c r="AC1048" s="1226"/>
      <c r="AD1048" s="1226"/>
      <c r="AE1048" s="1226"/>
      <c r="AF1048" s="1226"/>
      <c r="AG1048" s="1226"/>
      <c r="AH1048" s="1226"/>
      <c r="AI1048" s="841"/>
      <c r="AJ1048" s="841"/>
      <c r="AK1048" s="841"/>
      <c r="AL1048" s="841"/>
      <c r="AM1048" s="841"/>
      <c r="AN1048" s="841"/>
      <c r="AO1048" s="841"/>
      <c r="AP1048" s="841"/>
      <c r="AQ1048" s="841"/>
      <c r="AR1048" s="841"/>
      <c r="AS1048" s="842"/>
    </row>
    <row r="1049" spans="1:45">
      <c r="A1049" s="841"/>
      <c r="B1049" s="841"/>
      <c r="C1049" s="841"/>
      <c r="D1049" s="841"/>
      <c r="E1049" s="841"/>
      <c r="F1049" s="841"/>
      <c r="G1049" s="841"/>
      <c r="H1049" s="841"/>
      <c r="I1049" s="841"/>
      <c r="J1049" s="841"/>
      <c r="K1049" s="841"/>
      <c r="L1049" s="841"/>
      <c r="M1049" s="841"/>
      <c r="N1049" s="841"/>
      <c r="O1049" s="841"/>
      <c r="P1049" s="841"/>
      <c r="Q1049" s="841"/>
      <c r="R1049" s="841"/>
      <c r="S1049" s="841"/>
      <c r="T1049" s="841"/>
      <c r="U1049" s="841"/>
      <c r="V1049" s="841"/>
      <c r="W1049" s="841"/>
      <c r="X1049" s="841"/>
      <c r="Y1049" s="841"/>
      <c r="Z1049" s="1226"/>
      <c r="AA1049" s="1226"/>
      <c r="AB1049" s="1226"/>
      <c r="AC1049" s="1226"/>
      <c r="AD1049" s="1226"/>
      <c r="AE1049" s="1226"/>
      <c r="AF1049" s="1226"/>
      <c r="AG1049" s="1226"/>
      <c r="AH1049" s="1226"/>
      <c r="AI1049" s="841"/>
      <c r="AJ1049" s="841"/>
      <c r="AK1049" s="841"/>
      <c r="AL1049" s="841"/>
      <c r="AM1049" s="841"/>
      <c r="AN1049" s="841"/>
      <c r="AO1049" s="841"/>
      <c r="AP1049" s="841"/>
      <c r="AQ1049" s="841"/>
      <c r="AR1049" s="841"/>
      <c r="AS1049" s="842"/>
    </row>
    <row r="1050" spans="1:45">
      <c r="A1050" s="841"/>
      <c r="B1050" s="841"/>
      <c r="C1050" s="841"/>
      <c r="D1050" s="841"/>
      <c r="E1050" s="841"/>
      <c r="F1050" s="841"/>
      <c r="G1050" s="841"/>
      <c r="H1050" s="841"/>
      <c r="I1050" s="841"/>
      <c r="J1050" s="841"/>
      <c r="K1050" s="841"/>
      <c r="L1050" s="841"/>
      <c r="M1050" s="841"/>
      <c r="N1050" s="841"/>
      <c r="O1050" s="841"/>
      <c r="P1050" s="841"/>
      <c r="Q1050" s="841"/>
      <c r="R1050" s="841"/>
      <c r="S1050" s="841"/>
      <c r="T1050" s="841"/>
      <c r="U1050" s="841"/>
      <c r="V1050" s="841"/>
      <c r="W1050" s="841"/>
      <c r="X1050" s="841"/>
      <c r="Y1050" s="841"/>
      <c r="Z1050" s="1226"/>
      <c r="AA1050" s="1226"/>
      <c r="AB1050" s="1226"/>
      <c r="AC1050" s="1226"/>
      <c r="AD1050" s="1226"/>
      <c r="AE1050" s="1226"/>
      <c r="AF1050" s="1226"/>
      <c r="AG1050" s="1226"/>
      <c r="AH1050" s="1226"/>
      <c r="AI1050" s="841"/>
      <c r="AJ1050" s="841"/>
      <c r="AK1050" s="841"/>
      <c r="AL1050" s="841"/>
      <c r="AM1050" s="841"/>
      <c r="AN1050" s="841"/>
      <c r="AO1050" s="841"/>
      <c r="AP1050" s="841"/>
      <c r="AQ1050" s="841"/>
      <c r="AR1050" s="841"/>
      <c r="AS1050" s="842"/>
    </row>
    <row r="1051" spans="1:45">
      <c r="A1051" s="841"/>
      <c r="B1051" s="841"/>
      <c r="C1051" s="841"/>
      <c r="D1051" s="841"/>
      <c r="E1051" s="841"/>
      <c r="F1051" s="841"/>
      <c r="G1051" s="841"/>
      <c r="H1051" s="841"/>
      <c r="I1051" s="841"/>
      <c r="J1051" s="841"/>
      <c r="K1051" s="841"/>
      <c r="L1051" s="841"/>
      <c r="M1051" s="841"/>
      <c r="N1051" s="841"/>
      <c r="O1051" s="841"/>
      <c r="P1051" s="841"/>
      <c r="Q1051" s="841"/>
      <c r="R1051" s="841"/>
      <c r="S1051" s="841"/>
      <c r="T1051" s="841"/>
      <c r="U1051" s="841"/>
      <c r="V1051" s="841"/>
      <c r="W1051" s="841"/>
      <c r="X1051" s="841"/>
      <c r="Y1051" s="841"/>
      <c r="Z1051" s="1226"/>
      <c r="AA1051" s="1226"/>
      <c r="AB1051" s="1226"/>
      <c r="AC1051" s="1226"/>
      <c r="AD1051" s="1226"/>
      <c r="AE1051" s="1226"/>
      <c r="AF1051" s="1226"/>
      <c r="AG1051" s="1226"/>
      <c r="AH1051" s="1226"/>
      <c r="AI1051" s="841"/>
      <c r="AJ1051" s="841"/>
      <c r="AK1051" s="841"/>
      <c r="AL1051" s="841"/>
      <c r="AM1051" s="841"/>
      <c r="AN1051" s="841"/>
      <c r="AO1051" s="841"/>
      <c r="AP1051" s="841"/>
      <c r="AQ1051" s="841"/>
      <c r="AR1051" s="841"/>
      <c r="AS1051" s="842"/>
    </row>
    <row r="1052" spans="1:45">
      <c r="A1052" s="841"/>
      <c r="B1052" s="841"/>
      <c r="C1052" s="841"/>
      <c r="D1052" s="841"/>
      <c r="E1052" s="841"/>
      <c r="F1052" s="841"/>
      <c r="G1052" s="841"/>
      <c r="H1052" s="841"/>
      <c r="I1052" s="841"/>
      <c r="J1052" s="841"/>
      <c r="K1052" s="841"/>
      <c r="L1052" s="841"/>
      <c r="M1052" s="841"/>
      <c r="N1052" s="841"/>
      <c r="O1052" s="841"/>
      <c r="P1052" s="841"/>
      <c r="Q1052" s="841"/>
      <c r="R1052" s="841"/>
      <c r="S1052" s="841"/>
      <c r="T1052" s="841"/>
      <c r="U1052" s="841"/>
      <c r="V1052" s="841"/>
      <c r="W1052" s="841"/>
      <c r="X1052" s="841"/>
      <c r="Y1052" s="841"/>
      <c r="Z1052" s="1226"/>
      <c r="AA1052" s="1226"/>
      <c r="AB1052" s="1226"/>
      <c r="AC1052" s="1226"/>
      <c r="AD1052" s="1226"/>
      <c r="AE1052" s="1226"/>
      <c r="AF1052" s="1226"/>
      <c r="AG1052" s="1226"/>
      <c r="AH1052" s="1226"/>
      <c r="AI1052" s="841"/>
      <c r="AJ1052" s="841"/>
      <c r="AK1052" s="841"/>
      <c r="AL1052" s="841"/>
      <c r="AM1052" s="841"/>
      <c r="AN1052" s="841"/>
      <c r="AO1052" s="841"/>
      <c r="AP1052" s="841"/>
      <c r="AQ1052" s="841"/>
      <c r="AR1052" s="841"/>
      <c r="AS1052" s="842"/>
    </row>
    <row r="1053" spans="1:45">
      <c r="A1053" s="841"/>
      <c r="B1053" s="841"/>
      <c r="C1053" s="841"/>
      <c r="D1053" s="841"/>
      <c r="E1053" s="841"/>
      <c r="F1053" s="841"/>
      <c r="G1053" s="841"/>
      <c r="H1053" s="841"/>
      <c r="I1053" s="841"/>
      <c r="J1053" s="841"/>
      <c r="K1053" s="841"/>
      <c r="L1053" s="841"/>
      <c r="M1053" s="841"/>
      <c r="N1053" s="841"/>
      <c r="O1053" s="841"/>
      <c r="P1053" s="841"/>
      <c r="Q1053" s="841"/>
      <c r="R1053" s="841"/>
      <c r="S1053" s="841"/>
      <c r="T1053" s="841"/>
      <c r="U1053" s="841"/>
      <c r="V1053" s="841"/>
      <c r="W1053" s="841"/>
      <c r="X1053" s="841"/>
      <c r="Y1053" s="841"/>
      <c r="Z1053" s="1226"/>
      <c r="AA1053" s="1226"/>
      <c r="AB1053" s="1226"/>
      <c r="AC1053" s="1226"/>
      <c r="AD1053" s="1226"/>
      <c r="AE1053" s="1226"/>
      <c r="AF1053" s="1226"/>
      <c r="AG1053" s="1226"/>
      <c r="AH1053" s="1226"/>
      <c r="AI1053" s="841"/>
      <c r="AJ1053" s="841"/>
      <c r="AK1053" s="841"/>
      <c r="AL1053" s="841"/>
      <c r="AM1053" s="841"/>
      <c r="AN1053" s="841"/>
      <c r="AO1053" s="841"/>
      <c r="AP1053" s="841"/>
      <c r="AQ1053" s="841"/>
      <c r="AR1053" s="841"/>
      <c r="AS1053" s="842"/>
    </row>
    <row r="1054" spans="1:45">
      <c r="A1054" s="841"/>
      <c r="B1054" s="841"/>
      <c r="C1054" s="841"/>
      <c r="D1054" s="841"/>
      <c r="E1054" s="841"/>
      <c r="F1054" s="841"/>
      <c r="G1054" s="841"/>
      <c r="H1054" s="841"/>
      <c r="I1054" s="841"/>
      <c r="J1054" s="841"/>
      <c r="K1054" s="841"/>
      <c r="L1054" s="841"/>
      <c r="M1054" s="841"/>
      <c r="N1054" s="841"/>
      <c r="O1054" s="841"/>
      <c r="P1054" s="841"/>
      <c r="Q1054" s="841"/>
      <c r="R1054" s="841"/>
      <c r="S1054" s="841"/>
      <c r="T1054" s="841"/>
      <c r="U1054" s="841"/>
      <c r="V1054" s="841"/>
      <c r="W1054" s="841"/>
      <c r="X1054" s="841"/>
      <c r="Y1054" s="841"/>
      <c r="Z1054" s="1226"/>
      <c r="AA1054" s="1226"/>
      <c r="AB1054" s="1226"/>
      <c r="AC1054" s="1226"/>
      <c r="AD1054" s="1226"/>
      <c r="AE1054" s="1226"/>
      <c r="AF1054" s="1226"/>
      <c r="AG1054" s="1226"/>
      <c r="AH1054" s="1226"/>
      <c r="AI1054" s="841"/>
      <c r="AJ1054" s="841"/>
      <c r="AK1054" s="841"/>
      <c r="AL1054" s="841"/>
      <c r="AM1054" s="841"/>
      <c r="AN1054" s="841"/>
      <c r="AO1054" s="841"/>
      <c r="AP1054" s="841"/>
      <c r="AQ1054" s="841"/>
      <c r="AR1054" s="841"/>
      <c r="AS1054" s="842"/>
    </row>
    <row r="1055" spans="1:45">
      <c r="A1055" s="841"/>
      <c r="B1055" s="841"/>
      <c r="C1055" s="841"/>
      <c r="D1055" s="841"/>
      <c r="E1055" s="841"/>
      <c r="F1055" s="841"/>
      <c r="G1055" s="841"/>
      <c r="H1055" s="841"/>
      <c r="I1055" s="841"/>
      <c r="J1055" s="841"/>
      <c r="K1055" s="841"/>
      <c r="L1055" s="841"/>
      <c r="M1055" s="841"/>
      <c r="N1055" s="841"/>
      <c r="O1055" s="841"/>
      <c r="P1055" s="841"/>
      <c r="Q1055" s="841"/>
      <c r="R1055" s="841"/>
      <c r="S1055" s="841"/>
      <c r="T1055" s="841"/>
      <c r="U1055" s="841"/>
      <c r="V1055" s="841"/>
      <c r="W1055" s="841"/>
      <c r="X1055" s="841"/>
      <c r="Y1055" s="841"/>
      <c r="Z1055" s="1226"/>
      <c r="AA1055" s="1226"/>
      <c r="AB1055" s="1226"/>
      <c r="AC1055" s="1226"/>
      <c r="AD1055" s="1226"/>
      <c r="AE1055" s="1226"/>
      <c r="AF1055" s="1226"/>
      <c r="AG1055" s="1226"/>
      <c r="AH1055" s="1226"/>
      <c r="AI1055" s="841"/>
      <c r="AJ1055" s="841"/>
      <c r="AK1055" s="841"/>
      <c r="AL1055" s="841"/>
      <c r="AM1055" s="841"/>
      <c r="AN1055" s="841"/>
      <c r="AO1055" s="841"/>
      <c r="AP1055" s="841"/>
      <c r="AQ1055" s="841"/>
      <c r="AR1055" s="841"/>
      <c r="AS1055" s="842"/>
    </row>
    <row r="1056" spans="1:45">
      <c r="A1056" s="841"/>
      <c r="B1056" s="841"/>
      <c r="C1056" s="841"/>
      <c r="D1056" s="841"/>
      <c r="E1056" s="841"/>
      <c r="F1056" s="841"/>
      <c r="G1056" s="841"/>
      <c r="H1056" s="841"/>
      <c r="I1056" s="841"/>
      <c r="J1056" s="841"/>
      <c r="K1056" s="841"/>
      <c r="L1056" s="841"/>
      <c r="M1056" s="841"/>
      <c r="N1056" s="841"/>
      <c r="O1056" s="841"/>
      <c r="P1056" s="841"/>
      <c r="Q1056" s="841"/>
      <c r="R1056" s="841"/>
      <c r="S1056" s="841"/>
      <c r="T1056" s="841"/>
      <c r="U1056" s="841"/>
      <c r="V1056" s="841"/>
      <c r="W1056" s="841"/>
      <c r="X1056" s="841"/>
      <c r="Y1056" s="841"/>
      <c r="Z1056" s="1226"/>
      <c r="AA1056" s="1226"/>
      <c r="AB1056" s="1226"/>
      <c r="AC1056" s="1226"/>
      <c r="AD1056" s="1226"/>
      <c r="AE1056" s="1226"/>
      <c r="AF1056" s="1226"/>
      <c r="AG1056" s="1226"/>
      <c r="AH1056" s="1226"/>
      <c r="AI1056" s="841"/>
      <c r="AJ1056" s="841"/>
      <c r="AK1056" s="841"/>
      <c r="AL1056" s="841"/>
      <c r="AM1056" s="841"/>
      <c r="AN1056" s="841"/>
      <c r="AO1056" s="841"/>
      <c r="AP1056" s="841"/>
      <c r="AQ1056" s="841"/>
      <c r="AR1056" s="841"/>
      <c r="AS1056" s="842"/>
    </row>
    <row r="1057" spans="1:45">
      <c r="A1057" s="841"/>
      <c r="B1057" s="841"/>
      <c r="C1057" s="841"/>
      <c r="D1057" s="841"/>
      <c r="E1057" s="841"/>
      <c r="F1057" s="841"/>
      <c r="G1057" s="841"/>
      <c r="H1057" s="841"/>
      <c r="I1057" s="841"/>
      <c r="J1057" s="841"/>
      <c r="K1057" s="841"/>
      <c r="L1057" s="841"/>
      <c r="M1057" s="841"/>
      <c r="N1057" s="841"/>
      <c r="O1057" s="841"/>
      <c r="P1057" s="841"/>
      <c r="Q1057" s="841"/>
      <c r="R1057" s="841"/>
      <c r="S1057" s="841"/>
      <c r="T1057" s="841"/>
      <c r="U1057" s="841"/>
      <c r="V1057" s="841"/>
      <c r="W1057" s="841"/>
      <c r="X1057" s="841"/>
      <c r="Y1057" s="841"/>
      <c r="Z1057" s="1226"/>
      <c r="AA1057" s="1226"/>
      <c r="AB1057" s="1226"/>
      <c r="AC1057" s="1226"/>
      <c r="AD1057" s="1226"/>
      <c r="AE1057" s="1226"/>
      <c r="AF1057" s="1226"/>
      <c r="AG1057" s="1226"/>
      <c r="AH1057" s="1226"/>
      <c r="AI1057" s="841"/>
      <c r="AJ1057" s="841"/>
      <c r="AK1057" s="841"/>
      <c r="AL1057" s="841"/>
      <c r="AM1057" s="841"/>
      <c r="AN1057" s="841"/>
      <c r="AO1057" s="841"/>
      <c r="AP1057" s="841"/>
      <c r="AQ1057" s="841"/>
      <c r="AR1057" s="841"/>
      <c r="AS1057" s="842"/>
    </row>
    <row r="1058" spans="1:45">
      <c r="A1058" s="841"/>
      <c r="B1058" s="841"/>
      <c r="C1058" s="841"/>
      <c r="D1058" s="841"/>
      <c r="E1058" s="841"/>
      <c r="F1058" s="841"/>
      <c r="G1058" s="841"/>
      <c r="H1058" s="841"/>
      <c r="I1058" s="841"/>
      <c r="J1058" s="841"/>
      <c r="K1058" s="841"/>
      <c r="L1058" s="841"/>
      <c r="M1058" s="841"/>
      <c r="N1058" s="841"/>
      <c r="O1058" s="841"/>
      <c r="P1058" s="841"/>
      <c r="Q1058" s="841"/>
      <c r="R1058" s="841"/>
      <c r="S1058" s="841"/>
      <c r="T1058" s="841"/>
      <c r="U1058" s="841"/>
      <c r="V1058" s="841"/>
      <c r="W1058" s="841"/>
      <c r="X1058" s="841"/>
      <c r="Y1058" s="841"/>
      <c r="Z1058" s="1226"/>
      <c r="AA1058" s="1226"/>
      <c r="AB1058" s="1226"/>
      <c r="AC1058" s="1226"/>
      <c r="AD1058" s="1226"/>
      <c r="AE1058" s="1226"/>
      <c r="AF1058" s="1226"/>
      <c r="AG1058" s="1226"/>
      <c r="AH1058" s="1226"/>
      <c r="AI1058" s="841"/>
      <c r="AJ1058" s="841"/>
      <c r="AK1058" s="841"/>
      <c r="AL1058" s="841"/>
      <c r="AM1058" s="841"/>
      <c r="AN1058" s="841"/>
      <c r="AO1058" s="841"/>
      <c r="AP1058" s="841"/>
      <c r="AQ1058" s="841"/>
      <c r="AR1058" s="841"/>
      <c r="AS1058" s="842"/>
    </row>
    <row r="1059" spans="1:45">
      <c r="A1059" s="841"/>
      <c r="B1059" s="841"/>
      <c r="C1059" s="841"/>
      <c r="D1059" s="841"/>
      <c r="E1059" s="841"/>
      <c r="F1059" s="841"/>
      <c r="G1059" s="841"/>
      <c r="H1059" s="841"/>
      <c r="I1059" s="841"/>
      <c r="J1059" s="841"/>
      <c r="K1059" s="841"/>
      <c r="L1059" s="841"/>
      <c r="M1059" s="841"/>
      <c r="N1059" s="841"/>
      <c r="O1059" s="841"/>
      <c r="P1059" s="841"/>
      <c r="Q1059" s="841"/>
      <c r="R1059" s="841"/>
      <c r="S1059" s="841"/>
      <c r="T1059" s="841"/>
      <c r="U1059" s="841"/>
      <c r="V1059" s="841"/>
      <c r="W1059" s="841"/>
      <c r="X1059" s="841"/>
      <c r="Y1059" s="841"/>
      <c r="Z1059" s="1226"/>
      <c r="AA1059" s="1226"/>
      <c r="AB1059" s="1226"/>
      <c r="AC1059" s="1226"/>
      <c r="AD1059" s="1226"/>
      <c r="AE1059" s="1226"/>
      <c r="AF1059" s="1226"/>
      <c r="AG1059" s="1226"/>
      <c r="AH1059" s="1226"/>
      <c r="AI1059" s="841"/>
      <c r="AJ1059" s="841"/>
      <c r="AK1059" s="841"/>
      <c r="AL1059" s="841"/>
      <c r="AM1059" s="841"/>
      <c r="AN1059" s="841"/>
      <c r="AO1059" s="841"/>
      <c r="AP1059" s="841"/>
      <c r="AQ1059" s="841"/>
      <c r="AR1059" s="841"/>
      <c r="AS1059" s="842"/>
    </row>
    <row r="1060" spans="1:45">
      <c r="A1060" s="841"/>
      <c r="B1060" s="841"/>
      <c r="C1060" s="841"/>
      <c r="D1060" s="841"/>
      <c r="E1060" s="841"/>
      <c r="F1060" s="841"/>
      <c r="G1060" s="841"/>
      <c r="H1060" s="841"/>
      <c r="I1060" s="841"/>
      <c r="J1060" s="841"/>
      <c r="K1060" s="841"/>
      <c r="L1060" s="841"/>
      <c r="M1060" s="841"/>
      <c r="N1060" s="841"/>
      <c r="O1060" s="841"/>
      <c r="P1060" s="841"/>
      <c r="Q1060" s="841"/>
      <c r="R1060" s="841"/>
      <c r="S1060" s="841"/>
      <c r="T1060" s="841"/>
      <c r="U1060" s="841"/>
      <c r="V1060" s="841"/>
      <c r="W1060" s="841"/>
      <c r="X1060" s="841"/>
      <c r="Y1060" s="841"/>
      <c r="Z1060" s="1226"/>
      <c r="AA1060" s="1226"/>
      <c r="AB1060" s="1226"/>
      <c r="AC1060" s="1226"/>
      <c r="AD1060" s="1226"/>
      <c r="AE1060" s="1226"/>
      <c r="AF1060" s="1226"/>
      <c r="AG1060" s="1226"/>
      <c r="AH1060" s="1226"/>
      <c r="AI1060" s="841"/>
      <c r="AJ1060" s="841"/>
      <c r="AK1060" s="841"/>
      <c r="AL1060" s="841"/>
      <c r="AM1060" s="841"/>
      <c r="AN1060" s="841"/>
      <c r="AO1060" s="841"/>
      <c r="AP1060" s="841"/>
      <c r="AQ1060" s="841"/>
      <c r="AR1060" s="841"/>
      <c r="AS1060" s="842"/>
    </row>
    <row r="1061" spans="1:45">
      <c r="A1061" s="841"/>
      <c r="B1061" s="841"/>
      <c r="C1061" s="841"/>
      <c r="D1061" s="841"/>
      <c r="E1061" s="841"/>
      <c r="F1061" s="841"/>
      <c r="G1061" s="841"/>
      <c r="H1061" s="841"/>
      <c r="I1061" s="841"/>
      <c r="J1061" s="841"/>
      <c r="K1061" s="841"/>
      <c r="L1061" s="841"/>
      <c r="M1061" s="841"/>
      <c r="N1061" s="841"/>
      <c r="O1061" s="841"/>
      <c r="P1061" s="841"/>
      <c r="Q1061" s="841"/>
      <c r="R1061" s="841"/>
      <c r="S1061" s="841"/>
      <c r="T1061" s="841"/>
      <c r="U1061" s="841"/>
      <c r="V1061" s="841"/>
      <c r="W1061" s="841"/>
      <c r="X1061" s="841"/>
      <c r="Y1061" s="841"/>
      <c r="Z1061" s="1226"/>
      <c r="AA1061" s="1226"/>
      <c r="AB1061" s="1226"/>
      <c r="AC1061" s="1226"/>
      <c r="AD1061" s="1226"/>
      <c r="AE1061" s="1226"/>
      <c r="AF1061" s="1226"/>
      <c r="AG1061" s="1226"/>
      <c r="AH1061" s="1226"/>
      <c r="AI1061" s="841"/>
      <c r="AJ1061" s="841"/>
      <c r="AK1061" s="841"/>
      <c r="AL1061" s="841"/>
      <c r="AM1061" s="841"/>
      <c r="AN1061" s="841"/>
      <c r="AO1061" s="841"/>
      <c r="AP1061" s="841"/>
      <c r="AQ1061" s="841"/>
      <c r="AR1061" s="841"/>
      <c r="AS1061" s="842"/>
    </row>
    <row r="1062" spans="1:45">
      <c r="A1062" s="841"/>
      <c r="B1062" s="841"/>
      <c r="C1062" s="841"/>
      <c r="D1062" s="841"/>
      <c r="E1062" s="841"/>
      <c r="F1062" s="841"/>
      <c r="G1062" s="841"/>
      <c r="H1062" s="841"/>
      <c r="I1062" s="841"/>
      <c r="J1062" s="841"/>
      <c r="K1062" s="841"/>
      <c r="L1062" s="841"/>
      <c r="M1062" s="841"/>
      <c r="N1062" s="841"/>
      <c r="O1062" s="841"/>
      <c r="P1062" s="841"/>
      <c r="Q1062" s="841"/>
      <c r="R1062" s="841"/>
      <c r="S1062" s="841"/>
      <c r="T1062" s="841"/>
      <c r="U1062" s="841"/>
      <c r="V1062" s="841"/>
      <c r="W1062" s="841"/>
      <c r="X1062" s="841"/>
      <c r="Y1062" s="841"/>
      <c r="Z1062" s="1226"/>
      <c r="AA1062" s="1226"/>
      <c r="AB1062" s="1226"/>
      <c r="AC1062" s="1226"/>
      <c r="AD1062" s="1226"/>
      <c r="AE1062" s="1226"/>
      <c r="AF1062" s="1226"/>
      <c r="AG1062" s="1226"/>
      <c r="AH1062" s="1226"/>
      <c r="AI1062" s="841"/>
      <c r="AJ1062" s="841"/>
      <c r="AK1062" s="841"/>
      <c r="AL1062" s="841"/>
      <c r="AM1062" s="841"/>
      <c r="AN1062" s="841"/>
      <c r="AO1062" s="841"/>
      <c r="AP1062" s="841"/>
      <c r="AQ1062" s="841"/>
      <c r="AR1062" s="841"/>
      <c r="AS1062" s="842"/>
    </row>
    <row r="1063" spans="1:45">
      <c r="A1063" s="841"/>
      <c r="B1063" s="841"/>
      <c r="C1063" s="841"/>
      <c r="D1063" s="841"/>
      <c r="E1063" s="841"/>
      <c r="F1063" s="841"/>
      <c r="G1063" s="841"/>
      <c r="H1063" s="841"/>
      <c r="I1063" s="841"/>
      <c r="J1063" s="841"/>
      <c r="K1063" s="841"/>
      <c r="L1063" s="841"/>
      <c r="M1063" s="841"/>
      <c r="N1063" s="841"/>
      <c r="O1063" s="841"/>
      <c r="P1063" s="841"/>
      <c r="Q1063" s="841"/>
      <c r="R1063" s="841"/>
      <c r="S1063" s="841"/>
      <c r="T1063" s="841"/>
      <c r="U1063" s="841"/>
      <c r="V1063" s="841"/>
      <c r="W1063" s="841"/>
      <c r="X1063" s="841"/>
      <c r="Y1063" s="841"/>
      <c r="Z1063" s="1226"/>
      <c r="AA1063" s="1226"/>
      <c r="AB1063" s="1226"/>
      <c r="AC1063" s="1226"/>
      <c r="AD1063" s="1226"/>
      <c r="AE1063" s="1226"/>
      <c r="AF1063" s="1226"/>
      <c r="AG1063" s="1226"/>
      <c r="AH1063" s="1226"/>
      <c r="AI1063" s="841"/>
      <c r="AJ1063" s="841"/>
      <c r="AK1063" s="841"/>
      <c r="AL1063" s="841"/>
      <c r="AM1063" s="841"/>
      <c r="AN1063" s="841"/>
      <c r="AO1063" s="841"/>
      <c r="AP1063" s="841"/>
      <c r="AQ1063" s="841"/>
      <c r="AR1063" s="841"/>
      <c r="AS1063" s="842"/>
    </row>
    <row r="1064" spans="1:45">
      <c r="A1064" s="841"/>
      <c r="B1064" s="841"/>
      <c r="C1064" s="841"/>
      <c r="D1064" s="841"/>
      <c r="E1064" s="841"/>
      <c r="F1064" s="841"/>
      <c r="G1064" s="841"/>
      <c r="H1064" s="841"/>
      <c r="I1064" s="841"/>
      <c r="J1064" s="841"/>
      <c r="K1064" s="841"/>
      <c r="L1064" s="841"/>
      <c r="M1064" s="841"/>
      <c r="N1064" s="841"/>
      <c r="O1064" s="841"/>
      <c r="P1064" s="841"/>
      <c r="Q1064" s="841"/>
      <c r="R1064" s="841"/>
      <c r="S1064" s="841"/>
      <c r="T1064" s="841"/>
      <c r="U1064" s="841"/>
      <c r="V1064" s="841"/>
      <c r="W1064" s="841"/>
      <c r="X1064" s="841"/>
      <c r="Y1064" s="841"/>
      <c r="Z1064" s="1226"/>
      <c r="AA1064" s="1226"/>
      <c r="AB1064" s="1226"/>
      <c r="AC1064" s="1226"/>
      <c r="AD1064" s="1226"/>
      <c r="AE1064" s="1226"/>
      <c r="AF1064" s="1226"/>
      <c r="AG1064" s="1226"/>
      <c r="AH1064" s="1226"/>
      <c r="AI1064" s="841"/>
      <c r="AJ1064" s="841"/>
      <c r="AK1064" s="841"/>
      <c r="AL1064" s="841"/>
      <c r="AM1064" s="841"/>
      <c r="AN1064" s="841"/>
      <c r="AO1064" s="841"/>
      <c r="AP1064" s="841"/>
      <c r="AQ1064" s="841"/>
      <c r="AR1064" s="841"/>
      <c r="AS1064" s="842"/>
    </row>
    <row r="1065" spans="1:45">
      <c r="A1065" s="841"/>
      <c r="B1065" s="841"/>
      <c r="C1065" s="841"/>
      <c r="D1065" s="841"/>
      <c r="E1065" s="841"/>
      <c r="F1065" s="841"/>
      <c r="G1065" s="841"/>
      <c r="H1065" s="841"/>
      <c r="I1065" s="841"/>
      <c r="J1065" s="841"/>
      <c r="K1065" s="841"/>
      <c r="L1065" s="841"/>
      <c r="M1065" s="841"/>
      <c r="N1065" s="841"/>
      <c r="O1065" s="841"/>
      <c r="P1065" s="841"/>
      <c r="Q1065" s="841"/>
      <c r="R1065" s="841"/>
      <c r="S1065" s="841"/>
      <c r="T1065" s="841"/>
      <c r="U1065" s="841"/>
      <c r="V1065" s="841"/>
      <c r="W1065" s="841"/>
      <c r="X1065" s="841"/>
      <c r="Y1065" s="841"/>
      <c r="Z1065" s="1226"/>
      <c r="AA1065" s="1226"/>
      <c r="AB1065" s="1226"/>
      <c r="AC1065" s="1226"/>
      <c r="AD1065" s="1226"/>
      <c r="AE1065" s="1226"/>
      <c r="AF1065" s="1226"/>
      <c r="AG1065" s="1226"/>
      <c r="AH1065" s="1226"/>
      <c r="AI1065" s="841"/>
      <c r="AJ1065" s="841"/>
      <c r="AK1065" s="841"/>
      <c r="AL1065" s="841"/>
      <c r="AM1065" s="841"/>
      <c r="AN1065" s="841"/>
      <c r="AO1065" s="841"/>
      <c r="AP1065" s="841"/>
      <c r="AQ1065" s="841"/>
      <c r="AR1065" s="841"/>
      <c r="AS1065" s="842"/>
    </row>
    <row r="1066" spans="1:45">
      <c r="A1066" s="841"/>
      <c r="B1066" s="841"/>
      <c r="C1066" s="841"/>
      <c r="D1066" s="841"/>
      <c r="E1066" s="841"/>
      <c r="F1066" s="841"/>
      <c r="G1066" s="841"/>
      <c r="H1066" s="841"/>
      <c r="I1066" s="841"/>
      <c r="J1066" s="841"/>
      <c r="K1066" s="841"/>
      <c r="L1066" s="841"/>
      <c r="M1066" s="841"/>
      <c r="N1066" s="841"/>
      <c r="O1066" s="841"/>
      <c r="P1066" s="841"/>
      <c r="Q1066" s="841"/>
      <c r="R1066" s="841"/>
      <c r="S1066" s="841"/>
      <c r="T1066" s="841"/>
      <c r="U1066" s="841"/>
      <c r="V1066" s="841"/>
      <c r="W1066" s="841"/>
      <c r="X1066" s="841"/>
      <c r="Y1066" s="841"/>
      <c r="Z1066" s="1226"/>
      <c r="AA1066" s="1226"/>
      <c r="AB1066" s="1226"/>
      <c r="AC1066" s="1226"/>
      <c r="AD1066" s="1226"/>
      <c r="AE1066" s="1226"/>
      <c r="AF1066" s="1226"/>
      <c r="AG1066" s="1226"/>
      <c r="AH1066" s="1226"/>
      <c r="AI1066" s="841"/>
      <c r="AJ1066" s="841"/>
      <c r="AK1066" s="841"/>
      <c r="AL1066" s="841"/>
      <c r="AM1066" s="841"/>
      <c r="AN1066" s="841"/>
      <c r="AO1066" s="841"/>
      <c r="AP1066" s="841"/>
      <c r="AQ1066" s="841"/>
      <c r="AR1066" s="841"/>
      <c r="AS1066" s="842"/>
    </row>
    <row r="1067" spans="1:45">
      <c r="A1067" s="841"/>
      <c r="B1067" s="841"/>
      <c r="C1067" s="841"/>
      <c r="D1067" s="841"/>
      <c r="E1067" s="841"/>
      <c r="F1067" s="841"/>
      <c r="G1067" s="841"/>
      <c r="H1067" s="841"/>
      <c r="I1067" s="841"/>
      <c r="J1067" s="841"/>
      <c r="K1067" s="841"/>
      <c r="L1067" s="841"/>
      <c r="M1067" s="841"/>
      <c r="N1067" s="841"/>
      <c r="O1067" s="841"/>
      <c r="P1067" s="841"/>
      <c r="Q1067" s="841"/>
      <c r="R1067" s="841"/>
      <c r="S1067" s="841"/>
      <c r="T1067" s="841"/>
      <c r="U1067" s="841"/>
      <c r="V1067" s="841"/>
      <c r="W1067" s="841"/>
      <c r="X1067" s="841"/>
      <c r="Y1067" s="841"/>
      <c r="Z1067" s="1226"/>
      <c r="AA1067" s="1226"/>
      <c r="AB1067" s="1226"/>
      <c r="AC1067" s="1226"/>
      <c r="AD1067" s="1226"/>
      <c r="AE1067" s="1226"/>
      <c r="AF1067" s="1226"/>
      <c r="AG1067" s="1226"/>
      <c r="AH1067" s="1226"/>
      <c r="AI1067" s="841"/>
      <c r="AJ1067" s="841"/>
      <c r="AK1067" s="841"/>
      <c r="AL1067" s="841"/>
      <c r="AM1067" s="841"/>
      <c r="AN1067" s="841"/>
      <c r="AO1067" s="841"/>
      <c r="AP1067" s="841"/>
      <c r="AQ1067" s="841"/>
      <c r="AR1067" s="841"/>
      <c r="AS1067" s="842"/>
    </row>
    <row r="1068" spans="1:45">
      <c r="A1068" s="841"/>
      <c r="B1068" s="841"/>
      <c r="C1068" s="841"/>
      <c r="D1068" s="841"/>
      <c r="E1068" s="841"/>
      <c r="F1068" s="841"/>
      <c r="G1068" s="841"/>
      <c r="H1068" s="841"/>
      <c r="I1068" s="841"/>
      <c r="J1068" s="841"/>
      <c r="K1068" s="841"/>
      <c r="L1068" s="841"/>
      <c r="M1068" s="841"/>
      <c r="N1068" s="841"/>
      <c r="O1068" s="841"/>
      <c r="P1068" s="841"/>
      <c r="Q1068" s="841"/>
      <c r="R1068" s="841"/>
      <c r="S1068" s="841"/>
      <c r="T1068" s="841"/>
      <c r="U1068" s="841"/>
      <c r="V1068" s="841"/>
      <c r="W1068" s="841"/>
      <c r="X1068" s="841"/>
      <c r="Y1068" s="841"/>
      <c r="Z1068" s="1226"/>
      <c r="AA1068" s="1226"/>
      <c r="AB1068" s="1226"/>
      <c r="AC1068" s="1226"/>
      <c r="AD1068" s="1226"/>
      <c r="AE1068" s="1226"/>
      <c r="AF1068" s="1226"/>
      <c r="AG1068" s="1226"/>
      <c r="AH1068" s="1226"/>
      <c r="AI1068" s="841"/>
      <c r="AJ1068" s="841"/>
      <c r="AK1068" s="841"/>
      <c r="AL1068" s="841"/>
      <c r="AM1068" s="841"/>
      <c r="AN1068" s="841"/>
      <c r="AO1068" s="841"/>
      <c r="AP1068" s="841"/>
      <c r="AQ1068" s="841"/>
      <c r="AR1068" s="841"/>
      <c r="AS1068" s="842"/>
    </row>
    <row r="1069" spans="1:45">
      <c r="A1069" s="841"/>
      <c r="B1069" s="841"/>
      <c r="C1069" s="841"/>
      <c r="D1069" s="841"/>
      <c r="E1069" s="841"/>
      <c r="F1069" s="841"/>
      <c r="G1069" s="841"/>
      <c r="H1069" s="841"/>
      <c r="I1069" s="841"/>
      <c r="J1069" s="841"/>
      <c r="K1069" s="841"/>
      <c r="L1069" s="841"/>
      <c r="M1069" s="841"/>
      <c r="N1069" s="841"/>
      <c r="O1069" s="841"/>
      <c r="P1069" s="841"/>
      <c r="Q1069" s="841"/>
      <c r="R1069" s="841"/>
      <c r="S1069" s="841"/>
      <c r="T1069" s="841"/>
      <c r="U1069" s="841"/>
      <c r="V1069" s="841"/>
      <c r="W1069" s="841"/>
      <c r="X1069" s="841"/>
      <c r="Y1069" s="841"/>
      <c r="Z1069" s="1226"/>
      <c r="AA1069" s="1226"/>
      <c r="AB1069" s="1226"/>
      <c r="AC1069" s="1226"/>
      <c r="AD1069" s="1226"/>
      <c r="AE1069" s="1226"/>
      <c r="AF1069" s="1226"/>
      <c r="AG1069" s="1226"/>
      <c r="AH1069" s="1226"/>
      <c r="AI1069" s="841"/>
      <c r="AJ1069" s="841"/>
      <c r="AK1069" s="841"/>
      <c r="AL1069" s="841"/>
      <c r="AM1069" s="841"/>
      <c r="AN1069" s="841"/>
      <c r="AO1069" s="841"/>
      <c r="AP1069" s="841"/>
      <c r="AQ1069" s="841"/>
      <c r="AR1069" s="841"/>
      <c r="AS1069" s="842"/>
    </row>
    <row r="1070" spans="1:45">
      <c r="A1070" s="841"/>
      <c r="B1070" s="841"/>
      <c r="C1070" s="841"/>
      <c r="D1070" s="841"/>
      <c r="E1070" s="841"/>
      <c r="F1070" s="841"/>
      <c r="G1070" s="841"/>
      <c r="H1070" s="841"/>
      <c r="I1070" s="841"/>
      <c r="J1070" s="841"/>
      <c r="K1070" s="841"/>
      <c r="L1070" s="841"/>
      <c r="M1070" s="841"/>
      <c r="N1070" s="841"/>
      <c r="O1070" s="841"/>
      <c r="P1070" s="841"/>
      <c r="Q1070" s="841"/>
      <c r="R1070" s="841"/>
      <c r="S1070" s="841"/>
      <c r="T1070" s="841"/>
      <c r="U1070" s="841"/>
      <c r="V1070" s="841"/>
      <c r="W1070" s="841"/>
      <c r="X1070" s="841"/>
      <c r="Y1070" s="841"/>
      <c r="Z1070" s="1226"/>
      <c r="AA1070" s="1226"/>
      <c r="AB1070" s="1226"/>
      <c r="AC1070" s="1226"/>
      <c r="AD1070" s="1226"/>
      <c r="AE1070" s="1226"/>
      <c r="AF1070" s="1226"/>
      <c r="AG1070" s="1226"/>
      <c r="AH1070" s="1226"/>
      <c r="AI1070" s="841"/>
      <c r="AJ1070" s="841"/>
      <c r="AK1070" s="841"/>
      <c r="AL1070" s="841"/>
      <c r="AM1070" s="841"/>
      <c r="AN1070" s="841"/>
      <c r="AO1070" s="841"/>
      <c r="AP1070" s="841"/>
      <c r="AQ1070" s="841"/>
      <c r="AR1070" s="841"/>
      <c r="AS1070" s="842"/>
    </row>
    <row r="1071" spans="1:45">
      <c r="A1071" s="841"/>
      <c r="B1071" s="841"/>
      <c r="C1071" s="841"/>
      <c r="D1071" s="841"/>
      <c r="E1071" s="841"/>
      <c r="F1071" s="841"/>
      <c r="G1071" s="841"/>
      <c r="H1071" s="841"/>
      <c r="I1071" s="841"/>
      <c r="J1071" s="841"/>
      <c r="K1071" s="841"/>
      <c r="L1071" s="841"/>
      <c r="M1071" s="841"/>
      <c r="N1071" s="841"/>
      <c r="O1071" s="841"/>
      <c r="P1071" s="841"/>
      <c r="Q1071" s="841"/>
      <c r="R1071" s="841"/>
      <c r="S1071" s="841"/>
      <c r="T1071" s="841"/>
      <c r="U1071" s="841"/>
      <c r="V1071" s="841"/>
      <c r="W1071" s="841"/>
      <c r="X1071" s="841"/>
      <c r="Y1071" s="841"/>
      <c r="Z1071" s="1226"/>
      <c r="AA1071" s="1226"/>
      <c r="AB1071" s="1226"/>
      <c r="AC1071" s="1226"/>
      <c r="AD1071" s="1226"/>
      <c r="AE1071" s="1226"/>
      <c r="AF1071" s="1226"/>
      <c r="AG1071" s="1226"/>
      <c r="AH1071" s="1226"/>
      <c r="AI1071" s="841"/>
      <c r="AJ1071" s="841"/>
      <c r="AK1071" s="841"/>
      <c r="AL1071" s="841"/>
      <c r="AM1071" s="841"/>
      <c r="AN1071" s="841"/>
      <c r="AO1071" s="841"/>
      <c r="AP1071" s="841"/>
      <c r="AQ1071" s="841"/>
      <c r="AR1071" s="841"/>
      <c r="AS1071" s="842"/>
    </row>
    <row r="1072" spans="1:45">
      <c r="A1072" s="841"/>
      <c r="B1072" s="841"/>
      <c r="C1072" s="841"/>
      <c r="D1072" s="841"/>
      <c r="E1072" s="841"/>
      <c r="F1072" s="841"/>
      <c r="G1072" s="841"/>
      <c r="H1072" s="841"/>
      <c r="I1072" s="841"/>
      <c r="J1072" s="841"/>
      <c r="K1072" s="841"/>
      <c r="L1072" s="841"/>
      <c r="M1072" s="841"/>
      <c r="N1072" s="841"/>
      <c r="O1072" s="841"/>
      <c r="P1072" s="841"/>
      <c r="Q1072" s="841"/>
      <c r="R1072" s="841"/>
      <c r="S1072" s="841"/>
      <c r="T1072" s="841"/>
      <c r="U1072" s="841"/>
      <c r="V1072" s="841"/>
      <c r="W1072" s="841"/>
      <c r="X1072" s="841"/>
      <c r="Y1072" s="841"/>
      <c r="Z1072" s="1226"/>
      <c r="AA1072" s="1226"/>
      <c r="AB1072" s="1226"/>
      <c r="AC1072" s="1226"/>
      <c r="AD1072" s="1226"/>
      <c r="AE1072" s="1226"/>
      <c r="AF1072" s="1226"/>
      <c r="AG1072" s="1226"/>
      <c r="AH1072" s="1226"/>
      <c r="AI1072" s="841"/>
      <c r="AJ1072" s="841"/>
      <c r="AK1072" s="841"/>
      <c r="AL1072" s="841"/>
      <c r="AM1072" s="841"/>
      <c r="AN1072" s="841"/>
      <c r="AO1072" s="841"/>
      <c r="AP1072" s="841"/>
      <c r="AQ1072" s="841"/>
      <c r="AR1072" s="841"/>
      <c r="AS1072" s="842"/>
    </row>
    <row r="1073" spans="1:45">
      <c r="A1073" s="841"/>
      <c r="B1073" s="841"/>
      <c r="C1073" s="841"/>
      <c r="D1073" s="841"/>
      <c r="E1073" s="841"/>
      <c r="F1073" s="841"/>
      <c r="G1073" s="841"/>
      <c r="H1073" s="841"/>
      <c r="I1073" s="841"/>
      <c r="J1073" s="841"/>
      <c r="K1073" s="841"/>
      <c r="L1073" s="841"/>
      <c r="M1073" s="841"/>
      <c r="N1073" s="841"/>
      <c r="O1073" s="841"/>
      <c r="P1073" s="841"/>
      <c r="Q1073" s="841"/>
      <c r="R1073" s="841"/>
      <c r="S1073" s="841"/>
      <c r="T1073" s="841"/>
      <c r="U1073" s="841"/>
      <c r="V1073" s="841"/>
      <c r="W1073" s="841"/>
      <c r="X1073" s="841"/>
      <c r="Y1073" s="841"/>
      <c r="Z1073" s="1226"/>
      <c r="AA1073" s="1226"/>
      <c r="AB1073" s="1226"/>
      <c r="AC1073" s="1226"/>
      <c r="AD1073" s="1226"/>
      <c r="AE1073" s="1226"/>
      <c r="AF1073" s="1226"/>
      <c r="AG1073" s="1226"/>
      <c r="AH1073" s="1226"/>
      <c r="AI1073" s="841"/>
      <c r="AJ1073" s="841"/>
      <c r="AK1073" s="841"/>
      <c r="AL1073" s="841"/>
      <c r="AM1073" s="841"/>
      <c r="AN1073" s="841"/>
      <c r="AO1073" s="841"/>
      <c r="AP1073" s="841"/>
      <c r="AQ1073" s="841"/>
      <c r="AR1073" s="841"/>
      <c r="AS1073" s="842"/>
    </row>
    <row r="1074" spans="1:45">
      <c r="A1074" s="841"/>
      <c r="B1074" s="841"/>
      <c r="C1074" s="841"/>
      <c r="D1074" s="841"/>
      <c r="E1074" s="841"/>
      <c r="F1074" s="841"/>
      <c r="G1074" s="841"/>
      <c r="H1074" s="841"/>
      <c r="I1074" s="841"/>
      <c r="J1074" s="841"/>
      <c r="K1074" s="841"/>
      <c r="L1074" s="841"/>
      <c r="M1074" s="841"/>
      <c r="N1074" s="841"/>
      <c r="O1074" s="841"/>
      <c r="P1074" s="841"/>
      <c r="Q1074" s="841"/>
      <c r="R1074" s="841"/>
      <c r="S1074" s="841"/>
      <c r="T1074" s="841"/>
      <c r="U1074" s="841"/>
      <c r="V1074" s="841"/>
      <c r="W1074" s="841"/>
      <c r="X1074" s="841"/>
      <c r="Y1074" s="841"/>
      <c r="Z1074" s="1226"/>
      <c r="AA1074" s="1226"/>
      <c r="AB1074" s="1226"/>
      <c r="AC1074" s="1226"/>
      <c r="AD1074" s="1226"/>
      <c r="AE1074" s="1226"/>
      <c r="AF1074" s="1226"/>
      <c r="AG1074" s="1226"/>
      <c r="AH1074" s="1226"/>
      <c r="AI1074" s="841"/>
      <c r="AJ1074" s="841"/>
      <c r="AK1074" s="841"/>
      <c r="AL1074" s="841"/>
      <c r="AM1074" s="841"/>
      <c r="AN1074" s="841"/>
      <c r="AO1074" s="841"/>
      <c r="AP1074" s="841"/>
      <c r="AQ1074" s="841"/>
      <c r="AR1074" s="841"/>
      <c r="AS1074" s="842"/>
    </row>
    <row r="1075" spans="1:45">
      <c r="A1075" s="841"/>
      <c r="B1075" s="841"/>
      <c r="C1075" s="841"/>
      <c r="D1075" s="841"/>
      <c r="E1075" s="841"/>
      <c r="F1075" s="841"/>
      <c r="G1075" s="841"/>
      <c r="H1075" s="841"/>
      <c r="I1075" s="841"/>
      <c r="J1075" s="841"/>
      <c r="K1075" s="841"/>
      <c r="L1075" s="841"/>
      <c r="M1075" s="841"/>
      <c r="N1075" s="841"/>
      <c r="O1075" s="841"/>
      <c r="P1075" s="841"/>
      <c r="Q1075" s="841"/>
      <c r="R1075" s="841"/>
      <c r="S1075" s="841"/>
      <c r="T1075" s="841"/>
      <c r="U1075" s="841"/>
      <c r="V1075" s="841"/>
      <c r="W1075" s="841"/>
      <c r="X1075" s="841"/>
      <c r="Y1075" s="841"/>
      <c r="Z1075" s="1226"/>
      <c r="AA1075" s="1226"/>
      <c r="AB1075" s="1226"/>
      <c r="AC1075" s="1226"/>
      <c r="AD1075" s="1226"/>
      <c r="AE1075" s="1226"/>
      <c r="AF1075" s="1226"/>
      <c r="AG1075" s="1226"/>
      <c r="AH1075" s="1226"/>
      <c r="AI1075" s="841"/>
      <c r="AJ1075" s="841"/>
      <c r="AK1075" s="841"/>
      <c r="AL1075" s="841"/>
      <c r="AM1075" s="841"/>
      <c r="AN1075" s="841"/>
      <c r="AO1075" s="841"/>
      <c r="AP1075" s="841"/>
      <c r="AQ1075" s="841"/>
      <c r="AR1075" s="841"/>
      <c r="AS1075" s="842"/>
    </row>
    <row r="1076" spans="1:45">
      <c r="A1076" s="841"/>
      <c r="B1076" s="841"/>
      <c r="C1076" s="841"/>
      <c r="D1076" s="841"/>
      <c r="E1076" s="841"/>
      <c r="F1076" s="841"/>
      <c r="G1076" s="841"/>
      <c r="H1076" s="841"/>
      <c r="I1076" s="841"/>
      <c r="J1076" s="841"/>
      <c r="K1076" s="841"/>
      <c r="L1076" s="841"/>
      <c r="M1076" s="841"/>
      <c r="N1076" s="841"/>
      <c r="O1076" s="841"/>
      <c r="P1076" s="841"/>
      <c r="Q1076" s="841"/>
      <c r="R1076" s="841"/>
      <c r="S1076" s="841"/>
      <c r="T1076" s="841"/>
      <c r="U1076" s="841"/>
      <c r="V1076" s="841"/>
      <c r="W1076" s="841"/>
      <c r="X1076" s="841"/>
      <c r="Y1076" s="841"/>
      <c r="Z1076" s="1226"/>
      <c r="AA1076" s="1226"/>
      <c r="AB1076" s="1226"/>
      <c r="AC1076" s="1226"/>
      <c r="AD1076" s="1226"/>
      <c r="AE1076" s="1226"/>
      <c r="AF1076" s="1226"/>
      <c r="AG1076" s="1226"/>
      <c r="AH1076" s="1226"/>
      <c r="AI1076" s="841"/>
      <c r="AJ1076" s="841"/>
      <c r="AK1076" s="841"/>
      <c r="AL1076" s="841"/>
      <c r="AM1076" s="841"/>
      <c r="AN1076" s="841"/>
      <c r="AO1076" s="841"/>
      <c r="AP1076" s="841"/>
      <c r="AQ1076" s="841"/>
      <c r="AR1076" s="841"/>
      <c r="AS1076" s="842"/>
    </row>
    <row r="1077" spans="1:45">
      <c r="A1077" s="841"/>
      <c r="B1077" s="841"/>
      <c r="C1077" s="841"/>
      <c r="D1077" s="841"/>
      <c r="E1077" s="841"/>
      <c r="F1077" s="841"/>
      <c r="G1077" s="841"/>
      <c r="H1077" s="841"/>
      <c r="I1077" s="841"/>
      <c r="J1077" s="841"/>
      <c r="K1077" s="841"/>
      <c r="L1077" s="841"/>
      <c r="M1077" s="841"/>
      <c r="N1077" s="841"/>
      <c r="O1077" s="841"/>
      <c r="P1077" s="841"/>
      <c r="Q1077" s="841"/>
      <c r="R1077" s="841"/>
      <c r="S1077" s="841"/>
      <c r="T1077" s="841"/>
      <c r="U1077" s="841"/>
      <c r="V1077" s="841"/>
      <c r="W1077" s="841"/>
      <c r="X1077" s="841"/>
      <c r="Y1077" s="841"/>
      <c r="Z1077" s="1226"/>
      <c r="AA1077" s="1226"/>
      <c r="AB1077" s="1226"/>
      <c r="AC1077" s="1226"/>
      <c r="AD1077" s="1226"/>
      <c r="AE1077" s="1226"/>
      <c r="AF1077" s="1226"/>
      <c r="AG1077" s="1226"/>
      <c r="AH1077" s="1226"/>
      <c r="AI1077" s="841"/>
      <c r="AJ1077" s="841"/>
      <c r="AK1077" s="841"/>
      <c r="AL1077" s="841"/>
      <c r="AM1077" s="841"/>
      <c r="AN1077" s="841"/>
      <c r="AO1077" s="841"/>
      <c r="AP1077" s="841"/>
      <c r="AQ1077" s="841"/>
      <c r="AR1077" s="841"/>
      <c r="AS1077" s="842"/>
    </row>
    <row r="1078" spans="1:45">
      <c r="A1078" s="841"/>
      <c r="B1078" s="841"/>
      <c r="C1078" s="841"/>
      <c r="D1078" s="841"/>
      <c r="E1078" s="841"/>
      <c r="F1078" s="841"/>
      <c r="G1078" s="841"/>
      <c r="H1078" s="841"/>
      <c r="I1078" s="841"/>
      <c r="J1078" s="841"/>
      <c r="K1078" s="841"/>
      <c r="L1078" s="841"/>
      <c r="M1078" s="841"/>
      <c r="N1078" s="841"/>
      <c r="O1078" s="841"/>
      <c r="P1078" s="841"/>
      <c r="Q1078" s="841"/>
      <c r="R1078" s="841"/>
      <c r="S1078" s="841"/>
      <c r="T1078" s="841"/>
      <c r="U1078" s="841"/>
      <c r="V1078" s="841"/>
      <c r="W1078" s="841"/>
      <c r="X1078" s="841"/>
      <c r="Y1078" s="841"/>
      <c r="Z1078" s="1226"/>
      <c r="AA1078" s="1226"/>
      <c r="AB1078" s="1226"/>
      <c r="AC1078" s="1226"/>
      <c r="AD1078" s="1226"/>
      <c r="AE1078" s="1226"/>
      <c r="AF1078" s="1226"/>
      <c r="AG1078" s="1226"/>
      <c r="AH1078" s="1226"/>
      <c r="AI1078" s="841"/>
      <c r="AJ1078" s="841"/>
      <c r="AK1078" s="841"/>
      <c r="AL1078" s="841"/>
      <c r="AM1078" s="841"/>
      <c r="AN1078" s="841"/>
      <c r="AO1078" s="841"/>
      <c r="AP1078" s="841"/>
      <c r="AQ1078" s="841"/>
      <c r="AR1078" s="841"/>
      <c r="AS1078" s="842"/>
    </row>
    <row r="1079" spans="1:45">
      <c r="A1079" s="841"/>
      <c r="B1079" s="841"/>
      <c r="C1079" s="841"/>
      <c r="D1079" s="841"/>
      <c r="E1079" s="841"/>
      <c r="F1079" s="841"/>
      <c r="G1079" s="841"/>
      <c r="H1079" s="841"/>
      <c r="I1079" s="841"/>
      <c r="J1079" s="841"/>
      <c r="K1079" s="841"/>
      <c r="L1079" s="841"/>
      <c r="M1079" s="841"/>
      <c r="N1079" s="841"/>
      <c r="O1079" s="841"/>
      <c r="P1079" s="841"/>
      <c r="Q1079" s="841"/>
      <c r="R1079" s="841"/>
      <c r="S1079" s="841"/>
      <c r="T1079" s="841"/>
      <c r="U1079" s="841"/>
      <c r="V1079" s="841"/>
      <c r="W1079" s="841"/>
      <c r="X1079" s="841"/>
      <c r="Y1079" s="841"/>
      <c r="Z1079" s="1226"/>
      <c r="AA1079" s="1226"/>
      <c r="AB1079" s="1226"/>
      <c r="AC1079" s="1226"/>
      <c r="AD1079" s="1226"/>
      <c r="AE1079" s="1226"/>
      <c r="AF1079" s="1226"/>
      <c r="AG1079" s="1226"/>
      <c r="AH1079" s="1226"/>
      <c r="AI1079" s="841"/>
      <c r="AJ1079" s="841"/>
      <c r="AK1079" s="841"/>
      <c r="AL1079" s="841"/>
      <c r="AM1079" s="841"/>
      <c r="AN1079" s="841"/>
      <c r="AO1079" s="841"/>
      <c r="AP1079" s="841"/>
      <c r="AQ1079" s="841"/>
      <c r="AR1079" s="841"/>
      <c r="AS1079" s="842"/>
    </row>
    <row r="1080" spans="1:45">
      <c r="A1080" s="841"/>
      <c r="B1080" s="841"/>
      <c r="C1080" s="841"/>
      <c r="D1080" s="841"/>
      <c r="E1080" s="841"/>
      <c r="F1080" s="841"/>
      <c r="G1080" s="841"/>
      <c r="H1080" s="841"/>
      <c r="I1080" s="841"/>
      <c r="J1080" s="841"/>
      <c r="K1080" s="841"/>
      <c r="L1080" s="841"/>
      <c r="M1080" s="841"/>
      <c r="N1080" s="841"/>
      <c r="O1080" s="841"/>
      <c r="P1080" s="841"/>
      <c r="Q1080" s="841"/>
      <c r="R1080" s="841"/>
      <c r="S1080" s="841"/>
      <c r="T1080" s="841"/>
      <c r="U1080" s="841"/>
      <c r="V1080" s="841"/>
      <c r="W1080" s="841"/>
      <c r="X1080" s="841"/>
      <c r="Y1080" s="841"/>
      <c r="Z1080" s="1226"/>
      <c r="AA1080" s="1226"/>
      <c r="AB1080" s="1226"/>
      <c r="AC1080" s="1226"/>
      <c r="AD1080" s="1226"/>
      <c r="AE1080" s="1226"/>
      <c r="AF1080" s="1226"/>
      <c r="AG1080" s="1226"/>
      <c r="AH1080" s="1226"/>
      <c r="AI1080" s="841"/>
      <c r="AJ1080" s="841"/>
      <c r="AK1080" s="841"/>
      <c r="AL1080" s="841"/>
      <c r="AM1080" s="841"/>
      <c r="AN1080" s="841"/>
      <c r="AO1080" s="841"/>
      <c r="AP1080" s="841"/>
      <c r="AQ1080" s="841"/>
      <c r="AR1080" s="841"/>
      <c r="AS1080" s="842"/>
    </row>
    <row r="1081" spans="1:45">
      <c r="A1081" s="841"/>
      <c r="B1081" s="841"/>
      <c r="C1081" s="841"/>
      <c r="D1081" s="841"/>
      <c r="E1081" s="841"/>
      <c r="F1081" s="841"/>
      <c r="G1081" s="841"/>
      <c r="H1081" s="841"/>
      <c r="I1081" s="841"/>
      <c r="J1081" s="841"/>
      <c r="K1081" s="841"/>
      <c r="L1081" s="841"/>
      <c r="M1081" s="841"/>
      <c r="N1081" s="841"/>
      <c r="O1081" s="841"/>
      <c r="P1081" s="841"/>
      <c r="Q1081" s="841"/>
      <c r="R1081" s="841"/>
      <c r="S1081" s="841"/>
      <c r="T1081" s="841"/>
      <c r="U1081" s="841"/>
      <c r="V1081" s="841"/>
      <c r="W1081" s="841"/>
      <c r="X1081" s="841"/>
      <c r="Y1081" s="841"/>
      <c r="Z1081" s="1226"/>
      <c r="AA1081" s="1226"/>
      <c r="AB1081" s="1226"/>
      <c r="AC1081" s="1226"/>
      <c r="AD1081" s="1226"/>
      <c r="AE1081" s="1226"/>
      <c r="AF1081" s="1226"/>
      <c r="AG1081" s="1226"/>
      <c r="AH1081" s="1226"/>
      <c r="AI1081" s="841"/>
      <c r="AJ1081" s="841"/>
      <c r="AK1081" s="841"/>
      <c r="AL1081" s="841"/>
      <c r="AM1081" s="841"/>
      <c r="AN1081" s="841"/>
      <c r="AO1081" s="841"/>
      <c r="AP1081" s="841"/>
      <c r="AQ1081" s="841"/>
      <c r="AR1081" s="841"/>
      <c r="AS1081" s="842"/>
    </row>
    <row r="1082" spans="1:45">
      <c r="A1082" s="841"/>
      <c r="B1082" s="841"/>
      <c r="C1082" s="841"/>
      <c r="D1082" s="841"/>
      <c r="E1082" s="841"/>
      <c r="F1082" s="841"/>
      <c r="G1082" s="841"/>
      <c r="H1082" s="841"/>
      <c r="I1082" s="841"/>
      <c r="J1082" s="841"/>
      <c r="K1082" s="841"/>
      <c r="L1082" s="841"/>
      <c r="M1082" s="841"/>
      <c r="N1082" s="841"/>
      <c r="O1082" s="841"/>
      <c r="P1082" s="841"/>
      <c r="Q1082" s="841"/>
      <c r="R1082" s="841"/>
      <c r="S1082" s="841"/>
      <c r="T1082" s="841"/>
      <c r="U1082" s="841"/>
      <c r="V1082" s="841"/>
      <c r="W1082" s="841"/>
      <c r="X1082" s="841"/>
      <c r="Y1082" s="841"/>
      <c r="Z1082" s="1226"/>
      <c r="AA1082" s="1226"/>
      <c r="AB1082" s="1226"/>
      <c r="AC1082" s="1226"/>
      <c r="AD1082" s="1226"/>
      <c r="AE1082" s="1226"/>
      <c r="AF1082" s="1226"/>
      <c r="AG1082" s="1226"/>
      <c r="AH1082" s="1226"/>
      <c r="AI1082" s="841"/>
      <c r="AJ1082" s="841"/>
      <c r="AK1082" s="841"/>
      <c r="AL1082" s="841"/>
      <c r="AM1082" s="841"/>
      <c r="AN1082" s="841"/>
      <c r="AO1082" s="841"/>
      <c r="AP1082" s="841"/>
      <c r="AQ1082" s="841"/>
      <c r="AR1082" s="841"/>
      <c r="AS1082" s="842"/>
    </row>
    <row r="1083" spans="1:45">
      <c r="A1083" s="841"/>
      <c r="B1083" s="841"/>
      <c r="C1083" s="841"/>
      <c r="D1083" s="841"/>
      <c r="E1083" s="841"/>
      <c r="F1083" s="841"/>
      <c r="G1083" s="841"/>
      <c r="H1083" s="841"/>
      <c r="I1083" s="841"/>
      <c r="J1083" s="841"/>
      <c r="K1083" s="841"/>
      <c r="L1083" s="841"/>
      <c r="M1083" s="841"/>
      <c r="N1083" s="841"/>
      <c r="O1083" s="841"/>
      <c r="P1083" s="841"/>
      <c r="Q1083" s="841"/>
      <c r="R1083" s="841"/>
      <c r="S1083" s="841"/>
      <c r="T1083" s="841"/>
      <c r="U1083" s="841"/>
      <c r="V1083" s="841"/>
      <c r="W1083" s="841"/>
      <c r="X1083" s="841"/>
      <c r="Y1083" s="841"/>
      <c r="Z1083" s="1226"/>
      <c r="AA1083" s="1226"/>
      <c r="AB1083" s="1226"/>
      <c r="AC1083" s="1226"/>
      <c r="AD1083" s="1226"/>
      <c r="AE1083" s="1226"/>
      <c r="AF1083" s="1226"/>
      <c r="AG1083" s="1226"/>
      <c r="AH1083" s="1226"/>
      <c r="AI1083" s="841"/>
      <c r="AJ1083" s="841"/>
      <c r="AK1083" s="841"/>
      <c r="AL1083" s="841"/>
      <c r="AM1083" s="841"/>
      <c r="AN1083" s="841"/>
      <c r="AO1083" s="841"/>
      <c r="AP1083" s="841"/>
      <c r="AQ1083" s="841"/>
      <c r="AR1083" s="841"/>
      <c r="AS1083" s="842"/>
    </row>
    <row r="1084" spans="1:45">
      <c r="A1084" s="841"/>
      <c r="B1084" s="841"/>
      <c r="C1084" s="841"/>
      <c r="D1084" s="841"/>
      <c r="E1084" s="841"/>
      <c r="F1084" s="841"/>
      <c r="G1084" s="841"/>
      <c r="H1084" s="841"/>
      <c r="I1084" s="841"/>
      <c r="J1084" s="841"/>
      <c r="K1084" s="841"/>
      <c r="L1084" s="841"/>
      <c r="M1084" s="841"/>
      <c r="N1084" s="841"/>
      <c r="O1084" s="841"/>
      <c r="P1084" s="841"/>
      <c r="Q1084" s="841"/>
      <c r="R1084" s="841"/>
      <c r="S1084" s="841"/>
      <c r="T1084" s="841"/>
      <c r="U1084" s="841"/>
      <c r="V1084" s="841"/>
      <c r="W1084" s="841"/>
      <c r="X1084" s="841"/>
      <c r="Y1084" s="841"/>
      <c r="Z1084" s="1226"/>
      <c r="AA1084" s="1226"/>
      <c r="AB1084" s="1226"/>
      <c r="AC1084" s="1226"/>
      <c r="AD1084" s="1226"/>
      <c r="AE1084" s="1226"/>
      <c r="AF1084" s="1226"/>
      <c r="AG1084" s="1226"/>
      <c r="AH1084" s="1226"/>
      <c r="AI1084" s="841"/>
      <c r="AJ1084" s="841"/>
      <c r="AK1084" s="841"/>
      <c r="AL1084" s="841"/>
      <c r="AM1084" s="841"/>
      <c r="AN1084" s="841"/>
      <c r="AO1084" s="841"/>
      <c r="AP1084" s="841"/>
      <c r="AQ1084" s="841"/>
      <c r="AR1084" s="841"/>
      <c r="AS1084" s="842"/>
    </row>
    <row r="1085" spans="1:45">
      <c r="A1085" s="841"/>
      <c r="B1085" s="841"/>
      <c r="C1085" s="841"/>
      <c r="D1085" s="841"/>
      <c r="E1085" s="841"/>
      <c r="F1085" s="841"/>
      <c r="G1085" s="841"/>
      <c r="H1085" s="841"/>
      <c r="I1085" s="841"/>
      <c r="J1085" s="841"/>
      <c r="K1085" s="841"/>
      <c r="L1085" s="841"/>
      <c r="M1085" s="841"/>
      <c r="N1085" s="841"/>
      <c r="O1085" s="841"/>
      <c r="P1085" s="841"/>
      <c r="Q1085" s="841"/>
      <c r="R1085" s="841"/>
      <c r="S1085" s="841"/>
      <c r="T1085" s="841"/>
      <c r="U1085" s="841"/>
      <c r="V1085" s="841"/>
      <c r="W1085" s="841"/>
      <c r="X1085" s="841"/>
      <c r="Y1085" s="841"/>
      <c r="Z1085" s="1226"/>
      <c r="AA1085" s="1226"/>
      <c r="AB1085" s="1226"/>
      <c r="AC1085" s="1226"/>
      <c r="AD1085" s="1226"/>
      <c r="AE1085" s="1226"/>
      <c r="AF1085" s="1226"/>
      <c r="AG1085" s="1226"/>
      <c r="AH1085" s="1226"/>
      <c r="AI1085" s="841"/>
      <c r="AJ1085" s="841"/>
      <c r="AK1085" s="841"/>
      <c r="AL1085" s="841"/>
      <c r="AM1085" s="841"/>
      <c r="AN1085" s="841"/>
      <c r="AO1085" s="841"/>
      <c r="AP1085" s="841"/>
      <c r="AQ1085" s="841"/>
      <c r="AR1085" s="841"/>
      <c r="AS1085" s="842"/>
    </row>
    <row r="1086" spans="1:45">
      <c r="A1086" s="841"/>
      <c r="B1086" s="841"/>
      <c r="C1086" s="841"/>
      <c r="D1086" s="841"/>
      <c r="E1086" s="841"/>
      <c r="F1086" s="841"/>
      <c r="G1086" s="841"/>
      <c r="H1086" s="841"/>
      <c r="I1086" s="841"/>
      <c r="J1086" s="841"/>
      <c r="K1086" s="841"/>
      <c r="L1086" s="841"/>
      <c r="M1086" s="841"/>
      <c r="N1086" s="841"/>
      <c r="O1086" s="841"/>
      <c r="P1086" s="841"/>
      <c r="Q1086" s="841"/>
      <c r="R1086" s="841"/>
      <c r="S1086" s="841"/>
      <c r="T1086" s="841"/>
      <c r="U1086" s="841"/>
      <c r="V1086" s="841"/>
      <c r="W1086" s="841"/>
      <c r="X1086" s="841"/>
      <c r="Y1086" s="841"/>
      <c r="Z1086" s="1226"/>
      <c r="AA1086" s="1226"/>
      <c r="AB1086" s="1226"/>
      <c r="AC1086" s="1226"/>
      <c r="AD1086" s="1226"/>
      <c r="AE1086" s="1226"/>
      <c r="AF1086" s="1226"/>
      <c r="AG1086" s="1226"/>
      <c r="AH1086" s="1226"/>
      <c r="AI1086" s="841"/>
      <c r="AJ1086" s="841"/>
      <c r="AK1086" s="841"/>
      <c r="AL1086" s="841"/>
      <c r="AM1086" s="841"/>
      <c r="AN1086" s="841"/>
      <c r="AO1086" s="841"/>
      <c r="AP1086" s="841"/>
      <c r="AQ1086" s="841"/>
      <c r="AR1086" s="841"/>
      <c r="AS1086" s="842"/>
    </row>
    <row r="1087" spans="1:45">
      <c r="A1087" s="841"/>
      <c r="B1087" s="841"/>
      <c r="C1087" s="841"/>
      <c r="D1087" s="841"/>
      <c r="E1087" s="841"/>
      <c r="F1087" s="841"/>
      <c r="G1087" s="841"/>
      <c r="H1087" s="841"/>
      <c r="I1087" s="841"/>
      <c r="J1087" s="841"/>
      <c r="K1087" s="841"/>
      <c r="L1087" s="841"/>
      <c r="M1087" s="841"/>
      <c r="N1087" s="841"/>
      <c r="O1087" s="841"/>
      <c r="P1087" s="841"/>
      <c r="Q1087" s="841"/>
      <c r="R1087" s="841"/>
      <c r="S1087" s="841"/>
      <c r="T1087" s="841"/>
      <c r="U1087" s="841"/>
      <c r="V1087" s="841"/>
      <c r="W1087" s="841"/>
      <c r="X1087" s="841"/>
      <c r="Y1087" s="841"/>
      <c r="Z1087" s="1226"/>
      <c r="AA1087" s="1226"/>
      <c r="AB1087" s="1226"/>
      <c r="AC1087" s="1226"/>
      <c r="AD1087" s="1226"/>
      <c r="AE1087" s="1226"/>
      <c r="AF1087" s="1226"/>
      <c r="AG1087" s="1226"/>
      <c r="AH1087" s="1226"/>
      <c r="AI1087" s="841"/>
      <c r="AJ1087" s="841"/>
      <c r="AK1087" s="841"/>
      <c r="AL1087" s="841"/>
      <c r="AM1087" s="841"/>
      <c r="AN1087" s="841"/>
      <c r="AO1087" s="841"/>
      <c r="AP1087" s="841"/>
      <c r="AQ1087" s="841"/>
      <c r="AR1087" s="841"/>
      <c r="AS1087" s="842"/>
    </row>
    <row r="1088" spans="1:45">
      <c r="A1088" s="841"/>
      <c r="B1088" s="841"/>
      <c r="C1088" s="841"/>
      <c r="D1088" s="841"/>
      <c r="E1088" s="841"/>
      <c r="F1088" s="841"/>
      <c r="G1088" s="841"/>
      <c r="H1088" s="841"/>
      <c r="I1088" s="841"/>
      <c r="J1088" s="841"/>
      <c r="K1088" s="841"/>
      <c r="L1088" s="841"/>
      <c r="M1088" s="841"/>
      <c r="N1088" s="841"/>
      <c r="O1088" s="841"/>
      <c r="P1088" s="841"/>
      <c r="Q1088" s="841"/>
      <c r="R1088" s="841"/>
      <c r="S1088" s="841"/>
      <c r="T1088" s="841"/>
      <c r="U1088" s="841"/>
      <c r="V1088" s="841"/>
      <c r="W1088" s="841"/>
      <c r="X1088" s="841"/>
      <c r="Y1088" s="841"/>
      <c r="Z1088" s="1226"/>
      <c r="AA1088" s="1226"/>
      <c r="AB1088" s="1226"/>
      <c r="AC1088" s="1226"/>
      <c r="AD1088" s="1226"/>
      <c r="AE1088" s="1226"/>
      <c r="AF1088" s="1226"/>
      <c r="AG1088" s="1226"/>
      <c r="AH1088" s="1226"/>
      <c r="AI1088" s="841"/>
      <c r="AJ1088" s="841"/>
      <c r="AK1088" s="841"/>
      <c r="AL1088" s="841"/>
      <c r="AM1088" s="841"/>
      <c r="AN1088" s="841"/>
      <c r="AO1088" s="841"/>
      <c r="AP1088" s="841"/>
      <c r="AQ1088" s="841"/>
      <c r="AR1088" s="841"/>
      <c r="AS1088" s="842"/>
    </row>
    <row r="1089" spans="1:45">
      <c r="A1089" s="841"/>
      <c r="B1089" s="841"/>
      <c r="C1089" s="841"/>
      <c r="D1089" s="841"/>
      <c r="E1089" s="841"/>
      <c r="F1089" s="841"/>
      <c r="G1089" s="841"/>
      <c r="H1089" s="841"/>
      <c r="I1089" s="841"/>
      <c r="J1089" s="841"/>
      <c r="K1089" s="841"/>
      <c r="L1089" s="841"/>
      <c r="M1089" s="841"/>
      <c r="N1089" s="841"/>
      <c r="O1089" s="841"/>
      <c r="P1089" s="841"/>
      <c r="Q1089" s="841"/>
      <c r="R1089" s="841"/>
      <c r="S1089" s="841"/>
      <c r="T1089" s="841"/>
      <c r="U1089" s="841"/>
      <c r="V1089" s="841"/>
      <c r="W1089" s="841"/>
      <c r="X1089" s="841"/>
      <c r="Y1089" s="841"/>
      <c r="Z1089" s="1226"/>
      <c r="AA1089" s="1226"/>
      <c r="AB1089" s="1226"/>
      <c r="AC1089" s="1226"/>
      <c r="AD1089" s="1226"/>
      <c r="AE1089" s="1226"/>
      <c r="AF1089" s="1226"/>
      <c r="AG1089" s="1226"/>
      <c r="AH1089" s="1226"/>
      <c r="AI1089" s="841"/>
      <c r="AJ1089" s="841"/>
      <c r="AK1089" s="841"/>
      <c r="AL1089" s="841"/>
      <c r="AM1089" s="841"/>
      <c r="AN1089" s="841"/>
      <c r="AO1089" s="841"/>
      <c r="AP1089" s="841"/>
      <c r="AQ1089" s="841"/>
      <c r="AR1089" s="841"/>
      <c r="AS1089" s="842"/>
    </row>
    <row r="1090" spans="1:45">
      <c r="A1090" s="841"/>
      <c r="B1090" s="841"/>
      <c r="C1090" s="841"/>
      <c r="D1090" s="841"/>
      <c r="E1090" s="841"/>
      <c r="F1090" s="841"/>
      <c r="G1090" s="841"/>
      <c r="H1090" s="841"/>
      <c r="I1090" s="841"/>
      <c r="J1090" s="841"/>
      <c r="K1090" s="841"/>
      <c r="L1090" s="841"/>
      <c r="M1090" s="841"/>
      <c r="N1090" s="841"/>
      <c r="O1090" s="841"/>
      <c r="P1090" s="841"/>
      <c r="Q1090" s="841"/>
      <c r="R1090" s="841"/>
      <c r="S1090" s="841"/>
      <c r="T1090" s="841"/>
      <c r="U1090" s="841"/>
      <c r="V1090" s="841"/>
      <c r="W1090" s="841"/>
      <c r="X1090" s="841"/>
      <c r="Y1090" s="841"/>
      <c r="Z1090" s="1226"/>
      <c r="AA1090" s="1226"/>
      <c r="AB1090" s="1226"/>
      <c r="AC1090" s="1226"/>
      <c r="AD1090" s="1226"/>
      <c r="AE1090" s="1226"/>
      <c r="AF1090" s="1226"/>
      <c r="AG1090" s="1226"/>
      <c r="AH1090" s="1226"/>
      <c r="AI1090" s="841"/>
      <c r="AJ1090" s="841"/>
      <c r="AK1090" s="841"/>
      <c r="AL1090" s="841"/>
      <c r="AM1090" s="841"/>
      <c r="AN1090" s="841"/>
      <c r="AO1090" s="841"/>
      <c r="AP1090" s="841"/>
      <c r="AQ1090" s="841"/>
      <c r="AR1090" s="841"/>
      <c r="AS1090" s="842"/>
    </row>
    <row r="1091" spans="1:45">
      <c r="A1091" s="841"/>
      <c r="B1091" s="841"/>
      <c r="C1091" s="841"/>
      <c r="D1091" s="841"/>
      <c r="E1091" s="841"/>
      <c r="F1091" s="841"/>
      <c r="G1091" s="841"/>
      <c r="H1091" s="841"/>
      <c r="I1091" s="841"/>
      <c r="J1091" s="841"/>
      <c r="K1091" s="841"/>
      <c r="L1091" s="841"/>
      <c r="M1091" s="841"/>
      <c r="N1091" s="841"/>
      <c r="O1091" s="841"/>
      <c r="P1091" s="841"/>
      <c r="Q1091" s="841"/>
      <c r="R1091" s="841"/>
      <c r="S1091" s="841"/>
      <c r="T1091" s="841"/>
      <c r="U1091" s="841"/>
      <c r="V1091" s="841"/>
      <c r="W1091" s="841"/>
      <c r="X1091" s="841"/>
      <c r="Y1091" s="841"/>
      <c r="Z1091" s="1226"/>
      <c r="AA1091" s="1226"/>
      <c r="AB1091" s="1226"/>
      <c r="AC1091" s="1226"/>
      <c r="AD1091" s="1226"/>
      <c r="AE1091" s="1226"/>
      <c r="AF1091" s="1226"/>
      <c r="AG1091" s="1226"/>
      <c r="AH1091" s="1226"/>
      <c r="AI1091" s="841"/>
      <c r="AJ1091" s="841"/>
      <c r="AK1091" s="841"/>
      <c r="AL1091" s="841"/>
      <c r="AM1091" s="841"/>
      <c r="AN1091" s="841"/>
      <c r="AO1091" s="841"/>
      <c r="AP1091" s="841"/>
      <c r="AQ1091" s="841"/>
      <c r="AR1091" s="841"/>
      <c r="AS1091" s="842"/>
    </row>
    <row r="1092" spans="1:45">
      <c r="A1092" s="841"/>
      <c r="B1092" s="841"/>
      <c r="C1092" s="841"/>
      <c r="D1092" s="841"/>
      <c r="E1092" s="841"/>
      <c r="F1092" s="841"/>
      <c r="G1092" s="841"/>
      <c r="H1092" s="841"/>
      <c r="I1092" s="841"/>
      <c r="J1092" s="841"/>
      <c r="K1092" s="841"/>
      <c r="L1092" s="841"/>
      <c r="M1092" s="841"/>
      <c r="N1092" s="841"/>
      <c r="O1092" s="841"/>
      <c r="P1092" s="841"/>
      <c r="Q1092" s="841"/>
      <c r="R1092" s="841"/>
      <c r="S1092" s="841"/>
      <c r="T1092" s="841"/>
      <c r="U1092" s="841"/>
      <c r="V1092" s="841"/>
      <c r="W1092" s="841"/>
      <c r="X1092" s="841"/>
      <c r="Y1092" s="841"/>
      <c r="Z1092" s="1226"/>
      <c r="AA1092" s="1226"/>
      <c r="AB1092" s="1226"/>
      <c r="AC1092" s="1226"/>
      <c r="AD1092" s="1226"/>
      <c r="AE1092" s="1226"/>
      <c r="AF1092" s="1226"/>
      <c r="AG1092" s="1226"/>
      <c r="AH1092" s="1226"/>
      <c r="AI1092" s="841"/>
      <c r="AJ1092" s="841"/>
      <c r="AK1092" s="841"/>
      <c r="AL1092" s="841"/>
      <c r="AM1092" s="841"/>
      <c r="AN1092" s="841"/>
      <c r="AO1092" s="841"/>
      <c r="AP1092" s="841"/>
      <c r="AQ1092" s="841"/>
      <c r="AR1092" s="841"/>
      <c r="AS1092" s="842"/>
    </row>
    <row r="1093" spans="1:45">
      <c r="A1093" s="841"/>
      <c r="B1093" s="841"/>
      <c r="C1093" s="841"/>
      <c r="D1093" s="841"/>
      <c r="E1093" s="841"/>
      <c r="F1093" s="841"/>
      <c r="G1093" s="841"/>
      <c r="H1093" s="841"/>
      <c r="I1093" s="841"/>
      <c r="J1093" s="841"/>
      <c r="K1093" s="841"/>
      <c r="L1093" s="841"/>
      <c r="M1093" s="841"/>
      <c r="N1093" s="841"/>
      <c r="O1093" s="841"/>
      <c r="P1093" s="841"/>
      <c r="Q1093" s="841"/>
      <c r="R1093" s="841"/>
      <c r="S1093" s="841"/>
      <c r="T1093" s="841"/>
      <c r="U1093" s="841"/>
      <c r="V1093" s="841"/>
      <c r="W1093" s="841"/>
      <c r="X1093" s="841"/>
      <c r="Y1093" s="841"/>
      <c r="Z1093" s="1226"/>
      <c r="AA1093" s="1226"/>
      <c r="AB1093" s="1226"/>
      <c r="AC1093" s="1226"/>
      <c r="AD1093" s="1226"/>
      <c r="AE1093" s="1226"/>
      <c r="AF1093" s="1226"/>
      <c r="AG1093" s="1226"/>
      <c r="AH1093" s="1226"/>
      <c r="AI1093" s="841"/>
      <c r="AJ1093" s="841"/>
      <c r="AK1093" s="841"/>
      <c r="AL1093" s="841"/>
      <c r="AM1093" s="841"/>
      <c r="AN1093" s="841"/>
      <c r="AO1093" s="841"/>
      <c r="AP1093" s="841"/>
      <c r="AQ1093" s="841"/>
      <c r="AR1093" s="841"/>
      <c r="AS1093" s="842"/>
    </row>
    <row r="1094" spans="1:45">
      <c r="A1094" s="841"/>
      <c r="B1094" s="841"/>
      <c r="C1094" s="841"/>
      <c r="D1094" s="841"/>
      <c r="E1094" s="841"/>
      <c r="F1094" s="841"/>
      <c r="G1094" s="841"/>
      <c r="H1094" s="841"/>
      <c r="I1094" s="841"/>
      <c r="J1094" s="841"/>
      <c r="K1094" s="841"/>
      <c r="L1094" s="841"/>
      <c r="M1094" s="841"/>
      <c r="N1094" s="841"/>
      <c r="O1094" s="841"/>
      <c r="P1094" s="841"/>
      <c r="Q1094" s="841"/>
      <c r="R1094" s="841"/>
      <c r="S1094" s="841"/>
      <c r="T1094" s="841"/>
      <c r="U1094" s="841"/>
      <c r="V1094" s="841"/>
      <c r="W1094" s="841"/>
      <c r="X1094" s="841"/>
      <c r="Y1094" s="841"/>
      <c r="Z1094" s="1226"/>
      <c r="AA1094" s="1226"/>
      <c r="AB1094" s="1226"/>
      <c r="AC1094" s="1226"/>
      <c r="AD1094" s="1226"/>
      <c r="AE1094" s="1226"/>
      <c r="AF1094" s="1226"/>
      <c r="AG1094" s="1226"/>
      <c r="AH1094" s="1226"/>
      <c r="AI1094" s="841"/>
      <c r="AJ1094" s="841"/>
      <c r="AK1094" s="841"/>
      <c r="AL1094" s="841"/>
      <c r="AM1094" s="841"/>
      <c r="AN1094" s="841"/>
      <c r="AO1094" s="841"/>
      <c r="AP1094" s="841"/>
      <c r="AQ1094" s="841"/>
      <c r="AR1094" s="841"/>
      <c r="AS1094" s="842"/>
    </row>
    <row r="1095" spans="1:45">
      <c r="A1095" s="841"/>
      <c r="B1095" s="841"/>
      <c r="C1095" s="841"/>
      <c r="D1095" s="841"/>
      <c r="E1095" s="841"/>
      <c r="F1095" s="841"/>
      <c r="G1095" s="841"/>
      <c r="H1095" s="841"/>
      <c r="I1095" s="841"/>
      <c r="J1095" s="841"/>
      <c r="K1095" s="841"/>
      <c r="L1095" s="841"/>
      <c r="M1095" s="841"/>
      <c r="N1095" s="841"/>
      <c r="O1095" s="841"/>
      <c r="P1095" s="841"/>
      <c r="Q1095" s="841"/>
      <c r="R1095" s="841"/>
      <c r="S1095" s="841"/>
      <c r="T1095" s="841"/>
      <c r="U1095" s="841"/>
      <c r="V1095" s="841"/>
      <c r="W1095" s="841"/>
      <c r="X1095" s="841"/>
      <c r="Y1095" s="841"/>
      <c r="Z1095" s="1226"/>
      <c r="AA1095" s="1226"/>
      <c r="AB1095" s="1226"/>
      <c r="AC1095" s="1226"/>
      <c r="AD1095" s="1226"/>
      <c r="AE1095" s="1226"/>
      <c r="AF1095" s="1226"/>
      <c r="AG1095" s="1226"/>
      <c r="AH1095" s="1226"/>
      <c r="AI1095" s="841"/>
      <c r="AJ1095" s="841"/>
      <c r="AK1095" s="841"/>
      <c r="AL1095" s="841"/>
      <c r="AM1095" s="841"/>
      <c r="AN1095" s="841"/>
      <c r="AO1095" s="841"/>
      <c r="AP1095" s="841"/>
      <c r="AQ1095" s="841"/>
      <c r="AR1095" s="841"/>
      <c r="AS1095" s="842"/>
    </row>
    <row r="1096" spans="1:45">
      <c r="A1096" s="841"/>
      <c r="B1096" s="841"/>
      <c r="C1096" s="841"/>
      <c r="D1096" s="841"/>
      <c r="E1096" s="841"/>
      <c r="F1096" s="841"/>
      <c r="G1096" s="841"/>
      <c r="H1096" s="841"/>
      <c r="I1096" s="841"/>
      <c r="J1096" s="841"/>
      <c r="K1096" s="841"/>
      <c r="L1096" s="841"/>
      <c r="M1096" s="841"/>
      <c r="N1096" s="841"/>
      <c r="O1096" s="841"/>
      <c r="P1096" s="841"/>
      <c r="Q1096" s="841"/>
      <c r="R1096" s="841"/>
      <c r="S1096" s="841"/>
      <c r="T1096" s="841"/>
      <c r="U1096" s="841"/>
      <c r="V1096" s="841"/>
      <c r="W1096" s="841"/>
      <c r="X1096" s="841"/>
      <c r="Y1096" s="841"/>
      <c r="Z1096" s="1226"/>
      <c r="AA1096" s="1226"/>
      <c r="AB1096" s="1226"/>
      <c r="AC1096" s="1226"/>
      <c r="AD1096" s="1226"/>
      <c r="AE1096" s="1226"/>
      <c r="AF1096" s="1226"/>
      <c r="AG1096" s="1226"/>
      <c r="AH1096" s="1226"/>
      <c r="AI1096" s="841"/>
      <c r="AJ1096" s="841"/>
      <c r="AK1096" s="841"/>
      <c r="AL1096" s="841"/>
      <c r="AM1096" s="841"/>
      <c r="AN1096" s="841"/>
      <c r="AO1096" s="841"/>
      <c r="AP1096" s="841"/>
      <c r="AQ1096" s="841"/>
      <c r="AR1096" s="841"/>
      <c r="AS1096" s="842"/>
    </row>
    <row r="1097" spans="1:45">
      <c r="A1097" s="841"/>
      <c r="B1097" s="841"/>
      <c r="C1097" s="841"/>
      <c r="D1097" s="841"/>
      <c r="E1097" s="841"/>
      <c r="F1097" s="841"/>
      <c r="G1097" s="841"/>
      <c r="H1097" s="841"/>
      <c r="I1097" s="841"/>
      <c r="J1097" s="841"/>
      <c r="K1097" s="841"/>
      <c r="L1097" s="841"/>
      <c r="M1097" s="841"/>
      <c r="N1097" s="841"/>
      <c r="O1097" s="841"/>
      <c r="P1097" s="841"/>
      <c r="Q1097" s="841"/>
      <c r="R1097" s="841"/>
      <c r="S1097" s="841"/>
      <c r="T1097" s="841"/>
      <c r="U1097" s="841"/>
      <c r="V1097" s="841"/>
      <c r="W1097" s="841"/>
      <c r="X1097" s="841"/>
      <c r="Y1097" s="841"/>
      <c r="Z1097" s="1226"/>
      <c r="AA1097" s="1226"/>
      <c r="AB1097" s="1226"/>
      <c r="AC1097" s="1226"/>
      <c r="AD1097" s="1226"/>
      <c r="AE1097" s="1226"/>
      <c r="AF1097" s="1226"/>
      <c r="AG1097" s="1226"/>
      <c r="AH1097" s="1226"/>
      <c r="AI1097" s="841"/>
      <c r="AJ1097" s="841"/>
      <c r="AK1097" s="841"/>
      <c r="AL1097" s="841"/>
      <c r="AM1097" s="841"/>
      <c r="AN1097" s="841"/>
      <c r="AO1097" s="841"/>
      <c r="AP1097" s="841"/>
      <c r="AQ1097" s="841"/>
      <c r="AR1097" s="841"/>
      <c r="AS1097" s="842"/>
    </row>
    <row r="1098" spans="1:45">
      <c r="A1098" s="841"/>
      <c r="B1098" s="841"/>
      <c r="C1098" s="841"/>
      <c r="D1098" s="841"/>
      <c r="E1098" s="841"/>
      <c r="F1098" s="841"/>
      <c r="G1098" s="841"/>
      <c r="H1098" s="841"/>
      <c r="I1098" s="841"/>
      <c r="J1098" s="841"/>
      <c r="K1098" s="841"/>
      <c r="L1098" s="841"/>
      <c r="M1098" s="841"/>
      <c r="N1098" s="841"/>
      <c r="O1098" s="841"/>
      <c r="P1098" s="841"/>
      <c r="Q1098" s="841"/>
      <c r="R1098" s="841"/>
      <c r="S1098" s="841"/>
      <c r="T1098" s="841"/>
      <c r="U1098" s="841"/>
      <c r="V1098" s="841"/>
      <c r="W1098" s="841"/>
      <c r="X1098" s="841"/>
      <c r="Y1098" s="841"/>
      <c r="Z1098" s="1226"/>
      <c r="AA1098" s="1226"/>
      <c r="AB1098" s="1226"/>
      <c r="AC1098" s="1226"/>
      <c r="AD1098" s="1226"/>
      <c r="AE1098" s="1226"/>
      <c r="AF1098" s="1226"/>
      <c r="AG1098" s="1226"/>
      <c r="AH1098" s="1226"/>
      <c r="AI1098" s="841"/>
      <c r="AJ1098" s="841"/>
      <c r="AK1098" s="841"/>
      <c r="AL1098" s="841"/>
      <c r="AM1098" s="841"/>
      <c r="AN1098" s="841"/>
      <c r="AO1098" s="841"/>
      <c r="AP1098" s="841"/>
      <c r="AQ1098" s="841"/>
      <c r="AR1098" s="841"/>
      <c r="AS1098" s="842"/>
    </row>
    <row r="1099" spans="1:45">
      <c r="A1099" s="841"/>
      <c r="B1099" s="841"/>
      <c r="C1099" s="841"/>
      <c r="D1099" s="841"/>
      <c r="E1099" s="841"/>
      <c r="F1099" s="841"/>
      <c r="G1099" s="841"/>
      <c r="H1099" s="841"/>
      <c r="I1099" s="841"/>
      <c r="J1099" s="841"/>
      <c r="K1099" s="841"/>
      <c r="L1099" s="841"/>
      <c r="M1099" s="841"/>
      <c r="N1099" s="841"/>
      <c r="O1099" s="841"/>
      <c r="P1099" s="841"/>
      <c r="Q1099" s="841"/>
      <c r="R1099" s="841"/>
      <c r="S1099" s="841"/>
      <c r="T1099" s="841"/>
      <c r="U1099" s="841"/>
      <c r="V1099" s="841"/>
      <c r="W1099" s="841"/>
      <c r="X1099" s="841"/>
      <c r="Y1099" s="841"/>
      <c r="Z1099" s="1226"/>
      <c r="AA1099" s="1226"/>
      <c r="AB1099" s="1226"/>
      <c r="AC1099" s="1226"/>
      <c r="AD1099" s="1226"/>
      <c r="AE1099" s="1226"/>
      <c r="AF1099" s="1226"/>
      <c r="AG1099" s="1226"/>
      <c r="AH1099" s="1226"/>
      <c r="AI1099" s="841"/>
      <c r="AJ1099" s="841"/>
      <c r="AK1099" s="841"/>
      <c r="AL1099" s="841"/>
      <c r="AM1099" s="841"/>
      <c r="AN1099" s="841"/>
      <c r="AO1099" s="841"/>
      <c r="AP1099" s="841"/>
      <c r="AQ1099" s="841"/>
      <c r="AR1099" s="841"/>
      <c r="AS1099" s="842"/>
    </row>
    <row r="1100" spans="1:45">
      <c r="A1100" s="841"/>
      <c r="B1100" s="841"/>
      <c r="C1100" s="841"/>
      <c r="D1100" s="841"/>
      <c r="E1100" s="841"/>
      <c r="F1100" s="841"/>
      <c r="G1100" s="841"/>
      <c r="H1100" s="841"/>
      <c r="I1100" s="841"/>
      <c r="J1100" s="841"/>
      <c r="K1100" s="841"/>
      <c r="L1100" s="841"/>
      <c r="M1100" s="841"/>
      <c r="N1100" s="841"/>
      <c r="O1100" s="841"/>
      <c r="P1100" s="841"/>
      <c r="Q1100" s="841"/>
      <c r="R1100" s="841"/>
      <c r="S1100" s="841"/>
      <c r="T1100" s="841"/>
      <c r="U1100" s="841"/>
      <c r="V1100" s="841"/>
      <c r="W1100" s="841"/>
      <c r="X1100" s="841"/>
      <c r="Y1100" s="841"/>
      <c r="Z1100" s="1226"/>
      <c r="AA1100" s="1226"/>
      <c r="AB1100" s="1226"/>
      <c r="AC1100" s="1226"/>
      <c r="AD1100" s="1226"/>
      <c r="AE1100" s="1226"/>
      <c r="AF1100" s="1226"/>
      <c r="AG1100" s="1226"/>
      <c r="AH1100" s="1226"/>
      <c r="AI1100" s="841"/>
      <c r="AJ1100" s="841"/>
      <c r="AK1100" s="841"/>
      <c r="AL1100" s="841"/>
      <c r="AM1100" s="841"/>
      <c r="AN1100" s="841"/>
      <c r="AO1100" s="841"/>
      <c r="AP1100" s="841"/>
      <c r="AQ1100" s="841"/>
      <c r="AR1100" s="841"/>
      <c r="AS1100" s="842"/>
    </row>
    <row r="1101" spans="1:45">
      <c r="A1101" s="841"/>
      <c r="B1101" s="841"/>
      <c r="C1101" s="841"/>
      <c r="D1101" s="841"/>
      <c r="E1101" s="841"/>
      <c r="F1101" s="841"/>
      <c r="G1101" s="841"/>
      <c r="H1101" s="841"/>
      <c r="I1101" s="841"/>
      <c r="J1101" s="841"/>
      <c r="K1101" s="841"/>
      <c r="L1101" s="841"/>
      <c r="M1101" s="841"/>
      <c r="N1101" s="841"/>
      <c r="O1101" s="841"/>
      <c r="P1101" s="841"/>
      <c r="Q1101" s="841"/>
      <c r="R1101" s="841"/>
      <c r="S1101" s="841"/>
      <c r="T1101" s="841"/>
      <c r="U1101" s="841"/>
      <c r="V1101" s="841"/>
      <c r="W1101" s="841"/>
      <c r="X1101" s="841"/>
      <c r="Y1101" s="841"/>
      <c r="Z1101" s="1226"/>
      <c r="AA1101" s="1226"/>
      <c r="AB1101" s="1226"/>
      <c r="AC1101" s="1226"/>
      <c r="AD1101" s="1226"/>
      <c r="AE1101" s="1226"/>
      <c r="AF1101" s="1226"/>
      <c r="AG1101" s="1226"/>
      <c r="AH1101" s="1226"/>
      <c r="AI1101" s="841"/>
      <c r="AJ1101" s="841"/>
      <c r="AK1101" s="841"/>
      <c r="AL1101" s="841"/>
      <c r="AM1101" s="841"/>
      <c r="AN1101" s="841"/>
      <c r="AO1101" s="841"/>
      <c r="AP1101" s="841"/>
      <c r="AQ1101" s="841"/>
      <c r="AR1101" s="841"/>
      <c r="AS1101" s="842"/>
    </row>
    <row r="1102" spans="1:45">
      <c r="A1102" s="841"/>
      <c r="B1102" s="841"/>
      <c r="C1102" s="841"/>
      <c r="D1102" s="841"/>
      <c r="E1102" s="841"/>
      <c r="F1102" s="841"/>
      <c r="G1102" s="841"/>
      <c r="H1102" s="841"/>
      <c r="I1102" s="841"/>
      <c r="J1102" s="841"/>
      <c r="K1102" s="841"/>
      <c r="L1102" s="841"/>
      <c r="M1102" s="841"/>
      <c r="N1102" s="841"/>
      <c r="O1102" s="841"/>
      <c r="P1102" s="841"/>
      <c r="Q1102" s="841"/>
      <c r="R1102" s="841"/>
      <c r="S1102" s="841"/>
      <c r="T1102" s="841"/>
      <c r="U1102" s="841"/>
      <c r="V1102" s="841"/>
      <c r="W1102" s="841"/>
      <c r="X1102" s="841"/>
      <c r="Y1102" s="841"/>
      <c r="Z1102" s="1226"/>
      <c r="AA1102" s="1226"/>
      <c r="AB1102" s="1226"/>
      <c r="AC1102" s="1226"/>
      <c r="AD1102" s="1226"/>
      <c r="AE1102" s="1226"/>
      <c r="AF1102" s="1226"/>
      <c r="AG1102" s="1226"/>
      <c r="AH1102" s="1226"/>
      <c r="AI1102" s="841"/>
      <c r="AJ1102" s="841"/>
      <c r="AK1102" s="841"/>
      <c r="AL1102" s="841"/>
      <c r="AM1102" s="841"/>
      <c r="AN1102" s="841"/>
      <c r="AO1102" s="841"/>
      <c r="AP1102" s="841"/>
      <c r="AQ1102" s="841"/>
      <c r="AR1102" s="841"/>
      <c r="AS1102" s="842"/>
    </row>
    <row r="1103" spans="1:45">
      <c r="A1103" s="841"/>
      <c r="B1103" s="841"/>
      <c r="C1103" s="841"/>
      <c r="D1103" s="841"/>
      <c r="E1103" s="841"/>
      <c r="F1103" s="841"/>
      <c r="G1103" s="841"/>
      <c r="H1103" s="841"/>
      <c r="I1103" s="841"/>
      <c r="J1103" s="841"/>
      <c r="K1103" s="841"/>
      <c r="L1103" s="841"/>
      <c r="M1103" s="841"/>
      <c r="N1103" s="841"/>
      <c r="O1103" s="841"/>
      <c r="P1103" s="841"/>
      <c r="Q1103" s="841"/>
      <c r="R1103" s="841"/>
      <c r="S1103" s="841"/>
      <c r="T1103" s="841"/>
      <c r="U1103" s="841"/>
      <c r="V1103" s="841"/>
      <c r="W1103" s="841"/>
      <c r="X1103" s="841"/>
      <c r="Y1103" s="841"/>
      <c r="Z1103" s="1226"/>
      <c r="AA1103" s="1226"/>
      <c r="AB1103" s="1226"/>
      <c r="AC1103" s="1226"/>
      <c r="AD1103" s="1226"/>
      <c r="AE1103" s="1226"/>
      <c r="AF1103" s="1226"/>
      <c r="AG1103" s="1226"/>
      <c r="AH1103" s="1226"/>
      <c r="AI1103" s="841"/>
      <c r="AJ1103" s="841"/>
      <c r="AK1103" s="841"/>
      <c r="AL1103" s="841"/>
      <c r="AM1103" s="841"/>
      <c r="AN1103" s="841"/>
      <c r="AO1103" s="841"/>
      <c r="AP1103" s="841"/>
      <c r="AQ1103" s="841"/>
      <c r="AR1103" s="841"/>
      <c r="AS1103" s="842"/>
    </row>
    <row r="1104" spans="1:45">
      <c r="A1104" s="841"/>
      <c r="B1104" s="841"/>
      <c r="C1104" s="841"/>
      <c r="D1104" s="841"/>
      <c r="E1104" s="841"/>
      <c r="F1104" s="841"/>
      <c r="G1104" s="841"/>
      <c r="H1104" s="841"/>
      <c r="I1104" s="841"/>
      <c r="J1104" s="841"/>
      <c r="K1104" s="841"/>
      <c r="L1104" s="841"/>
      <c r="M1104" s="841"/>
      <c r="N1104" s="841"/>
      <c r="O1104" s="841"/>
      <c r="P1104" s="841"/>
      <c r="Q1104" s="841"/>
      <c r="R1104" s="841"/>
      <c r="S1104" s="841"/>
      <c r="T1104" s="841"/>
      <c r="U1104" s="841"/>
      <c r="V1104" s="841"/>
      <c r="W1104" s="841"/>
      <c r="X1104" s="841"/>
      <c r="Y1104" s="841"/>
      <c r="Z1104" s="1226"/>
      <c r="AA1104" s="1226"/>
      <c r="AB1104" s="1226"/>
      <c r="AC1104" s="1226"/>
      <c r="AD1104" s="1226"/>
      <c r="AE1104" s="1226"/>
      <c r="AF1104" s="1226"/>
      <c r="AG1104" s="1226"/>
      <c r="AH1104" s="1226"/>
      <c r="AI1104" s="841"/>
      <c r="AJ1104" s="841"/>
      <c r="AK1104" s="841"/>
      <c r="AL1104" s="841"/>
      <c r="AM1104" s="841"/>
      <c r="AN1104" s="841"/>
      <c r="AO1104" s="841"/>
      <c r="AP1104" s="841"/>
      <c r="AQ1104" s="841"/>
      <c r="AR1104" s="841"/>
      <c r="AS1104" s="842"/>
    </row>
    <row r="1105" spans="1:45">
      <c r="A1105" s="841"/>
      <c r="B1105" s="841"/>
      <c r="C1105" s="841"/>
      <c r="D1105" s="841"/>
      <c r="E1105" s="841"/>
      <c r="F1105" s="841"/>
      <c r="G1105" s="841"/>
      <c r="H1105" s="841"/>
      <c r="I1105" s="841"/>
      <c r="J1105" s="841"/>
      <c r="K1105" s="841"/>
      <c r="L1105" s="841"/>
      <c r="M1105" s="841"/>
      <c r="N1105" s="841"/>
      <c r="O1105" s="841"/>
      <c r="P1105" s="841"/>
      <c r="Q1105" s="841"/>
      <c r="R1105" s="841"/>
      <c r="S1105" s="841"/>
      <c r="T1105" s="841"/>
      <c r="U1105" s="841"/>
      <c r="V1105" s="841"/>
      <c r="W1105" s="841"/>
      <c r="X1105" s="841"/>
      <c r="Y1105" s="841"/>
      <c r="Z1105" s="1226"/>
      <c r="AA1105" s="1226"/>
      <c r="AB1105" s="1226"/>
      <c r="AC1105" s="1226"/>
      <c r="AD1105" s="1226"/>
      <c r="AE1105" s="1226"/>
      <c r="AF1105" s="1226"/>
      <c r="AG1105" s="1226"/>
      <c r="AH1105" s="1226"/>
      <c r="AI1105" s="841"/>
      <c r="AJ1105" s="841"/>
      <c r="AK1105" s="841"/>
      <c r="AL1105" s="841"/>
      <c r="AM1105" s="841"/>
      <c r="AN1105" s="841"/>
      <c r="AO1105" s="841"/>
      <c r="AP1105" s="841"/>
      <c r="AQ1105" s="841"/>
      <c r="AR1105" s="841"/>
      <c r="AS1105" s="842"/>
    </row>
    <row r="1106" spans="1:45">
      <c r="A1106" s="841"/>
      <c r="B1106" s="841"/>
      <c r="C1106" s="841"/>
      <c r="D1106" s="841"/>
      <c r="E1106" s="841"/>
      <c r="F1106" s="841"/>
      <c r="G1106" s="841"/>
      <c r="H1106" s="841"/>
      <c r="I1106" s="841"/>
      <c r="J1106" s="841"/>
      <c r="K1106" s="841"/>
      <c r="L1106" s="841"/>
      <c r="M1106" s="841"/>
      <c r="N1106" s="841"/>
      <c r="O1106" s="841"/>
      <c r="P1106" s="841"/>
      <c r="Q1106" s="841"/>
      <c r="R1106" s="841"/>
      <c r="S1106" s="841"/>
      <c r="T1106" s="841"/>
      <c r="U1106" s="841"/>
      <c r="V1106" s="841"/>
      <c r="W1106" s="841"/>
      <c r="X1106" s="841"/>
      <c r="Y1106" s="841"/>
      <c r="Z1106" s="1226"/>
      <c r="AA1106" s="1226"/>
      <c r="AB1106" s="1226"/>
      <c r="AC1106" s="1226"/>
      <c r="AD1106" s="1226"/>
      <c r="AE1106" s="1226"/>
      <c r="AF1106" s="1226"/>
      <c r="AG1106" s="1226"/>
      <c r="AH1106" s="1226"/>
      <c r="AI1106" s="841"/>
      <c r="AJ1106" s="841"/>
      <c r="AK1106" s="841"/>
      <c r="AL1106" s="841"/>
      <c r="AM1106" s="841"/>
      <c r="AN1106" s="841"/>
      <c r="AO1106" s="841"/>
      <c r="AP1106" s="841"/>
      <c r="AQ1106" s="841"/>
      <c r="AR1106" s="841"/>
      <c r="AS1106" s="842"/>
    </row>
    <row r="1107" spans="1:45">
      <c r="A1107" s="841"/>
      <c r="B1107" s="841"/>
      <c r="C1107" s="841"/>
      <c r="D1107" s="841"/>
      <c r="E1107" s="841"/>
      <c r="F1107" s="841"/>
      <c r="G1107" s="841"/>
      <c r="H1107" s="841"/>
      <c r="I1107" s="841"/>
      <c r="J1107" s="841"/>
      <c r="K1107" s="841"/>
      <c r="L1107" s="841"/>
      <c r="M1107" s="841"/>
      <c r="N1107" s="841"/>
      <c r="O1107" s="841"/>
      <c r="P1107" s="841"/>
      <c r="Q1107" s="841"/>
      <c r="R1107" s="841"/>
      <c r="S1107" s="841"/>
      <c r="T1107" s="841"/>
      <c r="U1107" s="841"/>
      <c r="V1107" s="841"/>
      <c r="W1107" s="841"/>
      <c r="X1107" s="841"/>
      <c r="Y1107" s="841"/>
      <c r="Z1107" s="1226"/>
      <c r="AA1107" s="1226"/>
      <c r="AB1107" s="1226"/>
      <c r="AC1107" s="1226"/>
      <c r="AD1107" s="1226"/>
      <c r="AE1107" s="1226"/>
      <c r="AF1107" s="1226"/>
      <c r="AG1107" s="1226"/>
      <c r="AH1107" s="1226"/>
      <c r="AI1107" s="841"/>
      <c r="AJ1107" s="841"/>
      <c r="AK1107" s="841"/>
      <c r="AL1107" s="841"/>
      <c r="AM1107" s="841"/>
      <c r="AN1107" s="841"/>
      <c r="AO1107" s="841"/>
      <c r="AP1107" s="841"/>
      <c r="AQ1107" s="841"/>
      <c r="AR1107" s="841"/>
      <c r="AS1107" s="842"/>
    </row>
    <row r="1108" spans="1:45">
      <c r="A1108" s="841"/>
      <c r="B1108" s="841"/>
      <c r="C1108" s="841"/>
      <c r="D1108" s="841"/>
      <c r="E1108" s="841"/>
      <c r="F1108" s="841"/>
      <c r="G1108" s="841"/>
      <c r="H1108" s="841"/>
      <c r="I1108" s="841"/>
      <c r="J1108" s="841"/>
      <c r="K1108" s="841"/>
      <c r="L1108" s="841"/>
      <c r="M1108" s="841"/>
      <c r="N1108" s="841"/>
      <c r="O1108" s="841"/>
      <c r="P1108" s="841"/>
      <c r="Q1108" s="841"/>
      <c r="R1108" s="841"/>
      <c r="S1108" s="841"/>
      <c r="T1108" s="841"/>
      <c r="U1108" s="841"/>
      <c r="V1108" s="841"/>
      <c r="W1108" s="841"/>
      <c r="X1108" s="841"/>
      <c r="Y1108" s="841"/>
      <c r="Z1108" s="1226"/>
      <c r="AA1108" s="1226"/>
      <c r="AB1108" s="1226"/>
      <c r="AC1108" s="1226"/>
      <c r="AD1108" s="1226"/>
      <c r="AE1108" s="1226"/>
      <c r="AF1108" s="1226"/>
      <c r="AG1108" s="1226"/>
      <c r="AH1108" s="1226"/>
      <c r="AI1108" s="841"/>
      <c r="AJ1108" s="841"/>
      <c r="AK1108" s="841"/>
      <c r="AL1108" s="841"/>
      <c r="AM1108" s="841"/>
      <c r="AN1108" s="841"/>
      <c r="AO1108" s="841"/>
      <c r="AP1108" s="841"/>
      <c r="AQ1108" s="841"/>
      <c r="AR1108" s="841"/>
      <c r="AS1108" s="842"/>
    </row>
    <row r="1109" spans="1:45">
      <c r="A1109" s="841"/>
      <c r="B1109" s="841"/>
      <c r="C1109" s="841"/>
      <c r="D1109" s="841"/>
      <c r="E1109" s="841"/>
      <c r="F1109" s="841"/>
      <c r="G1109" s="841"/>
      <c r="H1109" s="841"/>
      <c r="I1109" s="841"/>
      <c r="J1109" s="841"/>
      <c r="K1109" s="841"/>
      <c r="L1109" s="841"/>
      <c r="M1109" s="841"/>
      <c r="N1109" s="841"/>
      <c r="O1109" s="841"/>
      <c r="P1109" s="841"/>
      <c r="Q1109" s="841"/>
      <c r="R1109" s="841"/>
      <c r="S1109" s="841"/>
      <c r="T1109" s="841"/>
      <c r="U1109" s="841"/>
      <c r="V1109" s="841"/>
      <c r="W1109" s="841"/>
      <c r="X1109" s="841"/>
      <c r="Y1109" s="841"/>
      <c r="Z1109" s="1226"/>
      <c r="AA1109" s="1226"/>
      <c r="AB1109" s="1226"/>
      <c r="AC1109" s="1226"/>
      <c r="AD1109" s="1226"/>
      <c r="AE1109" s="1226"/>
      <c r="AF1109" s="1226"/>
      <c r="AG1109" s="1226"/>
      <c r="AH1109" s="1226"/>
      <c r="AI1109" s="841"/>
      <c r="AJ1109" s="841"/>
      <c r="AK1109" s="841"/>
      <c r="AL1109" s="841"/>
      <c r="AM1109" s="841"/>
      <c r="AN1109" s="841"/>
      <c r="AO1109" s="841"/>
      <c r="AP1109" s="841"/>
      <c r="AQ1109" s="841"/>
      <c r="AR1109" s="841"/>
      <c r="AS1109" s="842"/>
    </row>
    <row r="1110" spans="1:45">
      <c r="A1110" s="841"/>
      <c r="B1110" s="841"/>
      <c r="C1110" s="841"/>
      <c r="D1110" s="841"/>
      <c r="E1110" s="841"/>
      <c r="F1110" s="841"/>
      <c r="G1110" s="841"/>
      <c r="H1110" s="841"/>
      <c r="I1110" s="841"/>
      <c r="J1110" s="841"/>
      <c r="K1110" s="841"/>
      <c r="L1110" s="841"/>
      <c r="M1110" s="841"/>
      <c r="N1110" s="841"/>
      <c r="O1110" s="841"/>
      <c r="P1110" s="841"/>
      <c r="Q1110" s="841"/>
      <c r="R1110" s="841"/>
      <c r="S1110" s="841"/>
      <c r="T1110" s="841"/>
      <c r="U1110" s="841"/>
      <c r="V1110" s="841"/>
      <c r="W1110" s="841"/>
      <c r="X1110" s="841"/>
      <c r="Y1110" s="841"/>
      <c r="Z1110" s="1226"/>
      <c r="AA1110" s="1226"/>
      <c r="AB1110" s="1226"/>
      <c r="AC1110" s="1226"/>
      <c r="AD1110" s="1226"/>
      <c r="AE1110" s="1226"/>
      <c r="AF1110" s="1226"/>
      <c r="AG1110" s="1226"/>
      <c r="AH1110" s="1226"/>
      <c r="AI1110" s="841"/>
      <c r="AJ1110" s="841"/>
      <c r="AK1110" s="841"/>
      <c r="AL1110" s="841"/>
      <c r="AM1110" s="841"/>
      <c r="AN1110" s="841"/>
      <c r="AO1110" s="841"/>
      <c r="AP1110" s="841"/>
      <c r="AQ1110" s="841"/>
      <c r="AR1110" s="841"/>
      <c r="AS1110" s="842"/>
    </row>
    <row r="1111" spans="1:45">
      <c r="A1111" s="841"/>
      <c r="B1111" s="841"/>
      <c r="C1111" s="841"/>
      <c r="D1111" s="841"/>
      <c r="E1111" s="841"/>
      <c r="F1111" s="841"/>
      <c r="G1111" s="841"/>
      <c r="H1111" s="841"/>
      <c r="I1111" s="841"/>
      <c r="J1111" s="841"/>
      <c r="K1111" s="841"/>
      <c r="L1111" s="841"/>
      <c r="M1111" s="841"/>
      <c r="N1111" s="841"/>
      <c r="O1111" s="841"/>
      <c r="P1111" s="841"/>
      <c r="Q1111" s="841"/>
      <c r="R1111" s="841"/>
      <c r="S1111" s="841"/>
      <c r="T1111" s="841"/>
      <c r="U1111" s="841"/>
      <c r="V1111" s="841"/>
      <c r="W1111" s="841"/>
      <c r="X1111" s="841"/>
      <c r="Y1111" s="841"/>
      <c r="Z1111" s="1226"/>
      <c r="AA1111" s="1226"/>
      <c r="AB1111" s="1226"/>
      <c r="AC1111" s="1226"/>
      <c r="AD1111" s="1226"/>
      <c r="AE1111" s="1226"/>
      <c r="AF1111" s="1226"/>
      <c r="AG1111" s="1226"/>
      <c r="AH1111" s="1226"/>
      <c r="AI1111" s="841"/>
      <c r="AJ1111" s="841"/>
      <c r="AK1111" s="841"/>
      <c r="AL1111" s="841"/>
      <c r="AM1111" s="841"/>
      <c r="AN1111" s="841"/>
      <c r="AO1111" s="841"/>
      <c r="AP1111" s="841"/>
      <c r="AQ1111" s="841"/>
      <c r="AR1111" s="841"/>
      <c r="AS1111" s="842"/>
    </row>
    <row r="1112" spans="1:45">
      <c r="A1112" s="841"/>
      <c r="B1112" s="841"/>
      <c r="C1112" s="841"/>
      <c r="D1112" s="841"/>
      <c r="E1112" s="841"/>
      <c r="F1112" s="841"/>
      <c r="G1112" s="841"/>
      <c r="H1112" s="841"/>
      <c r="I1112" s="841"/>
      <c r="J1112" s="841"/>
      <c r="K1112" s="841"/>
      <c r="L1112" s="841"/>
      <c r="M1112" s="841"/>
      <c r="N1112" s="841"/>
      <c r="O1112" s="841"/>
      <c r="P1112" s="841"/>
      <c r="Q1112" s="841"/>
      <c r="R1112" s="841"/>
      <c r="S1112" s="841"/>
      <c r="T1112" s="841"/>
      <c r="U1112" s="841"/>
      <c r="V1112" s="841"/>
      <c r="W1112" s="841"/>
      <c r="X1112" s="841"/>
      <c r="Y1112" s="841"/>
      <c r="Z1112" s="1226"/>
      <c r="AA1112" s="1226"/>
      <c r="AB1112" s="1226"/>
      <c r="AC1112" s="1226"/>
      <c r="AD1112" s="1226"/>
      <c r="AE1112" s="1226"/>
      <c r="AF1112" s="1226"/>
      <c r="AG1112" s="1226"/>
      <c r="AH1112" s="1226"/>
      <c r="AI1112" s="841"/>
      <c r="AJ1112" s="841"/>
      <c r="AK1112" s="841"/>
      <c r="AL1112" s="841"/>
      <c r="AM1112" s="841"/>
      <c r="AN1112" s="841"/>
      <c r="AO1112" s="841"/>
      <c r="AP1112" s="841"/>
      <c r="AQ1112" s="841"/>
      <c r="AR1112" s="841"/>
      <c r="AS1112" s="842"/>
    </row>
    <row r="1113" spans="1:45">
      <c r="A1113" s="841"/>
      <c r="B1113" s="841"/>
      <c r="C1113" s="841"/>
      <c r="D1113" s="841"/>
      <c r="E1113" s="841"/>
      <c r="F1113" s="841"/>
      <c r="G1113" s="841"/>
      <c r="H1113" s="841"/>
      <c r="I1113" s="841"/>
      <c r="J1113" s="841"/>
      <c r="K1113" s="841"/>
      <c r="L1113" s="841"/>
      <c r="M1113" s="841"/>
      <c r="N1113" s="841"/>
      <c r="O1113" s="841"/>
      <c r="P1113" s="841"/>
      <c r="Q1113" s="841"/>
      <c r="R1113" s="841"/>
      <c r="S1113" s="841"/>
      <c r="T1113" s="841"/>
      <c r="U1113" s="841"/>
      <c r="V1113" s="841"/>
      <c r="W1113" s="841"/>
      <c r="X1113" s="841"/>
      <c r="Y1113" s="841"/>
      <c r="Z1113" s="1226"/>
      <c r="AA1113" s="1226"/>
      <c r="AB1113" s="1226"/>
      <c r="AC1113" s="1226"/>
      <c r="AD1113" s="1226"/>
      <c r="AE1113" s="1226"/>
      <c r="AF1113" s="1226"/>
      <c r="AG1113" s="1226"/>
      <c r="AH1113" s="1226"/>
      <c r="AI1113" s="841"/>
      <c r="AJ1113" s="841"/>
      <c r="AK1113" s="841"/>
      <c r="AL1113" s="841"/>
      <c r="AM1113" s="841"/>
      <c r="AN1113" s="841"/>
      <c r="AO1113" s="841"/>
      <c r="AP1113" s="841"/>
      <c r="AQ1113" s="841"/>
      <c r="AR1113" s="841"/>
      <c r="AS1113" s="842"/>
    </row>
    <row r="1114" spans="1:45">
      <c r="A1114" s="841"/>
      <c r="B1114" s="841"/>
      <c r="C1114" s="841"/>
      <c r="D1114" s="841"/>
      <c r="E1114" s="841"/>
      <c r="F1114" s="841"/>
      <c r="G1114" s="841"/>
      <c r="H1114" s="841"/>
      <c r="I1114" s="841"/>
      <c r="J1114" s="841"/>
      <c r="K1114" s="841"/>
      <c r="L1114" s="841"/>
      <c r="M1114" s="841"/>
      <c r="N1114" s="841"/>
      <c r="O1114" s="841"/>
      <c r="P1114" s="841"/>
      <c r="Q1114" s="841"/>
      <c r="R1114" s="841"/>
      <c r="S1114" s="841"/>
      <c r="T1114" s="841"/>
      <c r="U1114" s="841"/>
      <c r="V1114" s="841"/>
      <c r="W1114" s="841"/>
      <c r="X1114" s="841"/>
      <c r="Y1114" s="841"/>
      <c r="Z1114" s="1226"/>
      <c r="AA1114" s="1226"/>
      <c r="AB1114" s="1226"/>
      <c r="AC1114" s="1226"/>
      <c r="AD1114" s="1226"/>
      <c r="AE1114" s="1226"/>
      <c r="AF1114" s="1226"/>
      <c r="AG1114" s="1226"/>
      <c r="AH1114" s="1226"/>
      <c r="AI1114" s="841"/>
      <c r="AJ1114" s="841"/>
      <c r="AK1114" s="841"/>
      <c r="AL1114" s="841"/>
      <c r="AM1114" s="841"/>
      <c r="AN1114" s="841"/>
      <c r="AO1114" s="841"/>
      <c r="AP1114" s="841"/>
      <c r="AQ1114" s="841"/>
      <c r="AR1114" s="841"/>
      <c r="AS1114" s="842"/>
    </row>
    <row r="1115" spans="1:45">
      <c r="A1115" s="841"/>
      <c r="B1115" s="841"/>
      <c r="C1115" s="841"/>
      <c r="D1115" s="841"/>
      <c r="E1115" s="841"/>
      <c r="F1115" s="841"/>
      <c r="G1115" s="841"/>
      <c r="H1115" s="841"/>
      <c r="I1115" s="841"/>
      <c r="J1115" s="841"/>
      <c r="K1115" s="841"/>
      <c r="L1115" s="841"/>
      <c r="M1115" s="841"/>
      <c r="N1115" s="841"/>
      <c r="O1115" s="841"/>
      <c r="P1115" s="841"/>
      <c r="Q1115" s="841"/>
      <c r="R1115" s="841"/>
      <c r="S1115" s="841"/>
      <c r="T1115" s="841"/>
      <c r="U1115" s="841"/>
      <c r="V1115" s="841"/>
      <c r="W1115" s="841"/>
      <c r="X1115" s="841"/>
      <c r="Y1115" s="841"/>
      <c r="Z1115" s="1226"/>
      <c r="AA1115" s="1226"/>
      <c r="AB1115" s="1226"/>
      <c r="AC1115" s="1226"/>
      <c r="AD1115" s="1226"/>
      <c r="AE1115" s="1226"/>
      <c r="AF1115" s="1226"/>
      <c r="AG1115" s="1226"/>
      <c r="AH1115" s="1226"/>
      <c r="AI1115" s="841"/>
      <c r="AJ1115" s="841"/>
      <c r="AK1115" s="841"/>
      <c r="AL1115" s="841"/>
      <c r="AM1115" s="841"/>
      <c r="AN1115" s="841"/>
      <c r="AO1115" s="841"/>
      <c r="AP1115" s="841"/>
      <c r="AQ1115" s="841"/>
      <c r="AR1115" s="841"/>
      <c r="AS1115" s="842"/>
    </row>
    <row r="1116" spans="1:45">
      <c r="A1116" s="841"/>
      <c r="B1116" s="841"/>
      <c r="C1116" s="841"/>
      <c r="D1116" s="841"/>
      <c r="E1116" s="841"/>
      <c r="F1116" s="841"/>
      <c r="G1116" s="841"/>
      <c r="H1116" s="841"/>
      <c r="I1116" s="841"/>
      <c r="J1116" s="841"/>
      <c r="K1116" s="841"/>
      <c r="L1116" s="841"/>
      <c r="M1116" s="841"/>
      <c r="N1116" s="841"/>
      <c r="O1116" s="841"/>
      <c r="P1116" s="841"/>
      <c r="Q1116" s="841"/>
      <c r="R1116" s="841"/>
      <c r="S1116" s="841"/>
      <c r="T1116" s="841"/>
      <c r="U1116" s="841"/>
      <c r="V1116" s="841"/>
      <c r="W1116" s="841"/>
      <c r="X1116" s="841"/>
      <c r="Y1116" s="841"/>
      <c r="Z1116" s="1226"/>
      <c r="AA1116" s="1226"/>
      <c r="AB1116" s="1226"/>
      <c r="AC1116" s="1226"/>
      <c r="AD1116" s="1226"/>
      <c r="AE1116" s="1226"/>
      <c r="AF1116" s="1226"/>
      <c r="AG1116" s="1226"/>
      <c r="AH1116" s="1226"/>
      <c r="AI1116" s="841"/>
      <c r="AJ1116" s="841"/>
      <c r="AK1116" s="841"/>
      <c r="AL1116" s="841"/>
      <c r="AM1116" s="841"/>
      <c r="AN1116" s="841"/>
      <c r="AO1116" s="841"/>
      <c r="AP1116" s="841"/>
      <c r="AQ1116" s="841"/>
      <c r="AR1116" s="841"/>
      <c r="AS1116" s="842"/>
    </row>
    <row r="1117" spans="1:45">
      <c r="A1117" s="841"/>
      <c r="B1117" s="841"/>
      <c r="C1117" s="841"/>
      <c r="D1117" s="841"/>
      <c r="E1117" s="841"/>
      <c r="F1117" s="841"/>
      <c r="G1117" s="841"/>
      <c r="H1117" s="841"/>
      <c r="I1117" s="841"/>
      <c r="J1117" s="841"/>
      <c r="K1117" s="841"/>
      <c r="L1117" s="841"/>
      <c r="M1117" s="841"/>
      <c r="N1117" s="841"/>
      <c r="O1117" s="841"/>
      <c r="P1117" s="841"/>
      <c r="Q1117" s="841"/>
      <c r="R1117" s="841"/>
      <c r="S1117" s="841"/>
      <c r="T1117" s="841"/>
      <c r="U1117" s="841"/>
      <c r="V1117" s="841"/>
      <c r="W1117" s="841"/>
      <c r="X1117" s="841"/>
      <c r="Y1117" s="841"/>
      <c r="Z1117" s="1226"/>
      <c r="AA1117" s="1226"/>
      <c r="AB1117" s="1226"/>
      <c r="AC1117" s="1226"/>
      <c r="AD1117" s="1226"/>
      <c r="AE1117" s="1226"/>
      <c r="AF1117" s="1226"/>
      <c r="AG1117" s="1226"/>
      <c r="AH1117" s="1226"/>
      <c r="AI1117" s="841"/>
      <c r="AJ1117" s="841"/>
      <c r="AK1117" s="841"/>
      <c r="AL1117" s="841"/>
      <c r="AM1117" s="841"/>
      <c r="AN1117" s="841"/>
      <c r="AO1117" s="841"/>
      <c r="AP1117" s="841"/>
      <c r="AQ1117" s="841"/>
      <c r="AR1117" s="841"/>
      <c r="AS1117" s="842"/>
    </row>
    <row r="1118" spans="1:45">
      <c r="A1118" s="841"/>
      <c r="B1118" s="841"/>
      <c r="C1118" s="841"/>
      <c r="D1118" s="841"/>
      <c r="E1118" s="841"/>
      <c r="F1118" s="841"/>
      <c r="G1118" s="841"/>
      <c r="H1118" s="841"/>
      <c r="I1118" s="841"/>
      <c r="J1118" s="841"/>
      <c r="K1118" s="841"/>
      <c r="L1118" s="841"/>
      <c r="M1118" s="841"/>
      <c r="N1118" s="841"/>
      <c r="O1118" s="841"/>
      <c r="P1118" s="841"/>
      <c r="Q1118" s="841"/>
      <c r="R1118" s="841"/>
      <c r="S1118" s="841"/>
      <c r="T1118" s="841"/>
      <c r="U1118" s="841"/>
      <c r="V1118" s="841"/>
      <c r="W1118" s="841"/>
      <c r="X1118" s="841"/>
      <c r="Y1118" s="841"/>
      <c r="Z1118" s="1226"/>
      <c r="AA1118" s="1226"/>
      <c r="AB1118" s="1226"/>
      <c r="AC1118" s="1226"/>
      <c r="AD1118" s="1226"/>
      <c r="AE1118" s="1226"/>
      <c r="AF1118" s="1226"/>
      <c r="AG1118" s="1226"/>
      <c r="AH1118" s="1226"/>
      <c r="AI1118" s="841"/>
      <c r="AJ1118" s="841"/>
      <c r="AK1118" s="841"/>
      <c r="AL1118" s="841"/>
      <c r="AM1118" s="841"/>
      <c r="AN1118" s="841"/>
      <c r="AO1118" s="841"/>
      <c r="AP1118" s="841"/>
      <c r="AQ1118" s="841"/>
      <c r="AR1118" s="841"/>
      <c r="AS1118" s="842"/>
    </row>
    <row r="1119" spans="1:45">
      <c r="A1119" s="841"/>
      <c r="B1119" s="841"/>
      <c r="C1119" s="841"/>
      <c r="D1119" s="841"/>
      <c r="E1119" s="841"/>
      <c r="F1119" s="841"/>
      <c r="G1119" s="841"/>
      <c r="H1119" s="841"/>
      <c r="I1119" s="841"/>
      <c r="J1119" s="841"/>
      <c r="K1119" s="841"/>
      <c r="L1119" s="841"/>
      <c r="M1119" s="841"/>
      <c r="N1119" s="841"/>
      <c r="O1119" s="841"/>
      <c r="P1119" s="841"/>
      <c r="Q1119" s="841"/>
      <c r="R1119" s="841"/>
      <c r="S1119" s="841"/>
      <c r="T1119" s="841"/>
      <c r="U1119" s="841"/>
      <c r="V1119" s="841"/>
      <c r="W1119" s="841"/>
      <c r="X1119" s="841"/>
      <c r="Y1119" s="841"/>
      <c r="Z1119" s="1226"/>
      <c r="AA1119" s="1226"/>
      <c r="AB1119" s="1226"/>
      <c r="AC1119" s="1226"/>
      <c r="AD1119" s="1226"/>
      <c r="AE1119" s="1226"/>
      <c r="AF1119" s="1226"/>
      <c r="AG1119" s="1226"/>
      <c r="AH1119" s="1226"/>
      <c r="AI1119" s="841"/>
      <c r="AJ1119" s="841"/>
      <c r="AK1119" s="841"/>
      <c r="AL1119" s="841"/>
      <c r="AM1119" s="841"/>
      <c r="AN1119" s="841"/>
      <c r="AO1119" s="841"/>
      <c r="AP1119" s="841"/>
      <c r="AQ1119" s="841"/>
      <c r="AR1119" s="841"/>
      <c r="AS1119" s="842"/>
    </row>
    <row r="1120" spans="1:45">
      <c r="A1120" s="841"/>
      <c r="B1120" s="841"/>
      <c r="C1120" s="841"/>
      <c r="D1120" s="841"/>
      <c r="E1120" s="841"/>
      <c r="F1120" s="841"/>
      <c r="G1120" s="841"/>
      <c r="H1120" s="841"/>
      <c r="I1120" s="841"/>
      <c r="J1120" s="841"/>
      <c r="K1120" s="841"/>
      <c r="L1120" s="841"/>
      <c r="M1120" s="841"/>
      <c r="N1120" s="841"/>
      <c r="O1120" s="841"/>
      <c r="P1120" s="841"/>
      <c r="Q1120" s="841"/>
      <c r="R1120" s="841"/>
      <c r="S1120" s="841"/>
      <c r="T1120" s="841"/>
      <c r="U1120" s="841"/>
      <c r="V1120" s="841"/>
      <c r="W1120" s="841"/>
      <c r="X1120" s="841"/>
      <c r="Y1120" s="841"/>
      <c r="Z1120" s="1226"/>
      <c r="AA1120" s="1226"/>
      <c r="AB1120" s="1226"/>
      <c r="AC1120" s="1226"/>
      <c r="AD1120" s="1226"/>
      <c r="AE1120" s="1226"/>
      <c r="AF1120" s="1226"/>
      <c r="AG1120" s="1226"/>
      <c r="AH1120" s="1226"/>
      <c r="AI1120" s="841"/>
      <c r="AJ1120" s="841"/>
      <c r="AK1120" s="841"/>
      <c r="AL1120" s="841"/>
      <c r="AM1120" s="841"/>
      <c r="AN1120" s="841"/>
      <c r="AO1120" s="841"/>
      <c r="AP1120" s="841"/>
      <c r="AQ1120" s="841"/>
      <c r="AR1120" s="841"/>
      <c r="AS1120" s="842"/>
    </row>
    <row r="1121" spans="1:45">
      <c r="A1121" s="841"/>
      <c r="B1121" s="841"/>
      <c r="C1121" s="841"/>
      <c r="D1121" s="841"/>
      <c r="E1121" s="841"/>
      <c r="F1121" s="841"/>
      <c r="G1121" s="841"/>
      <c r="H1121" s="841"/>
      <c r="I1121" s="841"/>
      <c r="J1121" s="841"/>
      <c r="K1121" s="841"/>
      <c r="L1121" s="841"/>
      <c r="M1121" s="841"/>
      <c r="N1121" s="841"/>
      <c r="O1121" s="841"/>
      <c r="P1121" s="841"/>
      <c r="Q1121" s="841"/>
      <c r="R1121" s="841"/>
      <c r="S1121" s="841"/>
      <c r="T1121" s="841"/>
      <c r="U1121" s="841"/>
      <c r="V1121" s="841"/>
      <c r="W1121" s="841"/>
      <c r="X1121" s="841"/>
      <c r="Y1121" s="841"/>
      <c r="Z1121" s="1226"/>
      <c r="AA1121" s="1226"/>
      <c r="AB1121" s="1226"/>
      <c r="AC1121" s="1226"/>
      <c r="AD1121" s="1226"/>
      <c r="AE1121" s="1226"/>
      <c r="AF1121" s="1226"/>
      <c r="AG1121" s="1226"/>
      <c r="AH1121" s="1226"/>
      <c r="AI1121" s="841"/>
      <c r="AJ1121" s="841"/>
      <c r="AK1121" s="841"/>
      <c r="AL1121" s="841"/>
      <c r="AM1121" s="841"/>
      <c r="AN1121" s="841"/>
      <c r="AO1121" s="841"/>
      <c r="AP1121" s="841"/>
      <c r="AQ1121" s="841"/>
      <c r="AR1121" s="841"/>
      <c r="AS1121" s="842"/>
    </row>
    <row r="1122" spans="1:45">
      <c r="A1122" s="841"/>
      <c r="B1122" s="841"/>
      <c r="C1122" s="841"/>
      <c r="D1122" s="841"/>
      <c r="E1122" s="841"/>
      <c r="F1122" s="841"/>
      <c r="G1122" s="841"/>
      <c r="H1122" s="841"/>
      <c r="I1122" s="841"/>
      <c r="J1122" s="841"/>
      <c r="K1122" s="841"/>
      <c r="L1122" s="841"/>
      <c r="M1122" s="841"/>
      <c r="N1122" s="841"/>
      <c r="O1122" s="841"/>
      <c r="P1122" s="841"/>
      <c r="Q1122" s="841"/>
      <c r="R1122" s="841"/>
      <c r="S1122" s="841"/>
      <c r="T1122" s="841"/>
      <c r="U1122" s="841"/>
      <c r="V1122" s="841"/>
      <c r="W1122" s="841"/>
      <c r="X1122" s="841"/>
      <c r="Y1122" s="841"/>
      <c r="Z1122" s="1226"/>
      <c r="AA1122" s="1226"/>
      <c r="AB1122" s="1226"/>
      <c r="AC1122" s="1226"/>
      <c r="AD1122" s="1226"/>
      <c r="AE1122" s="1226"/>
      <c r="AF1122" s="1226"/>
      <c r="AG1122" s="1226"/>
      <c r="AH1122" s="1226"/>
      <c r="AI1122" s="841"/>
      <c r="AJ1122" s="841"/>
      <c r="AK1122" s="841"/>
      <c r="AL1122" s="841"/>
      <c r="AM1122" s="841"/>
      <c r="AN1122" s="841"/>
      <c r="AO1122" s="841"/>
      <c r="AP1122" s="841"/>
      <c r="AQ1122" s="841"/>
      <c r="AR1122" s="841"/>
      <c r="AS1122" s="842"/>
    </row>
    <row r="1123" spans="1:45">
      <c r="A1123" s="841"/>
      <c r="B1123" s="841"/>
      <c r="C1123" s="841"/>
      <c r="D1123" s="841"/>
      <c r="E1123" s="841"/>
      <c r="F1123" s="841"/>
      <c r="G1123" s="841"/>
      <c r="H1123" s="841"/>
      <c r="I1123" s="841"/>
      <c r="J1123" s="841"/>
      <c r="K1123" s="841"/>
      <c r="L1123" s="841"/>
      <c r="M1123" s="841"/>
      <c r="N1123" s="841"/>
      <c r="O1123" s="841"/>
      <c r="P1123" s="841"/>
      <c r="Q1123" s="841"/>
      <c r="R1123" s="841"/>
      <c r="S1123" s="841"/>
      <c r="T1123" s="841"/>
      <c r="U1123" s="841"/>
      <c r="V1123" s="841"/>
      <c r="W1123" s="841"/>
      <c r="X1123" s="841"/>
      <c r="Y1123" s="841"/>
      <c r="Z1123" s="1226"/>
      <c r="AA1123" s="1226"/>
      <c r="AB1123" s="1226"/>
      <c r="AC1123" s="1226"/>
      <c r="AD1123" s="1226"/>
      <c r="AE1123" s="1226"/>
      <c r="AF1123" s="1226"/>
      <c r="AG1123" s="1226"/>
      <c r="AH1123" s="1226"/>
      <c r="AI1123" s="841"/>
      <c r="AJ1123" s="841"/>
      <c r="AK1123" s="841"/>
      <c r="AL1123" s="841"/>
      <c r="AM1123" s="841"/>
      <c r="AN1123" s="841"/>
      <c r="AO1123" s="841"/>
      <c r="AP1123" s="841"/>
      <c r="AQ1123" s="841"/>
      <c r="AR1123" s="841"/>
      <c r="AS1123" s="842"/>
    </row>
    <row r="1124" spans="1:45">
      <c r="A1124" s="841"/>
      <c r="B1124" s="841"/>
      <c r="C1124" s="841"/>
      <c r="D1124" s="841"/>
      <c r="E1124" s="841"/>
      <c r="F1124" s="841"/>
      <c r="G1124" s="841"/>
      <c r="H1124" s="841"/>
      <c r="I1124" s="841"/>
      <c r="J1124" s="841"/>
      <c r="K1124" s="841"/>
      <c r="L1124" s="841"/>
      <c r="M1124" s="841"/>
      <c r="N1124" s="841"/>
      <c r="O1124" s="841"/>
      <c r="P1124" s="841"/>
      <c r="Q1124" s="841"/>
      <c r="R1124" s="841"/>
      <c r="S1124" s="841"/>
      <c r="T1124" s="841"/>
      <c r="U1124" s="841"/>
      <c r="V1124" s="841"/>
      <c r="W1124" s="841"/>
      <c r="X1124" s="841"/>
      <c r="Y1124" s="841"/>
      <c r="Z1124" s="1226"/>
      <c r="AA1124" s="1226"/>
      <c r="AB1124" s="1226"/>
      <c r="AC1124" s="1226"/>
      <c r="AD1124" s="1226"/>
      <c r="AE1124" s="1226"/>
      <c r="AF1124" s="1226"/>
      <c r="AG1124" s="1226"/>
      <c r="AH1124" s="1226"/>
      <c r="AI1124" s="841"/>
      <c r="AJ1124" s="841"/>
      <c r="AK1124" s="841"/>
      <c r="AL1124" s="841"/>
      <c r="AM1124" s="841"/>
      <c r="AN1124" s="841"/>
      <c r="AO1124" s="841"/>
      <c r="AP1124" s="841"/>
      <c r="AQ1124" s="841"/>
      <c r="AR1124" s="841"/>
      <c r="AS1124" s="842"/>
    </row>
    <row r="1125" spans="1:45">
      <c r="A1125" s="841"/>
      <c r="B1125" s="841"/>
      <c r="C1125" s="841"/>
      <c r="D1125" s="841"/>
      <c r="E1125" s="841"/>
      <c r="F1125" s="841"/>
      <c r="G1125" s="841"/>
      <c r="H1125" s="841"/>
      <c r="I1125" s="841"/>
      <c r="J1125" s="841"/>
      <c r="K1125" s="841"/>
      <c r="L1125" s="841"/>
      <c r="M1125" s="841"/>
      <c r="N1125" s="841"/>
      <c r="O1125" s="841"/>
      <c r="P1125" s="841"/>
      <c r="Q1125" s="841"/>
      <c r="R1125" s="841"/>
      <c r="S1125" s="841"/>
      <c r="T1125" s="841"/>
      <c r="U1125" s="841"/>
      <c r="V1125" s="841"/>
      <c r="W1125" s="841"/>
      <c r="X1125" s="841"/>
      <c r="Y1125" s="841"/>
      <c r="Z1125" s="1226"/>
      <c r="AA1125" s="1226"/>
      <c r="AB1125" s="1226"/>
      <c r="AC1125" s="1226"/>
      <c r="AD1125" s="1226"/>
      <c r="AE1125" s="1226"/>
      <c r="AF1125" s="1226"/>
      <c r="AG1125" s="1226"/>
      <c r="AH1125" s="1226"/>
      <c r="AI1125" s="841"/>
      <c r="AJ1125" s="841"/>
      <c r="AK1125" s="841"/>
      <c r="AL1125" s="841"/>
      <c r="AM1125" s="841"/>
      <c r="AN1125" s="841"/>
      <c r="AO1125" s="841"/>
      <c r="AP1125" s="841"/>
      <c r="AQ1125" s="841"/>
      <c r="AR1125" s="841"/>
      <c r="AS1125" s="842"/>
    </row>
    <row r="1126" spans="1:45">
      <c r="A1126" s="841"/>
      <c r="B1126" s="841"/>
      <c r="C1126" s="841"/>
      <c r="D1126" s="841"/>
      <c r="E1126" s="841"/>
      <c r="F1126" s="841"/>
      <c r="G1126" s="841"/>
      <c r="H1126" s="841"/>
      <c r="I1126" s="841"/>
      <c r="J1126" s="841"/>
      <c r="K1126" s="841"/>
      <c r="L1126" s="841"/>
      <c r="M1126" s="841"/>
      <c r="N1126" s="841"/>
      <c r="O1126" s="841"/>
      <c r="P1126" s="841"/>
      <c r="Q1126" s="841"/>
      <c r="R1126" s="841"/>
      <c r="S1126" s="841"/>
      <c r="T1126" s="841"/>
      <c r="U1126" s="841"/>
      <c r="V1126" s="841"/>
      <c r="W1126" s="841"/>
      <c r="X1126" s="841"/>
      <c r="Y1126" s="841"/>
      <c r="Z1126" s="1226"/>
      <c r="AA1126" s="1226"/>
      <c r="AB1126" s="1226"/>
      <c r="AC1126" s="1226"/>
      <c r="AD1126" s="1226"/>
      <c r="AE1126" s="1226"/>
      <c r="AF1126" s="1226"/>
      <c r="AG1126" s="1226"/>
      <c r="AH1126" s="1226"/>
      <c r="AI1126" s="841"/>
      <c r="AJ1126" s="841"/>
      <c r="AK1126" s="841"/>
      <c r="AL1126" s="841"/>
      <c r="AM1126" s="841"/>
      <c r="AN1126" s="841"/>
      <c r="AO1126" s="841"/>
      <c r="AP1126" s="841"/>
      <c r="AQ1126" s="841"/>
      <c r="AR1126" s="841"/>
      <c r="AS1126" s="842"/>
    </row>
    <row r="1127" spans="1:45">
      <c r="A1127" s="841"/>
      <c r="B1127" s="841"/>
      <c r="C1127" s="841"/>
      <c r="D1127" s="841"/>
      <c r="E1127" s="841"/>
      <c r="F1127" s="841"/>
      <c r="G1127" s="841"/>
      <c r="H1127" s="841"/>
      <c r="I1127" s="841"/>
      <c r="J1127" s="841"/>
      <c r="K1127" s="841"/>
      <c r="L1127" s="841"/>
      <c r="M1127" s="841"/>
      <c r="N1127" s="841"/>
      <c r="O1127" s="841"/>
      <c r="P1127" s="841"/>
      <c r="Q1127" s="841"/>
      <c r="R1127" s="841"/>
      <c r="S1127" s="841"/>
      <c r="T1127" s="841"/>
      <c r="U1127" s="841"/>
      <c r="V1127" s="841"/>
      <c r="W1127" s="841"/>
      <c r="X1127" s="841"/>
      <c r="Y1127" s="841"/>
      <c r="Z1127" s="1226"/>
      <c r="AA1127" s="1226"/>
      <c r="AB1127" s="1226"/>
      <c r="AC1127" s="1226"/>
      <c r="AD1127" s="1226"/>
      <c r="AE1127" s="1226"/>
      <c r="AF1127" s="1226"/>
      <c r="AG1127" s="1226"/>
      <c r="AH1127" s="1226"/>
      <c r="AI1127" s="841"/>
      <c r="AJ1127" s="841"/>
      <c r="AK1127" s="841"/>
      <c r="AL1127" s="841"/>
      <c r="AM1127" s="841"/>
      <c r="AN1127" s="841"/>
      <c r="AO1127" s="841"/>
      <c r="AP1127" s="841"/>
      <c r="AQ1127" s="841"/>
      <c r="AR1127" s="841"/>
      <c r="AS1127" s="842"/>
    </row>
    <row r="1128" spans="1:45">
      <c r="A1128" s="841"/>
      <c r="B1128" s="841"/>
      <c r="C1128" s="841"/>
      <c r="D1128" s="841"/>
      <c r="E1128" s="841"/>
      <c r="F1128" s="841"/>
      <c r="G1128" s="841"/>
      <c r="H1128" s="841"/>
      <c r="I1128" s="841"/>
      <c r="J1128" s="841"/>
      <c r="K1128" s="841"/>
      <c r="L1128" s="841"/>
      <c r="M1128" s="841"/>
      <c r="N1128" s="841"/>
      <c r="O1128" s="841"/>
      <c r="P1128" s="841"/>
      <c r="Q1128" s="841"/>
      <c r="R1128" s="841"/>
      <c r="S1128" s="841"/>
      <c r="T1128" s="841"/>
      <c r="U1128" s="841"/>
      <c r="V1128" s="841"/>
      <c r="W1128" s="841"/>
      <c r="X1128" s="841"/>
      <c r="Y1128" s="841"/>
      <c r="Z1128" s="1226"/>
      <c r="AA1128" s="1226"/>
      <c r="AB1128" s="1226"/>
      <c r="AC1128" s="1226"/>
      <c r="AD1128" s="1226"/>
      <c r="AE1128" s="1226"/>
      <c r="AF1128" s="1226"/>
      <c r="AG1128" s="1226"/>
      <c r="AH1128" s="1226"/>
      <c r="AI1128" s="841"/>
      <c r="AJ1128" s="841"/>
      <c r="AK1128" s="841"/>
      <c r="AL1128" s="841"/>
      <c r="AM1128" s="841"/>
      <c r="AN1128" s="841"/>
      <c r="AO1128" s="841"/>
      <c r="AP1128" s="841"/>
      <c r="AQ1128" s="841"/>
      <c r="AR1128" s="841"/>
      <c r="AS1128" s="842"/>
    </row>
    <row r="1129" spans="1:45">
      <c r="A1129" s="841"/>
      <c r="B1129" s="841"/>
      <c r="C1129" s="841"/>
      <c r="D1129" s="841"/>
      <c r="E1129" s="841"/>
      <c r="F1129" s="841"/>
      <c r="G1129" s="841"/>
      <c r="H1129" s="841"/>
      <c r="I1129" s="841"/>
      <c r="J1129" s="841"/>
      <c r="K1129" s="841"/>
      <c r="L1129" s="841"/>
      <c r="M1129" s="841"/>
      <c r="N1129" s="841"/>
      <c r="O1129" s="841"/>
      <c r="P1129" s="841"/>
      <c r="Q1129" s="841"/>
      <c r="R1129" s="841"/>
      <c r="S1129" s="841"/>
      <c r="T1129" s="841"/>
      <c r="U1129" s="841"/>
      <c r="V1129" s="841"/>
      <c r="W1129" s="841"/>
      <c r="X1129" s="841"/>
      <c r="Y1129" s="841"/>
      <c r="Z1129" s="1226"/>
      <c r="AA1129" s="1226"/>
      <c r="AB1129" s="1226"/>
      <c r="AC1129" s="1226"/>
      <c r="AD1129" s="1226"/>
      <c r="AE1129" s="1226"/>
      <c r="AF1129" s="1226"/>
      <c r="AG1129" s="1226"/>
      <c r="AH1129" s="1226"/>
      <c r="AI1129" s="841"/>
      <c r="AJ1129" s="841"/>
      <c r="AK1129" s="841"/>
      <c r="AL1129" s="841"/>
      <c r="AM1129" s="841"/>
      <c r="AN1129" s="841"/>
      <c r="AO1129" s="841"/>
      <c r="AP1129" s="841"/>
      <c r="AQ1129" s="841"/>
      <c r="AR1129" s="841"/>
      <c r="AS1129" s="842"/>
    </row>
    <row r="1130" spans="1:45">
      <c r="A1130" s="841"/>
      <c r="B1130" s="841"/>
      <c r="C1130" s="841"/>
      <c r="D1130" s="841"/>
      <c r="E1130" s="841"/>
      <c r="F1130" s="841"/>
      <c r="G1130" s="841"/>
      <c r="H1130" s="841"/>
      <c r="I1130" s="841"/>
      <c r="J1130" s="841"/>
      <c r="K1130" s="841"/>
      <c r="L1130" s="841"/>
      <c r="M1130" s="841"/>
      <c r="N1130" s="841"/>
      <c r="O1130" s="841"/>
      <c r="P1130" s="841"/>
      <c r="Q1130" s="841"/>
      <c r="R1130" s="841"/>
      <c r="S1130" s="841"/>
      <c r="T1130" s="841"/>
      <c r="U1130" s="841"/>
      <c r="V1130" s="841"/>
      <c r="W1130" s="841"/>
      <c r="X1130" s="841"/>
      <c r="Y1130" s="841"/>
      <c r="Z1130" s="1226"/>
      <c r="AA1130" s="1226"/>
      <c r="AB1130" s="1226"/>
      <c r="AC1130" s="1226"/>
      <c r="AD1130" s="1226"/>
      <c r="AE1130" s="1226"/>
      <c r="AF1130" s="1226"/>
      <c r="AG1130" s="1226"/>
      <c r="AH1130" s="1226"/>
      <c r="AI1130" s="841"/>
      <c r="AJ1130" s="841"/>
      <c r="AK1130" s="841"/>
      <c r="AL1130" s="841"/>
      <c r="AM1130" s="841"/>
      <c r="AN1130" s="841"/>
      <c r="AO1130" s="841"/>
      <c r="AP1130" s="841"/>
      <c r="AQ1130" s="841"/>
      <c r="AR1130" s="841"/>
      <c r="AS1130" s="842"/>
    </row>
    <row r="1131" spans="1:45">
      <c r="A1131" s="841"/>
      <c r="B1131" s="841"/>
      <c r="C1131" s="841"/>
      <c r="D1131" s="841"/>
      <c r="E1131" s="841"/>
      <c r="F1131" s="841"/>
      <c r="G1131" s="841"/>
      <c r="H1131" s="841"/>
      <c r="I1131" s="841"/>
      <c r="J1131" s="841"/>
      <c r="K1131" s="841"/>
      <c r="L1131" s="841"/>
      <c r="M1131" s="841"/>
      <c r="N1131" s="841"/>
      <c r="O1131" s="841"/>
      <c r="P1131" s="841"/>
      <c r="Q1131" s="841"/>
      <c r="R1131" s="841"/>
      <c r="S1131" s="841"/>
      <c r="T1131" s="841"/>
      <c r="U1131" s="841"/>
      <c r="V1131" s="841"/>
      <c r="W1131" s="841"/>
      <c r="X1131" s="841"/>
      <c r="Y1131" s="841"/>
      <c r="Z1131" s="1226"/>
      <c r="AA1131" s="1226"/>
      <c r="AB1131" s="1226"/>
      <c r="AC1131" s="1226"/>
      <c r="AD1131" s="1226"/>
      <c r="AE1131" s="1226"/>
      <c r="AF1131" s="1226"/>
      <c r="AG1131" s="1226"/>
      <c r="AH1131" s="1226"/>
      <c r="AI1131" s="841"/>
      <c r="AJ1131" s="841"/>
      <c r="AK1131" s="841"/>
      <c r="AL1131" s="841"/>
      <c r="AM1131" s="841"/>
      <c r="AN1131" s="841"/>
      <c r="AO1131" s="841"/>
      <c r="AP1131" s="841"/>
      <c r="AQ1131" s="841"/>
      <c r="AR1131" s="841"/>
      <c r="AS1131" s="842"/>
    </row>
    <row r="1132" spans="1:45">
      <c r="A1132" s="841"/>
      <c r="B1132" s="841"/>
      <c r="C1132" s="841"/>
      <c r="D1132" s="841"/>
      <c r="E1132" s="841"/>
      <c r="F1132" s="841"/>
      <c r="G1132" s="841"/>
      <c r="H1132" s="841"/>
      <c r="I1132" s="841"/>
      <c r="J1132" s="841"/>
      <c r="K1132" s="841"/>
      <c r="L1132" s="841"/>
      <c r="M1132" s="841"/>
      <c r="N1132" s="841"/>
      <c r="O1132" s="841"/>
      <c r="P1132" s="841"/>
      <c r="Q1132" s="841"/>
      <c r="R1132" s="841"/>
      <c r="S1132" s="841"/>
      <c r="T1132" s="841"/>
      <c r="U1132" s="841"/>
      <c r="V1132" s="841"/>
      <c r="W1132" s="841"/>
      <c r="X1132" s="841"/>
      <c r="Y1132" s="841"/>
      <c r="Z1132" s="1226"/>
      <c r="AA1132" s="1226"/>
      <c r="AB1132" s="1226"/>
      <c r="AC1132" s="1226"/>
      <c r="AD1132" s="1226"/>
      <c r="AE1132" s="1226"/>
      <c r="AF1132" s="1226"/>
      <c r="AG1132" s="1226"/>
      <c r="AH1132" s="1226"/>
      <c r="AI1132" s="841"/>
      <c r="AJ1132" s="841"/>
      <c r="AK1132" s="841"/>
      <c r="AL1132" s="841"/>
      <c r="AM1132" s="841"/>
      <c r="AN1132" s="841"/>
      <c r="AO1132" s="841"/>
      <c r="AP1132" s="841"/>
      <c r="AQ1132" s="841"/>
      <c r="AR1132" s="841"/>
      <c r="AS1132" s="842"/>
    </row>
    <row r="1133" spans="1:45">
      <c r="A1133" s="841"/>
      <c r="B1133" s="841"/>
      <c r="C1133" s="841"/>
      <c r="D1133" s="841"/>
      <c r="E1133" s="841"/>
      <c r="F1133" s="841"/>
      <c r="G1133" s="841"/>
      <c r="H1133" s="841"/>
      <c r="I1133" s="841"/>
      <c r="J1133" s="841"/>
      <c r="K1133" s="841"/>
      <c r="L1133" s="841"/>
      <c r="M1133" s="841"/>
      <c r="N1133" s="841"/>
      <c r="O1133" s="841"/>
      <c r="P1133" s="841"/>
      <c r="Q1133" s="841"/>
      <c r="R1133" s="841"/>
      <c r="S1133" s="841"/>
      <c r="T1133" s="841"/>
      <c r="U1133" s="841"/>
      <c r="V1133" s="841"/>
      <c r="W1133" s="841"/>
      <c r="X1133" s="841"/>
      <c r="Y1133" s="841"/>
      <c r="Z1133" s="1226"/>
      <c r="AA1133" s="1226"/>
      <c r="AB1133" s="1226"/>
      <c r="AC1133" s="1226"/>
      <c r="AD1133" s="1226"/>
      <c r="AE1133" s="1226"/>
      <c r="AF1133" s="1226"/>
      <c r="AG1133" s="1226"/>
      <c r="AH1133" s="1226"/>
      <c r="AI1133" s="841"/>
      <c r="AJ1133" s="841"/>
      <c r="AK1133" s="841"/>
      <c r="AL1133" s="841"/>
      <c r="AM1133" s="841"/>
      <c r="AN1133" s="841"/>
      <c r="AO1133" s="841"/>
      <c r="AP1133" s="841"/>
      <c r="AQ1133" s="841"/>
      <c r="AR1133" s="841"/>
      <c r="AS1133" s="842"/>
    </row>
    <row r="1134" spans="1:45">
      <c r="A1134" s="841"/>
      <c r="B1134" s="841"/>
      <c r="C1134" s="841"/>
      <c r="D1134" s="841"/>
      <c r="E1134" s="841"/>
      <c r="F1134" s="841"/>
      <c r="G1134" s="841"/>
      <c r="H1134" s="841"/>
      <c r="I1134" s="841"/>
      <c r="J1134" s="841"/>
      <c r="K1134" s="841"/>
      <c r="L1134" s="841"/>
      <c r="M1134" s="841"/>
      <c r="N1134" s="841"/>
      <c r="O1134" s="841"/>
      <c r="P1134" s="841"/>
      <c r="Q1134" s="841"/>
      <c r="R1134" s="841"/>
      <c r="S1134" s="841"/>
      <c r="T1134" s="841"/>
      <c r="U1134" s="841"/>
      <c r="V1134" s="841"/>
      <c r="W1134" s="841"/>
      <c r="X1134" s="841"/>
      <c r="Y1134" s="841"/>
      <c r="Z1134" s="1226"/>
      <c r="AA1134" s="1226"/>
      <c r="AB1134" s="1226"/>
      <c r="AC1134" s="1226"/>
      <c r="AD1134" s="1226"/>
      <c r="AE1134" s="1226"/>
      <c r="AF1134" s="1226"/>
      <c r="AG1134" s="1226"/>
      <c r="AH1134" s="1226"/>
      <c r="AI1134" s="841"/>
      <c r="AJ1134" s="841"/>
      <c r="AK1134" s="841"/>
      <c r="AL1134" s="841"/>
      <c r="AM1134" s="841"/>
      <c r="AN1134" s="841"/>
      <c r="AO1134" s="841"/>
      <c r="AP1134" s="841"/>
      <c r="AQ1134" s="841"/>
      <c r="AR1134" s="841"/>
      <c r="AS1134" s="842"/>
    </row>
    <row r="1135" spans="1:45">
      <c r="A1135" s="841"/>
      <c r="B1135" s="841"/>
      <c r="C1135" s="841"/>
      <c r="D1135" s="841"/>
      <c r="E1135" s="841"/>
      <c r="F1135" s="841"/>
      <c r="G1135" s="841"/>
      <c r="H1135" s="841"/>
      <c r="I1135" s="841"/>
      <c r="J1135" s="841"/>
      <c r="K1135" s="841"/>
      <c r="L1135" s="841"/>
      <c r="M1135" s="841"/>
      <c r="N1135" s="841"/>
      <c r="O1135" s="841"/>
      <c r="P1135" s="841"/>
      <c r="Q1135" s="841"/>
      <c r="R1135" s="841"/>
      <c r="S1135" s="841"/>
      <c r="T1135" s="841"/>
      <c r="U1135" s="841"/>
      <c r="V1135" s="841"/>
      <c r="W1135" s="841"/>
      <c r="X1135" s="841"/>
      <c r="Y1135" s="841"/>
      <c r="Z1135" s="1226"/>
      <c r="AA1135" s="1226"/>
      <c r="AB1135" s="1226"/>
      <c r="AC1135" s="1226"/>
      <c r="AD1135" s="1226"/>
      <c r="AE1135" s="1226"/>
      <c r="AF1135" s="1226"/>
      <c r="AG1135" s="1226"/>
      <c r="AH1135" s="1226"/>
      <c r="AI1135" s="841"/>
      <c r="AJ1135" s="841"/>
      <c r="AK1135" s="841"/>
      <c r="AL1135" s="841"/>
      <c r="AM1135" s="841"/>
      <c r="AN1135" s="841"/>
      <c r="AO1135" s="841"/>
      <c r="AP1135" s="841"/>
      <c r="AQ1135" s="841"/>
      <c r="AR1135" s="841"/>
      <c r="AS1135" s="842"/>
    </row>
    <row r="1136" spans="1:45">
      <c r="A1136" s="841"/>
      <c r="B1136" s="841"/>
      <c r="C1136" s="841"/>
      <c r="D1136" s="841"/>
      <c r="E1136" s="841"/>
      <c r="F1136" s="841"/>
      <c r="G1136" s="841"/>
      <c r="H1136" s="841"/>
      <c r="I1136" s="841"/>
      <c r="J1136" s="841"/>
      <c r="K1136" s="841"/>
      <c r="L1136" s="841"/>
      <c r="M1136" s="841"/>
      <c r="N1136" s="841"/>
      <c r="O1136" s="841"/>
      <c r="P1136" s="841"/>
      <c r="Q1136" s="841"/>
      <c r="R1136" s="841"/>
      <c r="S1136" s="841"/>
      <c r="T1136" s="841"/>
      <c r="U1136" s="841"/>
      <c r="V1136" s="841"/>
      <c r="W1136" s="841"/>
      <c r="X1136" s="841"/>
      <c r="Y1136" s="841"/>
      <c r="Z1136" s="1226"/>
      <c r="AA1136" s="1226"/>
      <c r="AB1136" s="1226"/>
      <c r="AC1136" s="1226"/>
      <c r="AD1136" s="1226"/>
      <c r="AE1136" s="1226"/>
      <c r="AF1136" s="1226"/>
      <c r="AG1136" s="1226"/>
      <c r="AH1136" s="1226"/>
      <c r="AI1136" s="841"/>
      <c r="AJ1136" s="841"/>
      <c r="AK1136" s="841"/>
      <c r="AL1136" s="841"/>
      <c r="AM1136" s="841"/>
      <c r="AN1136" s="841"/>
      <c r="AO1136" s="841"/>
      <c r="AP1136" s="841"/>
      <c r="AQ1136" s="841"/>
      <c r="AR1136" s="841"/>
      <c r="AS1136" s="842"/>
    </row>
    <row r="1137" spans="1:45">
      <c r="A1137" s="841"/>
      <c r="B1137" s="841"/>
      <c r="C1137" s="841"/>
      <c r="D1137" s="841"/>
      <c r="E1137" s="841"/>
      <c r="F1137" s="841"/>
      <c r="G1137" s="841"/>
      <c r="H1137" s="841"/>
      <c r="I1137" s="841"/>
      <c r="J1137" s="841"/>
      <c r="K1137" s="841"/>
      <c r="L1137" s="841"/>
      <c r="M1137" s="841"/>
      <c r="N1137" s="841"/>
      <c r="O1137" s="841"/>
      <c r="P1137" s="841"/>
      <c r="Q1137" s="841"/>
      <c r="R1137" s="841"/>
      <c r="S1137" s="841"/>
      <c r="T1137" s="841"/>
      <c r="U1137" s="841"/>
      <c r="V1137" s="841"/>
      <c r="W1137" s="841"/>
      <c r="X1137" s="841"/>
      <c r="Y1137" s="841"/>
      <c r="Z1137" s="1226"/>
      <c r="AA1137" s="1226"/>
      <c r="AB1137" s="1226"/>
      <c r="AC1137" s="1226"/>
      <c r="AD1137" s="1226"/>
      <c r="AE1137" s="1226"/>
      <c r="AF1137" s="1226"/>
      <c r="AG1137" s="1226"/>
      <c r="AH1137" s="1226"/>
      <c r="AI1137" s="841"/>
      <c r="AJ1137" s="841"/>
      <c r="AK1137" s="841"/>
      <c r="AL1137" s="841"/>
      <c r="AM1137" s="841"/>
      <c r="AN1137" s="841"/>
      <c r="AO1137" s="841"/>
      <c r="AP1137" s="841"/>
      <c r="AQ1137" s="841"/>
      <c r="AR1137" s="841"/>
      <c r="AS1137" s="842"/>
    </row>
    <row r="1138" spans="1:45">
      <c r="A1138" s="841"/>
      <c r="B1138" s="841"/>
      <c r="C1138" s="841"/>
      <c r="D1138" s="841"/>
      <c r="E1138" s="841"/>
      <c r="F1138" s="841"/>
      <c r="G1138" s="841"/>
      <c r="H1138" s="841"/>
      <c r="I1138" s="841"/>
      <c r="J1138" s="841"/>
      <c r="K1138" s="841"/>
      <c r="L1138" s="841"/>
      <c r="M1138" s="841"/>
      <c r="N1138" s="841"/>
      <c r="O1138" s="841"/>
      <c r="P1138" s="841"/>
      <c r="Q1138" s="841"/>
      <c r="R1138" s="841"/>
      <c r="S1138" s="841"/>
      <c r="T1138" s="841"/>
      <c r="U1138" s="841"/>
      <c r="V1138" s="841"/>
      <c r="W1138" s="841"/>
      <c r="X1138" s="841"/>
      <c r="Y1138" s="841"/>
      <c r="Z1138" s="1226"/>
      <c r="AA1138" s="1226"/>
      <c r="AB1138" s="1226"/>
      <c r="AC1138" s="1226"/>
      <c r="AD1138" s="1226"/>
      <c r="AE1138" s="1226"/>
      <c r="AF1138" s="1226"/>
      <c r="AG1138" s="1226"/>
      <c r="AH1138" s="1226"/>
      <c r="AI1138" s="841"/>
      <c r="AJ1138" s="841"/>
      <c r="AK1138" s="841"/>
      <c r="AL1138" s="841"/>
      <c r="AM1138" s="841"/>
      <c r="AN1138" s="841"/>
      <c r="AO1138" s="841"/>
      <c r="AP1138" s="841"/>
      <c r="AQ1138" s="841"/>
      <c r="AR1138" s="841"/>
      <c r="AS1138" s="842"/>
    </row>
    <row r="1139" spans="1:45">
      <c r="A1139" s="841"/>
      <c r="B1139" s="841"/>
      <c r="C1139" s="841"/>
      <c r="D1139" s="841"/>
      <c r="E1139" s="841"/>
      <c r="F1139" s="841"/>
      <c r="G1139" s="841"/>
      <c r="H1139" s="841"/>
      <c r="I1139" s="841"/>
      <c r="J1139" s="841"/>
      <c r="K1139" s="841"/>
      <c r="L1139" s="841"/>
      <c r="M1139" s="841"/>
      <c r="N1139" s="841"/>
      <c r="O1139" s="841"/>
      <c r="P1139" s="841"/>
      <c r="Q1139" s="841"/>
      <c r="R1139" s="841"/>
      <c r="S1139" s="841"/>
      <c r="T1139" s="841"/>
      <c r="U1139" s="841"/>
      <c r="V1139" s="841"/>
      <c r="W1139" s="841"/>
      <c r="X1139" s="841"/>
      <c r="Y1139" s="841"/>
      <c r="Z1139" s="1226"/>
      <c r="AA1139" s="1226"/>
      <c r="AB1139" s="1226"/>
      <c r="AC1139" s="1226"/>
      <c r="AD1139" s="1226"/>
      <c r="AE1139" s="1226"/>
      <c r="AF1139" s="1226"/>
      <c r="AG1139" s="1226"/>
      <c r="AH1139" s="1226"/>
      <c r="AI1139" s="841"/>
      <c r="AJ1139" s="841"/>
      <c r="AK1139" s="841"/>
      <c r="AL1139" s="841"/>
      <c r="AM1139" s="841"/>
      <c r="AN1139" s="841"/>
      <c r="AO1139" s="841"/>
      <c r="AP1139" s="841"/>
      <c r="AQ1139" s="841"/>
      <c r="AR1139" s="841"/>
      <c r="AS1139" s="842"/>
    </row>
    <row r="1140" spans="1:45">
      <c r="A1140" s="841"/>
      <c r="B1140" s="841"/>
      <c r="C1140" s="841"/>
      <c r="D1140" s="841"/>
      <c r="E1140" s="841"/>
      <c r="F1140" s="841"/>
      <c r="G1140" s="841"/>
      <c r="H1140" s="841"/>
      <c r="I1140" s="841"/>
      <c r="J1140" s="841"/>
      <c r="K1140" s="841"/>
      <c r="L1140" s="841"/>
      <c r="M1140" s="841"/>
      <c r="N1140" s="841"/>
      <c r="O1140" s="841"/>
      <c r="P1140" s="841"/>
      <c r="Q1140" s="841"/>
      <c r="R1140" s="841"/>
      <c r="S1140" s="841"/>
      <c r="T1140" s="841"/>
      <c r="U1140" s="841"/>
      <c r="V1140" s="841"/>
      <c r="W1140" s="841"/>
      <c r="X1140" s="841"/>
      <c r="Y1140" s="841"/>
      <c r="Z1140" s="1226"/>
      <c r="AA1140" s="1226"/>
      <c r="AB1140" s="1226"/>
      <c r="AC1140" s="1226"/>
      <c r="AD1140" s="1226"/>
      <c r="AE1140" s="1226"/>
      <c r="AF1140" s="1226"/>
      <c r="AG1140" s="1226"/>
      <c r="AH1140" s="1226"/>
      <c r="AI1140" s="841"/>
      <c r="AJ1140" s="841"/>
      <c r="AK1140" s="841"/>
      <c r="AL1140" s="841"/>
      <c r="AM1140" s="841"/>
      <c r="AN1140" s="841"/>
      <c r="AO1140" s="841"/>
      <c r="AP1140" s="841"/>
      <c r="AQ1140" s="841"/>
      <c r="AR1140" s="841"/>
      <c r="AS1140" s="842"/>
    </row>
    <row r="1141" spans="1:45">
      <c r="A1141" s="841"/>
      <c r="B1141" s="841"/>
      <c r="C1141" s="841"/>
      <c r="D1141" s="841"/>
      <c r="E1141" s="841"/>
      <c r="F1141" s="841"/>
      <c r="G1141" s="841"/>
      <c r="H1141" s="841"/>
      <c r="I1141" s="841"/>
      <c r="J1141" s="841"/>
      <c r="K1141" s="841"/>
      <c r="L1141" s="841"/>
      <c r="M1141" s="841"/>
      <c r="N1141" s="841"/>
      <c r="O1141" s="841"/>
      <c r="P1141" s="841"/>
      <c r="Q1141" s="841"/>
      <c r="R1141" s="841"/>
      <c r="S1141" s="841"/>
      <c r="T1141" s="841"/>
      <c r="U1141" s="841"/>
      <c r="V1141" s="841"/>
      <c r="W1141" s="841"/>
      <c r="X1141" s="841"/>
      <c r="Y1141" s="841"/>
      <c r="Z1141" s="1226"/>
      <c r="AA1141" s="1226"/>
      <c r="AB1141" s="1226"/>
      <c r="AC1141" s="1226"/>
      <c r="AD1141" s="1226"/>
      <c r="AE1141" s="1226"/>
      <c r="AF1141" s="1226"/>
      <c r="AG1141" s="1226"/>
      <c r="AH1141" s="1226"/>
      <c r="AI1141" s="841"/>
      <c r="AJ1141" s="841"/>
      <c r="AK1141" s="841"/>
      <c r="AL1141" s="841"/>
      <c r="AM1141" s="841"/>
      <c r="AN1141" s="841"/>
      <c r="AO1141" s="841"/>
      <c r="AP1141" s="841"/>
      <c r="AQ1141" s="841"/>
      <c r="AR1141" s="841"/>
      <c r="AS1141" s="842"/>
    </row>
    <row r="1142" spans="1:45">
      <c r="A1142" s="841"/>
      <c r="B1142" s="841"/>
      <c r="C1142" s="841"/>
      <c r="D1142" s="841"/>
      <c r="E1142" s="841"/>
      <c r="F1142" s="841"/>
      <c r="G1142" s="841"/>
      <c r="H1142" s="841"/>
      <c r="I1142" s="841"/>
      <c r="J1142" s="841"/>
      <c r="K1142" s="841"/>
      <c r="L1142" s="841"/>
      <c r="M1142" s="841"/>
      <c r="N1142" s="841"/>
      <c r="O1142" s="841"/>
      <c r="P1142" s="841"/>
      <c r="Q1142" s="841"/>
      <c r="R1142" s="841"/>
      <c r="S1142" s="841"/>
      <c r="T1142" s="841"/>
      <c r="U1142" s="841"/>
      <c r="V1142" s="841"/>
      <c r="W1142" s="841"/>
      <c r="X1142" s="841"/>
      <c r="Y1142" s="841"/>
      <c r="Z1142" s="1226"/>
      <c r="AA1142" s="1226"/>
      <c r="AB1142" s="1226"/>
      <c r="AC1142" s="1226"/>
      <c r="AD1142" s="1226"/>
      <c r="AE1142" s="1226"/>
      <c r="AF1142" s="1226"/>
      <c r="AG1142" s="1226"/>
      <c r="AH1142" s="1226"/>
      <c r="AI1142" s="841"/>
      <c r="AJ1142" s="841"/>
      <c r="AK1142" s="841"/>
      <c r="AL1142" s="841"/>
      <c r="AM1142" s="841"/>
      <c r="AN1142" s="841"/>
      <c r="AO1142" s="841"/>
      <c r="AP1142" s="841"/>
      <c r="AQ1142" s="841"/>
      <c r="AR1142" s="841"/>
      <c r="AS1142" s="842"/>
    </row>
    <row r="1143" spans="1:45">
      <c r="A1143" s="841"/>
      <c r="B1143" s="841"/>
      <c r="C1143" s="841"/>
      <c r="D1143" s="841"/>
      <c r="E1143" s="841"/>
      <c r="F1143" s="841"/>
      <c r="G1143" s="841"/>
      <c r="H1143" s="841"/>
      <c r="I1143" s="841"/>
      <c r="J1143" s="841"/>
      <c r="K1143" s="841"/>
      <c r="L1143" s="841"/>
      <c r="M1143" s="841"/>
      <c r="N1143" s="841"/>
      <c r="O1143" s="841"/>
      <c r="P1143" s="841"/>
      <c r="Q1143" s="841"/>
      <c r="R1143" s="841"/>
      <c r="S1143" s="841"/>
      <c r="T1143" s="841"/>
      <c r="U1143" s="841"/>
      <c r="V1143" s="841"/>
      <c r="W1143" s="841"/>
      <c r="X1143" s="841"/>
      <c r="Y1143" s="841"/>
      <c r="Z1143" s="1226"/>
      <c r="AA1143" s="1226"/>
      <c r="AB1143" s="1226"/>
      <c r="AC1143" s="1226"/>
      <c r="AD1143" s="1226"/>
      <c r="AE1143" s="1226"/>
      <c r="AF1143" s="1226"/>
      <c r="AG1143" s="1226"/>
      <c r="AH1143" s="1226"/>
      <c r="AI1143" s="841"/>
      <c r="AJ1143" s="841"/>
      <c r="AK1143" s="841"/>
      <c r="AL1143" s="841"/>
      <c r="AM1143" s="841"/>
      <c r="AN1143" s="841"/>
      <c r="AO1143" s="841"/>
      <c r="AP1143" s="841"/>
      <c r="AQ1143" s="841"/>
      <c r="AR1143" s="841"/>
      <c r="AS1143" s="842"/>
    </row>
    <row r="1144" spans="1:45">
      <c r="A1144" s="841"/>
      <c r="B1144" s="841"/>
      <c r="C1144" s="841"/>
      <c r="D1144" s="841"/>
      <c r="E1144" s="841"/>
      <c r="F1144" s="841"/>
      <c r="G1144" s="841"/>
      <c r="H1144" s="841"/>
      <c r="I1144" s="841"/>
      <c r="J1144" s="841"/>
      <c r="K1144" s="841"/>
      <c r="L1144" s="841"/>
      <c r="M1144" s="841"/>
      <c r="N1144" s="841"/>
      <c r="O1144" s="841"/>
      <c r="P1144" s="841"/>
      <c r="Q1144" s="841"/>
      <c r="R1144" s="841"/>
      <c r="S1144" s="841"/>
      <c r="T1144" s="841"/>
      <c r="U1144" s="841"/>
      <c r="V1144" s="841"/>
      <c r="W1144" s="841"/>
      <c r="X1144" s="841"/>
      <c r="Y1144" s="841"/>
      <c r="Z1144" s="1226"/>
      <c r="AA1144" s="1226"/>
      <c r="AB1144" s="1226"/>
      <c r="AC1144" s="1226"/>
      <c r="AD1144" s="1226"/>
      <c r="AE1144" s="1226"/>
      <c r="AF1144" s="1226"/>
      <c r="AG1144" s="1226"/>
      <c r="AH1144" s="1226"/>
      <c r="AI1144" s="841"/>
      <c r="AJ1144" s="841"/>
      <c r="AK1144" s="841"/>
      <c r="AL1144" s="841"/>
      <c r="AM1144" s="841"/>
      <c r="AN1144" s="841"/>
      <c r="AO1144" s="841"/>
      <c r="AP1144" s="841"/>
      <c r="AQ1144" s="841"/>
      <c r="AR1144" s="841"/>
      <c r="AS1144" s="842"/>
    </row>
    <row r="1145" spans="1:45">
      <c r="A1145" s="841"/>
      <c r="B1145" s="841"/>
      <c r="C1145" s="841"/>
      <c r="D1145" s="841"/>
      <c r="E1145" s="841"/>
      <c r="F1145" s="841"/>
      <c r="G1145" s="841"/>
      <c r="H1145" s="841"/>
      <c r="I1145" s="841"/>
      <c r="J1145" s="841"/>
      <c r="K1145" s="841"/>
      <c r="L1145" s="841"/>
      <c r="M1145" s="841"/>
      <c r="N1145" s="841"/>
      <c r="O1145" s="841"/>
      <c r="P1145" s="841"/>
      <c r="Q1145" s="841"/>
      <c r="R1145" s="841"/>
      <c r="S1145" s="841"/>
      <c r="T1145" s="841"/>
      <c r="U1145" s="841"/>
      <c r="V1145" s="841"/>
      <c r="W1145" s="841"/>
      <c r="X1145" s="841"/>
      <c r="Y1145" s="841"/>
      <c r="Z1145" s="1226"/>
      <c r="AA1145" s="1226"/>
      <c r="AB1145" s="1226"/>
      <c r="AC1145" s="1226"/>
      <c r="AD1145" s="1226"/>
      <c r="AE1145" s="1226"/>
      <c r="AF1145" s="1226"/>
      <c r="AG1145" s="1226"/>
      <c r="AH1145" s="1226"/>
      <c r="AI1145" s="841"/>
      <c r="AJ1145" s="841"/>
      <c r="AK1145" s="841"/>
      <c r="AL1145" s="841"/>
      <c r="AM1145" s="841"/>
      <c r="AN1145" s="841"/>
      <c r="AO1145" s="841"/>
      <c r="AP1145" s="841"/>
      <c r="AQ1145" s="841"/>
      <c r="AR1145" s="841"/>
      <c r="AS1145" s="842"/>
    </row>
    <row r="1146" spans="1:45">
      <c r="A1146" s="841"/>
      <c r="B1146" s="841"/>
      <c r="C1146" s="841"/>
      <c r="D1146" s="841"/>
      <c r="E1146" s="841"/>
      <c r="F1146" s="841"/>
      <c r="G1146" s="841"/>
      <c r="H1146" s="841"/>
      <c r="I1146" s="841"/>
      <c r="J1146" s="841"/>
      <c r="K1146" s="841"/>
      <c r="L1146" s="841"/>
      <c r="M1146" s="841"/>
      <c r="N1146" s="841"/>
      <c r="O1146" s="841"/>
      <c r="P1146" s="841"/>
      <c r="Q1146" s="841"/>
      <c r="R1146" s="841"/>
      <c r="S1146" s="841"/>
      <c r="T1146" s="841"/>
      <c r="U1146" s="841"/>
      <c r="V1146" s="841"/>
      <c r="W1146" s="841"/>
      <c r="X1146" s="841"/>
      <c r="Y1146" s="841"/>
      <c r="Z1146" s="1226"/>
      <c r="AA1146" s="1226"/>
      <c r="AB1146" s="1226"/>
      <c r="AC1146" s="1226"/>
      <c r="AD1146" s="1226"/>
      <c r="AE1146" s="1226"/>
      <c r="AF1146" s="1226"/>
      <c r="AG1146" s="1226"/>
      <c r="AH1146" s="1226"/>
      <c r="AI1146" s="841"/>
      <c r="AJ1146" s="841"/>
      <c r="AK1146" s="841"/>
      <c r="AL1146" s="841"/>
      <c r="AM1146" s="841"/>
      <c r="AN1146" s="841"/>
      <c r="AO1146" s="841"/>
      <c r="AP1146" s="841"/>
      <c r="AQ1146" s="841"/>
      <c r="AR1146" s="841"/>
      <c r="AS1146" s="842"/>
    </row>
    <row r="1147" spans="1:45">
      <c r="A1147" s="841"/>
      <c r="B1147" s="841"/>
      <c r="C1147" s="841"/>
      <c r="D1147" s="841"/>
      <c r="E1147" s="841"/>
      <c r="F1147" s="841"/>
      <c r="G1147" s="841"/>
      <c r="H1147" s="841"/>
      <c r="I1147" s="841"/>
      <c r="J1147" s="841"/>
      <c r="K1147" s="841"/>
      <c r="L1147" s="841"/>
      <c r="M1147" s="841"/>
      <c r="N1147" s="841"/>
      <c r="O1147" s="841"/>
      <c r="P1147" s="841"/>
      <c r="Q1147" s="841"/>
      <c r="R1147" s="841"/>
      <c r="S1147" s="841"/>
      <c r="T1147" s="841"/>
      <c r="U1147" s="841"/>
      <c r="V1147" s="841"/>
      <c r="W1147" s="841"/>
      <c r="X1147" s="841"/>
      <c r="Y1147" s="841"/>
      <c r="Z1147" s="1226"/>
      <c r="AA1147" s="1226"/>
      <c r="AB1147" s="1226"/>
      <c r="AC1147" s="1226"/>
      <c r="AD1147" s="1226"/>
      <c r="AE1147" s="1226"/>
      <c r="AF1147" s="1226"/>
      <c r="AG1147" s="1226"/>
      <c r="AH1147" s="1226"/>
      <c r="AI1147" s="841"/>
      <c r="AJ1147" s="841"/>
      <c r="AK1147" s="841"/>
      <c r="AL1147" s="841"/>
      <c r="AM1147" s="841"/>
      <c r="AN1147" s="841"/>
      <c r="AO1147" s="841"/>
      <c r="AP1147" s="841"/>
      <c r="AQ1147" s="841"/>
      <c r="AR1147" s="841"/>
      <c r="AS1147" s="842"/>
    </row>
    <row r="1148" spans="1:45">
      <c r="A1148" s="841"/>
      <c r="B1148" s="841"/>
      <c r="C1148" s="841"/>
      <c r="D1148" s="841"/>
      <c r="E1148" s="841"/>
      <c r="F1148" s="841"/>
      <c r="G1148" s="841"/>
      <c r="H1148" s="841"/>
      <c r="I1148" s="841"/>
      <c r="J1148" s="841"/>
      <c r="K1148" s="841"/>
      <c r="L1148" s="841"/>
      <c r="M1148" s="841"/>
      <c r="N1148" s="841"/>
      <c r="O1148" s="841"/>
      <c r="P1148" s="841"/>
      <c r="Q1148" s="841"/>
      <c r="R1148" s="841"/>
      <c r="S1148" s="841"/>
      <c r="T1148" s="841"/>
      <c r="U1148" s="841"/>
      <c r="V1148" s="841"/>
      <c r="W1148" s="841"/>
      <c r="X1148" s="841"/>
      <c r="Y1148" s="841"/>
      <c r="Z1148" s="1226"/>
      <c r="AA1148" s="1226"/>
      <c r="AB1148" s="1226"/>
      <c r="AC1148" s="1226"/>
      <c r="AD1148" s="1226"/>
      <c r="AE1148" s="1226"/>
      <c r="AF1148" s="1226"/>
      <c r="AG1148" s="1226"/>
      <c r="AH1148" s="1226"/>
      <c r="AI1148" s="841"/>
      <c r="AJ1148" s="841"/>
      <c r="AK1148" s="841"/>
      <c r="AL1148" s="841"/>
      <c r="AM1148" s="841"/>
      <c r="AN1148" s="841"/>
      <c r="AO1148" s="841"/>
      <c r="AP1148" s="841"/>
      <c r="AQ1148" s="841"/>
      <c r="AR1148" s="841"/>
      <c r="AS1148" s="842"/>
    </row>
    <row r="1149" spans="1:45">
      <c r="A1149" s="841"/>
      <c r="B1149" s="841"/>
      <c r="C1149" s="841"/>
      <c r="D1149" s="841"/>
      <c r="E1149" s="841"/>
      <c r="F1149" s="841"/>
      <c r="G1149" s="841"/>
      <c r="H1149" s="841"/>
      <c r="I1149" s="841"/>
      <c r="J1149" s="841"/>
      <c r="K1149" s="841"/>
      <c r="L1149" s="841"/>
      <c r="M1149" s="841"/>
      <c r="N1149" s="841"/>
      <c r="O1149" s="841"/>
      <c r="P1149" s="841"/>
      <c r="Q1149" s="841"/>
      <c r="R1149" s="841"/>
      <c r="S1149" s="841"/>
      <c r="T1149" s="841"/>
      <c r="U1149" s="841"/>
      <c r="V1149" s="841"/>
      <c r="W1149" s="841"/>
      <c r="X1149" s="841"/>
      <c r="Y1149" s="841"/>
      <c r="Z1149" s="1226"/>
      <c r="AA1149" s="1226"/>
      <c r="AB1149" s="1226"/>
      <c r="AC1149" s="1226"/>
      <c r="AD1149" s="1226"/>
      <c r="AE1149" s="1226"/>
      <c r="AF1149" s="1226"/>
      <c r="AG1149" s="1226"/>
      <c r="AH1149" s="1226"/>
      <c r="AI1149" s="841"/>
      <c r="AJ1149" s="841"/>
      <c r="AK1149" s="841"/>
      <c r="AL1149" s="841"/>
      <c r="AM1149" s="841"/>
      <c r="AN1149" s="841"/>
      <c r="AO1149" s="841"/>
      <c r="AP1149" s="841"/>
      <c r="AQ1149" s="841"/>
      <c r="AR1149" s="841"/>
      <c r="AS1149" s="842"/>
    </row>
    <row r="1150" spans="1:45">
      <c r="A1150" s="841"/>
      <c r="B1150" s="841"/>
      <c r="C1150" s="841"/>
      <c r="D1150" s="841"/>
      <c r="E1150" s="841"/>
      <c r="F1150" s="841"/>
      <c r="G1150" s="841"/>
      <c r="H1150" s="841"/>
      <c r="I1150" s="841"/>
      <c r="J1150" s="841"/>
      <c r="K1150" s="841"/>
      <c r="L1150" s="841"/>
      <c r="M1150" s="841"/>
      <c r="N1150" s="841"/>
      <c r="O1150" s="841"/>
      <c r="P1150" s="841"/>
      <c r="Q1150" s="841"/>
      <c r="R1150" s="841"/>
      <c r="S1150" s="841"/>
      <c r="T1150" s="841"/>
      <c r="U1150" s="841"/>
      <c r="V1150" s="841"/>
      <c r="W1150" s="841"/>
      <c r="X1150" s="841"/>
      <c r="Y1150" s="841"/>
      <c r="Z1150" s="1226"/>
      <c r="AA1150" s="1226"/>
      <c r="AB1150" s="1226"/>
      <c r="AC1150" s="1226"/>
      <c r="AD1150" s="1226"/>
      <c r="AE1150" s="1226"/>
      <c r="AF1150" s="1226"/>
      <c r="AG1150" s="1226"/>
      <c r="AH1150" s="1226"/>
      <c r="AI1150" s="841"/>
      <c r="AJ1150" s="841"/>
      <c r="AK1150" s="841"/>
      <c r="AL1150" s="841"/>
      <c r="AM1150" s="841"/>
      <c r="AN1150" s="841"/>
      <c r="AO1150" s="841"/>
      <c r="AP1150" s="841"/>
      <c r="AQ1150" s="841"/>
      <c r="AR1150" s="841"/>
      <c r="AS1150" s="842"/>
    </row>
    <row r="1151" spans="1:45">
      <c r="A1151" s="841"/>
      <c r="B1151" s="841"/>
      <c r="C1151" s="841"/>
      <c r="D1151" s="841"/>
      <c r="E1151" s="841"/>
      <c r="F1151" s="841"/>
      <c r="G1151" s="841"/>
      <c r="H1151" s="841"/>
      <c r="I1151" s="841"/>
      <c r="J1151" s="841"/>
      <c r="K1151" s="841"/>
      <c r="L1151" s="841"/>
      <c r="M1151" s="841"/>
      <c r="N1151" s="841"/>
      <c r="O1151" s="841"/>
      <c r="P1151" s="841"/>
      <c r="Q1151" s="841"/>
      <c r="R1151" s="841"/>
      <c r="S1151" s="841"/>
      <c r="T1151" s="841"/>
      <c r="U1151" s="841"/>
      <c r="V1151" s="841"/>
      <c r="W1151" s="841"/>
      <c r="X1151" s="841"/>
      <c r="Y1151" s="841"/>
      <c r="Z1151" s="1226"/>
      <c r="AA1151" s="1226"/>
      <c r="AB1151" s="1226"/>
      <c r="AC1151" s="1226"/>
      <c r="AD1151" s="1226"/>
      <c r="AE1151" s="1226"/>
      <c r="AF1151" s="1226"/>
      <c r="AG1151" s="1226"/>
      <c r="AH1151" s="1226"/>
      <c r="AI1151" s="841"/>
      <c r="AJ1151" s="841"/>
      <c r="AK1151" s="841"/>
      <c r="AL1151" s="841"/>
      <c r="AM1151" s="841"/>
      <c r="AN1151" s="841"/>
      <c r="AO1151" s="841"/>
      <c r="AP1151" s="841"/>
      <c r="AQ1151" s="841"/>
      <c r="AR1151" s="841"/>
      <c r="AS1151" s="842"/>
    </row>
    <row r="1152" spans="1:45">
      <c r="A1152" s="841"/>
      <c r="B1152" s="841"/>
      <c r="C1152" s="841"/>
      <c r="D1152" s="841"/>
      <c r="E1152" s="841"/>
      <c r="F1152" s="841"/>
      <c r="G1152" s="841"/>
      <c r="H1152" s="841"/>
      <c r="I1152" s="841"/>
      <c r="J1152" s="841"/>
      <c r="K1152" s="841"/>
      <c r="L1152" s="841"/>
      <c r="M1152" s="841"/>
      <c r="N1152" s="841"/>
      <c r="O1152" s="841"/>
      <c r="P1152" s="841"/>
      <c r="Q1152" s="841"/>
      <c r="R1152" s="841"/>
      <c r="S1152" s="841"/>
      <c r="T1152" s="841"/>
      <c r="U1152" s="841"/>
      <c r="V1152" s="841"/>
      <c r="W1152" s="841"/>
      <c r="X1152" s="841"/>
      <c r="Y1152" s="841"/>
      <c r="Z1152" s="1226"/>
      <c r="AA1152" s="1226"/>
      <c r="AB1152" s="1226"/>
      <c r="AC1152" s="1226"/>
      <c r="AD1152" s="1226"/>
      <c r="AE1152" s="1226"/>
      <c r="AF1152" s="1226"/>
      <c r="AG1152" s="1226"/>
      <c r="AH1152" s="1226"/>
      <c r="AI1152" s="841"/>
      <c r="AJ1152" s="841"/>
      <c r="AK1152" s="841"/>
      <c r="AL1152" s="841"/>
      <c r="AM1152" s="841"/>
      <c r="AN1152" s="841"/>
      <c r="AO1152" s="841"/>
      <c r="AP1152" s="841"/>
      <c r="AQ1152" s="841"/>
      <c r="AR1152" s="841"/>
      <c r="AS1152" s="842"/>
    </row>
    <row r="1153" spans="1:45">
      <c r="A1153" s="841"/>
      <c r="B1153" s="841"/>
      <c r="C1153" s="841"/>
      <c r="D1153" s="841"/>
      <c r="E1153" s="841"/>
      <c r="F1153" s="841"/>
      <c r="G1153" s="841"/>
      <c r="H1153" s="841"/>
      <c r="I1153" s="841"/>
      <c r="J1153" s="841"/>
      <c r="K1153" s="841"/>
      <c r="L1153" s="841"/>
      <c r="M1153" s="841"/>
      <c r="N1153" s="841"/>
      <c r="O1153" s="841"/>
      <c r="P1153" s="841"/>
      <c r="Q1153" s="841"/>
      <c r="R1153" s="841"/>
      <c r="S1153" s="841"/>
      <c r="T1153" s="841"/>
      <c r="U1153" s="841"/>
      <c r="V1153" s="841"/>
      <c r="W1153" s="841"/>
      <c r="X1153" s="841"/>
      <c r="Y1153" s="841"/>
      <c r="Z1153" s="1226"/>
      <c r="AA1153" s="1226"/>
      <c r="AB1153" s="1226"/>
      <c r="AC1153" s="1226"/>
      <c r="AD1153" s="1226"/>
      <c r="AE1153" s="1226"/>
      <c r="AF1153" s="1226"/>
      <c r="AG1153" s="1226"/>
      <c r="AH1153" s="1226"/>
      <c r="AI1153" s="841"/>
      <c r="AJ1153" s="841"/>
      <c r="AK1153" s="841"/>
      <c r="AL1153" s="841"/>
      <c r="AM1153" s="841"/>
      <c r="AN1153" s="841"/>
      <c r="AO1153" s="841"/>
      <c r="AP1153" s="841"/>
      <c r="AQ1153" s="841"/>
      <c r="AR1153" s="841"/>
      <c r="AS1153" s="842"/>
    </row>
    <row r="1154" spans="1:45">
      <c r="A1154" s="841"/>
      <c r="B1154" s="841"/>
      <c r="C1154" s="841"/>
      <c r="D1154" s="841"/>
      <c r="E1154" s="841"/>
      <c r="F1154" s="841"/>
      <c r="G1154" s="841"/>
      <c r="H1154" s="841"/>
      <c r="I1154" s="841"/>
      <c r="J1154" s="841"/>
      <c r="K1154" s="841"/>
      <c r="L1154" s="841"/>
      <c r="M1154" s="841"/>
      <c r="N1154" s="841"/>
      <c r="O1154" s="841"/>
      <c r="P1154" s="841"/>
      <c r="Q1154" s="841"/>
      <c r="R1154" s="841"/>
      <c r="S1154" s="841"/>
      <c r="T1154" s="841"/>
      <c r="U1154" s="841"/>
      <c r="V1154" s="841"/>
      <c r="W1154" s="841"/>
      <c r="X1154" s="841"/>
      <c r="Y1154" s="841"/>
      <c r="Z1154" s="1226"/>
      <c r="AA1154" s="1226"/>
      <c r="AB1154" s="1226"/>
      <c r="AC1154" s="1226"/>
      <c r="AD1154" s="1226"/>
      <c r="AE1154" s="1226"/>
      <c r="AF1154" s="1226"/>
      <c r="AG1154" s="1226"/>
      <c r="AH1154" s="1226"/>
      <c r="AI1154" s="841"/>
      <c r="AJ1154" s="841"/>
      <c r="AK1154" s="841"/>
      <c r="AL1154" s="841"/>
      <c r="AM1154" s="841"/>
      <c r="AN1154" s="841"/>
      <c r="AO1154" s="841"/>
      <c r="AP1154" s="841"/>
      <c r="AQ1154" s="841"/>
      <c r="AR1154" s="841"/>
      <c r="AS1154" s="842"/>
    </row>
    <row r="1155" spans="1:45">
      <c r="A1155" s="841"/>
      <c r="B1155" s="841"/>
      <c r="C1155" s="841"/>
      <c r="D1155" s="841"/>
      <c r="E1155" s="841"/>
      <c r="F1155" s="841"/>
      <c r="G1155" s="841"/>
      <c r="H1155" s="841"/>
      <c r="I1155" s="841"/>
      <c r="J1155" s="841"/>
      <c r="K1155" s="841"/>
      <c r="L1155" s="841"/>
      <c r="M1155" s="841"/>
      <c r="N1155" s="841"/>
      <c r="O1155" s="841"/>
      <c r="P1155" s="841"/>
      <c r="Q1155" s="841"/>
      <c r="R1155" s="841"/>
      <c r="S1155" s="841"/>
      <c r="T1155" s="841"/>
      <c r="U1155" s="841"/>
      <c r="V1155" s="841"/>
      <c r="W1155" s="841"/>
      <c r="X1155" s="841"/>
      <c r="Y1155" s="841"/>
      <c r="Z1155" s="1226"/>
      <c r="AA1155" s="1226"/>
      <c r="AB1155" s="1226"/>
      <c r="AC1155" s="1226"/>
      <c r="AD1155" s="1226"/>
      <c r="AE1155" s="1226"/>
      <c r="AF1155" s="1226"/>
      <c r="AG1155" s="1226"/>
      <c r="AH1155" s="1226"/>
      <c r="AI1155" s="841"/>
      <c r="AJ1155" s="841"/>
      <c r="AK1155" s="841"/>
      <c r="AL1155" s="841"/>
      <c r="AM1155" s="841"/>
      <c r="AN1155" s="841"/>
      <c r="AO1155" s="841"/>
      <c r="AP1155" s="841"/>
      <c r="AQ1155" s="841"/>
      <c r="AR1155" s="841"/>
      <c r="AS1155" s="842"/>
    </row>
    <row r="1156" spans="1:45">
      <c r="A1156" s="841"/>
      <c r="B1156" s="841"/>
      <c r="C1156" s="841"/>
      <c r="D1156" s="841"/>
      <c r="E1156" s="841"/>
      <c r="F1156" s="841"/>
      <c r="G1156" s="841"/>
      <c r="H1156" s="841"/>
      <c r="I1156" s="841"/>
      <c r="J1156" s="841"/>
      <c r="K1156" s="841"/>
      <c r="L1156" s="841"/>
      <c r="M1156" s="841"/>
      <c r="N1156" s="841"/>
      <c r="O1156" s="841"/>
      <c r="P1156" s="841"/>
      <c r="Q1156" s="841"/>
      <c r="R1156" s="841"/>
      <c r="S1156" s="841"/>
      <c r="T1156" s="841"/>
      <c r="U1156" s="841"/>
      <c r="V1156" s="841"/>
      <c r="W1156" s="841"/>
      <c r="X1156" s="841"/>
      <c r="Y1156" s="841"/>
      <c r="Z1156" s="1226"/>
      <c r="AA1156" s="1226"/>
      <c r="AB1156" s="1226"/>
      <c r="AC1156" s="1226"/>
      <c r="AD1156" s="1226"/>
      <c r="AE1156" s="1226"/>
      <c r="AF1156" s="1226"/>
      <c r="AG1156" s="1226"/>
      <c r="AH1156" s="1226"/>
      <c r="AI1156" s="841"/>
      <c r="AJ1156" s="841"/>
      <c r="AK1156" s="841"/>
      <c r="AL1156" s="841"/>
      <c r="AM1156" s="841"/>
      <c r="AN1156" s="841"/>
      <c r="AO1156" s="841"/>
      <c r="AP1156" s="841"/>
      <c r="AQ1156" s="841"/>
      <c r="AR1156" s="841"/>
      <c r="AS1156" s="842"/>
    </row>
    <row r="1157" spans="1:45">
      <c r="A1157" s="841"/>
      <c r="B1157" s="841"/>
      <c r="C1157" s="841"/>
      <c r="D1157" s="841"/>
      <c r="E1157" s="841"/>
      <c r="F1157" s="841"/>
      <c r="G1157" s="841"/>
      <c r="H1157" s="841"/>
      <c r="I1157" s="841"/>
      <c r="J1157" s="841"/>
      <c r="K1157" s="841"/>
      <c r="L1157" s="841"/>
      <c r="M1157" s="841"/>
      <c r="N1157" s="841"/>
      <c r="O1157" s="841"/>
      <c r="P1157" s="841"/>
      <c r="Q1157" s="841"/>
      <c r="R1157" s="841"/>
      <c r="S1157" s="841"/>
      <c r="T1157" s="841"/>
      <c r="U1157" s="841"/>
      <c r="V1157" s="841"/>
      <c r="W1157" s="841"/>
      <c r="X1157" s="841"/>
      <c r="Y1157" s="841"/>
      <c r="Z1157" s="1226"/>
      <c r="AA1157" s="1226"/>
      <c r="AB1157" s="1226"/>
      <c r="AC1157" s="1226"/>
      <c r="AD1157" s="1226"/>
      <c r="AE1157" s="1226"/>
      <c r="AF1157" s="1226"/>
      <c r="AG1157" s="1226"/>
      <c r="AH1157" s="1226"/>
      <c r="AI1157" s="841"/>
      <c r="AJ1157" s="841"/>
      <c r="AK1157" s="841"/>
      <c r="AL1157" s="841"/>
      <c r="AM1157" s="841"/>
      <c r="AN1157" s="841"/>
      <c r="AO1157" s="841"/>
      <c r="AP1157" s="841"/>
      <c r="AQ1157" s="841"/>
      <c r="AR1157" s="841"/>
      <c r="AS1157" s="842"/>
    </row>
    <row r="1158" spans="1:45">
      <c r="A1158" s="841"/>
      <c r="B1158" s="841"/>
      <c r="C1158" s="841"/>
      <c r="D1158" s="841"/>
      <c r="E1158" s="841"/>
      <c r="F1158" s="841"/>
      <c r="G1158" s="841"/>
      <c r="H1158" s="841"/>
      <c r="I1158" s="841"/>
      <c r="J1158" s="841"/>
      <c r="K1158" s="841"/>
      <c r="L1158" s="841"/>
      <c r="M1158" s="841"/>
      <c r="N1158" s="841"/>
      <c r="O1158" s="841"/>
      <c r="P1158" s="841"/>
      <c r="Q1158" s="841"/>
      <c r="R1158" s="841"/>
      <c r="S1158" s="841"/>
      <c r="T1158" s="841"/>
      <c r="U1158" s="841"/>
      <c r="V1158" s="841"/>
      <c r="W1158" s="841"/>
      <c r="X1158" s="841"/>
      <c r="Y1158" s="841"/>
      <c r="Z1158" s="1226"/>
      <c r="AA1158" s="1226"/>
      <c r="AB1158" s="1226"/>
      <c r="AC1158" s="1226"/>
      <c r="AD1158" s="1226"/>
      <c r="AE1158" s="1226"/>
      <c r="AF1158" s="1226"/>
      <c r="AG1158" s="1226"/>
      <c r="AH1158" s="1226"/>
      <c r="AI1158" s="841"/>
      <c r="AJ1158" s="841"/>
      <c r="AK1158" s="841"/>
      <c r="AL1158" s="841"/>
      <c r="AM1158" s="841"/>
      <c r="AN1158" s="841"/>
      <c r="AO1158" s="841"/>
      <c r="AP1158" s="841"/>
      <c r="AQ1158" s="841"/>
      <c r="AR1158" s="841"/>
      <c r="AS1158" s="842"/>
    </row>
    <row r="1159" spans="1:45">
      <c r="A1159" s="841"/>
      <c r="B1159" s="841"/>
      <c r="C1159" s="841"/>
      <c r="D1159" s="841"/>
      <c r="E1159" s="841"/>
      <c r="F1159" s="841"/>
      <c r="G1159" s="841"/>
      <c r="H1159" s="841"/>
      <c r="I1159" s="841"/>
      <c r="J1159" s="841"/>
      <c r="K1159" s="841"/>
      <c r="L1159" s="841"/>
      <c r="M1159" s="841"/>
      <c r="N1159" s="841"/>
      <c r="O1159" s="841"/>
      <c r="P1159" s="841"/>
      <c r="Q1159" s="841"/>
      <c r="R1159" s="841"/>
      <c r="S1159" s="841"/>
      <c r="T1159" s="841"/>
      <c r="U1159" s="841"/>
      <c r="V1159" s="841"/>
      <c r="W1159" s="841"/>
      <c r="X1159" s="841"/>
      <c r="Y1159" s="841"/>
      <c r="Z1159" s="1226"/>
      <c r="AA1159" s="1226"/>
      <c r="AB1159" s="1226"/>
      <c r="AC1159" s="1226"/>
      <c r="AD1159" s="1226"/>
      <c r="AE1159" s="1226"/>
      <c r="AF1159" s="1226"/>
      <c r="AG1159" s="1226"/>
      <c r="AH1159" s="1226"/>
      <c r="AI1159" s="841"/>
      <c r="AJ1159" s="841"/>
      <c r="AK1159" s="841"/>
      <c r="AL1159" s="841"/>
      <c r="AM1159" s="841"/>
      <c r="AN1159" s="841"/>
      <c r="AO1159" s="841"/>
      <c r="AP1159" s="841"/>
      <c r="AQ1159" s="841"/>
      <c r="AR1159" s="841"/>
      <c r="AS1159" s="842"/>
    </row>
    <row r="1160" spans="1:45">
      <c r="A1160" s="841"/>
      <c r="B1160" s="841"/>
      <c r="C1160" s="841"/>
      <c r="D1160" s="841"/>
      <c r="E1160" s="841"/>
      <c r="F1160" s="841"/>
      <c r="G1160" s="841"/>
      <c r="H1160" s="841"/>
      <c r="I1160" s="841"/>
      <c r="J1160" s="841"/>
      <c r="K1160" s="841"/>
      <c r="L1160" s="841"/>
      <c r="M1160" s="841"/>
      <c r="N1160" s="841"/>
      <c r="O1160" s="841"/>
      <c r="P1160" s="841"/>
      <c r="Q1160" s="841"/>
      <c r="R1160" s="841"/>
      <c r="S1160" s="841"/>
      <c r="T1160" s="841"/>
      <c r="U1160" s="841"/>
      <c r="V1160" s="841"/>
      <c r="W1160" s="841"/>
      <c r="X1160" s="841"/>
      <c r="Y1160" s="841"/>
      <c r="Z1160" s="1226"/>
      <c r="AA1160" s="1226"/>
      <c r="AB1160" s="1226"/>
      <c r="AC1160" s="1226"/>
      <c r="AD1160" s="1226"/>
      <c r="AE1160" s="1226"/>
      <c r="AF1160" s="1226"/>
      <c r="AG1160" s="1226"/>
      <c r="AH1160" s="1226"/>
      <c r="AI1160" s="841"/>
      <c r="AJ1160" s="841"/>
      <c r="AK1160" s="841"/>
      <c r="AL1160" s="841"/>
      <c r="AM1160" s="841"/>
      <c r="AN1160" s="841"/>
      <c r="AO1160" s="841"/>
      <c r="AP1160" s="841"/>
      <c r="AQ1160" s="841"/>
      <c r="AR1160" s="841"/>
      <c r="AS1160" s="842"/>
    </row>
    <row r="1161" spans="1:45">
      <c r="A1161" s="841"/>
      <c r="B1161" s="841"/>
      <c r="C1161" s="841"/>
      <c r="D1161" s="841"/>
      <c r="E1161" s="841"/>
      <c r="F1161" s="841"/>
      <c r="G1161" s="841"/>
      <c r="H1161" s="841"/>
      <c r="I1161" s="841"/>
      <c r="J1161" s="841"/>
      <c r="K1161" s="841"/>
      <c r="L1161" s="841"/>
      <c r="M1161" s="841"/>
      <c r="N1161" s="841"/>
      <c r="O1161" s="841"/>
      <c r="P1161" s="841"/>
      <c r="Q1161" s="841"/>
      <c r="R1161" s="841"/>
      <c r="S1161" s="841"/>
      <c r="T1161" s="841"/>
      <c r="U1161" s="841"/>
      <c r="V1161" s="841"/>
      <c r="W1161" s="841"/>
      <c r="X1161" s="841"/>
      <c r="Y1161" s="841"/>
      <c r="Z1161" s="1226"/>
      <c r="AA1161" s="1226"/>
      <c r="AB1161" s="1226"/>
      <c r="AC1161" s="1226"/>
      <c r="AD1161" s="1226"/>
      <c r="AE1161" s="1226"/>
      <c r="AF1161" s="1226"/>
      <c r="AG1161" s="1226"/>
      <c r="AH1161" s="1226"/>
      <c r="AI1161" s="841"/>
      <c r="AJ1161" s="841"/>
      <c r="AK1161" s="841"/>
      <c r="AL1161" s="841"/>
      <c r="AM1161" s="841"/>
      <c r="AN1161" s="841"/>
      <c r="AO1161" s="841"/>
      <c r="AP1161" s="841"/>
      <c r="AQ1161" s="841"/>
      <c r="AR1161" s="841"/>
      <c r="AS1161" s="842"/>
    </row>
    <row r="1162" spans="1:45">
      <c r="A1162" s="841"/>
      <c r="B1162" s="841"/>
      <c r="C1162" s="841"/>
      <c r="D1162" s="841"/>
      <c r="E1162" s="841"/>
      <c r="F1162" s="841"/>
      <c r="G1162" s="841"/>
      <c r="H1162" s="841"/>
      <c r="I1162" s="841"/>
      <c r="J1162" s="841"/>
      <c r="K1162" s="841"/>
      <c r="L1162" s="841"/>
      <c r="M1162" s="841"/>
      <c r="N1162" s="841"/>
      <c r="O1162" s="841"/>
      <c r="P1162" s="841"/>
      <c r="Q1162" s="841"/>
      <c r="R1162" s="841"/>
      <c r="S1162" s="841"/>
      <c r="T1162" s="841"/>
      <c r="U1162" s="841"/>
      <c r="V1162" s="841"/>
      <c r="W1162" s="841"/>
      <c r="X1162" s="841"/>
      <c r="Y1162" s="841"/>
      <c r="Z1162" s="1226"/>
      <c r="AA1162" s="1226"/>
      <c r="AB1162" s="1226"/>
      <c r="AC1162" s="1226"/>
      <c r="AD1162" s="1226"/>
      <c r="AE1162" s="1226"/>
      <c r="AF1162" s="1226"/>
      <c r="AG1162" s="1226"/>
      <c r="AH1162" s="1226"/>
      <c r="AI1162" s="841"/>
      <c r="AJ1162" s="841"/>
      <c r="AK1162" s="841"/>
      <c r="AL1162" s="841"/>
      <c r="AM1162" s="841"/>
      <c r="AN1162" s="841"/>
      <c r="AO1162" s="841"/>
      <c r="AP1162" s="841"/>
      <c r="AQ1162" s="841"/>
      <c r="AR1162" s="841"/>
      <c r="AS1162" s="842"/>
    </row>
    <row r="1163" spans="1:45">
      <c r="A1163" s="841"/>
      <c r="B1163" s="841"/>
      <c r="C1163" s="841"/>
      <c r="D1163" s="841"/>
      <c r="E1163" s="841"/>
      <c r="F1163" s="841"/>
      <c r="G1163" s="841"/>
      <c r="H1163" s="841"/>
      <c r="I1163" s="841"/>
      <c r="J1163" s="841"/>
      <c r="K1163" s="841"/>
      <c r="L1163" s="841"/>
      <c r="M1163" s="841"/>
      <c r="N1163" s="841"/>
      <c r="O1163" s="841"/>
      <c r="P1163" s="841"/>
      <c r="Q1163" s="841"/>
      <c r="R1163" s="841"/>
      <c r="S1163" s="841"/>
      <c r="T1163" s="841"/>
      <c r="U1163" s="841"/>
      <c r="V1163" s="841"/>
      <c r="W1163" s="841"/>
      <c r="X1163" s="841"/>
      <c r="Y1163" s="841"/>
      <c r="Z1163" s="1226"/>
      <c r="AA1163" s="1226"/>
      <c r="AB1163" s="1226"/>
      <c r="AC1163" s="1226"/>
      <c r="AD1163" s="1226"/>
      <c r="AE1163" s="1226"/>
      <c r="AF1163" s="1226"/>
      <c r="AG1163" s="1226"/>
      <c r="AH1163" s="1226"/>
      <c r="AI1163" s="841"/>
      <c r="AJ1163" s="841"/>
      <c r="AK1163" s="841"/>
      <c r="AL1163" s="841"/>
      <c r="AM1163" s="841"/>
      <c r="AN1163" s="841"/>
      <c r="AO1163" s="841"/>
      <c r="AP1163" s="841"/>
      <c r="AQ1163" s="841"/>
      <c r="AR1163" s="841"/>
      <c r="AS1163" s="842"/>
    </row>
    <row r="1164" spans="1:45">
      <c r="A1164" s="841"/>
      <c r="B1164" s="841"/>
      <c r="C1164" s="841"/>
      <c r="D1164" s="841"/>
      <c r="E1164" s="841"/>
      <c r="F1164" s="841"/>
      <c r="G1164" s="841"/>
      <c r="H1164" s="841"/>
      <c r="I1164" s="841"/>
      <c r="J1164" s="841"/>
      <c r="K1164" s="841"/>
      <c r="L1164" s="841"/>
      <c r="M1164" s="841"/>
      <c r="N1164" s="841"/>
      <c r="O1164" s="841"/>
      <c r="P1164" s="841"/>
      <c r="Q1164" s="841"/>
      <c r="R1164" s="841"/>
      <c r="S1164" s="841"/>
      <c r="T1164" s="841"/>
      <c r="U1164" s="841"/>
      <c r="V1164" s="841"/>
      <c r="W1164" s="841"/>
      <c r="X1164" s="841"/>
      <c r="Y1164" s="841"/>
      <c r="Z1164" s="1226"/>
      <c r="AA1164" s="1226"/>
      <c r="AB1164" s="1226"/>
      <c r="AC1164" s="1226"/>
      <c r="AD1164" s="1226"/>
      <c r="AE1164" s="1226"/>
      <c r="AF1164" s="1226"/>
      <c r="AG1164" s="1226"/>
      <c r="AH1164" s="1226"/>
      <c r="AI1164" s="841"/>
      <c r="AJ1164" s="841"/>
      <c r="AK1164" s="841"/>
      <c r="AL1164" s="841"/>
      <c r="AM1164" s="841"/>
      <c r="AN1164" s="841"/>
      <c r="AO1164" s="841"/>
      <c r="AP1164" s="841"/>
      <c r="AQ1164" s="841"/>
      <c r="AR1164" s="841"/>
      <c r="AS1164" s="842"/>
    </row>
    <row r="1165" spans="1:45">
      <c r="A1165" s="841"/>
      <c r="B1165" s="841"/>
      <c r="C1165" s="841"/>
      <c r="D1165" s="841"/>
      <c r="E1165" s="841"/>
      <c r="F1165" s="841"/>
      <c r="G1165" s="841"/>
      <c r="H1165" s="841"/>
      <c r="I1165" s="841"/>
      <c r="J1165" s="841"/>
      <c r="K1165" s="841"/>
      <c r="L1165" s="841"/>
      <c r="M1165" s="841"/>
      <c r="N1165" s="841"/>
      <c r="O1165" s="841"/>
      <c r="P1165" s="841"/>
      <c r="Q1165" s="841"/>
      <c r="R1165" s="841"/>
      <c r="S1165" s="841"/>
      <c r="T1165" s="841"/>
      <c r="U1165" s="841"/>
      <c r="V1165" s="841"/>
      <c r="W1165" s="841"/>
      <c r="X1165" s="841"/>
      <c r="Y1165" s="841"/>
      <c r="Z1165" s="1226"/>
      <c r="AA1165" s="1226"/>
      <c r="AB1165" s="1226"/>
      <c r="AC1165" s="1226"/>
      <c r="AD1165" s="1226"/>
      <c r="AE1165" s="1226"/>
      <c r="AF1165" s="1226"/>
      <c r="AG1165" s="1226"/>
      <c r="AH1165" s="1226"/>
      <c r="AI1165" s="841"/>
      <c r="AJ1165" s="841"/>
      <c r="AK1165" s="841"/>
      <c r="AL1165" s="841"/>
      <c r="AM1165" s="841"/>
      <c r="AN1165" s="841"/>
      <c r="AO1165" s="841"/>
      <c r="AP1165" s="841"/>
      <c r="AQ1165" s="841"/>
      <c r="AR1165" s="841"/>
      <c r="AS1165" s="842"/>
    </row>
    <row r="1166" spans="1:45">
      <c r="A1166" s="841"/>
      <c r="B1166" s="841"/>
      <c r="C1166" s="841"/>
      <c r="D1166" s="841"/>
      <c r="E1166" s="841"/>
      <c r="F1166" s="841"/>
      <c r="G1166" s="841"/>
      <c r="H1166" s="841"/>
      <c r="I1166" s="841"/>
      <c r="J1166" s="841"/>
      <c r="K1166" s="841"/>
      <c r="L1166" s="841"/>
      <c r="M1166" s="841"/>
      <c r="N1166" s="841"/>
      <c r="O1166" s="841"/>
      <c r="P1166" s="841"/>
      <c r="Q1166" s="841"/>
      <c r="R1166" s="841"/>
      <c r="S1166" s="841"/>
      <c r="T1166" s="841"/>
      <c r="U1166" s="841"/>
      <c r="V1166" s="841"/>
      <c r="W1166" s="841"/>
      <c r="X1166" s="841"/>
      <c r="Y1166" s="841"/>
      <c r="Z1166" s="1226"/>
      <c r="AA1166" s="1226"/>
      <c r="AB1166" s="1226"/>
      <c r="AC1166" s="1226"/>
      <c r="AD1166" s="1226"/>
      <c r="AE1166" s="1226"/>
      <c r="AF1166" s="1226"/>
      <c r="AG1166" s="1226"/>
      <c r="AH1166" s="1226"/>
      <c r="AI1166" s="841"/>
      <c r="AJ1166" s="841"/>
      <c r="AK1166" s="841"/>
      <c r="AL1166" s="841"/>
      <c r="AM1166" s="841"/>
      <c r="AN1166" s="841"/>
      <c r="AO1166" s="841"/>
      <c r="AP1166" s="841"/>
      <c r="AQ1166" s="841"/>
      <c r="AR1166" s="841"/>
      <c r="AS1166" s="842"/>
    </row>
    <row r="1167" spans="1:45">
      <c r="A1167" s="841"/>
      <c r="B1167" s="841"/>
      <c r="C1167" s="841"/>
      <c r="D1167" s="841"/>
      <c r="E1167" s="841"/>
      <c r="F1167" s="841"/>
      <c r="G1167" s="841"/>
      <c r="H1167" s="841"/>
      <c r="I1167" s="841"/>
      <c r="J1167" s="841"/>
      <c r="K1167" s="841"/>
      <c r="L1167" s="841"/>
      <c r="M1167" s="841"/>
      <c r="N1167" s="841"/>
      <c r="O1167" s="841"/>
      <c r="P1167" s="841"/>
      <c r="Q1167" s="841"/>
      <c r="R1167" s="841"/>
      <c r="S1167" s="841"/>
      <c r="T1167" s="841"/>
      <c r="U1167" s="841"/>
      <c r="V1167" s="841"/>
      <c r="W1167" s="841"/>
      <c r="X1167" s="841"/>
      <c r="Y1167" s="841"/>
      <c r="Z1167" s="1226"/>
      <c r="AA1167" s="1226"/>
      <c r="AB1167" s="1226"/>
      <c r="AC1167" s="1226"/>
      <c r="AD1167" s="1226"/>
      <c r="AE1167" s="1226"/>
      <c r="AF1167" s="1226"/>
      <c r="AG1167" s="1226"/>
      <c r="AH1167" s="1226"/>
      <c r="AI1167" s="841"/>
      <c r="AJ1167" s="841"/>
      <c r="AK1167" s="841"/>
      <c r="AL1167" s="841"/>
      <c r="AM1167" s="841"/>
      <c r="AN1167" s="841"/>
      <c r="AO1167" s="841"/>
      <c r="AP1167" s="841"/>
      <c r="AQ1167" s="841"/>
      <c r="AR1167" s="841"/>
      <c r="AS1167" s="842"/>
    </row>
    <row r="1168" spans="1:45">
      <c r="A1168" s="841"/>
      <c r="B1168" s="841"/>
      <c r="C1168" s="841"/>
      <c r="D1168" s="841"/>
      <c r="E1168" s="841"/>
      <c r="F1168" s="841"/>
      <c r="G1168" s="841"/>
      <c r="H1168" s="841"/>
      <c r="I1168" s="841"/>
      <c r="J1168" s="841"/>
      <c r="K1168" s="841"/>
      <c r="L1168" s="841"/>
      <c r="M1168" s="841"/>
      <c r="N1168" s="841"/>
      <c r="O1168" s="841"/>
      <c r="P1168" s="841"/>
      <c r="Q1168" s="841"/>
      <c r="R1168" s="841"/>
      <c r="S1168" s="841"/>
      <c r="T1168" s="841"/>
      <c r="U1168" s="841"/>
      <c r="V1168" s="841"/>
      <c r="W1168" s="841"/>
      <c r="X1168" s="841"/>
      <c r="Y1168" s="841"/>
      <c r="Z1168" s="1226"/>
      <c r="AA1168" s="1226"/>
      <c r="AB1168" s="1226"/>
      <c r="AC1168" s="1226"/>
      <c r="AD1168" s="1226"/>
      <c r="AE1168" s="1226"/>
      <c r="AF1168" s="1226"/>
      <c r="AG1168" s="1226"/>
      <c r="AH1168" s="1226"/>
      <c r="AI1168" s="841"/>
      <c r="AJ1168" s="841"/>
      <c r="AK1168" s="841"/>
      <c r="AL1168" s="841"/>
      <c r="AM1168" s="841"/>
      <c r="AN1168" s="841"/>
      <c r="AO1168" s="841"/>
      <c r="AP1168" s="841"/>
      <c r="AQ1168" s="841"/>
      <c r="AR1168" s="841"/>
      <c r="AS1168" s="842"/>
    </row>
    <row r="1169" spans="1:45">
      <c r="A1169" s="841"/>
      <c r="B1169" s="841"/>
      <c r="C1169" s="841"/>
      <c r="D1169" s="841"/>
      <c r="E1169" s="841"/>
      <c r="F1169" s="841"/>
      <c r="G1169" s="841"/>
      <c r="H1169" s="841"/>
      <c r="I1169" s="841"/>
      <c r="J1169" s="841"/>
      <c r="K1169" s="841"/>
      <c r="L1169" s="841"/>
      <c r="M1169" s="841"/>
      <c r="N1169" s="841"/>
      <c r="O1169" s="841"/>
      <c r="P1169" s="841"/>
      <c r="Q1169" s="841"/>
      <c r="R1169" s="841"/>
      <c r="S1169" s="841"/>
      <c r="T1169" s="841"/>
      <c r="U1169" s="841"/>
      <c r="V1169" s="841"/>
      <c r="W1169" s="841"/>
      <c r="X1169" s="841"/>
      <c r="Y1169" s="841"/>
      <c r="Z1169" s="1226"/>
      <c r="AA1169" s="1226"/>
      <c r="AB1169" s="1226"/>
      <c r="AC1169" s="1226"/>
      <c r="AD1169" s="1226"/>
      <c r="AE1169" s="1226"/>
      <c r="AF1169" s="1226"/>
      <c r="AG1169" s="1226"/>
      <c r="AH1169" s="1226"/>
      <c r="AI1169" s="841"/>
      <c r="AJ1169" s="841"/>
      <c r="AK1169" s="841"/>
      <c r="AL1169" s="841"/>
      <c r="AM1169" s="841"/>
      <c r="AN1169" s="841"/>
      <c r="AO1169" s="841"/>
      <c r="AP1169" s="841"/>
      <c r="AQ1169" s="841"/>
      <c r="AR1169" s="841"/>
      <c r="AS1169" s="842"/>
    </row>
    <row r="1170" spans="1:45">
      <c r="A1170" s="841"/>
      <c r="B1170" s="841"/>
      <c r="C1170" s="841"/>
      <c r="D1170" s="841"/>
      <c r="E1170" s="841"/>
      <c r="F1170" s="841"/>
      <c r="G1170" s="841"/>
      <c r="H1170" s="841"/>
      <c r="I1170" s="841"/>
      <c r="J1170" s="841"/>
      <c r="K1170" s="841"/>
      <c r="L1170" s="841"/>
      <c r="M1170" s="841"/>
      <c r="N1170" s="841"/>
      <c r="O1170" s="841"/>
      <c r="P1170" s="841"/>
      <c r="Q1170" s="841"/>
      <c r="R1170" s="841"/>
      <c r="S1170" s="841"/>
      <c r="T1170" s="841"/>
      <c r="U1170" s="841"/>
      <c r="V1170" s="841"/>
      <c r="W1170" s="841"/>
      <c r="X1170" s="841"/>
      <c r="Y1170" s="841"/>
      <c r="Z1170" s="1226"/>
      <c r="AA1170" s="1226"/>
      <c r="AB1170" s="1226"/>
      <c r="AC1170" s="1226"/>
      <c r="AD1170" s="1226"/>
      <c r="AE1170" s="1226"/>
      <c r="AF1170" s="1226"/>
      <c r="AG1170" s="1226"/>
      <c r="AH1170" s="1226"/>
      <c r="AI1170" s="841"/>
      <c r="AJ1170" s="841"/>
      <c r="AK1170" s="841"/>
      <c r="AL1170" s="841"/>
      <c r="AM1170" s="841"/>
      <c r="AN1170" s="841"/>
      <c r="AO1170" s="841"/>
      <c r="AP1170" s="841"/>
      <c r="AQ1170" s="841"/>
      <c r="AR1170" s="841"/>
      <c r="AS1170" s="842"/>
    </row>
    <row r="1171" spans="1:45">
      <c r="A1171" s="841"/>
      <c r="B1171" s="841"/>
      <c r="C1171" s="841"/>
      <c r="D1171" s="841"/>
      <c r="E1171" s="841"/>
      <c r="F1171" s="841"/>
      <c r="G1171" s="841"/>
      <c r="H1171" s="841"/>
      <c r="I1171" s="841"/>
      <c r="J1171" s="841"/>
      <c r="K1171" s="841"/>
      <c r="L1171" s="841"/>
      <c r="M1171" s="841"/>
      <c r="N1171" s="841"/>
      <c r="O1171" s="841"/>
      <c r="P1171" s="841"/>
      <c r="Q1171" s="841"/>
      <c r="R1171" s="841"/>
      <c r="S1171" s="841"/>
      <c r="T1171" s="841"/>
      <c r="U1171" s="841"/>
      <c r="V1171" s="841"/>
      <c r="W1171" s="841"/>
      <c r="X1171" s="841"/>
      <c r="Y1171" s="841"/>
      <c r="Z1171" s="1226"/>
      <c r="AA1171" s="1226"/>
      <c r="AB1171" s="1226"/>
      <c r="AC1171" s="1226"/>
      <c r="AD1171" s="1226"/>
      <c r="AE1171" s="1226"/>
      <c r="AF1171" s="1226"/>
      <c r="AG1171" s="1226"/>
      <c r="AH1171" s="1226"/>
      <c r="AI1171" s="841"/>
      <c r="AJ1171" s="841"/>
      <c r="AK1171" s="841"/>
      <c r="AL1171" s="841"/>
      <c r="AM1171" s="841"/>
      <c r="AN1171" s="841"/>
      <c r="AO1171" s="841"/>
      <c r="AP1171" s="841"/>
      <c r="AQ1171" s="841"/>
      <c r="AR1171" s="841"/>
      <c r="AS1171" s="842"/>
    </row>
    <row r="1172" spans="1:45">
      <c r="A1172" s="841"/>
      <c r="B1172" s="841"/>
      <c r="C1172" s="841"/>
      <c r="D1172" s="841"/>
      <c r="E1172" s="841"/>
      <c r="F1172" s="841"/>
      <c r="G1172" s="841"/>
      <c r="H1172" s="841"/>
      <c r="I1172" s="841"/>
      <c r="J1172" s="841"/>
      <c r="K1172" s="841"/>
      <c r="L1172" s="841"/>
      <c r="M1172" s="841"/>
      <c r="N1172" s="841"/>
      <c r="O1172" s="841"/>
      <c r="P1172" s="841"/>
      <c r="Q1172" s="841"/>
      <c r="R1172" s="841"/>
      <c r="S1172" s="841"/>
      <c r="T1172" s="841"/>
      <c r="U1172" s="841"/>
      <c r="V1172" s="841"/>
      <c r="W1172" s="841"/>
      <c r="X1172" s="841"/>
      <c r="Y1172" s="841"/>
      <c r="Z1172" s="1226"/>
      <c r="AA1172" s="1226"/>
      <c r="AB1172" s="1226"/>
      <c r="AC1172" s="1226"/>
      <c r="AD1172" s="1226"/>
      <c r="AE1172" s="1226"/>
      <c r="AF1172" s="1226"/>
      <c r="AG1172" s="1226"/>
      <c r="AH1172" s="1226"/>
      <c r="AI1172" s="841"/>
      <c r="AJ1172" s="841"/>
      <c r="AK1172" s="841"/>
      <c r="AL1172" s="841"/>
      <c r="AM1172" s="841"/>
      <c r="AN1172" s="841"/>
      <c r="AO1172" s="841"/>
      <c r="AP1172" s="841"/>
      <c r="AQ1172" s="841"/>
      <c r="AR1172" s="841"/>
      <c r="AS1172" s="842"/>
    </row>
    <row r="1173" spans="1:45">
      <c r="A1173" s="841"/>
      <c r="B1173" s="841"/>
      <c r="C1173" s="841"/>
      <c r="D1173" s="841"/>
      <c r="E1173" s="841"/>
      <c r="F1173" s="841"/>
      <c r="G1173" s="841"/>
      <c r="H1173" s="841"/>
      <c r="I1173" s="841"/>
      <c r="J1173" s="841"/>
      <c r="K1173" s="841"/>
      <c r="L1173" s="841"/>
      <c r="M1173" s="841"/>
      <c r="N1173" s="841"/>
      <c r="O1173" s="841"/>
      <c r="P1173" s="841"/>
      <c r="Q1173" s="841"/>
      <c r="R1173" s="841"/>
      <c r="S1173" s="841"/>
      <c r="T1173" s="841"/>
      <c r="U1173" s="841"/>
      <c r="V1173" s="841"/>
      <c r="W1173" s="841"/>
      <c r="X1173" s="841"/>
      <c r="Y1173" s="841"/>
      <c r="Z1173" s="1226"/>
      <c r="AA1173" s="1226"/>
      <c r="AB1173" s="1226"/>
      <c r="AC1173" s="1226"/>
      <c r="AD1173" s="1226"/>
      <c r="AE1173" s="1226"/>
      <c r="AF1173" s="1226"/>
      <c r="AG1173" s="1226"/>
      <c r="AH1173" s="1226"/>
      <c r="AI1173" s="841"/>
      <c r="AJ1173" s="841"/>
      <c r="AK1173" s="841"/>
      <c r="AL1173" s="841"/>
      <c r="AM1173" s="841"/>
      <c r="AN1173" s="841"/>
      <c r="AO1173" s="841"/>
      <c r="AP1173" s="841"/>
      <c r="AQ1173" s="841"/>
      <c r="AR1173" s="841"/>
      <c r="AS1173" s="842"/>
    </row>
    <row r="1174" spans="1:45">
      <c r="A1174" s="841"/>
      <c r="B1174" s="841"/>
      <c r="C1174" s="841"/>
      <c r="D1174" s="841"/>
      <c r="E1174" s="841"/>
      <c r="F1174" s="841"/>
      <c r="G1174" s="841"/>
      <c r="H1174" s="841"/>
      <c r="I1174" s="841"/>
      <c r="J1174" s="841"/>
      <c r="K1174" s="841"/>
      <c r="L1174" s="841"/>
      <c r="M1174" s="841"/>
      <c r="N1174" s="841"/>
      <c r="O1174" s="841"/>
      <c r="P1174" s="841"/>
      <c r="Q1174" s="841"/>
      <c r="R1174" s="841"/>
      <c r="S1174" s="841"/>
      <c r="T1174" s="841"/>
      <c r="U1174" s="841"/>
      <c r="V1174" s="841"/>
      <c r="W1174" s="841"/>
      <c r="X1174" s="841"/>
      <c r="Y1174" s="841"/>
      <c r="Z1174" s="1226"/>
      <c r="AA1174" s="1226"/>
      <c r="AB1174" s="1226"/>
      <c r="AC1174" s="1226"/>
      <c r="AD1174" s="1226"/>
      <c r="AE1174" s="1226"/>
      <c r="AF1174" s="1226"/>
      <c r="AG1174" s="1226"/>
      <c r="AH1174" s="1226"/>
      <c r="AI1174" s="841"/>
      <c r="AJ1174" s="841"/>
      <c r="AK1174" s="841"/>
      <c r="AL1174" s="841"/>
      <c r="AM1174" s="841"/>
      <c r="AN1174" s="841"/>
      <c r="AO1174" s="841"/>
      <c r="AP1174" s="841"/>
      <c r="AQ1174" s="841"/>
      <c r="AR1174" s="841"/>
      <c r="AS1174" s="842"/>
    </row>
    <row r="1175" spans="1:45">
      <c r="A1175" s="841"/>
      <c r="B1175" s="841"/>
      <c r="C1175" s="841"/>
      <c r="D1175" s="841"/>
      <c r="E1175" s="841"/>
      <c r="F1175" s="841"/>
      <c r="G1175" s="841"/>
      <c r="H1175" s="841"/>
      <c r="I1175" s="841"/>
      <c r="J1175" s="841"/>
      <c r="K1175" s="841"/>
      <c r="L1175" s="841"/>
      <c r="M1175" s="841"/>
      <c r="N1175" s="841"/>
      <c r="O1175" s="841"/>
      <c r="P1175" s="841"/>
      <c r="Q1175" s="841"/>
      <c r="R1175" s="841"/>
      <c r="S1175" s="841"/>
      <c r="T1175" s="841"/>
      <c r="U1175" s="841"/>
      <c r="V1175" s="841"/>
      <c r="W1175" s="841"/>
      <c r="X1175" s="841"/>
      <c r="Y1175" s="841"/>
      <c r="Z1175" s="1226"/>
      <c r="AA1175" s="1226"/>
      <c r="AB1175" s="1226"/>
      <c r="AC1175" s="1226"/>
      <c r="AD1175" s="1226"/>
      <c r="AE1175" s="1226"/>
      <c r="AF1175" s="1226"/>
      <c r="AG1175" s="1226"/>
      <c r="AH1175" s="1226"/>
      <c r="AI1175" s="841"/>
      <c r="AJ1175" s="841"/>
      <c r="AK1175" s="841"/>
      <c r="AL1175" s="841"/>
      <c r="AM1175" s="841"/>
      <c r="AN1175" s="841"/>
      <c r="AO1175" s="841"/>
      <c r="AP1175" s="841"/>
      <c r="AQ1175" s="841"/>
      <c r="AR1175" s="841"/>
      <c r="AS1175" s="842"/>
    </row>
    <row r="1176" spans="1:45">
      <c r="A1176" s="841"/>
      <c r="B1176" s="841"/>
      <c r="C1176" s="841"/>
      <c r="D1176" s="841"/>
      <c r="E1176" s="841"/>
      <c r="F1176" s="841"/>
      <c r="G1176" s="841"/>
      <c r="H1176" s="841"/>
      <c r="I1176" s="841"/>
      <c r="J1176" s="841"/>
      <c r="K1176" s="841"/>
      <c r="L1176" s="841"/>
      <c r="M1176" s="841"/>
      <c r="N1176" s="841"/>
      <c r="O1176" s="841"/>
      <c r="P1176" s="841"/>
      <c r="Q1176" s="841"/>
      <c r="R1176" s="841"/>
      <c r="S1176" s="841"/>
      <c r="T1176" s="841"/>
      <c r="U1176" s="841"/>
      <c r="V1176" s="841"/>
      <c r="W1176" s="841"/>
      <c r="X1176" s="841"/>
      <c r="Y1176" s="841"/>
      <c r="Z1176" s="1226"/>
      <c r="AA1176" s="1226"/>
      <c r="AB1176" s="1226"/>
      <c r="AC1176" s="1226"/>
      <c r="AD1176" s="1226"/>
      <c r="AE1176" s="1226"/>
      <c r="AF1176" s="1226"/>
      <c r="AG1176" s="1226"/>
      <c r="AH1176" s="1226"/>
      <c r="AI1176" s="841"/>
      <c r="AJ1176" s="841"/>
      <c r="AK1176" s="841"/>
      <c r="AL1176" s="841"/>
      <c r="AM1176" s="841"/>
      <c r="AN1176" s="841"/>
      <c r="AO1176" s="841"/>
      <c r="AP1176" s="841"/>
      <c r="AQ1176" s="841"/>
      <c r="AR1176" s="841"/>
      <c r="AS1176" s="842"/>
    </row>
    <row r="1177" spans="1:45">
      <c r="A1177" s="841"/>
      <c r="B1177" s="841"/>
      <c r="C1177" s="841"/>
      <c r="D1177" s="841"/>
      <c r="E1177" s="841"/>
      <c r="F1177" s="841"/>
      <c r="G1177" s="841"/>
      <c r="H1177" s="841"/>
      <c r="I1177" s="841"/>
      <c r="J1177" s="841"/>
      <c r="K1177" s="841"/>
      <c r="L1177" s="841"/>
      <c r="M1177" s="841"/>
      <c r="N1177" s="841"/>
      <c r="O1177" s="841"/>
      <c r="P1177" s="841"/>
      <c r="Q1177" s="841"/>
      <c r="R1177" s="841"/>
      <c r="S1177" s="841"/>
      <c r="T1177" s="841"/>
      <c r="U1177" s="841"/>
      <c r="V1177" s="841"/>
      <c r="W1177" s="841"/>
      <c r="X1177" s="841"/>
      <c r="Y1177" s="841"/>
      <c r="Z1177" s="1226"/>
      <c r="AA1177" s="1226"/>
      <c r="AB1177" s="1226"/>
      <c r="AC1177" s="1226"/>
      <c r="AD1177" s="1226"/>
      <c r="AE1177" s="1226"/>
      <c r="AF1177" s="1226"/>
      <c r="AG1177" s="1226"/>
      <c r="AH1177" s="1226"/>
      <c r="AI1177" s="841"/>
      <c r="AJ1177" s="841"/>
      <c r="AK1177" s="841"/>
      <c r="AL1177" s="841"/>
      <c r="AM1177" s="841"/>
      <c r="AN1177" s="841"/>
      <c r="AO1177" s="841"/>
      <c r="AP1177" s="841"/>
      <c r="AQ1177" s="841"/>
      <c r="AR1177" s="841"/>
      <c r="AS1177" s="842"/>
    </row>
    <row r="1178" spans="1:45">
      <c r="A1178" s="841"/>
      <c r="B1178" s="841"/>
      <c r="C1178" s="841"/>
      <c r="D1178" s="841"/>
      <c r="E1178" s="841"/>
      <c r="F1178" s="841"/>
      <c r="G1178" s="841"/>
      <c r="H1178" s="841"/>
      <c r="I1178" s="841"/>
      <c r="J1178" s="841"/>
      <c r="K1178" s="841"/>
      <c r="L1178" s="841"/>
      <c r="M1178" s="841"/>
      <c r="N1178" s="841"/>
      <c r="O1178" s="841"/>
      <c r="P1178" s="841"/>
      <c r="Q1178" s="841"/>
      <c r="R1178" s="841"/>
      <c r="S1178" s="841"/>
      <c r="T1178" s="841"/>
      <c r="U1178" s="841"/>
      <c r="V1178" s="841"/>
      <c r="W1178" s="841"/>
      <c r="X1178" s="841"/>
      <c r="Y1178" s="841"/>
      <c r="Z1178" s="1226"/>
      <c r="AA1178" s="1226"/>
      <c r="AB1178" s="1226"/>
      <c r="AC1178" s="1226"/>
      <c r="AD1178" s="1226"/>
      <c r="AE1178" s="1226"/>
      <c r="AF1178" s="1226"/>
      <c r="AG1178" s="1226"/>
      <c r="AH1178" s="1226"/>
      <c r="AI1178" s="841"/>
      <c r="AJ1178" s="841"/>
      <c r="AK1178" s="841"/>
      <c r="AL1178" s="841"/>
      <c r="AM1178" s="841"/>
      <c r="AN1178" s="841"/>
      <c r="AO1178" s="841"/>
      <c r="AP1178" s="841"/>
      <c r="AQ1178" s="841"/>
      <c r="AR1178" s="841"/>
      <c r="AS1178" s="842"/>
    </row>
    <row r="1179" spans="1:45">
      <c r="A1179" s="841"/>
      <c r="B1179" s="841"/>
      <c r="C1179" s="841"/>
      <c r="D1179" s="841"/>
      <c r="E1179" s="841"/>
      <c r="F1179" s="841"/>
      <c r="G1179" s="841"/>
      <c r="H1179" s="841"/>
      <c r="I1179" s="841"/>
      <c r="J1179" s="841"/>
      <c r="K1179" s="841"/>
      <c r="L1179" s="841"/>
      <c r="M1179" s="841"/>
      <c r="N1179" s="841"/>
      <c r="O1179" s="841"/>
      <c r="P1179" s="841"/>
      <c r="Q1179" s="841"/>
      <c r="R1179" s="841"/>
      <c r="S1179" s="841"/>
      <c r="T1179" s="841"/>
      <c r="U1179" s="841"/>
      <c r="V1179" s="841"/>
      <c r="W1179" s="841"/>
      <c r="X1179" s="841"/>
      <c r="Y1179" s="841"/>
      <c r="Z1179" s="1226"/>
      <c r="AA1179" s="1226"/>
      <c r="AB1179" s="1226"/>
      <c r="AC1179" s="1226"/>
      <c r="AD1179" s="1226"/>
      <c r="AE1179" s="1226"/>
      <c r="AF1179" s="1226"/>
      <c r="AG1179" s="1226"/>
      <c r="AH1179" s="1226"/>
      <c r="AI1179" s="841"/>
      <c r="AJ1179" s="841"/>
      <c r="AK1179" s="841"/>
      <c r="AL1179" s="841"/>
      <c r="AM1179" s="841"/>
      <c r="AN1179" s="841"/>
      <c r="AO1179" s="841"/>
      <c r="AP1179" s="841"/>
      <c r="AQ1179" s="841"/>
      <c r="AR1179" s="841"/>
      <c r="AS1179" s="842"/>
    </row>
    <row r="1180" spans="1:45">
      <c r="A1180" s="841"/>
      <c r="B1180" s="841"/>
      <c r="C1180" s="841"/>
      <c r="D1180" s="841"/>
      <c r="E1180" s="841"/>
      <c r="F1180" s="841"/>
      <c r="G1180" s="841"/>
      <c r="H1180" s="841"/>
      <c r="I1180" s="841"/>
      <c r="J1180" s="841"/>
      <c r="K1180" s="841"/>
      <c r="L1180" s="841"/>
      <c r="M1180" s="841"/>
      <c r="N1180" s="841"/>
      <c r="O1180" s="841"/>
      <c r="P1180" s="841"/>
      <c r="Q1180" s="841"/>
      <c r="R1180" s="841"/>
      <c r="S1180" s="841"/>
      <c r="T1180" s="841"/>
      <c r="U1180" s="841"/>
      <c r="V1180" s="841"/>
      <c r="W1180" s="841"/>
      <c r="X1180" s="841"/>
      <c r="Y1180" s="841"/>
      <c r="Z1180" s="1226"/>
      <c r="AA1180" s="1226"/>
      <c r="AB1180" s="1226"/>
      <c r="AC1180" s="1226"/>
      <c r="AD1180" s="1226"/>
      <c r="AE1180" s="1226"/>
      <c r="AF1180" s="1226"/>
      <c r="AG1180" s="1226"/>
      <c r="AH1180" s="1226"/>
      <c r="AI1180" s="841"/>
      <c r="AJ1180" s="841"/>
      <c r="AK1180" s="841"/>
      <c r="AL1180" s="841"/>
      <c r="AM1180" s="841"/>
      <c r="AN1180" s="841"/>
      <c r="AO1180" s="841"/>
      <c r="AP1180" s="841"/>
      <c r="AQ1180" s="841"/>
      <c r="AR1180" s="841"/>
      <c r="AS1180" s="842"/>
    </row>
    <row r="1181" spans="1:45">
      <c r="A1181" s="841"/>
      <c r="B1181" s="841"/>
      <c r="C1181" s="841"/>
      <c r="D1181" s="841"/>
      <c r="E1181" s="841"/>
      <c r="F1181" s="841"/>
      <c r="G1181" s="841"/>
      <c r="H1181" s="841"/>
      <c r="I1181" s="841"/>
      <c r="J1181" s="841"/>
      <c r="K1181" s="841"/>
      <c r="L1181" s="841"/>
      <c r="M1181" s="841"/>
      <c r="N1181" s="841"/>
      <c r="O1181" s="841"/>
      <c r="P1181" s="841"/>
      <c r="Q1181" s="841"/>
      <c r="R1181" s="841"/>
      <c r="S1181" s="841"/>
      <c r="T1181" s="841"/>
      <c r="U1181" s="841"/>
      <c r="V1181" s="841"/>
      <c r="W1181" s="841"/>
      <c r="X1181" s="841"/>
      <c r="Y1181" s="841"/>
      <c r="Z1181" s="1226"/>
      <c r="AA1181" s="1226"/>
      <c r="AB1181" s="1226"/>
      <c r="AC1181" s="1226"/>
      <c r="AD1181" s="1226"/>
      <c r="AE1181" s="1226"/>
      <c r="AF1181" s="1226"/>
      <c r="AG1181" s="1226"/>
      <c r="AH1181" s="1226"/>
      <c r="AI1181" s="841"/>
      <c r="AJ1181" s="841"/>
      <c r="AK1181" s="841"/>
      <c r="AL1181" s="841"/>
      <c r="AM1181" s="841"/>
      <c r="AN1181" s="841"/>
      <c r="AO1181" s="841"/>
      <c r="AP1181" s="841"/>
      <c r="AQ1181" s="841"/>
      <c r="AR1181" s="841"/>
      <c r="AS1181" s="842"/>
    </row>
    <row r="1182" spans="1:45">
      <c r="A1182" s="841"/>
      <c r="B1182" s="841"/>
      <c r="C1182" s="841"/>
      <c r="D1182" s="841"/>
      <c r="E1182" s="841"/>
      <c r="F1182" s="841"/>
      <c r="G1182" s="841"/>
      <c r="H1182" s="841"/>
      <c r="I1182" s="841"/>
      <c r="J1182" s="841"/>
      <c r="K1182" s="841"/>
      <c r="L1182" s="841"/>
      <c r="M1182" s="841"/>
      <c r="N1182" s="841"/>
      <c r="O1182" s="841"/>
      <c r="P1182" s="841"/>
      <c r="Q1182" s="841"/>
      <c r="R1182" s="841"/>
      <c r="S1182" s="841"/>
      <c r="T1182" s="841"/>
      <c r="U1182" s="841"/>
      <c r="V1182" s="841"/>
      <c r="W1182" s="841"/>
      <c r="X1182" s="841"/>
      <c r="Y1182" s="841"/>
      <c r="Z1182" s="1226"/>
      <c r="AA1182" s="1226"/>
      <c r="AB1182" s="1226"/>
      <c r="AC1182" s="1226"/>
      <c r="AD1182" s="1226"/>
      <c r="AE1182" s="1226"/>
      <c r="AF1182" s="1226"/>
      <c r="AG1182" s="1226"/>
      <c r="AH1182" s="1226"/>
      <c r="AI1182" s="841"/>
      <c r="AJ1182" s="841"/>
      <c r="AK1182" s="841"/>
      <c r="AL1182" s="841"/>
      <c r="AM1182" s="841"/>
      <c r="AN1182" s="841"/>
      <c r="AO1182" s="841"/>
      <c r="AP1182" s="841"/>
      <c r="AQ1182" s="841"/>
      <c r="AR1182" s="841"/>
      <c r="AS1182" s="842"/>
    </row>
    <row r="1183" spans="1:45">
      <c r="A1183" s="841"/>
      <c r="B1183" s="841"/>
      <c r="C1183" s="841"/>
      <c r="D1183" s="841"/>
      <c r="E1183" s="841"/>
      <c r="F1183" s="841"/>
      <c r="G1183" s="841"/>
      <c r="H1183" s="841"/>
      <c r="I1183" s="841"/>
      <c r="J1183" s="841"/>
      <c r="K1183" s="841"/>
      <c r="L1183" s="841"/>
      <c r="M1183" s="841"/>
      <c r="N1183" s="841"/>
      <c r="O1183" s="841"/>
      <c r="P1183" s="841"/>
      <c r="Q1183" s="841"/>
      <c r="R1183" s="841"/>
      <c r="S1183" s="841"/>
      <c r="T1183" s="841"/>
      <c r="U1183" s="841"/>
      <c r="V1183" s="841"/>
      <c r="W1183" s="841"/>
      <c r="X1183" s="841"/>
      <c r="Y1183" s="841"/>
      <c r="Z1183" s="1226"/>
      <c r="AA1183" s="1226"/>
      <c r="AB1183" s="1226"/>
      <c r="AC1183" s="1226"/>
      <c r="AD1183" s="1226"/>
      <c r="AE1183" s="1226"/>
      <c r="AF1183" s="1226"/>
      <c r="AG1183" s="1226"/>
      <c r="AH1183" s="1226"/>
      <c r="AI1183" s="841"/>
      <c r="AJ1183" s="841"/>
      <c r="AK1183" s="841"/>
      <c r="AL1183" s="841"/>
      <c r="AM1183" s="841"/>
      <c r="AN1183" s="841"/>
      <c r="AO1183" s="841"/>
      <c r="AP1183" s="841"/>
      <c r="AQ1183" s="841"/>
      <c r="AR1183" s="841"/>
      <c r="AS1183" s="842"/>
    </row>
    <row r="1184" spans="1:45">
      <c r="A1184" s="841"/>
      <c r="B1184" s="841"/>
      <c r="C1184" s="841"/>
      <c r="D1184" s="841"/>
      <c r="E1184" s="841"/>
      <c r="F1184" s="841"/>
      <c r="G1184" s="841"/>
      <c r="H1184" s="841"/>
      <c r="I1184" s="841"/>
      <c r="J1184" s="841"/>
      <c r="K1184" s="841"/>
      <c r="L1184" s="841"/>
      <c r="M1184" s="841"/>
      <c r="N1184" s="841"/>
      <c r="O1184" s="841"/>
      <c r="P1184" s="841"/>
      <c r="Q1184" s="841"/>
      <c r="R1184" s="841"/>
      <c r="S1184" s="841"/>
      <c r="T1184" s="841"/>
      <c r="U1184" s="841"/>
      <c r="V1184" s="841"/>
      <c r="W1184" s="841"/>
      <c r="X1184" s="841"/>
      <c r="Y1184" s="841"/>
      <c r="Z1184" s="1226"/>
      <c r="AA1184" s="1226"/>
      <c r="AB1184" s="1226"/>
      <c r="AC1184" s="1226"/>
      <c r="AD1184" s="1226"/>
      <c r="AE1184" s="1226"/>
      <c r="AF1184" s="1226"/>
      <c r="AG1184" s="1226"/>
      <c r="AH1184" s="1226"/>
      <c r="AI1184" s="841"/>
      <c r="AJ1184" s="841"/>
      <c r="AK1184" s="841"/>
      <c r="AL1184" s="841"/>
      <c r="AM1184" s="841"/>
      <c r="AN1184" s="841"/>
      <c r="AO1184" s="841"/>
      <c r="AP1184" s="841"/>
      <c r="AQ1184" s="841"/>
      <c r="AR1184" s="841"/>
      <c r="AS1184" s="842"/>
    </row>
    <row r="1185" spans="1:45">
      <c r="A1185" s="841"/>
      <c r="B1185" s="841"/>
      <c r="C1185" s="841"/>
      <c r="D1185" s="841"/>
      <c r="E1185" s="841"/>
      <c r="F1185" s="841"/>
      <c r="G1185" s="841"/>
      <c r="H1185" s="841"/>
      <c r="I1185" s="841"/>
      <c r="J1185" s="841"/>
      <c r="K1185" s="841"/>
      <c r="L1185" s="841"/>
      <c r="M1185" s="841"/>
      <c r="N1185" s="841"/>
      <c r="O1185" s="841"/>
      <c r="P1185" s="841"/>
      <c r="Q1185" s="841"/>
      <c r="R1185" s="841"/>
      <c r="S1185" s="841"/>
      <c r="T1185" s="841"/>
      <c r="U1185" s="841"/>
      <c r="V1185" s="841"/>
      <c r="W1185" s="841"/>
      <c r="X1185" s="841"/>
      <c r="Y1185" s="841"/>
      <c r="Z1185" s="1226"/>
      <c r="AA1185" s="1226"/>
      <c r="AB1185" s="1226"/>
      <c r="AC1185" s="1226"/>
      <c r="AD1185" s="1226"/>
      <c r="AE1185" s="1226"/>
      <c r="AF1185" s="1226"/>
      <c r="AG1185" s="1226"/>
      <c r="AH1185" s="1226"/>
      <c r="AI1185" s="841"/>
      <c r="AJ1185" s="841"/>
      <c r="AK1185" s="841"/>
      <c r="AL1185" s="841"/>
      <c r="AM1185" s="841"/>
      <c r="AN1185" s="841"/>
      <c r="AO1185" s="841"/>
      <c r="AP1185" s="841"/>
      <c r="AQ1185" s="841"/>
      <c r="AR1185" s="841"/>
      <c r="AS1185" s="842"/>
    </row>
    <row r="1186" spans="1:45">
      <c r="A1186" s="841"/>
      <c r="B1186" s="841"/>
      <c r="C1186" s="841"/>
      <c r="D1186" s="841"/>
      <c r="E1186" s="841"/>
      <c r="F1186" s="841"/>
      <c r="G1186" s="841"/>
      <c r="H1186" s="841"/>
      <c r="I1186" s="841"/>
      <c r="J1186" s="841"/>
      <c r="K1186" s="841"/>
      <c r="L1186" s="841"/>
      <c r="M1186" s="841"/>
      <c r="N1186" s="841"/>
      <c r="O1186" s="841"/>
      <c r="P1186" s="841"/>
      <c r="Q1186" s="841"/>
      <c r="R1186" s="841"/>
      <c r="S1186" s="841"/>
      <c r="T1186" s="841"/>
      <c r="U1186" s="841"/>
      <c r="V1186" s="841"/>
      <c r="W1186" s="841"/>
      <c r="X1186" s="841"/>
      <c r="Y1186" s="841"/>
      <c r="Z1186" s="1226"/>
      <c r="AA1186" s="1226"/>
      <c r="AB1186" s="1226"/>
      <c r="AC1186" s="1226"/>
      <c r="AD1186" s="1226"/>
      <c r="AE1186" s="1226"/>
      <c r="AF1186" s="1226"/>
      <c r="AG1186" s="1226"/>
      <c r="AH1186" s="1226"/>
      <c r="AI1186" s="841"/>
      <c r="AJ1186" s="841"/>
      <c r="AK1186" s="841"/>
      <c r="AL1186" s="841"/>
      <c r="AM1186" s="841"/>
      <c r="AN1186" s="841"/>
      <c r="AO1186" s="841"/>
      <c r="AP1186" s="841"/>
      <c r="AQ1186" s="841"/>
      <c r="AR1186" s="841"/>
      <c r="AS1186" s="842"/>
    </row>
    <row r="1187" spans="1:45">
      <c r="A1187" s="841"/>
      <c r="B1187" s="841"/>
      <c r="C1187" s="841"/>
      <c r="D1187" s="841"/>
      <c r="E1187" s="841"/>
      <c r="F1187" s="841"/>
      <c r="G1187" s="841"/>
      <c r="H1187" s="841"/>
      <c r="I1187" s="841"/>
      <c r="J1187" s="841"/>
      <c r="K1187" s="841"/>
      <c r="L1187" s="841"/>
      <c r="M1187" s="841"/>
      <c r="N1187" s="841"/>
      <c r="O1187" s="841"/>
      <c r="P1187" s="841"/>
      <c r="Q1187" s="841"/>
      <c r="R1187" s="841"/>
      <c r="S1187" s="841"/>
      <c r="T1187" s="841"/>
      <c r="U1187" s="841"/>
      <c r="V1187" s="841"/>
      <c r="W1187" s="841"/>
      <c r="X1187" s="841"/>
      <c r="Y1187" s="841"/>
      <c r="Z1187" s="1226"/>
      <c r="AA1187" s="1226"/>
      <c r="AB1187" s="1226"/>
      <c r="AC1187" s="1226"/>
      <c r="AD1187" s="1226"/>
      <c r="AE1187" s="1226"/>
      <c r="AF1187" s="1226"/>
      <c r="AG1187" s="1226"/>
      <c r="AH1187" s="1226"/>
      <c r="AI1187" s="841"/>
      <c r="AJ1187" s="841"/>
      <c r="AK1187" s="841"/>
      <c r="AL1187" s="841"/>
      <c r="AM1187" s="841"/>
      <c r="AN1187" s="841"/>
      <c r="AO1187" s="841"/>
      <c r="AP1187" s="841"/>
      <c r="AQ1187" s="841"/>
      <c r="AR1187" s="841"/>
      <c r="AS1187" s="842"/>
    </row>
    <row r="1188" spans="1:45">
      <c r="A1188" s="841"/>
      <c r="B1188" s="841"/>
      <c r="C1188" s="841"/>
      <c r="D1188" s="841"/>
      <c r="E1188" s="841"/>
      <c r="F1188" s="841"/>
      <c r="G1188" s="841"/>
      <c r="H1188" s="841"/>
      <c r="I1188" s="841"/>
      <c r="J1188" s="841"/>
      <c r="K1188" s="841"/>
      <c r="L1188" s="841"/>
      <c r="M1188" s="841"/>
      <c r="N1188" s="841"/>
      <c r="O1188" s="841"/>
      <c r="P1188" s="841"/>
      <c r="Q1188" s="841"/>
      <c r="R1188" s="841"/>
      <c r="S1188" s="841"/>
      <c r="T1188" s="841"/>
      <c r="U1188" s="841"/>
      <c r="V1188" s="841"/>
      <c r="W1188" s="841"/>
      <c r="X1188" s="841"/>
      <c r="Y1188" s="841"/>
      <c r="Z1188" s="1226"/>
      <c r="AA1188" s="1226"/>
      <c r="AB1188" s="1226"/>
      <c r="AC1188" s="1226"/>
      <c r="AD1188" s="1226"/>
      <c r="AE1188" s="1226"/>
      <c r="AF1188" s="1226"/>
      <c r="AG1188" s="1226"/>
      <c r="AH1188" s="1226"/>
      <c r="AI1188" s="841"/>
      <c r="AJ1188" s="841"/>
      <c r="AK1188" s="841"/>
      <c r="AL1188" s="841"/>
      <c r="AM1188" s="841"/>
      <c r="AN1188" s="841"/>
      <c r="AO1188" s="841"/>
      <c r="AP1188" s="841"/>
      <c r="AQ1188" s="841"/>
      <c r="AR1188" s="841"/>
      <c r="AS1188" s="842"/>
    </row>
    <row r="1189" spans="1:45">
      <c r="A1189" s="841"/>
      <c r="B1189" s="841"/>
      <c r="C1189" s="841"/>
      <c r="D1189" s="841"/>
      <c r="E1189" s="841"/>
      <c r="F1189" s="841"/>
      <c r="G1189" s="841"/>
      <c r="H1189" s="841"/>
      <c r="I1189" s="841"/>
      <c r="J1189" s="841"/>
      <c r="K1189" s="841"/>
      <c r="L1189" s="841"/>
      <c r="M1189" s="841"/>
      <c r="N1189" s="841"/>
      <c r="O1189" s="841"/>
      <c r="P1189" s="841"/>
      <c r="Q1189" s="841"/>
      <c r="R1189" s="841"/>
      <c r="S1189" s="841"/>
      <c r="T1189" s="841"/>
      <c r="U1189" s="841"/>
      <c r="V1189" s="841"/>
      <c r="W1189" s="841"/>
      <c r="X1189" s="841"/>
      <c r="Y1189" s="841"/>
      <c r="Z1189" s="1226"/>
      <c r="AA1189" s="1226"/>
      <c r="AB1189" s="1226"/>
      <c r="AC1189" s="1226"/>
      <c r="AD1189" s="1226"/>
      <c r="AE1189" s="1226"/>
      <c r="AF1189" s="1226"/>
      <c r="AG1189" s="1226"/>
      <c r="AH1189" s="1226"/>
      <c r="AI1189" s="841"/>
      <c r="AJ1189" s="841"/>
      <c r="AK1189" s="841"/>
      <c r="AL1189" s="841"/>
      <c r="AM1189" s="841"/>
      <c r="AN1189" s="841"/>
      <c r="AO1189" s="841"/>
      <c r="AP1189" s="841"/>
      <c r="AQ1189" s="841"/>
      <c r="AR1189" s="841"/>
      <c r="AS1189" s="842"/>
    </row>
    <row r="1190" spans="1:45">
      <c r="A1190" s="841"/>
      <c r="B1190" s="841"/>
      <c r="C1190" s="841"/>
      <c r="D1190" s="841"/>
      <c r="E1190" s="841"/>
      <c r="F1190" s="841"/>
      <c r="G1190" s="841"/>
      <c r="H1190" s="841"/>
      <c r="I1190" s="841"/>
      <c r="J1190" s="841"/>
      <c r="K1190" s="841"/>
      <c r="L1190" s="841"/>
      <c r="M1190" s="841"/>
      <c r="N1190" s="841"/>
      <c r="O1190" s="841"/>
      <c r="P1190" s="841"/>
      <c r="Q1190" s="841"/>
      <c r="R1190" s="841"/>
      <c r="S1190" s="841"/>
      <c r="T1190" s="841"/>
      <c r="U1190" s="841"/>
      <c r="V1190" s="841"/>
      <c r="W1190" s="841"/>
      <c r="X1190" s="841"/>
      <c r="Y1190" s="841"/>
      <c r="Z1190" s="1226"/>
      <c r="AA1190" s="1226"/>
      <c r="AB1190" s="1226"/>
      <c r="AC1190" s="1226"/>
      <c r="AD1190" s="1226"/>
      <c r="AE1190" s="1226"/>
      <c r="AF1190" s="1226"/>
      <c r="AG1190" s="1226"/>
      <c r="AH1190" s="1226"/>
      <c r="AI1190" s="841"/>
      <c r="AJ1190" s="841"/>
      <c r="AK1190" s="841"/>
      <c r="AL1190" s="841"/>
      <c r="AM1190" s="841"/>
      <c r="AN1190" s="841"/>
      <c r="AO1190" s="841"/>
      <c r="AP1190" s="841"/>
      <c r="AQ1190" s="841"/>
      <c r="AR1190" s="841"/>
      <c r="AS1190" s="842"/>
    </row>
    <row r="1191" spans="1:45">
      <c r="A1191" s="841"/>
      <c r="B1191" s="841"/>
      <c r="C1191" s="841"/>
      <c r="D1191" s="841"/>
      <c r="E1191" s="841"/>
      <c r="F1191" s="841"/>
      <c r="G1191" s="841"/>
      <c r="H1191" s="841"/>
      <c r="I1191" s="841"/>
      <c r="J1191" s="841"/>
      <c r="K1191" s="841"/>
      <c r="L1191" s="841"/>
      <c r="M1191" s="841"/>
      <c r="N1191" s="841"/>
      <c r="O1191" s="841"/>
      <c r="P1191" s="841"/>
      <c r="Q1191" s="841"/>
      <c r="R1191" s="841"/>
      <c r="S1191" s="841"/>
      <c r="T1191" s="841"/>
      <c r="U1191" s="841"/>
      <c r="V1191" s="841"/>
      <c r="W1191" s="841"/>
      <c r="X1191" s="841"/>
      <c r="Y1191" s="841"/>
      <c r="Z1191" s="1226"/>
      <c r="AA1191" s="1226"/>
      <c r="AB1191" s="1226"/>
      <c r="AC1191" s="1226"/>
      <c r="AD1191" s="1226"/>
      <c r="AE1191" s="1226"/>
      <c r="AF1191" s="1226"/>
      <c r="AG1191" s="1226"/>
      <c r="AH1191" s="1226"/>
      <c r="AI1191" s="841"/>
      <c r="AJ1191" s="841"/>
      <c r="AK1191" s="841"/>
      <c r="AL1191" s="841"/>
      <c r="AM1191" s="841"/>
      <c r="AN1191" s="841"/>
      <c r="AO1191" s="841"/>
      <c r="AP1191" s="841"/>
      <c r="AQ1191" s="841"/>
      <c r="AR1191" s="841"/>
      <c r="AS1191" s="842"/>
    </row>
    <row r="1192" spans="1:45">
      <c r="A1192" s="841"/>
      <c r="B1192" s="841"/>
      <c r="C1192" s="841"/>
      <c r="D1192" s="841"/>
      <c r="E1192" s="841"/>
      <c r="F1192" s="841"/>
      <c r="G1192" s="841"/>
      <c r="H1192" s="841"/>
      <c r="I1192" s="841"/>
      <c r="J1192" s="841"/>
      <c r="K1192" s="841"/>
      <c r="L1192" s="841"/>
      <c r="M1192" s="841"/>
      <c r="N1192" s="841"/>
      <c r="O1192" s="841"/>
      <c r="P1192" s="841"/>
      <c r="Q1192" s="841"/>
      <c r="R1192" s="841"/>
      <c r="S1192" s="841"/>
      <c r="T1192" s="841"/>
      <c r="U1192" s="841"/>
      <c r="V1192" s="841"/>
      <c r="W1192" s="841"/>
      <c r="X1192" s="841"/>
      <c r="Y1192" s="841"/>
      <c r="Z1192" s="1226"/>
      <c r="AA1192" s="1226"/>
      <c r="AB1192" s="1226"/>
      <c r="AC1192" s="1226"/>
      <c r="AD1192" s="1226"/>
      <c r="AE1192" s="1226"/>
      <c r="AF1192" s="1226"/>
      <c r="AG1192" s="1226"/>
      <c r="AH1192" s="1226"/>
      <c r="AI1192" s="841"/>
      <c r="AJ1192" s="841"/>
      <c r="AK1192" s="841"/>
      <c r="AL1192" s="841"/>
      <c r="AM1192" s="841"/>
      <c r="AN1192" s="841"/>
      <c r="AO1192" s="841"/>
      <c r="AP1192" s="841"/>
      <c r="AQ1192" s="841"/>
      <c r="AR1192" s="841"/>
      <c r="AS1192" s="842"/>
    </row>
    <row r="1193" spans="1:45">
      <c r="A1193" s="841"/>
      <c r="B1193" s="841"/>
      <c r="C1193" s="841"/>
      <c r="D1193" s="841"/>
      <c r="E1193" s="841"/>
      <c r="F1193" s="841"/>
      <c r="G1193" s="841"/>
      <c r="H1193" s="841"/>
      <c r="I1193" s="841"/>
      <c r="J1193" s="841"/>
      <c r="K1193" s="841"/>
      <c r="L1193" s="841"/>
      <c r="M1193" s="841"/>
      <c r="N1193" s="841"/>
      <c r="O1193" s="841"/>
      <c r="P1193" s="841"/>
      <c r="Q1193" s="841"/>
      <c r="R1193" s="841"/>
      <c r="S1193" s="841"/>
      <c r="T1193" s="841"/>
      <c r="U1193" s="841"/>
      <c r="V1193" s="841"/>
      <c r="W1193" s="841"/>
      <c r="X1193" s="841"/>
      <c r="Y1193" s="841"/>
      <c r="Z1193" s="1226"/>
      <c r="AA1193" s="1226"/>
      <c r="AB1193" s="1226"/>
      <c r="AC1193" s="1226"/>
      <c r="AD1193" s="1226"/>
      <c r="AE1193" s="1226"/>
      <c r="AF1193" s="1226"/>
      <c r="AG1193" s="1226"/>
      <c r="AH1193" s="1226"/>
      <c r="AI1193" s="841"/>
      <c r="AJ1193" s="841"/>
      <c r="AK1193" s="841"/>
      <c r="AL1193" s="841"/>
      <c r="AM1193" s="841"/>
      <c r="AN1193" s="841"/>
      <c r="AO1193" s="841"/>
      <c r="AP1193" s="841"/>
      <c r="AQ1193" s="841"/>
      <c r="AR1193" s="841"/>
      <c r="AS1193" s="842"/>
    </row>
    <row r="1194" spans="1:45">
      <c r="A1194" s="841"/>
      <c r="B1194" s="841"/>
      <c r="C1194" s="841"/>
      <c r="D1194" s="841"/>
      <c r="E1194" s="841"/>
      <c r="F1194" s="841"/>
      <c r="G1194" s="841"/>
      <c r="H1194" s="841"/>
      <c r="I1194" s="841"/>
      <c r="J1194" s="841"/>
      <c r="K1194" s="841"/>
      <c r="L1194" s="841"/>
      <c r="M1194" s="841"/>
      <c r="N1194" s="841"/>
      <c r="O1194" s="841"/>
      <c r="P1194" s="841"/>
      <c r="Q1194" s="841"/>
      <c r="R1194" s="841"/>
      <c r="S1194" s="841"/>
      <c r="T1194" s="841"/>
      <c r="U1194" s="841"/>
      <c r="V1194" s="841"/>
      <c r="W1194" s="841"/>
      <c r="X1194" s="841"/>
      <c r="Y1194" s="841"/>
      <c r="Z1194" s="1226"/>
      <c r="AA1194" s="1226"/>
      <c r="AB1194" s="1226"/>
      <c r="AC1194" s="1226"/>
      <c r="AD1194" s="1226"/>
      <c r="AE1194" s="1226"/>
      <c r="AF1194" s="1226"/>
      <c r="AG1194" s="1226"/>
      <c r="AH1194" s="1226"/>
      <c r="AI1194" s="841"/>
      <c r="AJ1194" s="841"/>
      <c r="AK1194" s="841"/>
      <c r="AL1194" s="841"/>
      <c r="AM1194" s="841"/>
      <c r="AN1194" s="841"/>
      <c r="AO1194" s="841"/>
      <c r="AP1194" s="841"/>
      <c r="AQ1194" s="841"/>
      <c r="AR1194" s="841"/>
      <c r="AS1194" s="842"/>
    </row>
    <row r="1195" spans="1:45">
      <c r="A1195" s="841"/>
      <c r="B1195" s="841"/>
      <c r="C1195" s="841"/>
      <c r="D1195" s="841"/>
      <c r="E1195" s="841"/>
      <c r="F1195" s="841"/>
      <c r="G1195" s="841"/>
      <c r="H1195" s="841"/>
      <c r="I1195" s="841"/>
      <c r="J1195" s="841"/>
      <c r="K1195" s="841"/>
      <c r="L1195" s="841"/>
      <c r="M1195" s="841"/>
      <c r="N1195" s="841"/>
      <c r="O1195" s="841"/>
      <c r="P1195" s="841"/>
      <c r="Q1195" s="841"/>
      <c r="R1195" s="841"/>
      <c r="S1195" s="841"/>
      <c r="T1195" s="841"/>
      <c r="U1195" s="841"/>
      <c r="V1195" s="841"/>
      <c r="W1195" s="841"/>
      <c r="X1195" s="841"/>
      <c r="Y1195" s="841"/>
      <c r="Z1195" s="1226"/>
      <c r="AA1195" s="1226"/>
      <c r="AB1195" s="1226"/>
      <c r="AC1195" s="1226"/>
      <c r="AD1195" s="1226"/>
      <c r="AE1195" s="1226"/>
      <c r="AF1195" s="1226"/>
      <c r="AG1195" s="1226"/>
      <c r="AH1195" s="1226"/>
      <c r="AI1195" s="841"/>
      <c r="AJ1195" s="841"/>
      <c r="AK1195" s="841"/>
      <c r="AL1195" s="841"/>
      <c r="AM1195" s="841"/>
      <c r="AN1195" s="841"/>
      <c r="AO1195" s="841"/>
      <c r="AP1195" s="841"/>
      <c r="AQ1195" s="841"/>
      <c r="AR1195" s="841"/>
      <c r="AS1195" s="842"/>
    </row>
    <row r="1196" spans="1:45">
      <c r="A1196" s="841"/>
      <c r="B1196" s="841"/>
      <c r="C1196" s="841"/>
      <c r="D1196" s="841"/>
      <c r="E1196" s="841"/>
      <c r="F1196" s="841"/>
      <c r="G1196" s="841"/>
      <c r="H1196" s="841"/>
      <c r="I1196" s="841"/>
      <c r="J1196" s="841"/>
      <c r="K1196" s="841"/>
      <c r="L1196" s="841"/>
      <c r="M1196" s="841"/>
      <c r="N1196" s="841"/>
      <c r="O1196" s="841"/>
      <c r="P1196" s="841"/>
      <c r="Q1196" s="841"/>
      <c r="R1196" s="841"/>
      <c r="S1196" s="841"/>
      <c r="T1196" s="841"/>
      <c r="U1196" s="841"/>
      <c r="V1196" s="841"/>
      <c r="W1196" s="841"/>
      <c r="X1196" s="841"/>
      <c r="Y1196" s="841"/>
      <c r="Z1196" s="1226"/>
      <c r="AA1196" s="1226"/>
      <c r="AB1196" s="1226"/>
      <c r="AC1196" s="1226"/>
      <c r="AD1196" s="1226"/>
      <c r="AE1196" s="1226"/>
      <c r="AF1196" s="1226"/>
      <c r="AG1196" s="1226"/>
      <c r="AH1196" s="1226"/>
      <c r="AI1196" s="841"/>
      <c r="AJ1196" s="841"/>
      <c r="AK1196" s="841"/>
      <c r="AL1196" s="841"/>
      <c r="AM1196" s="841"/>
      <c r="AN1196" s="841"/>
      <c r="AO1196" s="841"/>
      <c r="AP1196" s="841"/>
      <c r="AQ1196" s="841"/>
      <c r="AR1196" s="841"/>
      <c r="AS1196" s="842"/>
    </row>
    <row r="1197" spans="1:45">
      <c r="A1197" s="841"/>
      <c r="B1197" s="841"/>
      <c r="C1197" s="841"/>
      <c r="D1197" s="841"/>
      <c r="E1197" s="841"/>
      <c r="F1197" s="841"/>
      <c r="G1197" s="841"/>
      <c r="H1197" s="841"/>
      <c r="I1197" s="841"/>
      <c r="J1197" s="841"/>
      <c r="K1197" s="841"/>
      <c r="L1197" s="841"/>
      <c r="M1197" s="841"/>
      <c r="N1197" s="841"/>
      <c r="O1197" s="841"/>
      <c r="P1197" s="841"/>
      <c r="Q1197" s="841"/>
      <c r="R1197" s="841"/>
      <c r="S1197" s="841"/>
      <c r="T1197" s="841"/>
      <c r="U1197" s="841"/>
      <c r="V1197" s="841"/>
      <c r="W1197" s="841"/>
      <c r="X1197" s="841"/>
      <c r="Y1197" s="841"/>
      <c r="Z1197" s="1226"/>
      <c r="AA1197" s="1226"/>
      <c r="AB1197" s="1226"/>
      <c r="AC1197" s="1226"/>
      <c r="AD1197" s="1226"/>
      <c r="AE1197" s="1226"/>
      <c r="AF1197" s="1226"/>
      <c r="AG1197" s="1226"/>
      <c r="AH1197" s="1226"/>
      <c r="AI1197" s="841"/>
      <c r="AJ1197" s="841"/>
      <c r="AK1197" s="841"/>
      <c r="AL1197" s="841"/>
      <c r="AM1197" s="841"/>
      <c r="AN1197" s="841"/>
      <c r="AO1197" s="841"/>
      <c r="AP1197" s="841"/>
      <c r="AQ1197" s="841"/>
      <c r="AR1197" s="841"/>
      <c r="AS1197" s="842"/>
    </row>
    <row r="1198" spans="1:45">
      <c r="A1198" s="841"/>
      <c r="B1198" s="841"/>
      <c r="C1198" s="841"/>
      <c r="D1198" s="841"/>
      <c r="E1198" s="841"/>
      <c r="F1198" s="841"/>
      <c r="G1198" s="841"/>
      <c r="H1198" s="841"/>
      <c r="I1198" s="841"/>
      <c r="J1198" s="841"/>
      <c r="K1198" s="841"/>
      <c r="L1198" s="841"/>
      <c r="M1198" s="841"/>
      <c r="N1198" s="841"/>
      <c r="O1198" s="841"/>
      <c r="P1198" s="841"/>
      <c r="Q1198" s="841"/>
      <c r="R1198" s="841"/>
      <c r="S1198" s="841"/>
      <c r="T1198" s="841"/>
      <c r="U1198" s="841"/>
      <c r="V1198" s="841"/>
      <c r="W1198" s="841"/>
      <c r="X1198" s="841"/>
      <c r="Y1198" s="841"/>
      <c r="Z1198" s="1226"/>
      <c r="AA1198" s="1226"/>
      <c r="AB1198" s="1226"/>
      <c r="AC1198" s="1226"/>
      <c r="AD1198" s="1226"/>
      <c r="AE1198" s="1226"/>
      <c r="AF1198" s="1226"/>
      <c r="AG1198" s="1226"/>
      <c r="AH1198" s="1226"/>
      <c r="AI1198" s="841"/>
      <c r="AJ1198" s="841"/>
      <c r="AK1198" s="841"/>
      <c r="AL1198" s="841"/>
      <c r="AM1198" s="841"/>
      <c r="AN1198" s="841"/>
      <c r="AO1198" s="841"/>
      <c r="AP1198" s="841"/>
      <c r="AQ1198" s="841"/>
      <c r="AR1198" s="841"/>
      <c r="AS1198" s="842"/>
    </row>
    <row r="1199" spans="1:45">
      <c r="A1199" s="841"/>
      <c r="B1199" s="841"/>
      <c r="C1199" s="841"/>
      <c r="D1199" s="841"/>
      <c r="E1199" s="841"/>
      <c r="F1199" s="841"/>
      <c r="G1199" s="841"/>
      <c r="H1199" s="841"/>
      <c r="I1199" s="841"/>
      <c r="J1199" s="841"/>
      <c r="K1199" s="841"/>
      <c r="L1199" s="841"/>
      <c r="M1199" s="841"/>
      <c r="N1199" s="841"/>
      <c r="O1199" s="841"/>
      <c r="P1199" s="841"/>
      <c r="Q1199" s="841"/>
      <c r="R1199" s="841"/>
      <c r="S1199" s="841"/>
      <c r="T1199" s="841"/>
      <c r="U1199" s="841"/>
      <c r="V1199" s="841"/>
      <c r="W1199" s="841"/>
      <c r="X1199" s="841"/>
      <c r="Y1199" s="841"/>
      <c r="Z1199" s="1226"/>
      <c r="AA1199" s="1226"/>
      <c r="AB1199" s="1226"/>
      <c r="AC1199" s="1226"/>
      <c r="AD1199" s="1226"/>
      <c r="AE1199" s="1226"/>
      <c r="AF1199" s="1226"/>
      <c r="AG1199" s="1226"/>
      <c r="AH1199" s="1226"/>
      <c r="AI1199" s="841"/>
      <c r="AJ1199" s="841"/>
      <c r="AK1199" s="841"/>
      <c r="AL1199" s="841"/>
      <c r="AM1199" s="841"/>
      <c r="AN1199" s="841"/>
      <c r="AO1199" s="841"/>
      <c r="AP1199" s="841"/>
      <c r="AQ1199" s="841"/>
      <c r="AR1199" s="841"/>
      <c r="AS1199" s="842"/>
    </row>
    <row r="1200" spans="1:45">
      <c r="A1200" s="841"/>
      <c r="B1200" s="841"/>
      <c r="C1200" s="841"/>
      <c r="D1200" s="841"/>
      <c r="E1200" s="841"/>
      <c r="F1200" s="841"/>
      <c r="G1200" s="841"/>
      <c r="H1200" s="841"/>
      <c r="I1200" s="841"/>
      <c r="J1200" s="841"/>
      <c r="K1200" s="841"/>
      <c r="L1200" s="841"/>
      <c r="M1200" s="841"/>
      <c r="N1200" s="841"/>
      <c r="O1200" s="841"/>
      <c r="P1200" s="841"/>
      <c r="Q1200" s="841"/>
      <c r="R1200" s="841"/>
      <c r="S1200" s="841"/>
      <c r="T1200" s="841"/>
      <c r="U1200" s="841"/>
      <c r="V1200" s="841"/>
      <c r="W1200" s="841"/>
      <c r="X1200" s="841"/>
      <c r="Y1200" s="841"/>
      <c r="Z1200" s="1226"/>
      <c r="AA1200" s="1226"/>
      <c r="AB1200" s="1226"/>
      <c r="AC1200" s="1226"/>
      <c r="AD1200" s="1226"/>
      <c r="AE1200" s="1226"/>
      <c r="AF1200" s="1226"/>
      <c r="AG1200" s="1226"/>
      <c r="AH1200" s="1226"/>
      <c r="AI1200" s="841"/>
      <c r="AJ1200" s="841"/>
      <c r="AK1200" s="841"/>
      <c r="AL1200" s="841"/>
      <c r="AM1200" s="841"/>
      <c r="AN1200" s="841"/>
      <c r="AO1200" s="841"/>
      <c r="AP1200" s="841"/>
      <c r="AQ1200" s="841"/>
      <c r="AR1200" s="841"/>
      <c r="AS1200" s="842"/>
    </row>
    <row r="1201" spans="1:45">
      <c r="A1201" s="841"/>
      <c r="B1201" s="841"/>
      <c r="C1201" s="841"/>
      <c r="D1201" s="841"/>
      <c r="E1201" s="841"/>
      <c r="F1201" s="841"/>
      <c r="G1201" s="841"/>
      <c r="H1201" s="841"/>
      <c r="I1201" s="841"/>
      <c r="J1201" s="841"/>
      <c r="K1201" s="841"/>
      <c r="L1201" s="841"/>
      <c r="M1201" s="841"/>
      <c r="N1201" s="841"/>
      <c r="O1201" s="841"/>
      <c r="P1201" s="841"/>
      <c r="Q1201" s="841"/>
      <c r="R1201" s="841"/>
      <c r="S1201" s="841"/>
      <c r="T1201" s="841"/>
      <c r="U1201" s="841"/>
      <c r="V1201" s="841"/>
      <c r="W1201" s="841"/>
      <c r="X1201" s="841"/>
      <c r="Y1201" s="841"/>
      <c r="Z1201" s="1226"/>
      <c r="AA1201" s="1226"/>
      <c r="AB1201" s="1226"/>
      <c r="AC1201" s="1226"/>
      <c r="AD1201" s="1226"/>
      <c r="AE1201" s="1226"/>
      <c r="AF1201" s="1226"/>
      <c r="AG1201" s="1226"/>
      <c r="AH1201" s="1226"/>
      <c r="AI1201" s="841"/>
      <c r="AJ1201" s="841"/>
      <c r="AK1201" s="841"/>
      <c r="AL1201" s="841"/>
      <c r="AM1201" s="841"/>
      <c r="AN1201" s="841"/>
      <c r="AO1201" s="841"/>
      <c r="AP1201" s="841"/>
      <c r="AQ1201" s="841"/>
      <c r="AR1201" s="841"/>
      <c r="AS1201" s="842"/>
    </row>
    <row r="1202" spans="1:45">
      <c r="A1202" s="841"/>
      <c r="B1202" s="841"/>
      <c r="C1202" s="841"/>
      <c r="D1202" s="841"/>
      <c r="E1202" s="841"/>
      <c r="F1202" s="841"/>
      <c r="G1202" s="841"/>
      <c r="H1202" s="841"/>
      <c r="I1202" s="841"/>
      <c r="J1202" s="841"/>
      <c r="K1202" s="841"/>
      <c r="L1202" s="841"/>
      <c r="M1202" s="841"/>
      <c r="N1202" s="841"/>
      <c r="O1202" s="841"/>
      <c r="P1202" s="841"/>
      <c r="Q1202" s="841"/>
      <c r="R1202" s="841"/>
      <c r="S1202" s="841"/>
      <c r="T1202" s="841"/>
      <c r="U1202" s="841"/>
      <c r="V1202" s="841"/>
      <c r="W1202" s="841"/>
      <c r="X1202" s="841"/>
      <c r="Y1202" s="841"/>
      <c r="Z1202" s="1226"/>
      <c r="AA1202" s="1226"/>
      <c r="AB1202" s="1226"/>
      <c r="AC1202" s="1226"/>
      <c r="AD1202" s="1226"/>
      <c r="AE1202" s="1226"/>
      <c r="AF1202" s="1226"/>
      <c r="AG1202" s="1226"/>
      <c r="AH1202" s="1226"/>
      <c r="AI1202" s="841"/>
      <c r="AJ1202" s="841"/>
      <c r="AK1202" s="841"/>
      <c r="AL1202" s="841"/>
      <c r="AM1202" s="841"/>
      <c r="AN1202" s="841"/>
      <c r="AO1202" s="841"/>
      <c r="AP1202" s="841"/>
      <c r="AQ1202" s="841"/>
      <c r="AR1202" s="841"/>
      <c r="AS1202" s="842"/>
    </row>
    <row r="1203" spans="1:45">
      <c r="A1203" s="841"/>
      <c r="B1203" s="841"/>
      <c r="C1203" s="841"/>
      <c r="D1203" s="841"/>
      <c r="E1203" s="841"/>
      <c r="F1203" s="841"/>
      <c r="G1203" s="841"/>
      <c r="H1203" s="841"/>
      <c r="I1203" s="841"/>
      <c r="J1203" s="841"/>
      <c r="K1203" s="841"/>
      <c r="L1203" s="841"/>
      <c r="M1203" s="841"/>
      <c r="N1203" s="841"/>
      <c r="O1203" s="841"/>
      <c r="P1203" s="841"/>
      <c r="Q1203" s="841"/>
      <c r="R1203" s="841"/>
      <c r="S1203" s="841"/>
      <c r="T1203" s="841"/>
      <c r="U1203" s="841"/>
      <c r="V1203" s="841"/>
      <c r="W1203" s="841"/>
      <c r="X1203" s="841"/>
      <c r="Y1203" s="841"/>
      <c r="Z1203" s="1226"/>
      <c r="AA1203" s="1226"/>
      <c r="AB1203" s="1226"/>
      <c r="AC1203" s="1226"/>
      <c r="AD1203" s="1226"/>
      <c r="AE1203" s="1226"/>
      <c r="AF1203" s="1226"/>
      <c r="AG1203" s="1226"/>
      <c r="AH1203" s="1226"/>
      <c r="AI1203" s="841"/>
      <c r="AJ1203" s="841"/>
      <c r="AK1203" s="841"/>
      <c r="AL1203" s="841"/>
      <c r="AM1203" s="841"/>
      <c r="AN1203" s="841"/>
      <c r="AO1203" s="841"/>
      <c r="AP1203" s="841"/>
      <c r="AQ1203" s="841"/>
      <c r="AR1203" s="841"/>
      <c r="AS1203" s="842"/>
    </row>
    <row r="1204" spans="1:45">
      <c r="A1204" s="841"/>
      <c r="B1204" s="841"/>
      <c r="C1204" s="841"/>
      <c r="D1204" s="841"/>
      <c r="E1204" s="841"/>
      <c r="F1204" s="841"/>
      <c r="G1204" s="841"/>
      <c r="H1204" s="841"/>
      <c r="I1204" s="841"/>
      <c r="J1204" s="841"/>
      <c r="K1204" s="841"/>
      <c r="L1204" s="841"/>
      <c r="M1204" s="841"/>
      <c r="N1204" s="841"/>
      <c r="O1204" s="841"/>
      <c r="P1204" s="841"/>
      <c r="Q1204" s="841"/>
      <c r="R1204" s="841"/>
      <c r="S1204" s="841"/>
      <c r="T1204" s="841"/>
      <c r="U1204" s="841"/>
      <c r="V1204" s="841"/>
      <c r="W1204" s="841"/>
      <c r="X1204" s="841"/>
      <c r="Y1204" s="841"/>
      <c r="Z1204" s="1226"/>
      <c r="AA1204" s="1226"/>
      <c r="AB1204" s="1226"/>
      <c r="AC1204" s="1226"/>
      <c r="AD1204" s="1226"/>
      <c r="AE1204" s="1226"/>
      <c r="AF1204" s="1226"/>
      <c r="AG1204" s="1226"/>
      <c r="AH1204" s="1226"/>
      <c r="AI1204" s="841"/>
      <c r="AJ1204" s="841"/>
      <c r="AK1204" s="841"/>
      <c r="AL1204" s="841"/>
      <c r="AM1204" s="841"/>
      <c r="AN1204" s="841"/>
      <c r="AO1204" s="841"/>
      <c r="AP1204" s="841"/>
      <c r="AQ1204" s="841"/>
      <c r="AR1204" s="841"/>
      <c r="AS1204" s="842"/>
    </row>
    <row r="1205" spans="1:45">
      <c r="A1205" s="841"/>
      <c r="B1205" s="841"/>
      <c r="C1205" s="841"/>
      <c r="D1205" s="841"/>
      <c r="E1205" s="841"/>
      <c r="F1205" s="841"/>
      <c r="G1205" s="841"/>
      <c r="H1205" s="841"/>
      <c r="I1205" s="841"/>
      <c r="J1205" s="841"/>
      <c r="K1205" s="841"/>
      <c r="L1205" s="841"/>
      <c r="M1205" s="841"/>
      <c r="N1205" s="841"/>
      <c r="O1205" s="841"/>
      <c r="P1205" s="841"/>
      <c r="Q1205" s="841"/>
      <c r="R1205" s="841"/>
      <c r="S1205" s="841"/>
      <c r="T1205" s="841"/>
      <c r="U1205" s="841"/>
      <c r="V1205" s="841"/>
      <c r="W1205" s="841"/>
      <c r="X1205" s="841"/>
      <c r="Y1205" s="841"/>
      <c r="Z1205" s="1226"/>
      <c r="AA1205" s="1226"/>
      <c r="AB1205" s="1226"/>
      <c r="AC1205" s="1226"/>
      <c r="AD1205" s="1226"/>
      <c r="AE1205" s="1226"/>
      <c r="AF1205" s="1226"/>
      <c r="AG1205" s="1226"/>
      <c r="AH1205" s="1226"/>
      <c r="AI1205" s="841"/>
      <c r="AJ1205" s="841"/>
      <c r="AK1205" s="841"/>
      <c r="AL1205" s="841"/>
      <c r="AM1205" s="841"/>
      <c r="AN1205" s="841"/>
      <c r="AO1205" s="841"/>
      <c r="AP1205" s="841"/>
      <c r="AQ1205" s="841"/>
      <c r="AR1205" s="841"/>
      <c r="AS1205" s="842"/>
    </row>
    <row r="1206" spans="1:45">
      <c r="A1206" s="841"/>
      <c r="B1206" s="841"/>
      <c r="C1206" s="841"/>
      <c r="D1206" s="841"/>
      <c r="E1206" s="841"/>
      <c r="F1206" s="841"/>
      <c r="G1206" s="841"/>
      <c r="H1206" s="841"/>
      <c r="I1206" s="841"/>
      <c r="J1206" s="841"/>
      <c r="K1206" s="841"/>
      <c r="L1206" s="841"/>
      <c r="M1206" s="841"/>
      <c r="N1206" s="841"/>
      <c r="O1206" s="841"/>
      <c r="P1206" s="841"/>
      <c r="Q1206" s="841"/>
      <c r="R1206" s="841"/>
      <c r="S1206" s="841"/>
      <c r="T1206" s="841"/>
      <c r="U1206" s="841"/>
      <c r="V1206" s="841"/>
      <c r="W1206" s="841"/>
      <c r="X1206" s="841"/>
      <c r="Y1206" s="841"/>
      <c r="Z1206" s="1226"/>
      <c r="AA1206" s="1226"/>
      <c r="AB1206" s="1226"/>
      <c r="AC1206" s="1226"/>
      <c r="AD1206" s="1226"/>
      <c r="AE1206" s="1226"/>
      <c r="AF1206" s="1226"/>
      <c r="AG1206" s="1226"/>
      <c r="AH1206" s="1226"/>
      <c r="AI1206" s="841"/>
      <c r="AJ1206" s="841"/>
      <c r="AK1206" s="841"/>
      <c r="AL1206" s="841"/>
      <c r="AM1206" s="841"/>
      <c r="AN1206" s="841"/>
      <c r="AO1206" s="841"/>
      <c r="AP1206" s="841"/>
      <c r="AQ1206" s="841"/>
      <c r="AR1206" s="841"/>
      <c r="AS1206" s="842"/>
    </row>
    <row r="1207" spans="1:45">
      <c r="A1207" s="841"/>
      <c r="B1207" s="841"/>
      <c r="C1207" s="841"/>
      <c r="D1207" s="841"/>
      <c r="E1207" s="841"/>
      <c r="F1207" s="841"/>
      <c r="G1207" s="841"/>
      <c r="H1207" s="841"/>
      <c r="I1207" s="841"/>
      <c r="J1207" s="841"/>
      <c r="K1207" s="841"/>
      <c r="L1207" s="841"/>
      <c r="M1207" s="841"/>
      <c r="N1207" s="841"/>
      <c r="O1207" s="841"/>
      <c r="P1207" s="841"/>
      <c r="Q1207" s="841"/>
      <c r="R1207" s="841"/>
      <c r="S1207" s="841"/>
      <c r="T1207" s="841"/>
      <c r="U1207" s="841"/>
      <c r="V1207" s="841"/>
      <c r="W1207" s="841"/>
      <c r="X1207" s="841"/>
      <c r="Y1207" s="841"/>
      <c r="Z1207" s="1226"/>
      <c r="AA1207" s="1226"/>
      <c r="AB1207" s="1226"/>
      <c r="AC1207" s="1226"/>
      <c r="AD1207" s="1226"/>
      <c r="AE1207" s="1226"/>
      <c r="AF1207" s="1226"/>
      <c r="AG1207" s="1226"/>
      <c r="AH1207" s="1226"/>
      <c r="AI1207" s="841"/>
      <c r="AJ1207" s="841"/>
      <c r="AK1207" s="841"/>
      <c r="AL1207" s="841"/>
      <c r="AM1207" s="841"/>
      <c r="AN1207" s="841"/>
      <c r="AO1207" s="841"/>
      <c r="AP1207" s="841"/>
      <c r="AQ1207" s="841"/>
      <c r="AR1207" s="841"/>
      <c r="AS1207" s="842"/>
    </row>
    <row r="1208" spans="1:45">
      <c r="A1208" s="841"/>
      <c r="B1208" s="841"/>
      <c r="C1208" s="841"/>
      <c r="D1208" s="841"/>
      <c r="E1208" s="841"/>
      <c r="F1208" s="841"/>
      <c r="G1208" s="841"/>
      <c r="H1208" s="841"/>
      <c r="I1208" s="841"/>
      <c r="J1208" s="841"/>
      <c r="K1208" s="841"/>
      <c r="L1208" s="841"/>
      <c r="M1208" s="841"/>
      <c r="N1208" s="841"/>
      <c r="O1208" s="841"/>
      <c r="P1208" s="841"/>
      <c r="Q1208" s="841"/>
      <c r="R1208" s="841"/>
      <c r="S1208" s="841"/>
      <c r="T1208" s="841"/>
      <c r="U1208" s="841"/>
      <c r="V1208" s="841"/>
      <c r="W1208" s="841"/>
      <c r="X1208" s="841"/>
      <c r="Y1208" s="841"/>
      <c r="Z1208" s="1226"/>
      <c r="AA1208" s="1226"/>
      <c r="AB1208" s="1226"/>
      <c r="AC1208" s="1226"/>
      <c r="AD1208" s="1226"/>
      <c r="AE1208" s="1226"/>
      <c r="AF1208" s="1226"/>
      <c r="AG1208" s="1226"/>
      <c r="AH1208" s="1226"/>
      <c r="AI1208" s="841"/>
      <c r="AJ1208" s="841"/>
      <c r="AK1208" s="841"/>
      <c r="AL1208" s="841"/>
      <c r="AM1208" s="841"/>
      <c r="AN1208" s="841"/>
      <c r="AO1208" s="841"/>
      <c r="AP1208" s="841"/>
      <c r="AQ1208" s="841"/>
      <c r="AR1208" s="841"/>
      <c r="AS1208" s="842"/>
    </row>
    <row r="1209" spans="1:45">
      <c r="A1209" s="841"/>
      <c r="B1209" s="841"/>
      <c r="C1209" s="841"/>
      <c r="D1209" s="841"/>
      <c r="E1209" s="841"/>
      <c r="F1209" s="841"/>
      <c r="G1209" s="841"/>
      <c r="H1209" s="841"/>
      <c r="I1209" s="841"/>
      <c r="J1209" s="841"/>
      <c r="K1209" s="841"/>
      <c r="L1209" s="841"/>
      <c r="M1209" s="841"/>
      <c r="N1209" s="841"/>
      <c r="O1209" s="841"/>
      <c r="P1209" s="841"/>
      <c r="Q1209" s="841"/>
      <c r="R1209" s="841"/>
      <c r="S1209" s="841"/>
      <c r="T1209" s="841"/>
      <c r="U1209" s="841"/>
      <c r="V1209" s="841"/>
      <c r="W1209" s="841"/>
      <c r="X1209" s="841"/>
      <c r="Y1209" s="841"/>
      <c r="Z1209" s="1226"/>
      <c r="AA1209" s="1226"/>
      <c r="AB1209" s="1226"/>
      <c r="AC1209" s="1226"/>
      <c r="AD1209" s="1226"/>
      <c r="AE1209" s="1226"/>
      <c r="AF1209" s="1226"/>
      <c r="AG1209" s="1226"/>
      <c r="AH1209" s="1226"/>
      <c r="AI1209" s="841"/>
      <c r="AJ1209" s="841"/>
      <c r="AK1209" s="841"/>
      <c r="AL1209" s="841"/>
      <c r="AM1209" s="841"/>
      <c r="AN1209" s="841"/>
      <c r="AO1209" s="841"/>
      <c r="AP1209" s="841"/>
      <c r="AQ1209" s="841"/>
      <c r="AR1209" s="841"/>
      <c r="AS1209" s="842"/>
    </row>
    <row r="1210" spans="1:45">
      <c r="A1210" s="841"/>
      <c r="B1210" s="841"/>
      <c r="C1210" s="841"/>
      <c r="D1210" s="841"/>
      <c r="E1210" s="841"/>
      <c r="F1210" s="841"/>
      <c r="G1210" s="841"/>
      <c r="H1210" s="841"/>
      <c r="I1210" s="841"/>
      <c r="J1210" s="841"/>
      <c r="K1210" s="841"/>
      <c r="L1210" s="841"/>
      <c r="M1210" s="841"/>
      <c r="N1210" s="841"/>
      <c r="O1210" s="841"/>
      <c r="P1210" s="841"/>
      <c r="Q1210" s="841"/>
      <c r="R1210" s="841"/>
      <c r="S1210" s="841"/>
      <c r="T1210" s="841"/>
      <c r="U1210" s="841"/>
      <c r="V1210" s="841"/>
      <c r="W1210" s="841"/>
      <c r="X1210" s="841"/>
      <c r="Y1210" s="841"/>
      <c r="Z1210" s="1226"/>
      <c r="AA1210" s="1226"/>
      <c r="AB1210" s="1226"/>
      <c r="AC1210" s="1226"/>
      <c r="AD1210" s="1226"/>
      <c r="AE1210" s="1226"/>
      <c r="AF1210" s="1226"/>
      <c r="AG1210" s="1226"/>
      <c r="AH1210" s="1226"/>
      <c r="AI1210" s="841"/>
      <c r="AJ1210" s="841"/>
      <c r="AK1210" s="841"/>
      <c r="AL1210" s="841"/>
      <c r="AM1210" s="841"/>
      <c r="AN1210" s="841"/>
      <c r="AO1210" s="841"/>
      <c r="AP1210" s="841"/>
      <c r="AQ1210" s="841"/>
      <c r="AR1210" s="841"/>
      <c r="AS1210" s="842"/>
    </row>
    <row r="1211" spans="1:45">
      <c r="A1211" s="841"/>
      <c r="B1211" s="841"/>
      <c r="C1211" s="841"/>
      <c r="D1211" s="841"/>
      <c r="E1211" s="841"/>
      <c r="F1211" s="841"/>
      <c r="G1211" s="841"/>
      <c r="H1211" s="841"/>
      <c r="I1211" s="841"/>
      <c r="J1211" s="841"/>
      <c r="K1211" s="841"/>
      <c r="L1211" s="841"/>
      <c r="M1211" s="841"/>
      <c r="N1211" s="841"/>
      <c r="O1211" s="841"/>
      <c r="P1211" s="841"/>
      <c r="Q1211" s="841"/>
      <c r="R1211" s="841"/>
      <c r="S1211" s="841"/>
      <c r="T1211" s="841"/>
      <c r="U1211" s="841"/>
      <c r="V1211" s="841"/>
      <c r="W1211" s="841"/>
      <c r="X1211" s="841"/>
      <c r="Y1211" s="841"/>
      <c r="Z1211" s="1226"/>
      <c r="AA1211" s="1226"/>
      <c r="AB1211" s="1226"/>
      <c r="AC1211" s="1226"/>
      <c r="AD1211" s="1226"/>
      <c r="AE1211" s="1226"/>
      <c r="AF1211" s="1226"/>
      <c r="AG1211" s="1226"/>
      <c r="AH1211" s="1226"/>
      <c r="AI1211" s="841"/>
      <c r="AJ1211" s="841"/>
      <c r="AK1211" s="841"/>
      <c r="AL1211" s="841"/>
      <c r="AM1211" s="841"/>
      <c r="AN1211" s="841"/>
      <c r="AO1211" s="841"/>
      <c r="AP1211" s="841"/>
      <c r="AQ1211" s="841"/>
      <c r="AR1211" s="841"/>
      <c r="AS1211" s="842"/>
    </row>
    <row r="1212" spans="1:45">
      <c r="A1212" s="841"/>
      <c r="B1212" s="841"/>
      <c r="C1212" s="841"/>
      <c r="D1212" s="841"/>
      <c r="E1212" s="841"/>
      <c r="F1212" s="841"/>
      <c r="G1212" s="841"/>
      <c r="H1212" s="841"/>
      <c r="I1212" s="841"/>
      <c r="J1212" s="841"/>
      <c r="K1212" s="841"/>
      <c r="L1212" s="841"/>
      <c r="M1212" s="841"/>
      <c r="N1212" s="841"/>
      <c r="O1212" s="841"/>
      <c r="P1212" s="841"/>
      <c r="Q1212" s="841"/>
      <c r="R1212" s="841"/>
      <c r="S1212" s="841"/>
      <c r="T1212" s="841"/>
      <c r="U1212" s="841"/>
      <c r="V1212" s="841"/>
      <c r="W1212" s="841"/>
      <c r="X1212" s="841"/>
      <c r="Y1212" s="841"/>
      <c r="Z1212" s="1226"/>
      <c r="AA1212" s="1226"/>
      <c r="AB1212" s="1226"/>
      <c r="AC1212" s="1226"/>
      <c r="AD1212" s="1226"/>
      <c r="AE1212" s="1226"/>
      <c r="AF1212" s="1226"/>
      <c r="AG1212" s="1226"/>
      <c r="AH1212" s="1226"/>
      <c r="AI1212" s="841"/>
      <c r="AJ1212" s="841"/>
      <c r="AK1212" s="841"/>
      <c r="AL1212" s="841"/>
      <c r="AM1212" s="841"/>
      <c r="AN1212" s="841"/>
      <c r="AO1212" s="841"/>
      <c r="AP1212" s="841"/>
      <c r="AQ1212" s="841"/>
      <c r="AR1212" s="841"/>
      <c r="AS1212" s="842"/>
    </row>
    <row r="1213" spans="1:45">
      <c r="A1213" s="841"/>
      <c r="B1213" s="841"/>
      <c r="C1213" s="841"/>
      <c r="D1213" s="841"/>
      <c r="E1213" s="841"/>
      <c r="F1213" s="841"/>
      <c r="G1213" s="841"/>
      <c r="H1213" s="841"/>
      <c r="I1213" s="841"/>
      <c r="J1213" s="841"/>
      <c r="K1213" s="841"/>
      <c r="L1213" s="841"/>
      <c r="M1213" s="841"/>
      <c r="N1213" s="841"/>
      <c r="O1213" s="841"/>
      <c r="P1213" s="841"/>
      <c r="Q1213" s="841"/>
      <c r="R1213" s="841"/>
      <c r="S1213" s="841"/>
      <c r="T1213" s="841"/>
      <c r="U1213" s="841"/>
      <c r="V1213" s="841"/>
      <c r="W1213" s="841"/>
      <c r="X1213" s="841"/>
      <c r="Y1213" s="841"/>
      <c r="Z1213" s="1226"/>
      <c r="AA1213" s="1226"/>
      <c r="AB1213" s="1226"/>
      <c r="AC1213" s="1226"/>
      <c r="AD1213" s="1226"/>
      <c r="AE1213" s="1226"/>
      <c r="AF1213" s="1226"/>
      <c r="AG1213" s="1226"/>
      <c r="AH1213" s="1226"/>
      <c r="AI1213" s="841"/>
      <c r="AJ1213" s="841"/>
      <c r="AK1213" s="841"/>
      <c r="AL1213" s="841"/>
      <c r="AM1213" s="841"/>
      <c r="AN1213" s="841"/>
      <c r="AO1213" s="841"/>
      <c r="AP1213" s="841"/>
      <c r="AQ1213" s="841"/>
      <c r="AR1213" s="841"/>
      <c r="AS1213" s="842"/>
    </row>
    <row r="1214" spans="1:45">
      <c r="A1214" s="841"/>
      <c r="B1214" s="841"/>
      <c r="C1214" s="841"/>
      <c r="D1214" s="841"/>
      <c r="E1214" s="841"/>
      <c r="F1214" s="841"/>
      <c r="G1214" s="841"/>
      <c r="H1214" s="841"/>
      <c r="I1214" s="841"/>
      <c r="J1214" s="841"/>
      <c r="K1214" s="841"/>
      <c r="L1214" s="841"/>
      <c r="M1214" s="841"/>
      <c r="N1214" s="841"/>
      <c r="O1214" s="841"/>
      <c r="P1214" s="841"/>
      <c r="Q1214" s="841"/>
      <c r="R1214" s="841"/>
      <c r="S1214" s="841"/>
      <c r="T1214" s="841"/>
      <c r="U1214" s="841"/>
      <c r="V1214" s="841"/>
      <c r="W1214" s="841"/>
      <c r="X1214" s="841"/>
      <c r="Y1214" s="841"/>
      <c r="Z1214" s="1226"/>
      <c r="AA1214" s="1226"/>
      <c r="AB1214" s="1226"/>
      <c r="AC1214" s="1226"/>
      <c r="AD1214" s="1226"/>
      <c r="AE1214" s="1226"/>
      <c r="AF1214" s="1226"/>
      <c r="AG1214" s="1226"/>
      <c r="AH1214" s="1226"/>
      <c r="AI1214" s="841"/>
      <c r="AJ1214" s="841"/>
      <c r="AK1214" s="841"/>
      <c r="AL1214" s="841"/>
      <c r="AM1214" s="841"/>
      <c r="AN1214" s="841"/>
      <c r="AO1214" s="841"/>
      <c r="AP1214" s="841"/>
      <c r="AQ1214" s="841"/>
      <c r="AR1214" s="841"/>
      <c r="AS1214" s="842"/>
    </row>
    <row r="1215" spans="1:45">
      <c r="A1215" s="841"/>
      <c r="B1215" s="841"/>
      <c r="C1215" s="841"/>
      <c r="D1215" s="841"/>
      <c r="E1215" s="841"/>
      <c r="F1215" s="841"/>
      <c r="G1215" s="841"/>
      <c r="H1215" s="841"/>
      <c r="I1215" s="841"/>
      <c r="J1215" s="841"/>
      <c r="K1215" s="841"/>
      <c r="L1215" s="841"/>
      <c r="M1215" s="841"/>
      <c r="N1215" s="841"/>
      <c r="O1215" s="841"/>
      <c r="P1215" s="841"/>
      <c r="Q1215" s="841"/>
      <c r="R1215" s="841"/>
      <c r="S1215" s="841"/>
      <c r="T1215" s="841"/>
      <c r="U1215" s="841"/>
      <c r="V1215" s="841"/>
      <c r="W1215" s="841"/>
      <c r="X1215" s="841"/>
      <c r="Y1215" s="841"/>
      <c r="Z1215" s="1226"/>
      <c r="AA1215" s="1226"/>
      <c r="AB1215" s="1226"/>
      <c r="AC1215" s="1226"/>
      <c r="AD1215" s="1226"/>
      <c r="AE1215" s="1226"/>
      <c r="AF1215" s="1226"/>
      <c r="AG1215" s="1226"/>
      <c r="AH1215" s="1226"/>
      <c r="AI1215" s="841"/>
      <c r="AJ1215" s="841"/>
      <c r="AK1215" s="841"/>
      <c r="AL1215" s="841"/>
      <c r="AM1215" s="841"/>
      <c r="AN1215" s="841"/>
      <c r="AO1215" s="841"/>
      <c r="AP1215" s="841"/>
      <c r="AQ1215" s="841"/>
      <c r="AR1215" s="841"/>
      <c r="AS1215" s="842"/>
    </row>
    <row r="1216" spans="1:45">
      <c r="A1216" s="841"/>
      <c r="B1216" s="841"/>
      <c r="C1216" s="841"/>
      <c r="D1216" s="841"/>
      <c r="E1216" s="841"/>
      <c r="F1216" s="841"/>
      <c r="G1216" s="841"/>
      <c r="H1216" s="841"/>
      <c r="I1216" s="841"/>
      <c r="J1216" s="841"/>
      <c r="K1216" s="841"/>
      <c r="L1216" s="841"/>
      <c r="M1216" s="841"/>
      <c r="N1216" s="841"/>
      <c r="O1216" s="841"/>
      <c r="P1216" s="841"/>
      <c r="Q1216" s="841"/>
      <c r="R1216" s="841"/>
      <c r="S1216" s="841"/>
      <c r="T1216" s="841"/>
      <c r="U1216" s="841"/>
      <c r="V1216" s="841"/>
      <c r="W1216" s="841"/>
      <c r="X1216" s="841"/>
      <c r="Y1216" s="841"/>
      <c r="Z1216" s="1226"/>
      <c r="AA1216" s="1226"/>
      <c r="AB1216" s="1226"/>
      <c r="AC1216" s="1226"/>
      <c r="AD1216" s="1226"/>
      <c r="AE1216" s="1226"/>
      <c r="AF1216" s="1226"/>
      <c r="AG1216" s="1226"/>
      <c r="AH1216" s="1226"/>
      <c r="AI1216" s="841"/>
      <c r="AJ1216" s="841"/>
      <c r="AK1216" s="841"/>
      <c r="AL1216" s="841"/>
      <c r="AM1216" s="841"/>
      <c r="AN1216" s="841"/>
      <c r="AO1216" s="841"/>
      <c r="AP1216" s="841"/>
      <c r="AQ1216" s="841"/>
      <c r="AR1216" s="841"/>
      <c r="AS1216" s="842"/>
    </row>
    <row r="1217" spans="1:45">
      <c r="A1217" s="841"/>
      <c r="B1217" s="841"/>
      <c r="C1217" s="841"/>
      <c r="D1217" s="841"/>
      <c r="E1217" s="841"/>
      <c r="F1217" s="841"/>
      <c r="G1217" s="841"/>
      <c r="H1217" s="841"/>
      <c r="I1217" s="841"/>
      <c r="J1217" s="841"/>
      <c r="K1217" s="841"/>
      <c r="L1217" s="841"/>
      <c r="M1217" s="841"/>
      <c r="N1217" s="841"/>
      <c r="O1217" s="841"/>
      <c r="P1217" s="841"/>
      <c r="Q1217" s="841"/>
      <c r="R1217" s="841"/>
      <c r="S1217" s="841"/>
      <c r="T1217" s="841"/>
      <c r="U1217" s="841"/>
      <c r="V1217" s="841"/>
      <c r="W1217" s="841"/>
      <c r="X1217" s="841"/>
      <c r="Y1217" s="841"/>
      <c r="Z1217" s="1226"/>
      <c r="AA1217" s="1226"/>
      <c r="AB1217" s="1226"/>
      <c r="AC1217" s="1226"/>
      <c r="AD1217" s="1226"/>
      <c r="AE1217" s="1226"/>
      <c r="AF1217" s="1226"/>
      <c r="AG1217" s="1226"/>
      <c r="AH1217" s="1226"/>
      <c r="AI1217" s="841"/>
      <c r="AJ1217" s="841"/>
      <c r="AK1217" s="841"/>
      <c r="AL1217" s="841"/>
      <c r="AM1217" s="841"/>
      <c r="AN1217" s="841"/>
      <c r="AO1217" s="841"/>
      <c r="AP1217" s="841"/>
      <c r="AQ1217" s="841"/>
      <c r="AR1217" s="841"/>
      <c r="AS1217" s="842"/>
    </row>
    <row r="1218" spans="1:45">
      <c r="A1218" s="841"/>
      <c r="B1218" s="841"/>
      <c r="C1218" s="841"/>
      <c r="D1218" s="841"/>
      <c r="E1218" s="841"/>
      <c r="F1218" s="841"/>
      <c r="G1218" s="841"/>
      <c r="H1218" s="841"/>
      <c r="I1218" s="841"/>
      <c r="J1218" s="841"/>
      <c r="K1218" s="841"/>
      <c r="L1218" s="841"/>
      <c r="M1218" s="841"/>
      <c r="N1218" s="841"/>
      <c r="O1218" s="841"/>
      <c r="P1218" s="841"/>
      <c r="Q1218" s="841"/>
      <c r="R1218" s="841"/>
      <c r="S1218" s="841"/>
      <c r="T1218" s="841"/>
      <c r="U1218" s="841"/>
      <c r="V1218" s="841"/>
      <c r="W1218" s="841"/>
      <c r="X1218" s="841"/>
      <c r="Y1218" s="841"/>
      <c r="Z1218" s="1226"/>
      <c r="AA1218" s="1226"/>
      <c r="AB1218" s="1226"/>
      <c r="AC1218" s="1226"/>
      <c r="AD1218" s="1226"/>
      <c r="AE1218" s="1226"/>
      <c r="AF1218" s="1226"/>
      <c r="AG1218" s="1226"/>
      <c r="AH1218" s="1226"/>
      <c r="AI1218" s="841"/>
      <c r="AJ1218" s="841"/>
      <c r="AK1218" s="841"/>
      <c r="AL1218" s="841"/>
      <c r="AM1218" s="841"/>
      <c r="AN1218" s="841"/>
      <c r="AO1218" s="841"/>
      <c r="AP1218" s="841"/>
      <c r="AQ1218" s="841"/>
      <c r="AR1218" s="841"/>
      <c r="AS1218" s="842"/>
    </row>
    <row r="1219" spans="1:45">
      <c r="A1219" s="841"/>
      <c r="B1219" s="841"/>
      <c r="C1219" s="841"/>
      <c r="D1219" s="841"/>
      <c r="E1219" s="841"/>
      <c r="F1219" s="841"/>
      <c r="G1219" s="841"/>
      <c r="H1219" s="841"/>
      <c r="I1219" s="841"/>
      <c r="J1219" s="841"/>
      <c r="K1219" s="841"/>
      <c r="L1219" s="841"/>
      <c r="M1219" s="841"/>
      <c r="N1219" s="841"/>
      <c r="O1219" s="841"/>
      <c r="P1219" s="841"/>
      <c r="Q1219" s="841"/>
      <c r="R1219" s="841"/>
      <c r="S1219" s="841"/>
      <c r="T1219" s="841"/>
      <c r="U1219" s="841"/>
      <c r="V1219" s="841"/>
      <c r="W1219" s="841"/>
      <c r="X1219" s="841"/>
      <c r="Y1219" s="841"/>
      <c r="Z1219" s="1226"/>
      <c r="AA1219" s="1226"/>
      <c r="AB1219" s="1226"/>
      <c r="AC1219" s="1226"/>
      <c r="AD1219" s="1226"/>
      <c r="AE1219" s="1226"/>
      <c r="AF1219" s="1226"/>
      <c r="AG1219" s="1226"/>
      <c r="AH1219" s="1226"/>
      <c r="AI1219" s="841"/>
      <c r="AJ1219" s="841"/>
      <c r="AK1219" s="841"/>
      <c r="AL1219" s="841"/>
      <c r="AM1219" s="841"/>
      <c r="AN1219" s="841"/>
      <c r="AO1219" s="841"/>
      <c r="AP1219" s="841"/>
      <c r="AQ1219" s="841"/>
      <c r="AR1219" s="841"/>
      <c r="AS1219" s="842"/>
    </row>
    <row r="1220" spans="1:45">
      <c r="A1220" s="841"/>
      <c r="B1220" s="841"/>
      <c r="C1220" s="841"/>
      <c r="D1220" s="841"/>
      <c r="E1220" s="841"/>
      <c r="F1220" s="841"/>
      <c r="G1220" s="841"/>
      <c r="H1220" s="841"/>
      <c r="I1220" s="841"/>
      <c r="J1220" s="841"/>
      <c r="K1220" s="841"/>
      <c r="L1220" s="841"/>
      <c r="M1220" s="841"/>
      <c r="N1220" s="841"/>
      <c r="O1220" s="841"/>
      <c r="P1220" s="841"/>
      <c r="Q1220" s="841"/>
      <c r="R1220" s="841"/>
      <c r="S1220" s="841"/>
      <c r="T1220" s="841"/>
      <c r="U1220" s="841"/>
      <c r="V1220" s="841"/>
      <c r="W1220" s="841"/>
      <c r="X1220" s="841"/>
      <c r="Y1220" s="841"/>
      <c r="Z1220" s="1226"/>
      <c r="AA1220" s="1226"/>
      <c r="AB1220" s="1226"/>
      <c r="AC1220" s="1226"/>
      <c r="AD1220" s="1226"/>
      <c r="AE1220" s="1226"/>
      <c r="AF1220" s="1226"/>
      <c r="AG1220" s="1226"/>
      <c r="AH1220" s="1226"/>
      <c r="AI1220" s="841"/>
      <c r="AJ1220" s="841"/>
      <c r="AK1220" s="841"/>
      <c r="AL1220" s="841"/>
      <c r="AM1220" s="841"/>
      <c r="AN1220" s="841"/>
      <c r="AO1220" s="841"/>
      <c r="AP1220" s="841"/>
      <c r="AQ1220" s="841"/>
      <c r="AR1220" s="841"/>
      <c r="AS1220" s="842"/>
    </row>
    <row r="1221" spans="1:45">
      <c r="A1221" s="841"/>
      <c r="B1221" s="841"/>
      <c r="C1221" s="841"/>
      <c r="D1221" s="841"/>
      <c r="E1221" s="841"/>
      <c r="F1221" s="841"/>
      <c r="G1221" s="841"/>
      <c r="H1221" s="841"/>
      <c r="I1221" s="841"/>
      <c r="J1221" s="841"/>
      <c r="K1221" s="841"/>
      <c r="L1221" s="841"/>
      <c r="M1221" s="841"/>
      <c r="N1221" s="841"/>
      <c r="O1221" s="841"/>
      <c r="P1221" s="841"/>
      <c r="Q1221" s="841"/>
      <c r="R1221" s="841"/>
      <c r="S1221" s="841"/>
      <c r="T1221" s="841"/>
      <c r="U1221" s="841"/>
      <c r="V1221" s="841"/>
      <c r="W1221" s="841"/>
      <c r="X1221" s="841"/>
      <c r="Y1221" s="841"/>
      <c r="Z1221" s="1226"/>
      <c r="AA1221" s="1226"/>
      <c r="AB1221" s="1226"/>
      <c r="AC1221" s="1226"/>
      <c r="AD1221" s="1226"/>
      <c r="AE1221" s="1226"/>
      <c r="AF1221" s="1226"/>
      <c r="AG1221" s="1226"/>
      <c r="AH1221" s="1226"/>
      <c r="AI1221" s="841"/>
      <c r="AJ1221" s="841"/>
      <c r="AK1221" s="841"/>
      <c r="AL1221" s="841"/>
      <c r="AM1221" s="841"/>
      <c r="AN1221" s="841"/>
      <c r="AO1221" s="841"/>
      <c r="AP1221" s="841"/>
      <c r="AQ1221" s="841"/>
      <c r="AR1221" s="841"/>
      <c r="AS1221" s="842"/>
    </row>
    <row r="1222" spans="1:45">
      <c r="A1222" s="841"/>
      <c r="B1222" s="841"/>
      <c r="C1222" s="841"/>
      <c r="D1222" s="841"/>
      <c r="E1222" s="841"/>
      <c r="F1222" s="841"/>
      <c r="G1222" s="841"/>
      <c r="H1222" s="841"/>
      <c r="I1222" s="841"/>
      <c r="J1222" s="841"/>
      <c r="K1222" s="841"/>
      <c r="L1222" s="841"/>
      <c r="M1222" s="841"/>
      <c r="N1222" s="841"/>
      <c r="O1222" s="841"/>
      <c r="P1222" s="841"/>
      <c r="Q1222" s="841"/>
      <c r="R1222" s="841"/>
      <c r="S1222" s="841"/>
      <c r="T1222" s="841"/>
      <c r="U1222" s="841"/>
      <c r="V1222" s="841"/>
      <c r="W1222" s="841"/>
      <c r="X1222" s="841"/>
      <c r="Y1222" s="841"/>
      <c r="Z1222" s="1226"/>
      <c r="AA1222" s="1226"/>
      <c r="AB1222" s="1226"/>
      <c r="AC1222" s="1226"/>
      <c r="AD1222" s="1226"/>
      <c r="AE1222" s="1226"/>
      <c r="AF1222" s="1226"/>
      <c r="AG1222" s="1226"/>
      <c r="AH1222" s="1226"/>
      <c r="AI1222" s="841"/>
      <c r="AJ1222" s="841"/>
      <c r="AK1222" s="841"/>
      <c r="AL1222" s="841"/>
      <c r="AM1222" s="841"/>
      <c r="AN1222" s="841"/>
      <c r="AO1222" s="841"/>
      <c r="AP1222" s="841"/>
      <c r="AQ1222" s="841"/>
      <c r="AR1222" s="841"/>
      <c r="AS1222" s="842"/>
    </row>
    <row r="1223" spans="1:45">
      <c r="A1223" s="841"/>
      <c r="B1223" s="841"/>
      <c r="C1223" s="841"/>
      <c r="D1223" s="841"/>
      <c r="E1223" s="841"/>
      <c r="F1223" s="841"/>
      <c r="G1223" s="841"/>
      <c r="H1223" s="841"/>
      <c r="I1223" s="841"/>
      <c r="J1223" s="841"/>
      <c r="K1223" s="841"/>
      <c r="L1223" s="841"/>
      <c r="M1223" s="841"/>
      <c r="N1223" s="841"/>
      <c r="O1223" s="841"/>
      <c r="P1223" s="841"/>
      <c r="Q1223" s="841"/>
      <c r="R1223" s="841"/>
      <c r="S1223" s="841"/>
      <c r="T1223" s="841"/>
      <c r="U1223" s="841"/>
      <c r="V1223" s="841"/>
      <c r="W1223" s="841"/>
      <c r="X1223" s="841"/>
      <c r="Y1223" s="841"/>
      <c r="Z1223" s="1226"/>
      <c r="AA1223" s="1226"/>
      <c r="AB1223" s="1226"/>
      <c r="AC1223" s="1226"/>
      <c r="AD1223" s="1226"/>
      <c r="AE1223" s="1226"/>
      <c r="AF1223" s="1226"/>
      <c r="AG1223" s="1226"/>
      <c r="AH1223" s="1226"/>
      <c r="AI1223" s="841"/>
      <c r="AJ1223" s="841"/>
      <c r="AK1223" s="841"/>
      <c r="AL1223" s="841"/>
      <c r="AM1223" s="841"/>
      <c r="AN1223" s="841"/>
      <c r="AO1223" s="841"/>
      <c r="AP1223" s="841"/>
      <c r="AQ1223" s="841"/>
      <c r="AR1223" s="841"/>
      <c r="AS1223" s="842"/>
    </row>
    <row r="1224" spans="1:45">
      <c r="A1224" s="841"/>
      <c r="B1224" s="841"/>
      <c r="C1224" s="841"/>
      <c r="D1224" s="841"/>
      <c r="E1224" s="841"/>
      <c r="F1224" s="841"/>
      <c r="G1224" s="841"/>
      <c r="H1224" s="841"/>
      <c r="I1224" s="841"/>
      <c r="J1224" s="841"/>
      <c r="K1224" s="841"/>
      <c r="L1224" s="841"/>
      <c r="M1224" s="841"/>
      <c r="N1224" s="841"/>
      <c r="O1224" s="841"/>
      <c r="P1224" s="841"/>
      <c r="Q1224" s="841"/>
      <c r="R1224" s="841"/>
      <c r="S1224" s="841"/>
      <c r="T1224" s="841"/>
      <c r="U1224" s="841"/>
      <c r="V1224" s="841"/>
      <c r="W1224" s="841"/>
      <c r="X1224" s="841"/>
      <c r="Y1224" s="841"/>
      <c r="Z1224" s="1226"/>
      <c r="AA1224" s="1226"/>
      <c r="AB1224" s="1226"/>
      <c r="AC1224" s="1226"/>
      <c r="AD1224" s="1226"/>
      <c r="AE1224" s="1226"/>
      <c r="AF1224" s="1226"/>
      <c r="AG1224" s="1226"/>
      <c r="AH1224" s="1226"/>
      <c r="AI1224" s="841"/>
      <c r="AJ1224" s="841"/>
      <c r="AK1224" s="841"/>
      <c r="AL1224" s="841"/>
      <c r="AM1224" s="841"/>
      <c r="AN1224" s="841"/>
      <c r="AO1224" s="841"/>
      <c r="AP1224" s="841"/>
      <c r="AQ1224" s="841"/>
      <c r="AR1224" s="841"/>
      <c r="AS1224" s="842"/>
    </row>
    <row r="1225" spans="1:45">
      <c r="A1225" s="841"/>
      <c r="B1225" s="841"/>
      <c r="C1225" s="841"/>
      <c r="D1225" s="841"/>
      <c r="E1225" s="841"/>
      <c r="F1225" s="841"/>
      <c r="G1225" s="841"/>
      <c r="H1225" s="841"/>
      <c r="I1225" s="841"/>
      <c r="J1225" s="841"/>
      <c r="K1225" s="841"/>
      <c r="L1225" s="841"/>
      <c r="M1225" s="841"/>
      <c r="N1225" s="841"/>
      <c r="O1225" s="841"/>
      <c r="P1225" s="841"/>
      <c r="Q1225" s="841"/>
      <c r="R1225" s="841"/>
      <c r="S1225" s="841"/>
      <c r="T1225" s="841"/>
      <c r="U1225" s="841"/>
      <c r="V1225" s="841"/>
      <c r="W1225" s="841"/>
      <c r="X1225" s="841"/>
      <c r="Y1225" s="841"/>
      <c r="Z1225" s="1226"/>
      <c r="AA1225" s="1226"/>
      <c r="AB1225" s="1226"/>
      <c r="AC1225" s="1226"/>
      <c r="AD1225" s="1226"/>
      <c r="AE1225" s="1226"/>
      <c r="AF1225" s="1226"/>
      <c r="AG1225" s="1226"/>
      <c r="AH1225" s="1226"/>
      <c r="AI1225" s="841"/>
      <c r="AJ1225" s="841"/>
      <c r="AK1225" s="841"/>
      <c r="AL1225" s="841"/>
      <c r="AM1225" s="841"/>
      <c r="AN1225" s="841"/>
      <c r="AO1225" s="841"/>
      <c r="AP1225" s="841"/>
      <c r="AQ1225" s="841"/>
      <c r="AR1225" s="841"/>
      <c r="AS1225" s="842"/>
    </row>
    <row r="1226" spans="1:45">
      <c r="A1226" s="841"/>
      <c r="B1226" s="841"/>
      <c r="C1226" s="841"/>
      <c r="D1226" s="841"/>
      <c r="E1226" s="841"/>
      <c r="F1226" s="841"/>
      <c r="G1226" s="841"/>
      <c r="H1226" s="841"/>
      <c r="I1226" s="841"/>
      <c r="J1226" s="841"/>
      <c r="K1226" s="841"/>
      <c r="L1226" s="841"/>
      <c r="M1226" s="841"/>
      <c r="N1226" s="841"/>
      <c r="O1226" s="841"/>
      <c r="P1226" s="841"/>
      <c r="Q1226" s="841"/>
      <c r="R1226" s="841"/>
      <c r="S1226" s="841"/>
      <c r="T1226" s="841"/>
      <c r="U1226" s="841"/>
      <c r="V1226" s="841"/>
      <c r="W1226" s="841"/>
      <c r="X1226" s="841"/>
      <c r="Y1226" s="841"/>
      <c r="Z1226" s="1226"/>
      <c r="AA1226" s="1226"/>
      <c r="AB1226" s="1226"/>
      <c r="AC1226" s="1226"/>
      <c r="AD1226" s="1226"/>
      <c r="AE1226" s="1226"/>
      <c r="AF1226" s="1226"/>
      <c r="AG1226" s="1226"/>
      <c r="AH1226" s="1226"/>
      <c r="AI1226" s="841"/>
      <c r="AJ1226" s="841"/>
      <c r="AK1226" s="841"/>
      <c r="AL1226" s="841"/>
      <c r="AM1226" s="841"/>
      <c r="AN1226" s="841"/>
      <c r="AO1226" s="841"/>
      <c r="AP1226" s="841"/>
      <c r="AQ1226" s="841"/>
      <c r="AR1226" s="841"/>
      <c r="AS1226" s="842"/>
    </row>
    <row r="1227" spans="1:45">
      <c r="A1227" s="841"/>
      <c r="B1227" s="841"/>
      <c r="C1227" s="841"/>
      <c r="D1227" s="841"/>
      <c r="E1227" s="841"/>
      <c r="F1227" s="841"/>
      <c r="G1227" s="841"/>
      <c r="H1227" s="841"/>
      <c r="I1227" s="841"/>
      <c r="J1227" s="841"/>
      <c r="K1227" s="841"/>
      <c r="L1227" s="841"/>
      <c r="M1227" s="841"/>
      <c r="N1227" s="841"/>
      <c r="O1227" s="841"/>
      <c r="P1227" s="841"/>
      <c r="Q1227" s="841"/>
      <c r="R1227" s="841"/>
      <c r="S1227" s="841"/>
      <c r="T1227" s="841"/>
      <c r="U1227" s="841"/>
      <c r="V1227" s="841"/>
      <c r="W1227" s="841"/>
      <c r="X1227" s="841"/>
      <c r="Y1227" s="841"/>
      <c r="Z1227" s="1226"/>
      <c r="AA1227" s="1226"/>
      <c r="AB1227" s="1226"/>
      <c r="AC1227" s="1226"/>
      <c r="AD1227" s="1226"/>
      <c r="AE1227" s="1226"/>
      <c r="AF1227" s="1226"/>
      <c r="AG1227" s="1226"/>
      <c r="AH1227" s="1226"/>
      <c r="AI1227" s="841"/>
      <c r="AJ1227" s="841"/>
      <c r="AK1227" s="841"/>
      <c r="AL1227" s="841"/>
      <c r="AM1227" s="841"/>
      <c r="AN1227" s="841"/>
      <c r="AO1227" s="841"/>
      <c r="AP1227" s="841"/>
      <c r="AQ1227" s="841"/>
      <c r="AR1227" s="841"/>
      <c r="AS1227" s="842"/>
    </row>
    <row r="1228" spans="1:45">
      <c r="A1228" s="841"/>
      <c r="B1228" s="841"/>
      <c r="C1228" s="841"/>
      <c r="D1228" s="841"/>
      <c r="E1228" s="841"/>
      <c r="F1228" s="841"/>
      <c r="G1228" s="841"/>
      <c r="H1228" s="841"/>
      <c r="I1228" s="841"/>
      <c r="J1228" s="841"/>
      <c r="K1228" s="841"/>
      <c r="L1228" s="841"/>
      <c r="M1228" s="841"/>
      <c r="N1228" s="841"/>
      <c r="O1228" s="841"/>
      <c r="P1228" s="841"/>
      <c r="Q1228" s="841"/>
      <c r="R1228" s="841"/>
      <c r="S1228" s="841"/>
      <c r="T1228" s="841"/>
      <c r="U1228" s="841"/>
      <c r="V1228" s="841"/>
      <c r="W1228" s="841"/>
      <c r="X1228" s="841"/>
      <c r="Y1228" s="841"/>
      <c r="Z1228" s="1226"/>
      <c r="AA1228" s="1226"/>
      <c r="AB1228" s="1226"/>
      <c r="AC1228" s="1226"/>
      <c r="AD1228" s="1226"/>
      <c r="AE1228" s="1226"/>
      <c r="AF1228" s="1226"/>
      <c r="AG1228" s="1226"/>
      <c r="AH1228" s="1226"/>
      <c r="AI1228" s="841"/>
      <c r="AJ1228" s="841"/>
      <c r="AK1228" s="841"/>
      <c r="AL1228" s="841"/>
      <c r="AM1228" s="841"/>
      <c r="AN1228" s="841"/>
      <c r="AO1228" s="841"/>
      <c r="AP1228" s="841"/>
      <c r="AQ1228" s="841"/>
      <c r="AR1228" s="841"/>
      <c r="AS1228" s="842"/>
    </row>
    <row r="1229" spans="1:45">
      <c r="A1229" s="841"/>
      <c r="B1229" s="841"/>
      <c r="C1229" s="841"/>
      <c r="D1229" s="841"/>
      <c r="E1229" s="841"/>
      <c r="F1229" s="841"/>
      <c r="G1229" s="841"/>
      <c r="H1229" s="841"/>
      <c r="I1229" s="841"/>
      <c r="J1229" s="841"/>
      <c r="K1229" s="841"/>
      <c r="L1229" s="841"/>
      <c r="M1229" s="841"/>
      <c r="N1229" s="841"/>
      <c r="O1229" s="841"/>
      <c r="P1229" s="841"/>
      <c r="Q1229" s="841"/>
      <c r="R1229" s="841"/>
      <c r="S1229" s="841"/>
      <c r="T1229" s="841"/>
      <c r="U1229" s="841"/>
      <c r="V1229" s="841"/>
      <c r="W1229" s="841"/>
      <c r="X1229" s="841"/>
      <c r="Y1229" s="841"/>
      <c r="Z1229" s="1226"/>
      <c r="AA1229" s="1226"/>
      <c r="AB1229" s="1226"/>
      <c r="AC1229" s="1226"/>
      <c r="AD1229" s="1226"/>
      <c r="AE1229" s="1226"/>
      <c r="AF1229" s="1226"/>
      <c r="AG1229" s="1226"/>
      <c r="AH1229" s="1226"/>
      <c r="AI1229" s="841"/>
      <c r="AJ1229" s="841"/>
      <c r="AK1229" s="841"/>
      <c r="AL1229" s="841"/>
      <c r="AM1229" s="841"/>
      <c r="AN1229" s="841"/>
      <c r="AO1229" s="841"/>
      <c r="AP1229" s="841"/>
      <c r="AQ1229" s="841"/>
      <c r="AR1229" s="841"/>
      <c r="AS1229" s="842"/>
    </row>
    <row r="1230" spans="1:45">
      <c r="A1230" s="841"/>
      <c r="B1230" s="841"/>
      <c r="C1230" s="841"/>
      <c r="D1230" s="841"/>
      <c r="E1230" s="841"/>
      <c r="F1230" s="841"/>
      <c r="G1230" s="841"/>
      <c r="H1230" s="841"/>
      <c r="I1230" s="841"/>
      <c r="J1230" s="841"/>
      <c r="K1230" s="841"/>
      <c r="L1230" s="841"/>
      <c r="M1230" s="841"/>
      <c r="N1230" s="841"/>
      <c r="O1230" s="841"/>
      <c r="P1230" s="841"/>
      <c r="Q1230" s="841"/>
      <c r="R1230" s="841"/>
      <c r="S1230" s="841"/>
      <c r="T1230" s="841"/>
      <c r="U1230" s="841"/>
      <c r="V1230" s="841"/>
      <c r="W1230" s="841"/>
      <c r="X1230" s="841"/>
      <c r="Y1230" s="841"/>
      <c r="Z1230" s="1226"/>
      <c r="AA1230" s="1226"/>
      <c r="AB1230" s="1226"/>
      <c r="AC1230" s="1226"/>
      <c r="AD1230" s="1226"/>
      <c r="AE1230" s="1226"/>
      <c r="AF1230" s="1226"/>
      <c r="AG1230" s="1226"/>
      <c r="AH1230" s="1226"/>
      <c r="AI1230" s="841"/>
      <c r="AJ1230" s="841"/>
      <c r="AK1230" s="841"/>
      <c r="AL1230" s="841"/>
      <c r="AM1230" s="841"/>
      <c r="AN1230" s="841"/>
      <c r="AO1230" s="841"/>
      <c r="AP1230" s="841"/>
      <c r="AQ1230" s="841"/>
      <c r="AR1230" s="841"/>
      <c r="AS1230" s="842"/>
    </row>
    <row r="1231" spans="1:45">
      <c r="A1231" s="841"/>
      <c r="B1231" s="841"/>
      <c r="C1231" s="841"/>
      <c r="D1231" s="841"/>
      <c r="E1231" s="841"/>
      <c r="F1231" s="841"/>
      <c r="G1231" s="841"/>
      <c r="H1231" s="841"/>
      <c r="I1231" s="841"/>
      <c r="J1231" s="841"/>
      <c r="K1231" s="841"/>
      <c r="L1231" s="841"/>
      <c r="M1231" s="841"/>
      <c r="N1231" s="841"/>
      <c r="O1231" s="841"/>
      <c r="P1231" s="841"/>
      <c r="Q1231" s="841"/>
      <c r="R1231" s="841"/>
      <c r="S1231" s="841"/>
      <c r="T1231" s="841"/>
      <c r="U1231" s="841"/>
      <c r="V1231" s="841"/>
      <c r="W1231" s="841"/>
      <c r="X1231" s="841"/>
      <c r="Y1231" s="841"/>
      <c r="Z1231" s="1226"/>
      <c r="AA1231" s="1226"/>
      <c r="AB1231" s="1226"/>
      <c r="AC1231" s="1226"/>
      <c r="AD1231" s="1226"/>
      <c r="AE1231" s="1226"/>
      <c r="AF1231" s="1226"/>
      <c r="AG1231" s="1226"/>
      <c r="AH1231" s="1226"/>
      <c r="AI1231" s="841"/>
      <c r="AJ1231" s="841"/>
      <c r="AK1231" s="841"/>
      <c r="AL1231" s="841"/>
      <c r="AM1231" s="841"/>
      <c r="AN1231" s="841"/>
      <c r="AO1231" s="841"/>
      <c r="AP1231" s="841"/>
      <c r="AQ1231" s="841"/>
      <c r="AR1231" s="841"/>
      <c r="AS1231" s="842"/>
    </row>
    <row r="1232" spans="1:45">
      <c r="A1232" s="841"/>
      <c r="B1232" s="841"/>
      <c r="C1232" s="841"/>
      <c r="D1232" s="841"/>
      <c r="E1232" s="841"/>
      <c r="F1232" s="841"/>
      <c r="G1232" s="841"/>
      <c r="H1232" s="841"/>
      <c r="I1232" s="841"/>
      <c r="J1232" s="841"/>
      <c r="K1232" s="841"/>
      <c r="L1232" s="841"/>
      <c r="M1232" s="841"/>
      <c r="N1232" s="841"/>
      <c r="O1232" s="841"/>
      <c r="P1232" s="841"/>
      <c r="Q1232" s="841"/>
      <c r="R1232" s="841"/>
      <c r="S1232" s="841"/>
      <c r="T1232" s="841"/>
      <c r="U1232" s="841"/>
      <c r="V1232" s="841"/>
      <c r="W1232" s="841"/>
      <c r="X1232" s="841"/>
      <c r="Y1232" s="841"/>
      <c r="Z1232" s="1226"/>
      <c r="AA1232" s="1226"/>
      <c r="AB1232" s="1226"/>
      <c r="AC1232" s="1226"/>
      <c r="AD1232" s="1226"/>
      <c r="AE1232" s="1226"/>
      <c r="AF1232" s="1226"/>
      <c r="AG1232" s="1226"/>
      <c r="AH1232" s="1226"/>
      <c r="AI1232" s="841"/>
      <c r="AJ1232" s="841"/>
      <c r="AK1232" s="841"/>
      <c r="AL1232" s="841"/>
      <c r="AM1232" s="841"/>
      <c r="AN1232" s="841"/>
      <c r="AO1232" s="841"/>
      <c r="AP1232" s="841"/>
      <c r="AQ1232" s="841"/>
      <c r="AR1232" s="841"/>
      <c r="AS1232" s="842"/>
    </row>
    <row r="1233" spans="1:45">
      <c r="A1233" s="841"/>
      <c r="B1233" s="841"/>
      <c r="C1233" s="841"/>
      <c r="D1233" s="841"/>
      <c r="E1233" s="841"/>
      <c r="F1233" s="841"/>
      <c r="G1233" s="841"/>
      <c r="H1233" s="841"/>
      <c r="I1233" s="841"/>
      <c r="J1233" s="841"/>
      <c r="K1233" s="841"/>
      <c r="L1233" s="841"/>
      <c r="M1233" s="841"/>
      <c r="N1233" s="841"/>
      <c r="O1233" s="841"/>
      <c r="P1233" s="841"/>
      <c r="Q1233" s="841"/>
      <c r="R1233" s="841"/>
      <c r="S1233" s="841"/>
      <c r="T1233" s="841"/>
      <c r="U1233" s="841"/>
      <c r="V1233" s="841"/>
      <c r="W1233" s="841"/>
      <c r="X1233" s="841"/>
      <c r="Y1233" s="841"/>
      <c r="Z1233" s="1226"/>
      <c r="AA1233" s="1226"/>
      <c r="AB1233" s="1226"/>
      <c r="AC1233" s="1226"/>
      <c r="AD1233" s="1226"/>
      <c r="AE1233" s="1226"/>
      <c r="AF1233" s="1226"/>
      <c r="AG1233" s="1226"/>
      <c r="AH1233" s="1226"/>
      <c r="AI1233" s="841"/>
      <c r="AJ1233" s="841"/>
      <c r="AK1233" s="841"/>
      <c r="AL1233" s="841"/>
      <c r="AM1233" s="841"/>
      <c r="AN1233" s="841"/>
      <c r="AO1233" s="841"/>
      <c r="AP1233" s="841"/>
      <c r="AQ1233" s="841"/>
      <c r="AR1233" s="841"/>
      <c r="AS1233" s="842"/>
    </row>
    <row r="1234" spans="1:45">
      <c r="A1234" s="841"/>
      <c r="B1234" s="841"/>
      <c r="C1234" s="841"/>
      <c r="D1234" s="841"/>
      <c r="E1234" s="841"/>
      <c r="F1234" s="841"/>
      <c r="G1234" s="841"/>
      <c r="H1234" s="841"/>
      <c r="I1234" s="841"/>
      <c r="J1234" s="841"/>
      <c r="K1234" s="841"/>
      <c r="L1234" s="841"/>
      <c r="M1234" s="841"/>
      <c r="N1234" s="841"/>
      <c r="O1234" s="841"/>
      <c r="P1234" s="841"/>
      <c r="Q1234" s="841"/>
      <c r="R1234" s="841"/>
      <c r="S1234" s="841"/>
      <c r="T1234" s="841"/>
      <c r="U1234" s="841"/>
      <c r="V1234" s="841"/>
      <c r="W1234" s="841"/>
      <c r="X1234" s="841"/>
      <c r="Y1234" s="841"/>
      <c r="Z1234" s="1226"/>
      <c r="AA1234" s="1226"/>
      <c r="AB1234" s="1226"/>
      <c r="AC1234" s="1226"/>
      <c r="AD1234" s="1226"/>
      <c r="AE1234" s="1226"/>
      <c r="AF1234" s="1226"/>
      <c r="AG1234" s="1226"/>
      <c r="AH1234" s="1226"/>
      <c r="AI1234" s="841"/>
      <c r="AJ1234" s="841"/>
      <c r="AK1234" s="841"/>
      <c r="AL1234" s="841"/>
      <c r="AM1234" s="841"/>
      <c r="AN1234" s="841"/>
      <c r="AO1234" s="841"/>
      <c r="AP1234" s="841"/>
      <c r="AQ1234" s="841"/>
      <c r="AR1234" s="841"/>
      <c r="AS1234" s="842"/>
    </row>
    <row r="1235" spans="1:45">
      <c r="A1235" s="841"/>
      <c r="B1235" s="841"/>
      <c r="C1235" s="841"/>
      <c r="D1235" s="841"/>
      <c r="E1235" s="841"/>
      <c r="F1235" s="841"/>
      <c r="G1235" s="841"/>
      <c r="H1235" s="841"/>
      <c r="I1235" s="841"/>
      <c r="J1235" s="841"/>
      <c r="K1235" s="841"/>
      <c r="L1235" s="841"/>
      <c r="M1235" s="841"/>
      <c r="N1235" s="841"/>
      <c r="O1235" s="841"/>
      <c r="P1235" s="841"/>
      <c r="Q1235" s="841"/>
      <c r="R1235" s="841"/>
      <c r="S1235" s="841"/>
      <c r="T1235" s="841"/>
      <c r="U1235" s="841"/>
      <c r="V1235" s="841"/>
      <c r="W1235" s="841"/>
      <c r="X1235" s="841"/>
      <c r="Y1235" s="841"/>
      <c r="Z1235" s="1226"/>
      <c r="AA1235" s="1226"/>
      <c r="AB1235" s="1226"/>
      <c r="AC1235" s="1226"/>
      <c r="AD1235" s="1226"/>
      <c r="AE1235" s="1226"/>
      <c r="AF1235" s="1226"/>
      <c r="AG1235" s="1226"/>
      <c r="AH1235" s="1226"/>
      <c r="AI1235" s="841"/>
      <c r="AJ1235" s="841"/>
      <c r="AK1235" s="841"/>
      <c r="AL1235" s="841"/>
      <c r="AM1235" s="841"/>
      <c r="AN1235" s="841"/>
      <c r="AO1235" s="841"/>
      <c r="AP1235" s="841"/>
      <c r="AQ1235" s="841"/>
      <c r="AR1235" s="841"/>
      <c r="AS1235" s="842"/>
    </row>
    <row r="1236" spans="1:45">
      <c r="A1236" s="841"/>
      <c r="B1236" s="841"/>
      <c r="C1236" s="841"/>
      <c r="D1236" s="841"/>
      <c r="E1236" s="841"/>
      <c r="F1236" s="841"/>
      <c r="G1236" s="841"/>
      <c r="H1236" s="841"/>
      <c r="I1236" s="841"/>
      <c r="J1236" s="841"/>
      <c r="K1236" s="841"/>
      <c r="L1236" s="841"/>
      <c r="M1236" s="841"/>
      <c r="N1236" s="841"/>
      <c r="O1236" s="841"/>
      <c r="P1236" s="841"/>
      <c r="Q1236" s="841"/>
      <c r="R1236" s="841"/>
      <c r="S1236" s="841"/>
      <c r="T1236" s="841"/>
      <c r="U1236" s="841"/>
      <c r="V1236" s="841"/>
      <c r="W1236" s="841"/>
      <c r="X1236" s="841"/>
      <c r="Y1236" s="841"/>
      <c r="Z1236" s="1226"/>
      <c r="AA1236" s="1226"/>
      <c r="AB1236" s="1226"/>
      <c r="AC1236" s="1226"/>
      <c r="AD1236" s="1226"/>
      <c r="AE1236" s="1226"/>
      <c r="AF1236" s="1226"/>
      <c r="AG1236" s="1226"/>
      <c r="AH1236" s="1226"/>
      <c r="AI1236" s="841"/>
      <c r="AJ1236" s="841"/>
      <c r="AK1236" s="841"/>
      <c r="AL1236" s="841"/>
      <c r="AM1236" s="841"/>
      <c r="AN1236" s="841"/>
      <c r="AO1236" s="841"/>
      <c r="AP1236" s="841"/>
      <c r="AQ1236" s="841"/>
      <c r="AR1236" s="841"/>
      <c r="AS1236" s="842"/>
    </row>
    <row r="1237" spans="1:45">
      <c r="A1237" s="841"/>
      <c r="B1237" s="841"/>
      <c r="C1237" s="841"/>
      <c r="D1237" s="841"/>
      <c r="E1237" s="841"/>
      <c r="F1237" s="841"/>
      <c r="G1237" s="841"/>
      <c r="H1237" s="841"/>
      <c r="I1237" s="841"/>
      <c r="J1237" s="841"/>
      <c r="K1237" s="841"/>
      <c r="L1237" s="841"/>
      <c r="M1237" s="841"/>
      <c r="N1237" s="841"/>
      <c r="O1237" s="841"/>
      <c r="P1237" s="841"/>
      <c r="Q1237" s="841"/>
      <c r="R1237" s="841"/>
      <c r="S1237" s="841"/>
      <c r="T1237" s="841"/>
      <c r="U1237" s="841"/>
      <c r="V1237" s="841"/>
      <c r="W1237" s="841"/>
      <c r="X1237" s="841"/>
      <c r="Y1237" s="841"/>
      <c r="Z1237" s="1226"/>
      <c r="AA1237" s="1226"/>
      <c r="AB1237" s="1226"/>
      <c r="AC1237" s="1226"/>
      <c r="AD1237" s="1226"/>
      <c r="AE1237" s="1226"/>
      <c r="AF1237" s="1226"/>
      <c r="AG1237" s="1226"/>
      <c r="AH1237" s="1226"/>
      <c r="AI1237" s="841"/>
      <c r="AJ1237" s="841"/>
      <c r="AK1237" s="841"/>
      <c r="AL1237" s="841"/>
      <c r="AM1237" s="841"/>
      <c r="AN1237" s="841"/>
      <c r="AO1237" s="841"/>
      <c r="AP1237" s="841"/>
      <c r="AQ1237" s="841"/>
      <c r="AR1237" s="841"/>
      <c r="AS1237" s="842"/>
    </row>
    <row r="1238" spans="1:45">
      <c r="A1238" s="841"/>
      <c r="B1238" s="841"/>
      <c r="C1238" s="841"/>
      <c r="D1238" s="841"/>
      <c r="E1238" s="841"/>
      <c r="F1238" s="841"/>
      <c r="G1238" s="841"/>
      <c r="H1238" s="841"/>
      <c r="I1238" s="841"/>
      <c r="J1238" s="841"/>
      <c r="K1238" s="841"/>
      <c r="L1238" s="841"/>
      <c r="M1238" s="841"/>
      <c r="N1238" s="841"/>
      <c r="O1238" s="841"/>
      <c r="P1238" s="841"/>
      <c r="Q1238" s="841"/>
      <c r="R1238" s="841"/>
      <c r="S1238" s="841"/>
      <c r="T1238" s="841"/>
      <c r="U1238" s="841"/>
      <c r="V1238" s="841"/>
      <c r="W1238" s="841"/>
      <c r="X1238" s="841"/>
      <c r="Y1238" s="841"/>
      <c r="Z1238" s="1226"/>
      <c r="AA1238" s="1226"/>
      <c r="AB1238" s="1226"/>
      <c r="AC1238" s="1226"/>
      <c r="AD1238" s="1226"/>
      <c r="AE1238" s="1226"/>
      <c r="AF1238" s="1226"/>
      <c r="AG1238" s="1226"/>
      <c r="AH1238" s="1226"/>
      <c r="AI1238" s="841"/>
      <c r="AJ1238" s="841"/>
      <c r="AK1238" s="841"/>
      <c r="AL1238" s="841"/>
      <c r="AM1238" s="841"/>
      <c r="AN1238" s="841"/>
      <c r="AO1238" s="841"/>
      <c r="AP1238" s="841"/>
      <c r="AQ1238" s="841"/>
      <c r="AR1238" s="841"/>
      <c r="AS1238" s="842"/>
    </row>
    <row r="1239" spans="1:45">
      <c r="A1239" s="841"/>
      <c r="B1239" s="841"/>
      <c r="C1239" s="841"/>
      <c r="D1239" s="841"/>
      <c r="E1239" s="841"/>
      <c r="F1239" s="841"/>
      <c r="G1239" s="841"/>
      <c r="H1239" s="841"/>
      <c r="I1239" s="841"/>
      <c r="J1239" s="841"/>
      <c r="K1239" s="841"/>
      <c r="L1239" s="841"/>
      <c r="M1239" s="841"/>
      <c r="N1239" s="841"/>
      <c r="O1239" s="841"/>
      <c r="P1239" s="841"/>
      <c r="Q1239" s="841"/>
      <c r="R1239" s="841"/>
      <c r="S1239" s="841"/>
      <c r="T1239" s="841"/>
      <c r="U1239" s="841"/>
      <c r="V1239" s="841"/>
      <c r="W1239" s="841"/>
      <c r="X1239" s="841"/>
      <c r="Y1239" s="841"/>
      <c r="Z1239" s="1226"/>
      <c r="AA1239" s="1226"/>
      <c r="AB1239" s="1226"/>
      <c r="AC1239" s="1226"/>
      <c r="AD1239" s="1226"/>
      <c r="AE1239" s="1226"/>
      <c r="AF1239" s="1226"/>
      <c r="AG1239" s="1226"/>
      <c r="AH1239" s="1226"/>
      <c r="AI1239" s="841"/>
      <c r="AJ1239" s="841"/>
      <c r="AK1239" s="841"/>
      <c r="AL1239" s="841"/>
      <c r="AM1239" s="841"/>
      <c r="AN1239" s="841"/>
      <c r="AO1239" s="841"/>
      <c r="AP1239" s="841"/>
      <c r="AQ1239" s="841"/>
      <c r="AR1239" s="841"/>
      <c r="AS1239" s="842"/>
    </row>
    <row r="1240" spans="1:45">
      <c r="A1240" s="841"/>
      <c r="B1240" s="841"/>
      <c r="C1240" s="841"/>
      <c r="D1240" s="841"/>
      <c r="E1240" s="841"/>
      <c r="F1240" s="841"/>
      <c r="G1240" s="841"/>
      <c r="H1240" s="841"/>
      <c r="I1240" s="841"/>
      <c r="J1240" s="841"/>
      <c r="K1240" s="841"/>
      <c r="L1240" s="841"/>
      <c r="M1240" s="841"/>
      <c r="N1240" s="841"/>
      <c r="O1240" s="841"/>
      <c r="P1240" s="841"/>
      <c r="Q1240" s="841"/>
      <c r="R1240" s="841"/>
      <c r="S1240" s="841"/>
      <c r="T1240" s="841"/>
      <c r="U1240" s="841"/>
      <c r="V1240" s="841"/>
      <c r="W1240" s="841"/>
      <c r="X1240" s="841"/>
      <c r="Y1240" s="841"/>
      <c r="Z1240" s="1226"/>
      <c r="AA1240" s="1226"/>
      <c r="AB1240" s="1226"/>
      <c r="AC1240" s="1226"/>
      <c r="AD1240" s="1226"/>
      <c r="AE1240" s="1226"/>
      <c r="AF1240" s="1226"/>
      <c r="AG1240" s="1226"/>
      <c r="AH1240" s="1226"/>
      <c r="AI1240" s="841"/>
      <c r="AJ1240" s="841"/>
      <c r="AK1240" s="841"/>
      <c r="AL1240" s="841"/>
      <c r="AM1240" s="841"/>
      <c r="AN1240" s="841"/>
      <c r="AO1240" s="841"/>
      <c r="AP1240" s="841"/>
      <c r="AQ1240" s="841"/>
      <c r="AR1240" s="841"/>
      <c r="AS1240" s="842"/>
    </row>
    <row r="1241" spans="1:45">
      <c r="A1241" s="841"/>
      <c r="B1241" s="841"/>
      <c r="C1241" s="841"/>
      <c r="D1241" s="841"/>
      <c r="E1241" s="841"/>
      <c r="F1241" s="841"/>
      <c r="G1241" s="841"/>
      <c r="H1241" s="841"/>
      <c r="I1241" s="841"/>
      <c r="J1241" s="841"/>
      <c r="K1241" s="841"/>
      <c r="L1241" s="841"/>
      <c r="M1241" s="841"/>
      <c r="N1241" s="841"/>
      <c r="O1241" s="841"/>
      <c r="P1241" s="841"/>
      <c r="Q1241" s="841"/>
      <c r="R1241" s="841"/>
      <c r="S1241" s="841"/>
      <c r="T1241" s="841"/>
      <c r="U1241" s="841"/>
      <c r="V1241" s="841"/>
      <c r="W1241" s="841"/>
      <c r="X1241" s="841"/>
      <c r="Y1241" s="841"/>
      <c r="Z1241" s="1226"/>
      <c r="AA1241" s="1226"/>
      <c r="AB1241" s="1226"/>
      <c r="AC1241" s="1226"/>
      <c r="AD1241" s="1226"/>
      <c r="AE1241" s="1226"/>
      <c r="AF1241" s="1226"/>
      <c r="AG1241" s="1226"/>
      <c r="AH1241" s="1226"/>
      <c r="AI1241" s="841"/>
      <c r="AJ1241" s="841"/>
      <c r="AK1241" s="841"/>
      <c r="AL1241" s="841"/>
      <c r="AM1241" s="841"/>
      <c r="AN1241" s="841"/>
      <c r="AO1241" s="841"/>
      <c r="AP1241" s="841"/>
      <c r="AQ1241" s="841"/>
      <c r="AR1241" s="841"/>
      <c r="AS1241" s="842"/>
    </row>
    <row r="1242" spans="1:45">
      <c r="A1242" s="841"/>
      <c r="B1242" s="841"/>
      <c r="C1242" s="841"/>
      <c r="D1242" s="841"/>
      <c r="E1242" s="841"/>
      <c r="F1242" s="841"/>
      <c r="G1242" s="841"/>
      <c r="H1242" s="841"/>
      <c r="I1242" s="841"/>
      <c r="J1242" s="841"/>
      <c r="K1242" s="841"/>
      <c r="L1242" s="841"/>
      <c r="M1242" s="841"/>
      <c r="N1242" s="841"/>
      <c r="O1242" s="841"/>
      <c r="P1242" s="841"/>
      <c r="Q1242" s="841"/>
      <c r="R1242" s="841"/>
      <c r="S1242" s="841"/>
      <c r="T1242" s="841"/>
      <c r="U1242" s="841"/>
      <c r="V1242" s="841"/>
      <c r="W1242" s="841"/>
      <c r="X1242" s="841"/>
      <c r="Y1242" s="841"/>
      <c r="Z1242" s="1226"/>
      <c r="AA1242" s="1226"/>
      <c r="AB1242" s="1226"/>
      <c r="AC1242" s="1226"/>
      <c r="AD1242" s="1226"/>
      <c r="AE1242" s="1226"/>
      <c r="AF1242" s="1226"/>
      <c r="AG1242" s="1226"/>
      <c r="AH1242" s="1226"/>
      <c r="AI1242" s="841"/>
      <c r="AJ1242" s="841"/>
      <c r="AK1242" s="841"/>
      <c r="AL1242" s="841"/>
      <c r="AM1242" s="841"/>
      <c r="AN1242" s="841"/>
      <c r="AO1242" s="841"/>
      <c r="AP1242" s="841"/>
      <c r="AQ1242" s="841"/>
      <c r="AR1242" s="841"/>
      <c r="AS1242" s="842"/>
    </row>
    <row r="1243" spans="1:45">
      <c r="A1243" s="841"/>
      <c r="B1243" s="841"/>
      <c r="C1243" s="841"/>
      <c r="D1243" s="841"/>
      <c r="E1243" s="841"/>
      <c r="F1243" s="841"/>
      <c r="G1243" s="841"/>
      <c r="H1243" s="841"/>
      <c r="I1243" s="841"/>
      <c r="J1243" s="841"/>
      <c r="K1243" s="841"/>
      <c r="L1243" s="841"/>
      <c r="M1243" s="841"/>
      <c r="N1243" s="841"/>
      <c r="O1243" s="841"/>
      <c r="P1243" s="841"/>
      <c r="Q1243" s="841"/>
      <c r="R1243" s="841"/>
      <c r="S1243" s="841"/>
      <c r="T1243" s="841"/>
      <c r="U1243" s="841"/>
      <c r="V1243" s="841"/>
      <c r="W1243" s="841"/>
      <c r="X1243" s="841"/>
      <c r="Y1243" s="841"/>
      <c r="Z1243" s="1226"/>
      <c r="AA1243" s="1226"/>
      <c r="AB1243" s="1226"/>
      <c r="AC1243" s="1226"/>
      <c r="AD1243" s="1226"/>
      <c r="AE1243" s="1226"/>
      <c r="AF1243" s="1226"/>
      <c r="AG1243" s="1226"/>
      <c r="AH1243" s="1226"/>
      <c r="AI1243" s="841"/>
      <c r="AJ1243" s="841"/>
      <c r="AK1243" s="841"/>
      <c r="AL1243" s="841"/>
      <c r="AM1243" s="841"/>
      <c r="AN1243" s="841"/>
      <c r="AO1243" s="841"/>
      <c r="AP1243" s="841"/>
      <c r="AQ1243" s="841"/>
      <c r="AR1243" s="841"/>
      <c r="AS1243" s="842"/>
    </row>
    <row r="1244" spans="1:45">
      <c r="A1244" s="841"/>
      <c r="B1244" s="841"/>
      <c r="C1244" s="841"/>
      <c r="D1244" s="841"/>
      <c r="E1244" s="841"/>
      <c r="F1244" s="841"/>
      <c r="G1244" s="841"/>
      <c r="H1244" s="841"/>
      <c r="I1244" s="841"/>
      <c r="J1244" s="841"/>
      <c r="K1244" s="841"/>
      <c r="L1244" s="841"/>
      <c r="M1244" s="841"/>
      <c r="N1244" s="841"/>
      <c r="O1244" s="841"/>
      <c r="P1244" s="841"/>
      <c r="Q1244" s="841"/>
      <c r="R1244" s="841"/>
      <c r="S1244" s="841"/>
      <c r="T1244" s="841"/>
      <c r="U1244" s="841"/>
      <c r="V1244" s="841"/>
      <c r="W1244" s="841"/>
      <c r="X1244" s="841"/>
      <c r="Y1244" s="841"/>
      <c r="Z1244" s="1226"/>
      <c r="AA1244" s="1226"/>
      <c r="AB1244" s="1226"/>
      <c r="AC1244" s="1226"/>
      <c r="AD1244" s="1226"/>
      <c r="AE1244" s="1226"/>
      <c r="AF1244" s="1226"/>
      <c r="AG1244" s="1226"/>
      <c r="AH1244" s="1226"/>
      <c r="AI1244" s="841"/>
      <c r="AJ1244" s="841"/>
      <c r="AK1244" s="841"/>
      <c r="AL1244" s="841"/>
      <c r="AM1244" s="841"/>
      <c r="AN1244" s="841"/>
      <c r="AO1244" s="841"/>
      <c r="AP1244" s="841"/>
      <c r="AQ1244" s="841"/>
      <c r="AR1244" s="841"/>
      <c r="AS1244" s="842"/>
    </row>
    <row r="1245" spans="1:45">
      <c r="A1245" s="841"/>
      <c r="B1245" s="841"/>
      <c r="C1245" s="841"/>
      <c r="D1245" s="841"/>
      <c r="E1245" s="841"/>
      <c r="F1245" s="841"/>
      <c r="G1245" s="841"/>
      <c r="H1245" s="841"/>
      <c r="I1245" s="841"/>
      <c r="J1245" s="841"/>
      <c r="K1245" s="841"/>
      <c r="L1245" s="841"/>
      <c r="M1245" s="841"/>
      <c r="N1245" s="841"/>
      <c r="O1245" s="841"/>
      <c r="P1245" s="841"/>
      <c r="Q1245" s="841"/>
      <c r="R1245" s="841"/>
      <c r="S1245" s="841"/>
      <c r="T1245" s="841"/>
      <c r="U1245" s="841"/>
      <c r="V1245" s="841"/>
      <c r="W1245" s="841"/>
      <c r="X1245" s="841"/>
      <c r="Y1245" s="841"/>
      <c r="Z1245" s="1226"/>
      <c r="AA1245" s="1226"/>
      <c r="AB1245" s="1226"/>
      <c r="AC1245" s="1226"/>
      <c r="AD1245" s="1226"/>
      <c r="AE1245" s="1226"/>
      <c r="AF1245" s="1226"/>
      <c r="AG1245" s="1226"/>
      <c r="AH1245" s="1226"/>
      <c r="AI1245" s="841"/>
      <c r="AJ1245" s="841"/>
      <c r="AK1245" s="841"/>
      <c r="AL1245" s="841"/>
      <c r="AM1245" s="841"/>
      <c r="AN1245" s="841"/>
      <c r="AO1245" s="841"/>
      <c r="AP1245" s="841"/>
      <c r="AQ1245" s="841"/>
      <c r="AR1245" s="841"/>
      <c r="AS1245" s="842"/>
    </row>
    <row r="1246" spans="1:45">
      <c r="A1246" s="841"/>
      <c r="B1246" s="841"/>
      <c r="C1246" s="841"/>
      <c r="D1246" s="841"/>
      <c r="E1246" s="841"/>
      <c r="F1246" s="841"/>
      <c r="G1246" s="841"/>
      <c r="H1246" s="841"/>
      <c r="I1246" s="841"/>
      <c r="J1246" s="841"/>
      <c r="K1246" s="841"/>
      <c r="L1246" s="841"/>
      <c r="M1246" s="841"/>
      <c r="N1246" s="841"/>
      <c r="O1246" s="841"/>
      <c r="P1246" s="841"/>
      <c r="Q1246" s="841"/>
      <c r="R1246" s="841"/>
      <c r="S1246" s="841"/>
      <c r="T1246" s="841"/>
      <c r="U1246" s="841"/>
      <c r="V1246" s="841"/>
      <c r="W1246" s="841"/>
      <c r="X1246" s="841"/>
      <c r="Y1246" s="841"/>
      <c r="Z1246" s="1226"/>
      <c r="AA1246" s="1226"/>
      <c r="AB1246" s="1226"/>
      <c r="AC1246" s="1226"/>
      <c r="AD1246" s="1226"/>
      <c r="AE1246" s="1226"/>
      <c r="AF1246" s="1226"/>
      <c r="AG1246" s="1226"/>
      <c r="AH1246" s="1226"/>
      <c r="AI1246" s="841"/>
      <c r="AJ1246" s="841"/>
      <c r="AK1246" s="841"/>
      <c r="AL1246" s="841"/>
      <c r="AM1246" s="841"/>
      <c r="AN1246" s="841"/>
      <c r="AO1246" s="841"/>
      <c r="AP1246" s="841"/>
      <c r="AQ1246" s="841"/>
      <c r="AR1246" s="841"/>
      <c r="AS1246" s="842"/>
    </row>
    <row r="1247" spans="1:45">
      <c r="A1247" s="841"/>
      <c r="B1247" s="841"/>
      <c r="C1247" s="841"/>
      <c r="D1247" s="841"/>
      <c r="E1247" s="841"/>
      <c r="F1247" s="841"/>
      <c r="G1247" s="841"/>
      <c r="H1247" s="841"/>
      <c r="I1247" s="841"/>
      <c r="J1247" s="841"/>
      <c r="K1247" s="841"/>
      <c r="L1247" s="841"/>
      <c r="M1247" s="841"/>
      <c r="N1247" s="841"/>
      <c r="O1247" s="841"/>
      <c r="P1247" s="841"/>
      <c r="Q1247" s="841"/>
      <c r="R1247" s="841"/>
      <c r="S1247" s="841"/>
      <c r="T1247" s="841"/>
      <c r="U1247" s="841"/>
      <c r="V1247" s="841"/>
      <c r="W1247" s="841"/>
      <c r="X1247" s="841"/>
      <c r="Y1247" s="841"/>
      <c r="Z1247" s="1226"/>
      <c r="AA1247" s="1226"/>
      <c r="AB1247" s="1226"/>
      <c r="AC1247" s="1226"/>
      <c r="AD1247" s="1226"/>
      <c r="AE1247" s="1226"/>
      <c r="AF1247" s="1226"/>
      <c r="AG1247" s="1226"/>
      <c r="AH1247" s="1226"/>
      <c r="AI1247" s="841"/>
      <c r="AJ1247" s="841"/>
      <c r="AK1247" s="841"/>
      <c r="AL1247" s="841"/>
      <c r="AM1247" s="841"/>
      <c r="AN1247" s="841"/>
      <c r="AO1247" s="841"/>
      <c r="AP1247" s="841"/>
      <c r="AQ1247" s="841"/>
      <c r="AR1247" s="841"/>
      <c r="AS1247" s="842"/>
    </row>
    <row r="1248" spans="1:45">
      <c r="A1248" s="841"/>
      <c r="B1248" s="841"/>
      <c r="C1248" s="841"/>
      <c r="D1248" s="841"/>
      <c r="E1248" s="841"/>
      <c r="F1248" s="841"/>
      <c r="G1248" s="841"/>
      <c r="H1248" s="841"/>
      <c r="I1248" s="841"/>
      <c r="J1248" s="841"/>
      <c r="K1248" s="841"/>
      <c r="L1248" s="841"/>
      <c r="M1248" s="841"/>
      <c r="N1248" s="841"/>
      <c r="O1248" s="841"/>
      <c r="P1248" s="841"/>
      <c r="Q1248" s="841"/>
      <c r="R1248" s="841"/>
      <c r="S1248" s="841"/>
      <c r="T1248" s="841"/>
      <c r="U1248" s="841"/>
      <c r="V1248" s="841"/>
      <c r="W1248" s="841"/>
      <c r="X1248" s="841"/>
      <c r="Y1248" s="841"/>
      <c r="Z1248" s="1226"/>
      <c r="AA1248" s="1226"/>
      <c r="AB1248" s="1226"/>
      <c r="AC1248" s="1226"/>
      <c r="AD1248" s="1226"/>
      <c r="AE1248" s="1226"/>
      <c r="AF1248" s="1226"/>
      <c r="AG1248" s="1226"/>
      <c r="AH1248" s="1226"/>
      <c r="AI1248" s="841"/>
      <c r="AJ1248" s="841"/>
      <c r="AK1248" s="841"/>
      <c r="AL1248" s="841"/>
      <c r="AM1248" s="841"/>
      <c r="AN1248" s="841"/>
      <c r="AO1248" s="841"/>
      <c r="AP1248" s="841"/>
      <c r="AQ1248" s="841"/>
      <c r="AR1248" s="841"/>
      <c r="AS1248" s="842"/>
    </row>
    <row r="1249" spans="1:45">
      <c r="A1249" s="841"/>
      <c r="B1249" s="841"/>
      <c r="C1249" s="841"/>
      <c r="D1249" s="841"/>
      <c r="E1249" s="841"/>
      <c r="F1249" s="841"/>
      <c r="G1249" s="841"/>
      <c r="H1249" s="841"/>
      <c r="I1249" s="841"/>
      <c r="J1249" s="841"/>
      <c r="K1249" s="841"/>
      <c r="L1249" s="841"/>
      <c r="M1249" s="841"/>
      <c r="N1249" s="841"/>
      <c r="O1249" s="841"/>
      <c r="P1249" s="841"/>
      <c r="Q1249" s="841"/>
      <c r="R1249" s="841"/>
      <c r="S1249" s="841"/>
      <c r="T1249" s="841"/>
      <c r="U1249" s="841"/>
      <c r="V1249" s="841"/>
      <c r="W1249" s="841"/>
      <c r="X1249" s="841"/>
      <c r="Y1249" s="841"/>
      <c r="Z1249" s="1226"/>
      <c r="AA1249" s="1226"/>
      <c r="AB1249" s="1226"/>
      <c r="AC1249" s="1226"/>
      <c r="AD1249" s="1226"/>
      <c r="AE1249" s="1226"/>
      <c r="AF1249" s="1226"/>
      <c r="AG1249" s="1226"/>
      <c r="AH1249" s="1226"/>
      <c r="AI1249" s="841"/>
      <c r="AJ1249" s="841"/>
      <c r="AK1249" s="841"/>
      <c r="AL1249" s="841"/>
      <c r="AM1249" s="841"/>
      <c r="AN1249" s="841"/>
      <c r="AO1249" s="841"/>
      <c r="AP1249" s="841"/>
      <c r="AQ1249" s="841"/>
      <c r="AR1249" s="841"/>
      <c r="AS1249" s="842"/>
    </row>
    <row r="1250" spans="1:45">
      <c r="A1250" s="841"/>
      <c r="B1250" s="841"/>
      <c r="C1250" s="841"/>
      <c r="D1250" s="841"/>
      <c r="E1250" s="841"/>
      <c r="F1250" s="841"/>
      <c r="G1250" s="841"/>
      <c r="H1250" s="841"/>
      <c r="I1250" s="841"/>
      <c r="J1250" s="841"/>
      <c r="K1250" s="841"/>
      <c r="L1250" s="841"/>
      <c r="M1250" s="841"/>
      <c r="N1250" s="841"/>
      <c r="O1250" s="841"/>
      <c r="P1250" s="841"/>
      <c r="Q1250" s="841"/>
      <c r="R1250" s="841"/>
      <c r="S1250" s="841"/>
      <c r="T1250" s="841"/>
      <c r="U1250" s="841"/>
      <c r="V1250" s="841"/>
      <c r="W1250" s="841"/>
      <c r="X1250" s="841"/>
      <c r="Y1250" s="841"/>
      <c r="Z1250" s="1226"/>
      <c r="AA1250" s="1226"/>
      <c r="AB1250" s="1226"/>
      <c r="AC1250" s="1226"/>
      <c r="AD1250" s="1226"/>
      <c r="AE1250" s="1226"/>
      <c r="AF1250" s="1226"/>
      <c r="AG1250" s="1226"/>
      <c r="AH1250" s="1226"/>
      <c r="AI1250" s="841"/>
      <c r="AJ1250" s="841"/>
      <c r="AK1250" s="841"/>
      <c r="AL1250" s="841"/>
      <c r="AM1250" s="841"/>
      <c r="AN1250" s="841"/>
      <c r="AO1250" s="841"/>
      <c r="AP1250" s="841"/>
      <c r="AQ1250" s="841"/>
      <c r="AR1250" s="841"/>
      <c r="AS1250" s="842"/>
    </row>
    <row r="1251" spans="1:45">
      <c r="A1251" s="841"/>
      <c r="B1251" s="841"/>
      <c r="C1251" s="841"/>
      <c r="D1251" s="841"/>
      <c r="E1251" s="841"/>
      <c r="F1251" s="841"/>
      <c r="G1251" s="841"/>
      <c r="H1251" s="841"/>
      <c r="I1251" s="841"/>
      <c r="J1251" s="841"/>
      <c r="K1251" s="841"/>
      <c r="L1251" s="841"/>
      <c r="M1251" s="841"/>
      <c r="N1251" s="841"/>
      <c r="O1251" s="841"/>
      <c r="P1251" s="841"/>
      <c r="Q1251" s="841"/>
      <c r="R1251" s="841"/>
      <c r="S1251" s="841"/>
      <c r="T1251" s="841"/>
      <c r="U1251" s="841"/>
      <c r="V1251" s="841"/>
      <c r="W1251" s="841"/>
      <c r="X1251" s="841"/>
      <c r="Y1251" s="841"/>
      <c r="Z1251" s="1226"/>
      <c r="AA1251" s="1226"/>
      <c r="AB1251" s="1226"/>
      <c r="AC1251" s="1226"/>
      <c r="AD1251" s="1226"/>
      <c r="AE1251" s="1226"/>
      <c r="AF1251" s="1226"/>
      <c r="AG1251" s="1226"/>
      <c r="AH1251" s="1226"/>
      <c r="AI1251" s="841"/>
      <c r="AJ1251" s="841"/>
      <c r="AK1251" s="841"/>
      <c r="AL1251" s="841"/>
      <c r="AM1251" s="841"/>
      <c r="AN1251" s="841"/>
      <c r="AO1251" s="841"/>
      <c r="AP1251" s="841"/>
      <c r="AQ1251" s="841"/>
      <c r="AR1251" s="841"/>
      <c r="AS1251" s="842"/>
    </row>
    <row r="1252" spans="1:45">
      <c r="A1252" s="841"/>
      <c r="B1252" s="841"/>
      <c r="C1252" s="841"/>
      <c r="D1252" s="841"/>
      <c r="E1252" s="841"/>
      <c r="F1252" s="841"/>
      <c r="G1252" s="841"/>
      <c r="H1252" s="841"/>
      <c r="I1252" s="841"/>
      <c r="J1252" s="841"/>
      <c r="K1252" s="841"/>
      <c r="L1252" s="841"/>
      <c r="M1252" s="841"/>
      <c r="N1252" s="841"/>
      <c r="O1252" s="841"/>
      <c r="P1252" s="841"/>
      <c r="Q1252" s="841"/>
      <c r="R1252" s="841"/>
      <c r="S1252" s="841"/>
      <c r="T1252" s="841"/>
      <c r="U1252" s="841"/>
      <c r="V1252" s="841"/>
      <c r="W1252" s="841"/>
      <c r="X1252" s="841"/>
      <c r="Y1252" s="841"/>
      <c r="Z1252" s="1226"/>
      <c r="AA1252" s="1226"/>
      <c r="AB1252" s="1226"/>
      <c r="AC1252" s="1226"/>
      <c r="AD1252" s="1226"/>
      <c r="AE1252" s="1226"/>
      <c r="AF1252" s="1226"/>
      <c r="AG1252" s="1226"/>
      <c r="AH1252" s="1226"/>
      <c r="AI1252" s="841"/>
      <c r="AJ1252" s="841"/>
      <c r="AK1252" s="841"/>
      <c r="AL1252" s="841"/>
      <c r="AM1252" s="841"/>
      <c r="AN1252" s="841"/>
      <c r="AO1252" s="841"/>
      <c r="AP1252" s="841"/>
      <c r="AQ1252" s="841"/>
      <c r="AR1252" s="841"/>
      <c r="AS1252" s="842"/>
    </row>
    <row r="1253" spans="1:45">
      <c r="A1253" s="841"/>
      <c r="B1253" s="841"/>
      <c r="C1253" s="841"/>
      <c r="D1253" s="841"/>
      <c r="E1253" s="841"/>
      <c r="F1253" s="841"/>
      <c r="G1253" s="841"/>
      <c r="H1253" s="841"/>
      <c r="I1253" s="841"/>
      <c r="J1253" s="841"/>
      <c r="K1253" s="841"/>
      <c r="L1253" s="841"/>
      <c r="M1253" s="841"/>
      <c r="N1253" s="841"/>
      <c r="O1253" s="841"/>
      <c r="P1253" s="841"/>
      <c r="Q1253" s="841"/>
      <c r="R1253" s="841"/>
      <c r="S1253" s="841"/>
      <c r="T1253" s="841"/>
      <c r="U1253" s="841"/>
      <c r="V1253" s="841"/>
      <c r="W1253" s="841"/>
      <c r="X1253" s="841"/>
      <c r="Y1253" s="841"/>
      <c r="Z1253" s="1226"/>
      <c r="AA1253" s="1226"/>
      <c r="AB1253" s="1226"/>
      <c r="AC1253" s="1226"/>
      <c r="AD1253" s="1226"/>
      <c r="AE1253" s="1226"/>
      <c r="AF1253" s="1226"/>
      <c r="AG1253" s="1226"/>
      <c r="AH1253" s="1226"/>
      <c r="AI1253" s="841"/>
      <c r="AJ1253" s="841"/>
      <c r="AK1253" s="841"/>
      <c r="AL1253" s="841"/>
      <c r="AM1253" s="841"/>
      <c r="AN1253" s="841"/>
      <c r="AO1253" s="841"/>
      <c r="AP1253" s="841"/>
      <c r="AQ1253" s="841"/>
      <c r="AR1253" s="841"/>
      <c r="AS1253" s="842"/>
    </row>
    <row r="1254" spans="1:45">
      <c r="A1254" s="841"/>
      <c r="B1254" s="841"/>
      <c r="C1254" s="841"/>
      <c r="D1254" s="841"/>
      <c r="E1254" s="841"/>
      <c r="F1254" s="841"/>
      <c r="G1254" s="841"/>
      <c r="H1254" s="841"/>
      <c r="I1254" s="841"/>
      <c r="J1254" s="841"/>
      <c r="K1254" s="841"/>
      <c r="L1254" s="841"/>
      <c r="M1254" s="841"/>
      <c r="N1254" s="841"/>
      <c r="O1254" s="841"/>
      <c r="P1254" s="841"/>
      <c r="Q1254" s="841"/>
      <c r="R1254" s="841"/>
      <c r="S1254" s="841"/>
      <c r="T1254" s="841"/>
      <c r="U1254" s="841"/>
      <c r="V1254" s="841"/>
      <c r="W1254" s="841"/>
      <c r="X1254" s="841"/>
      <c r="Y1254" s="841"/>
      <c r="Z1254" s="1226"/>
      <c r="AA1254" s="1226"/>
      <c r="AB1254" s="1226"/>
      <c r="AC1254" s="1226"/>
      <c r="AD1254" s="1226"/>
      <c r="AE1254" s="1226"/>
      <c r="AF1254" s="1226"/>
      <c r="AG1254" s="1226"/>
      <c r="AH1254" s="1226"/>
      <c r="AI1254" s="841"/>
      <c r="AJ1254" s="841"/>
      <c r="AK1254" s="841"/>
      <c r="AL1254" s="841"/>
      <c r="AM1254" s="841"/>
      <c r="AN1254" s="841"/>
      <c r="AO1254" s="841"/>
      <c r="AP1254" s="841"/>
      <c r="AQ1254" s="841"/>
      <c r="AR1254" s="841"/>
      <c r="AS1254" s="842"/>
    </row>
    <row r="1255" spans="1:45">
      <c r="A1255" s="841"/>
      <c r="B1255" s="841"/>
      <c r="C1255" s="841"/>
      <c r="D1255" s="841"/>
      <c r="E1255" s="841"/>
      <c r="F1255" s="841"/>
      <c r="G1255" s="841"/>
      <c r="H1255" s="841"/>
      <c r="I1255" s="841"/>
      <c r="J1255" s="841"/>
      <c r="K1255" s="841"/>
      <c r="L1255" s="841"/>
      <c r="M1255" s="841"/>
      <c r="N1255" s="841"/>
      <c r="O1255" s="841"/>
      <c r="P1255" s="841"/>
      <c r="Q1255" s="841"/>
      <c r="R1255" s="841"/>
      <c r="S1255" s="841"/>
      <c r="T1255" s="841"/>
      <c r="U1255" s="841"/>
      <c r="V1255" s="841"/>
      <c r="W1255" s="841"/>
      <c r="X1255" s="841"/>
      <c r="Y1255" s="841"/>
      <c r="Z1255" s="1226"/>
      <c r="AA1255" s="1226"/>
      <c r="AB1255" s="1226"/>
      <c r="AC1255" s="1226"/>
      <c r="AD1255" s="1226"/>
      <c r="AE1255" s="1226"/>
      <c r="AF1255" s="1226"/>
      <c r="AG1255" s="1226"/>
      <c r="AH1255" s="1226"/>
      <c r="AI1255" s="841"/>
      <c r="AJ1255" s="841"/>
      <c r="AK1255" s="841"/>
      <c r="AL1255" s="841"/>
      <c r="AM1255" s="841"/>
      <c r="AN1255" s="841"/>
      <c r="AO1255" s="841"/>
      <c r="AP1255" s="841"/>
      <c r="AQ1255" s="841"/>
      <c r="AR1255" s="841"/>
      <c r="AS1255" s="842"/>
    </row>
    <row r="1256" spans="1:45">
      <c r="A1256" s="841"/>
      <c r="B1256" s="841"/>
      <c r="C1256" s="841"/>
      <c r="D1256" s="841"/>
      <c r="E1256" s="841"/>
      <c r="F1256" s="841"/>
      <c r="G1256" s="841"/>
      <c r="H1256" s="841"/>
      <c r="I1256" s="841"/>
      <c r="J1256" s="841"/>
      <c r="K1256" s="841"/>
      <c r="L1256" s="841"/>
      <c r="M1256" s="841"/>
      <c r="N1256" s="841"/>
      <c r="O1256" s="841"/>
      <c r="P1256" s="841"/>
      <c r="Q1256" s="841"/>
      <c r="R1256" s="841"/>
      <c r="S1256" s="841"/>
      <c r="T1256" s="841"/>
      <c r="U1256" s="841"/>
      <c r="V1256" s="841"/>
      <c r="W1256" s="841"/>
      <c r="X1256" s="841"/>
      <c r="Y1256" s="841"/>
      <c r="Z1256" s="1226"/>
      <c r="AA1256" s="1226"/>
      <c r="AB1256" s="1226"/>
      <c r="AC1256" s="1226"/>
      <c r="AD1256" s="1226"/>
      <c r="AE1256" s="1226"/>
      <c r="AF1256" s="1226"/>
      <c r="AG1256" s="1226"/>
      <c r="AH1256" s="1226"/>
      <c r="AI1256" s="841"/>
      <c r="AJ1256" s="841"/>
      <c r="AK1256" s="841"/>
      <c r="AL1256" s="841"/>
      <c r="AM1256" s="841"/>
      <c r="AN1256" s="841"/>
      <c r="AO1256" s="841"/>
      <c r="AP1256" s="841"/>
      <c r="AQ1256" s="841"/>
      <c r="AR1256" s="841"/>
      <c r="AS1256" s="842"/>
    </row>
    <row r="1257" spans="1:45">
      <c r="A1257" s="841"/>
      <c r="B1257" s="841"/>
      <c r="C1257" s="841"/>
      <c r="D1257" s="841"/>
      <c r="E1257" s="841"/>
      <c r="F1257" s="841"/>
      <c r="G1257" s="841"/>
      <c r="H1257" s="841"/>
      <c r="I1257" s="841"/>
      <c r="J1257" s="841"/>
      <c r="K1257" s="841"/>
      <c r="L1257" s="841"/>
      <c r="M1257" s="841"/>
      <c r="N1257" s="841"/>
      <c r="O1257" s="841"/>
      <c r="P1257" s="841"/>
      <c r="Q1257" s="841"/>
      <c r="R1257" s="841"/>
      <c r="S1257" s="841"/>
      <c r="T1257" s="841"/>
      <c r="U1257" s="841"/>
      <c r="V1257" s="841"/>
      <c r="W1257" s="841"/>
      <c r="X1257" s="841"/>
      <c r="Y1257" s="841"/>
      <c r="Z1257" s="1226"/>
      <c r="AA1257" s="1226"/>
      <c r="AB1257" s="1226"/>
      <c r="AC1257" s="1226"/>
      <c r="AD1257" s="1226"/>
      <c r="AE1257" s="1226"/>
      <c r="AF1257" s="1226"/>
      <c r="AG1257" s="1226"/>
      <c r="AH1257" s="1226"/>
      <c r="AI1257" s="841"/>
      <c r="AJ1257" s="841"/>
      <c r="AK1257" s="841"/>
      <c r="AL1257" s="841"/>
      <c r="AM1257" s="841"/>
      <c r="AN1257" s="841"/>
      <c r="AO1257" s="841"/>
      <c r="AP1257" s="841"/>
      <c r="AQ1257" s="841"/>
      <c r="AR1257" s="841"/>
      <c r="AS1257" s="842"/>
    </row>
    <row r="1258" spans="1:45">
      <c r="A1258" s="841"/>
      <c r="B1258" s="841"/>
      <c r="C1258" s="841"/>
      <c r="D1258" s="841"/>
      <c r="E1258" s="841"/>
      <c r="F1258" s="841"/>
      <c r="G1258" s="841"/>
      <c r="H1258" s="841"/>
      <c r="I1258" s="841"/>
      <c r="J1258" s="841"/>
      <c r="K1258" s="841"/>
      <c r="L1258" s="841"/>
      <c r="M1258" s="841"/>
      <c r="N1258" s="841"/>
      <c r="O1258" s="841"/>
      <c r="P1258" s="841"/>
      <c r="Q1258" s="841"/>
      <c r="R1258" s="841"/>
      <c r="S1258" s="841"/>
      <c r="T1258" s="841"/>
      <c r="U1258" s="841"/>
      <c r="V1258" s="841"/>
      <c r="W1258" s="841"/>
      <c r="X1258" s="841"/>
      <c r="Y1258" s="841"/>
      <c r="Z1258" s="1226"/>
      <c r="AA1258" s="1226"/>
      <c r="AB1258" s="1226"/>
      <c r="AC1258" s="1226"/>
      <c r="AD1258" s="1226"/>
      <c r="AE1258" s="1226"/>
      <c r="AF1258" s="1226"/>
      <c r="AG1258" s="1226"/>
      <c r="AH1258" s="1226"/>
      <c r="AI1258" s="841"/>
      <c r="AJ1258" s="841"/>
      <c r="AK1258" s="841"/>
      <c r="AL1258" s="841"/>
      <c r="AM1258" s="841"/>
      <c r="AN1258" s="841"/>
      <c r="AO1258" s="841"/>
      <c r="AP1258" s="841"/>
      <c r="AQ1258" s="841"/>
      <c r="AR1258" s="841"/>
      <c r="AS1258" s="842"/>
    </row>
    <row r="1259" spans="1:45">
      <c r="A1259" s="841"/>
      <c r="B1259" s="841"/>
      <c r="C1259" s="841"/>
      <c r="D1259" s="841"/>
      <c r="E1259" s="841"/>
      <c r="F1259" s="841"/>
      <c r="G1259" s="841"/>
      <c r="H1259" s="841"/>
      <c r="I1259" s="841"/>
      <c r="J1259" s="841"/>
      <c r="K1259" s="841"/>
      <c r="L1259" s="841"/>
      <c r="M1259" s="841"/>
      <c r="N1259" s="841"/>
      <c r="O1259" s="841"/>
      <c r="P1259" s="841"/>
      <c r="Q1259" s="841"/>
      <c r="R1259" s="841"/>
      <c r="S1259" s="841"/>
      <c r="T1259" s="841"/>
      <c r="U1259" s="841"/>
      <c r="V1259" s="841"/>
      <c r="W1259" s="841"/>
      <c r="X1259" s="841"/>
      <c r="Y1259" s="841"/>
      <c r="Z1259" s="1226"/>
      <c r="AA1259" s="1226"/>
      <c r="AB1259" s="1226"/>
      <c r="AC1259" s="1226"/>
      <c r="AD1259" s="1226"/>
      <c r="AE1259" s="1226"/>
      <c r="AF1259" s="1226"/>
      <c r="AG1259" s="1226"/>
      <c r="AH1259" s="1226"/>
      <c r="AI1259" s="841"/>
      <c r="AJ1259" s="841"/>
      <c r="AK1259" s="841"/>
      <c r="AL1259" s="841"/>
      <c r="AM1259" s="841"/>
      <c r="AN1259" s="841"/>
      <c r="AO1259" s="841"/>
      <c r="AP1259" s="841"/>
      <c r="AQ1259" s="841"/>
      <c r="AR1259" s="841"/>
      <c r="AS1259" s="842"/>
    </row>
    <row r="1260" spans="1:45">
      <c r="A1260" s="841"/>
      <c r="B1260" s="841"/>
      <c r="C1260" s="841"/>
      <c r="D1260" s="841"/>
      <c r="E1260" s="841"/>
      <c r="F1260" s="841"/>
      <c r="G1260" s="841"/>
      <c r="H1260" s="841"/>
      <c r="I1260" s="841"/>
      <c r="J1260" s="841"/>
      <c r="K1260" s="841"/>
      <c r="L1260" s="841"/>
      <c r="M1260" s="841"/>
      <c r="N1260" s="841"/>
      <c r="O1260" s="841"/>
      <c r="P1260" s="841"/>
      <c r="Q1260" s="841"/>
      <c r="R1260" s="841"/>
      <c r="S1260" s="841"/>
      <c r="T1260" s="841"/>
      <c r="U1260" s="841"/>
      <c r="V1260" s="841"/>
      <c r="W1260" s="841"/>
      <c r="X1260" s="841"/>
      <c r="Y1260" s="841"/>
      <c r="Z1260" s="1226"/>
      <c r="AA1260" s="1226"/>
      <c r="AB1260" s="1226"/>
      <c r="AC1260" s="1226"/>
      <c r="AD1260" s="1226"/>
      <c r="AE1260" s="1226"/>
      <c r="AF1260" s="1226"/>
      <c r="AG1260" s="1226"/>
      <c r="AH1260" s="1226"/>
      <c r="AI1260" s="841"/>
      <c r="AJ1260" s="841"/>
      <c r="AK1260" s="841"/>
      <c r="AL1260" s="841"/>
      <c r="AM1260" s="841"/>
      <c r="AN1260" s="841"/>
      <c r="AO1260" s="841"/>
      <c r="AP1260" s="841"/>
      <c r="AQ1260" s="841"/>
      <c r="AR1260" s="841"/>
      <c r="AS1260" s="842"/>
    </row>
    <row r="1261" spans="1:45">
      <c r="A1261" s="841"/>
      <c r="B1261" s="841"/>
      <c r="C1261" s="841"/>
      <c r="D1261" s="841"/>
      <c r="E1261" s="841"/>
      <c r="F1261" s="841"/>
      <c r="G1261" s="841"/>
      <c r="H1261" s="841"/>
      <c r="I1261" s="841"/>
      <c r="J1261" s="841"/>
      <c r="K1261" s="841"/>
      <c r="L1261" s="841"/>
      <c r="M1261" s="841"/>
      <c r="N1261" s="841"/>
      <c r="O1261" s="841"/>
      <c r="P1261" s="841"/>
      <c r="Q1261" s="841"/>
      <c r="R1261" s="841"/>
      <c r="S1261" s="841"/>
      <c r="T1261" s="841"/>
      <c r="U1261" s="841"/>
      <c r="V1261" s="841"/>
      <c r="W1261" s="841"/>
      <c r="X1261" s="841"/>
      <c r="Y1261" s="841"/>
      <c r="Z1261" s="1226"/>
      <c r="AA1261" s="1226"/>
      <c r="AB1261" s="1226"/>
      <c r="AC1261" s="1226"/>
      <c r="AD1261" s="1226"/>
      <c r="AE1261" s="1226"/>
      <c r="AF1261" s="1226"/>
      <c r="AG1261" s="1226"/>
      <c r="AH1261" s="1226"/>
      <c r="AI1261" s="841"/>
      <c r="AJ1261" s="841"/>
      <c r="AK1261" s="841"/>
      <c r="AL1261" s="841"/>
      <c r="AM1261" s="841"/>
      <c r="AN1261" s="841"/>
      <c r="AO1261" s="841"/>
      <c r="AP1261" s="841"/>
      <c r="AQ1261" s="841"/>
      <c r="AR1261" s="841"/>
      <c r="AS1261" s="842"/>
    </row>
    <row r="1262" spans="1:45">
      <c r="A1262" s="841"/>
      <c r="B1262" s="841"/>
      <c r="C1262" s="841"/>
      <c r="D1262" s="841"/>
      <c r="E1262" s="841"/>
      <c r="F1262" s="841"/>
      <c r="G1262" s="841"/>
      <c r="H1262" s="841"/>
      <c r="I1262" s="841"/>
      <c r="J1262" s="841"/>
      <c r="K1262" s="841"/>
      <c r="L1262" s="841"/>
      <c r="M1262" s="841"/>
      <c r="N1262" s="841"/>
      <c r="O1262" s="841"/>
      <c r="P1262" s="841"/>
      <c r="Q1262" s="841"/>
      <c r="R1262" s="841"/>
      <c r="S1262" s="841"/>
      <c r="T1262" s="841"/>
      <c r="U1262" s="841"/>
      <c r="V1262" s="841"/>
      <c r="W1262" s="841"/>
      <c r="X1262" s="841"/>
      <c r="Y1262" s="841"/>
      <c r="Z1262" s="1226"/>
      <c r="AA1262" s="1226"/>
      <c r="AB1262" s="1226"/>
      <c r="AC1262" s="1226"/>
      <c r="AD1262" s="1226"/>
      <c r="AE1262" s="1226"/>
      <c r="AF1262" s="1226"/>
      <c r="AG1262" s="1226"/>
      <c r="AH1262" s="1226"/>
      <c r="AI1262" s="841"/>
      <c r="AJ1262" s="841"/>
      <c r="AK1262" s="841"/>
      <c r="AL1262" s="841"/>
      <c r="AM1262" s="841"/>
      <c r="AN1262" s="841"/>
      <c r="AO1262" s="841"/>
      <c r="AP1262" s="841"/>
      <c r="AQ1262" s="841"/>
      <c r="AR1262" s="841"/>
      <c r="AS1262" s="842"/>
    </row>
    <row r="1263" spans="1:45">
      <c r="A1263" s="841"/>
      <c r="B1263" s="841"/>
      <c r="C1263" s="841"/>
      <c r="D1263" s="841"/>
      <c r="E1263" s="841"/>
      <c r="F1263" s="841"/>
      <c r="G1263" s="841"/>
      <c r="H1263" s="841"/>
      <c r="I1263" s="841"/>
      <c r="J1263" s="841"/>
      <c r="K1263" s="841"/>
      <c r="L1263" s="841"/>
      <c r="M1263" s="841"/>
      <c r="N1263" s="841"/>
      <c r="O1263" s="841"/>
      <c r="P1263" s="841"/>
      <c r="Q1263" s="841"/>
      <c r="R1263" s="841"/>
      <c r="S1263" s="841"/>
      <c r="T1263" s="841"/>
      <c r="U1263" s="841"/>
      <c r="V1263" s="841"/>
      <c r="W1263" s="841"/>
      <c r="X1263" s="841"/>
      <c r="Y1263" s="841"/>
      <c r="Z1263" s="1226"/>
      <c r="AA1263" s="1226"/>
      <c r="AB1263" s="1226"/>
      <c r="AC1263" s="1226"/>
      <c r="AD1263" s="1226"/>
      <c r="AE1263" s="1226"/>
      <c r="AF1263" s="1226"/>
      <c r="AG1263" s="1226"/>
      <c r="AH1263" s="1226"/>
      <c r="AI1263" s="841"/>
      <c r="AJ1263" s="841"/>
      <c r="AK1263" s="841"/>
      <c r="AL1263" s="841"/>
      <c r="AM1263" s="841"/>
      <c r="AN1263" s="841"/>
      <c r="AO1263" s="841"/>
      <c r="AP1263" s="841"/>
      <c r="AQ1263" s="841"/>
      <c r="AR1263" s="841"/>
      <c r="AS1263" s="842"/>
    </row>
    <row r="1264" spans="1:45">
      <c r="A1264" s="841"/>
      <c r="B1264" s="841"/>
      <c r="C1264" s="841"/>
      <c r="D1264" s="841"/>
      <c r="E1264" s="841"/>
      <c r="F1264" s="841"/>
      <c r="G1264" s="841"/>
      <c r="H1264" s="841"/>
      <c r="I1264" s="841"/>
      <c r="J1264" s="841"/>
      <c r="K1264" s="841"/>
      <c r="L1264" s="841"/>
      <c r="M1264" s="841"/>
      <c r="N1264" s="841"/>
      <c r="O1264" s="841"/>
      <c r="P1264" s="841"/>
      <c r="Q1264" s="841"/>
      <c r="R1264" s="841"/>
      <c r="S1264" s="841"/>
      <c r="T1264" s="841"/>
      <c r="U1264" s="841"/>
      <c r="V1264" s="841"/>
      <c r="W1264" s="841"/>
      <c r="X1264" s="841"/>
      <c r="Y1264" s="841"/>
      <c r="Z1264" s="1226"/>
      <c r="AA1264" s="1226"/>
      <c r="AB1264" s="1226"/>
      <c r="AC1264" s="1226"/>
      <c r="AD1264" s="1226"/>
      <c r="AE1264" s="1226"/>
      <c r="AF1264" s="1226"/>
      <c r="AG1264" s="1226"/>
      <c r="AH1264" s="1226"/>
      <c r="AI1264" s="841"/>
      <c r="AJ1264" s="841"/>
      <c r="AK1264" s="841"/>
      <c r="AL1264" s="841"/>
      <c r="AM1264" s="841"/>
      <c r="AN1264" s="841"/>
      <c r="AO1264" s="841"/>
      <c r="AP1264" s="841"/>
      <c r="AQ1264" s="841"/>
      <c r="AR1264" s="841"/>
      <c r="AS1264" s="842"/>
    </row>
    <row r="1265" spans="1:45">
      <c r="A1265" s="841"/>
      <c r="B1265" s="841"/>
      <c r="C1265" s="841"/>
      <c r="D1265" s="841"/>
      <c r="E1265" s="841"/>
      <c r="F1265" s="841"/>
      <c r="G1265" s="841"/>
      <c r="H1265" s="841"/>
      <c r="I1265" s="841"/>
      <c r="J1265" s="841"/>
      <c r="K1265" s="841"/>
      <c r="L1265" s="841"/>
      <c r="M1265" s="841"/>
      <c r="N1265" s="841"/>
      <c r="O1265" s="841"/>
      <c r="P1265" s="841"/>
      <c r="Q1265" s="841"/>
      <c r="R1265" s="841"/>
      <c r="S1265" s="841"/>
      <c r="T1265" s="841"/>
      <c r="U1265" s="841"/>
      <c r="V1265" s="841"/>
      <c r="W1265" s="841"/>
      <c r="X1265" s="841"/>
      <c r="Y1265" s="841"/>
      <c r="Z1265" s="1226"/>
      <c r="AA1265" s="1226"/>
      <c r="AB1265" s="1226"/>
      <c r="AC1265" s="1226"/>
      <c r="AD1265" s="1226"/>
      <c r="AE1265" s="1226"/>
      <c r="AF1265" s="1226"/>
      <c r="AG1265" s="1226"/>
      <c r="AH1265" s="1226"/>
      <c r="AI1265" s="841"/>
      <c r="AJ1265" s="841"/>
      <c r="AK1265" s="841"/>
      <c r="AL1265" s="841"/>
      <c r="AM1265" s="841"/>
      <c r="AN1265" s="841"/>
      <c r="AO1265" s="841"/>
      <c r="AP1265" s="841"/>
      <c r="AQ1265" s="841"/>
      <c r="AR1265" s="841"/>
      <c r="AS1265" s="842"/>
    </row>
    <row r="1266" spans="1:45">
      <c r="A1266" s="841"/>
      <c r="B1266" s="841"/>
      <c r="C1266" s="841"/>
      <c r="D1266" s="841"/>
      <c r="E1266" s="841"/>
      <c r="F1266" s="841"/>
      <c r="G1266" s="841"/>
      <c r="H1266" s="841"/>
      <c r="I1266" s="841"/>
      <c r="J1266" s="841"/>
      <c r="K1266" s="841"/>
      <c r="L1266" s="841"/>
      <c r="M1266" s="841"/>
      <c r="N1266" s="841"/>
      <c r="O1266" s="841"/>
      <c r="P1266" s="841"/>
      <c r="Q1266" s="841"/>
      <c r="R1266" s="841"/>
      <c r="S1266" s="841"/>
      <c r="T1266" s="841"/>
      <c r="U1266" s="841"/>
      <c r="V1266" s="841"/>
      <c r="W1266" s="841"/>
      <c r="X1266" s="841"/>
      <c r="Y1266" s="841"/>
      <c r="Z1266" s="1226"/>
      <c r="AA1266" s="1226"/>
      <c r="AB1266" s="1226"/>
      <c r="AC1266" s="1226"/>
      <c r="AD1266" s="1226"/>
      <c r="AE1266" s="1226"/>
      <c r="AF1266" s="1226"/>
      <c r="AG1266" s="1226"/>
      <c r="AH1266" s="1226"/>
      <c r="AI1266" s="841"/>
      <c r="AJ1266" s="841"/>
      <c r="AK1266" s="841"/>
      <c r="AL1266" s="841"/>
      <c r="AM1266" s="841"/>
      <c r="AN1266" s="841"/>
      <c r="AO1266" s="841"/>
      <c r="AP1266" s="841"/>
      <c r="AQ1266" s="841"/>
      <c r="AR1266" s="841"/>
      <c r="AS1266" s="842"/>
    </row>
    <row r="1267" spans="1:45">
      <c r="A1267" s="841"/>
      <c r="B1267" s="841"/>
      <c r="C1267" s="841"/>
      <c r="D1267" s="841"/>
      <c r="E1267" s="841"/>
      <c r="F1267" s="841"/>
      <c r="G1267" s="841"/>
      <c r="H1267" s="841"/>
      <c r="I1267" s="841"/>
      <c r="J1267" s="841"/>
      <c r="K1267" s="841"/>
      <c r="L1267" s="841"/>
      <c r="M1267" s="841"/>
      <c r="N1267" s="841"/>
      <c r="O1267" s="841"/>
      <c r="P1267" s="841"/>
      <c r="Q1267" s="841"/>
      <c r="R1267" s="841"/>
      <c r="S1267" s="841"/>
      <c r="T1267" s="841"/>
      <c r="U1267" s="841"/>
      <c r="V1267" s="841"/>
      <c r="W1267" s="841"/>
      <c r="X1267" s="841"/>
      <c r="Y1267" s="841"/>
      <c r="Z1267" s="1226"/>
      <c r="AA1267" s="1226"/>
      <c r="AB1267" s="1226"/>
      <c r="AC1267" s="1226"/>
      <c r="AD1267" s="1226"/>
      <c r="AE1267" s="1226"/>
      <c r="AF1267" s="1226"/>
      <c r="AG1267" s="1226"/>
      <c r="AH1267" s="1226"/>
      <c r="AI1267" s="841"/>
      <c r="AJ1267" s="841"/>
      <c r="AK1267" s="841"/>
      <c r="AL1267" s="841"/>
      <c r="AM1267" s="841"/>
      <c r="AN1267" s="841"/>
      <c r="AO1267" s="841"/>
      <c r="AP1267" s="841"/>
      <c r="AQ1267" s="841"/>
      <c r="AR1267" s="841"/>
      <c r="AS1267" s="842"/>
    </row>
    <row r="1268" spans="1:45">
      <c r="A1268" s="841"/>
      <c r="B1268" s="841"/>
      <c r="C1268" s="841"/>
      <c r="D1268" s="841"/>
      <c r="E1268" s="841"/>
      <c r="F1268" s="841"/>
      <c r="G1268" s="841"/>
      <c r="H1268" s="841"/>
      <c r="I1268" s="841"/>
      <c r="J1268" s="841"/>
      <c r="K1268" s="841"/>
      <c r="L1268" s="841"/>
      <c r="M1268" s="841"/>
      <c r="N1268" s="841"/>
      <c r="O1268" s="841"/>
      <c r="P1268" s="841"/>
      <c r="Q1268" s="841"/>
      <c r="R1268" s="841"/>
      <c r="S1268" s="841"/>
      <c r="T1268" s="841"/>
      <c r="U1268" s="841"/>
      <c r="V1268" s="841"/>
      <c r="W1268" s="841"/>
      <c r="X1268" s="841"/>
      <c r="Y1268" s="841"/>
      <c r="Z1268" s="1226"/>
      <c r="AA1268" s="1226"/>
      <c r="AB1268" s="1226"/>
      <c r="AC1268" s="1226"/>
      <c r="AD1268" s="1226"/>
      <c r="AE1268" s="1226"/>
      <c r="AF1268" s="1226"/>
      <c r="AG1268" s="1226"/>
      <c r="AH1268" s="1226"/>
      <c r="AI1268" s="841"/>
      <c r="AJ1268" s="841"/>
      <c r="AK1268" s="841"/>
      <c r="AL1268" s="841"/>
      <c r="AM1268" s="841"/>
      <c r="AN1268" s="841"/>
      <c r="AO1268" s="841"/>
      <c r="AP1268" s="841"/>
      <c r="AQ1268" s="841"/>
      <c r="AR1268" s="841"/>
      <c r="AS1268" s="842"/>
    </row>
    <row r="1269" spans="1:45">
      <c r="A1269" s="841"/>
      <c r="B1269" s="841"/>
      <c r="C1269" s="841"/>
      <c r="D1269" s="841"/>
      <c r="E1269" s="841"/>
      <c r="F1269" s="841"/>
      <c r="G1269" s="841"/>
      <c r="H1269" s="841"/>
      <c r="I1269" s="841"/>
      <c r="J1269" s="841"/>
      <c r="K1269" s="841"/>
      <c r="L1269" s="841"/>
      <c r="M1269" s="841"/>
      <c r="N1269" s="841"/>
      <c r="O1269" s="841"/>
      <c r="P1269" s="841"/>
      <c r="Q1269" s="841"/>
      <c r="R1269" s="841"/>
      <c r="S1269" s="841"/>
      <c r="T1269" s="841"/>
      <c r="U1269" s="841"/>
      <c r="V1269" s="841"/>
      <c r="W1269" s="841"/>
      <c r="X1269" s="841"/>
      <c r="Y1269" s="841"/>
      <c r="Z1269" s="1226"/>
      <c r="AA1269" s="1226"/>
      <c r="AB1269" s="1226"/>
      <c r="AC1269" s="1226"/>
      <c r="AD1269" s="1226"/>
      <c r="AE1269" s="1226"/>
      <c r="AF1269" s="1226"/>
      <c r="AG1269" s="1226"/>
      <c r="AH1269" s="1226"/>
      <c r="AI1269" s="841"/>
      <c r="AJ1269" s="841"/>
      <c r="AK1269" s="841"/>
      <c r="AL1269" s="841"/>
      <c r="AM1269" s="841"/>
      <c r="AN1269" s="841"/>
      <c r="AO1269" s="841"/>
      <c r="AP1269" s="841"/>
      <c r="AQ1269" s="841"/>
      <c r="AR1269" s="841"/>
      <c r="AS1269" s="842"/>
    </row>
    <row r="1270" spans="1:45">
      <c r="A1270" s="841"/>
      <c r="B1270" s="841"/>
      <c r="C1270" s="841"/>
      <c r="D1270" s="841"/>
      <c r="E1270" s="841"/>
      <c r="F1270" s="841"/>
      <c r="G1270" s="841"/>
      <c r="H1270" s="841"/>
      <c r="I1270" s="841"/>
      <c r="J1270" s="841"/>
      <c r="K1270" s="841"/>
      <c r="L1270" s="841"/>
      <c r="M1270" s="841"/>
      <c r="N1270" s="841"/>
      <c r="O1270" s="841"/>
      <c r="P1270" s="841"/>
      <c r="Q1270" s="841"/>
      <c r="R1270" s="841"/>
      <c r="S1270" s="841"/>
      <c r="T1270" s="841"/>
      <c r="U1270" s="841"/>
      <c r="V1270" s="841"/>
      <c r="W1270" s="841"/>
      <c r="X1270" s="841"/>
      <c r="Y1270" s="841"/>
      <c r="Z1270" s="1226"/>
      <c r="AA1270" s="1226"/>
      <c r="AB1270" s="1226"/>
      <c r="AC1270" s="1226"/>
      <c r="AD1270" s="1226"/>
      <c r="AE1270" s="1226"/>
      <c r="AF1270" s="1226"/>
      <c r="AG1270" s="1226"/>
      <c r="AH1270" s="1226"/>
      <c r="AI1270" s="841"/>
      <c r="AJ1270" s="841"/>
      <c r="AK1270" s="841"/>
      <c r="AL1270" s="841"/>
      <c r="AM1270" s="841"/>
      <c r="AN1270" s="841"/>
      <c r="AO1270" s="841"/>
      <c r="AP1270" s="841"/>
      <c r="AQ1270" s="841"/>
      <c r="AR1270" s="841"/>
      <c r="AS1270" s="842"/>
    </row>
    <row r="1271" spans="1:45">
      <c r="A1271" s="841"/>
      <c r="B1271" s="841"/>
      <c r="C1271" s="841"/>
      <c r="D1271" s="841"/>
      <c r="E1271" s="841"/>
      <c r="F1271" s="841"/>
      <c r="G1271" s="841"/>
      <c r="H1271" s="841"/>
      <c r="I1271" s="841"/>
      <c r="J1271" s="841"/>
      <c r="K1271" s="841"/>
      <c r="L1271" s="841"/>
      <c r="M1271" s="841"/>
      <c r="N1271" s="841"/>
      <c r="O1271" s="841"/>
      <c r="P1271" s="841"/>
      <c r="Q1271" s="841"/>
      <c r="R1271" s="841"/>
      <c r="S1271" s="841"/>
      <c r="T1271" s="841"/>
      <c r="U1271" s="841"/>
      <c r="V1271" s="841"/>
      <c r="W1271" s="841"/>
      <c r="X1271" s="841"/>
      <c r="Y1271" s="841"/>
      <c r="Z1271" s="1226"/>
      <c r="AA1271" s="1226"/>
      <c r="AB1271" s="1226"/>
      <c r="AC1271" s="1226"/>
      <c r="AD1271" s="1226"/>
      <c r="AE1271" s="1226"/>
      <c r="AF1271" s="1226"/>
      <c r="AG1271" s="1226"/>
      <c r="AH1271" s="1226"/>
      <c r="AI1271" s="841"/>
      <c r="AJ1271" s="841"/>
      <c r="AK1271" s="841"/>
      <c r="AL1271" s="841"/>
      <c r="AM1271" s="841"/>
      <c r="AN1271" s="841"/>
      <c r="AO1271" s="841"/>
      <c r="AP1271" s="841"/>
      <c r="AQ1271" s="841"/>
      <c r="AR1271" s="841"/>
      <c r="AS1271" s="842"/>
    </row>
    <row r="1272" spans="1:45">
      <c r="A1272" s="841"/>
      <c r="B1272" s="841"/>
      <c r="C1272" s="841"/>
      <c r="D1272" s="841"/>
      <c r="E1272" s="841"/>
      <c r="F1272" s="841"/>
      <c r="G1272" s="841"/>
      <c r="H1272" s="841"/>
      <c r="I1272" s="841"/>
      <c r="J1272" s="841"/>
      <c r="K1272" s="841"/>
      <c r="L1272" s="841"/>
      <c r="M1272" s="841"/>
      <c r="N1272" s="841"/>
      <c r="O1272" s="841"/>
      <c r="P1272" s="841"/>
      <c r="Q1272" s="841"/>
      <c r="R1272" s="841"/>
      <c r="S1272" s="841"/>
      <c r="T1272" s="841"/>
      <c r="U1272" s="841"/>
      <c r="V1272" s="841"/>
      <c r="W1272" s="841"/>
      <c r="X1272" s="841"/>
      <c r="Y1272" s="841"/>
      <c r="Z1272" s="1226"/>
      <c r="AA1272" s="1226"/>
      <c r="AB1272" s="1226"/>
      <c r="AC1272" s="1226"/>
      <c r="AD1272" s="1226"/>
      <c r="AE1272" s="1226"/>
      <c r="AF1272" s="1226"/>
      <c r="AG1272" s="1226"/>
      <c r="AH1272" s="1226"/>
      <c r="AI1272" s="841"/>
      <c r="AJ1272" s="841"/>
      <c r="AK1272" s="841"/>
      <c r="AL1272" s="841"/>
      <c r="AM1272" s="841"/>
      <c r="AN1272" s="841"/>
      <c r="AO1272" s="841"/>
      <c r="AP1272" s="841"/>
      <c r="AQ1272" s="841"/>
      <c r="AR1272" s="841"/>
      <c r="AS1272" s="842"/>
    </row>
    <row r="1273" spans="1:45">
      <c r="A1273" s="841"/>
      <c r="B1273" s="841"/>
      <c r="C1273" s="841"/>
      <c r="D1273" s="841"/>
      <c r="E1273" s="841"/>
      <c r="F1273" s="841"/>
      <c r="G1273" s="841"/>
      <c r="H1273" s="841"/>
      <c r="I1273" s="841"/>
      <c r="J1273" s="841"/>
      <c r="K1273" s="841"/>
      <c r="L1273" s="841"/>
      <c r="M1273" s="841"/>
      <c r="N1273" s="841"/>
      <c r="O1273" s="841"/>
      <c r="P1273" s="841"/>
      <c r="Q1273" s="841"/>
      <c r="R1273" s="841"/>
      <c r="S1273" s="841"/>
      <c r="T1273" s="841"/>
      <c r="U1273" s="841"/>
      <c r="V1273" s="841"/>
      <c r="W1273" s="841"/>
      <c r="X1273" s="841"/>
      <c r="Y1273" s="841"/>
      <c r="Z1273" s="1226"/>
      <c r="AA1273" s="1226"/>
      <c r="AB1273" s="1226"/>
      <c r="AC1273" s="1226"/>
      <c r="AD1273" s="1226"/>
      <c r="AE1273" s="1226"/>
      <c r="AF1273" s="1226"/>
      <c r="AG1273" s="1226"/>
      <c r="AH1273" s="1226"/>
      <c r="AI1273" s="841"/>
      <c r="AJ1273" s="841"/>
      <c r="AK1273" s="841"/>
      <c r="AL1273" s="841"/>
      <c r="AM1273" s="841"/>
      <c r="AN1273" s="841"/>
      <c r="AO1273" s="841"/>
      <c r="AP1273" s="841"/>
      <c r="AQ1273" s="841"/>
      <c r="AR1273" s="841"/>
      <c r="AS1273" s="842"/>
    </row>
    <row r="1274" spans="1:45">
      <c r="A1274" s="841"/>
      <c r="B1274" s="841"/>
      <c r="C1274" s="841"/>
      <c r="D1274" s="841"/>
      <c r="E1274" s="841"/>
      <c r="F1274" s="841"/>
      <c r="G1274" s="841"/>
      <c r="H1274" s="841"/>
      <c r="I1274" s="841"/>
      <c r="J1274" s="841"/>
      <c r="K1274" s="841"/>
      <c r="L1274" s="841"/>
      <c r="M1274" s="841"/>
      <c r="N1274" s="841"/>
      <c r="O1274" s="841"/>
      <c r="P1274" s="841"/>
      <c r="Q1274" s="841"/>
      <c r="R1274" s="841"/>
      <c r="S1274" s="841"/>
      <c r="T1274" s="841"/>
      <c r="U1274" s="841"/>
      <c r="V1274" s="841"/>
      <c r="W1274" s="841"/>
      <c r="X1274" s="841"/>
      <c r="Y1274" s="841"/>
      <c r="Z1274" s="1226"/>
      <c r="AA1274" s="1226"/>
      <c r="AB1274" s="1226"/>
      <c r="AC1274" s="1226"/>
      <c r="AD1274" s="1226"/>
      <c r="AE1274" s="1226"/>
      <c r="AF1274" s="1226"/>
      <c r="AG1274" s="1226"/>
      <c r="AH1274" s="1226"/>
      <c r="AI1274" s="841"/>
      <c r="AJ1274" s="841"/>
      <c r="AK1274" s="841"/>
      <c r="AL1274" s="841"/>
      <c r="AM1274" s="841"/>
      <c r="AN1274" s="841"/>
      <c r="AO1274" s="841"/>
      <c r="AP1274" s="841"/>
      <c r="AQ1274" s="841"/>
      <c r="AR1274" s="841"/>
      <c r="AS1274" s="842"/>
    </row>
    <row r="1275" spans="1:45">
      <c r="A1275" s="841"/>
      <c r="B1275" s="841"/>
      <c r="C1275" s="841"/>
      <c r="D1275" s="841"/>
      <c r="E1275" s="841"/>
      <c r="F1275" s="841"/>
      <c r="G1275" s="841"/>
      <c r="H1275" s="841"/>
      <c r="I1275" s="841"/>
      <c r="J1275" s="841"/>
      <c r="K1275" s="841"/>
      <c r="L1275" s="841"/>
      <c r="M1275" s="841"/>
      <c r="N1275" s="841"/>
      <c r="O1275" s="841"/>
      <c r="P1275" s="841"/>
      <c r="Q1275" s="841"/>
      <c r="R1275" s="841"/>
      <c r="S1275" s="841"/>
      <c r="T1275" s="841"/>
      <c r="U1275" s="841"/>
      <c r="V1275" s="841"/>
      <c r="W1275" s="841"/>
      <c r="X1275" s="841"/>
      <c r="Y1275" s="841"/>
      <c r="Z1275" s="1226"/>
      <c r="AA1275" s="1226"/>
      <c r="AB1275" s="1226"/>
      <c r="AC1275" s="1226"/>
      <c r="AD1275" s="1226"/>
      <c r="AE1275" s="1226"/>
      <c r="AF1275" s="1226"/>
      <c r="AG1275" s="1226"/>
      <c r="AH1275" s="1226"/>
      <c r="AI1275" s="841"/>
      <c r="AJ1275" s="841"/>
      <c r="AK1275" s="841"/>
      <c r="AL1275" s="841"/>
      <c r="AM1275" s="841"/>
      <c r="AN1275" s="841"/>
      <c r="AO1275" s="841"/>
      <c r="AP1275" s="841"/>
      <c r="AQ1275" s="841"/>
      <c r="AR1275" s="841"/>
      <c r="AS1275" s="842"/>
    </row>
    <row r="1276" spans="1:45">
      <c r="A1276" s="841"/>
      <c r="B1276" s="841"/>
      <c r="C1276" s="841"/>
      <c r="D1276" s="841"/>
      <c r="E1276" s="841"/>
      <c r="F1276" s="841"/>
      <c r="G1276" s="841"/>
      <c r="H1276" s="841"/>
      <c r="I1276" s="841"/>
      <c r="J1276" s="841"/>
      <c r="K1276" s="841"/>
      <c r="L1276" s="841"/>
      <c r="M1276" s="841"/>
      <c r="N1276" s="841"/>
      <c r="O1276" s="841"/>
      <c r="P1276" s="841"/>
      <c r="Q1276" s="841"/>
      <c r="R1276" s="841"/>
      <c r="S1276" s="841"/>
      <c r="T1276" s="841"/>
      <c r="U1276" s="841"/>
      <c r="V1276" s="841"/>
      <c r="W1276" s="841"/>
      <c r="X1276" s="841"/>
      <c r="Y1276" s="841"/>
      <c r="Z1276" s="1226"/>
      <c r="AA1276" s="1226"/>
      <c r="AB1276" s="1226"/>
      <c r="AC1276" s="1226"/>
      <c r="AD1276" s="1226"/>
      <c r="AE1276" s="1226"/>
      <c r="AF1276" s="1226"/>
      <c r="AG1276" s="1226"/>
      <c r="AH1276" s="1226"/>
      <c r="AI1276" s="841"/>
      <c r="AJ1276" s="841"/>
      <c r="AK1276" s="841"/>
      <c r="AL1276" s="841"/>
      <c r="AM1276" s="841"/>
      <c r="AN1276" s="841"/>
      <c r="AO1276" s="841"/>
      <c r="AP1276" s="841"/>
      <c r="AQ1276" s="841"/>
      <c r="AR1276" s="841"/>
      <c r="AS1276" s="842"/>
    </row>
    <row r="1277" spans="1:45">
      <c r="A1277" s="841"/>
      <c r="B1277" s="841"/>
      <c r="C1277" s="841"/>
      <c r="D1277" s="841"/>
      <c r="E1277" s="841"/>
      <c r="F1277" s="841"/>
      <c r="G1277" s="841"/>
      <c r="H1277" s="841"/>
      <c r="I1277" s="841"/>
      <c r="J1277" s="841"/>
      <c r="K1277" s="841"/>
      <c r="L1277" s="841"/>
      <c r="M1277" s="841"/>
      <c r="N1277" s="841"/>
      <c r="O1277" s="841"/>
      <c r="P1277" s="841"/>
      <c r="Q1277" s="841"/>
      <c r="R1277" s="841"/>
      <c r="S1277" s="841"/>
      <c r="T1277" s="841"/>
      <c r="U1277" s="841"/>
      <c r="V1277" s="841"/>
      <c r="W1277" s="841"/>
      <c r="X1277" s="841"/>
      <c r="Y1277" s="841"/>
      <c r="Z1277" s="1226"/>
      <c r="AA1277" s="1226"/>
      <c r="AB1277" s="1226"/>
      <c r="AC1277" s="1226"/>
      <c r="AD1277" s="1226"/>
      <c r="AE1277" s="1226"/>
      <c r="AF1277" s="1226"/>
      <c r="AG1277" s="1226"/>
      <c r="AH1277" s="1226"/>
      <c r="AI1277" s="841"/>
      <c r="AJ1277" s="841"/>
      <c r="AK1277" s="841"/>
      <c r="AL1277" s="841"/>
      <c r="AM1277" s="841"/>
      <c r="AN1277" s="841"/>
      <c r="AO1277" s="841"/>
      <c r="AP1277" s="841"/>
      <c r="AQ1277" s="841"/>
      <c r="AR1277" s="841"/>
      <c r="AS1277" s="842"/>
    </row>
    <row r="1278" spans="1:45">
      <c r="A1278" s="841"/>
      <c r="B1278" s="841"/>
      <c r="C1278" s="841"/>
      <c r="D1278" s="841"/>
      <c r="E1278" s="841"/>
      <c r="F1278" s="841"/>
      <c r="G1278" s="841"/>
      <c r="H1278" s="841"/>
      <c r="I1278" s="841"/>
      <c r="J1278" s="841"/>
      <c r="K1278" s="841"/>
      <c r="L1278" s="841"/>
      <c r="M1278" s="841"/>
      <c r="N1278" s="841"/>
      <c r="O1278" s="841"/>
      <c r="P1278" s="841"/>
      <c r="Q1278" s="841"/>
      <c r="R1278" s="841"/>
      <c r="S1278" s="841"/>
      <c r="T1278" s="841"/>
      <c r="U1278" s="841"/>
      <c r="V1278" s="841"/>
      <c r="W1278" s="841"/>
      <c r="X1278" s="841"/>
      <c r="Y1278" s="841"/>
      <c r="Z1278" s="1226"/>
      <c r="AA1278" s="1226"/>
      <c r="AB1278" s="1226"/>
      <c r="AC1278" s="1226"/>
      <c r="AD1278" s="1226"/>
      <c r="AE1278" s="1226"/>
      <c r="AF1278" s="1226"/>
      <c r="AG1278" s="1226"/>
      <c r="AH1278" s="1226"/>
      <c r="AI1278" s="841"/>
      <c r="AJ1278" s="841"/>
      <c r="AK1278" s="841"/>
      <c r="AL1278" s="841"/>
      <c r="AM1278" s="841"/>
      <c r="AN1278" s="841"/>
      <c r="AO1278" s="841"/>
      <c r="AP1278" s="841"/>
      <c r="AQ1278" s="841"/>
      <c r="AR1278" s="841"/>
      <c r="AS1278" s="842"/>
    </row>
    <row r="1279" spans="1:45">
      <c r="A1279" s="841"/>
      <c r="B1279" s="841"/>
      <c r="C1279" s="841"/>
      <c r="D1279" s="841"/>
      <c r="E1279" s="841"/>
      <c r="F1279" s="841"/>
      <c r="G1279" s="841"/>
      <c r="H1279" s="841"/>
      <c r="I1279" s="841"/>
      <c r="J1279" s="841"/>
      <c r="K1279" s="841"/>
      <c r="L1279" s="841"/>
      <c r="M1279" s="841"/>
      <c r="N1279" s="841"/>
      <c r="O1279" s="841"/>
      <c r="P1279" s="841"/>
      <c r="Q1279" s="841"/>
      <c r="R1279" s="841"/>
      <c r="S1279" s="841"/>
      <c r="T1279" s="841"/>
      <c r="U1279" s="841"/>
      <c r="V1279" s="841"/>
      <c r="W1279" s="841"/>
      <c r="X1279" s="841"/>
      <c r="Y1279" s="841"/>
      <c r="Z1279" s="1226"/>
      <c r="AA1279" s="1226"/>
      <c r="AB1279" s="1226"/>
      <c r="AC1279" s="1226"/>
      <c r="AD1279" s="1226"/>
      <c r="AE1279" s="1226"/>
      <c r="AF1279" s="1226"/>
      <c r="AG1279" s="1226"/>
      <c r="AH1279" s="1226"/>
      <c r="AI1279" s="841"/>
      <c r="AJ1279" s="841"/>
      <c r="AK1279" s="841"/>
      <c r="AL1279" s="841"/>
      <c r="AM1279" s="841"/>
      <c r="AN1279" s="841"/>
      <c r="AO1279" s="841"/>
      <c r="AP1279" s="841"/>
      <c r="AQ1279" s="841"/>
      <c r="AR1279" s="841"/>
      <c r="AS1279" s="842"/>
    </row>
    <row r="1280" spans="1:45">
      <c r="A1280" s="841"/>
      <c r="B1280" s="841"/>
      <c r="C1280" s="841"/>
      <c r="D1280" s="841"/>
      <c r="E1280" s="841"/>
      <c r="F1280" s="841"/>
      <c r="G1280" s="841"/>
      <c r="H1280" s="841"/>
      <c r="I1280" s="841"/>
      <c r="J1280" s="841"/>
      <c r="K1280" s="841"/>
      <c r="L1280" s="841"/>
      <c r="M1280" s="841"/>
      <c r="N1280" s="841"/>
      <c r="O1280" s="841"/>
      <c r="P1280" s="841"/>
      <c r="Q1280" s="841"/>
      <c r="R1280" s="841"/>
      <c r="S1280" s="841"/>
      <c r="T1280" s="841"/>
      <c r="U1280" s="841"/>
      <c r="V1280" s="841"/>
      <c r="W1280" s="841"/>
      <c r="X1280" s="841"/>
      <c r="Y1280" s="841"/>
      <c r="Z1280" s="1226"/>
      <c r="AA1280" s="1226"/>
      <c r="AB1280" s="1226"/>
      <c r="AC1280" s="1226"/>
      <c r="AD1280" s="1226"/>
      <c r="AE1280" s="1226"/>
      <c r="AF1280" s="1226"/>
      <c r="AG1280" s="1226"/>
      <c r="AH1280" s="1226"/>
      <c r="AI1280" s="841"/>
      <c r="AJ1280" s="841"/>
      <c r="AK1280" s="841"/>
      <c r="AL1280" s="841"/>
      <c r="AM1280" s="841"/>
      <c r="AN1280" s="841"/>
      <c r="AO1280" s="841"/>
      <c r="AP1280" s="841"/>
      <c r="AQ1280" s="841"/>
      <c r="AR1280" s="841"/>
      <c r="AS1280" s="842"/>
    </row>
    <row r="1281" spans="1:45">
      <c r="A1281" s="841"/>
      <c r="B1281" s="841"/>
      <c r="C1281" s="841"/>
      <c r="D1281" s="841"/>
      <c r="E1281" s="841"/>
      <c r="F1281" s="841"/>
      <c r="G1281" s="841"/>
      <c r="H1281" s="841"/>
      <c r="I1281" s="841"/>
      <c r="J1281" s="841"/>
      <c r="K1281" s="841"/>
      <c r="L1281" s="841"/>
      <c r="M1281" s="841"/>
      <c r="N1281" s="841"/>
      <c r="O1281" s="841"/>
      <c r="P1281" s="841"/>
      <c r="Q1281" s="841"/>
      <c r="R1281" s="841"/>
      <c r="S1281" s="841"/>
      <c r="T1281" s="841"/>
      <c r="U1281" s="841"/>
      <c r="V1281" s="841"/>
      <c r="W1281" s="841"/>
      <c r="X1281" s="841"/>
      <c r="Y1281" s="841"/>
      <c r="Z1281" s="1226"/>
      <c r="AA1281" s="1226"/>
      <c r="AB1281" s="1226"/>
      <c r="AC1281" s="1226"/>
      <c r="AD1281" s="1226"/>
      <c r="AE1281" s="1226"/>
      <c r="AF1281" s="1226"/>
      <c r="AG1281" s="1226"/>
      <c r="AH1281" s="1226"/>
      <c r="AI1281" s="841"/>
      <c r="AJ1281" s="841"/>
      <c r="AK1281" s="841"/>
      <c r="AL1281" s="841"/>
      <c r="AM1281" s="841"/>
      <c r="AN1281" s="841"/>
      <c r="AO1281" s="841"/>
      <c r="AP1281" s="841"/>
      <c r="AQ1281" s="841"/>
      <c r="AR1281" s="841"/>
      <c r="AS1281" s="842"/>
    </row>
    <row r="1282" spans="1:45">
      <c r="A1282" s="841"/>
      <c r="B1282" s="841"/>
      <c r="C1282" s="841"/>
      <c r="D1282" s="841"/>
      <c r="E1282" s="841"/>
      <c r="F1282" s="841"/>
      <c r="G1282" s="841"/>
      <c r="H1282" s="841"/>
      <c r="I1282" s="841"/>
      <c r="J1282" s="841"/>
      <c r="K1282" s="841"/>
      <c r="L1282" s="841"/>
      <c r="M1282" s="841"/>
      <c r="N1282" s="841"/>
      <c r="O1282" s="841"/>
      <c r="P1282" s="841"/>
      <c r="Q1282" s="841"/>
      <c r="R1282" s="841"/>
      <c r="S1282" s="841"/>
      <c r="T1282" s="841"/>
      <c r="U1282" s="841"/>
      <c r="V1282" s="841"/>
      <c r="W1282" s="841"/>
      <c r="X1282" s="841"/>
      <c r="Y1282" s="841"/>
      <c r="Z1282" s="1226"/>
      <c r="AA1282" s="1226"/>
      <c r="AB1282" s="1226"/>
      <c r="AC1282" s="1226"/>
      <c r="AD1282" s="1226"/>
      <c r="AE1282" s="1226"/>
      <c r="AF1282" s="1226"/>
      <c r="AG1282" s="1226"/>
      <c r="AH1282" s="1226"/>
      <c r="AI1282" s="841"/>
      <c r="AJ1282" s="841"/>
      <c r="AK1282" s="841"/>
      <c r="AL1282" s="841"/>
      <c r="AM1282" s="841"/>
      <c r="AN1282" s="841"/>
      <c r="AO1282" s="841"/>
      <c r="AP1282" s="841"/>
      <c r="AQ1282" s="841"/>
      <c r="AR1282" s="841"/>
      <c r="AS1282" s="842"/>
    </row>
    <row r="1283" spans="1:45">
      <c r="A1283" s="841"/>
      <c r="B1283" s="841"/>
      <c r="C1283" s="841"/>
      <c r="D1283" s="841"/>
      <c r="E1283" s="841"/>
      <c r="F1283" s="841"/>
      <c r="G1283" s="841"/>
      <c r="H1283" s="841"/>
      <c r="I1283" s="841"/>
      <c r="J1283" s="841"/>
      <c r="K1283" s="841"/>
      <c r="L1283" s="841"/>
      <c r="M1283" s="841"/>
      <c r="N1283" s="841"/>
      <c r="O1283" s="841"/>
      <c r="P1283" s="841"/>
      <c r="Q1283" s="841"/>
      <c r="R1283" s="841"/>
      <c r="S1283" s="841"/>
      <c r="T1283" s="841"/>
      <c r="U1283" s="841"/>
      <c r="V1283" s="841"/>
      <c r="W1283" s="841"/>
      <c r="X1283" s="841"/>
      <c r="Y1283" s="841"/>
      <c r="Z1283" s="1226"/>
      <c r="AA1283" s="1226"/>
      <c r="AB1283" s="1226"/>
      <c r="AC1283" s="1226"/>
      <c r="AD1283" s="1226"/>
      <c r="AE1283" s="1226"/>
      <c r="AF1283" s="1226"/>
      <c r="AG1283" s="1226"/>
      <c r="AH1283" s="1226"/>
      <c r="AI1283" s="841"/>
      <c r="AJ1283" s="841"/>
      <c r="AK1283" s="841"/>
      <c r="AL1283" s="841"/>
      <c r="AM1283" s="841"/>
      <c r="AN1283" s="841"/>
      <c r="AO1283" s="841"/>
      <c r="AP1283" s="841"/>
      <c r="AQ1283" s="841"/>
      <c r="AR1283" s="841"/>
      <c r="AS1283" s="842"/>
    </row>
    <row r="1284" spans="1:45">
      <c r="A1284" s="841"/>
      <c r="B1284" s="841"/>
      <c r="C1284" s="841"/>
      <c r="D1284" s="841"/>
      <c r="E1284" s="841"/>
      <c r="F1284" s="841"/>
      <c r="G1284" s="841"/>
      <c r="H1284" s="841"/>
      <c r="I1284" s="841"/>
      <c r="J1284" s="841"/>
      <c r="K1284" s="841"/>
      <c r="L1284" s="841"/>
      <c r="M1284" s="841"/>
      <c r="N1284" s="841"/>
      <c r="O1284" s="841"/>
      <c r="P1284" s="841"/>
      <c r="Q1284" s="841"/>
      <c r="R1284" s="841"/>
      <c r="S1284" s="841"/>
      <c r="T1284" s="841"/>
      <c r="U1284" s="841"/>
      <c r="V1284" s="841"/>
      <c r="W1284" s="841"/>
      <c r="X1284" s="841"/>
      <c r="Y1284" s="841"/>
      <c r="Z1284" s="1226"/>
      <c r="AA1284" s="1226"/>
      <c r="AB1284" s="1226"/>
      <c r="AC1284" s="1226"/>
      <c r="AD1284" s="1226"/>
      <c r="AE1284" s="1226"/>
      <c r="AF1284" s="1226"/>
      <c r="AG1284" s="1226"/>
      <c r="AH1284" s="1226"/>
      <c r="AI1284" s="841"/>
      <c r="AJ1284" s="841"/>
      <c r="AK1284" s="841"/>
      <c r="AL1284" s="841"/>
      <c r="AM1284" s="841"/>
      <c r="AN1284" s="841"/>
      <c r="AO1284" s="841"/>
      <c r="AP1284" s="841"/>
      <c r="AQ1284" s="841"/>
      <c r="AR1284" s="841"/>
      <c r="AS1284" s="842"/>
    </row>
    <row r="1285" spans="1:45">
      <c r="A1285" s="841"/>
      <c r="B1285" s="841"/>
      <c r="C1285" s="841"/>
      <c r="D1285" s="841"/>
      <c r="E1285" s="841"/>
      <c r="F1285" s="841"/>
      <c r="G1285" s="841"/>
      <c r="H1285" s="841"/>
      <c r="I1285" s="841"/>
      <c r="J1285" s="841"/>
      <c r="K1285" s="841"/>
      <c r="L1285" s="841"/>
      <c r="M1285" s="841"/>
      <c r="N1285" s="841"/>
      <c r="O1285" s="841"/>
      <c r="P1285" s="841"/>
      <c r="Q1285" s="841"/>
      <c r="R1285" s="841"/>
      <c r="S1285" s="841"/>
      <c r="T1285" s="841"/>
      <c r="U1285" s="841"/>
      <c r="V1285" s="841"/>
      <c r="W1285" s="841"/>
      <c r="X1285" s="841"/>
      <c r="Y1285" s="841"/>
      <c r="Z1285" s="1226"/>
      <c r="AA1285" s="1226"/>
      <c r="AB1285" s="1226"/>
      <c r="AC1285" s="1226"/>
      <c r="AD1285" s="1226"/>
      <c r="AE1285" s="1226"/>
      <c r="AF1285" s="1226"/>
      <c r="AG1285" s="1226"/>
      <c r="AH1285" s="1226"/>
      <c r="AI1285" s="841"/>
      <c r="AJ1285" s="841"/>
      <c r="AK1285" s="841"/>
      <c r="AL1285" s="841"/>
      <c r="AM1285" s="841"/>
      <c r="AN1285" s="841"/>
      <c r="AO1285" s="841"/>
      <c r="AP1285" s="841"/>
      <c r="AQ1285" s="841"/>
      <c r="AR1285" s="841"/>
      <c r="AS1285" s="842"/>
    </row>
    <row r="1286" spans="1:45">
      <c r="A1286" s="841"/>
      <c r="B1286" s="841"/>
      <c r="C1286" s="841"/>
      <c r="D1286" s="841"/>
      <c r="E1286" s="841"/>
      <c r="F1286" s="841"/>
      <c r="G1286" s="841"/>
      <c r="H1286" s="841"/>
      <c r="I1286" s="841"/>
      <c r="J1286" s="841"/>
      <c r="K1286" s="841"/>
      <c r="L1286" s="841"/>
      <c r="M1286" s="841"/>
      <c r="N1286" s="841"/>
      <c r="O1286" s="841"/>
      <c r="P1286" s="841"/>
      <c r="Q1286" s="841"/>
      <c r="R1286" s="841"/>
      <c r="S1286" s="841"/>
      <c r="T1286" s="841"/>
      <c r="U1286" s="841"/>
      <c r="V1286" s="841"/>
      <c r="W1286" s="841"/>
      <c r="X1286" s="841"/>
      <c r="Y1286" s="841"/>
      <c r="Z1286" s="1226"/>
      <c r="AA1286" s="1226"/>
      <c r="AB1286" s="1226"/>
      <c r="AC1286" s="1226"/>
      <c r="AD1286" s="1226"/>
      <c r="AE1286" s="1226"/>
      <c r="AF1286" s="1226"/>
      <c r="AG1286" s="1226"/>
      <c r="AH1286" s="1226"/>
      <c r="AI1286" s="841"/>
      <c r="AJ1286" s="841"/>
      <c r="AK1286" s="841"/>
      <c r="AL1286" s="841"/>
      <c r="AM1286" s="841"/>
      <c r="AN1286" s="841"/>
      <c r="AO1286" s="841"/>
      <c r="AP1286" s="841"/>
      <c r="AQ1286" s="841"/>
      <c r="AR1286" s="841"/>
      <c r="AS1286" s="842"/>
    </row>
    <row r="1287" spans="1:45">
      <c r="A1287" s="841"/>
      <c r="B1287" s="841"/>
      <c r="C1287" s="841"/>
      <c r="D1287" s="841"/>
      <c r="E1287" s="841"/>
      <c r="F1287" s="841"/>
      <c r="G1287" s="841"/>
      <c r="H1287" s="841"/>
      <c r="I1287" s="841"/>
      <c r="J1287" s="841"/>
      <c r="K1287" s="841"/>
      <c r="L1287" s="841"/>
      <c r="M1287" s="841"/>
      <c r="N1287" s="841"/>
      <c r="O1287" s="841"/>
      <c r="P1287" s="841"/>
      <c r="Q1287" s="841"/>
      <c r="R1287" s="841"/>
      <c r="S1287" s="841"/>
      <c r="T1287" s="841"/>
      <c r="U1287" s="841"/>
      <c r="V1287" s="841"/>
      <c r="W1287" s="841"/>
      <c r="X1287" s="841"/>
      <c r="Y1287" s="841"/>
      <c r="Z1287" s="1226"/>
      <c r="AA1287" s="1226"/>
      <c r="AB1287" s="1226"/>
      <c r="AC1287" s="1226"/>
      <c r="AD1287" s="1226"/>
      <c r="AE1287" s="1226"/>
      <c r="AF1287" s="1226"/>
      <c r="AG1287" s="1226"/>
      <c r="AH1287" s="1226"/>
      <c r="AI1287" s="841"/>
      <c r="AJ1287" s="841"/>
      <c r="AK1287" s="841"/>
      <c r="AL1287" s="841"/>
      <c r="AM1287" s="841"/>
      <c r="AN1287" s="841"/>
      <c r="AO1287" s="841"/>
      <c r="AP1287" s="841"/>
      <c r="AQ1287" s="841"/>
      <c r="AR1287" s="841"/>
      <c r="AS1287" s="842"/>
    </row>
    <row r="1288" spans="1:45">
      <c r="A1288" s="841"/>
      <c r="B1288" s="841"/>
      <c r="C1288" s="841"/>
      <c r="D1288" s="841"/>
      <c r="E1288" s="841"/>
      <c r="F1288" s="841"/>
      <c r="G1288" s="841"/>
      <c r="H1288" s="841"/>
      <c r="I1288" s="841"/>
      <c r="J1288" s="841"/>
      <c r="K1288" s="841"/>
      <c r="L1288" s="841"/>
      <c r="M1288" s="841"/>
      <c r="N1288" s="841"/>
      <c r="O1288" s="841"/>
      <c r="P1288" s="841"/>
      <c r="Q1288" s="841"/>
      <c r="R1288" s="841"/>
      <c r="S1288" s="841"/>
      <c r="T1288" s="841"/>
      <c r="U1288" s="841"/>
      <c r="V1288" s="841"/>
      <c r="W1288" s="841"/>
      <c r="X1288" s="841"/>
      <c r="Y1288" s="841"/>
      <c r="Z1288" s="1226"/>
      <c r="AA1288" s="1226"/>
      <c r="AB1288" s="1226"/>
      <c r="AC1288" s="1226"/>
      <c r="AD1288" s="1226"/>
      <c r="AE1288" s="1226"/>
      <c r="AF1288" s="1226"/>
      <c r="AG1288" s="1226"/>
      <c r="AH1288" s="1226"/>
      <c r="AI1288" s="841"/>
      <c r="AJ1288" s="841"/>
      <c r="AK1288" s="841"/>
      <c r="AL1288" s="841"/>
      <c r="AM1288" s="841"/>
      <c r="AN1288" s="841"/>
      <c r="AO1288" s="841"/>
      <c r="AP1288" s="841"/>
      <c r="AQ1288" s="841"/>
      <c r="AR1288" s="841"/>
      <c r="AS1288" s="842"/>
    </row>
    <row r="1289" spans="1:45">
      <c r="A1289" s="841"/>
      <c r="B1289" s="841"/>
      <c r="C1289" s="841"/>
      <c r="D1289" s="841"/>
      <c r="E1289" s="841"/>
      <c r="F1289" s="841"/>
      <c r="G1289" s="841"/>
      <c r="H1289" s="841"/>
      <c r="I1289" s="841"/>
      <c r="J1289" s="841"/>
      <c r="K1289" s="841"/>
      <c r="L1289" s="841"/>
      <c r="M1289" s="841"/>
      <c r="N1289" s="841"/>
      <c r="O1289" s="841"/>
      <c r="P1289" s="841"/>
      <c r="Q1289" s="841"/>
      <c r="R1289" s="841"/>
      <c r="S1289" s="841"/>
      <c r="T1289" s="841"/>
      <c r="U1289" s="841"/>
      <c r="V1289" s="841"/>
      <c r="W1289" s="841"/>
      <c r="X1289" s="841"/>
      <c r="Y1289" s="841"/>
      <c r="Z1289" s="1226"/>
      <c r="AA1289" s="1226"/>
      <c r="AB1289" s="1226"/>
      <c r="AC1289" s="1226"/>
      <c r="AD1289" s="1226"/>
      <c r="AE1289" s="1226"/>
      <c r="AF1289" s="1226"/>
      <c r="AG1289" s="1226"/>
      <c r="AH1289" s="1226"/>
      <c r="AI1289" s="841"/>
      <c r="AJ1289" s="841"/>
      <c r="AK1289" s="841"/>
      <c r="AL1289" s="841"/>
      <c r="AM1289" s="841"/>
      <c r="AN1289" s="841"/>
      <c r="AO1289" s="841"/>
      <c r="AP1289" s="841"/>
      <c r="AQ1289" s="841"/>
      <c r="AR1289" s="841"/>
      <c r="AS1289" s="842"/>
    </row>
    <row r="1290" spans="1:45">
      <c r="A1290" s="841"/>
      <c r="B1290" s="841"/>
      <c r="C1290" s="841"/>
      <c r="D1290" s="841"/>
      <c r="E1290" s="841"/>
      <c r="F1290" s="841"/>
      <c r="G1290" s="841"/>
      <c r="H1290" s="841"/>
      <c r="I1290" s="841"/>
      <c r="J1290" s="841"/>
      <c r="K1290" s="841"/>
      <c r="L1290" s="841"/>
      <c r="M1290" s="841"/>
      <c r="N1290" s="841"/>
      <c r="O1290" s="841"/>
      <c r="P1290" s="841"/>
      <c r="Q1290" s="841"/>
      <c r="R1290" s="841"/>
      <c r="S1290" s="841"/>
      <c r="T1290" s="841"/>
      <c r="U1290" s="841"/>
      <c r="V1290" s="841"/>
      <c r="W1290" s="841"/>
      <c r="X1290" s="841"/>
      <c r="Y1290" s="841"/>
      <c r="Z1290" s="1226"/>
      <c r="AA1290" s="1226"/>
      <c r="AB1290" s="1226"/>
      <c r="AC1290" s="1226"/>
      <c r="AD1290" s="1226"/>
      <c r="AE1290" s="1226"/>
      <c r="AF1290" s="1226"/>
      <c r="AG1290" s="1226"/>
      <c r="AH1290" s="1226"/>
      <c r="AI1290" s="841"/>
      <c r="AJ1290" s="841"/>
      <c r="AK1290" s="841"/>
      <c r="AL1290" s="841"/>
      <c r="AM1290" s="841"/>
      <c r="AN1290" s="841"/>
      <c r="AO1290" s="841"/>
      <c r="AP1290" s="841"/>
      <c r="AQ1290" s="841"/>
      <c r="AR1290" s="841"/>
      <c r="AS1290" s="842"/>
    </row>
    <row r="1291" spans="1:45">
      <c r="A1291" s="841"/>
      <c r="B1291" s="841"/>
      <c r="C1291" s="841"/>
      <c r="D1291" s="841"/>
      <c r="E1291" s="841"/>
      <c r="F1291" s="841"/>
      <c r="G1291" s="841"/>
      <c r="H1291" s="841"/>
      <c r="I1291" s="841"/>
      <c r="J1291" s="841"/>
      <c r="K1291" s="841"/>
      <c r="L1291" s="841"/>
      <c r="M1291" s="841"/>
      <c r="N1291" s="841"/>
      <c r="O1291" s="841"/>
      <c r="P1291" s="841"/>
      <c r="Q1291" s="841"/>
      <c r="R1291" s="841"/>
      <c r="S1291" s="841"/>
      <c r="T1291" s="841"/>
      <c r="U1291" s="841"/>
      <c r="V1291" s="841"/>
      <c r="W1291" s="841"/>
      <c r="X1291" s="841"/>
      <c r="Y1291" s="841"/>
      <c r="Z1291" s="1226"/>
      <c r="AA1291" s="1226"/>
      <c r="AB1291" s="1226"/>
      <c r="AC1291" s="1226"/>
      <c r="AD1291" s="1226"/>
      <c r="AE1291" s="1226"/>
      <c r="AF1291" s="1226"/>
      <c r="AG1291" s="1226"/>
      <c r="AH1291" s="1226"/>
      <c r="AI1291" s="841"/>
      <c r="AJ1291" s="841"/>
      <c r="AK1291" s="841"/>
      <c r="AL1291" s="841"/>
      <c r="AM1291" s="841"/>
      <c r="AN1291" s="841"/>
      <c r="AO1291" s="841"/>
      <c r="AP1291" s="841"/>
      <c r="AQ1291" s="841"/>
      <c r="AR1291" s="841"/>
      <c r="AS1291" s="842"/>
    </row>
    <row r="1292" spans="1:45">
      <c r="A1292" s="841"/>
      <c r="B1292" s="841"/>
      <c r="C1292" s="841"/>
      <c r="D1292" s="841"/>
      <c r="E1292" s="841"/>
      <c r="F1292" s="841"/>
      <c r="G1292" s="841"/>
      <c r="H1292" s="841"/>
      <c r="I1292" s="841"/>
      <c r="J1292" s="841"/>
      <c r="K1292" s="841"/>
      <c r="L1292" s="841"/>
      <c r="M1292" s="841"/>
      <c r="N1292" s="841"/>
      <c r="O1292" s="841"/>
      <c r="P1292" s="841"/>
      <c r="Q1292" s="841"/>
      <c r="R1292" s="841"/>
      <c r="S1292" s="841"/>
      <c r="T1292" s="841"/>
      <c r="U1292" s="841"/>
      <c r="V1292" s="841"/>
      <c r="W1292" s="841"/>
      <c r="X1292" s="841"/>
      <c r="Y1292" s="841"/>
      <c r="Z1292" s="1226"/>
      <c r="AA1292" s="1226"/>
      <c r="AB1292" s="1226"/>
      <c r="AC1292" s="1226"/>
      <c r="AD1292" s="1226"/>
      <c r="AE1292" s="1226"/>
      <c r="AF1292" s="1226"/>
      <c r="AG1292" s="1226"/>
      <c r="AH1292" s="1226"/>
      <c r="AI1292" s="841"/>
      <c r="AJ1292" s="841"/>
      <c r="AK1292" s="841"/>
      <c r="AL1292" s="841"/>
      <c r="AM1292" s="841"/>
      <c r="AN1292" s="841"/>
      <c r="AO1292" s="841"/>
      <c r="AP1292" s="841"/>
      <c r="AQ1292" s="841"/>
      <c r="AR1292" s="841"/>
      <c r="AS1292" s="842"/>
    </row>
    <row r="1293" spans="1:45">
      <c r="A1293" s="841"/>
      <c r="B1293" s="841"/>
      <c r="C1293" s="841"/>
      <c r="D1293" s="841"/>
      <c r="E1293" s="841"/>
      <c r="F1293" s="841"/>
      <c r="G1293" s="841"/>
      <c r="H1293" s="841"/>
      <c r="I1293" s="841"/>
      <c r="J1293" s="841"/>
      <c r="K1293" s="841"/>
      <c r="L1293" s="841"/>
      <c r="M1293" s="841"/>
      <c r="N1293" s="841"/>
      <c r="O1293" s="841"/>
      <c r="P1293" s="841"/>
      <c r="Q1293" s="841"/>
      <c r="R1293" s="841"/>
      <c r="S1293" s="841"/>
      <c r="T1293" s="841"/>
      <c r="U1293" s="841"/>
      <c r="V1293" s="841"/>
      <c r="W1293" s="841"/>
      <c r="X1293" s="841"/>
      <c r="Y1293" s="841"/>
      <c r="Z1293" s="1226"/>
      <c r="AA1293" s="1226"/>
      <c r="AB1293" s="1226"/>
      <c r="AC1293" s="1226"/>
      <c r="AD1293" s="1226"/>
      <c r="AE1293" s="1226"/>
      <c r="AF1293" s="1226"/>
      <c r="AG1293" s="1226"/>
      <c r="AH1293" s="1226"/>
      <c r="AI1293" s="841"/>
      <c r="AJ1293" s="841"/>
      <c r="AK1293" s="841"/>
      <c r="AL1293" s="841"/>
      <c r="AM1293" s="841"/>
      <c r="AN1293" s="841"/>
      <c r="AO1293" s="841"/>
      <c r="AP1293" s="841"/>
      <c r="AQ1293" s="841"/>
      <c r="AR1293" s="841"/>
      <c r="AS1293" s="842"/>
    </row>
    <row r="1294" spans="1:45">
      <c r="A1294" s="841"/>
      <c r="B1294" s="841"/>
      <c r="C1294" s="841"/>
      <c r="D1294" s="841"/>
      <c r="E1294" s="841"/>
      <c r="F1294" s="841"/>
      <c r="G1294" s="841"/>
      <c r="H1294" s="841"/>
      <c r="I1294" s="841"/>
      <c r="J1294" s="841"/>
      <c r="K1294" s="841"/>
      <c r="L1294" s="841"/>
      <c r="M1294" s="841"/>
      <c r="N1294" s="841"/>
      <c r="O1294" s="841"/>
      <c r="P1294" s="841"/>
      <c r="Q1294" s="841"/>
      <c r="R1294" s="841"/>
      <c r="S1294" s="841"/>
      <c r="T1294" s="841"/>
      <c r="U1294" s="841"/>
      <c r="V1294" s="841"/>
      <c r="W1294" s="841"/>
      <c r="X1294" s="841"/>
      <c r="Y1294" s="841"/>
      <c r="Z1294" s="1226"/>
      <c r="AA1294" s="1226"/>
      <c r="AB1294" s="1226"/>
      <c r="AC1294" s="1226"/>
      <c r="AD1294" s="1226"/>
      <c r="AE1294" s="1226"/>
      <c r="AF1294" s="1226"/>
      <c r="AG1294" s="1226"/>
      <c r="AH1294" s="1226"/>
      <c r="AI1294" s="841"/>
      <c r="AJ1294" s="841"/>
      <c r="AK1294" s="841"/>
      <c r="AL1294" s="841"/>
      <c r="AM1294" s="841"/>
      <c r="AN1294" s="841"/>
      <c r="AO1294" s="841"/>
      <c r="AP1294" s="841"/>
      <c r="AQ1294" s="841"/>
      <c r="AR1294" s="841"/>
      <c r="AS1294" s="842"/>
    </row>
    <row r="1295" spans="1:45">
      <c r="A1295" s="841"/>
      <c r="B1295" s="841"/>
      <c r="C1295" s="841"/>
      <c r="D1295" s="841"/>
      <c r="E1295" s="841"/>
      <c r="F1295" s="841"/>
      <c r="G1295" s="841"/>
      <c r="H1295" s="841"/>
      <c r="I1295" s="841"/>
      <c r="J1295" s="841"/>
      <c r="K1295" s="841"/>
      <c r="L1295" s="841"/>
      <c r="M1295" s="841"/>
      <c r="N1295" s="841"/>
      <c r="O1295" s="841"/>
      <c r="P1295" s="841"/>
      <c r="Q1295" s="841"/>
      <c r="R1295" s="841"/>
      <c r="S1295" s="841"/>
      <c r="T1295" s="841"/>
      <c r="U1295" s="841"/>
      <c r="V1295" s="841"/>
      <c r="W1295" s="841"/>
      <c r="X1295" s="841"/>
      <c r="Y1295" s="841"/>
      <c r="Z1295" s="1226"/>
      <c r="AA1295" s="1226"/>
      <c r="AB1295" s="1226"/>
      <c r="AC1295" s="1226"/>
      <c r="AD1295" s="1226"/>
      <c r="AE1295" s="1226"/>
      <c r="AF1295" s="1226"/>
      <c r="AG1295" s="1226"/>
      <c r="AH1295" s="1226"/>
      <c r="AI1295" s="841"/>
      <c r="AJ1295" s="841"/>
      <c r="AK1295" s="841"/>
      <c r="AL1295" s="841"/>
      <c r="AM1295" s="841"/>
      <c r="AN1295" s="841"/>
      <c r="AO1295" s="841"/>
      <c r="AP1295" s="841"/>
      <c r="AQ1295" s="841"/>
      <c r="AR1295" s="841"/>
      <c r="AS1295" s="842"/>
    </row>
    <row r="1296" spans="1:45">
      <c r="A1296" s="841"/>
      <c r="B1296" s="841"/>
      <c r="C1296" s="841"/>
      <c r="D1296" s="841"/>
      <c r="E1296" s="841"/>
      <c r="F1296" s="841"/>
      <c r="G1296" s="841"/>
      <c r="H1296" s="841"/>
      <c r="I1296" s="841"/>
      <c r="J1296" s="841"/>
      <c r="K1296" s="841"/>
      <c r="L1296" s="841"/>
      <c r="M1296" s="841"/>
      <c r="N1296" s="841"/>
      <c r="O1296" s="841"/>
      <c r="P1296" s="841"/>
      <c r="Q1296" s="841"/>
      <c r="R1296" s="841"/>
      <c r="S1296" s="841"/>
      <c r="T1296" s="841"/>
      <c r="U1296" s="841"/>
      <c r="V1296" s="841"/>
      <c r="W1296" s="841"/>
      <c r="X1296" s="841"/>
      <c r="Y1296" s="841"/>
      <c r="Z1296" s="1226"/>
      <c r="AA1296" s="1226"/>
      <c r="AB1296" s="1226"/>
      <c r="AC1296" s="1226"/>
      <c r="AD1296" s="1226"/>
      <c r="AE1296" s="1226"/>
      <c r="AF1296" s="1226"/>
      <c r="AG1296" s="1226"/>
      <c r="AH1296" s="1226"/>
      <c r="AI1296" s="841"/>
      <c r="AJ1296" s="841"/>
      <c r="AK1296" s="841"/>
      <c r="AL1296" s="841"/>
      <c r="AM1296" s="841"/>
      <c r="AN1296" s="841"/>
      <c r="AO1296" s="841"/>
      <c r="AP1296" s="841"/>
      <c r="AQ1296" s="841"/>
      <c r="AR1296" s="841"/>
      <c r="AS1296" s="842"/>
    </row>
    <row r="1297" spans="1:45">
      <c r="A1297" s="841"/>
      <c r="B1297" s="841"/>
      <c r="C1297" s="841"/>
      <c r="D1297" s="841"/>
      <c r="E1297" s="841"/>
      <c r="F1297" s="841"/>
      <c r="G1297" s="841"/>
      <c r="H1297" s="841"/>
      <c r="I1297" s="841"/>
      <c r="J1297" s="841"/>
      <c r="K1297" s="841"/>
      <c r="L1297" s="841"/>
      <c r="M1297" s="841"/>
      <c r="N1297" s="841"/>
      <c r="O1297" s="841"/>
      <c r="P1297" s="841"/>
      <c r="Q1297" s="841"/>
      <c r="R1297" s="841"/>
      <c r="S1297" s="841"/>
      <c r="T1297" s="841"/>
      <c r="U1297" s="841"/>
      <c r="V1297" s="841"/>
      <c r="W1297" s="841"/>
      <c r="X1297" s="841"/>
      <c r="Y1297" s="841"/>
      <c r="Z1297" s="1226"/>
      <c r="AA1297" s="1226"/>
      <c r="AB1297" s="1226"/>
      <c r="AC1297" s="1226"/>
      <c r="AD1297" s="1226"/>
      <c r="AE1297" s="1226"/>
      <c r="AF1297" s="1226"/>
      <c r="AG1297" s="1226"/>
      <c r="AH1297" s="1226"/>
      <c r="AI1297" s="841"/>
      <c r="AJ1297" s="841"/>
      <c r="AK1297" s="841"/>
      <c r="AL1297" s="841"/>
      <c r="AM1297" s="841"/>
      <c r="AN1297" s="841"/>
      <c r="AO1297" s="841"/>
      <c r="AP1297" s="841"/>
      <c r="AQ1297" s="841"/>
      <c r="AR1297" s="841"/>
      <c r="AS1297" s="842"/>
    </row>
    <row r="1298" spans="1:45">
      <c r="A1298" s="841"/>
      <c r="B1298" s="841"/>
      <c r="C1298" s="841"/>
      <c r="D1298" s="841"/>
      <c r="E1298" s="841"/>
      <c r="F1298" s="841"/>
      <c r="G1298" s="841"/>
      <c r="H1298" s="841"/>
      <c r="I1298" s="841"/>
      <c r="J1298" s="841"/>
      <c r="K1298" s="841"/>
      <c r="L1298" s="841"/>
      <c r="M1298" s="841"/>
      <c r="N1298" s="841"/>
      <c r="O1298" s="841"/>
      <c r="P1298" s="841"/>
      <c r="Q1298" s="841"/>
      <c r="R1298" s="841"/>
      <c r="S1298" s="841"/>
      <c r="T1298" s="841"/>
      <c r="U1298" s="841"/>
      <c r="V1298" s="841"/>
      <c r="W1298" s="841"/>
      <c r="X1298" s="841"/>
      <c r="Y1298" s="841"/>
      <c r="Z1298" s="1226"/>
      <c r="AA1298" s="1226"/>
      <c r="AB1298" s="1226"/>
      <c r="AC1298" s="1226"/>
      <c r="AD1298" s="1226"/>
      <c r="AE1298" s="1226"/>
      <c r="AF1298" s="1226"/>
      <c r="AG1298" s="1226"/>
      <c r="AH1298" s="1226"/>
      <c r="AI1298" s="841"/>
      <c r="AJ1298" s="841"/>
      <c r="AK1298" s="841"/>
      <c r="AL1298" s="841"/>
      <c r="AM1298" s="841"/>
      <c r="AN1298" s="841"/>
      <c r="AO1298" s="841"/>
      <c r="AP1298" s="841"/>
      <c r="AQ1298" s="841"/>
      <c r="AR1298" s="841"/>
      <c r="AS1298" s="842"/>
    </row>
    <row r="1299" spans="1:45">
      <c r="A1299" s="841"/>
      <c r="B1299" s="841"/>
      <c r="C1299" s="841"/>
      <c r="D1299" s="841"/>
      <c r="E1299" s="841"/>
      <c r="F1299" s="841"/>
      <c r="G1299" s="841"/>
      <c r="H1299" s="841"/>
      <c r="I1299" s="841"/>
      <c r="J1299" s="841"/>
      <c r="K1299" s="841"/>
      <c r="L1299" s="841"/>
      <c r="M1299" s="841"/>
      <c r="N1299" s="841"/>
      <c r="O1299" s="841"/>
      <c r="P1299" s="841"/>
      <c r="Q1299" s="841"/>
      <c r="R1299" s="841"/>
      <c r="S1299" s="841"/>
      <c r="T1299" s="841"/>
      <c r="U1299" s="841"/>
      <c r="V1299" s="841"/>
      <c r="W1299" s="841"/>
      <c r="X1299" s="841"/>
      <c r="Y1299" s="841"/>
      <c r="Z1299" s="1226"/>
      <c r="AA1299" s="1226"/>
      <c r="AB1299" s="1226"/>
      <c r="AC1299" s="1226"/>
      <c r="AD1299" s="1226"/>
      <c r="AE1299" s="1226"/>
      <c r="AF1299" s="1226"/>
      <c r="AG1299" s="1226"/>
      <c r="AH1299" s="1226"/>
      <c r="AI1299" s="841"/>
      <c r="AJ1299" s="841"/>
      <c r="AK1299" s="841"/>
      <c r="AL1299" s="841"/>
      <c r="AM1299" s="841"/>
      <c r="AN1299" s="841"/>
      <c r="AO1299" s="841"/>
      <c r="AP1299" s="841"/>
      <c r="AQ1299" s="841"/>
      <c r="AR1299" s="841"/>
      <c r="AS1299" s="842"/>
    </row>
    <row r="1300" spans="1:45">
      <c r="A1300" s="841"/>
      <c r="B1300" s="841"/>
      <c r="C1300" s="841"/>
      <c r="D1300" s="841"/>
      <c r="E1300" s="841"/>
      <c r="F1300" s="841"/>
      <c r="G1300" s="841"/>
      <c r="H1300" s="841"/>
      <c r="I1300" s="841"/>
      <c r="J1300" s="841"/>
      <c r="K1300" s="841"/>
      <c r="L1300" s="841"/>
      <c r="M1300" s="841"/>
      <c r="N1300" s="841"/>
      <c r="O1300" s="841"/>
      <c r="P1300" s="841"/>
      <c r="Q1300" s="841"/>
      <c r="R1300" s="841"/>
      <c r="S1300" s="841"/>
      <c r="T1300" s="841"/>
      <c r="U1300" s="841"/>
      <c r="V1300" s="841"/>
      <c r="W1300" s="841"/>
      <c r="X1300" s="841"/>
      <c r="Y1300" s="841"/>
      <c r="Z1300" s="1226"/>
      <c r="AA1300" s="1226"/>
      <c r="AB1300" s="1226"/>
      <c r="AC1300" s="1226"/>
      <c r="AD1300" s="1226"/>
      <c r="AE1300" s="1226"/>
      <c r="AF1300" s="1226"/>
      <c r="AG1300" s="1226"/>
      <c r="AH1300" s="1226"/>
      <c r="AI1300" s="841"/>
      <c r="AJ1300" s="841"/>
      <c r="AK1300" s="841"/>
      <c r="AL1300" s="841"/>
      <c r="AM1300" s="841"/>
      <c r="AN1300" s="841"/>
      <c r="AO1300" s="841"/>
      <c r="AP1300" s="841"/>
      <c r="AQ1300" s="841"/>
      <c r="AR1300" s="841"/>
      <c r="AS1300" s="842"/>
    </row>
    <row r="1301" spans="1:45">
      <c r="A1301" s="841"/>
      <c r="B1301" s="841"/>
      <c r="C1301" s="841"/>
      <c r="D1301" s="841"/>
      <c r="E1301" s="841"/>
      <c r="F1301" s="841"/>
      <c r="G1301" s="841"/>
      <c r="H1301" s="841"/>
      <c r="I1301" s="841"/>
      <c r="J1301" s="841"/>
      <c r="K1301" s="841"/>
      <c r="L1301" s="841"/>
      <c r="M1301" s="841"/>
      <c r="N1301" s="841"/>
      <c r="O1301" s="841"/>
      <c r="P1301" s="841"/>
      <c r="Q1301" s="841"/>
      <c r="R1301" s="841"/>
      <c r="S1301" s="841"/>
      <c r="T1301" s="841"/>
      <c r="U1301" s="841"/>
      <c r="V1301" s="841"/>
      <c r="W1301" s="841"/>
      <c r="X1301" s="841"/>
      <c r="Y1301" s="841"/>
      <c r="Z1301" s="1226"/>
      <c r="AA1301" s="1226"/>
      <c r="AB1301" s="1226"/>
      <c r="AC1301" s="1226"/>
      <c r="AD1301" s="1226"/>
      <c r="AE1301" s="1226"/>
      <c r="AF1301" s="1226"/>
      <c r="AG1301" s="1226"/>
      <c r="AH1301" s="1226"/>
      <c r="AI1301" s="841"/>
      <c r="AJ1301" s="841"/>
      <c r="AK1301" s="841"/>
      <c r="AL1301" s="841"/>
      <c r="AM1301" s="841"/>
      <c r="AN1301" s="841"/>
      <c r="AO1301" s="841"/>
      <c r="AP1301" s="841"/>
      <c r="AQ1301" s="841"/>
      <c r="AR1301" s="841"/>
      <c r="AS1301" s="842"/>
    </row>
    <row r="1302" spans="1:45">
      <c r="A1302" s="841"/>
      <c r="B1302" s="841"/>
      <c r="C1302" s="841"/>
      <c r="D1302" s="841"/>
      <c r="E1302" s="841"/>
      <c r="F1302" s="841"/>
      <c r="G1302" s="841"/>
      <c r="H1302" s="841"/>
      <c r="I1302" s="841"/>
      <c r="J1302" s="841"/>
      <c r="K1302" s="841"/>
      <c r="L1302" s="841"/>
      <c r="M1302" s="841"/>
      <c r="N1302" s="841"/>
      <c r="O1302" s="841"/>
      <c r="P1302" s="841"/>
      <c r="Q1302" s="841"/>
      <c r="R1302" s="841"/>
      <c r="S1302" s="841"/>
      <c r="T1302" s="841"/>
      <c r="U1302" s="841"/>
      <c r="V1302" s="841"/>
      <c r="W1302" s="841"/>
      <c r="X1302" s="841"/>
      <c r="Y1302" s="841"/>
      <c r="Z1302" s="1226"/>
      <c r="AA1302" s="1226"/>
      <c r="AB1302" s="1226"/>
      <c r="AC1302" s="1226"/>
      <c r="AD1302" s="1226"/>
      <c r="AE1302" s="1226"/>
      <c r="AF1302" s="1226"/>
      <c r="AG1302" s="1226"/>
      <c r="AH1302" s="1226"/>
      <c r="AI1302" s="841"/>
      <c r="AJ1302" s="841"/>
      <c r="AK1302" s="841"/>
      <c r="AL1302" s="841"/>
      <c r="AM1302" s="841"/>
      <c r="AN1302" s="841"/>
      <c r="AO1302" s="841"/>
      <c r="AP1302" s="841"/>
      <c r="AQ1302" s="841"/>
      <c r="AR1302" s="841"/>
      <c r="AS1302" s="842"/>
    </row>
    <row r="1303" spans="1:45">
      <c r="A1303" s="841"/>
      <c r="B1303" s="841"/>
      <c r="C1303" s="841"/>
      <c r="D1303" s="841"/>
      <c r="E1303" s="841"/>
      <c r="F1303" s="841"/>
      <c r="G1303" s="841"/>
      <c r="H1303" s="841"/>
      <c r="I1303" s="841"/>
      <c r="J1303" s="841"/>
      <c r="K1303" s="841"/>
      <c r="L1303" s="841"/>
      <c r="M1303" s="841"/>
      <c r="N1303" s="841"/>
      <c r="O1303" s="841"/>
      <c r="P1303" s="841"/>
      <c r="Q1303" s="841"/>
      <c r="R1303" s="841"/>
      <c r="S1303" s="841"/>
      <c r="T1303" s="841"/>
      <c r="U1303" s="841"/>
      <c r="V1303" s="841"/>
      <c r="W1303" s="841"/>
      <c r="X1303" s="841"/>
      <c r="Y1303" s="841"/>
      <c r="Z1303" s="1226"/>
      <c r="AA1303" s="1226"/>
      <c r="AB1303" s="1226"/>
      <c r="AC1303" s="1226"/>
      <c r="AD1303" s="1226"/>
      <c r="AE1303" s="1226"/>
      <c r="AF1303" s="1226"/>
      <c r="AG1303" s="1226"/>
      <c r="AH1303" s="1226"/>
      <c r="AI1303" s="841"/>
      <c r="AJ1303" s="841"/>
      <c r="AK1303" s="841"/>
      <c r="AL1303" s="841"/>
      <c r="AM1303" s="841"/>
      <c r="AN1303" s="841"/>
      <c r="AO1303" s="841"/>
      <c r="AP1303" s="841"/>
      <c r="AQ1303" s="841"/>
      <c r="AR1303" s="841"/>
      <c r="AS1303" s="842"/>
    </row>
    <row r="1304" spans="1:45">
      <c r="A1304" s="841"/>
      <c r="B1304" s="841"/>
      <c r="C1304" s="841"/>
      <c r="D1304" s="841"/>
      <c r="E1304" s="841"/>
      <c r="F1304" s="841"/>
      <c r="G1304" s="841"/>
      <c r="H1304" s="841"/>
      <c r="I1304" s="841"/>
      <c r="J1304" s="841"/>
      <c r="K1304" s="841"/>
      <c r="L1304" s="841"/>
      <c r="M1304" s="841"/>
      <c r="N1304" s="841"/>
      <c r="O1304" s="841"/>
      <c r="P1304" s="841"/>
      <c r="Q1304" s="841"/>
      <c r="R1304" s="841"/>
      <c r="S1304" s="841"/>
      <c r="T1304" s="841"/>
      <c r="U1304" s="841"/>
      <c r="V1304" s="841"/>
      <c r="W1304" s="841"/>
      <c r="X1304" s="841"/>
      <c r="Y1304" s="841"/>
      <c r="Z1304" s="1226"/>
      <c r="AA1304" s="1226"/>
      <c r="AB1304" s="1226"/>
      <c r="AC1304" s="1226"/>
      <c r="AD1304" s="1226"/>
      <c r="AE1304" s="1226"/>
      <c r="AF1304" s="1226"/>
      <c r="AG1304" s="1226"/>
      <c r="AH1304" s="1226"/>
      <c r="AI1304" s="841"/>
      <c r="AJ1304" s="841"/>
      <c r="AK1304" s="841"/>
      <c r="AL1304" s="841"/>
      <c r="AM1304" s="841"/>
      <c r="AN1304" s="841"/>
      <c r="AO1304" s="841"/>
      <c r="AP1304" s="841"/>
      <c r="AQ1304" s="841"/>
      <c r="AR1304" s="841"/>
      <c r="AS1304" s="842"/>
    </row>
    <row r="1305" spans="1:45">
      <c r="A1305" s="841"/>
      <c r="B1305" s="841"/>
      <c r="C1305" s="841"/>
      <c r="D1305" s="841"/>
      <c r="E1305" s="841"/>
      <c r="F1305" s="841"/>
      <c r="G1305" s="841"/>
      <c r="H1305" s="841"/>
      <c r="I1305" s="841"/>
      <c r="J1305" s="841"/>
      <c r="K1305" s="841"/>
      <c r="L1305" s="841"/>
      <c r="M1305" s="841"/>
      <c r="N1305" s="841"/>
      <c r="O1305" s="841"/>
      <c r="P1305" s="841"/>
      <c r="Q1305" s="841"/>
      <c r="R1305" s="841"/>
      <c r="S1305" s="841"/>
      <c r="T1305" s="841"/>
      <c r="U1305" s="841"/>
      <c r="V1305" s="841"/>
      <c r="W1305" s="841"/>
      <c r="X1305" s="841"/>
      <c r="Y1305" s="841"/>
      <c r="Z1305" s="1226"/>
      <c r="AA1305" s="1226"/>
      <c r="AB1305" s="1226"/>
      <c r="AC1305" s="1226"/>
      <c r="AD1305" s="1226"/>
      <c r="AE1305" s="1226"/>
      <c r="AF1305" s="1226"/>
      <c r="AG1305" s="1226"/>
      <c r="AH1305" s="1226"/>
      <c r="AI1305" s="841"/>
      <c r="AJ1305" s="841"/>
      <c r="AK1305" s="841"/>
      <c r="AL1305" s="841"/>
      <c r="AM1305" s="841"/>
      <c r="AN1305" s="841"/>
      <c r="AO1305" s="841"/>
      <c r="AP1305" s="841"/>
      <c r="AQ1305" s="841"/>
      <c r="AR1305" s="841"/>
      <c r="AS1305" s="842"/>
    </row>
    <row r="1306" spans="1:45">
      <c r="A1306" s="841"/>
      <c r="B1306" s="841"/>
      <c r="C1306" s="841"/>
      <c r="D1306" s="841"/>
      <c r="E1306" s="841"/>
      <c r="F1306" s="841"/>
      <c r="G1306" s="841"/>
      <c r="H1306" s="841"/>
      <c r="I1306" s="841"/>
      <c r="J1306" s="841"/>
      <c r="K1306" s="841"/>
      <c r="L1306" s="841"/>
      <c r="M1306" s="841"/>
      <c r="N1306" s="841"/>
      <c r="O1306" s="841"/>
      <c r="P1306" s="841"/>
      <c r="Q1306" s="841"/>
      <c r="R1306" s="841"/>
      <c r="S1306" s="841"/>
      <c r="T1306" s="841"/>
      <c r="U1306" s="841"/>
      <c r="V1306" s="841"/>
      <c r="W1306" s="841"/>
      <c r="X1306" s="841"/>
      <c r="Y1306" s="841"/>
      <c r="Z1306" s="1226"/>
      <c r="AA1306" s="1226"/>
      <c r="AB1306" s="1226"/>
      <c r="AC1306" s="1226"/>
      <c r="AD1306" s="1226"/>
      <c r="AE1306" s="1226"/>
      <c r="AF1306" s="1226"/>
      <c r="AG1306" s="1226"/>
      <c r="AH1306" s="1226"/>
      <c r="AI1306" s="841"/>
      <c r="AJ1306" s="841"/>
      <c r="AK1306" s="841"/>
      <c r="AL1306" s="841"/>
      <c r="AM1306" s="841"/>
      <c r="AN1306" s="841"/>
      <c r="AO1306" s="841"/>
      <c r="AP1306" s="841"/>
      <c r="AQ1306" s="841"/>
      <c r="AR1306" s="841"/>
      <c r="AS1306" s="842"/>
    </row>
    <row r="1307" spans="1:45">
      <c r="A1307" s="841"/>
      <c r="B1307" s="841"/>
      <c r="C1307" s="841"/>
      <c r="D1307" s="841"/>
      <c r="E1307" s="841"/>
      <c r="F1307" s="841"/>
      <c r="G1307" s="841"/>
      <c r="H1307" s="841"/>
      <c r="I1307" s="841"/>
      <c r="J1307" s="841"/>
      <c r="K1307" s="841"/>
      <c r="L1307" s="841"/>
      <c r="M1307" s="841"/>
      <c r="N1307" s="841"/>
      <c r="O1307" s="841"/>
      <c r="P1307" s="841"/>
      <c r="Q1307" s="841"/>
      <c r="R1307" s="841"/>
      <c r="S1307" s="841"/>
      <c r="T1307" s="841"/>
      <c r="U1307" s="841"/>
      <c r="V1307" s="841"/>
      <c r="W1307" s="841"/>
      <c r="X1307" s="841"/>
      <c r="Y1307" s="841"/>
      <c r="Z1307" s="1226"/>
      <c r="AA1307" s="1226"/>
      <c r="AB1307" s="1226"/>
      <c r="AC1307" s="1226"/>
      <c r="AD1307" s="1226"/>
      <c r="AE1307" s="1226"/>
      <c r="AF1307" s="1226"/>
      <c r="AG1307" s="1226"/>
      <c r="AH1307" s="1226"/>
      <c r="AI1307" s="841"/>
      <c r="AJ1307" s="841"/>
      <c r="AK1307" s="841"/>
      <c r="AL1307" s="841"/>
      <c r="AM1307" s="841"/>
      <c r="AN1307" s="841"/>
      <c r="AO1307" s="841"/>
      <c r="AP1307" s="841"/>
      <c r="AQ1307" s="841"/>
      <c r="AR1307" s="841"/>
      <c r="AS1307" s="842"/>
    </row>
    <row r="1308" spans="1:45">
      <c r="A1308" s="841"/>
      <c r="B1308" s="841"/>
      <c r="C1308" s="841"/>
      <c r="D1308" s="841"/>
      <c r="E1308" s="841"/>
      <c r="F1308" s="841"/>
      <c r="G1308" s="841"/>
      <c r="H1308" s="841"/>
      <c r="I1308" s="841"/>
      <c r="J1308" s="841"/>
      <c r="K1308" s="841"/>
      <c r="L1308" s="841"/>
      <c r="M1308" s="841"/>
      <c r="N1308" s="841"/>
      <c r="O1308" s="841"/>
      <c r="P1308" s="841"/>
      <c r="Q1308" s="841"/>
      <c r="R1308" s="841"/>
      <c r="S1308" s="841"/>
      <c r="T1308" s="841"/>
      <c r="U1308" s="841"/>
      <c r="V1308" s="841"/>
      <c r="W1308" s="841"/>
      <c r="X1308" s="841"/>
      <c r="Y1308" s="841"/>
      <c r="Z1308" s="1226"/>
      <c r="AA1308" s="1226"/>
      <c r="AB1308" s="1226"/>
      <c r="AC1308" s="1226"/>
      <c r="AD1308" s="1226"/>
      <c r="AE1308" s="1226"/>
      <c r="AF1308" s="1226"/>
      <c r="AG1308" s="1226"/>
      <c r="AH1308" s="1226"/>
      <c r="AI1308" s="841"/>
      <c r="AJ1308" s="841"/>
      <c r="AK1308" s="841"/>
      <c r="AL1308" s="841"/>
      <c r="AM1308" s="841"/>
      <c r="AN1308" s="841"/>
      <c r="AO1308" s="841"/>
      <c r="AP1308" s="841"/>
      <c r="AQ1308" s="841"/>
      <c r="AR1308" s="841"/>
      <c r="AS1308" s="842"/>
    </row>
    <row r="1309" spans="1:45">
      <c r="A1309" s="841"/>
      <c r="B1309" s="841"/>
      <c r="C1309" s="841"/>
      <c r="D1309" s="841"/>
      <c r="E1309" s="841"/>
      <c r="F1309" s="841"/>
      <c r="G1309" s="841"/>
      <c r="H1309" s="841"/>
      <c r="I1309" s="841"/>
      <c r="J1309" s="841"/>
      <c r="K1309" s="841"/>
      <c r="L1309" s="841"/>
      <c r="M1309" s="841"/>
      <c r="N1309" s="841"/>
      <c r="O1309" s="841"/>
      <c r="P1309" s="841"/>
      <c r="Q1309" s="841"/>
      <c r="R1309" s="841"/>
      <c r="S1309" s="841"/>
      <c r="T1309" s="841"/>
      <c r="U1309" s="841"/>
      <c r="V1309" s="841"/>
      <c r="W1309" s="841"/>
      <c r="X1309" s="841"/>
      <c r="Y1309" s="841"/>
      <c r="Z1309" s="1226"/>
      <c r="AA1309" s="1226"/>
      <c r="AB1309" s="1226"/>
      <c r="AC1309" s="1226"/>
      <c r="AD1309" s="1226"/>
      <c r="AE1309" s="1226"/>
      <c r="AF1309" s="1226"/>
      <c r="AG1309" s="1226"/>
      <c r="AH1309" s="1226"/>
      <c r="AI1309" s="841"/>
      <c r="AJ1309" s="841"/>
      <c r="AK1309" s="841"/>
      <c r="AL1309" s="841"/>
      <c r="AM1309" s="841"/>
      <c r="AN1309" s="841"/>
      <c r="AO1309" s="841"/>
      <c r="AP1309" s="841"/>
      <c r="AQ1309" s="841"/>
      <c r="AR1309" s="841"/>
      <c r="AS1309" s="842"/>
    </row>
    <row r="1310" spans="1:45">
      <c r="A1310" s="841"/>
      <c r="B1310" s="841"/>
      <c r="C1310" s="841"/>
      <c r="D1310" s="841"/>
      <c r="E1310" s="841"/>
      <c r="F1310" s="841"/>
      <c r="G1310" s="841"/>
      <c r="H1310" s="841"/>
      <c r="I1310" s="841"/>
      <c r="J1310" s="841"/>
      <c r="K1310" s="841"/>
      <c r="L1310" s="841"/>
      <c r="M1310" s="841"/>
      <c r="N1310" s="841"/>
      <c r="O1310" s="841"/>
      <c r="P1310" s="841"/>
      <c r="Q1310" s="841"/>
      <c r="R1310" s="841"/>
      <c r="S1310" s="841"/>
      <c r="T1310" s="841"/>
      <c r="U1310" s="841"/>
      <c r="V1310" s="841"/>
      <c r="W1310" s="841"/>
      <c r="X1310" s="841"/>
      <c r="Y1310" s="841"/>
      <c r="Z1310" s="1226"/>
      <c r="AA1310" s="1226"/>
      <c r="AB1310" s="1226"/>
      <c r="AC1310" s="1226"/>
      <c r="AD1310" s="1226"/>
      <c r="AE1310" s="1226"/>
      <c r="AF1310" s="1226"/>
      <c r="AG1310" s="1226"/>
      <c r="AH1310" s="1226"/>
      <c r="AI1310" s="841"/>
      <c r="AJ1310" s="841"/>
      <c r="AK1310" s="841"/>
      <c r="AL1310" s="841"/>
      <c r="AM1310" s="841"/>
      <c r="AN1310" s="841"/>
      <c r="AO1310" s="841"/>
      <c r="AP1310" s="841"/>
      <c r="AQ1310" s="841"/>
      <c r="AR1310" s="841"/>
      <c r="AS1310" s="842"/>
    </row>
    <row r="1311" spans="1:45">
      <c r="A1311" s="841"/>
      <c r="B1311" s="841"/>
      <c r="C1311" s="841"/>
      <c r="D1311" s="841"/>
      <c r="E1311" s="841"/>
      <c r="F1311" s="841"/>
      <c r="G1311" s="841"/>
      <c r="H1311" s="841"/>
      <c r="I1311" s="841"/>
      <c r="J1311" s="841"/>
      <c r="K1311" s="841"/>
      <c r="L1311" s="841"/>
      <c r="M1311" s="841"/>
      <c r="N1311" s="841"/>
      <c r="O1311" s="841"/>
      <c r="P1311" s="841"/>
      <c r="Q1311" s="841"/>
      <c r="R1311" s="841"/>
      <c r="S1311" s="841"/>
      <c r="T1311" s="841"/>
      <c r="U1311" s="841"/>
      <c r="V1311" s="841"/>
      <c r="W1311" s="841"/>
      <c r="X1311" s="841"/>
      <c r="Y1311" s="841"/>
      <c r="Z1311" s="1226"/>
      <c r="AA1311" s="1226"/>
      <c r="AB1311" s="1226"/>
      <c r="AC1311" s="1226"/>
      <c r="AD1311" s="1226"/>
      <c r="AE1311" s="1226"/>
      <c r="AF1311" s="1226"/>
      <c r="AG1311" s="1226"/>
      <c r="AH1311" s="1226"/>
      <c r="AI1311" s="841"/>
      <c r="AJ1311" s="841"/>
      <c r="AK1311" s="841"/>
      <c r="AL1311" s="841"/>
      <c r="AM1311" s="841"/>
      <c r="AN1311" s="841"/>
      <c r="AO1311" s="841"/>
      <c r="AP1311" s="841"/>
      <c r="AQ1311" s="841"/>
      <c r="AR1311" s="841"/>
      <c r="AS1311" s="842"/>
    </row>
    <row r="1312" spans="1:45">
      <c r="A1312" s="841"/>
      <c r="B1312" s="841"/>
      <c r="C1312" s="841"/>
      <c r="D1312" s="841"/>
      <c r="E1312" s="841"/>
      <c r="F1312" s="841"/>
      <c r="G1312" s="841"/>
      <c r="H1312" s="841"/>
      <c r="I1312" s="841"/>
      <c r="J1312" s="841"/>
      <c r="K1312" s="841"/>
      <c r="L1312" s="841"/>
      <c r="M1312" s="841"/>
      <c r="N1312" s="841"/>
      <c r="O1312" s="841"/>
      <c r="P1312" s="841"/>
      <c r="Q1312" s="841"/>
      <c r="R1312" s="841"/>
      <c r="S1312" s="841"/>
      <c r="T1312" s="841"/>
      <c r="U1312" s="841"/>
      <c r="V1312" s="841"/>
      <c r="W1312" s="841"/>
      <c r="X1312" s="841"/>
      <c r="Y1312" s="841"/>
      <c r="Z1312" s="1226"/>
      <c r="AA1312" s="1226"/>
      <c r="AB1312" s="1226"/>
      <c r="AC1312" s="1226"/>
      <c r="AD1312" s="1226"/>
      <c r="AE1312" s="1226"/>
      <c r="AF1312" s="1226"/>
      <c r="AG1312" s="1226"/>
      <c r="AH1312" s="1226"/>
      <c r="AI1312" s="841"/>
      <c r="AJ1312" s="841"/>
      <c r="AK1312" s="841"/>
      <c r="AL1312" s="841"/>
      <c r="AM1312" s="841"/>
      <c r="AN1312" s="841"/>
      <c r="AO1312" s="841"/>
      <c r="AP1312" s="841"/>
      <c r="AQ1312" s="841"/>
      <c r="AR1312" s="841"/>
      <c r="AS1312" s="842"/>
    </row>
    <row r="1313" spans="1:45">
      <c r="A1313" s="841"/>
      <c r="B1313" s="841"/>
      <c r="C1313" s="841"/>
      <c r="D1313" s="841"/>
      <c r="E1313" s="841"/>
      <c r="F1313" s="841"/>
      <c r="G1313" s="841"/>
      <c r="H1313" s="841"/>
      <c r="I1313" s="841"/>
      <c r="J1313" s="841"/>
      <c r="K1313" s="841"/>
      <c r="L1313" s="841"/>
      <c r="M1313" s="841"/>
      <c r="N1313" s="841"/>
      <c r="O1313" s="841"/>
      <c r="P1313" s="841"/>
      <c r="Q1313" s="841"/>
      <c r="R1313" s="841"/>
      <c r="S1313" s="841"/>
      <c r="T1313" s="841"/>
      <c r="U1313" s="841"/>
      <c r="V1313" s="841"/>
      <c r="W1313" s="841"/>
      <c r="X1313" s="841"/>
      <c r="Y1313" s="841"/>
      <c r="Z1313" s="1226"/>
      <c r="AA1313" s="1226"/>
      <c r="AB1313" s="1226"/>
      <c r="AC1313" s="1226"/>
      <c r="AD1313" s="1226"/>
      <c r="AE1313" s="1226"/>
      <c r="AF1313" s="1226"/>
      <c r="AG1313" s="1226"/>
      <c r="AH1313" s="1226"/>
      <c r="AI1313" s="841"/>
      <c r="AJ1313" s="841"/>
      <c r="AK1313" s="841"/>
      <c r="AL1313" s="841"/>
      <c r="AM1313" s="841"/>
      <c r="AN1313" s="841"/>
      <c r="AO1313" s="841"/>
      <c r="AP1313" s="841"/>
      <c r="AQ1313" s="841"/>
      <c r="AR1313" s="841"/>
      <c r="AS1313" s="842"/>
    </row>
    <row r="1314" spans="1:45">
      <c r="A1314" s="841"/>
      <c r="B1314" s="841"/>
      <c r="C1314" s="841"/>
      <c r="D1314" s="841"/>
      <c r="E1314" s="841"/>
      <c r="F1314" s="841"/>
      <c r="G1314" s="841"/>
      <c r="H1314" s="841"/>
      <c r="I1314" s="841"/>
      <c r="J1314" s="841"/>
      <c r="K1314" s="841"/>
      <c r="L1314" s="841"/>
      <c r="M1314" s="841"/>
      <c r="N1314" s="841"/>
      <c r="O1314" s="841"/>
      <c r="P1314" s="841"/>
      <c r="Q1314" s="841"/>
      <c r="R1314" s="841"/>
      <c r="S1314" s="841"/>
      <c r="T1314" s="841"/>
      <c r="U1314" s="841"/>
      <c r="V1314" s="841"/>
      <c r="W1314" s="841"/>
      <c r="X1314" s="841"/>
      <c r="Y1314" s="841"/>
      <c r="Z1314" s="1226"/>
      <c r="AA1314" s="1226"/>
      <c r="AB1314" s="1226"/>
      <c r="AC1314" s="1226"/>
      <c r="AD1314" s="1226"/>
      <c r="AE1314" s="1226"/>
      <c r="AF1314" s="1226"/>
      <c r="AG1314" s="1226"/>
      <c r="AH1314" s="1226"/>
      <c r="AI1314" s="841"/>
      <c r="AJ1314" s="841"/>
      <c r="AK1314" s="841"/>
      <c r="AL1314" s="841"/>
      <c r="AM1314" s="841"/>
      <c r="AN1314" s="841"/>
      <c r="AO1314" s="841"/>
      <c r="AP1314" s="841"/>
      <c r="AQ1314" s="841"/>
      <c r="AR1314" s="841"/>
      <c r="AS1314" s="842"/>
    </row>
    <row r="1315" spans="1:45">
      <c r="A1315" s="841"/>
      <c r="B1315" s="841"/>
      <c r="C1315" s="841"/>
      <c r="D1315" s="841"/>
      <c r="E1315" s="841"/>
      <c r="F1315" s="841"/>
      <c r="G1315" s="841"/>
      <c r="H1315" s="841"/>
      <c r="I1315" s="841"/>
      <c r="J1315" s="841"/>
      <c r="K1315" s="841"/>
      <c r="L1315" s="841"/>
      <c r="M1315" s="841"/>
      <c r="N1315" s="841"/>
      <c r="O1315" s="841"/>
      <c r="P1315" s="841"/>
      <c r="Q1315" s="841"/>
      <c r="R1315" s="841"/>
      <c r="S1315" s="841"/>
      <c r="T1315" s="841"/>
      <c r="U1315" s="841"/>
      <c r="V1315" s="841"/>
      <c r="W1315" s="841"/>
      <c r="X1315" s="841"/>
      <c r="Y1315" s="841"/>
      <c r="Z1315" s="1226"/>
      <c r="AA1315" s="1226"/>
      <c r="AB1315" s="1226"/>
      <c r="AC1315" s="1226"/>
      <c r="AD1315" s="1226"/>
      <c r="AE1315" s="1226"/>
      <c r="AF1315" s="1226"/>
      <c r="AG1315" s="1226"/>
      <c r="AH1315" s="1226"/>
      <c r="AI1315" s="841"/>
      <c r="AJ1315" s="841"/>
      <c r="AK1315" s="841"/>
      <c r="AL1315" s="841"/>
      <c r="AM1315" s="841"/>
      <c r="AN1315" s="841"/>
      <c r="AO1315" s="841"/>
      <c r="AP1315" s="841"/>
      <c r="AQ1315" s="841"/>
      <c r="AR1315" s="841"/>
      <c r="AS1315" s="842"/>
    </row>
    <row r="1316" spans="1:45">
      <c r="A1316" s="841"/>
      <c r="B1316" s="841"/>
      <c r="C1316" s="841"/>
      <c r="D1316" s="841"/>
      <c r="E1316" s="841"/>
      <c r="F1316" s="841"/>
      <c r="G1316" s="841"/>
      <c r="H1316" s="841"/>
      <c r="I1316" s="841"/>
      <c r="J1316" s="841"/>
      <c r="K1316" s="841"/>
      <c r="L1316" s="841"/>
      <c r="M1316" s="841"/>
      <c r="N1316" s="841"/>
      <c r="O1316" s="841"/>
      <c r="P1316" s="841"/>
      <c r="Q1316" s="841"/>
      <c r="R1316" s="841"/>
      <c r="S1316" s="841"/>
      <c r="T1316" s="841"/>
      <c r="U1316" s="841"/>
      <c r="V1316" s="841"/>
      <c r="W1316" s="841"/>
      <c r="X1316" s="841"/>
      <c r="Y1316" s="841"/>
      <c r="Z1316" s="1226"/>
      <c r="AA1316" s="1226"/>
      <c r="AB1316" s="1226"/>
      <c r="AC1316" s="1226"/>
      <c r="AD1316" s="1226"/>
      <c r="AE1316" s="1226"/>
      <c r="AF1316" s="1226"/>
      <c r="AG1316" s="1226"/>
      <c r="AH1316" s="1226"/>
      <c r="AI1316" s="841"/>
      <c r="AJ1316" s="841"/>
      <c r="AK1316" s="841"/>
      <c r="AL1316" s="841"/>
      <c r="AM1316" s="841"/>
      <c r="AN1316" s="841"/>
      <c r="AO1316" s="841"/>
      <c r="AP1316" s="841"/>
      <c r="AQ1316" s="841"/>
      <c r="AR1316" s="841"/>
      <c r="AS1316" s="842"/>
    </row>
    <row r="1317" spans="1:45">
      <c r="A1317" s="841"/>
      <c r="B1317" s="841"/>
      <c r="C1317" s="841"/>
      <c r="D1317" s="841"/>
      <c r="E1317" s="841"/>
      <c r="F1317" s="841"/>
      <c r="G1317" s="841"/>
      <c r="H1317" s="841"/>
      <c r="I1317" s="841"/>
      <c r="J1317" s="841"/>
      <c r="K1317" s="841"/>
      <c r="L1317" s="841"/>
      <c r="M1317" s="841"/>
      <c r="N1317" s="841"/>
      <c r="O1317" s="841"/>
      <c r="P1317" s="841"/>
      <c r="Q1317" s="841"/>
      <c r="R1317" s="841"/>
      <c r="S1317" s="841"/>
      <c r="T1317" s="841"/>
      <c r="U1317" s="841"/>
      <c r="V1317" s="841"/>
      <c r="W1317" s="841"/>
      <c r="X1317" s="841"/>
      <c r="Y1317" s="841"/>
      <c r="Z1317" s="1226"/>
      <c r="AA1317" s="1226"/>
      <c r="AB1317" s="1226"/>
      <c r="AC1317" s="1226"/>
      <c r="AD1317" s="1226"/>
      <c r="AE1317" s="1226"/>
      <c r="AF1317" s="1226"/>
      <c r="AG1317" s="1226"/>
      <c r="AH1317" s="1226"/>
      <c r="AI1317" s="841"/>
      <c r="AJ1317" s="841"/>
      <c r="AK1317" s="841"/>
      <c r="AL1317" s="841"/>
      <c r="AM1317" s="841"/>
      <c r="AN1317" s="841"/>
      <c r="AO1317" s="841"/>
      <c r="AP1317" s="841"/>
      <c r="AQ1317" s="841"/>
      <c r="AR1317" s="841"/>
      <c r="AS1317" s="842"/>
    </row>
    <row r="1318" spans="1:45">
      <c r="A1318" s="841"/>
      <c r="B1318" s="841"/>
      <c r="C1318" s="841"/>
      <c r="D1318" s="841"/>
      <c r="E1318" s="841"/>
      <c r="F1318" s="841"/>
      <c r="G1318" s="841"/>
      <c r="H1318" s="841"/>
      <c r="I1318" s="841"/>
      <c r="J1318" s="841"/>
      <c r="K1318" s="841"/>
      <c r="L1318" s="841"/>
      <c r="M1318" s="841"/>
      <c r="N1318" s="841"/>
      <c r="O1318" s="841"/>
      <c r="P1318" s="841"/>
      <c r="Q1318" s="841"/>
      <c r="R1318" s="841"/>
      <c r="S1318" s="841"/>
      <c r="T1318" s="841"/>
      <c r="U1318" s="841"/>
      <c r="V1318" s="841"/>
      <c r="W1318" s="841"/>
      <c r="X1318" s="841"/>
      <c r="Y1318" s="841"/>
      <c r="Z1318" s="1226"/>
      <c r="AA1318" s="1226"/>
      <c r="AB1318" s="1226"/>
      <c r="AC1318" s="1226"/>
      <c r="AD1318" s="1226"/>
      <c r="AE1318" s="1226"/>
      <c r="AF1318" s="1226"/>
      <c r="AG1318" s="1226"/>
      <c r="AH1318" s="1226"/>
      <c r="AI1318" s="841"/>
      <c r="AJ1318" s="841"/>
      <c r="AK1318" s="841"/>
      <c r="AL1318" s="841"/>
      <c r="AM1318" s="841"/>
      <c r="AN1318" s="841"/>
      <c r="AO1318" s="841"/>
      <c r="AP1318" s="841"/>
      <c r="AQ1318" s="841"/>
      <c r="AR1318" s="841"/>
      <c r="AS1318" s="842"/>
    </row>
    <row r="1319" spans="1:45">
      <c r="A1319" s="841"/>
      <c r="B1319" s="841"/>
      <c r="C1319" s="841"/>
      <c r="D1319" s="841"/>
      <c r="E1319" s="841"/>
      <c r="F1319" s="841"/>
      <c r="G1319" s="841"/>
      <c r="H1319" s="841"/>
      <c r="I1319" s="841"/>
      <c r="J1319" s="841"/>
      <c r="K1319" s="841"/>
      <c r="L1319" s="841"/>
      <c r="M1319" s="841"/>
      <c r="N1319" s="841"/>
      <c r="O1319" s="841"/>
      <c r="P1319" s="841"/>
      <c r="Q1319" s="841"/>
      <c r="R1319" s="841"/>
      <c r="S1319" s="841"/>
      <c r="T1319" s="841"/>
      <c r="U1319" s="841"/>
      <c r="V1319" s="841"/>
      <c r="W1319" s="841"/>
      <c r="X1319" s="841"/>
      <c r="Y1319" s="841"/>
      <c r="Z1319" s="1226"/>
      <c r="AA1319" s="1226"/>
      <c r="AB1319" s="1226"/>
      <c r="AC1319" s="1226"/>
      <c r="AD1319" s="1226"/>
      <c r="AE1319" s="1226"/>
      <c r="AF1319" s="1226"/>
      <c r="AG1319" s="1226"/>
      <c r="AH1319" s="1226"/>
      <c r="AI1319" s="841"/>
      <c r="AJ1319" s="841"/>
      <c r="AK1319" s="841"/>
      <c r="AL1319" s="841"/>
      <c r="AM1319" s="841"/>
      <c r="AN1319" s="841"/>
      <c r="AO1319" s="841"/>
      <c r="AP1319" s="841"/>
      <c r="AQ1319" s="841"/>
      <c r="AR1319" s="841"/>
      <c r="AS1319" s="842"/>
    </row>
    <row r="1320" spans="1:45">
      <c r="A1320" s="841"/>
      <c r="B1320" s="841"/>
      <c r="C1320" s="841"/>
      <c r="D1320" s="841"/>
      <c r="E1320" s="841"/>
      <c r="F1320" s="841"/>
      <c r="G1320" s="841"/>
      <c r="H1320" s="841"/>
      <c r="I1320" s="841"/>
      <c r="J1320" s="841"/>
      <c r="K1320" s="841"/>
      <c r="L1320" s="841"/>
      <c r="M1320" s="841"/>
      <c r="N1320" s="841"/>
      <c r="O1320" s="841"/>
      <c r="P1320" s="841"/>
      <c r="Q1320" s="841"/>
      <c r="R1320" s="841"/>
      <c r="S1320" s="841"/>
      <c r="T1320" s="841"/>
      <c r="U1320" s="841"/>
      <c r="V1320" s="841"/>
      <c r="W1320" s="841"/>
      <c r="X1320" s="841"/>
      <c r="Y1320" s="841"/>
      <c r="Z1320" s="1226"/>
      <c r="AA1320" s="1226"/>
      <c r="AB1320" s="1226"/>
      <c r="AC1320" s="1226"/>
      <c r="AD1320" s="1226"/>
      <c r="AE1320" s="1226"/>
      <c r="AF1320" s="1226"/>
      <c r="AG1320" s="1226"/>
      <c r="AH1320" s="1226"/>
      <c r="AI1320" s="841"/>
      <c r="AJ1320" s="841"/>
      <c r="AK1320" s="841"/>
      <c r="AL1320" s="841"/>
      <c r="AM1320" s="841"/>
      <c r="AN1320" s="841"/>
      <c r="AO1320" s="841"/>
      <c r="AP1320" s="841"/>
      <c r="AQ1320" s="841"/>
      <c r="AR1320" s="841"/>
      <c r="AS1320" s="842"/>
    </row>
    <row r="1321" spans="1:45">
      <c r="A1321" s="841"/>
      <c r="B1321" s="841"/>
      <c r="C1321" s="841"/>
      <c r="D1321" s="841"/>
      <c r="E1321" s="841"/>
      <c r="F1321" s="841"/>
      <c r="G1321" s="841"/>
      <c r="H1321" s="841"/>
      <c r="I1321" s="841"/>
      <c r="J1321" s="841"/>
      <c r="K1321" s="841"/>
      <c r="L1321" s="841"/>
      <c r="M1321" s="841"/>
      <c r="N1321" s="841"/>
      <c r="O1321" s="841"/>
      <c r="P1321" s="841"/>
      <c r="Q1321" s="841"/>
      <c r="R1321" s="841"/>
      <c r="S1321" s="841"/>
      <c r="T1321" s="841"/>
      <c r="U1321" s="841"/>
      <c r="V1321" s="841"/>
      <c r="W1321" s="841"/>
      <c r="X1321" s="841"/>
      <c r="Y1321" s="841"/>
      <c r="Z1321" s="1226"/>
      <c r="AA1321" s="1226"/>
      <c r="AB1321" s="1226"/>
      <c r="AC1321" s="1226"/>
      <c r="AD1321" s="1226"/>
      <c r="AE1321" s="1226"/>
      <c r="AF1321" s="1226"/>
      <c r="AG1321" s="1226"/>
      <c r="AH1321" s="1226"/>
      <c r="AI1321" s="841"/>
      <c r="AJ1321" s="841"/>
      <c r="AK1321" s="841"/>
      <c r="AL1321" s="841"/>
      <c r="AM1321" s="841"/>
      <c r="AN1321" s="841"/>
      <c r="AO1321" s="841"/>
      <c r="AP1321" s="841"/>
      <c r="AQ1321" s="841"/>
      <c r="AR1321" s="841"/>
      <c r="AS1321" s="842"/>
    </row>
    <row r="1322" spans="1:45">
      <c r="A1322" s="841"/>
      <c r="B1322" s="841"/>
      <c r="C1322" s="841"/>
      <c r="D1322" s="841"/>
      <c r="E1322" s="841"/>
      <c r="F1322" s="841"/>
      <c r="G1322" s="841"/>
      <c r="H1322" s="841"/>
      <c r="I1322" s="841"/>
      <c r="J1322" s="841"/>
      <c r="K1322" s="841"/>
      <c r="L1322" s="841"/>
      <c r="M1322" s="841"/>
      <c r="N1322" s="841"/>
      <c r="O1322" s="841"/>
      <c r="P1322" s="841"/>
      <c r="Q1322" s="841"/>
      <c r="R1322" s="841"/>
      <c r="S1322" s="841"/>
      <c r="T1322" s="841"/>
      <c r="U1322" s="841"/>
      <c r="V1322" s="841"/>
      <c r="W1322" s="841"/>
      <c r="X1322" s="841"/>
      <c r="Y1322" s="841"/>
      <c r="Z1322" s="1226"/>
      <c r="AA1322" s="1226"/>
      <c r="AB1322" s="1226"/>
      <c r="AC1322" s="1226"/>
      <c r="AD1322" s="1226"/>
      <c r="AE1322" s="1226"/>
      <c r="AF1322" s="1226"/>
      <c r="AG1322" s="1226"/>
      <c r="AH1322" s="1226"/>
      <c r="AI1322" s="841"/>
      <c r="AJ1322" s="841"/>
      <c r="AK1322" s="841"/>
      <c r="AL1322" s="841"/>
      <c r="AM1322" s="841"/>
      <c r="AN1322" s="841"/>
      <c r="AO1322" s="841"/>
      <c r="AP1322" s="841"/>
      <c r="AQ1322" s="841"/>
      <c r="AR1322" s="841"/>
      <c r="AS1322" s="842"/>
    </row>
    <row r="1323" spans="1:45">
      <c r="A1323" s="841"/>
      <c r="B1323" s="841"/>
      <c r="C1323" s="841"/>
      <c r="D1323" s="841"/>
      <c r="E1323" s="841"/>
      <c r="F1323" s="841"/>
      <c r="G1323" s="841"/>
      <c r="H1323" s="841"/>
      <c r="I1323" s="841"/>
      <c r="J1323" s="841"/>
      <c r="K1323" s="841"/>
      <c r="L1323" s="841"/>
      <c r="M1323" s="841"/>
      <c r="N1323" s="841"/>
      <c r="O1323" s="841"/>
      <c r="P1323" s="841"/>
      <c r="Q1323" s="841"/>
      <c r="R1323" s="841"/>
      <c r="S1323" s="841"/>
      <c r="T1323" s="841"/>
      <c r="U1323" s="841"/>
      <c r="V1323" s="841"/>
      <c r="W1323" s="841"/>
      <c r="X1323" s="841"/>
      <c r="Y1323" s="841"/>
      <c r="Z1323" s="1226"/>
      <c r="AA1323" s="1226"/>
      <c r="AB1323" s="1226"/>
      <c r="AC1323" s="1226"/>
      <c r="AD1323" s="1226"/>
      <c r="AE1323" s="1226"/>
      <c r="AF1323" s="1226"/>
      <c r="AG1323" s="1226"/>
      <c r="AH1323" s="1226"/>
      <c r="AI1323" s="841"/>
      <c r="AJ1323" s="841"/>
      <c r="AK1323" s="841"/>
      <c r="AL1323" s="841"/>
      <c r="AM1323" s="841"/>
      <c r="AN1323" s="841"/>
      <c r="AO1323" s="841"/>
      <c r="AP1323" s="841"/>
      <c r="AQ1323" s="841"/>
      <c r="AR1323" s="841"/>
      <c r="AS1323" s="842"/>
    </row>
    <row r="1324" spans="1:45">
      <c r="A1324" s="841"/>
      <c r="B1324" s="841"/>
      <c r="C1324" s="841"/>
      <c r="D1324" s="841"/>
      <c r="E1324" s="841"/>
      <c r="F1324" s="841"/>
      <c r="G1324" s="841"/>
      <c r="H1324" s="841"/>
      <c r="I1324" s="841"/>
      <c r="J1324" s="841"/>
      <c r="K1324" s="841"/>
      <c r="L1324" s="841"/>
      <c r="M1324" s="841"/>
      <c r="N1324" s="841"/>
      <c r="O1324" s="841"/>
      <c r="P1324" s="841"/>
      <c r="Q1324" s="841"/>
      <c r="R1324" s="841"/>
      <c r="S1324" s="841"/>
      <c r="T1324" s="841"/>
      <c r="U1324" s="841"/>
      <c r="V1324" s="841"/>
      <c r="W1324" s="841"/>
      <c r="X1324" s="841"/>
      <c r="Y1324" s="841"/>
      <c r="Z1324" s="1226"/>
      <c r="AA1324" s="1226"/>
      <c r="AB1324" s="1226"/>
      <c r="AC1324" s="1226"/>
      <c r="AD1324" s="1226"/>
      <c r="AE1324" s="1226"/>
      <c r="AF1324" s="1226"/>
      <c r="AG1324" s="1226"/>
      <c r="AH1324" s="1226"/>
      <c r="AI1324" s="841"/>
      <c r="AJ1324" s="841"/>
      <c r="AK1324" s="841"/>
      <c r="AL1324" s="841"/>
      <c r="AM1324" s="841"/>
      <c r="AN1324" s="841"/>
      <c r="AO1324" s="841"/>
      <c r="AP1324" s="841"/>
      <c r="AQ1324" s="841"/>
      <c r="AR1324" s="841"/>
      <c r="AS1324" s="842"/>
    </row>
    <row r="1325" spans="1:45">
      <c r="A1325" s="841"/>
      <c r="B1325" s="841"/>
      <c r="C1325" s="841"/>
      <c r="D1325" s="841"/>
      <c r="E1325" s="841"/>
      <c r="F1325" s="841"/>
      <c r="G1325" s="841"/>
      <c r="H1325" s="841"/>
      <c r="I1325" s="841"/>
      <c r="J1325" s="841"/>
      <c r="K1325" s="841"/>
      <c r="L1325" s="841"/>
      <c r="M1325" s="841"/>
      <c r="N1325" s="841"/>
      <c r="O1325" s="841"/>
      <c r="P1325" s="841"/>
      <c r="Q1325" s="841"/>
      <c r="R1325" s="841"/>
      <c r="S1325" s="841"/>
      <c r="T1325" s="841"/>
      <c r="U1325" s="841"/>
      <c r="V1325" s="841"/>
      <c r="W1325" s="841"/>
      <c r="X1325" s="841"/>
      <c r="Y1325" s="841"/>
      <c r="Z1325" s="1226"/>
      <c r="AA1325" s="1226"/>
      <c r="AB1325" s="1226"/>
      <c r="AC1325" s="1226"/>
      <c r="AD1325" s="1226"/>
      <c r="AE1325" s="1226"/>
      <c r="AF1325" s="1226"/>
      <c r="AG1325" s="1226"/>
      <c r="AH1325" s="1226"/>
      <c r="AI1325" s="841"/>
      <c r="AJ1325" s="841"/>
      <c r="AK1325" s="841"/>
      <c r="AL1325" s="841"/>
      <c r="AM1325" s="841"/>
      <c r="AN1325" s="841"/>
      <c r="AO1325" s="841"/>
      <c r="AP1325" s="841"/>
      <c r="AQ1325" s="841"/>
      <c r="AR1325" s="841"/>
      <c r="AS1325" s="842"/>
    </row>
    <row r="1326" spans="1:45">
      <c r="A1326" s="841"/>
      <c r="B1326" s="841"/>
      <c r="C1326" s="841"/>
      <c r="D1326" s="841"/>
      <c r="E1326" s="841"/>
      <c r="F1326" s="841"/>
      <c r="G1326" s="841"/>
      <c r="H1326" s="841"/>
      <c r="I1326" s="841"/>
      <c r="J1326" s="841"/>
      <c r="K1326" s="841"/>
      <c r="L1326" s="841"/>
      <c r="M1326" s="841"/>
      <c r="N1326" s="841"/>
      <c r="O1326" s="841"/>
      <c r="P1326" s="841"/>
      <c r="Q1326" s="841"/>
      <c r="R1326" s="841"/>
      <c r="S1326" s="841"/>
      <c r="T1326" s="841"/>
      <c r="U1326" s="841"/>
      <c r="V1326" s="841"/>
      <c r="W1326" s="841"/>
      <c r="X1326" s="841"/>
      <c r="Y1326" s="841"/>
      <c r="Z1326" s="1226"/>
      <c r="AA1326" s="1226"/>
      <c r="AB1326" s="1226"/>
      <c r="AC1326" s="1226"/>
      <c r="AD1326" s="1226"/>
      <c r="AE1326" s="1226"/>
      <c r="AF1326" s="1226"/>
      <c r="AG1326" s="1226"/>
      <c r="AH1326" s="1226"/>
      <c r="AI1326" s="841"/>
      <c r="AJ1326" s="841"/>
      <c r="AK1326" s="841"/>
      <c r="AL1326" s="841"/>
      <c r="AM1326" s="841"/>
      <c r="AN1326" s="841"/>
      <c r="AO1326" s="841"/>
      <c r="AP1326" s="841"/>
      <c r="AQ1326" s="841"/>
      <c r="AR1326" s="841"/>
      <c r="AS1326" s="842"/>
    </row>
    <row r="1327" spans="1:45">
      <c r="A1327" s="841"/>
      <c r="B1327" s="841"/>
      <c r="C1327" s="841"/>
      <c r="D1327" s="841"/>
      <c r="E1327" s="841"/>
      <c r="F1327" s="841"/>
      <c r="G1327" s="841"/>
      <c r="H1327" s="841"/>
      <c r="I1327" s="841"/>
      <c r="J1327" s="841"/>
      <c r="K1327" s="841"/>
      <c r="L1327" s="841"/>
      <c r="M1327" s="841"/>
      <c r="N1327" s="841"/>
      <c r="O1327" s="841"/>
      <c r="P1327" s="841"/>
      <c r="Q1327" s="841"/>
      <c r="R1327" s="841"/>
      <c r="S1327" s="841"/>
      <c r="T1327" s="841"/>
      <c r="U1327" s="841"/>
      <c r="V1327" s="841"/>
      <c r="W1327" s="841"/>
      <c r="X1327" s="841"/>
      <c r="Y1327" s="841"/>
      <c r="Z1327" s="1226"/>
      <c r="AA1327" s="1226"/>
      <c r="AB1327" s="1226"/>
      <c r="AC1327" s="1226"/>
      <c r="AD1327" s="1226"/>
      <c r="AE1327" s="1226"/>
      <c r="AF1327" s="1226"/>
      <c r="AG1327" s="1226"/>
      <c r="AH1327" s="1226"/>
      <c r="AI1327" s="841"/>
      <c r="AJ1327" s="841"/>
      <c r="AK1327" s="841"/>
      <c r="AL1327" s="841"/>
      <c r="AM1327" s="841"/>
      <c r="AN1327" s="841"/>
      <c r="AO1327" s="841"/>
      <c r="AP1327" s="841"/>
      <c r="AQ1327" s="841"/>
      <c r="AR1327" s="841"/>
      <c r="AS1327" s="842"/>
    </row>
    <row r="1328" spans="1:45">
      <c r="A1328" s="841"/>
      <c r="B1328" s="841"/>
      <c r="C1328" s="841"/>
      <c r="D1328" s="841"/>
      <c r="E1328" s="841"/>
      <c r="F1328" s="841"/>
      <c r="G1328" s="841"/>
      <c r="H1328" s="841"/>
      <c r="I1328" s="841"/>
      <c r="J1328" s="841"/>
      <c r="K1328" s="841"/>
      <c r="L1328" s="841"/>
      <c r="M1328" s="841"/>
      <c r="N1328" s="841"/>
      <c r="O1328" s="841"/>
      <c r="P1328" s="841"/>
      <c r="Q1328" s="841"/>
      <c r="R1328" s="841"/>
      <c r="S1328" s="841"/>
      <c r="T1328" s="841"/>
      <c r="U1328" s="841"/>
      <c r="V1328" s="841"/>
      <c r="W1328" s="841"/>
      <c r="X1328" s="841"/>
      <c r="Y1328" s="841"/>
      <c r="Z1328" s="1226"/>
      <c r="AA1328" s="1226"/>
      <c r="AB1328" s="1226"/>
      <c r="AC1328" s="1226"/>
      <c r="AD1328" s="1226"/>
      <c r="AE1328" s="1226"/>
      <c r="AF1328" s="1226"/>
      <c r="AG1328" s="1226"/>
      <c r="AH1328" s="1226"/>
      <c r="AI1328" s="841"/>
      <c r="AJ1328" s="841"/>
      <c r="AK1328" s="841"/>
      <c r="AL1328" s="841"/>
      <c r="AM1328" s="841"/>
      <c r="AN1328" s="841"/>
      <c r="AO1328" s="841"/>
      <c r="AP1328" s="841"/>
      <c r="AQ1328" s="841"/>
      <c r="AR1328" s="841"/>
      <c r="AS1328" s="842"/>
    </row>
    <row r="1329" spans="1:45">
      <c r="A1329" s="841"/>
      <c r="B1329" s="841"/>
      <c r="C1329" s="841"/>
      <c r="D1329" s="841"/>
      <c r="E1329" s="841"/>
      <c r="F1329" s="841"/>
      <c r="G1329" s="841"/>
      <c r="H1329" s="841"/>
      <c r="I1329" s="841"/>
      <c r="J1329" s="841"/>
      <c r="K1329" s="841"/>
      <c r="L1329" s="841"/>
      <c r="M1329" s="841"/>
      <c r="N1329" s="841"/>
      <c r="O1329" s="841"/>
      <c r="P1329" s="841"/>
      <c r="Q1329" s="841"/>
      <c r="R1329" s="841"/>
      <c r="S1329" s="841"/>
      <c r="T1329" s="841"/>
      <c r="U1329" s="841"/>
      <c r="V1329" s="841"/>
      <c r="W1329" s="841"/>
      <c r="X1329" s="841"/>
      <c r="Y1329" s="841"/>
      <c r="Z1329" s="1226"/>
      <c r="AA1329" s="1226"/>
      <c r="AB1329" s="1226"/>
      <c r="AC1329" s="1226"/>
      <c r="AD1329" s="1226"/>
      <c r="AE1329" s="1226"/>
      <c r="AF1329" s="1226"/>
      <c r="AG1329" s="1226"/>
      <c r="AH1329" s="1226"/>
      <c r="AI1329" s="841"/>
      <c r="AJ1329" s="841"/>
      <c r="AK1329" s="841"/>
      <c r="AL1329" s="841"/>
      <c r="AM1329" s="841"/>
      <c r="AN1329" s="841"/>
      <c r="AO1329" s="841"/>
      <c r="AP1329" s="841"/>
      <c r="AQ1329" s="841"/>
      <c r="AR1329" s="841"/>
      <c r="AS1329" s="842"/>
    </row>
    <row r="1330" spans="1:45">
      <c r="A1330" s="841"/>
      <c r="B1330" s="841"/>
      <c r="C1330" s="841"/>
      <c r="D1330" s="841"/>
      <c r="E1330" s="841"/>
      <c r="F1330" s="841"/>
      <c r="G1330" s="841"/>
      <c r="H1330" s="841"/>
      <c r="I1330" s="841"/>
      <c r="J1330" s="841"/>
      <c r="K1330" s="841"/>
      <c r="L1330" s="841"/>
      <c r="M1330" s="841"/>
      <c r="N1330" s="841"/>
      <c r="O1330" s="841"/>
      <c r="P1330" s="841"/>
      <c r="Q1330" s="841"/>
      <c r="R1330" s="841"/>
      <c r="S1330" s="841"/>
      <c r="T1330" s="841"/>
      <c r="U1330" s="841"/>
      <c r="V1330" s="841"/>
      <c r="W1330" s="841"/>
      <c r="X1330" s="841"/>
      <c r="Y1330" s="841"/>
      <c r="Z1330" s="1226"/>
      <c r="AA1330" s="1226"/>
      <c r="AB1330" s="1226"/>
      <c r="AC1330" s="1226"/>
      <c r="AD1330" s="1226"/>
      <c r="AE1330" s="1226"/>
      <c r="AF1330" s="1226"/>
      <c r="AG1330" s="1226"/>
      <c r="AH1330" s="1226"/>
      <c r="AI1330" s="841"/>
      <c r="AJ1330" s="841"/>
      <c r="AK1330" s="841"/>
      <c r="AL1330" s="841"/>
      <c r="AM1330" s="841"/>
      <c r="AN1330" s="841"/>
      <c r="AO1330" s="841"/>
      <c r="AP1330" s="841"/>
      <c r="AQ1330" s="841"/>
      <c r="AR1330" s="841"/>
      <c r="AS1330" s="842"/>
    </row>
    <row r="1331" spans="1:45">
      <c r="A1331" s="841"/>
      <c r="B1331" s="841"/>
      <c r="C1331" s="841"/>
      <c r="D1331" s="841"/>
      <c r="E1331" s="841"/>
      <c r="F1331" s="841"/>
      <c r="G1331" s="841"/>
      <c r="H1331" s="841"/>
      <c r="I1331" s="841"/>
      <c r="J1331" s="841"/>
      <c r="K1331" s="841"/>
      <c r="L1331" s="841"/>
      <c r="M1331" s="841"/>
      <c r="N1331" s="841"/>
      <c r="O1331" s="841"/>
      <c r="P1331" s="841"/>
      <c r="Q1331" s="841"/>
      <c r="R1331" s="841"/>
      <c r="S1331" s="841"/>
      <c r="T1331" s="841"/>
      <c r="U1331" s="841"/>
      <c r="V1331" s="841"/>
      <c r="W1331" s="841"/>
      <c r="X1331" s="841"/>
      <c r="Y1331" s="841"/>
      <c r="Z1331" s="1226"/>
      <c r="AA1331" s="1226"/>
      <c r="AB1331" s="1226"/>
      <c r="AC1331" s="1226"/>
      <c r="AD1331" s="1226"/>
      <c r="AE1331" s="1226"/>
      <c r="AF1331" s="1226"/>
      <c r="AG1331" s="1226"/>
      <c r="AH1331" s="1226"/>
      <c r="AI1331" s="841"/>
      <c r="AJ1331" s="841"/>
      <c r="AK1331" s="841"/>
      <c r="AL1331" s="841"/>
      <c r="AM1331" s="841"/>
      <c r="AN1331" s="841"/>
      <c r="AO1331" s="841"/>
      <c r="AP1331" s="841"/>
      <c r="AQ1331" s="841"/>
      <c r="AR1331" s="841"/>
      <c r="AS1331" s="842"/>
    </row>
    <row r="1332" spans="1:45">
      <c r="A1332" s="841"/>
      <c r="B1332" s="841"/>
      <c r="C1332" s="841"/>
      <c r="D1332" s="841"/>
      <c r="E1332" s="841"/>
      <c r="F1332" s="841"/>
      <c r="G1332" s="841"/>
      <c r="H1332" s="841"/>
      <c r="I1332" s="841"/>
      <c r="J1332" s="841"/>
      <c r="K1332" s="841"/>
      <c r="L1332" s="841"/>
      <c r="M1332" s="841"/>
      <c r="N1332" s="841"/>
      <c r="O1332" s="841"/>
      <c r="P1332" s="841"/>
      <c r="Q1332" s="841"/>
      <c r="R1332" s="841"/>
      <c r="S1332" s="841"/>
      <c r="T1332" s="841"/>
      <c r="U1332" s="841"/>
      <c r="V1332" s="841"/>
      <c r="W1332" s="841"/>
      <c r="X1332" s="841"/>
      <c r="Y1332" s="841"/>
      <c r="Z1332" s="1226"/>
      <c r="AA1332" s="1226"/>
      <c r="AB1332" s="1226"/>
      <c r="AC1332" s="1226"/>
      <c r="AD1332" s="1226"/>
      <c r="AE1332" s="1226"/>
      <c r="AF1332" s="1226"/>
      <c r="AG1332" s="1226"/>
      <c r="AH1332" s="1226"/>
      <c r="AI1332" s="841"/>
      <c r="AJ1332" s="841"/>
      <c r="AK1332" s="841"/>
      <c r="AL1332" s="841"/>
      <c r="AM1332" s="841"/>
      <c r="AN1332" s="841"/>
      <c r="AO1332" s="841"/>
      <c r="AP1332" s="841"/>
      <c r="AQ1332" s="841"/>
      <c r="AR1332" s="841"/>
      <c r="AS1332" s="842"/>
    </row>
    <row r="1333" spans="1:45">
      <c r="A1333" s="841"/>
      <c r="B1333" s="841"/>
      <c r="C1333" s="841"/>
      <c r="D1333" s="841"/>
      <c r="E1333" s="841"/>
      <c r="F1333" s="841"/>
      <c r="G1333" s="841"/>
      <c r="H1333" s="841"/>
      <c r="I1333" s="841"/>
      <c r="J1333" s="841"/>
      <c r="K1333" s="841"/>
      <c r="L1333" s="841"/>
      <c r="M1333" s="841"/>
      <c r="N1333" s="841"/>
      <c r="O1333" s="841"/>
      <c r="P1333" s="841"/>
      <c r="Q1333" s="841"/>
      <c r="R1333" s="841"/>
      <c r="S1333" s="841"/>
      <c r="T1333" s="841"/>
      <c r="U1333" s="841"/>
      <c r="V1333" s="841"/>
      <c r="W1333" s="841"/>
      <c r="X1333" s="841"/>
      <c r="Y1333" s="841"/>
      <c r="Z1333" s="1226"/>
      <c r="AA1333" s="1226"/>
      <c r="AB1333" s="1226"/>
      <c r="AC1333" s="1226"/>
      <c r="AD1333" s="1226"/>
      <c r="AE1333" s="1226"/>
      <c r="AF1333" s="1226"/>
      <c r="AG1333" s="1226"/>
      <c r="AH1333" s="1226"/>
      <c r="AI1333" s="841"/>
      <c r="AJ1333" s="841"/>
      <c r="AK1333" s="841"/>
      <c r="AL1333" s="841"/>
      <c r="AM1333" s="841"/>
      <c r="AN1333" s="841"/>
      <c r="AO1333" s="841"/>
      <c r="AP1333" s="841"/>
      <c r="AQ1333" s="841"/>
      <c r="AR1333" s="841"/>
      <c r="AS1333" s="842"/>
    </row>
    <row r="1334" spans="1:45">
      <c r="A1334" s="841"/>
      <c r="B1334" s="841"/>
      <c r="C1334" s="841"/>
      <c r="D1334" s="841"/>
      <c r="E1334" s="841"/>
      <c r="F1334" s="841"/>
      <c r="G1334" s="841"/>
      <c r="H1334" s="841"/>
      <c r="I1334" s="841"/>
      <c r="J1334" s="841"/>
      <c r="K1334" s="841"/>
      <c r="L1334" s="841"/>
      <c r="M1334" s="841"/>
      <c r="N1334" s="841"/>
      <c r="O1334" s="841"/>
      <c r="P1334" s="841"/>
      <c r="Q1334" s="841"/>
      <c r="R1334" s="841"/>
      <c r="S1334" s="841"/>
      <c r="T1334" s="841"/>
      <c r="U1334" s="841"/>
      <c r="V1334" s="841"/>
      <c r="W1334" s="841"/>
      <c r="X1334" s="841"/>
      <c r="Y1334" s="841"/>
      <c r="Z1334" s="1226"/>
      <c r="AA1334" s="1226"/>
      <c r="AB1334" s="1226"/>
      <c r="AC1334" s="1226"/>
      <c r="AD1334" s="1226"/>
      <c r="AE1334" s="1226"/>
      <c r="AF1334" s="1226"/>
      <c r="AG1334" s="1226"/>
      <c r="AH1334" s="1226"/>
      <c r="AI1334" s="841"/>
      <c r="AJ1334" s="841"/>
      <c r="AK1334" s="841"/>
      <c r="AL1334" s="841"/>
      <c r="AM1334" s="841"/>
      <c r="AN1334" s="841"/>
      <c r="AO1334" s="841"/>
      <c r="AP1334" s="841"/>
      <c r="AQ1334" s="841"/>
      <c r="AR1334" s="841"/>
      <c r="AS1334" s="842"/>
    </row>
    <row r="1335" spans="1:45">
      <c r="A1335" s="841"/>
      <c r="B1335" s="841"/>
      <c r="C1335" s="841"/>
      <c r="D1335" s="841"/>
      <c r="E1335" s="841"/>
      <c r="F1335" s="841"/>
      <c r="G1335" s="841"/>
      <c r="H1335" s="841"/>
      <c r="I1335" s="841"/>
      <c r="J1335" s="841"/>
      <c r="K1335" s="841"/>
      <c r="L1335" s="841"/>
      <c r="M1335" s="841"/>
      <c r="N1335" s="841"/>
      <c r="O1335" s="841"/>
      <c r="P1335" s="841"/>
      <c r="Q1335" s="841"/>
      <c r="R1335" s="841"/>
      <c r="S1335" s="841"/>
      <c r="T1335" s="841"/>
      <c r="U1335" s="841"/>
      <c r="V1335" s="841"/>
      <c r="W1335" s="841"/>
      <c r="X1335" s="841"/>
      <c r="Y1335" s="841"/>
      <c r="Z1335" s="1226"/>
      <c r="AA1335" s="1226"/>
      <c r="AB1335" s="1226"/>
      <c r="AC1335" s="1226"/>
      <c r="AD1335" s="1226"/>
      <c r="AE1335" s="1226"/>
      <c r="AF1335" s="1226"/>
      <c r="AG1335" s="1226"/>
      <c r="AH1335" s="1226"/>
      <c r="AI1335" s="841"/>
      <c r="AJ1335" s="841"/>
      <c r="AK1335" s="841"/>
      <c r="AL1335" s="841"/>
      <c r="AM1335" s="841"/>
      <c r="AN1335" s="841"/>
      <c r="AO1335" s="841"/>
      <c r="AP1335" s="841"/>
      <c r="AQ1335" s="841"/>
      <c r="AR1335" s="841"/>
      <c r="AS1335" s="842"/>
    </row>
    <row r="1336" spans="1:45">
      <c r="A1336" s="841"/>
      <c r="B1336" s="841"/>
      <c r="C1336" s="841"/>
      <c r="D1336" s="841"/>
      <c r="E1336" s="841"/>
      <c r="F1336" s="841"/>
      <c r="G1336" s="841"/>
      <c r="H1336" s="841"/>
      <c r="I1336" s="841"/>
      <c r="J1336" s="841"/>
      <c r="K1336" s="841"/>
      <c r="L1336" s="841"/>
      <c r="M1336" s="841"/>
      <c r="N1336" s="841"/>
      <c r="O1336" s="841"/>
      <c r="P1336" s="841"/>
      <c r="Q1336" s="841"/>
      <c r="R1336" s="841"/>
      <c r="S1336" s="841"/>
      <c r="T1336" s="841"/>
      <c r="U1336" s="841"/>
      <c r="V1336" s="841"/>
      <c r="W1336" s="841"/>
      <c r="X1336" s="841"/>
      <c r="Y1336" s="841"/>
      <c r="Z1336" s="1226"/>
      <c r="AA1336" s="1226"/>
      <c r="AB1336" s="1226"/>
      <c r="AC1336" s="1226"/>
      <c r="AD1336" s="1226"/>
      <c r="AE1336" s="1226"/>
      <c r="AF1336" s="1226"/>
      <c r="AG1336" s="1226"/>
      <c r="AH1336" s="1226"/>
      <c r="AI1336" s="841"/>
      <c r="AJ1336" s="841"/>
      <c r="AK1336" s="841"/>
      <c r="AL1336" s="841"/>
      <c r="AM1336" s="841"/>
      <c r="AN1336" s="841"/>
      <c r="AO1336" s="841"/>
      <c r="AP1336" s="841"/>
      <c r="AQ1336" s="841"/>
      <c r="AR1336" s="841"/>
      <c r="AS1336" s="842"/>
    </row>
    <row r="1337" spans="1:45">
      <c r="A1337" s="841"/>
      <c r="B1337" s="841"/>
      <c r="C1337" s="841"/>
      <c r="D1337" s="841"/>
      <c r="E1337" s="841"/>
      <c r="F1337" s="841"/>
      <c r="G1337" s="841"/>
      <c r="H1337" s="841"/>
      <c r="I1337" s="841"/>
      <c r="J1337" s="841"/>
      <c r="K1337" s="841"/>
      <c r="L1337" s="841"/>
      <c r="M1337" s="841"/>
      <c r="N1337" s="841"/>
      <c r="O1337" s="841"/>
      <c r="P1337" s="841"/>
      <c r="Q1337" s="841"/>
      <c r="R1337" s="841"/>
      <c r="S1337" s="841"/>
      <c r="T1337" s="841"/>
      <c r="U1337" s="841"/>
      <c r="V1337" s="841"/>
      <c r="W1337" s="841"/>
      <c r="X1337" s="841"/>
      <c r="Y1337" s="841"/>
      <c r="Z1337" s="1226"/>
      <c r="AA1337" s="1226"/>
      <c r="AB1337" s="1226"/>
      <c r="AC1337" s="1226"/>
      <c r="AD1337" s="1226"/>
      <c r="AE1337" s="1226"/>
      <c r="AF1337" s="1226"/>
      <c r="AG1337" s="1226"/>
      <c r="AH1337" s="1226"/>
      <c r="AI1337" s="841"/>
      <c r="AJ1337" s="841"/>
      <c r="AK1337" s="841"/>
      <c r="AL1337" s="841"/>
      <c r="AM1337" s="841"/>
      <c r="AN1337" s="841"/>
      <c r="AO1337" s="841"/>
      <c r="AP1337" s="841"/>
      <c r="AQ1337" s="841"/>
      <c r="AR1337" s="841"/>
      <c r="AS1337" s="842"/>
    </row>
    <row r="1338" spans="1:45">
      <c r="A1338" s="841"/>
      <c r="B1338" s="841"/>
      <c r="C1338" s="841"/>
      <c r="D1338" s="841"/>
      <c r="E1338" s="841"/>
      <c r="F1338" s="841"/>
      <c r="G1338" s="841"/>
      <c r="H1338" s="841"/>
      <c r="I1338" s="841"/>
      <c r="J1338" s="841"/>
      <c r="K1338" s="841"/>
      <c r="L1338" s="841"/>
      <c r="M1338" s="841"/>
      <c r="N1338" s="841"/>
      <c r="O1338" s="841"/>
      <c r="P1338" s="841"/>
      <c r="Q1338" s="841"/>
      <c r="R1338" s="841"/>
      <c r="S1338" s="841"/>
      <c r="T1338" s="841"/>
      <c r="U1338" s="841"/>
      <c r="V1338" s="841"/>
      <c r="W1338" s="841"/>
      <c r="X1338" s="841"/>
      <c r="Y1338" s="841"/>
      <c r="Z1338" s="1226"/>
      <c r="AA1338" s="1226"/>
      <c r="AB1338" s="1226"/>
      <c r="AC1338" s="1226"/>
      <c r="AD1338" s="1226"/>
      <c r="AE1338" s="1226"/>
      <c r="AF1338" s="1226"/>
      <c r="AG1338" s="1226"/>
      <c r="AH1338" s="1226"/>
      <c r="AI1338" s="841"/>
      <c r="AJ1338" s="841"/>
      <c r="AK1338" s="841"/>
      <c r="AL1338" s="841"/>
      <c r="AM1338" s="841"/>
      <c r="AN1338" s="841"/>
      <c r="AO1338" s="841"/>
      <c r="AP1338" s="841"/>
      <c r="AQ1338" s="841"/>
      <c r="AR1338" s="841"/>
      <c r="AS1338" s="842"/>
    </row>
    <row r="1339" spans="1:45">
      <c r="A1339" s="841"/>
      <c r="B1339" s="841"/>
      <c r="C1339" s="841"/>
      <c r="D1339" s="841"/>
      <c r="E1339" s="841"/>
      <c r="F1339" s="841"/>
      <c r="G1339" s="841"/>
      <c r="H1339" s="841"/>
      <c r="I1339" s="841"/>
      <c r="J1339" s="841"/>
      <c r="K1339" s="841"/>
      <c r="L1339" s="841"/>
      <c r="M1339" s="841"/>
      <c r="N1339" s="841"/>
      <c r="O1339" s="841"/>
      <c r="P1339" s="841"/>
      <c r="Q1339" s="841"/>
      <c r="R1339" s="841"/>
      <c r="S1339" s="841"/>
      <c r="T1339" s="841"/>
      <c r="U1339" s="841"/>
      <c r="V1339" s="841"/>
      <c r="W1339" s="841"/>
      <c r="X1339" s="841"/>
      <c r="Y1339" s="841"/>
      <c r="Z1339" s="1226"/>
      <c r="AA1339" s="1226"/>
      <c r="AB1339" s="1226"/>
      <c r="AC1339" s="1226"/>
      <c r="AD1339" s="1226"/>
      <c r="AE1339" s="1226"/>
      <c r="AF1339" s="1226"/>
      <c r="AG1339" s="1226"/>
      <c r="AH1339" s="1226"/>
      <c r="AI1339" s="841"/>
      <c r="AJ1339" s="841"/>
      <c r="AK1339" s="841"/>
      <c r="AL1339" s="841"/>
      <c r="AM1339" s="841"/>
      <c r="AN1339" s="841"/>
      <c r="AO1339" s="841"/>
      <c r="AP1339" s="841"/>
      <c r="AQ1339" s="841"/>
      <c r="AR1339" s="841"/>
      <c r="AS1339" s="842"/>
    </row>
    <row r="1340" spans="1:45">
      <c r="A1340" s="841"/>
      <c r="B1340" s="841"/>
      <c r="C1340" s="841"/>
      <c r="D1340" s="841"/>
      <c r="E1340" s="841"/>
      <c r="F1340" s="841"/>
      <c r="G1340" s="841"/>
      <c r="H1340" s="841"/>
      <c r="I1340" s="841"/>
      <c r="J1340" s="841"/>
      <c r="K1340" s="841"/>
      <c r="L1340" s="841"/>
      <c r="M1340" s="841"/>
      <c r="N1340" s="841"/>
      <c r="O1340" s="841"/>
      <c r="P1340" s="841"/>
      <c r="Q1340" s="841"/>
      <c r="R1340" s="841"/>
      <c r="S1340" s="841"/>
      <c r="T1340" s="841"/>
      <c r="U1340" s="841"/>
      <c r="V1340" s="841"/>
      <c r="W1340" s="841"/>
      <c r="X1340" s="841"/>
      <c r="Y1340" s="841"/>
      <c r="Z1340" s="1226"/>
      <c r="AA1340" s="1226"/>
      <c r="AB1340" s="1226"/>
      <c r="AC1340" s="1226"/>
      <c r="AD1340" s="1226"/>
      <c r="AE1340" s="1226"/>
      <c r="AF1340" s="1226"/>
      <c r="AG1340" s="1226"/>
      <c r="AH1340" s="1226"/>
      <c r="AI1340" s="841"/>
      <c r="AJ1340" s="841"/>
      <c r="AK1340" s="841"/>
      <c r="AL1340" s="841"/>
      <c r="AM1340" s="841"/>
      <c r="AN1340" s="841"/>
      <c r="AO1340" s="841"/>
      <c r="AP1340" s="841"/>
      <c r="AQ1340" s="841"/>
      <c r="AR1340" s="841"/>
      <c r="AS1340" s="842"/>
    </row>
    <row r="1341" spans="1:45">
      <c r="A1341" s="841"/>
      <c r="B1341" s="841"/>
      <c r="C1341" s="841"/>
      <c r="D1341" s="841"/>
      <c r="E1341" s="841"/>
      <c r="F1341" s="841"/>
      <c r="G1341" s="841"/>
      <c r="H1341" s="841"/>
      <c r="I1341" s="841"/>
      <c r="J1341" s="841"/>
      <c r="K1341" s="841"/>
      <c r="L1341" s="841"/>
      <c r="M1341" s="841"/>
      <c r="N1341" s="841"/>
      <c r="O1341" s="841"/>
      <c r="P1341" s="841"/>
      <c r="Q1341" s="841"/>
      <c r="R1341" s="841"/>
      <c r="S1341" s="841"/>
      <c r="T1341" s="841"/>
      <c r="U1341" s="841"/>
      <c r="V1341" s="841"/>
      <c r="W1341" s="841"/>
      <c r="X1341" s="841"/>
      <c r="Y1341" s="841"/>
      <c r="Z1341" s="1226"/>
      <c r="AA1341" s="1226"/>
      <c r="AB1341" s="1226"/>
      <c r="AC1341" s="1226"/>
      <c r="AD1341" s="1226"/>
      <c r="AE1341" s="1226"/>
      <c r="AF1341" s="1226"/>
      <c r="AG1341" s="1226"/>
      <c r="AH1341" s="1226"/>
      <c r="AI1341" s="841"/>
      <c r="AJ1341" s="841"/>
      <c r="AK1341" s="841"/>
      <c r="AL1341" s="841"/>
      <c r="AM1341" s="841"/>
      <c r="AN1341" s="841"/>
      <c r="AO1341" s="841"/>
      <c r="AP1341" s="841"/>
      <c r="AQ1341" s="841"/>
      <c r="AR1341" s="841"/>
      <c r="AS1341" s="842"/>
    </row>
    <row r="1342" spans="1:45">
      <c r="A1342" s="841"/>
      <c r="B1342" s="841"/>
      <c r="C1342" s="841"/>
      <c r="D1342" s="841"/>
      <c r="E1342" s="841"/>
      <c r="F1342" s="841"/>
      <c r="G1342" s="841"/>
      <c r="H1342" s="841"/>
      <c r="I1342" s="841"/>
      <c r="J1342" s="841"/>
      <c r="K1342" s="841"/>
      <c r="L1342" s="841"/>
      <c r="M1342" s="841"/>
      <c r="N1342" s="841"/>
      <c r="O1342" s="841"/>
      <c r="P1342" s="841"/>
      <c r="Q1342" s="841"/>
      <c r="R1342" s="841"/>
      <c r="S1342" s="841"/>
      <c r="T1342" s="841"/>
      <c r="U1342" s="841"/>
      <c r="V1342" s="841"/>
      <c r="W1342" s="841"/>
      <c r="X1342" s="841"/>
      <c r="Y1342" s="841"/>
      <c r="Z1342" s="1226"/>
      <c r="AA1342" s="1226"/>
      <c r="AB1342" s="1226"/>
      <c r="AC1342" s="1226"/>
      <c r="AD1342" s="1226"/>
      <c r="AE1342" s="1226"/>
      <c r="AF1342" s="1226"/>
      <c r="AG1342" s="1226"/>
      <c r="AH1342" s="1226"/>
      <c r="AI1342" s="841"/>
      <c r="AJ1342" s="841"/>
      <c r="AK1342" s="841"/>
      <c r="AL1342" s="841"/>
      <c r="AM1342" s="841"/>
      <c r="AN1342" s="841"/>
      <c r="AO1342" s="841"/>
      <c r="AP1342" s="841"/>
      <c r="AQ1342" s="841"/>
      <c r="AR1342" s="841"/>
      <c r="AS1342" s="842"/>
    </row>
    <row r="1343" spans="1:45">
      <c r="A1343" s="841"/>
      <c r="B1343" s="841"/>
      <c r="C1343" s="841"/>
      <c r="D1343" s="841"/>
      <c r="E1343" s="841"/>
      <c r="F1343" s="841"/>
      <c r="G1343" s="841"/>
      <c r="H1343" s="841"/>
      <c r="I1343" s="841"/>
      <c r="J1343" s="841"/>
      <c r="K1343" s="841"/>
      <c r="L1343" s="841"/>
      <c r="M1343" s="841"/>
      <c r="N1343" s="841"/>
      <c r="O1343" s="841"/>
      <c r="P1343" s="841"/>
      <c r="Q1343" s="841"/>
      <c r="R1343" s="841"/>
      <c r="S1343" s="841"/>
      <c r="T1343" s="841"/>
      <c r="U1343" s="841"/>
      <c r="V1343" s="841"/>
      <c r="W1343" s="841"/>
      <c r="X1343" s="841"/>
      <c r="Y1343" s="841"/>
      <c r="Z1343" s="1226"/>
      <c r="AA1343" s="1226"/>
      <c r="AB1343" s="1226"/>
      <c r="AC1343" s="1226"/>
      <c r="AD1343" s="1226"/>
      <c r="AE1343" s="1226"/>
      <c r="AF1343" s="1226"/>
      <c r="AG1343" s="1226"/>
      <c r="AH1343" s="1226"/>
      <c r="AI1343" s="841"/>
      <c r="AJ1343" s="841"/>
      <c r="AK1343" s="841"/>
      <c r="AL1343" s="841"/>
      <c r="AM1343" s="841"/>
      <c r="AN1343" s="841"/>
      <c r="AO1343" s="841"/>
      <c r="AP1343" s="841"/>
      <c r="AQ1343" s="841"/>
      <c r="AR1343" s="841"/>
      <c r="AS1343" s="842"/>
    </row>
    <row r="1344" spans="1:45">
      <c r="A1344" s="841"/>
      <c r="B1344" s="841"/>
      <c r="C1344" s="841"/>
      <c r="D1344" s="841"/>
      <c r="E1344" s="841"/>
      <c r="F1344" s="841"/>
      <c r="G1344" s="841"/>
      <c r="H1344" s="841"/>
      <c r="I1344" s="841"/>
      <c r="J1344" s="841"/>
      <c r="K1344" s="841"/>
      <c r="L1344" s="841"/>
      <c r="M1344" s="841"/>
      <c r="N1344" s="841"/>
      <c r="O1344" s="841"/>
      <c r="P1344" s="841"/>
      <c r="Q1344" s="841"/>
      <c r="R1344" s="841"/>
      <c r="S1344" s="841"/>
      <c r="T1344" s="841"/>
      <c r="U1344" s="841"/>
      <c r="V1344" s="841"/>
      <c r="W1344" s="841"/>
      <c r="X1344" s="841"/>
      <c r="Y1344" s="841"/>
      <c r="Z1344" s="1226"/>
      <c r="AA1344" s="1226"/>
      <c r="AB1344" s="1226"/>
      <c r="AC1344" s="1226"/>
      <c r="AD1344" s="1226"/>
      <c r="AE1344" s="1226"/>
      <c r="AF1344" s="1226"/>
      <c r="AG1344" s="1226"/>
      <c r="AH1344" s="1226"/>
      <c r="AI1344" s="841"/>
      <c r="AJ1344" s="841"/>
      <c r="AK1344" s="841"/>
      <c r="AL1344" s="841"/>
      <c r="AM1344" s="841"/>
      <c r="AN1344" s="841"/>
      <c r="AO1344" s="841"/>
      <c r="AP1344" s="841"/>
      <c r="AQ1344" s="841"/>
      <c r="AR1344" s="841"/>
      <c r="AS1344" s="842"/>
    </row>
    <row r="1345" spans="1:45">
      <c r="A1345" s="841"/>
      <c r="B1345" s="841"/>
      <c r="C1345" s="841"/>
      <c r="D1345" s="841"/>
      <c r="E1345" s="841"/>
      <c r="F1345" s="841"/>
      <c r="G1345" s="841"/>
      <c r="H1345" s="841"/>
      <c r="I1345" s="841"/>
      <c r="J1345" s="841"/>
      <c r="K1345" s="841"/>
      <c r="L1345" s="841"/>
      <c r="M1345" s="841"/>
      <c r="N1345" s="841"/>
      <c r="O1345" s="841"/>
      <c r="P1345" s="841"/>
      <c r="Q1345" s="841"/>
      <c r="R1345" s="841"/>
      <c r="S1345" s="841"/>
      <c r="T1345" s="841"/>
      <c r="U1345" s="841"/>
      <c r="V1345" s="841"/>
      <c r="W1345" s="841"/>
      <c r="X1345" s="841"/>
      <c r="Y1345" s="841"/>
      <c r="Z1345" s="1226"/>
      <c r="AA1345" s="1226"/>
      <c r="AB1345" s="1226"/>
      <c r="AC1345" s="1226"/>
      <c r="AD1345" s="1226"/>
      <c r="AE1345" s="1226"/>
      <c r="AF1345" s="1226"/>
      <c r="AG1345" s="1226"/>
      <c r="AH1345" s="1226"/>
      <c r="AI1345" s="841"/>
      <c r="AJ1345" s="841"/>
      <c r="AK1345" s="841"/>
      <c r="AL1345" s="841"/>
      <c r="AM1345" s="841"/>
      <c r="AN1345" s="841"/>
      <c r="AO1345" s="841"/>
      <c r="AP1345" s="841"/>
      <c r="AQ1345" s="841"/>
      <c r="AR1345" s="841"/>
      <c r="AS1345" s="842"/>
    </row>
    <row r="1346" spans="1:45">
      <c r="A1346" s="841"/>
      <c r="B1346" s="841"/>
      <c r="C1346" s="841"/>
      <c r="D1346" s="841"/>
      <c r="E1346" s="841"/>
      <c r="F1346" s="841"/>
      <c r="G1346" s="841"/>
      <c r="H1346" s="841"/>
      <c r="I1346" s="841"/>
      <c r="J1346" s="841"/>
      <c r="K1346" s="841"/>
      <c r="L1346" s="841"/>
      <c r="M1346" s="841"/>
      <c r="N1346" s="841"/>
      <c r="O1346" s="841"/>
      <c r="P1346" s="841"/>
      <c r="Q1346" s="841"/>
      <c r="R1346" s="841"/>
      <c r="S1346" s="841"/>
      <c r="T1346" s="841"/>
      <c r="U1346" s="841"/>
      <c r="V1346" s="841"/>
      <c r="W1346" s="841"/>
      <c r="X1346" s="841"/>
      <c r="Y1346" s="841"/>
      <c r="Z1346" s="1226"/>
      <c r="AA1346" s="1226"/>
      <c r="AB1346" s="1226"/>
      <c r="AC1346" s="1226"/>
      <c r="AD1346" s="1226"/>
      <c r="AE1346" s="1226"/>
      <c r="AF1346" s="1226"/>
      <c r="AG1346" s="1226"/>
      <c r="AH1346" s="1226"/>
      <c r="AI1346" s="841"/>
      <c r="AJ1346" s="841"/>
      <c r="AK1346" s="841"/>
      <c r="AL1346" s="841"/>
      <c r="AM1346" s="841"/>
      <c r="AN1346" s="841"/>
      <c r="AO1346" s="841"/>
      <c r="AP1346" s="841"/>
      <c r="AQ1346" s="841"/>
      <c r="AR1346" s="841"/>
      <c r="AS1346" s="842"/>
    </row>
    <row r="1347" spans="1:45">
      <c r="A1347" s="841"/>
      <c r="B1347" s="841"/>
      <c r="C1347" s="841"/>
      <c r="D1347" s="841"/>
      <c r="E1347" s="841"/>
      <c r="F1347" s="841"/>
      <c r="G1347" s="841"/>
      <c r="H1347" s="841"/>
      <c r="I1347" s="841"/>
      <c r="J1347" s="841"/>
      <c r="K1347" s="841"/>
      <c r="L1347" s="841"/>
      <c r="M1347" s="841"/>
      <c r="N1347" s="841"/>
      <c r="O1347" s="841"/>
      <c r="P1347" s="841"/>
      <c r="Q1347" s="841"/>
      <c r="R1347" s="841"/>
      <c r="S1347" s="841"/>
      <c r="T1347" s="841"/>
      <c r="U1347" s="841"/>
      <c r="V1347" s="841"/>
      <c r="W1347" s="841"/>
      <c r="X1347" s="841"/>
      <c r="Y1347" s="841"/>
      <c r="Z1347" s="1226"/>
      <c r="AA1347" s="1226"/>
      <c r="AB1347" s="1226"/>
      <c r="AC1347" s="1226"/>
      <c r="AD1347" s="1226"/>
      <c r="AE1347" s="1226"/>
      <c r="AF1347" s="1226"/>
      <c r="AG1347" s="1226"/>
      <c r="AH1347" s="1226"/>
      <c r="AI1347" s="841"/>
      <c r="AJ1347" s="841"/>
      <c r="AK1347" s="841"/>
      <c r="AL1347" s="841"/>
      <c r="AM1347" s="841"/>
      <c r="AN1347" s="841"/>
      <c r="AO1347" s="841"/>
      <c r="AP1347" s="841"/>
      <c r="AQ1347" s="841"/>
      <c r="AR1347" s="841"/>
      <c r="AS1347" s="842"/>
    </row>
    <row r="1348" spans="1:45">
      <c r="A1348" s="841"/>
      <c r="B1348" s="841"/>
      <c r="C1348" s="841"/>
      <c r="D1348" s="841"/>
      <c r="E1348" s="841"/>
      <c r="F1348" s="841"/>
      <c r="G1348" s="841"/>
      <c r="H1348" s="841"/>
      <c r="I1348" s="841"/>
      <c r="J1348" s="841"/>
      <c r="K1348" s="841"/>
      <c r="L1348" s="841"/>
      <c r="M1348" s="841"/>
      <c r="N1348" s="841"/>
      <c r="O1348" s="841"/>
      <c r="P1348" s="841"/>
      <c r="Q1348" s="841"/>
      <c r="R1348" s="841"/>
      <c r="S1348" s="841"/>
      <c r="T1348" s="841"/>
      <c r="U1348" s="841"/>
      <c r="V1348" s="841"/>
      <c r="W1348" s="841"/>
      <c r="X1348" s="841"/>
      <c r="Y1348" s="841"/>
      <c r="Z1348" s="1226"/>
      <c r="AA1348" s="1226"/>
      <c r="AB1348" s="1226"/>
      <c r="AC1348" s="1226"/>
      <c r="AD1348" s="1226"/>
      <c r="AE1348" s="1226"/>
      <c r="AF1348" s="1226"/>
      <c r="AG1348" s="1226"/>
      <c r="AH1348" s="1226"/>
      <c r="AI1348" s="841"/>
      <c r="AJ1348" s="841"/>
      <c r="AK1348" s="841"/>
      <c r="AL1348" s="841"/>
      <c r="AM1348" s="841"/>
      <c r="AN1348" s="841"/>
      <c r="AO1348" s="841"/>
      <c r="AP1348" s="841"/>
      <c r="AQ1348" s="841"/>
      <c r="AR1348" s="841"/>
      <c r="AS1348" s="842"/>
    </row>
    <row r="1349" spans="1:45">
      <c r="A1349" s="841"/>
      <c r="B1349" s="841"/>
      <c r="C1349" s="841"/>
      <c r="D1349" s="841"/>
      <c r="E1349" s="841"/>
      <c r="F1349" s="841"/>
      <c r="G1349" s="841"/>
      <c r="H1349" s="841"/>
      <c r="I1349" s="841"/>
      <c r="J1349" s="841"/>
      <c r="K1349" s="841"/>
      <c r="L1349" s="841"/>
      <c r="M1349" s="841"/>
      <c r="N1349" s="841"/>
      <c r="O1349" s="841"/>
      <c r="P1349" s="841"/>
      <c r="Q1349" s="841"/>
      <c r="R1349" s="841"/>
      <c r="S1349" s="841"/>
      <c r="T1349" s="841"/>
      <c r="U1349" s="841"/>
      <c r="V1349" s="841"/>
      <c r="W1349" s="841"/>
      <c r="X1349" s="841"/>
      <c r="Y1349" s="841"/>
      <c r="Z1349" s="1226"/>
      <c r="AA1349" s="1226"/>
      <c r="AB1349" s="1226"/>
      <c r="AC1349" s="1226"/>
      <c r="AD1349" s="1226"/>
      <c r="AE1349" s="1226"/>
      <c r="AF1349" s="1226"/>
      <c r="AG1349" s="1226"/>
      <c r="AH1349" s="1226"/>
      <c r="AI1349" s="841"/>
      <c r="AJ1349" s="841"/>
      <c r="AK1349" s="841"/>
      <c r="AL1349" s="841"/>
      <c r="AM1349" s="841"/>
      <c r="AN1349" s="841"/>
      <c r="AO1349" s="841"/>
      <c r="AP1349" s="841"/>
      <c r="AQ1349" s="841"/>
      <c r="AR1349" s="841"/>
      <c r="AS1349" s="842"/>
    </row>
    <row r="1350" spans="1:45">
      <c r="A1350" s="841"/>
      <c r="B1350" s="841"/>
      <c r="C1350" s="841"/>
      <c r="D1350" s="841"/>
      <c r="E1350" s="841"/>
      <c r="F1350" s="841"/>
      <c r="G1350" s="841"/>
      <c r="H1350" s="841"/>
      <c r="I1350" s="841"/>
      <c r="J1350" s="841"/>
      <c r="K1350" s="841"/>
      <c r="L1350" s="841"/>
      <c r="M1350" s="841"/>
      <c r="N1350" s="841"/>
      <c r="O1350" s="841"/>
      <c r="P1350" s="841"/>
      <c r="Q1350" s="841"/>
      <c r="R1350" s="841"/>
      <c r="S1350" s="841"/>
      <c r="T1350" s="841"/>
      <c r="U1350" s="841"/>
      <c r="V1350" s="841"/>
      <c r="W1350" s="841"/>
      <c r="X1350" s="841"/>
      <c r="Y1350" s="841"/>
      <c r="Z1350" s="1226"/>
      <c r="AA1350" s="1226"/>
      <c r="AB1350" s="1226"/>
      <c r="AC1350" s="1226"/>
      <c r="AD1350" s="1226"/>
      <c r="AE1350" s="1226"/>
      <c r="AF1350" s="1226"/>
      <c r="AG1350" s="1226"/>
      <c r="AH1350" s="1226"/>
      <c r="AI1350" s="841"/>
      <c r="AJ1350" s="841"/>
      <c r="AK1350" s="841"/>
      <c r="AL1350" s="841"/>
      <c r="AM1350" s="841"/>
      <c r="AN1350" s="841"/>
      <c r="AO1350" s="841"/>
      <c r="AP1350" s="841"/>
      <c r="AQ1350" s="841"/>
      <c r="AR1350" s="841"/>
      <c r="AS1350" s="842"/>
    </row>
    <row r="1351" spans="1:45">
      <c r="A1351" s="841"/>
      <c r="B1351" s="841"/>
      <c r="C1351" s="841"/>
      <c r="D1351" s="841"/>
      <c r="E1351" s="841"/>
      <c r="F1351" s="841"/>
      <c r="G1351" s="841"/>
      <c r="H1351" s="841"/>
      <c r="I1351" s="841"/>
      <c r="J1351" s="841"/>
      <c r="K1351" s="841"/>
      <c r="L1351" s="841"/>
      <c r="M1351" s="841"/>
      <c r="N1351" s="841"/>
      <c r="O1351" s="841"/>
      <c r="P1351" s="841"/>
      <c r="Q1351" s="841"/>
      <c r="R1351" s="841"/>
      <c r="S1351" s="841"/>
      <c r="T1351" s="841"/>
      <c r="U1351" s="841"/>
      <c r="V1351" s="841"/>
      <c r="W1351" s="841"/>
      <c r="X1351" s="841"/>
      <c r="Y1351" s="841"/>
      <c r="Z1351" s="1226"/>
      <c r="AA1351" s="1226"/>
      <c r="AB1351" s="1226"/>
      <c r="AC1351" s="1226"/>
      <c r="AD1351" s="1226"/>
      <c r="AE1351" s="1226"/>
      <c r="AF1351" s="1226"/>
      <c r="AG1351" s="1226"/>
      <c r="AH1351" s="1226"/>
      <c r="AI1351" s="841"/>
      <c r="AJ1351" s="841"/>
      <c r="AK1351" s="841"/>
      <c r="AL1351" s="841"/>
      <c r="AM1351" s="841"/>
      <c r="AN1351" s="841"/>
      <c r="AO1351" s="841"/>
      <c r="AP1351" s="841"/>
      <c r="AQ1351" s="841"/>
      <c r="AR1351" s="841"/>
      <c r="AS1351" s="842"/>
    </row>
    <row r="1352" spans="1:45">
      <c r="A1352" s="841"/>
      <c r="B1352" s="841"/>
      <c r="C1352" s="841"/>
      <c r="D1352" s="841"/>
      <c r="E1352" s="841"/>
      <c r="F1352" s="841"/>
      <c r="G1352" s="841"/>
      <c r="H1352" s="841"/>
      <c r="I1352" s="841"/>
      <c r="J1352" s="841"/>
      <c r="K1352" s="841"/>
      <c r="L1352" s="841"/>
      <c r="M1352" s="841"/>
      <c r="N1352" s="841"/>
      <c r="O1352" s="841"/>
      <c r="P1352" s="841"/>
      <c r="Q1352" s="841"/>
      <c r="R1352" s="841"/>
      <c r="S1352" s="841"/>
      <c r="T1352" s="841"/>
      <c r="U1352" s="841"/>
      <c r="V1352" s="841"/>
      <c r="W1352" s="841"/>
      <c r="X1352" s="841"/>
      <c r="Y1352" s="841"/>
      <c r="Z1352" s="1226"/>
      <c r="AA1352" s="1226"/>
      <c r="AB1352" s="1226"/>
      <c r="AC1352" s="1226"/>
      <c r="AD1352" s="1226"/>
      <c r="AE1352" s="1226"/>
      <c r="AF1352" s="1226"/>
      <c r="AG1352" s="1226"/>
      <c r="AH1352" s="1226"/>
      <c r="AI1352" s="841"/>
      <c r="AJ1352" s="841"/>
      <c r="AK1352" s="841"/>
      <c r="AL1352" s="841"/>
      <c r="AM1352" s="841"/>
      <c r="AN1352" s="841"/>
      <c r="AO1352" s="841"/>
      <c r="AP1352" s="841"/>
      <c r="AQ1352" s="841"/>
      <c r="AR1352" s="841"/>
      <c r="AS1352" s="842"/>
    </row>
    <row r="1353" spans="1:45">
      <c r="A1353" s="841"/>
      <c r="B1353" s="841"/>
      <c r="C1353" s="841"/>
      <c r="D1353" s="841"/>
      <c r="E1353" s="841"/>
      <c r="F1353" s="841"/>
      <c r="G1353" s="841"/>
      <c r="H1353" s="841"/>
      <c r="I1353" s="841"/>
      <c r="J1353" s="841"/>
      <c r="K1353" s="841"/>
      <c r="L1353" s="841"/>
      <c r="M1353" s="841"/>
      <c r="N1353" s="841"/>
      <c r="O1353" s="841"/>
      <c r="P1353" s="841"/>
      <c r="Q1353" s="841"/>
      <c r="R1353" s="841"/>
      <c r="S1353" s="841"/>
      <c r="T1353" s="841"/>
      <c r="U1353" s="841"/>
      <c r="V1353" s="841"/>
      <c r="W1353" s="841"/>
      <c r="X1353" s="841"/>
      <c r="Y1353" s="841"/>
      <c r="Z1353" s="1226"/>
      <c r="AA1353" s="1226"/>
      <c r="AB1353" s="1226"/>
      <c r="AC1353" s="1226"/>
      <c r="AD1353" s="1226"/>
      <c r="AE1353" s="1226"/>
      <c r="AF1353" s="1226"/>
      <c r="AG1353" s="1226"/>
      <c r="AH1353" s="1226"/>
      <c r="AI1353" s="841"/>
      <c r="AJ1353" s="841"/>
      <c r="AK1353" s="841"/>
      <c r="AL1353" s="841"/>
      <c r="AM1353" s="841"/>
      <c r="AN1353" s="841"/>
      <c r="AO1353" s="841"/>
      <c r="AP1353" s="841"/>
      <c r="AQ1353" s="841"/>
      <c r="AR1353" s="841"/>
      <c r="AS1353" s="842"/>
    </row>
    <row r="1354" spans="1:45">
      <c r="A1354" s="841"/>
      <c r="B1354" s="841"/>
      <c r="C1354" s="841"/>
      <c r="D1354" s="841"/>
      <c r="E1354" s="841"/>
      <c r="F1354" s="841"/>
      <c r="G1354" s="841"/>
      <c r="H1354" s="841"/>
      <c r="I1354" s="841"/>
      <c r="J1354" s="841"/>
      <c r="K1354" s="841"/>
      <c r="L1354" s="841"/>
      <c r="M1354" s="841"/>
      <c r="N1354" s="841"/>
      <c r="O1354" s="841"/>
      <c r="P1354" s="841"/>
      <c r="Q1354" s="841"/>
      <c r="R1354" s="841"/>
      <c r="S1354" s="841"/>
      <c r="T1354" s="841"/>
      <c r="U1354" s="841"/>
      <c r="V1354" s="841"/>
      <c r="W1354" s="841"/>
      <c r="X1354" s="841"/>
      <c r="Y1354" s="841"/>
      <c r="Z1354" s="1226"/>
      <c r="AA1354" s="1226"/>
      <c r="AB1354" s="1226"/>
      <c r="AC1354" s="1226"/>
      <c r="AD1354" s="1226"/>
      <c r="AE1354" s="1226"/>
      <c r="AF1354" s="1226"/>
      <c r="AG1354" s="1226"/>
      <c r="AH1354" s="1226"/>
      <c r="AI1354" s="841"/>
      <c r="AJ1354" s="841"/>
      <c r="AK1354" s="841"/>
      <c r="AL1354" s="841"/>
      <c r="AM1354" s="841"/>
      <c r="AN1354" s="841"/>
      <c r="AO1354" s="841"/>
      <c r="AP1354" s="841"/>
      <c r="AQ1354" s="841"/>
      <c r="AR1354" s="841"/>
      <c r="AS1354" s="842"/>
    </row>
    <row r="1355" spans="1:45">
      <c r="A1355" s="841"/>
      <c r="B1355" s="841"/>
      <c r="C1355" s="841"/>
      <c r="D1355" s="841"/>
      <c r="E1355" s="841"/>
      <c r="F1355" s="841"/>
      <c r="G1355" s="841"/>
      <c r="H1355" s="841"/>
      <c r="I1355" s="841"/>
      <c r="J1355" s="841"/>
      <c r="K1355" s="841"/>
      <c r="L1355" s="841"/>
      <c r="M1355" s="841"/>
      <c r="N1355" s="841"/>
      <c r="O1355" s="841"/>
      <c r="P1355" s="841"/>
      <c r="Q1355" s="841"/>
      <c r="R1355" s="841"/>
      <c r="S1355" s="841"/>
      <c r="T1355" s="841"/>
      <c r="U1355" s="841"/>
      <c r="V1355" s="841"/>
      <c r="W1355" s="841"/>
      <c r="X1355" s="841"/>
      <c r="Y1355" s="841"/>
      <c r="Z1355" s="1226"/>
      <c r="AA1355" s="1226"/>
      <c r="AB1355" s="1226"/>
      <c r="AC1355" s="1226"/>
      <c r="AD1355" s="1226"/>
      <c r="AE1355" s="1226"/>
      <c r="AF1355" s="1226"/>
      <c r="AG1355" s="1226"/>
      <c r="AH1355" s="1226"/>
      <c r="AI1355" s="841"/>
      <c r="AJ1355" s="841"/>
      <c r="AK1355" s="841"/>
      <c r="AL1355" s="841"/>
      <c r="AM1355" s="841"/>
      <c r="AN1355" s="841"/>
      <c r="AO1355" s="841"/>
      <c r="AP1355" s="841"/>
      <c r="AQ1355" s="841"/>
      <c r="AR1355" s="841"/>
      <c r="AS1355" s="842"/>
    </row>
    <row r="1356" spans="1:45">
      <c r="A1356" s="841"/>
      <c r="B1356" s="841"/>
      <c r="C1356" s="841"/>
      <c r="D1356" s="841"/>
      <c r="E1356" s="841"/>
      <c r="F1356" s="841"/>
      <c r="G1356" s="841"/>
      <c r="H1356" s="841"/>
      <c r="I1356" s="841"/>
      <c r="J1356" s="841"/>
      <c r="K1356" s="841"/>
      <c r="L1356" s="841"/>
      <c r="M1356" s="841"/>
      <c r="N1356" s="841"/>
      <c r="O1356" s="841"/>
      <c r="P1356" s="841"/>
      <c r="Q1356" s="841"/>
      <c r="R1356" s="841"/>
      <c r="S1356" s="841"/>
      <c r="T1356" s="841"/>
      <c r="U1356" s="841"/>
      <c r="V1356" s="841"/>
      <c r="W1356" s="841"/>
      <c r="X1356" s="841"/>
      <c r="Y1356" s="841"/>
      <c r="Z1356" s="1226"/>
      <c r="AA1356" s="1226"/>
      <c r="AB1356" s="1226"/>
      <c r="AC1356" s="1226"/>
      <c r="AD1356" s="1226"/>
      <c r="AE1356" s="1226"/>
      <c r="AF1356" s="1226"/>
      <c r="AG1356" s="1226"/>
      <c r="AH1356" s="1226"/>
      <c r="AI1356" s="841"/>
      <c r="AJ1356" s="841"/>
      <c r="AK1356" s="841"/>
      <c r="AL1356" s="841"/>
      <c r="AM1356" s="841"/>
      <c r="AN1356" s="841"/>
      <c r="AO1356" s="841"/>
      <c r="AP1356" s="841"/>
      <c r="AQ1356" s="841"/>
      <c r="AR1356" s="841"/>
      <c r="AS1356" s="842"/>
    </row>
    <row r="1357" spans="1:45">
      <c r="A1357" s="841"/>
      <c r="B1357" s="841"/>
      <c r="C1357" s="841"/>
      <c r="D1357" s="841"/>
      <c r="E1357" s="841"/>
      <c r="F1357" s="841"/>
      <c r="G1357" s="841"/>
      <c r="H1357" s="841"/>
      <c r="I1357" s="841"/>
      <c r="J1357" s="841"/>
      <c r="K1357" s="841"/>
      <c r="L1357" s="841"/>
      <c r="M1357" s="841"/>
      <c r="N1357" s="841"/>
      <c r="O1357" s="841"/>
      <c r="P1357" s="841"/>
      <c r="Q1357" s="841"/>
      <c r="R1357" s="841"/>
      <c r="S1357" s="841"/>
      <c r="T1357" s="841"/>
      <c r="U1357" s="841"/>
      <c r="V1357" s="841"/>
      <c r="W1357" s="841"/>
      <c r="X1357" s="841"/>
      <c r="Y1357" s="841"/>
      <c r="Z1357" s="1226"/>
      <c r="AA1357" s="1226"/>
      <c r="AB1357" s="1226"/>
      <c r="AC1357" s="1226"/>
      <c r="AD1357" s="1226"/>
      <c r="AE1357" s="1226"/>
      <c r="AF1357" s="1226"/>
      <c r="AG1357" s="1226"/>
      <c r="AH1357" s="1226"/>
      <c r="AI1357" s="841"/>
      <c r="AJ1357" s="841"/>
      <c r="AK1357" s="841"/>
      <c r="AL1357" s="841"/>
      <c r="AM1357" s="841"/>
      <c r="AN1357" s="841"/>
      <c r="AO1357" s="841"/>
      <c r="AP1357" s="841"/>
      <c r="AQ1357" s="841"/>
      <c r="AR1357" s="841"/>
      <c r="AS1357" s="842"/>
    </row>
    <row r="1358" spans="1:45">
      <c r="A1358" s="841"/>
      <c r="B1358" s="841"/>
      <c r="C1358" s="841"/>
      <c r="D1358" s="841"/>
      <c r="E1358" s="841"/>
      <c r="F1358" s="841"/>
      <c r="G1358" s="841"/>
      <c r="H1358" s="841"/>
      <c r="I1358" s="841"/>
      <c r="J1358" s="841"/>
      <c r="K1358" s="841"/>
      <c r="L1358" s="841"/>
      <c r="M1358" s="841"/>
      <c r="N1358" s="841"/>
      <c r="O1358" s="841"/>
      <c r="P1358" s="841"/>
      <c r="Q1358" s="841"/>
      <c r="R1358" s="841"/>
      <c r="S1358" s="841"/>
      <c r="T1358" s="841"/>
      <c r="U1358" s="841"/>
      <c r="V1358" s="841"/>
      <c r="W1358" s="841"/>
      <c r="X1358" s="841"/>
      <c r="Y1358" s="841"/>
      <c r="Z1358" s="1226"/>
      <c r="AA1358" s="1226"/>
      <c r="AB1358" s="1226"/>
      <c r="AC1358" s="1226"/>
      <c r="AD1358" s="1226"/>
      <c r="AE1358" s="1226"/>
      <c r="AF1358" s="1226"/>
      <c r="AG1358" s="1226"/>
      <c r="AH1358" s="1226"/>
      <c r="AI1358" s="841"/>
      <c r="AJ1358" s="841"/>
      <c r="AK1358" s="841"/>
      <c r="AL1358" s="841"/>
      <c r="AM1358" s="841"/>
      <c r="AN1358" s="841"/>
      <c r="AO1358" s="841"/>
      <c r="AP1358" s="841"/>
      <c r="AQ1358" s="841"/>
      <c r="AR1358" s="841"/>
      <c r="AS1358" s="842"/>
    </row>
    <row r="1359" spans="1:45">
      <c r="A1359" s="841"/>
      <c r="B1359" s="841"/>
      <c r="C1359" s="841"/>
      <c r="D1359" s="841"/>
      <c r="E1359" s="841"/>
      <c r="F1359" s="841"/>
      <c r="G1359" s="841"/>
      <c r="H1359" s="841"/>
      <c r="I1359" s="841"/>
      <c r="J1359" s="841"/>
      <c r="K1359" s="841"/>
      <c r="L1359" s="841"/>
      <c r="M1359" s="841"/>
      <c r="N1359" s="841"/>
      <c r="O1359" s="841"/>
      <c r="P1359" s="841"/>
      <c r="Q1359" s="841"/>
      <c r="R1359" s="841"/>
      <c r="S1359" s="841"/>
      <c r="T1359" s="841"/>
      <c r="U1359" s="841"/>
      <c r="V1359" s="841"/>
      <c r="W1359" s="841"/>
      <c r="X1359" s="841"/>
      <c r="Y1359" s="841"/>
      <c r="Z1359" s="1226"/>
      <c r="AA1359" s="1226"/>
      <c r="AB1359" s="1226"/>
      <c r="AC1359" s="1226"/>
      <c r="AD1359" s="1226"/>
      <c r="AE1359" s="1226"/>
      <c r="AF1359" s="1226"/>
      <c r="AG1359" s="1226"/>
      <c r="AH1359" s="1226"/>
      <c r="AI1359" s="841"/>
      <c r="AJ1359" s="841"/>
      <c r="AK1359" s="841"/>
      <c r="AL1359" s="841"/>
      <c r="AM1359" s="841"/>
      <c r="AN1359" s="841"/>
      <c r="AO1359" s="841"/>
      <c r="AP1359" s="841"/>
      <c r="AQ1359" s="841"/>
      <c r="AR1359" s="841"/>
      <c r="AS1359" s="842"/>
    </row>
    <row r="1360" spans="1:45">
      <c r="A1360" s="841"/>
      <c r="B1360" s="841"/>
      <c r="C1360" s="841"/>
      <c r="D1360" s="841"/>
      <c r="E1360" s="841"/>
      <c r="F1360" s="841"/>
      <c r="G1360" s="841"/>
      <c r="H1360" s="841"/>
      <c r="I1360" s="841"/>
      <c r="J1360" s="841"/>
      <c r="K1360" s="841"/>
      <c r="L1360" s="841"/>
      <c r="M1360" s="841"/>
      <c r="N1360" s="841"/>
      <c r="O1360" s="841"/>
      <c r="P1360" s="841"/>
      <c r="Q1360" s="841"/>
      <c r="R1360" s="841"/>
      <c r="S1360" s="841"/>
      <c r="T1360" s="841"/>
      <c r="U1360" s="841"/>
      <c r="V1360" s="841"/>
      <c r="W1360" s="841"/>
      <c r="X1360" s="841"/>
      <c r="Y1360" s="841"/>
      <c r="Z1360" s="1226"/>
      <c r="AA1360" s="1226"/>
      <c r="AB1360" s="1226"/>
      <c r="AC1360" s="1226"/>
      <c r="AD1360" s="1226"/>
      <c r="AE1360" s="1226"/>
      <c r="AF1360" s="1226"/>
      <c r="AG1360" s="1226"/>
      <c r="AH1360" s="1226"/>
      <c r="AI1360" s="841"/>
      <c r="AJ1360" s="841"/>
      <c r="AK1360" s="841"/>
      <c r="AL1360" s="841"/>
      <c r="AM1360" s="841"/>
      <c r="AN1360" s="841"/>
      <c r="AO1360" s="841"/>
      <c r="AP1360" s="841"/>
      <c r="AQ1360" s="841"/>
      <c r="AR1360" s="841"/>
      <c r="AS1360" s="842"/>
    </row>
    <row r="1361" spans="1:45">
      <c r="A1361" s="841"/>
      <c r="B1361" s="841"/>
      <c r="C1361" s="841"/>
      <c r="D1361" s="841"/>
      <c r="E1361" s="841"/>
      <c r="F1361" s="841"/>
      <c r="G1361" s="841"/>
      <c r="H1361" s="841"/>
      <c r="I1361" s="841"/>
      <c r="J1361" s="841"/>
      <c r="K1361" s="841"/>
      <c r="L1361" s="841"/>
      <c r="M1361" s="841"/>
      <c r="N1361" s="841"/>
      <c r="O1361" s="841"/>
      <c r="P1361" s="841"/>
      <c r="Q1361" s="841"/>
      <c r="R1361" s="841"/>
      <c r="S1361" s="841"/>
      <c r="T1361" s="841"/>
      <c r="U1361" s="841"/>
      <c r="V1361" s="841"/>
      <c r="W1361" s="841"/>
      <c r="X1361" s="841"/>
      <c r="Y1361" s="841"/>
      <c r="Z1361" s="1226"/>
      <c r="AA1361" s="1226"/>
      <c r="AB1361" s="1226"/>
      <c r="AC1361" s="1226"/>
      <c r="AD1361" s="1226"/>
      <c r="AE1361" s="1226"/>
      <c r="AF1361" s="1226"/>
      <c r="AG1361" s="1226"/>
      <c r="AH1361" s="1226"/>
      <c r="AI1361" s="841"/>
      <c r="AJ1361" s="841"/>
      <c r="AK1361" s="841"/>
      <c r="AL1361" s="841"/>
      <c r="AM1361" s="841"/>
      <c r="AN1361" s="841"/>
      <c r="AO1361" s="841"/>
      <c r="AP1361" s="841"/>
      <c r="AQ1361" s="841"/>
      <c r="AR1361" s="841"/>
      <c r="AS1361" s="842"/>
    </row>
    <row r="1362" spans="1:45">
      <c r="A1362" s="841"/>
      <c r="B1362" s="841"/>
      <c r="C1362" s="841"/>
      <c r="D1362" s="841"/>
      <c r="E1362" s="841"/>
      <c r="F1362" s="841"/>
      <c r="G1362" s="841"/>
      <c r="H1362" s="841"/>
      <c r="I1362" s="841"/>
      <c r="J1362" s="841"/>
      <c r="K1362" s="841"/>
      <c r="L1362" s="841"/>
      <c r="M1362" s="841"/>
      <c r="N1362" s="841"/>
      <c r="O1362" s="841"/>
      <c r="P1362" s="841"/>
      <c r="Q1362" s="841"/>
      <c r="R1362" s="841"/>
      <c r="S1362" s="841"/>
      <c r="T1362" s="841"/>
      <c r="U1362" s="841"/>
      <c r="V1362" s="841"/>
      <c r="W1362" s="841"/>
      <c r="X1362" s="841"/>
      <c r="Y1362" s="841"/>
      <c r="Z1362" s="1226"/>
      <c r="AA1362" s="1226"/>
      <c r="AB1362" s="1226"/>
      <c r="AC1362" s="1226"/>
      <c r="AD1362" s="1226"/>
      <c r="AE1362" s="1226"/>
      <c r="AF1362" s="1226"/>
      <c r="AG1362" s="1226"/>
      <c r="AH1362" s="1226"/>
      <c r="AI1362" s="841"/>
      <c r="AJ1362" s="841"/>
      <c r="AK1362" s="841"/>
      <c r="AL1362" s="841"/>
      <c r="AM1362" s="841"/>
      <c r="AN1362" s="841"/>
      <c r="AO1362" s="841"/>
      <c r="AP1362" s="841"/>
      <c r="AQ1362" s="841"/>
      <c r="AR1362" s="841"/>
      <c r="AS1362" s="842"/>
    </row>
    <row r="1363" spans="1:45">
      <c r="A1363" s="841"/>
      <c r="B1363" s="841"/>
      <c r="C1363" s="841"/>
      <c r="D1363" s="841"/>
      <c r="E1363" s="841"/>
      <c r="F1363" s="841"/>
      <c r="G1363" s="841"/>
      <c r="H1363" s="841"/>
      <c r="I1363" s="841"/>
      <c r="J1363" s="841"/>
      <c r="K1363" s="841"/>
      <c r="L1363" s="841"/>
      <c r="M1363" s="841"/>
      <c r="N1363" s="841"/>
      <c r="O1363" s="841"/>
      <c r="P1363" s="841"/>
      <c r="Q1363" s="841"/>
      <c r="R1363" s="841"/>
      <c r="S1363" s="841"/>
      <c r="T1363" s="841"/>
      <c r="U1363" s="841"/>
      <c r="V1363" s="841"/>
      <c r="W1363" s="841"/>
      <c r="X1363" s="841"/>
      <c r="Y1363" s="841"/>
      <c r="Z1363" s="1226"/>
      <c r="AA1363" s="1226"/>
      <c r="AB1363" s="1226"/>
      <c r="AC1363" s="1226"/>
      <c r="AD1363" s="1226"/>
      <c r="AE1363" s="1226"/>
      <c r="AF1363" s="1226"/>
      <c r="AG1363" s="1226"/>
      <c r="AH1363" s="1226"/>
      <c r="AI1363" s="841"/>
      <c r="AJ1363" s="841"/>
      <c r="AK1363" s="841"/>
      <c r="AL1363" s="841"/>
      <c r="AM1363" s="841"/>
      <c r="AN1363" s="841"/>
      <c r="AO1363" s="841"/>
      <c r="AP1363" s="841"/>
      <c r="AQ1363" s="841"/>
      <c r="AR1363" s="841"/>
      <c r="AS1363" s="842"/>
    </row>
    <row r="1364" spans="1:45">
      <c r="A1364" s="841"/>
      <c r="B1364" s="841"/>
      <c r="C1364" s="841"/>
      <c r="D1364" s="841"/>
      <c r="E1364" s="841"/>
      <c r="F1364" s="841"/>
      <c r="G1364" s="841"/>
      <c r="H1364" s="841"/>
      <c r="I1364" s="841"/>
      <c r="J1364" s="841"/>
      <c r="K1364" s="841"/>
      <c r="L1364" s="841"/>
      <c r="M1364" s="841"/>
      <c r="N1364" s="841"/>
      <c r="O1364" s="841"/>
      <c r="P1364" s="841"/>
      <c r="Q1364" s="841"/>
      <c r="R1364" s="841"/>
      <c r="S1364" s="841"/>
      <c r="T1364" s="841"/>
      <c r="U1364" s="841"/>
      <c r="V1364" s="841"/>
      <c r="W1364" s="841"/>
      <c r="X1364" s="841"/>
      <c r="Y1364" s="841"/>
      <c r="Z1364" s="1226"/>
      <c r="AA1364" s="1226"/>
      <c r="AB1364" s="1226"/>
      <c r="AC1364" s="1226"/>
      <c r="AD1364" s="1226"/>
      <c r="AE1364" s="1226"/>
      <c r="AF1364" s="1226"/>
      <c r="AG1364" s="1226"/>
      <c r="AH1364" s="1226"/>
      <c r="AI1364" s="841"/>
      <c r="AJ1364" s="841"/>
      <c r="AK1364" s="841"/>
      <c r="AL1364" s="841"/>
      <c r="AM1364" s="841"/>
      <c r="AN1364" s="841"/>
      <c r="AO1364" s="841"/>
      <c r="AP1364" s="841"/>
      <c r="AQ1364" s="841"/>
      <c r="AR1364" s="841"/>
      <c r="AS1364" s="842"/>
    </row>
    <row r="1365" spans="1:45">
      <c r="A1365" s="841"/>
      <c r="B1365" s="841"/>
      <c r="C1365" s="841"/>
      <c r="D1365" s="841"/>
      <c r="E1365" s="841"/>
      <c r="F1365" s="841"/>
      <c r="G1365" s="841"/>
      <c r="H1365" s="841"/>
      <c r="I1365" s="841"/>
      <c r="J1365" s="841"/>
      <c r="K1365" s="841"/>
      <c r="L1365" s="841"/>
      <c r="M1365" s="841"/>
      <c r="N1365" s="841"/>
      <c r="O1365" s="841"/>
      <c r="P1365" s="841"/>
      <c r="Q1365" s="841"/>
      <c r="R1365" s="841"/>
      <c r="S1365" s="841"/>
      <c r="T1365" s="841"/>
      <c r="U1365" s="841"/>
      <c r="V1365" s="841"/>
      <c r="W1365" s="841"/>
      <c r="X1365" s="841"/>
      <c r="Y1365" s="841"/>
      <c r="Z1365" s="1226"/>
      <c r="AA1365" s="1226"/>
      <c r="AB1365" s="1226"/>
      <c r="AC1365" s="1226"/>
      <c r="AD1365" s="1226"/>
      <c r="AE1365" s="1226"/>
      <c r="AF1365" s="1226"/>
      <c r="AG1365" s="1226"/>
      <c r="AH1365" s="1226"/>
      <c r="AI1365" s="841"/>
      <c r="AJ1365" s="841"/>
      <c r="AK1365" s="841"/>
      <c r="AL1365" s="841"/>
      <c r="AM1365" s="841"/>
      <c r="AN1365" s="841"/>
      <c r="AO1365" s="841"/>
      <c r="AP1365" s="841"/>
      <c r="AQ1365" s="841"/>
      <c r="AR1365" s="841"/>
      <c r="AS1365" s="842"/>
    </row>
    <row r="1366" spans="1:45">
      <c r="A1366" s="841"/>
      <c r="B1366" s="841"/>
      <c r="C1366" s="841"/>
      <c r="D1366" s="841"/>
      <c r="E1366" s="841"/>
      <c r="F1366" s="841"/>
      <c r="G1366" s="841"/>
      <c r="H1366" s="841"/>
      <c r="I1366" s="841"/>
      <c r="J1366" s="841"/>
      <c r="K1366" s="841"/>
      <c r="L1366" s="841"/>
      <c r="M1366" s="841"/>
      <c r="N1366" s="841"/>
      <c r="O1366" s="841"/>
      <c r="P1366" s="841"/>
      <c r="Q1366" s="841"/>
      <c r="R1366" s="841"/>
      <c r="S1366" s="841"/>
      <c r="T1366" s="841"/>
      <c r="U1366" s="841"/>
      <c r="V1366" s="841"/>
      <c r="W1366" s="841"/>
      <c r="X1366" s="841"/>
      <c r="Y1366" s="841"/>
      <c r="Z1366" s="1226"/>
      <c r="AA1366" s="1226"/>
      <c r="AB1366" s="1226"/>
      <c r="AC1366" s="1226"/>
      <c r="AD1366" s="1226"/>
      <c r="AE1366" s="1226"/>
      <c r="AF1366" s="1226"/>
      <c r="AG1366" s="1226"/>
      <c r="AH1366" s="1226"/>
      <c r="AI1366" s="841"/>
      <c r="AJ1366" s="841"/>
      <c r="AK1366" s="841"/>
      <c r="AL1366" s="841"/>
      <c r="AM1366" s="841"/>
      <c r="AN1366" s="841"/>
      <c r="AO1366" s="841"/>
      <c r="AP1366" s="841"/>
      <c r="AQ1366" s="841"/>
      <c r="AR1366" s="841"/>
      <c r="AS1366" s="842"/>
    </row>
    <row r="1367" spans="1:45">
      <c r="A1367" s="841"/>
      <c r="B1367" s="841"/>
      <c r="C1367" s="841"/>
      <c r="D1367" s="841"/>
      <c r="E1367" s="841"/>
      <c r="F1367" s="841"/>
      <c r="G1367" s="841"/>
      <c r="H1367" s="841"/>
      <c r="I1367" s="841"/>
      <c r="J1367" s="841"/>
      <c r="K1367" s="841"/>
      <c r="L1367" s="841"/>
      <c r="M1367" s="841"/>
      <c r="N1367" s="841"/>
      <c r="O1367" s="841"/>
      <c r="P1367" s="841"/>
      <c r="Q1367" s="841"/>
      <c r="R1367" s="841"/>
      <c r="S1367" s="841"/>
      <c r="T1367" s="841"/>
      <c r="U1367" s="841"/>
      <c r="V1367" s="841"/>
      <c r="W1367" s="841"/>
      <c r="X1367" s="841"/>
      <c r="Y1367" s="841"/>
      <c r="Z1367" s="1226"/>
      <c r="AA1367" s="1226"/>
      <c r="AB1367" s="1226"/>
      <c r="AC1367" s="1226"/>
      <c r="AD1367" s="1226"/>
      <c r="AE1367" s="1226"/>
      <c r="AF1367" s="1226"/>
      <c r="AG1367" s="1226"/>
      <c r="AH1367" s="1226"/>
      <c r="AI1367" s="841"/>
      <c r="AJ1367" s="841"/>
      <c r="AK1367" s="841"/>
      <c r="AL1367" s="841"/>
      <c r="AM1367" s="841"/>
      <c r="AN1367" s="841"/>
      <c r="AO1367" s="841"/>
      <c r="AP1367" s="841"/>
      <c r="AQ1367" s="841"/>
      <c r="AR1367" s="841"/>
      <c r="AS1367" s="842"/>
    </row>
    <row r="1368" spans="1:45">
      <c r="A1368" s="841"/>
      <c r="B1368" s="841"/>
      <c r="C1368" s="841"/>
      <c r="D1368" s="841"/>
      <c r="E1368" s="841"/>
      <c r="F1368" s="841"/>
      <c r="G1368" s="841"/>
      <c r="H1368" s="841"/>
      <c r="I1368" s="841"/>
      <c r="J1368" s="841"/>
      <c r="K1368" s="841"/>
      <c r="L1368" s="841"/>
      <c r="M1368" s="841"/>
      <c r="N1368" s="841"/>
      <c r="O1368" s="841"/>
      <c r="P1368" s="841"/>
      <c r="Q1368" s="841"/>
      <c r="R1368" s="841"/>
      <c r="S1368" s="841"/>
      <c r="T1368" s="841"/>
      <c r="U1368" s="841"/>
      <c r="V1368" s="841"/>
      <c r="W1368" s="841"/>
      <c r="X1368" s="841"/>
      <c r="Y1368" s="841"/>
      <c r="Z1368" s="1226"/>
      <c r="AA1368" s="1226"/>
      <c r="AB1368" s="1226"/>
      <c r="AC1368" s="1226"/>
      <c r="AD1368" s="1226"/>
      <c r="AE1368" s="1226"/>
      <c r="AF1368" s="1226"/>
      <c r="AG1368" s="1226"/>
      <c r="AH1368" s="1226"/>
      <c r="AI1368" s="841"/>
      <c r="AJ1368" s="841"/>
      <c r="AK1368" s="841"/>
      <c r="AL1368" s="841"/>
      <c r="AM1368" s="841"/>
      <c r="AN1368" s="841"/>
      <c r="AO1368" s="841"/>
      <c r="AP1368" s="841"/>
      <c r="AQ1368" s="841"/>
      <c r="AR1368" s="841"/>
      <c r="AS1368" s="842"/>
    </row>
    <row r="1369" spans="1:45">
      <c r="A1369" s="841"/>
      <c r="B1369" s="841"/>
      <c r="C1369" s="841"/>
      <c r="D1369" s="841"/>
      <c r="E1369" s="841"/>
      <c r="F1369" s="841"/>
      <c r="G1369" s="841"/>
      <c r="H1369" s="841"/>
      <c r="I1369" s="841"/>
      <c r="J1369" s="841"/>
      <c r="K1369" s="841"/>
      <c r="L1369" s="841"/>
      <c r="M1369" s="841"/>
      <c r="N1369" s="841"/>
      <c r="O1369" s="841"/>
      <c r="P1369" s="841"/>
      <c r="Q1369" s="841"/>
      <c r="R1369" s="841"/>
      <c r="S1369" s="841"/>
      <c r="T1369" s="841"/>
      <c r="U1369" s="841"/>
      <c r="V1369" s="841"/>
      <c r="W1369" s="841"/>
      <c r="X1369" s="841"/>
      <c r="Y1369" s="841"/>
      <c r="Z1369" s="1226"/>
      <c r="AA1369" s="1226"/>
      <c r="AB1369" s="1226"/>
      <c r="AC1369" s="1226"/>
      <c r="AD1369" s="1226"/>
      <c r="AE1369" s="1226"/>
      <c r="AF1369" s="1226"/>
      <c r="AG1369" s="1226"/>
      <c r="AH1369" s="1226"/>
      <c r="AI1369" s="841"/>
      <c r="AJ1369" s="841"/>
      <c r="AK1369" s="841"/>
      <c r="AL1369" s="841"/>
      <c r="AM1369" s="841"/>
      <c r="AN1369" s="841"/>
      <c r="AO1369" s="841"/>
      <c r="AP1369" s="841"/>
      <c r="AQ1369" s="841"/>
      <c r="AR1369" s="841"/>
      <c r="AS1369" s="842"/>
    </row>
    <row r="1370" spans="1:45">
      <c r="A1370" s="841"/>
      <c r="B1370" s="841"/>
      <c r="C1370" s="841"/>
      <c r="D1370" s="841"/>
      <c r="E1370" s="841"/>
      <c r="F1370" s="841"/>
      <c r="G1370" s="841"/>
      <c r="H1370" s="841"/>
      <c r="I1370" s="841"/>
      <c r="J1370" s="841"/>
      <c r="K1370" s="841"/>
      <c r="L1370" s="841"/>
      <c r="M1370" s="841"/>
      <c r="N1370" s="841"/>
      <c r="O1370" s="841"/>
      <c r="P1370" s="841"/>
      <c r="Q1370" s="841"/>
      <c r="R1370" s="841"/>
      <c r="S1370" s="841"/>
      <c r="T1370" s="841"/>
      <c r="U1370" s="841"/>
      <c r="V1370" s="841"/>
      <c r="W1370" s="841"/>
      <c r="X1370" s="841"/>
      <c r="Y1370" s="841"/>
      <c r="Z1370" s="1226"/>
      <c r="AA1370" s="1226"/>
      <c r="AB1370" s="1226"/>
      <c r="AC1370" s="1226"/>
      <c r="AD1370" s="1226"/>
      <c r="AE1370" s="1226"/>
      <c r="AF1370" s="1226"/>
      <c r="AG1370" s="1226"/>
      <c r="AH1370" s="1226"/>
      <c r="AI1370" s="841"/>
      <c r="AJ1370" s="841"/>
      <c r="AK1370" s="841"/>
      <c r="AL1370" s="841"/>
      <c r="AM1370" s="841"/>
      <c r="AN1370" s="841"/>
      <c r="AO1370" s="841"/>
      <c r="AP1370" s="841"/>
      <c r="AQ1370" s="841"/>
      <c r="AR1370" s="841"/>
      <c r="AS1370" s="842"/>
    </row>
    <row r="1371" spans="1:45">
      <c r="A1371" s="841"/>
      <c r="B1371" s="841"/>
      <c r="C1371" s="841"/>
      <c r="D1371" s="841"/>
      <c r="E1371" s="841"/>
      <c r="F1371" s="841"/>
      <c r="G1371" s="841"/>
      <c r="H1371" s="841"/>
      <c r="I1371" s="841"/>
      <c r="J1371" s="841"/>
      <c r="K1371" s="841"/>
      <c r="L1371" s="841"/>
      <c r="M1371" s="841"/>
      <c r="N1371" s="841"/>
      <c r="O1371" s="841"/>
      <c r="P1371" s="841"/>
      <c r="Q1371" s="841"/>
      <c r="R1371" s="841"/>
      <c r="S1371" s="841"/>
      <c r="T1371" s="841"/>
      <c r="U1371" s="841"/>
      <c r="V1371" s="841"/>
      <c r="W1371" s="841"/>
      <c r="X1371" s="841"/>
      <c r="Y1371" s="841"/>
      <c r="Z1371" s="1226"/>
      <c r="AA1371" s="1226"/>
      <c r="AB1371" s="1226"/>
      <c r="AC1371" s="1226"/>
      <c r="AD1371" s="1226"/>
      <c r="AE1371" s="1226"/>
      <c r="AF1371" s="1226"/>
      <c r="AG1371" s="1226"/>
      <c r="AH1371" s="1226"/>
      <c r="AI1371" s="841"/>
      <c r="AJ1371" s="841"/>
      <c r="AK1371" s="841"/>
      <c r="AL1371" s="841"/>
      <c r="AM1371" s="841"/>
      <c r="AN1371" s="841"/>
      <c r="AO1371" s="841"/>
      <c r="AP1371" s="841"/>
      <c r="AQ1371" s="841"/>
      <c r="AR1371" s="841"/>
      <c r="AS1371" s="842"/>
    </row>
    <row r="1372" spans="1:45">
      <c r="A1372" s="841"/>
      <c r="B1372" s="841"/>
      <c r="C1372" s="841"/>
      <c r="D1372" s="841"/>
      <c r="E1372" s="841"/>
      <c r="F1372" s="841"/>
      <c r="G1372" s="841"/>
      <c r="H1372" s="841"/>
      <c r="I1372" s="841"/>
      <c r="J1372" s="841"/>
      <c r="K1372" s="841"/>
      <c r="L1372" s="841"/>
      <c r="M1372" s="841"/>
      <c r="N1372" s="841"/>
      <c r="O1372" s="841"/>
      <c r="P1372" s="841"/>
      <c r="Q1372" s="841"/>
      <c r="R1372" s="841"/>
      <c r="S1372" s="841"/>
      <c r="T1372" s="841"/>
      <c r="U1372" s="841"/>
      <c r="V1372" s="841"/>
      <c r="W1372" s="841"/>
      <c r="X1372" s="841"/>
      <c r="Y1372" s="841"/>
      <c r="Z1372" s="1226"/>
      <c r="AA1372" s="1226"/>
      <c r="AB1372" s="1226"/>
      <c r="AC1372" s="1226"/>
      <c r="AD1372" s="1226"/>
      <c r="AE1372" s="1226"/>
      <c r="AF1372" s="1226"/>
      <c r="AG1372" s="1226"/>
      <c r="AH1372" s="1226"/>
      <c r="AI1372" s="841"/>
      <c r="AJ1372" s="841"/>
      <c r="AK1372" s="841"/>
      <c r="AL1372" s="841"/>
      <c r="AM1372" s="841"/>
      <c r="AN1372" s="841"/>
      <c r="AO1372" s="841"/>
      <c r="AP1372" s="841"/>
      <c r="AQ1372" s="841"/>
      <c r="AR1372" s="841"/>
      <c r="AS1372" s="842"/>
    </row>
    <row r="1373" spans="1:45">
      <c r="A1373" s="841"/>
      <c r="B1373" s="841"/>
      <c r="C1373" s="841"/>
      <c r="D1373" s="841"/>
      <c r="E1373" s="841"/>
      <c r="F1373" s="841"/>
      <c r="G1373" s="841"/>
      <c r="H1373" s="841"/>
      <c r="I1373" s="841"/>
      <c r="J1373" s="841"/>
      <c r="K1373" s="841"/>
      <c r="L1373" s="841"/>
      <c r="M1373" s="841"/>
      <c r="N1373" s="841"/>
      <c r="O1373" s="841"/>
      <c r="P1373" s="841"/>
      <c r="Q1373" s="841"/>
      <c r="R1373" s="841"/>
      <c r="S1373" s="841"/>
      <c r="T1373" s="841"/>
      <c r="U1373" s="841"/>
      <c r="V1373" s="841"/>
      <c r="W1373" s="841"/>
      <c r="X1373" s="841"/>
      <c r="Y1373" s="841"/>
      <c r="Z1373" s="1226"/>
      <c r="AA1373" s="1226"/>
      <c r="AB1373" s="1226"/>
      <c r="AC1373" s="1226"/>
      <c r="AD1373" s="1226"/>
      <c r="AE1373" s="1226"/>
      <c r="AF1373" s="1226"/>
      <c r="AG1373" s="1226"/>
      <c r="AH1373" s="1226"/>
      <c r="AI1373" s="841"/>
      <c r="AJ1373" s="841"/>
      <c r="AK1373" s="841"/>
      <c r="AL1373" s="841"/>
      <c r="AM1373" s="841"/>
      <c r="AN1373" s="841"/>
      <c r="AO1373" s="841"/>
      <c r="AP1373" s="841"/>
      <c r="AQ1373" s="841"/>
      <c r="AR1373" s="841"/>
      <c r="AS1373" s="842"/>
    </row>
    <row r="1374" spans="1:45">
      <c r="A1374" s="841"/>
      <c r="B1374" s="841"/>
      <c r="C1374" s="841"/>
      <c r="D1374" s="841"/>
      <c r="E1374" s="841"/>
      <c r="F1374" s="841"/>
      <c r="G1374" s="841"/>
      <c r="H1374" s="841"/>
      <c r="I1374" s="841"/>
      <c r="J1374" s="841"/>
      <c r="K1374" s="841"/>
      <c r="L1374" s="841"/>
      <c r="M1374" s="841"/>
      <c r="N1374" s="841"/>
      <c r="O1374" s="841"/>
      <c r="P1374" s="841"/>
      <c r="Q1374" s="841"/>
      <c r="R1374" s="841"/>
      <c r="S1374" s="841"/>
      <c r="T1374" s="841"/>
      <c r="U1374" s="841"/>
      <c r="V1374" s="841"/>
      <c r="W1374" s="841"/>
      <c r="X1374" s="841"/>
      <c r="Y1374" s="841"/>
      <c r="Z1374" s="1226"/>
      <c r="AA1374" s="1226"/>
      <c r="AB1374" s="1226"/>
      <c r="AC1374" s="1226"/>
      <c r="AD1374" s="1226"/>
      <c r="AE1374" s="1226"/>
      <c r="AF1374" s="1226"/>
      <c r="AG1374" s="1226"/>
      <c r="AH1374" s="1226"/>
      <c r="AI1374" s="841"/>
      <c r="AJ1374" s="841"/>
      <c r="AK1374" s="841"/>
      <c r="AL1374" s="841"/>
      <c r="AM1374" s="841"/>
      <c r="AN1374" s="841"/>
      <c r="AO1374" s="841"/>
      <c r="AP1374" s="841"/>
      <c r="AQ1374" s="841"/>
      <c r="AR1374" s="841"/>
      <c r="AS1374" s="842"/>
    </row>
    <row r="1375" spans="1:45">
      <c r="A1375" s="841"/>
      <c r="B1375" s="841"/>
      <c r="C1375" s="841"/>
      <c r="D1375" s="841"/>
      <c r="E1375" s="841"/>
      <c r="F1375" s="841"/>
      <c r="G1375" s="841"/>
      <c r="H1375" s="841"/>
      <c r="I1375" s="841"/>
      <c r="J1375" s="841"/>
      <c r="K1375" s="841"/>
      <c r="L1375" s="841"/>
      <c r="M1375" s="841"/>
      <c r="N1375" s="841"/>
      <c r="O1375" s="841"/>
      <c r="P1375" s="841"/>
      <c r="Q1375" s="841"/>
      <c r="R1375" s="841"/>
      <c r="S1375" s="841"/>
      <c r="T1375" s="841"/>
      <c r="U1375" s="841"/>
      <c r="V1375" s="841"/>
      <c r="W1375" s="841"/>
      <c r="X1375" s="841"/>
      <c r="Y1375" s="841"/>
      <c r="Z1375" s="1226"/>
      <c r="AA1375" s="1226"/>
      <c r="AB1375" s="1226"/>
      <c r="AC1375" s="1226"/>
      <c r="AD1375" s="1226"/>
      <c r="AE1375" s="1226"/>
      <c r="AF1375" s="1226"/>
      <c r="AG1375" s="1226"/>
      <c r="AH1375" s="1226"/>
      <c r="AI1375" s="841"/>
      <c r="AJ1375" s="841"/>
      <c r="AK1375" s="841"/>
      <c r="AL1375" s="841"/>
      <c r="AM1375" s="841"/>
      <c r="AN1375" s="841"/>
      <c r="AO1375" s="841"/>
      <c r="AP1375" s="841"/>
      <c r="AQ1375" s="841"/>
      <c r="AR1375" s="841"/>
      <c r="AS1375" s="842"/>
    </row>
    <row r="1376" spans="1:45">
      <c r="A1376" s="841"/>
      <c r="B1376" s="841"/>
      <c r="C1376" s="841"/>
      <c r="D1376" s="841"/>
      <c r="E1376" s="841"/>
      <c r="F1376" s="841"/>
      <c r="G1376" s="841"/>
      <c r="H1376" s="841"/>
      <c r="I1376" s="841"/>
      <c r="J1376" s="841"/>
      <c r="K1376" s="841"/>
      <c r="L1376" s="841"/>
      <c r="M1376" s="841"/>
      <c r="N1376" s="841"/>
      <c r="O1376" s="841"/>
      <c r="P1376" s="841"/>
      <c r="Q1376" s="841"/>
      <c r="R1376" s="841"/>
      <c r="S1376" s="841"/>
      <c r="T1376" s="841"/>
      <c r="U1376" s="841"/>
      <c r="V1376" s="841"/>
      <c r="W1376" s="841"/>
      <c r="X1376" s="841"/>
      <c r="Y1376" s="841"/>
      <c r="Z1376" s="1226"/>
      <c r="AA1376" s="1226"/>
      <c r="AB1376" s="1226"/>
      <c r="AC1376" s="1226"/>
      <c r="AD1376" s="1226"/>
      <c r="AE1376" s="1226"/>
      <c r="AF1376" s="1226"/>
      <c r="AG1376" s="1226"/>
      <c r="AH1376" s="1226"/>
      <c r="AI1376" s="841"/>
      <c r="AJ1376" s="841"/>
      <c r="AK1376" s="841"/>
      <c r="AL1376" s="841"/>
      <c r="AM1376" s="841"/>
      <c r="AN1376" s="841"/>
      <c r="AO1376" s="841"/>
      <c r="AP1376" s="841"/>
      <c r="AQ1376" s="841"/>
      <c r="AR1376" s="841"/>
      <c r="AS1376" s="842"/>
    </row>
    <row r="1377" spans="1:45">
      <c r="A1377" s="841"/>
      <c r="B1377" s="841"/>
      <c r="C1377" s="841"/>
      <c r="D1377" s="841"/>
      <c r="E1377" s="841"/>
      <c r="F1377" s="841"/>
      <c r="G1377" s="841"/>
      <c r="H1377" s="841"/>
      <c r="I1377" s="841"/>
      <c r="J1377" s="841"/>
      <c r="K1377" s="841"/>
      <c r="L1377" s="841"/>
      <c r="M1377" s="841"/>
      <c r="N1377" s="841"/>
      <c r="O1377" s="841"/>
      <c r="P1377" s="841"/>
      <c r="Q1377" s="841"/>
      <c r="R1377" s="841"/>
      <c r="S1377" s="841"/>
      <c r="T1377" s="841"/>
      <c r="U1377" s="841"/>
      <c r="V1377" s="841"/>
      <c r="W1377" s="841"/>
      <c r="X1377" s="841"/>
      <c r="Y1377" s="841"/>
      <c r="Z1377" s="1226"/>
      <c r="AA1377" s="1226"/>
      <c r="AB1377" s="1226"/>
      <c r="AC1377" s="1226"/>
      <c r="AD1377" s="1226"/>
      <c r="AE1377" s="1226"/>
      <c r="AF1377" s="1226"/>
      <c r="AG1377" s="1226"/>
      <c r="AH1377" s="1226"/>
      <c r="AI1377" s="841"/>
      <c r="AJ1377" s="841"/>
      <c r="AK1377" s="841"/>
      <c r="AL1377" s="841"/>
      <c r="AM1377" s="841"/>
      <c r="AN1377" s="841"/>
      <c r="AO1377" s="841"/>
      <c r="AP1377" s="841"/>
      <c r="AQ1377" s="841"/>
      <c r="AR1377" s="841"/>
      <c r="AS1377" s="842"/>
    </row>
    <row r="1378" spans="1:45">
      <c r="A1378" s="841"/>
      <c r="B1378" s="841"/>
      <c r="C1378" s="841"/>
      <c r="D1378" s="841"/>
      <c r="E1378" s="841"/>
      <c r="F1378" s="841"/>
      <c r="G1378" s="841"/>
      <c r="H1378" s="841"/>
      <c r="I1378" s="841"/>
      <c r="J1378" s="841"/>
      <c r="K1378" s="841"/>
      <c r="L1378" s="841"/>
      <c r="M1378" s="841"/>
      <c r="N1378" s="841"/>
      <c r="O1378" s="841"/>
      <c r="P1378" s="841"/>
      <c r="Q1378" s="841"/>
      <c r="R1378" s="841"/>
      <c r="S1378" s="841"/>
      <c r="T1378" s="841"/>
      <c r="U1378" s="841"/>
      <c r="V1378" s="841"/>
      <c r="W1378" s="841"/>
      <c r="X1378" s="841"/>
      <c r="Y1378" s="841"/>
      <c r="Z1378" s="1226"/>
      <c r="AA1378" s="1226"/>
      <c r="AB1378" s="1226"/>
      <c r="AC1378" s="1226"/>
      <c r="AD1378" s="1226"/>
      <c r="AE1378" s="1226"/>
      <c r="AF1378" s="1226"/>
      <c r="AG1378" s="1226"/>
      <c r="AH1378" s="1226"/>
      <c r="AI1378" s="841"/>
      <c r="AJ1378" s="841"/>
      <c r="AK1378" s="841"/>
      <c r="AL1378" s="841"/>
      <c r="AM1378" s="841"/>
      <c r="AN1378" s="841"/>
      <c r="AO1378" s="841"/>
      <c r="AP1378" s="841"/>
      <c r="AQ1378" s="841"/>
      <c r="AR1378" s="841"/>
      <c r="AS1378" s="842"/>
    </row>
    <row r="1379" spans="1:45">
      <c r="A1379" s="841"/>
      <c r="B1379" s="841"/>
      <c r="C1379" s="841"/>
      <c r="D1379" s="841"/>
      <c r="E1379" s="841"/>
      <c r="F1379" s="841"/>
      <c r="G1379" s="841"/>
      <c r="H1379" s="841"/>
      <c r="I1379" s="841"/>
      <c r="J1379" s="841"/>
      <c r="K1379" s="841"/>
      <c r="L1379" s="841"/>
      <c r="M1379" s="841"/>
      <c r="N1379" s="841"/>
      <c r="O1379" s="841"/>
      <c r="P1379" s="841"/>
      <c r="Q1379" s="841"/>
      <c r="R1379" s="841"/>
      <c r="S1379" s="841"/>
      <c r="T1379" s="841"/>
      <c r="U1379" s="841"/>
      <c r="V1379" s="841"/>
      <c r="W1379" s="841"/>
      <c r="X1379" s="841"/>
      <c r="Y1379" s="841"/>
      <c r="Z1379" s="1226"/>
      <c r="AA1379" s="1226"/>
      <c r="AB1379" s="1226"/>
      <c r="AC1379" s="1226"/>
      <c r="AD1379" s="1226"/>
      <c r="AE1379" s="1226"/>
      <c r="AF1379" s="1226"/>
      <c r="AG1379" s="1226"/>
      <c r="AH1379" s="1226"/>
      <c r="AI1379" s="841"/>
      <c r="AJ1379" s="841"/>
      <c r="AK1379" s="841"/>
      <c r="AL1379" s="841"/>
      <c r="AM1379" s="841"/>
      <c r="AN1379" s="841"/>
      <c r="AO1379" s="841"/>
      <c r="AP1379" s="841"/>
      <c r="AQ1379" s="841"/>
      <c r="AR1379" s="841"/>
      <c r="AS1379" s="842"/>
    </row>
    <row r="1380" spans="1:45">
      <c r="A1380" s="841"/>
      <c r="B1380" s="841"/>
      <c r="C1380" s="841"/>
      <c r="D1380" s="841"/>
      <c r="E1380" s="841"/>
      <c r="F1380" s="841"/>
      <c r="G1380" s="841"/>
      <c r="H1380" s="841"/>
      <c r="I1380" s="841"/>
      <c r="J1380" s="841"/>
      <c r="K1380" s="841"/>
      <c r="L1380" s="841"/>
      <c r="M1380" s="841"/>
      <c r="N1380" s="841"/>
      <c r="O1380" s="841"/>
      <c r="P1380" s="841"/>
      <c r="Q1380" s="841"/>
      <c r="R1380" s="841"/>
      <c r="S1380" s="841"/>
      <c r="T1380" s="841"/>
      <c r="U1380" s="841"/>
      <c r="V1380" s="841"/>
      <c r="W1380" s="841"/>
      <c r="X1380" s="841"/>
      <c r="Y1380" s="841"/>
      <c r="Z1380" s="1226"/>
      <c r="AA1380" s="1226"/>
      <c r="AB1380" s="1226"/>
      <c r="AC1380" s="1226"/>
      <c r="AD1380" s="1226"/>
      <c r="AE1380" s="1226"/>
      <c r="AF1380" s="1226"/>
      <c r="AG1380" s="1226"/>
      <c r="AH1380" s="1226"/>
      <c r="AI1380" s="841"/>
      <c r="AJ1380" s="841"/>
      <c r="AK1380" s="841"/>
      <c r="AL1380" s="841"/>
      <c r="AM1380" s="841"/>
      <c r="AN1380" s="841"/>
      <c r="AO1380" s="841"/>
      <c r="AP1380" s="841"/>
      <c r="AQ1380" s="841"/>
      <c r="AR1380" s="841"/>
      <c r="AS1380" s="842"/>
    </row>
    <row r="1381" spans="1:45">
      <c r="A1381" s="841"/>
      <c r="B1381" s="841"/>
      <c r="C1381" s="841"/>
      <c r="D1381" s="841"/>
      <c r="E1381" s="841"/>
      <c r="F1381" s="841"/>
      <c r="G1381" s="841"/>
      <c r="H1381" s="841"/>
      <c r="I1381" s="841"/>
      <c r="J1381" s="841"/>
      <c r="K1381" s="841"/>
      <c r="L1381" s="841"/>
      <c r="M1381" s="841"/>
      <c r="N1381" s="841"/>
      <c r="O1381" s="841"/>
      <c r="P1381" s="841"/>
      <c r="Q1381" s="841"/>
      <c r="R1381" s="841"/>
      <c r="S1381" s="841"/>
      <c r="T1381" s="841"/>
      <c r="U1381" s="841"/>
      <c r="V1381" s="841"/>
      <c r="W1381" s="841"/>
      <c r="X1381" s="841"/>
      <c r="Y1381" s="841"/>
      <c r="Z1381" s="1226"/>
      <c r="AA1381" s="1226"/>
      <c r="AB1381" s="1226"/>
      <c r="AC1381" s="1226"/>
      <c r="AD1381" s="1226"/>
      <c r="AE1381" s="1226"/>
      <c r="AF1381" s="1226"/>
      <c r="AG1381" s="1226"/>
      <c r="AH1381" s="1226"/>
      <c r="AI1381" s="841"/>
      <c r="AJ1381" s="841"/>
      <c r="AK1381" s="841"/>
      <c r="AL1381" s="841"/>
      <c r="AM1381" s="841"/>
      <c r="AN1381" s="841"/>
      <c r="AO1381" s="841"/>
      <c r="AP1381" s="841"/>
      <c r="AQ1381" s="841"/>
      <c r="AR1381" s="841"/>
      <c r="AS1381" s="842"/>
    </row>
    <row r="1382" spans="1:45">
      <c r="A1382" s="841"/>
      <c r="B1382" s="841"/>
      <c r="C1382" s="841"/>
      <c r="D1382" s="841"/>
      <c r="E1382" s="841"/>
      <c r="F1382" s="841"/>
      <c r="G1382" s="841"/>
      <c r="H1382" s="841"/>
      <c r="I1382" s="841"/>
      <c r="J1382" s="841"/>
      <c r="K1382" s="841"/>
      <c r="L1382" s="841"/>
      <c r="M1382" s="841"/>
      <c r="N1382" s="841"/>
      <c r="O1382" s="841"/>
      <c r="P1382" s="841"/>
      <c r="Q1382" s="841"/>
      <c r="R1382" s="841"/>
      <c r="S1382" s="841"/>
      <c r="T1382" s="841"/>
      <c r="U1382" s="841"/>
      <c r="V1382" s="841"/>
      <c r="W1382" s="841"/>
      <c r="X1382" s="841"/>
      <c r="Y1382" s="841"/>
      <c r="Z1382" s="1226"/>
      <c r="AA1382" s="1226"/>
      <c r="AB1382" s="1226"/>
      <c r="AC1382" s="1226"/>
      <c r="AD1382" s="1226"/>
      <c r="AE1382" s="1226"/>
      <c r="AF1382" s="1226"/>
      <c r="AG1382" s="1226"/>
      <c r="AH1382" s="1226"/>
      <c r="AI1382" s="841"/>
      <c r="AJ1382" s="841"/>
      <c r="AK1382" s="841"/>
      <c r="AL1382" s="841"/>
      <c r="AM1382" s="841"/>
      <c r="AN1382" s="841"/>
      <c r="AO1382" s="841"/>
      <c r="AP1382" s="841"/>
      <c r="AQ1382" s="841"/>
      <c r="AR1382" s="841"/>
      <c r="AS1382" s="842"/>
    </row>
    <row r="1383" spans="1:45">
      <c r="A1383" s="841"/>
      <c r="B1383" s="841"/>
      <c r="C1383" s="841"/>
      <c r="D1383" s="841"/>
      <c r="E1383" s="841"/>
      <c r="F1383" s="841"/>
      <c r="G1383" s="841"/>
      <c r="H1383" s="841"/>
      <c r="I1383" s="841"/>
      <c r="J1383" s="841"/>
      <c r="K1383" s="841"/>
      <c r="L1383" s="841"/>
      <c r="M1383" s="841"/>
      <c r="N1383" s="841"/>
      <c r="O1383" s="841"/>
      <c r="P1383" s="841"/>
      <c r="Q1383" s="841"/>
      <c r="R1383" s="841"/>
      <c r="S1383" s="841"/>
      <c r="T1383" s="841"/>
      <c r="U1383" s="841"/>
      <c r="V1383" s="841"/>
      <c r="W1383" s="841"/>
      <c r="X1383" s="841"/>
      <c r="Y1383" s="841"/>
      <c r="Z1383" s="1226"/>
      <c r="AA1383" s="1226"/>
      <c r="AB1383" s="1226"/>
      <c r="AC1383" s="1226"/>
      <c r="AD1383" s="1226"/>
      <c r="AE1383" s="1226"/>
      <c r="AF1383" s="1226"/>
      <c r="AG1383" s="1226"/>
      <c r="AH1383" s="1226"/>
      <c r="AI1383" s="841"/>
      <c r="AJ1383" s="841"/>
      <c r="AK1383" s="841"/>
      <c r="AL1383" s="841"/>
      <c r="AM1383" s="841"/>
      <c r="AN1383" s="841"/>
      <c r="AO1383" s="841"/>
      <c r="AP1383" s="841"/>
      <c r="AQ1383" s="841"/>
      <c r="AR1383" s="841"/>
      <c r="AS1383" s="842"/>
    </row>
    <row r="1384" spans="1:45">
      <c r="A1384" s="841"/>
      <c r="B1384" s="841"/>
      <c r="C1384" s="841"/>
      <c r="D1384" s="841"/>
      <c r="E1384" s="841"/>
      <c r="F1384" s="841"/>
      <c r="G1384" s="841"/>
      <c r="H1384" s="841"/>
      <c r="I1384" s="841"/>
      <c r="J1384" s="841"/>
      <c r="K1384" s="841"/>
      <c r="L1384" s="841"/>
      <c r="M1384" s="841"/>
      <c r="N1384" s="841"/>
      <c r="O1384" s="841"/>
      <c r="P1384" s="841"/>
      <c r="Q1384" s="841"/>
      <c r="R1384" s="841"/>
      <c r="S1384" s="841"/>
      <c r="T1384" s="841"/>
      <c r="U1384" s="841"/>
      <c r="V1384" s="841"/>
      <c r="W1384" s="841"/>
      <c r="X1384" s="841"/>
      <c r="Y1384" s="841"/>
      <c r="Z1384" s="1226"/>
      <c r="AA1384" s="1226"/>
      <c r="AB1384" s="1226"/>
      <c r="AC1384" s="1226"/>
      <c r="AD1384" s="1226"/>
      <c r="AE1384" s="1226"/>
      <c r="AF1384" s="1226"/>
      <c r="AG1384" s="1226"/>
      <c r="AH1384" s="1226"/>
      <c r="AI1384" s="841"/>
      <c r="AJ1384" s="841"/>
      <c r="AK1384" s="841"/>
      <c r="AL1384" s="841"/>
      <c r="AM1384" s="841"/>
      <c r="AN1384" s="841"/>
      <c r="AO1384" s="841"/>
      <c r="AP1384" s="841"/>
      <c r="AQ1384" s="841"/>
      <c r="AR1384" s="841"/>
      <c r="AS1384" s="842"/>
    </row>
    <row r="1385" spans="1:45">
      <c r="A1385" s="841"/>
      <c r="B1385" s="841"/>
      <c r="C1385" s="841"/>
      <c r="D1385" s="841"/>
      <c r="E1385" s="841"/>
      <c r="F1385" s="841"/>
      <c r="G1385" s="841"/>
      <c r="H1385" s="841"/>
      <c r="I1385" s="841"/>
      <c r="J1385" s="841"/>
      <c r="K1385" s="841"/>
      <c r="L1385" s="841"/>
      <c r="M1385" s="841"/>
      <c r="N1385" s="841"/>
      <c r="O1385" s="841"/>
      <c r="P1385" s="841"/>
      <c r="Q1385" s="841"/>
      <c r="R1385" s="841"/>
      <c r="S1385" s="841"/>
      <c r="T1385" s="841"/>
      <c r="U1385" s="841"/>
      <c r="V1385" s="841"/>
      <c r="W1385" s="841"/>
      <c r="X1385" s="841"/>
      <c r="Y1385" s="841"/>
      <c r="Z1385" s="1226"/>
      <c r="AA1385" s="1226"/>
      <c r="AB1385" s="1226"/>
      <c r="AC1385" s="1226"/>
      <c r="AD1385" s="1226"/>
      <c r="AE1385" s="1226"/>
      <c r="AF1385" s="1226"/>
      <c r="AG1385" s="1226"/>
      <c r="AH1385" s="1226"/>
      <c r="AI1385" s="841"/>
      <c r="AJ1385" s="841"/>
      <c r="AK1385" s="841"/>
      <c r="AL1385" s="841"/>
      <c r="AM1385" s="841"/>
      <c r="AN1385" s="841"/>
      <c r="AO1385" s="841"/>
      <c r="AP1385" s="841"/>
      <c r="AQ1385" s="841"/>
      <c r="AR1385" s="841"/>
      <c r="AS1385" s="842"/>
    </row>
    <row r="1386" spans="1:45">
      <c r="A1386" s="841"/>
      <c r="B1386" s="841"/>
      <c r="C1386" s="841"/>
      <c r="D1386" s="841"/>
      <c r="E1386" s="841"/>
      <c r="F1386" s="841"/>
      <c r="G1386" s="841"/>
      <c r="H1386" s="841"/>
      <c r="I1386" s="841"/>
      <c r="J1386" s="841"/>
      <c r="K1386" s="841"/>
      <c r="L1386" s="841"/>
      <c r="M1386" s="841"/>
      <c r="N1386" s="841"/>
      <c r="O1386" s="841"/>
      <c r="P1386" s="841"/>
      <c r="Q1386" s="841"/>
      <c r="R1386" s="841"/>
      <c r="S1386" s="841"/>
      <c r="T1386" s="841"/>
      <c r="U1386" s="841"/>
      <c r="V1386" s="841"/>
      <c r="W1386" s="841"/>
      <c r="X1386" s="841"/>
      <c r="Y1386" s="841"/>
      <c r="Z1386" s="1226"/>
      <c r="AA1386" s="1226"/>
      <c r="AB1386" s="1226"/>
      <c r="AC1386" s="1226"/>
      <c r="AD1386" s="1226"/>
      <c r="AE1386" s="1226"/>
      <c r="AF1386" s="1226"/>
      <c r="AG1386" s="1226"/>
      <c r="AH1386" s="1226"/>
      <c r="AI1386" s="841"/>
      <c r="AJ1386" s="841"/>
      <c r="AK1386" s="841"/>
      <c r="AL1386" s="841"/>
      <c r="AM1386" s="841"/>
      <c r="AN1386" s="841"/>
      <c r="AO1386" s="841"/>
      <c r="AP1386" s="841"/>
      <c r="AQ1386" s="841"/>
      <c r="AR1386" s="841"/>
      <c r="AS1386" s="842"/>
    </row>
    <row r="1387" spans="1:45">
      <c r="A1387" s="841"/>
      <c r="B1387" s="841"/>
      <c r="C1387" s="841"/>
      <c r="D1387" s="841"/>
      <c r="E1387" s="841"/>
      <c r="F1387" s="841"/>
      <c r="G1387" s="841"/>
      <c r="H1387" s="841"/>
      <c r="I1387" s="841"/>
      <c r="J1387" s="841"/>
      <c r="K1387" s="841"/>
      <c r="L1387" s="841"/>
      <c r="M1387" s="841"/>
      <c r="N1387" s="841"/>
      <c r="O1387" s="841"/>
      <c r="P1387" s="841"/>
      <c r="Q1387" s="841"/>
      <c r="R1387" s="841"/>
      <c r="S1387" s="841"/>
      <c r="T1387" s="841"/>
      <c r="U1387" s="841"/>
      <c r="V1387" s="841"/>
      <c r="W1387" s="841"/>
      <c r="X1387" s="841"/>
      <c r="Y1387" s="841"/>
      <c r="Z1387" s="1226"/>
      <c r="AA1387" s="1226"/>
      <c r="AB1387" s="1226"/>
      <c r="AC1387" s="1226"/>
      <c r="AD1387" s="1226"/>
      <c r="AE1387" s="1226"/>
      <c r="AF1387" s="1226"/>
      <c r="AG1387" s="1226"/>
      <c r="AH1387" s="1226"/>
      <c r="AI1387" s="841"/>
      <c r="AJ1387" s="841"/>
      <c r="AK1387" s="841"/>
      <c r="AL1387" s="841"/>
      <c r="AM1387" s="841"/>
      <c r="AN1387" s="841"/>
      <c r="AO1387" s="841"/>
      <c r="AP1387" s="841"/>
      <c r="AQ1387" s="841"/>
      <c r="AR1387" s="841"/>
      <c r="AS1387" s="842"/>
    </row>
    <row r="1388" spans="1:45">
      <c r="A1388" s="841"/>
      <c r="B1388" s="841"/>
      <c r="C1388" s="841"/>
      <c r="D1388" s="841"/>
      <c r="E1388" s="841"/>
      <c r="F1388" s="841"/>
      <c r="G1388" s="841"/>
      <c r="H1388" s="841"/>
      <c r="I1388" s="841"/>
      <c r="J1388" s="841"/>
      <c r="K1388" s="841"/>
      <c r="L1388" s="841"/>
      <c r="M1388" s="841"/>
      <c r="N1388" s="841"/>
      <c r="O1388" s="841"/>
      <c r="P1388" s="841"/>
      <c r="Q1388" s="841"/>
      <c r="R1388" s="841"/>
      <c r="S1388" s="841"/>
      <c r="T1388" s="841"/>
      <c r="U1388" s="841"/>
      <c r="V1388" s="841"/>
      <c r="W1388" s="841"/>
      <c r="X1388" s="841"/>
      <c r="Y1388" s="841"/>
      <c r="Z1388" s="1226"/>
      <c r="AA1388" s="1226"/>
      <c r="AB1388" s="1226"/>
      <c r="AC1388" s="1226"/>
      <c r="AD1388" s="1226"/>
      <c r="AE1388" s="1226"/>
      <c r="AF1388" s="1226"/>
      <c r="AG1388" s="1226"/>
      <c r="AH1388" s="1226"/>
      <c r="AI1388" s="841"/>
      <c r="AJ1388" s="841"/>
      <c r="AK1388" s="841"/>
      <c r="AL1388" s="841"/>
      <c r="AM1388" s="841"/>
      <c r="AN1388" s="841"/>
      <c r="AO1388" s="841"/>
      <c r="AP1388" s="841"/>
      <c r="AQ1388" s="841"/>
      <c r="AR1388" s="841"/>
      <c r="AS1388" s="842"/>
    </row>
    <row r="1389" spans="1:45">
      <c r="A1389" s="841"/>
      <c r="B1389" s="841"/>
      <c r="C1389" s="841"/>
      <c r="D1389" s="841"/>
      <c r="E1389" s="841"/>
      <c r="F1389" s="841"/>
      <c r="G1389" s="841"/>
      <c r="H1389" s="841"/>
      <c r="I1389" s="841"/>
      <c r="J1389" s="841"/>
      <c r="K1389" s="841"/>
      <c r="L1389" s="841"/>
      <c r="M1389" s="841"/>
      <c r="N1389" s="841"/>
      <c r="O1389" s="841"/>
      <c r="P1389" s="841"/>
      <c r="Q1389" s="841"/>
      <c r="R1389" s="841"/>
      <c r="S1389" s="841"/>
      <c r="T1389" s="841"/>
      <c r="U1389" s="841"/>
      <c r="V1389" s="841"/>
      <c r="W1389" s="841"/>
      <c r="X1389" s="841"/>
      <c r="Y1389" s="841"/>
      <c r="Z1389" s="1226"/>
      <c r="AA1389" s="1226"/>
      <c r="AB1389" s="1226"/>
      <c r="AC1389" s="1226"/>
      <c r="AD1389" s="1226"/>
      <c r="AE1389" s="1226"/>
      <c r="AF1389" s="1226"/>
      <c r="AG1389" s="1226"/>
      <c r="AH1389" s="1226"/>
      <c r="AI1389" s="841"/>
      <c r="AJ1389" s="841"/>
      <c r="AK1389" s="841"/>
      <c r="AL1389" s="841"/>
      <c r="AM1389" s="841"/>
      <c r="AN1389" s="841"/>
      <c r="AO1389" s="841"/>
      <c r="AP1389" s="841"/>
      <c r="AQ1389" s="841"/>
      <c r="AR1389" s="841"/>
      <c r="AS1389" s="842"/>
    </row>
    <row r="1390" spans="1:45">
      <c r="A1390" s="841"/>
      <c r="B1390" s="841"/>
      <c r="C1390" s="841"/>
      <c r="D1390" s="841"/>
      <c r="E1390" s="841"/>
      <c r="F1390" s="841"/>
      <c r="G1390" s="841"/>
      <c r="H1390" s="841"/>
      <c r="I1390" s="841"/>
      <c r="J1390" s="841"/>
      <c r="K1390" s="841"/>
      <c r="L1390" s="841"/>
      <c r="M1390" s="841"/>
      <c r="N1390" s="841"/>
      <c r="O1390" s="841"/>
      <c r="P1390" s="841"/>
      <c r="Q1390" s="841"/>
      <c r="R1390" s="841"/>
      <c r="S1390" s="841"/>
      <c r="T1390" s="841"/>
      <c r="U1390" s="841"/>
      <c r="V1390" s="841"/>
      <c r="W1390" s="841"/>
      <c r="X1390" s="841"/>
      <c r="Y1390" s="841"/>
      <c r="Z1390" s="1226"/>
      <c r="AA1390" s="1226"/>
      <c r="AB1390" s="1226"/>
      <c r="AC1390" s="1226"/>
      <c r="AD1390" s="1226"/>
      <c r="AE1390" s="1226"/>
      <c r="AF1390" s="1226"/>
      <c r="AG1390" s="1226"/>
      <c r="AH1390" s="1226"/>
      <c r="AI1390" s="841"/>
      <c r="AJ1390" s="841"/>
      <c r="AK1390" s="841"/>
      <c r="AL1390" s="841"/>
      <c r="AM1390" s="841"/>
      <c r="AN1390" s="841"/>
      <c r="AO1390" s="841"/>
      <c r="AP1390" s="841"/>
      <c r="AQ1390" s="841"/>
      <c r="AR1390" s="841"/>
      <c r="AS1390" s="842"/>
    </row>
    <row r="1391" spans="1:45">
      <c r="A1391" s="841"/>
      <c r="B1391" s="841"/>
      <c r="C1391" s="841"/>
      <c r="D1391" s="841"/>
      <c r="E1391" s="841"/>
      <c r="F1391" s="841"/>
      <c r="G1391" s="841"/>
      <c r="H1391" s="841"/>
      <c r="I1391" s="841"/>
      <c r="J1391" s="841"/>
      <c r="K1391" s="841"/>
      <c r="L1391" s="841"/>
      <c r="M1391" s="841"/>
      <c r="N1391" s="841"/>
      <c r="O1391" s="841"/>
      <c r="P1391" s="841"/>
      <c r="Q1391" s="841"/>
      <c r="R1391" s="841"/>
      <c r="S1391" s="841"/>
      <c r="T1391" s="841"/>
      <c r="U1391" s="841"/>
      <c r="V1391" s="841"/>
      <c r="W1391" s="841"/>
      <c r="X1391" s="841"/>
      <c r="Y1391" s="841"/>
      <c r="Z1391" s="1226"/>
      <c r="AA1391" s="1226"/>
      <c r="AB1391" s="1226"/>
      <c r="AC1391" s="1226"/>
      <c r="AD1391" s="1226"/>
      <c r="AE1391" s="1226"/>
      <c r="AF1391" s="1226"/>
      <c r="AG1391" s="1226"/>
      <c r="AH1391" s="1226"/>
      <c r="AI1391" s="841"/>
      <c r="AJ1391" s="841"/>
      <c r="AK1391" s="841"/>
      <c r="AL1391" s="841"/>
      <c r="AM1391" s="841"/>
      <c r="AN1391" s="841"/>
      <c r="AO1391" s="841"/>
      <c r="AP1391" s="841"/>
      <c r="AQ1391" s="841"/>
      <c r="AR1391" s="841"/>
      <c r="AS1391" s="842"/>
    </row>
    <row r="1392" spans="1:45">
      <c r="A1392" s="841"/>
      <c r="B1392" s="841"/>
      <c r="C1392" s="841"/>
      <c r="D1392" s="841"/>
      <c r="E1392" s="841"/>
      <c r="F1392" s="841"/>
      <c r="G1392" s="841"/>
      <c r="H1392" s="841"/>
      <c r="I1392" s="841"/>
      <c r="J1392" s="841"/>
      <c r="K1392" s="841"/>
      <c r="L1392" s="841"/>
      <c r="M1392" s="841"/>
      <c r="N1392" s="841"/>
      <c r="O1392" s="841"/>
      <c r="P1392" s="841"/>
      <c r="Q1392" s="841"/>
      <c r="R1392" s="841"/>
      <c r="S1392" s="841"/>
      <c r="T1392" s="841"/>
      <c r="U1392" s="841"/>
      <c r="V1392" s="841"/>
      <c r="W1392" s="841"/>
      <c r="X1392" s="841"/>
      <c r="Y1392" s="841"/>
      <c r="Z1392" s="1226"/>
      <c r="AA1392" s="1226"/>
      <c r="AB1392" s="1226"/>
      <c r="AC1392" s="1226"/>
      <c r="AD1392" s="1226"/>
      <c r="AE1392" s="1226"/>
      <c r="AF1392" s="1226"/>
      <c r="AG1392" s="1226"/>
      <c r="AH1392" s="1226"/>
      <c r="AI1392" s="841"/>
      <c r="AJ1392" s="841"/>
      <c r="AK1392" s="841"/>
      <c r="AL1392" s="841"/>
      <c r="AM1392" s="841"/>
      <c r="AN1392" s="841"/>
      <c r="AO1392" s="841"/>
      <c r="AP1392" s="841"/>
      <c r="AQ1392" s="841"/>
      <c r="AR1392" s="841"/>
      <c r="AS1392" s="842"/>
    </row>
    <row r="1393" spans="1:45">
      <c r="A1393" s="841"/>
      <c r="B1393" s="841"/>
      <c r="C1393" s="841"/>
      <c r="D1393" s="841"/>
      <c r="E1393" s="841"/>
      <c r="F1393" s="841"/>
      <c r="G1393" s="841"/>
      <c r="H1393" s="841"/>
      <c r="I1393" s="841"/>
      <c r="J1393" s="841"/>
      <c r="K1393" s="841"/>
      <c r="L1393" s="841"/>
      <c r="M1393" s="841"/>
      <c r="N1393" s="841"/>
      <c r="O1393" s="841"/>
      <c r="P1393" s="841"/>
      <c r="Q1393" s="841"/>
      <c r="R1393" s="841"/>
      <c r="S1393" s="841"/>
      <c r="T1393" s="841"/>
      <c r="U1393" s="841"/>
      <c r="V1393" s="841"/>
      <c r="W1393" s="841"/>
      <c r="X1393" s="841"/>
      <c r="Y1393" s="841"/>
      <c r="Z1393" s="1226"/>
      <c r="AA1393" s="1226"/>
      <c r="AB1393" s="1226"/>
      <c r="AC1393" s="1226"/>
      <c r="AD1393" s="1226"/>
      <c r="AE1393" s="1226"/>
      <c r="AF1393" s="1226"/>
      <c r="AG1393" s="1226"/>
      <c r="AH1393" s="1226"/>
      <c r="AI1393" s="841"/>
      <c r="AJ1393" s="841"/>
      <c r="AK1393" s="841"/>
      <c r="AL1393" s="841"/>
      <c r="AM1393" s="841"/>
      <c r="AN1393" s="841"/>
      <c r="AO1393" s="841"/>
      <c r="AP1393" s="841"/>
      <c r="AQ1393" s="841"/>
      <c r="AR1393" s="841"/>
      <c r="AS1393" s="842"/>
    </row>
    <row r="1394" spans="1:45">
      <c r="A1394" s="841"/>
      <c r="B1394" s="841"/>
      <c r="C1394" s="841"/>
      <c r="D1394" s="841"/>
      <c r="E1394" s="841"/>
      <c r="F1394" s="841"/>
      <c r="G1394" s="841"/>
      <c r="H1394" s="841"/>
      <c r="I1394" s="841"/>
      <c r="J1394" s="841"/>
      <c r="K1394" s="841"/>
      <c r="L1394" s="841"/>
      <c r="M1394" s="841"/>
      <c r="N1394" s="841"/>
      <c r="O1394" s="841"/>
      <c r="P1394" s="841"/>
      <c r="Q1394" s="841"/>
      <c r="R1394" s="841"/>
      <c r="S1394" s="841"/>
      <c r="T1394" s="841"/>
      <c r="U1394" s="841"/>
      <c r="V1394" s="841"/>
      <c r="W1394" s="841"/>
      <c r="X1394" s="841"/>
      <c r="Y1394" s="841"/>
      <c r="Z1394" s="1226"/>
      <c r="AA1394" s="1226"/>
      <c r="AB1394" s="1226"/>
      <c r="AC1394" s="1226"/>
      <c r="AD1394" s="1226"/>
      <c r="AE1394" s="1226"/>
      <c r="AF1394" s="1226"/>
      <c r="AG1394" s="1226"/>
      <c r="AH1394" s="1226"/>
      <c r="AI1394" s="841"/>
      <c r="AJ1394" s="841"/>
      <c r="AK1394" s="841"/>
      <c r="AL1394" s="841"/>
      <c r="AM1394" s="841"/>
      <c r="AN1394" s="841"/>
      <c r="AO1394" s="841"/>
      <c r="AP1394" s="841"/>
      <c r="AQ1394" s="841"/>
      <c r="AR1394" s="841"/>
      <c r="AS1394" s="842"/>
    </row>
    <row r="1395" spans="1:45">
      <c r="A1395" s="841"/>
      <c r="B1395" s="841"/>
      <c r="C1395" s="841"/>
      <c r="D1395" s="841"/>
      <c r="E1395" s="841"/>
      <c r="F1395" s="841"/>
      <c r="G1395" s="841"/>
      <c r="H1395" s="841"/>
      <c r="I1395" s="841"/>
      <c r="J1395" s="841"/>
      <c r="K1395" s="841"/>
      <c r="L1395" s="841"/>
      <c r="M1395" s="841"/>
      <c r="N1395" s="841"/>
      <c r="O1395" s="841"/>
      <c r="P1395" s="841"/>
      <c r="Q1395" s="841"/>
      <c r="R1395" s="841"/>
      <c r="S1395" s="841"/>
      <c r="T1395" s="841"/>
      <c r="U1395" s="841"/>
      <c r="V1395" s="841"/>
      <c r="W1395" s="841"/>
      <c r="X1395" s="841"/>
      <c r="Y1395" s="841"/>
      <c r="Z1395" s="1226"/>
      <c r="AA1395" s="1226"/>
      <c r="AB1395" s="1226"/>
      <c r="AC1395" s="1226"/>
      <c r="AD1395" s="1226"/>
      <c r="AE1395" s="1226"/>
      <c r="AF1395" s="1226"/>
      <c r="AG1395" s="1226"/>
      <c r="AH1395" s="1226"/>
      <c r="AI1395" s="841"/>
      <c r="AJ1395" s="841"/>
      <c r="AK1395" s="841"/>
      <c r="AL1395" s="841"/>
      <c r="AM1395" s="841"/>
      <c r="AN1395" s="841"/>
      <c r="AO1395" s="841"/>
      <c r="AP1395" s="841"/>
      <c r="AQ1395" s="841"/>
      <c r="AR1395" s="841"/>
      <c r="AS1395" s="842"/>
    </row>
    <row r="1396" spans="1:45">
      <c r="A1396" s="841"/>
      <c r="B1396" s="841"/>
      <c r="C1396" s="841"/>
      <c r="D1396" s="841"/>
      <c r="E1396" s="841"/>
      <c r="F1396" s="841"/>
      <c r="G1396" s="841"/>
      <c r="H1396" s="841"/>
      <c r="I1396" s="841"/>
      <c r="J1396" s="841"/>
      <c r="K1396" s="841"/>
      <c r="L1396" s="841"/>
      <c r="M1396" s="841"/>
      <c r="N1396" s="841"/>
      <c r="O1396" s="841"/>
      <c r="P1396" s="841"/>
      <c r="Q1396" s="841"/>
      <c r="R1396" s="841"/>
      <c r="S1396" s="841"/>
      <c r="T1396" s="841"/>
      <c r="U1396" s="841"/>
      <c r="V1396" s="841"/>
      <c r="W1396" s="841"/>
      <c r="X1396" s="841"/>
      <c r="Y1396" s="841"/>
      <c r="Z1396" s="1226"/>
      <c r="AA1396" s="1226"/>
      <c r="AB1396" s="1226"/>
      <c r="AC1396" s="1226"/>
      <c r="AD1396" s="1226"/>
      <c r="AE1396" s="1226"/>
      <c r="AF1396" s="1226"/>
      <c r="AG1396" s="1226"/>
      <c r="AH1396" s="1226"/>
      <c r="AI1396" s="841"/>
      <c r="AJ1396" s="841"/>
      <c r="AK1396" s="841"/>
      <c r="AL1396" s="841"/>
      <c r="AM1396" s="841"/>
      <c r="AN1396" s="841"/>
      <c r="AO1396" s="841"/>
      <c r="AP1396" s="841"/>
      <c r="AQ1396" s="841"/>
      <c r="AR1396" s="841"/>
      <c r="AS1396" s="842"/>
    </row>
    <row r="1397" spans="1:45">
      <c r="A1397" s="841"/>
      <c r="B1397" s="841"/>
      <c r="C1397" s="841"/>
      <c r="D1397" s="841"/>
      <c r="E1397" s="841"/>
      <c r="F1397" s="841"/>
      <c r="G1397" s="841"/>
      <c r="H1397" s="841"/>
      <c r="I1397" s="841"/>
      <c r="J1397" s="841"/>
      <c r="K1397" s="841"/>
      <c r="L1397" s="841"/>
      <c r="M1397" s="841"/>
      <c r="N1397" s="841"/>
      <c r="O1397" s="841"/>
      <c r="P1397" s="841"/>
      <c r="Q1397" s="841"/>
      <c r="R1397" s="841"/>
      <c r="S1397" s="841"/>
      <c r="T1397" s="841"/>
      <c r="U1397" s="841"/>
      <c r="V1397" s="841"/>
      <c r="W1397" s="841"/>
      <c r="X1397" s="841"/>
      <c r="Y1397" s="841"/>
      <c r="Z1397" s="1226"/>
      <c r="AA1397" s="1226"/>
      <c r="AB1397" s="1226"/>
      <c r="AC1397" s="1226"/>
      <c r="AD1397" s="1226"/>
      <c r="AE1397" s="1226"/>
      <c r="AF1397" s="1226"/>
      <c r="AG1397" s="1226"/>
      <c r="AH1397" s="1226"/>
      <c r="AI1397" s="841"/>
      <c r="AJ1397" s="841"/>
      <c r="AK1397" s="841"/>
      <c r="AL1397" s="841"/>
      <c r="AM1397" s="841"/>
      <c r="AN1397" s="841"/>
      <c r="AO1397" s="841"/>
      <c r="AP1397" s="841"/>
      <c r="AQ1397" s="841"/>
      <c r="AR1397" s="841"/>
      <c r="AS1397" s="842"/>
    </row>
    <row r="1398" spans="1:45">
      <c r="A1398" s="841"/>
      <c r="B1398" s="841"/>
      <c r="C1398" s="841"/>
      <c r="D1398" s="841"/>
      <c r="E1398" s="841"/>
      <c r="F1398" s="841"/>
      <c r="G1398" s="841"/>
      <c r="H1398" s="841"/>
      <c r="I1398" s="841"/>
      <c r="J1398" s="841"/>
      <c r="K1398" s="841"/>
      <c r="L1398" s="841"/>
      <c r="M1398" s="841"/>
      <c r="N1398" s="841"/>
      <c r="O1398" s="841"/>
      <c r="P1398" s="841"/>
      <c r="Q1398" s="841"/>
      <c r="R1398" s="841"/>
      <c r="S1398" s="841"/>
      <c r="T1398" s="841"/>
      <c r="U1398" s="841"/>
      <c r="V1398" s="841"/>
      <c r="W1398" s="841"/>
      <c r="X1398" s="841"/>
      <c r="Y1398" s="841"/>
      <c r="Z1398" s="1226"/>
      <c r="AA1398" s="1226"/>
      <c r="AB1398" s="1226"/>
      <c r="AC1398" s="1226"/>
      <c r="AD1398" s="1226"/>
      <c r="AE1398" s="1226"/>
      <c r="AF1398" s="1226"/>
      <c r="AG1398" s="1226"/>
      <c r="AH1398" s="1226"/>
      <c r="AI1398" s="841"/>
      <c r="AJ1398" s="841"/>
      <c r="AK1398" s="841"/>
      <c r="AL1398" s="841"/>
      <c r="AM1398" s="841"/>
      <c r="AN1398" s="841"/>
      <c r="AO1398" s="841"/>
      <c r="AP1398" s="841"/>
      <c r="AQ1398" s="841"/>
      <c r="AR1398" s="841"/>
      <c r="AS1398" s="842"/>
    </row>
    <row r="1399" spans="1:45">
      <c r="A1399" s="841"/>
      <c r="B1399" s="841"/>
      <c r="C1399" s="841"/>
      <c r="D1399" s="841"/>
      <c r="E1399" s="841"/>
      <c r="F1399" s="841"/>
      <c r="G1399" s="841"/>
      <c r="H1399" s="841"/>
      <c r="I1399" s="841"/>
      <c r="J1399" s="841"/>
      <c r="K1399" s="841"/>
      <c r="L1399" s="841"/>
      <c r="M1399" s="841"/>
      <c r="N1399" s="841"/>
      <c r="O1399" s="841"/>
      <c r="P1399" s="841"/>
      <c r="Q1399" s="841"/>
      <c r="R1399" s="841"/>
      <c r="S1399" s="841"/>
      <c r="T1399" s="841"/>
      <c r="U1399" s="841"/>
      <c r="V1399" s="841"/>
      <c r="W1399" s="841"/>
      <c r="X1399" s="841"/>
      <c r="Y1399" s="841"/>
      <c r="Z1399" s="1226"/>
      <c r="AA1399" s="1226"/>
      <c r="AB1399" s="1226"/>
      <c r="AC1399" s="1226"/>
      <c r="AD1399" s="1226"/>
      <c r="AE1399" s="1226"/>
      <c r="AF1399" s="1226"/>
      <c r="AG1399" s="1226"/>
      <c r="AH1399" s="1226"/>
      <c r="AI1399" s="841"/>
      <c r="AJ1399" s="841"/>
      <c r="AK1399" s="841"/>
      <c r="AL1399" s="841"/>
      <c r="AM1399" s="841"/>
      <c r="AN1399" s="841"/>
      <c r="AO1399" s="841"/>
      <c r="AP1399" s="841"/>
      <c r="AQ1399" s="841"/>
      <c r="AR1399" s="841"/>
      <c r="AS1399" s="842"/>
    </row>
    <row r="1400" spans="1:45">
      <c r="A1400" s="841"/>
      <c r="B1400" s="841"/>
      <c r="C1400" s="841"/>
      <c r="D1400" s="841"/>
      <c r="E1400" s="841"/>
      <c r="F1400" s="841"/>
      <c r="G1400" s="841"/>
      <c r="H1400" s="841"/>
      <c r="I1400" s="841"/>
      <c r="J1400" s="841"/>
      <c r="K1400" s="841"/>
      <c r="L1400" s="841"/>
      <c r="M1400" s="841"/>
      <c r="N1400" s="841"/>
      <c r="O1400" s="841"/>
      <c r="P1400" s="841"/>
      <c r="Q1400" s="841"/>
      <c r="R1400" s="841"/>
      <c r="S1400" s="841"/>
      <c r="T1400" s="841"/>
      <c r="U1400" s="841"/>
      <c r="V1400" s="841"/>
      <c r="W1400" s="841"/>
      <c r="X1400" s="841"/>
      <c r="Y1400" s="841"/>
      <c r="Z1400" s="1226"/>
      <c r="AA1400" s="1226"/>
      <c r="AB1400" s="1226"/>
      <c r="AC1400" s="1226"/>
      <c r="AD1400" s="1226"/>
      <c r="AE1400" s="1226"/>
      <c r="AF1400" s="1226"/>
      <c r="AG1400" s="1226"/>
      <c r="AH1400" s="1226"/>
      <c r="AI1400" s="841"/>
      <c r="AJ1400" s="841"/>
      <c r="AK1400" s="841"/>
      <c r="AL1400" s="841"/>
      <c r="AM1400" s="841"/>
      <c r="AN1400" s="841"/>
      <c r="AO1400" s="841"/>
      <c r="AP1400" s="841"/>
      <c r="AQ1400" s="841"/>
      <c r="AR1400" s="841"/>
      <c r="AS1400" s="842"/>
    </row>
    <row r="1401" spans="1:45">
      <c r="A1401" s="841"/>
      <c r="B1401" s="841"/>
      <c r="C1401" s="841"/>
      <c r="D1401" s="841"/>
      <c r="E1401" s="841"/>
      <c r="F1401" s="841"/>
      <c r="G1401" s="841"/>
      <c r="H1401" s="841"/>
      <c r="I1401" s="841"/>
      <c r="J1401" s="841"/>
      <c r="K1401" s="841"/>
      <c r="L1401" s="841"/>
      <c r="M1401" s="841"/>
      <c r="N1401" s="841"/>
      <c r="O1401" s="841"/>
      <c r="P1401" s="841"/>
      <c r="Q1401" s="841"/>
      <c r="R1401" s="841"/>
      <c r="S1401" s="841"/>
      <c r="T1401" s="841"/>
      <c r="U1401" s="841"/>
      <c r="V1401" s="841"/>
      <c r="W1401" s="841"/>
      <c r="X1401" s="841"/>
      <c r="Y1401" s="841"/>
      <c r="Z1401" s="1226"/>
      <c r="AA1401" s="1226"/>
      <c r="AB1401" s="1226"/>
      <c r="AC1401" s="1226"/>
      <c r="AD1401" s="1226"/>
      <c r="AE1401" s="1226"/>
      <c r="AF1401" s="1226"/>
      <c r="AG1401" s="1226"/>
      <c r="AH1401" s="1226"/>
      <c r="AI1401" s="841"/>
      <c r="AJ1401" s="841"/>
      <c r="AK1401" s="841"/>
      <c r="AL1401" s="841"/>
      <c r="AM1401" s="841"/>
      <c r="AN1401" s="841"/>
      <c r="AO1401" s="841"/>
      <c r="AP1401" s="841"/>
      <c r="AQ1401" s="841"/>
      <c r="AR1401" s="841"/>
      <c r="AS1401" s="842"/>
    </row>
    <row r="1402" spans="1:45">
      <c r="A1402" s="841"/>
      <c r="B1402" s="841"/>
      <c r="C1402" s="841"/>
      <c r="D1402" s="841"/>
      <c r="E1402" s="841"/>
      <c r="F1402" s="841"/>
      <c r="G1402" s="841"/>
      <c r="H1402" s="841"/>
      <c r="I1402" s="841"/>
      <c r="J1402" s="841"/>
      <c r="K1402" s="841"/>
      <c r="L1402" s="841"/>
      <c r="M1402" s="841"/>
      <c r="N1402" s="841"/>
      <c r="O1402" s="841"/>
      <c r="P1402" s="841"/>
      <c r="Q1402" s="841"/>
      <c r="R1402" s="841"/>
      <c r="S1402" s="841"/>
      <c r="T1402" s="841"/>
      <c r="U1402" s="841"/>
      <c r="V1402" s="841"/>
      <c r="W1402" s="841"/>
      <c r="X1402" s="841"/>
      <c r="Y1402" s="841"/>
      <c r="Z1402" s="1226"/>
      <c r="AA1402" s="1226"/>
      <c r="AB1402" s="1226"/>
      <c r="AC1402" s="1226"/>
      <c r="AD1402" s="1226"/>
      <c r="AE1402" s="1226"/>
      <c r="AF1402" s="1226"/>
      <c r="AG1402" s="1226"/>
      <c r="AH1402" s="1226"/>
      <c r="AI1402" s="841"/>
      <c r="AJ1402" s="841"/>
      <c r="AK1402" s="841"/>
      <c r="AL1402" s="841"/>
      <c r="AM1402" s="841"/>
      <c r="AN1402" s="841"/>
      <c r="AO1402" s="841"/>
      <c r="AP1402" s="841"/>
      <c r="AQ1402" s="841"/>
      <c r="AR1402" s="841"/>
      <c r="AS1402" s="842"/>
    </row>
    <row r="1403" spans="1:45">
      <c r="A1403" s="841"/>
      <c r="B1403" s="841"/>
      <c r="C1403" s="841"/>
      <c r="D1403" s="841"/>
      <c r="E1403" s="841"/>
      <c r="F1403" s="841"/>
      <c r="G1403" s="841"/>
      <c r="H1403" s="841"/>
      <c r="I1403" s="841"/>
      <c r="J1403" s="841"/>
      <c r="K1403" s="841"/>
      <c r="L1403" s="841"/>
      <c r="M1403" s="841"/>
      <c r="N1403" s="841"/>
      <c r="O1403" s="841"/>
      <c r="P1403" s="841"/>
      <c r="Q1403" s="841"/>
      <c r="R1403" s="841"/>
      <c r="S1403" s="841"/>
      <c r="T1403" s="841"/>
      <c r="U1403" s="841"/>
      <c r="V1403" s="841"/>
      <c r="W1403" s="841"/>
      <c r="X1403" s="841"/>
      <c r="Y1403" s="841"/>
      <c r="Z1403" s="1226"/>
      <c r="AA1403" s="1226"/>
      <c r="AB1403" s="1226"/>
      <c r="AC1403" s="1226"/>
      <c r="AD1403" s="1226"/>
      <c r="AE1403" s="1226"/>
      <c r="AF1403" s="1226"/>
      <c r="AG1403" s="1226"/>
      <c r="AH1403" s="1226"/>
      <c r="AI1403" s="841"/>
      <c r="AJ1403" s="841"/>
      <c r="AK1403" s="841"/>
      <c r="AL1403" s="841"/>
      <c r="AM1403" s="841"/>
      <c r="AN1403" s="841"/>
      <c r="AO1403" s="841"/>
      <c r="AP1403" s="841"/>
      <c r="AQ1403" s="841"/>
      <c r="AR1403" s="841"/>
      <c r="AS1403" s="842"/>
    </row>
    <row r="1404" spans="1:45">
      <c r="A1404" s="841"/>
      <c r="B1404" s="841"/>
      <c r="C1404" s="841"/>
      <c r="D1404" s="841"/>
      <c r="E1404" s="841"/>
      <c r="F1404" s="841"/>
      <c r="G1404" s="841"/>
      <c r="H1404" s="841"/>
      <c r="I1404" s="841"/>
      <c r="J1404" s="841"/>
      <c r="K1404" s="841"/>
      <c r="L1404" s="841"/>
      <c r="M1404" s="841"/>
      <c r="N1404" s="841"/>
      <c r="O1404" s="841"/>
      <c r="P1404" s="841"/>
      <c r="Q1404" s="841"/>
      <c r="R1404" s="841"/>
      <c r="S1404" s="841"/>
      <c r="T1404" s="841"/>
      <c r="U1404" s="841"/>
      <c r="V1404" s="841"/>
      <c r="W1404" s="841"/>
      <c r="X1404" s="841"/>
      <c r="Y1404" s="841"/>
      <c r="Z1404" s="1226"/>
      <c r="AA1404" s="1226"/>
      <c r="AB1404" s="1226"/>
      <c r="AC1404" s="1226"/>
      <c r="AD1404" s="1226"/>
      <c r="AE1404" s="1226"/>
      <c r="AF1404" s="1226"/>
      <c r="AG1404" s="1226"/>
      <c r="AH1404" s="1226"/>
      <c r="AI1404" s="841"/>
      <c r="AJ1404" s="841"/>
      <c r="AK1404" s="841"/>
      <c r="AL1404" s="841"/>
      <c r="AM1404" s="841"/>
      <c r="AN1404" s="841"/>
      <c r="AO1404" s="841"/>
      <c r="AP1404" s="841"/>
      <c r="AQ1404" s="841"/>
      <c r="AR1404" s="841"/>
      <c r="AS1404" s="842"/>
    </row>
    <row r="1405" spans="1:45">
      <c r="A1405" s="841"/>
      <c r="B1405" s="841"/>
      <c r="C1405" s="841"/>
      <c r="D1405" s="841"/>
      <c r="E1405" s="841"/>
      <c r="F1405" s="841"/>
      <c r="G1405" s="841"/>
      <c r="H1405" s="841"/>
      <c r="I1405" s="841"/>
      <c r="J1405" s="841"/>
      <c r="K1405" s="841"/>
      <c r="L1405" s="841"/>
      <c r="M1405" s="841"/>
      <c r="N1405" s="841"/>
      <c r="O1405" s="841"/>
      <c r="P1405" s="841"/>
      <c r="Q1405" s="841"/>
      <c r="R1405" s="841"/>
      <c r="S1405" s="841"/>
      <c r="T1405" s="841"/>
      <c r="U1405" s="841"/>
      <c r="V1405" s="841"/>
      <c r="W1405" s="841"/>
      <c r="X1405" s="841"/>
      <c r="Y1405" s="841"/>
      <c r="Z1405" s="1226"/>
      <c r="AA1405" s="1226"/>
      <c r="AB1405" s="1226"/>
      <c r="AC1405" s="1226"/>
      <c r="AD1405" s="1226"/>
      <c r="AE1405" s="1226"/>
      <c r="AF1405" s="1226"/>
      <c r="AG1405" s="1226"/>
      <c r="AH1405" s="1226"/>
      <c r="AI1405" s="841"/>
      <c r="AJ1405" s="841"/>
      <c r="AK1405" s="841"/>
      <c r="AL1405" s="841"/>
      <c r="AM1405" s="841"/>
      <c r="AN1405" s="841"/>
      <c r="AO1405" s="841"/>
      <c r="AP1405" s="841"/>
      <c r="AQ1405" s="841"/>
      <c r="AR1405" s="841"/>
      <c r="AS1405" s="842"/>
    </row>
    <row r="1406" spans="1:45">
      <c r="A1406" s="841"/>
      <c r="B1406" s="841"/>
      <c r="C1406" s="841"/>
      <c r="D1406" s="841"/>
      <c r="E1406" s="841"/>
      <c r="F1406" s="841"/>
      <c r="G1406" s="841"/>
      <c r="H1406" s="841"/>
      <c r="I1406" s="841"/>
      <c r="J1406" s="841"/>
      <c r="K1406" s="841"/>
      <c r="L1406" s="841"/>
      <c r="M1406" s="841"/>
      <c r="N1406" s="841"/>
      <c r="O1406" s="841"/>
      <c r="P1406" s="841"/>
      <c r="Q1406" s="841"/>
      <c r="R1406" s="841"/>
      <c r="S1406" s="841"/>
      <c r="T1406" s="841"/>
      <c r="U1406" s="841"/>
      <c r="V1406" s="841"/>
      <c r="W1406" s="841"/>
      <c r="X1406" s="841"/>
      <c r="Y1406" s="841"/>
      <c r="Z1406" s="1226"/>
      <c r="AA1406" s="1226"/>
      <c r="AB1406" s="1226"/>
      <c r="AC1406" s="1226"/>
      <c r="AD1406" s="1226"/>
      <c r="AE1406" s="1226"/>
      <c r="AF1406" s="1226"/>
      <c r="AG1406" s="1226"/>
      <c r="AH1406" s="1226"/>
      <c r="AI1406" s="841"/>
      <c r="AJ1406" s="841"/>
      <c r="AK1406" s="841"/>
      <c r="AL1406" s="841"/>
      <c r="AM1406" s="841"/>
      <c r="AN1406" s="841"/>
      <c r="AO1406" s="841"/>
      <c r="AP1406" s="841"/>
      <c r="AQ1406" s="841"/>
      <c r="AR1406" s="841"/>
      <c r="AS1406" s="842"/>
    </row>
    <row r="1407" spans="1:45">
      <c r="A1407" s="841"/>
      <c r="B1407" s="841"/>
      <c r="C1407" s="841"/>
      <c r="D1407" s="841"/>
      <c r="E1407" s="841"/>
      <c r="F1407" s="841"/>
      <c r="G1407" s="841"/>
      <c r="H1407" s="841"/>
      <c r="I1407" s="841"/>
      <c r="J1407" s="841"/>
      <c r="K1407" s="841"/>
      <c r="L1407" s="841"/>
      <c r="M1407" s="841"/>
      <c r="N1407" s="841"/>
      <c r="O1407" s="841"/>
      <c r="P1407" s="841"/>
      <c r="Q1407" s="841"/>
      <c r="R1407" s="841"/>
      <c r="S1407" s="841"/>
      <c r="T1407" s="841"/>
      <c r="U1407" s="841"/>
      <c r="V1407" s="841"/>
      <c r="W1407" s="841"/>
      <c r="X1407" s="841"/>
      <c r="Y1407" s="841"/>
      <c r="Z1407" s="1226"/>
      <c r="AA1407" s="1226"/>
      <c r="AB1407" s="1226"/>
      <c r="AC1407" s="1226"/>
      <c r="AD1407" s="1226"/>
      <c r="AE1407" s="1226"/>
      <c r="AF1407" s="1226"/>
      <c r="AG1407" s="1226"/>
      <c r="AH1407" s="1226"/>
      <c r="AI1407" s="841"/>
      <c r="AJ1407" s="841"/>
      <c r="AK1407" s="841"/>
      <c r="AL1407" s="841"/>
      <c r="AM1407" s="841"/>
      <c r="AN1407" s="841"/>
      <c r="AO1407" s="841"/>
      <c r="AP1407" s="841"/>
      <c r="AQ1407" s="841"/>
      <c r="AR1407" s="841"/>
      <c r="AS1407" s="842"/>
    </row>
    <row r="1408" spans="1:45">
      <c r="A1408" s="841"/>
      <c r="B1408" s="841"/>
      <c r="C1408" s="841"/>
      <c r="D1408" s="841"/>
      <c r="E1408" s="841"/>
      <c r="F1408" s="841"/>
      <c r="G1408" s="841"/>
      <c r="H1408" s="841"/>
      <c r="I1408" s="841"/>
      <c r="J1408" s="841"/>
      <c r="K1408" s="841"/>
      <c r="L1408" s="841"/>
      <c r="M1408" s="841"/>
      <c r="N1408" s="841"/>
      <c r="O1408" s="841"/>
      <c r="P1408" s="841"/>
      <c r="Q1408" s="841"/>
      <c r="R1408" s="841"/>
      <c r="S1408" s="841"/>
      <c r="T1408" s="841"/>
      <c r="U1408" s="841"/>
      <c r="V1408" s="841"/>
      <c r="W1408" s="841"/>
      <c r="X1408" s="841"/>
      <c r="Y1408" s="841"/>
      <c r="Z1408" s="1226"/>
      <c r="AA1408" s="1226"/>
      <c r="AB1408" s="1226"/>
      <c r="AC1408" s="1226"/>
      <c r="AD1408" s="1226"/>
      <c r="AE1408" s="1226"/>
      <c r="AF1408" s="1226"/>
      <c r="AG1408" s="1226"/>
      <c r="AH1408" s="1226"/>
      <c r="AI1408" s="841"/>
      <c r="AJ1408" s="841"/>
      <c r="AK1408" s="841"/>
      <c r="AL1408" s="841"/>
      <c r="AM1408" s="841"/>
      <c r="AN1408" s="841"/>
      <c r="AO1408" s="841"/>
      <c r="AP1408" s="841"/>
      <c r="AQ1408" s="841"/>
      <c r="AR1408" s="841"/>
      <c r="AS1408" s="842"/>
    </row>
    <row r="1409" spans="1:45">
      <c r="A1409" s="841"/>
      <c r="B1409" s="841"/>
      <c r="C1409" s="841"/>
      <c r="D1409" s="841"/>
      <c r="E1409" s="841"/>
      <c r="F1409" s="841"/>
      <c r="G1409" s="841"/>
      <c r="H1409" s="841"/>
      <c r="I1409" s="841"/>
      <c r="J1409" s="841"/>
      <c r="K1409" s="841"/>
      <c r="L1409" s="841"/>
      <c r="M1409" s="841"/>
      <c r="N1409" s="841"/>
      <c r="O1409" s="841"/>
      <c r="P1409" s="841"/>
      <c r="Q1409" s="841"/>
      <c r="R1409" s="841"/>
      <c r="S1409" s="841"/>
      <c r="T1409" s="841"/>
      <c r="U1409" s="841"/>
      <c r="V1409" s="841"/>
      <c r="W1409" s="841"/>
      <c r="X1409" s="841"/>
      <c r="Y1409" s="841"/>
      <c r="Z1409" s="1226"/>
      <c r="AA1409" s="1226"/>
      <c r="AB1409" s="1226"/>
      <c r="AC1409" s="1226"/>
      <c r="AD1409" s="1226"/>
      <c r="AE1409" s="1226"/>
      <c r="AF1409" s="1226"/>
      <c r="AG1409" s="1226"/>
      <c r="AH1409" s="1226"/>
      <c r="AI1409" s="841"/>
      <c r="AJ1409" s="841"/>
      <c r="AK1409" s="841"/>
      <c r="AL1409" s="841"/>
      <c r="AM1409" s="841"/>
      <c r="AN1409" s="841"/>
      <c r="AO1409" s="841"/>
      <c r="AP1409" s="841"/>
      <c r="AQ1409" s="841"/>
      <c r="AR1409" s="841"/>
      <c r="AS1409" s="842"/>
    </row>
    <row r="1410" spans="1:45">
      <c r="A1410" s="841"/>
      <c r="B1410" s="841"/>
      <c r="C1410" s="841"/>
      <c r="D1410" s="841"/>
      <c r="E1410" s="841"/>
      <c r="F1410" s="841"/>
      <c r="G1410" s="841"/>
      <c r="H1410" s="841"/>
      <c r="I1410" s="841"/>
      <c r="J1410" s="841"/>
      <c r="K1410" s="841"/>
      <c r="L1410" s="841"/>
      <c r="M1410" s="841"/>
      <c r="N1410" s="841"/>
      <c r="O1410" s="841"/>
      <c r="P1410" s="841"/>
      <c r="Q1410" s="841"/>
      <c r="R1410" s="841"/>
      <c r="S1410" s="841"/>
      <c r="T1410" s="841"/>
      <c r="U1410" s="841"/>
      <c r="V1410" s="841"/>
      <c r="W1410" s="841"/>
      <c r="X1410" s="841"/>
      <c r="Y1410" s="841"/>
      <c r="Z1410" s="1226"/>
      <c r="AA1410" s="1226"/>
      <c r="AB1410" s="1226"/>
      <c r="AC1410" s="1226"/>
      <c r="AD1410" s="1226"/>
      <c r="AE1410" s="1226"/>
      <c r="AF1410" s="1226"/>
      <c r="AG1410" s="1226"/>
      <c r="AH1410" s="1226"/>
      <c r="AI1410" s="841"/>
      <c r="AJ1410" s="841"/>
      <c r="AK1410" s="841"/>
      <c r="AL1410" s="841"/>
      <c r="AM1410" s="841"/>
      <c r="AN1410" s="841"/>
      <c r="AO1410" s="841"/>
      <c r="AP1410" s="841"/>
      <c r="AQ1410" s="841"/>
      <c r="AR1410" s="841"/>
      <c r="AS1410" s="842"/>
    </row>
    <row r="1411" spans="1:45">
      <c r="A1411" s="841"/>
      <c r="B1411" s="841"/>
      <c r="C1411" s="841"/>
      <c r="D1411" s="841"/>
      <c r="E1411" s="841"/>
      <c r="F1411" s="841"/>
      <c r="G1411" s="841"/>
      <c r="H1411" s="841"/>
      <c r="I1411" s="841"/>
      <c r="J1411" s="841"/>
      <c r="K1411" s="841"/>
      <c r="L1411" s="841"/>
      <c r="M1411" s="841"/>
      <c r="N1411" s="841"/>
      <c r="O1411" s="841"/>
      <c r="P1411" s="841"/>
      <c r="Q1411" s="841"/>
      <c r="R1411" s="841"/>
      <c r="S1411" s="841"/>
      <c r="T1411" s="841"/>
      <c r="U1411" s="841"/>
      <c r="V1411" s="841"/>
      <c r="W1411" s="841"/>
      <c r="X1411" s="841"/>
      <c r="Y1411" s="841"/>
      <c r="Z1411" s="1226"/>
      <c r="AA1411" s="1226"/>
      <c r="AB1411" s="1226"/>
      <c r="AC1411" s="1226"/>
      <c r="AD1411" s="1226"/>
      <c r="AE1411" s="1226"/>
      <c r="AF1411" s="1226"/>
      <c r="AG1411" s="1226"/>
      <c r="AH1411" s="1226"/>
      <c r="AI1411" s="841"/>
      <c r="AJ1411" s="841"/>
      <c r="AK1411" s="841"/>
      <c r="AL1411" s="841"/>
      <c r="AM1411" s="841"/>
      <c r="AN1411" s="841"/>
      <c r="AO1411" s="841"/>
      <c r="AP1411" s="841"/>
      <c r="AQ1411" s="841"/>
      <c r="AR1411" s="841"/>
      <c r="AS1411" s="842"/>
    </row>
    <row r="1412" spans="1:45">
      <c r="A1412" s="841"/>
      <c r="B1412" s="841"/>
      <c r="C1412" s="841"/>
      <c r="D1412" s="841"/>
      <c r="E1412" s="841"/>
      <c r="F1412" s="841"/>
      <c r="G1412" s="841"/>
      <c r="H1412" s="841"/>
      <c r="I1412" s="841"/>
      <c r="J1412" s="841"/>
      <c r="K1412" s="841"/>
      <c r="L1412" s="841"/>
      <c r="M1412" s="841"/>
      <c r="N1412" s="841"/>
      <c r="O1412" s="841"/>
      <c r="P1412" s="841"/>
      <c r="Q1412" s="841"/>
      <c r="R1412" s="841"/>
      <c r="S1412" s="841"/>
      <c r="T1412" s="841"/>
      <c r="U1412" s="841"/>
      <c r="V1412" s="841"/>
      <c r="W1412" s="841"/>
      <c r="X1412" s="841"/>
      <c r="Y1412" s="841"/>
      <c r="Z1412" s="1226"/>
      <c r="AA1412" s="1226"/>
      <c r="AB1412" s="1226"/>
      <c r="AC1412" s="1226"/>
      <c r="AD1412" s="1226"/>
      <c r="AE1412" s="1226"/>
      <c r="AF1412" s="1226"/>
      <c r="AG1412" s="1226"/>
      <c r="AH1412" s="1226"/>
      <c r="AI1412" s="841"/>
      <c r="AJ1412" s="841"/>
      <c r="AK1412" s="841"/>
      <c r="AL1412" s="841"/>
      <c r="AM1412" s="841"/>
      <c r="AN1412" s="841"/>
      <c r="AO1412" s="841"/>
      <c r="AP1412" s="841"/>
      <c r="AQ1412" s="841"/>
      <c r="AR1412" s="841"/>
      <c r="AS1412" s="842"/>
    </row>
    <row r="1413" spans="1:45">
      <c r="A1413" s="841"/>
      <c r="B1413" s="841"/>
      <c r="C1413" s="841"/>
      <c r="D1413" s="841"/>
      <c r="E1413" s="841"/>
      <c r="F1413" s="841"/>
      <c r="G1413" s="841"/>
      <c r="H1413" s="841"/>
      <c r="I1413" s="841"/>
      <c r="J1413" s="841"/>
      <c r="K1413" s="841"/>
      <c r="L1413" s="841"/>
      <c r="M1413" s="841"/>
      <c r="N1413" s="841"/>
      <c r="O1413" s="841"/>
      <c r="P1413" s="841"/>
      <c r="Q1413" s="841"/>
      <c r="R1413" s="841"/>
      <c r="S1413" s="841"/>
      <c r="T1413" s="841"/>
      <c r="U1413" s="841"/>
      <c r="V1413" s="841"/>
      <c r="W1413" s="841"/>
      <c r="X1413" s="841"/>
      <c r="Y1413" s="841"/>
      <c r="Z1413" s="1226"/>
      <c r="AA1413" s="1226"/>
      <c r="AB1413" s="1226"/>
      <c r="AC1413" s="1226"/>
      <c r="AD1413" s="1226"/>
      <c r="AE1413" s="1226"/>
      <c r="AF1413" s="1226"/>
      <c r="AG1413" s="1226"/>
      <c r="AH1413" s="1226"/>
      <c r="AI1413" s="841"/>
      <c r="AJ1413" s="841"/>
      <c r="AK1413" s="841"/>
      <c r="AL1413" s="841"/>
      <c r="AM1413" s="841"/>
      <c r="AN1413" s="841"/>
      <c r="AO1413" s="841"/>
      <c r="AP1413" s="841"/>
      <c r="AQ1413" s="841"/>
      <c r="AR1413" s="841"/>
      <c r="AS1413" s="842"/>
    </row>
    <row r="1414" spans="1:45">
      <c r="A1414" s="841"/>
      <c r="B1414" s="841"/>
      <c r="C1414" s="841"/>
      <c r="D1414" s="841"/>
      <c r="E1414" s="841"/>
      <c r="F1414" s="841"/>
      <c r="G1414" s="841"/>
      <c r="H1414" s="841"/>
      <c r="I1414" s="841"/>
      <c r="J1414" s="841"/>
      <c r="K1414" s="841"/>
      <c r="L1414" s="841"/>
      <c r="M1414" s="841"/>
      <c r="N1414" s="841"/>
      <c r="O1414" s="841"/>
      <c r="P1414" s="841"/>
      <c r="Q1414" s="841"/>
      <c r="R1414" s="841"/>
      <c r="S1414" s="841"/>
      <c r="T1414" s="841"/>
      <c r="U1414" s="841"/>
      <c r="V1414" s="841"/>
      <c r="W1414" s="841"/>
      <c r="X1414" s="841"/>
      <c r="Y1414" s="841"/>
      <c r="Z1414" s="1226"/>
      <c r="AA1414" s="1226"/>
      <c r="AB1414" s="1226"/>
      <c r="AC1414" s="1226"/>
      <c r="AD1414" s="1226"/>
      <c r="AE1414" s="1226"/>
      <c r="AF1414" s="1226"/>
      <c r="AG1414" s="1226"/>
      <c r="AH1414" s="1226"/>
      <c r="AI1414" s="841"/>
      <c r="AJ1414" s="841"/>
      <c r="AK1414" s="841"/>
      <c r="AL1414" s="841"/>
      <c r="AM1414" s="841"/>
      <c r="AN1414" s="841"/>
      <c r="AO1414" s="841"/>
      <c r="AP1414" s="841"/>
      <c r="AQ1414" s="841"/>
      <c r="AR1414" s="841"/>
      <c r="AS1414" s="842"/>
    </row>
    <row r="1415" spans="1:45">
      <c r="A1415" s="841"/>
      <c r="B1415" s="841"/>
      <c r="C1415" s="841"/>
      <c r="D1415" s="841"/>
      <c r="E1415" s="841"/>
      <c r="F1415" s="841"/>
      <c r="G1415" s="841"/>
      <c r="H1415" s="841"/>
      <c r="I1415" s="841"/>
      <c r="J1415" s="841"/>
      <c r="K1415" s="841"/>
      <c r="L1415" s="841"/>
      <c r="M1415" s="841"/>
      <c r="N1415" s="841"/>
      <c r="O1415" s="841"/>
      <c r="P1415" s="841"/>
      <c r="Q1415" s="841"/>
      <c r="R1415" s="841"/>
      <c r="S1415" s="841"/>
      <c r="T1415" s="841"/>
      <c r="U1415" s="841"/>
      <c r="V1415" s="841"/>
      <c r="W1415" s="841"/>
      <c r="X1415" s="841"/>
      <c r="Y1415" s="841"/>
      <c r="Z1415" s="1226"/>
      <c r="AA1415" s="1226"/>
      <c r="AB1415" s="1226"/>
      <c r="AC1415" s="1226"/>
      <c r="AD1415" s="1226"/>
      <c r="AE1415" s="1226"/>
      <c r="AF1415" s="1226"/>
      <c r="AG1415" s="1226"/>
      <c r="AH1415" s="1226"/>
      <c r="AI1415" s="841"/>
      <c r="AJ1415" s="841"/>
      <c r="AK1415" s="841"/>
      <c r="AL1415" s="841"/>
      <c r="AM1415" s="841"/>
      <c r="AN1415" s="841"/>
      <c r="AO1415" s="841"/>
      <c r="AP1415" s="841"/>
      <c r="AQ1415" s="841"/>
      <c r="AR1415" s="841"/>
      <c r="AS1415" s="842"/>
    </row>
    <row r="1416" spans="1:45">
      <c r="A1416" s="841"/>
      <c r="B1416" s="841"/>
      <c r="C1416" s="841"/>
      <c r="D1416" s="841"/>
      <c r="E1416" s="841"/>
      <c r="F1416" s="841"/>
      <c r="G1416" s="841"/>
      <c r="H1416" s="841"/>
      <c r="I1416" s="841"/>
      <c r="J1416" s="841"/>
      <c r="K1416" s="841"/>
      <c r="L1416" s="841"/>
      <c r="M1416" s="841"/>
      <c r="N1416" s="841"/>
      <c r="O1416" s="841"/>
      <c r="P1416" s="841"/>
      <c r="Q1416" s="841"/>
      <c r="R1416" s="841"/>
      <c r="S1416" s="841"/>
      <c r="T1416" s="841"/>
      <c r="U1416" s="841"/>
      <c r="V1416" s="841"/>
      <c r="W1416" s="841"/>
      <c r="X1416" s="841"/>
      <c r="Y1416" s="841"/>
      <c r="Z1416" s="1226"/>
      <c r="AA1416" s="1226"/>
      <c r="AB1416" s="1226"/>
      <c r="AC1416" s="1226"/>
      <c r="AD1416" s="1226"/>
      <c r="AE1416" s="1226"/>
      <c r="AF1416" s="1226"/>
      <c r="AG1416" s="1226"/>
      <c r="AH1416" s="1226"/>
      <c r="AI1416" s="841"/>
      <c r="AJ1416" s="841"/>
      <c r="AK1416" s="841"/>
      <c r="AL1416" s="841"/>
      <c r="AM1416" s="841"/>
      <c r="AN1416" s="841"/>
      <c r="AO1416" s="841"/>
      <c r="AP1416" s="841"/>
      <c r="AQ1416" s="841"/>
      <c r="AR1416" s="841"/>
      <c r="AS1416" s="842"/>
    </row>
    <row r="1417" spans="1:45">
      <c r="A1417" s="841"/>
      <c r="B1417" s="841"/>
      <c r="C1417" s="841"/>
      <c r="D1417" s="841"/>
      <c r="E1417" s="841"/>
      <c r="F1417" s="841"/>
      <c r="G1417" s="841"/>
      <c r="H1417" s="841"/>
      <c r="I1417" s="841"/>
      <c r="J1417" s="841"/>
      <c r="K1417" s="841"/>
      <c r="L1417" s="841"/>
      <c r="M1417" s="841"/>
      <c r="N1417" s="841"/>
      <c r="O1417" s="841"/>
      <c r="P1417" s="841"/>
      <c r="Q1417" s="841"/>
      <c r="R1417" s="841"/>
      <c r="S1417" s="841"/>
      <c r="T1417" s="841"/>
      <c r="U1417" s="841"/>
      <c r="V1417" s="841"/>
      <c r="W1417" s="841"/>
      <c r="X1417" s="841"/>
      <c r="Y1417" s="841"/>
      <c r="Z1417" s="1226"/>
      <c r="AA1417" s="1226"/>
      <c r="AB1417" s="1226"/>
      <c r="AC1417" s="1226"/>
      <c r="AD1417" s="1226"/>
      <c r="AE1417" s="1226"/>
      <c r="AF1417" s="1226"/>
      <c r="AG1417" s="1226"/>
      <c r="AH1417" s="1226"/>
      <c r="AI1417" s="841"/>
      <c r="AJ1417" s="841"/>
      <c r="AK1417" s="841"/>
      <c r="AL1417" s="841"/>
      <c r="AM1417" s="841"/>
      <c r="AN1417" s="841"/>
      <c r="AO1417" s="841"/>
      <c r="AP1417" s="841"/>
      <c r="AQ1417" s="841"/>
      <c r="AR1417" s="841"/>
      <c r="AS1417" s="842"/>
    </row>
    <row r="1418" spans="1:45">
      <c r="A1418" s="841"/>
      <c r="B1418" s="841"/>
      <c r="C1418" s="841"/>
      <c r="D1418" s="841"/>
      <c r="E1418" s="841"/>
      <c r="F1418" s="841"/>
      <c r="G1418" s="841"/>
      <c r="H1418" s="841"/>
      <c r="I1418" s="841"/>
      <c r="J1418" s="841"/>
      <c r="K1418" s="841"/>
      <c r="L1418" s="841"/>
      <c r="M1418" s="841"/>
      <c r="N1418" s="841"/>
      <c r="O1418" s="841"/>
      <c r="P1418" s="841"/>
      <c r="Q1418" s="841"/>
      <c r="R1418" s="841"/>
      <c r="S1418" s="841"/>
      <c r="T1418" s="841"/>
      <c r="U1418" s="841"/>
      <c r="V1418" s="841"/>
      <c r="W1418" s="841"/>
      <c r="X1418" s="841"/>
      <c r="Y1418" s="841"/>
      <c r="Z1418" s="1226"/>
      <c r="AA1418" s="1226"/>
      <c r="AB1418" s="1226"/>
      <c r="AC1418" s="1226"/>
      <c r="AD1418" s="1226"/>
      <c r="AE1418" s="1226"/>
      <c r="AF1418" s="1226"/>
      <c r="AG1418" s="1226"/>
      <c r="AH1418" s="1226"/>
      <c r="AI1418" s="841"/>
      <c r="AJ1418" s="841"/>
      <c r="AK1418" s="841"/>
      <c r="AL1418" s="841"/>
      <c r="AM1418" s="841"/>
      <c r="AN1418" s="841"/>
      <c r="AO1418" s="841"/>
      <c r="AP1418" s="841"/>
      <c r="AQ1418" s="841"/>
      <c r="AR1418" s="841"/>
      <c r="AS1418" s="842"/>
    </row>
    <row r="1419" spans="1:45">
      <c r="A1419" s="841"/>
      <c r="B1419" s="841"/>
      <c r="C1419" s="841"/>
      <c r="D1419" s="841"/>
      <c r="E1419" s="841"/>
      <c r="F1419" s="841"/>
      <c r="G1419" s="841"/>
      <c r="H1419" s="841"/>
      <c r="I1419" s="841"/>
      <c r="J1419" s="841"/>
      <c r="K1419" s="841"/>
      <c r="L1419" s="841"/>
      <c r="M1419" s="841"/>
      <c r="N1419" s="841"/>
      <c r="O1419" s="841"/>
      <c r="P1419" s="841"/>
      <c r="Q1419" s="841"/>
      <c r="R1419" s="841"/>
      <c r="S1419" s="841"/>
      <c r="T1419" s="841"/>
      <c r="U1419" s="841"/>
      <c r="V1419" s="841"/>
      <c r="W1419" s="841"/>
      <c r="X1419" s="841"/>
      <c r="Y1419" s="841"/>
      <c r="Z1419" s="1226"/>
      <c r="AA1419" s="1226"/>
      <c r="AB1419" s="1226"/>
      <c r="AC1419" s="1226"/>
      <c r="AD1419" s="1226"/>
      <c r="AE1419" s="1226"/>
      <c r="AF1419" s="1226"/>
      <c r="AG1419" s="1226"/>
      <c r="AH1419" s="1226"/>
      <c r="AI1419" s="841"/>
      <c r="AJ1419" s="841"/>
      <c r="AK1419" s="841"/>
      <c r="AL1419" s="841"/>
      <c r="AM1419" s="841"/>
      <c r="AN1419" s="841"/>
      <c r="AO1419" s="841"/>
      <c r="AP1419" s="841"/>
      <c r="AQ1419" s="841"/>
      <c r="AR1419" s="841"/>
      <c r="AS1419" s="842"/>
    </row>
    <row r="1420" spans="1:45">
      <c r="A1420" s="841"/>
      <c r="B1420" s="841"/>
      <c r="C1420" s="841"/>
      <c r="D1420" s="841"/>
      <c r="E1420" s="841"/>
      <c r="F1420" s="841"/>
      <c r="G1420" s="841"/>
      <c r="H1420" s="841"/>
      <c r="I1420" s="841"/>
      <c r="J1420" s="841"/>
      <c r="K1420" s="841"/>
      <c r="L1420" s="841"/>
      <c r="M1420" s="841"/>
      <c r="N1420" s="841"/>
      <c r="O1420" s="841"/>
      <c r="P1420" s="841"/>
      <c r="Q1420" s="841"/>
      <c r="R1420" s="841"/>
      <c r="S1420" s="841"/>
      <c r="T1420" s="841"/>
      <c r="U1420" s="841"/>
      <c r="V1420" s="841"/>
      <c r="W1420" s="841"/>
      <c r="X1420" s="841"/>
      <c r="Y1420" s="841"/>
      <c r="Z1420" s="1226"/>
      <c r="AA1420" s="1226"/>
      <c r="AB1420" s="1226"/>
      <c r="AC1420" s="1226"/>
      <c r="AD1420" s="1226"/>
      <c r="AE1420" s="1226"/>
      <c r="AF1420" s="1226"/>
      <c r="AG1420" s="1226"/>
      <c r="AH1420" s="1226"/>
      <c r="AI1420" s="841"/>
      <c r="AJ1420" s="841"/>
      <c r="AK1420" s="841"/>
      <c r="AL1420" s="841"/>
      <c r="AM1420" s="841"/>
      <c r="AN1420" s="841"/>
      <c r="AO1420" s="841"/>
      <c r="AP1420" s="841"/>
      <c r="AQ1420" s="841"/>
      <c r="AR1420" s="841"/>
      <c r="AS1420" s="842"/>
    </row>
    <row r="1421" spans="1:45">
      <c r="A1421" s="841"/>
      <c r="B1421" s="841"/>
      <c r="C1421" s="841"/>
      <c r="D1421" s="841"/>
      <c r="E1421" s="841"/>
      <c r="F1421" s="841"/>
      <c r="G1421" s="841"/>
      <c r="H1421" s="841"/>
      <c r="I1421" s="841"/>
      <c r="J1421" s="841"/>
      <c r="K1421" s="841"/>
      <c r="L1421" s="841"/>
      <c r="M1421" s="841"/>
      <c r="N1421" s="841"/>
      <c r="O1421" s="841"/>
      <c r="P1421" s="841"/>
      <c r="Q1421" s="841"/>
      <c r="R1421" s="841"/>
      <c r="S1421" s="841"/>
      <c r="T1421" s="841"/>
      <c r="U1421" s="841"/>
      <c r="V1421" s="841"/>
      <c r="W1421" s="841"/>
      <c r="X1421" s="841"/>
      <c r="Y1421" s="841"/>
      <c r="Z1421" s="1226"/>
      <c r="AA1421" s="1226"/>
      <c r="AB1421" s="1226"/>
      <c r="AC1421" s="1226"/>
      <c r="AD1421" s="1226"/>
      <c r="AE1421" s="1226"/>
      <c r="AF1421" s="1226"/>
      <c r="AG1421" s="1226"/>
      <c r="AH1421" s="1226"/>
      <c r="AI1421" s="841"/>
      <c r="AJ1421" s="841"/>
      <c r="AK1421" s="841"/>
      <c r="AL1421" s="841"/>
      <c r="AM1421" s="841"/>
      <c r="AN1421" s="841"/>
      <c r="AO1421" s="841"/>
      <c r="AP1421" s="841"/>
      <c r="AQ1421" s="841"/>
      <c r="AR1421" s="841"/>
      <c r="AS1421" s="842"/>
    </row>
    <row r="1422" spans="1:45">
      <c r="A1422" s="841"/>
      <c r="B1422" s="841"/>
      <c r="C1422" s="841"/>
      <c r="D1422" s="841"/>
      <c r="E1422" s="841"/>
      <c r="F1422" s="841"/>
      <c r="G1422" s="841"/>
      <c r="H1422" s="841"/>
      <c r="I1422" s="841"/>
      <c r="J1422" s="841"/>
      <c r="K1422" s="841"/>
      <c r="L1422" s="841"/>
      <c r="M1422" s="841"/>
      <c r="N1422" s="841"/>
      <c r="O1422" s="841"/>
      <c r="P1422" s="841"/>
      <c r="Q1422" s="841"/>
      <c r="R1422" s="841"/>
      <c r="S1422" s="841"/>
      <c r="T1422" s="841"/>
      <c r="U1422" s="841"/>
      <c r="V1422" s="841"/>
      <c r="W1422" s="841"/>
      <c r="X1422" s="841"/>
      <c r="Y1422" s="841"/>
      <c r="Z1422" s="1226"/>
      <c r="AA1422" s="1226"/>
      <c r="AB1422" s="1226"/>
      <c r="AC1422" s="1226"/>
      <c r="AD1422" s="1226"/>
      <c r="AE1422" s="1226"/>
      <c r="AF1422" s="1226"/>
      <c r="AG1422" s="1226"/>
      <c r="AH1422" s="1226"/>
      <c r="AI1422" s="841"/>
      <c r="AJ1422" s="841"/>
      <c r="AK1422" s="841"/>
      <c r="AL1422" s="841"/>
      <c r="AM1422" s="841"/>
      <c r="AN1422" s="841"/>
      <c r="AO1422" s="841"/>
      <c r="AP1422" s="841"/>
      <c r="AQ1422" s="841"/>
      <c r="AR1422" s="841"/>
      <c r="AS1422" s="842"/>
    </row>
    <row r="1423" spans="1:45">
      <c r="A1423" s="841"/>
      <c r="B1423" s="841"/>
      <c r="C1423" s="841"/>
      <c r="D1423" s="841"/>
      <c r="E1423" s="841"/>
      <c r="F1423" s="841"/>
      <c r="G1423" s="841"/>
      <c r="H1423" s="841"/>
      <c r="I1423" s="841"/>
      <c r="J1423" s="841"/>
      <c r="K1423" s="841"/>
      <c r="L1423" s="841"/>
      <c r="M1423" s="841"/>
      <c r="N1423" s="841"/>
      <c r="O1423" s="841"/>
      <c r="P1423" s="841"/>
      <c r="Q1423" s="841"/>
      <c r="R1423" s="841"/>
      <c r="S1423" s="841"/>
      <c r="T1423" s="841"/>
      <c r="U1423" s="841"/>
      <c r="V1423" s="841"/>
      <c r="W1423" s="841"/>
      <c r="X1423" s="841"/>
      <c r="Y1423" s="841"/>
      <c r="Z1423" s="1226"/>
      <c r="AA1423" s="1226"/>
      <c r="AB1423" s="1226"/>
      <c r="AC1423" s="1226"/>
      <c r="AD1423" s="1226"/>
      <c r="AE1423" s="1226"/>
      <c r="AF1423" s="1226"/>
      <c r="AG1423" s="1226"/>
      <c r="AH1423" s="1226"/>
      <c r="AI1423" s="841"/>
      <c r="AJ1423" s="841"/>
      <c r="AK1423" s="841"/>
      <c r="AL1423" s="841"/>
      <c r="AM1423" s="841"/>
      <c r="AN1423" s="841"/>
      <c r="AO1423" s="841"/>
      <c r="AP1423" s="841"/>
      <c r="AQ1423" s="841"/>
      <c r="AR1423" s="841"/>
      <c r="AS1423" s="842"/>
    </row>
    <row r="1424" spans="1:45">
      <c r="A1424" s="841"/>
      <c r="B1424" s="841"/>
      <c r="C1424" s="841"/>
      <c r="D1424" s="841"/>
      <c r="E1424" s="841"/>
      <c r="F1424" s="841"/>
      <c r="G1424" s="841"/>
      <c r="H1424" s="841"/>
      <c r="I1424" s="841"/>
      <c r="J1424" s="841"/>
      <c r="K1424" s="841"/>
      <c r="L1424" s="841"/>
      <c r="M1424" s="841"/>
      <c r="N1424" s="841"/>
      <c r="O1424" s="841"/>
      <c r="P1424" s="841"/>
      <c r="Q1424" s="841"/>
      <c r="R1424" s="841"/>
      <c r="S1424" s="841"/>
      <c r="T1424" s="841"/>
      <c r="U1424" s="841"/>
      <c r="V1424" s="841"/>
      <c r="W1424" s="841"/>
      <c r="X1424" s="841"/>
      <c r="Y1424" s="841"/>
      <c r="Z1424" s="1226"/>
      <c r="AA1424" s="1226"/>
      <c r="AB1424" s="1226"/>
      <c r="AC1424" s="1226"/>
      <c r="AD1424" s="1226"/>
      <c r="AE1424" s="1226"/>
      <c r="AF1424" s="1226"/>
      <c r="AG1424" s="1226"/>
      <c r="AH1424" s="1226"/>
      <c r="AI1424" s="841"/>
      <c r="AJ1424" s="841"/>
      <c r="AK1424" s="841"/>
      <c r="AL1424" s="841"/>
      <c r="AM1424" s="841"/>
      <c r="AN1424" s="841"/>
      <c r="AO1424" s="841"/>
      <c r="AP1424" s="841"/>
      <c r="AQ1424" s="841"/>
      <c r="AR1424" s="841"/>
      <c r="AS1424" s="842"/>
    </row>
    <row r="1425" spans="1:45">
      <c r="A1425" s="841"/>
      <c r="B1425" s="841"/>
      <c r="C1425" s="841"/>
      <c r="D1425" s="841"/>
      <c r="E1425" s="841"/>
      <c r="F1425" s="841"/>
      <c r="G1425" s="841"/>
      <c r="H1425" s="841"/>
      <c r="I1425" s="841"/>
      <c r="J1425" s="841"/>
      <c r="K1425" s="841"/>
      <c r="L1425" s="841"/>
      <c r="M1425" s="841"/>
      <c r="N1425" s="841"/>
      <c r="O1425" s="841"/>
      <c r="P1425" s="841"/>
      <c r="Q1425" s="841"/>
      <c r="R1425" s="841"/>
      <c r="S1425" s="841"/>
      <c r="T1425" s="841"/>
      <c r="U1425" s="841"/>
      <c r="V1425" s="841"/>
      <c r="W1425" s="841"/>
      <c r="X1425" s="841"/>
      <c r="Y1425" s="841"/>
      <c r="Z1425" s="1226"/>
      <c r="AA1425" s="1226"/>
      <c r="AB1425" s="1226"/>
      <c r="AC1425" s="1226"/>
      <c r="AD1425" s="1226"/>
      <c r="AE1425" s="1226"/>
      <c r="AF1425" s="1226"/>
      <c r="AG1425" s="1226"/>
      <c r="AH1425" s="1226"/>
      <c r="AI1425" s="841"/>
      <c r="AJ1425" s="841"/>
      <c r="AK1425" s="841"/>
      <c r="AL1425" s="841"/>
      <c r="AM1425" s="841"/>
      <c r="AN1425" s="841"/>
      <c r="AO1425" s="841"/>
      <c r="AP1425" s="841"/>
      <c r="AQ1425" s="841"/>
      <c r="AR1425" s="841"/>
      <c r="AS1425" s="842"/>
    </row>
    <row r="1426" spans="1:45">
      <c r="A1426" s="841"/>
      <c r="B1426" s="841"/>
      <c r="C1426" s="841"/>
      <c r="D1426" s="841"/>
      <c r="E1426" s="841"/>
      <c r="F1426" s="841"/>
      <c r="G1426" s="841"/>
      <c r="H1426" s="841"/>
      <c r="I1426" s="841"/>
      <c r="J1426" s="841"/>
      <c r="K1426" s="841"/>
      <c r="L1426" s="841"/>
      <c r="M1426" s="841"/>
      <c r="N1426" s="841"/>
      <c r="O1426" s="841"/>
      <c r="P1426" s="841"/>
      <c r="Q1426" s="841"/>
      <c r="R1426" s="841"/>
      <c r="S1426" s="841"/>
      <c r="T1426" s="841"/>
      <c r="U1426" s="841"/>
      <c r="V1426" s="841"/>
      <c r="W1426" s="841"/>
      <c r="X1426" s="841"/>
      <c r="Y1426" s="841"/>
      <c r="Z1426" s="1226"/>
      <c r="AA1426" s="1226"/>
      <c r="AB1426" s="1226"/>
      <c r="AC1426" s="1226"/>
      <c r="AD1426" s="1226"/>
      <c r="AE1426" s="1226"/>
      <c r="AF1426" s="1226"/>
      <c r="AG1426" s="1226"/>
      <c r="AH1426" s="1226"/>
      <c r="AI1426" s="841"/>
      <c r="AJ1426" s="841"/>
      <c r="AK1426" s="841"/>
      <c r="AL1426" s="841"/>
      <c r="AM1426" s="841"/>
      <c r="AN1426" s="841"/>
      <c r="AO1426" s="841"/>
      <c r="AP1426" s="841"/>
      <c r="AQ1426" s="841"/>
      <c r="AR1426" s="841"/>
      <c r="AS1426" s="842"/>
    </row>
    <row r="1427" spans="1:45">
      <c r="A1427" s="841"/>
      <c r="B1427" s="841"/>
      <c r="C1427" s="841"/>
      <c r="D1427" s="841"/>
      <c r="E1427" s="841"/>
      <c r="F1427" s="841"/>
      <c r="G1427" s="841"/>
      <c r="H1427" s="841"/>
      <c r="I1427" s="841"/>
      <c r="J1427" s="841"/>
      <c r="K1427" s="841"/>
      <c r="L1427" s="841"/>
      <c r="M1427" s="841"/>
      <c r="N1427" s="841"/>
      <c r="O1427" s="841"/>
      <c r="P1427" s="841"/>
      <c r="Q1427" s="841"/>
      <c r="R1427" s="841"/>
      <c r="S1427" s="841"/>
      <c r="T1427" s="841"/>
      <c r="U1427" s="841"/>
      <c r="V1427" s="841"/>
      <c r="W1427" s="841"/>
      <c r="X1427" s="841"/>
      <c r="Y1427" s="841"/>
      <c r="Z1427" s="1226"/>
      <c r="AA1427" s="1226"/>
      <c r="AB1427" s="1226"/>
      <c r="AC1427" s="1226"/>
      <c r="AD1427" s="1226"/>
      <c r="AE1427" s="1226"/>
      <c r="AF1427" s="1226"/>
      <c r="AG1427" s="1226"/>
      <c r="AH1427" s="1226"/>
      <c r="AI1427" s="841"/>
      <c r="AJ1427" s="841"/>
      <c r="AK1427" s="841"/>
      <c r="AL1427" s="841"/>
      <c r="AM1427" s="841"/>
      <c r="AN1427" s="841"/>
      <c r="AO1427" s="841"/>
      <c r="AP1427" s="841"/>
      <c r="AQ1427" s="841"/>
      <c r="AR1427" s="841"/>
      <c r="AS1427" s="842"/>
    </row>
    <row r="1428" spans="1:45">
      <c r="A1428" s="841"/>
      <c r="B1428" s="841"/>
      <c r="C1428" s="841"/>
      <c r="D1428" s="841"/>
      <c r="E1428" s="841"/>
      <c r="F1428" s="841"/>
      <c r="G1428" s="841"/>
      <c r="H1428" s="841"/>
      <c r="I1428" s="841"/>
      <c r="J1428" s="841"/>
      <c r="K1428" s="841"/>
      <c r="L1428" s="841"/>
      <c r="M1428" s="841"/>
      <c r="N1428" s="841"/>
      <c r="O1428" s="841"/>
      <c r="P1428" s="841"/>
      <c r="Q1428" s="841"/>
      <c r="R1428" s="841"/>
      <c r="S1428" s="841"/>
      <c r="T1428" s="841"/>
      <c r="U1428" s="841"/>
      <c r="V1428" s="841"/>
      <c r="W1428" s="841"/>
      <c r="X1428" s="841"/>
      <c r="Y1428" s="841"/>
      <c r="Z1428" s="1226"/>
      <c r="AA1428" s="1226"/>
      <c r="AB1428" s="1226"/>
      <c r="AC1428" s="1226"/>
      <c r="AD1428" s="1226"/>
      <c r="AE1428" s="1226"/>
      <c r="AF1428" s="1226"/>
      <c r="AG1428" s="1226"/>
      <c r="AH1428" s="1226"/>
      <c r="AI1428" s="841"/>
      <c r="AJ1428" s="841"/>
      <c r="AK1428" s="841"/>
      <c r="AL1428" s="841"/>
      <c r="AM1428" s="841"/>
      <c r="AN1428" s="841"/>
      <c r="AO1428" s="841"/>
      <c r="AP1428" s="841"/>
      <c r="AQ1428" s="841"/>
      <c r="AR1428" s="841"/>
      <c r="AS1428" s="842"/>
    </row>
    <row r="1429" spans="1:45">
      <c r="A1429" s="841"/>
      <c r="B1429" s="841"/>
      <c r="C1429" s="841"/>
      <c r="D1429" s="841"/>
      <c r="E1429" s="841"/>
      <c r="F1429" s="841"/>
      <c r="G1429" s="841"/>
      <c r="H1429" s="841"/>
      <c r="I1429" s="841"/>
      <c r="J1429" s="841"/>
      <c r="K1429" s="841"/>
      <c r="L1429" s="841"/>
      <c r="M1429" s="841"/>
      <c r="N1429" s="841"/>
      <c r="O1429" s="841"/>
      <c r="P1429" s="841"/>
      <c r="Q1429" s="841"/>
      <c r="R1429" s="841"/>
      <c r="S1429" s="841"/>
      <c r="T1429" s="841"/>
      <c r="U1429" s="841"/>
      <c r="V1429" s="841"/>
      <c r="W1429" s="841"/>
      <c r="X1429" s="841"/>
      <c r="Y1429" s="841"/>
      <c r="Z1429" s="1226"/>
      <c r="AA1429" s="1226"/>
      <c r="AB1429" s="1226"/>
      <c r="AC1429" s="1226"/>
      <c r="AD1429" s="1226"/>
      <c r="AE1429" s="1226"/>
      <c r="AF1429" s="1226"/>
      <c r="AG1429" s="1226"/>
      <c r="AH1429" s="1226"/>
      <c r="AI1429" s="841"/>
      <c r="AJ1429" s="841"/>
      <c r="AK1429" s="841"/>
      <c r="AL1429" s="841"/>
      <c r="AM1429" s="841"/>
      <c r="AN1429" s="841"/>
      <c r="AO1429" s="841"/>
      <c r="AP1429" s="841"/>
      <c r="AQ1429" s="841"/>
      <c r="AR1429" s="841"/>
      <c r="AS1429" s="842"/>
    </row>
    <row r="1430" spans="1:45">
      <c r="A1430" s="841"/>
      <c r="B1430" s="841"/>
      <c r="C1430" s="841"/>
      <c r="D1430" s="841"/>
      <c r="E1430" s="841"/>
      <c r="F1430" s="841"/>
      <c r="G1430" s="841"/>
      <c r="H1430" s="841"/>
      <c r="I1430" s="841"/>
      <c r="J1430" s="841"/>
      <c r="K1430" s="841"/>
      <c r="L1430" s="841"/>
      <c r="M1430" s="841"/>
      <c r="N1430" s="841"/>
      <c r="O1430" s="841"/>
      <c r="P1430" s="841"/>
      <c r="Q1430" s="841"/>
      <c r="R1430" s="841"/>
      <c r="S1430" s="841"/>
      <c r="T1430" s="841"/>
      <c r="U1430" s="841"/>
      <c r="V1430" s="841"/>
      <c r="W1430" s="841"/>
      <c r="X1430" s="841"/>
      <c r="Y1430" s="841"/>
      <c r="Z1430" s="1226"/>
      <c r="AA1430" s="1226"/>
      <c r="AB1430" s="1226"/>
      <c r="AC1430" s="1226"/>
      <c r="AD1430" s="1226"/>
      <c r="AE1430" s="1226"/>
      <c r="AF1430" s="1226"/>
      <c r="AG1430" s="1226"/>
      <c r="AH1430" s="1226"/>
      <c r="AI1430" s="841"/>
      <c r="AJ1430" s="841"/>
      <c r="AK1430" s="841"/>
      <c r="AL1430" s="841"/>
      <c r="AM1430" s="841"/>
      <c r="AN1430" s="841"/>
      <c r="AO1430" s="841"/>
      <c r="AP1430" s="841"/>
      <c r="AQ1430" s="841"/>
      <c r="AR1430" s="841"/>
      <c r="AS1430" s="842"/>
    </row>
    <row r="1431" spans="1:45">
      <c r="A1431" s="841"/>
      <c r="B1431" s="841"/>
      <c r="C1431" s="841"/>
      <c r="D1431" s="841"/>
      <c r="E1431" s="841"/>
      <c r="F1431" s="841"/>
      <c r="G1431" s="841"/>
      <c r="H1431" s="841"/>
      <c r="I1431" s="841"/>
      <c r="J1431" s="841"/>
      <c r="K1431" s="841"/>
      <c r="L1431" s="841"/>
      <c r="M1431" s="841"/>
      <c r="N1431" s="841"/>
      <c r="O1431" s="841"/>
      <c r="P1431" s="841"/>
      <c r="Q1431" s="841"/>
      <c r="R1431" s="841"/>
      <c r="S1431" s="841"/>
      <c r="T1431" s="841"/>
      <c r="U1431" s="841"/>
      <c r="V1431" s="841"/>
      <c r="W1431" s="841"/>
      <c r="X1431" s="841"/>
      <c r="Y1431" s="841"/>
      <c r="Z1431" s="1226"/>
      <c r="AA1431" s="1226"/>
      <c r="AB1431" s="1226"/>
      <c r="AC1431" s="1226"/>
      <c r="AD1431" s="1226"/>
      <c r="AE1431" s="1226"/>
      <c r="AF1431" s="1226"/>
      <c r="AG1431" s="1226"/>
      <c r="AH1431" s="1226"/>
      <c r="AI1431" s="841"/>
      <c r="AJ1431" s="841"/>
      <c r="AK1431" s="841"/>
      <c r="AL1431" s="841"/>
      <c r="AM1431" s="841"/>
      <c r="AN1431" s="841"/>
      <c r="AO1431" s="841"/>
      <c r="AP1431" s="841"/>
      <c r="AQ1431" s="841"/>
      <c r="AR1431" s="841"/>
      <c r="AS1431" s="842"/>
    </row>
    <row r="1432" spans="1:45">
      <c r="A1432" s="841"/>
      <c r="B1432" s="841"/>
      <c r="C1432" s="841"/>
      <c r="D1432" s="841"/>
      <c r="E1432" s="841"/>
      <c r="F1432" s="841"/>
      <c r="G1432" s="841"/>
      <c r="H1432" s="841"/>
      <c r="I1432" s="841"/>
      <c r="J1432" s="841"/>
      <c r="K1432" s="841"/>
      <c r="L1432" s="841"/>
      <c r="M1432" s="841"/>
      <c r="N1432" s="841"/>
      <c r="O1432" s="841"/>
      <c r="P1432" s="841"/>
      <c r="Q1432" s="841"/>
      <c r="R1432" s="841"/>
      <c r="S1432" s="841"/>
      <c r="T1432" s="841"/>
      <c r="U1432" s="841"/>
      <c r="V1432" s="841"/>
      <c r="W1432" s="841"/>
      <c r="X1432" s="841"/>
      <c r="Y1432" s="841"/>
      <c r="Z1432" s="1226"/>
      <c r="AA1432" s="1226"/>
      <c r="AB1432" s="1226"/>
      <c r="AC1432" s="1226"/>
      <c r="AD1432" s="1226"/>
      <c r="AE1432" s="1226"/>
      <c r="AF1432" s="1226"/>
      <c r="AG1432" s="1226"/>
      <c r="AH1432" s="1226"/>
      <c r="AI1432" s="841"/>
      <c r="AJ1432" s="841"/>
      <c r="AK1432" s="841"/>
      <c r="AL1432" s="841"/>
      <c r="AM1432" s="841"/>
      <c r="AN1432" s="841"/>
      <c r="AO1432" s="841"/>
      <c r="AP1432" s="841"/>
      <c r="AQ1432" s="841"/>
      <c r="AR1432" s="841"/>
      <c r="AS1432" s="842"/>
    </row>
    <row r="1433" spans="1:45">
      <c r="A1433" s="841"/>
      <c r="B1433" s="841"/>
      <c r="C1433" s="841"/>
      <c r="D1433" s="841"/>
      <c r="E1433" s="841"/>
      <c r="F1433" s="841"/>
      <c r="G1433" s="841"/>
      <c r="H1433" s="841"/>
      <c r="I1433" s="841"/>
      <c r="J1433" s="841"/>
      <c r="K1433" s="841"/>
      <c r="L1433" s="841"/>
      <c r="M1433" s="841"/>
      <c r="N1433" s="841"/>
      <c r="O1433" s="841"/>
      <c r="P1433" s="841"/>
      <c r="Q1433" s="841"/>
      <c r="R1433" s="841"/>
      <c r="S1433" s="841"/>
      <c r="T1433" s="841"/>
      <c r="U1433" s="841"/>
      <c r="V1433" s="841"/>
      <c r="W1433" s="841"/>
      <c r="X1433" s="841"/>
      <c r="Y1433" s="841"/>
      <c r="Z1433" s="1226"/>
      <c r="AA1433" s="1226"/>
      <c r="AB1433" s="1226"/>
      <c r="AC1433" s="1226"/>
      <c r="AD1433" s="1226"/>
      <c r="AE1433" s="1226"/>
      <c r="AF1433" s="1226"/>
      <c r="AG1433" s="1226"/>
      <c r="AH1433" s="1226"/>
      <c r="AI1433" s="841"/>
      <c r="AJ1433" s="841"/>
      <c r="AK1433" s="841"/>
      <c r="AL1433" s="841"/>
      <c r="AM1433" s="841"/>
      <c r="AN1433" s="841"/>
      <c r="AO1433" s="841"/>
      <c r="AP1433" s="841"/>
      <c r="AQ1433" s="841"/>
      <c r="AR1433" s="841"/>
      <c r="AS1433" s="842"/>
    </row>
    <row r="1434" spans="1:45">
      <c r="A1434" s="841"/>
      <c r="B1434" s="841"/>
      <c r="C1434" s="841"/>
      <c r="D1434" s="841"/>
      <c r="E1434" s="841"/>
      <c r="F1434" s="841"/>
      <c r="G1434" s="841"/>
      <c r="H1434" s="841"/>
      <c r="I1434" s="841"/>
      <c r="J1434" s="841"/>
      <c r="K1434" s="841"/>
      <c r="L1434" s="841"/>
      <c r="M1434" s="841"/>
      <c r="N1434" s="841"/>
      <c r="O1434" s="841"/>
      <c r="P1434" s="841"/>
      <c r="Q1434" s="841"/>
      <c r="R1434" s="841"/>
      <c r="S1434" s="841"/>
      <c r="T1434" s="841"/>
      <c r="U1434" s="841"/>
      <c r="V1434" s="841"/>
      <c r="W1434" s="841"/>
      <c r="X1434" s="841"/>
      <c r="Y1434" s="841"/>
      <c r="Z1434" s="1226"/>
      <c r="AA1434" s="1226"/>
      <c r="AB1434" s="1226"/>
      <c r="AC1434" s="1226"/>
      <c r="AD1434" s="1226"/>
      <c r="AE1434" s="1226"/>
      <c r="AF1434" s="1226"/>
      <c r="AG1434" s="1226"/>
      <c r="AH1434" s="1226"/>
      <c r="AI1434" s="841"/>
      <c r="AJ1434" s="841"/>
      <c r="AK1434" s="841"/>
      <c r="AL1434" s="841"/>
      <c r="AM1434" s="841"/>
      <c r="AN1434" s="841"/>
      <c r="AO1434" s="841"/>
      <c r="AP1434" s="841"/>
      <c r="AQ1434" s="841"/>
      <c r="AR1434" s="841"/>
      <c r="AS1434" s="842"/>
    </row>
    <row r="1435" spans="1:45">
      <c r="A1435" s="841"/>
      <c r="B1435" s="841"/>
      <c r="C1435" s="841"/>
      <c r="D1435" s="841"/>
      <c r="E1435" s="841"/>
      <c r="F1435" s="841"/>
      <c r="G1435" s="841"/>
      <c r="H1435" s="841"/>
      <c r="I1435" s="841"/>
      <c r="J1435" s="841"/>
      <c r="K1435" s="841"/>
      <c r="L1435" s="841"/>
      <c r="M1435" s="841"/>
      <c r="N1435" s="841"/>
      <c r="O1435" s="841"/>
      <c r="P1435" s="841"/>
      <c r="Q1435" s="841"/>
      <c r="R1435" s="841"/>
      <c r="S1435" s="841"/>
      <c r="T1435" s="841"/>
      <c r="U1435" s="841"/>
      <c r="V1435" s="841"/>
      <c r="W1435" s="841"/>
      <c r="X1435" s="841"/>
      <c r="Y1435" s="841"/>
      <c r="Z1435" s="1226"/>
      <c r="AA1435" s="1226"/>
      <c r="AB1435" s="1226"/>
      <c r="AC1435" s="1226"/>
      <c r="AD1435" s="1226"/>
      <c r="AE1435" s="1226"/>
      <c r="AF1435" s="1226"/>
      <c r="AG1435" s="1226"/>
      <c r="AH1435" s="1226"/>
      <c r="AI1435" s="841"/>
      <c r="AJ1435" s="841"/>
      <c r="AK1435" s="841"/>
      <c r="AL1435" s="841"/>
      <c r="AM1435" s="841"/>
      <c r="AN1435" s="841"/>
      <c r="AO1435" s="841"/>
      <c r="AP1435" s="841"/>
      <c r="AQ1435" s="841"/>
      <c r="AR1435" s="841"/>
      <c r="AS1435" s="842"/>
    </row>
    <row r="1436" spans="1:45">
      <c r="A1436" s="841"/>
      <c r="B1436" s="841"/>
      <c r="C1436" s="841"/>
      <c r="D1436" s="841"/>
      <c r="E1436" s="841"/>
      <c r="F1436" s="841"/>
      <c r="G1436" s="841"/>
      <c r="H1436" s="841"/>
      <c r="I1436" s="841"/>
      <c r="J1436" s="841"/>
      <c r="K1436" s="841"/>
      <c r="L1436" s="841"/>
      <c r="M1436" s="841"/>
      <c r="N1436" s="841"/>
      <c r="O1436" s="841"/>
      <c r="P1436" s="841"/>
      <c r="Q1436" s="841"/>
      <c r="R1436" s="841"/>
      <c r="S1436" s="841"/>
      <c r="T1436" s="841"/>
      <c r="U1436" s="841"/>
      <c r="V1436" s="841"/>
      <c r="W1436" s="841"/>
      <c r="X1436" s="841"/>
      <c r="Y1436" s="841"/>
      <c r="Z1436" s="1226"/>
      <c r="AA1436" s="1226"/>
      <c r="AB1436" s="1226"/>
      <c r="AC1436" s="1226"/>
      <c r="AD1436" s="1226"/>
      <c r="AE1436" s="1226"/>
      <c r="AF1436" s="1226"/>
      <c r="AG1436" s="1226"/>
      <c r="AH1436" s="1226"/>
      <c r="AI1436" s="841"/>
      <c r="AJ1436" s="841"/>
      <c r="AK1436" s="841"/>
      <c r="AL1436" s="841"/>
      <c r="AM1436" s="841"/>
      <c r="AN1436" s="841"/>
      <c r="AO1436" s="841"/>
      <c r="AP1436" s="841"/>
      <c r="AQ1436" s="841"/>
      <c r="AR1436" s="841"/>
      <c r="AS1436" s="842"/>
    </row>
    <row r="1437" spans="1:45">
      <c r="A1437" s="841"/>
      <c r="B1437" s="841"/>
      <c r="C1437" s="841"/>
      <c r="D1437" s="841"/>
      <c r="E1437" s="841"/>
      <c r="F1437" s="841"/>
      <c r="G1437" s="841"/>
      <c r="H1437" s="841"/>
      <c r="I1437" s="841"/>
      <c r="J1437" s="841"/>
      <c r="K1437" s="841"/>
      <c r="L1437" s="841"/>
      <c r="M1437" s="841"/>
      <c r="N1437" s="841"/>
      <c r="O1437" s="841"/>
      <c r="P1437" s="841"/>
      <c r="Q1437" s="841"/>
      <c r="R1437" s="841"/>
      <c r="S1437" s="841"/>
      <c r="T1437" s="841"/>
      <c r="U1437" s="841"/>
      <c r="V1437" s="841"/>
      <c r="W1437" s="841"/>
      <c r="X1437" s="841"/>
      <c r="Y1437" s="841"/>
      <c r="Z1437" s="1226"/>
      <c r="AA1437" s="1226"/>
      <c r="AB1437" s="1226"/>
      <c r="AC1437" s="1226"/>
      <c r="AD1437" s="1226"/>
      <c r="AE1437" s="1226"/>
      <c r="AF1437" s="1226"/>
      <c r="AG1437" s="1226"/>
      <c r="AH1437" s="1226"/>
      <c r="AI1437" s="841"/>
      <c r="AJ1437" s="841"/>
      <c r="AK1437" s="841"/>
      <c r="AL1437" s="841"/>
      <c r="AM1437" s="841"/>
      <c r="AN1437" s="841"/>
      <c r="AO1437" s="841"/>
      <c r="AP1437" s="841"/>
      <c r="AQ1437" s="841"/>
      <c r="AR1437" s="841"/>
      <c r="AS1437" s="842"/>
    </row>
    <row r="1438" spans="1:45">
      <c r="A1438" s="841"/>
      <c r="B1438" s="841"/>
      <c r="C1438" s="841"/>
      <c r="D1438" s="841"/>
      <c r="E1438" s="841"/>
      <c r="F1438" s="841"/>
      <c r="G1438" s="841"/>
      <c r="H1438" s="841"/>
      <c r="I1438" s="841"/>
      <c r="J1438" s="841"/>
      <c r="K1438" s="841"/>
      <c r="L1438" s="841"/>
      <c r="M1438" s="841"/>
      <c r="N1438" s="841"/>
      <c r="O1438" s="841"/>
      <c r="P1438" s="841"/>
      <c r="Q1438" s="841"/>
      <c r="R1438" s="841"/>
      <c r="S1438" s="841"/>
      <c r="T1438" s="841"/>
      <c r="U1438" s="841"/>
      <c r="V1438" s="841"/>
      <c r="W1438" s="841"/>
      <c r="X1438" s="841"/>
      <c r="Y1438" s="841"/>
      <c r="Z1438" s="1226"/>
      <c r="AA1438" s="1226"/>
      <c r="AB1438" s="1226"/>
      <c r="AC1438" s="1226"/>
      <c r="AD1438" s="1226"/>
      <c r="AE1438" s="1226"/>
      <c r="AF1438" s="1226"/>
      <c r="AG1438" s="1226"/>
      <c r="AH1438" s="1226"/>
      <c r="AI1438" s="841"/>
      <c r="AJ1438" s="841"/>
      <c r="AK1438" s="841"/>
      <c r="AL1438" s="841"/>
      <c r="AM1438" s="841"/>
      <c r="AN1438" s="841"/>
      <c r="AO1438" s="841"/>
      <c r="AP1438" s="841"/>
      <c r="AQ1438" s="841"/>
      <c r="AR1438" s="841"/>
      <c r="AS1438" s="842"/>
    </row>
    <row r="1439" spans="1:45">
      <c r="A1439" s="841"/>
      <c r="B1439" s="841"/>
      <c r="C1439" s="841"/>
      <c r="D1439" s="841"/>
      <c r="E1439" s="841"/>
      <c r="F1439" s="841"/>
      <c r="G1439" s="841"/>
      <c r="H1439" s="841"/>
      <c r="I1439" s="841"/>
      <c r="J1439" s="841"/>
      <c r="K1439" s="841"/>
      <c r="L1439" s="841"/>
      <c r="M1439" s="841"/>
      <c r="N1439" s="841"/>
      <c r="O1439" s="841"/>
      <c r="P1439" s="841"/>
      <c r="Q1439" s="841"/>
      <c r="R1439" s="841"/>
      <c r="S1439" s="841"/>
      <c r="T1439" s="841"/>
      <c r="U1439" s="841"/>
      <c r="V1439" s="841"/>
      <c r="W1439" s="841"/>
      <c r="X1439" s="841"/>
      <c r="Y1439" s="841"/>
      <c r="Z1439" s="1226"/>
      <c r="AA1439" s="1226"/>
      <c r="AB1439" s="1226"/>
      <c r="AC1439" s="1226"/>
      <c r="AD1439" s="1226"/>
      <c r="AE1439" s="1226"/>
      <c r="AF1439" s="1226"/>
      <c r="AG1439" s="1226"/>
      <c r="AH1439" s="1226"/>
      <c r="AI1439" s="841"/>
      <c r="AJ1439" s="841"/>
      <c r="AK1439" s="841"/>
      <c r="AL1439" s="841"/>
      <c r="AM1439" s="841"/>
      <c r="AN1439" s="841"/>
      <c r="AO1439" s="841"/>
      <c r="AP1439" s="841"/>
      <c r="AQ1439" s="841"/>
      <c r="AR1439" s="841"/>
      <c r="AS1439" s="842"/>
    </row>
    <row r="1440" spans="1:45">
      <c r="A1440" s="841"/>
      <c r="B1440" s="841"/>
      <c r="C1440" s="841"/>
      <c r="D1440" s="841"/>
      <c r="E1440" s="841"/>
      <c r="F1440" s="841"/>
      <c r="G1440" s="841"/>
      <c r="H1440" s="841"/>
      <c r="I1440" s="841"/>
      <c r="J1440" s="841"/>
      <c r="K1440" s="841"/>
      <c r="L1440" s="841"/>
      <c r="M1440" s="841"/>
      <c r="N1440" s="841"/>
      <c r="O1440" s="841"/>
      <c r="P1440" s="841"/>
      <c r="Q1440" s="841"/>
      <c r="R1440" s="841"/>
      <c r="S1440" s="841"/>
      <c r="T1440" s="841"/>
      <c r="U1440" s="841"/>
      <c r="V1440" s="841"/>
      <c r="W1440" s="841"/>
      <c r="X1440" s="841"/>
      <c r="Y1440" s="841"/>
      <c r="Z1440" s="1226"/>
      <c r="AA1440" s="1226"/>
      <c r="AB1440" s="1226"/>
      <c r="AC1440" s="1226"/>
      <c r="AD1440" s="1226"/>
      <c r="AE1440" s="1226"/>
      <c r="AF1440" s="1226"/>
      <c r="AG1440" s="1226"/>
      <c r="AH1440" s="1226"/>
      <c r="AI1440" s="841"/>
      <c r="AJ1440" s="841"/>
      <c r="AK1440" s="841"/>
      <c r="AL1440" s="841"/>
      <c r="AM1440" s="841"/>
      <c r="AN1440" s="841"/>
      <c r="AO1440" s="841"/>
      <c r="AP1440" s="841"/>
      <c r="AQ1440" s="841"/>
      <c r="AR1440" s="841"/>
      <c r="AS1440" s="842"/>
    </row>
    <row r="1441" spans="1:45">
      <c r="A1441" s="841"/>
      <c r="B1441" s="841"/>
      <c r="C1441" s="841"/>
      <c r="D1441" s="841"/>
      <c r="E1441" s="841"/>
      <c r="F1441" s="841"/>
      <c r="G1441" s="841"/>
      <c r="H1441" s="841"/>
      <c r="I1441" s="841"/>
      <c r="J1441" s="841"/>
      <c r="K1441" s="841"/>
      <c r="L1441" s="841"/>
      <c r="M1441" s="841"/>
      <c r="N1441" s="841"/>
      <c r="O1441" s="841"/>
      <c r="P1441" s="841"/>
      <c r="Q1441" s="841"/>
      <c r="R1441" s="841"/>
      <c r="S1441" s="841"/>
      <c r="T1441" s="841"/>
      <c r="U1441" s="841"/>
      <c r="V1441" s="841"/>
      <c r="W1441" s="841"/>
      <c r="X1441" s="841"/>
      <c r="Y1441" s="841"/>
      <c r="Z1441" s="1226"/>
      <c r="AA1441" s="1226"/>
      <c r="AB1441" s="1226"/>
      <c r="AC1441" s="1226"/>
      <c r="AD1441" s="1226"/>
      <c r="AE1441" s="1226"/>
      <c r="AF1441" s="1226"/>
      <c r="AG1441" s="1226"/>
      <c r="AH1441" s="1226"/>
      <c r="AI1441" s="841"/>
      <c r="AJ1441" s="841"/>
      <c r="AK1441" s="841"/>
      <c r="AL1441" s="841"/>
      <c r="AM1441" s="841"/>
      <c r="AN1441" s="841"/>
      <c r="AO1441" s="841"/>
      <c r="AP1441" s="841"/>
      <c r="AQ1441" s="841"/>
      <c r="AR1441" s="841"/>
      <c r="AS1441" s="842"/>
    </row>
    <row r="1442" spans="1:45">
      <c r="A1442" s="841"/>
      <c r="B1442" s="841"/>
      <c r="C1442" s="841"/>
      <c r="D1442" s="841"/>
      <c r="E1442" s="841"/>
      <c r="F1442" s="841"/>
      <c r="G1442" s="841"/>
      <c r="H1442" s="841"/>
      <c r="I1442" s="841"/>
      <c r="J1442" s="841"/>
      <c r="K1442" s="841"/>
      <c r="L1442" s="841"/>
      <c r="M1442" s="841"/>
      <c r="N1442" s="841"/>
      <c r="O1442" s="841"/>
      <c r="P1442" s="841"/>
      <c r="Q1442" s="841"/>
      <c r="R1442" s="841"/>
      <c r="S1442" s="841"/>
      <c r="T1442" s="841"/>
      <c r="U1442" s="841"/>
      <c r="V1442" s="841"/>
      <c r="W1442" s="841"/>
      <c r="X1442" s="841"/>
      <c r="Y1442" s="841"/>
      <c r="Z1442" s="1226"/>
      <c r="AA1442" s="1226"/>
      <c r="AB1442" s="1226"/>
      <c r="AC1442" s="1226"/>
      <c r="AD1442" s="1226"/>
      <c r="AE1442" s="1226"/>
      <c r="AF1442" s="1226"/>
      <c r="AG1442" s="1226"/>
      <c r="AH1442" s="1226"/>
      <c r="AI1442" s="841"/>
      <c r="AJ1442" s="841"/>
      <c r="AK1442" s="841"/>
      <c r="AL1442" s="841"/>
      <c r="AM1442" s="841"/>
      <c r="AN1442" s="841"/>
      <c r="AO1442" s="841"/>
      <c r="AP1442" s="841"/>
      <c r="AQ1442" s="841"/>
      <c r="AR1442" s="841"/>
      <c r="AS1442" s="842"/>
    </row>
    <row r="1443" spans="1:45">
      <c r="A1443" s="841"/>
      <c r="B1443" s="841"/>
      <c r="C1443" s="841"/>
      <c r="D1443" s="841"/>
      <c r="E1443" s="841"/>
      <c r="F1443" s="841"/>
      <c r="G1443" s="841"/>
      <c r="H1443" s="841"/>
      <c r="I1443" s="841"/>
      <c r="J1443" s="841"/>
      <c r="K1443" s="841"/>
      <c r="L1443" s="841"/>
      <c r="M1443" s="841"/>
      <c r="N1443" s="841"/>
      <c r="O1443" s="841"/>
      <c r="P1443" s="841"/>
      <c r="Q1443" s="841"/>
      <c r="R1443" s="841"/>
      <c r="S1443" s="841"/>
      <c r="T1443" s="841"/>
      <c r="U1443" s="841"/>
      <c r="V1443" s="841"/>
      <c r="W1443" s="841"/>
      <c r="X1443" s="841"/>
      <c r="Y1443" s="841"/>
      <c r="Z1443" s="1226"/>
      <c r="AA1443" s="1226"/>
      <c r="AB1443" s="1226"/>
      <c r="AC1443" s="1226"/>
      <c r="AD1443" s="1226"/>
      <c r="AE1443" s="1226"/>
      <c r="AF1443" s="1226"/>
      <c r="AG1443" s="1226"/>
      <c r="AH1443" s="1226"/>
      <c r="AI1443" s="841"/>
      <c r="AJ1443" s="841"/>
      <c r="AK1443" s="841"/>
      <c r="AL1443" s="841"/>
      <c r="AM1443" s="841"/>
      <c r="AN1443" s="841"/>
      <c r="AO1443" s="841"/>
      <c r="AP1443" s="841"/>
      <c r="AQ1443" s="841"/>
      <c r="AR1443" s="841"/>
      <c r="AS1443" s="842"/>
    </row>
    <row r="1444" spans="1:45">
      <c r="A1444" s="841"/>
      <c r="B1444" s="841"/>
      <c r="C1444" s="841"/>
      <c r="D1444" s="841"/>
      <c r="E1444" s="841"/>
      <c r="F1444" s="841"/>
      <c r="G1444" s="841"/>
      <c r="H1444" s="841"/>
      <c r="I1444" s="841"/>
      <c r="J1444" s="841"/>
      <c r="K1444" s="841"/>
      <c r="L1444" s="841"/>
      <c r="M1444" s="841"/>
      <c r="N1444" s="841"/>
      <c r="O1444" s="841"/>
      <c r="P1444" s="841"/>
      <c r="Q1444" s="841"/>
      <c r="R1444" s="841"/>
      <c r="S1444" s="841"/>
      <c r="T1444" s="841"/>
      <c r="U1444" s="841"/>
      <c r="V1444" s="841"/>
      <c r="W1444" s="841"/>
      <c r="X1444" s="841"/>
      <c r="Y1444" s="841"/>
      <c r="Z1444" s="1226"/>
      <c r="AA1444" s="1226"/>
      <c r="AB1444" s="1226"/>
      <c r="AC1444" s="1226"/>
      <c r="AD1444" s="1226"/>
      <c r="AE1444" s="1226"/>
      <c r="AF1444" s="1226"/>
      <c r="AG1444" s="1226"/>
      <c r="AH1444" s="1226"/>
      <c r="AI1444" s="841"/>
      <c r="AJ1444" s="841"/>
      <c r="AK1444" s="841"/>
      <c r="AL1444" s="841"/>
      <c r="AM1444" s="841"/>
      <c r="AN1444" s="841"/>
      <c r="AO1444" s="841"/>
      <c r="AP1444" s="841"/>
      <c r="AQ1444" s="841"/>
      <c r="AR1444" s="841"/>
      <c r="AS1444" s="842"/>
    </row>
    <row r="1445" spans="1:45">
      <c r="A1445" s="841"/>
      <c r="B1445" s="841"/>
      <c r="C1445" s="841"/>
      <c r="D1445" s="841"/>
      <c r="E1445" s="841"/>
      <c r="F1445" s="841"/>
      <c r="G1445" s="841"/>
      <c r="H1445" s="841"/>
      <c r="I1445" s="841"/>
      <c r="J1445" s="841"/>
      <c r="K1445" s="841"/>
      <c r="L1445" s="841"/>
      <c r="M1445" s="841"/>
      <c r="N1445" s="841"/>
      <c r="O1445" s="841"/>
      <c r="P1445" s="841"/>
      <c r="Q1445" s="841"/>
      <c r="R1445" s="841"/>
      <c r="S1445" s="841"/>
      <c r="T1445" s="841"/>
      <c r="U1445" s="841"/>
      <c r="V1445" s="841"/>
      <c r="W1445" s="841"/>
      <c r="X1445" s="841"/>
      <c r="Y1445" s="841"/>
      <c r="Z1445" s="1226"/>
      <c r="AA1445" s="1226"/>
      <c r="AB1445" s="1226"/>
      <c r="AC1445" s="1226"/>
      <c r="AD1445" s="1226"/>
      <c r="AE1445" s="1226"/>
      <c r="AF1445" s="1226"/>
      <c r="AG1445" s="1226"/>
      <c r="AH1445" s="1226"/>
      <c r="AI1445" s="841"/>
      <c r="AJ1445" s="841"/>
      <c r="AK1445" s="841"/>
      <c r="AL1445" s="841"/>
      <c r="AM1445" s="841"/>
      <c r="AN1445" s="841"/>
      <c r="AO1445" s="841"/>
      <c r="AP1445" s="841"/>
      <c r="AQ1445" s="841"/>
      <c r="AR1445" s="841"/>
      <c r="AS1445" s="842"/>
    </row>
    <row r="1446" spans="1:45">
      <c r="A1446" s="841"/>
      <c r="B1446" s="841"/>
      <c r="C1446" s="841"/>
      <c r="D1446" s="841"/>
      <c r="E1446" s="841"/>
      <c r="F1446" s="841"/>
      <c r="G1446" s="841"/>
      <c r="H1446" s="841"/>
      <c r="I1446" s="841"/>
      <c r="J1446" s="841"/>
      <c r="K1446" s="841"/>
      <c r="L1446" s="841"/>
      <c r="M1446" s="841"/>
      <c r="N1446" s="841"/>
      <c r="O1446" s="841"/>
      <c r="P1446" s="841"/>
      <c r="Q1446" s="841"/>
      <c r="R1446" s="841"/>
      <c r="S1446" s="841"/>
      <c r="T1446" s="841"/>
      <c r="U1446" s="841"/>
      <c r="V1446" s="841"/>
      <c r="W1446" s="841"/>
      <c r="X1446" s="841"/>
      <c r="Y1446" s="841"/>
      <c r="Z1446" s="1226"/>
      <c r="AA1446" s="1226"/>
      <c r="AB1446" s="1226"/>
      <c r="AC1446" s="1226"/>
      <c r="AD1446" s="1226"/>
      <c r="AE1446" s="1226"/>
      <c r="AF1446" s="1226"/>
      <c r="AG1446" s="1226"/>
      <c r="AH1446" s="1226"/>
      <c r="AI1446" s="841"/>
      <c r="AJ1446" s="841"/>
      <c r="AK1446" s="841"/>
      <c r="AL1446" s="841"/>
      <c r="AM1446" s="841"/>
      <c r="AN1446" s="841"/>
      <c r="AO1446" s="841"/>
      <c r="AP1446" s="841"/>
      <c r="AQ1446" s="841"/>
      <c r="AR1446" s="841"/>
      <c r="AS1446" s="842"/>
    </row>
    <row r="1447" spans="1:45">
      <c r="A1447" s="841"/>
      <c r="B1447" s="841"/>
      <c r="C1447" s="841"/>
      <c r="D1447" s="841"/>
      <c r="E1447" s="841"/>
      <c r="F1447" s="841"/>
      <c r="G1447" s="841"/>
      <c r="H1447" s="841"/>
      <c r="I1447" s="841"/>
      <c r="J1447" s="841"/>
      <c r="K1447" s="841"/>
      <c r="L1447" s="841"/>
      <c r="M1447" s="841"/>
      <c r="N1447" s="841"/>
      <c r="O1447" s="841"/>
      <c r="P1447" s="841"/>
      <c r="Q1447" s="841"/>
      <c r="R1447" s="841"/>
      <c r="S1447" s="841"/>
      <c r="T1447" s="841"/>
      <c r="U1447" s="841"/>
      <c r="V1447" s="841"/>
      <c r="W1447" s="841"/>
      <c r="X1447" s="841"/>
      <c r="Y1447" s="841"/>
      <c r="Z1447" s="1226"/>
      <c r="AA1447" s="1226"/>
      <c r="AB1447" s="1226"/>
      <c r="AC1447" s="1226"/>
      <c r="AD1447" s="1226"/>
      <c r="AE1447" s="1226"/>
      <c r="AF1447" s="1226"/>
      <c r="AG1447" s="1226"/>
      <c r="AH1447" s="1226"/>
      <c r="AI1447" s="841"/>
      <c r="AJ1447" s="841"/>
      <c r="AK1447" s="841"/>
      <c r="AL1447" s="841"/>
      <c r="AM1447" s="841"/>
      <c r="AN1447" s="841"/>
      <c r="AO1447" s="841"/>
      <c r="AP1447" s="841"/>
      <c r="AQ1447" s="841"/>
      <c r="AR1447" s="841"/>
      <c r="AS1447" s="842"/>
    </row>
    <row r="1448" spans="1:45">
      <c r="A1448" s="841"/>
      <c r="B1448" s="841"/>
      <c r="C1448" s="841"/>
      <c r="D1448" s="841"/>
      <c r="E1448" s="841"/>
      <c r="F1448" s="841"/>
      <c r="G1448" s="841"/>
      <c r="H1448" s="841"/>
      <c r="I1448" s="841"/>
      <c r="J1448" s="841"/>
      <c r="K1448" s="841"/>
      <c r="L1448" s="841"/>
      <c r="M1448" s="841"/>
      <c r="N1448" s="841"/>
      <c r="O1448" s="841"/>
      <c r="P1448" s="841"/>
      <c r="Q1448" s="841"/>
      <c r="R1448" s="841"/>
      <c r="S1448" s="841"/>
      <c r="T1448" s="841"/>
      <c r="U1448" s="841"/>
      <c r="V1448" s="841"/>
      <c r="W1448" s="841"/>
      <c r="X1448" s="841"/>
      <c r="Y1448" s="841"/>
      <c r="Z1448" s="1226"/>
      <c r="AA1448" s="1226"/>
      <c r="AB1448" s="1226"/>
      <c r="AC1448" s="1226"/>
      <c r="AD1448" s="1226"/>
      <c r="AE1448" s="1226"/>
      <c r="AF1448" s="1226"/>
      <c r="AG1448" s="1226"/>
      <c r="AH1448" s="1226"/>
      <c r="AI1448" s="841"/>
      <c r="AJ1448" s="841"/>
      <c r="AK1448" s="841"/>
      <c r="AL1448" s="841"/>
      <c r="AM1448" s="841"/>
      <c r="AN1448" s="841"/>
      <c r="AO1448" s="841"/>
      <c r="AP1448" s="841"/>
      <c r="AQ1448" s="841"/>
      <c r="AR1448" s="841"/>
      <c r="AS1448" s="842"/>
    </row>
    <row r="1449" spans="1:45">
      <c r="A1449" s="841"/>
      <c r="B1449" s="841"/>
      <c r="C1449" s="841"/>
      <c r="D1449" s="841"/>
      <c r="E1449" s="841"/>
      <c r="F1449" s="841"/>
      <c r="G1449" s="841"/>
      <c r="H1449" s="841"/>
      <c r="I1449" s="841"/>
      <c r="J1449" s="841"/>
      <c r="K1449" s="841"/>
      <c r="L1449" s="841"/>
      <c r="M1449" s="841"/>
      <c r="N1449" s="841"/>
      <c r="O1449" s="841"/>
      <c r="P1449" s="841"/>
      <c r="Q1449" s="841"/>
      <c r="R1449" s="841"/>
      <c r="S1449" s="841"/>
      <c r="T1449" s="841"/>
      <c r="U1449" s="841"/>
      <c r="V1449" s="841"/>
      <c r="W1449" s="841"/>
      <c r="X1449" s="841"/>
      <c r="Y1449" s="841"/>
      <c r="Z1449" s="1226"/>
      <c r="AA1449" s="1226"/>
      <c r="AB1449" s="1226"/>
      <c r="AC1449" s="1226"/>
      <c r="AD1449" s="1226"/>
      <c r="AE1449" s="1226"/>
      <c r="AF1449" s="1226"/>
      <c r="AG1449" s="1226"/>
      <c r="AH1449" s="1226"/>
      <c r="AI1449" s="841"/>
      <c r="AJ1449" s="841"/>
      <c r="AK1449" s="841"/>
      <c r="AL1449" s="841"/>
      <c r="AM1449" s="841"/>
      <c r="AN1449" s="841"/>
      <c r="AO1449" s="841"/>
      <c r="AP1449" s="841"/>
      <c r="AQ1449" s="841"/>
      <c r="AR1449" s="841"/>
      <c r="AS1449" s="842"/>
    </row>
    <row r="1450" spans="1:45">
      <c r="A1450" s="841"/>
      <c r="B1450" s="841"/>
      <c r="C1450" s="841"/>
      <c r="D1450" s="841"/>
      <c r="E1450" s="841"/>
      <c r="F1450" s="841"/>
      <c r="G1450" s="841"/>
      <c r="H1450" s="841"/>
      <c r="I1450" s="841"/>
      <c r="J1450" s="841"/>
      <c r="K1450" s="841"/>
      <c r="L1450" s="841"/>
      <c r="M1450" s="841"/>
      <c r="N1450" s="841"/>
      <c r="O1450" s="841"/>
      <c r="P1450" s="841"/>
      <c r="Q1450" s="841"/>
      <c r="R1450" s="841"/>
      <c r="S1450" s="841"/>
      <c r="T1450" s="841"/>
      <c r="U1450" s="841"/>
      <c r="V1450" s="841"/>
      <c r="W1450" s="841"/>
      <c r="X1450" s="841"/>
      <c r="Y1450" s="841"/>
      <c r="Z1450" s="1226"/>
      <c r="AA1450" s="1226"/>
      <c r="AB1450" s="1226"/>
      <c r="AC1450" s="1226"/>
      <c r="AD1450" s="1226"/>
      <c r="AE1450" s="1226"/>
      <c r="AF1450" s="1226"/>
      <c r="AG1450" s="1226"/>
      <c r="AH1450" s="1226"/>
      <c r="AI1450" s="841"/>
      <c r="AJ1450" s="841"/>
      <c r="AK1450" s="841"/>
      <c r="AL1450" s="841"/>
      <c r="AM1450" s="841"/>
      <c r="AN1450" s="841"/>
      <c r="AO1450" s="841"/>
      <c r="AP1450" s="841"/>
      <c r="AQ1450" s="841"/>
      <c r="AR1450" s="841"/>
      <c r="AS1450" s="842"/>
    </row>
    <row r="1451" spans="1:45">
      <c r="A1451" s="841"/>
      <c r="B1451" s="841"/>
      <c r="C1451" s="841"/>
      <c r="D1451" s="841"/>
      <c r="E1451" s="841"/>
      <c r="F1451" s="841"/>
      <c r="G1451" s="841"/>
      <c r="H1451" s="841"/>
      <c r="I1451" s="841"/>
      <c r="J1451" s="841"/>
      <c r="K1451" s="841"/>
      <c r="L1451" s="841"/>
      <c r="M1451" s="841"/>
      <c r="N1451" s="841"/>
      <c r="O1451" s="841"/>
      <c r="P1451" s="841"/>
      <c r="Q1451" s="841"/>
      <c r="R1451" s="841"/>
      <c r="S1451" s="841"/>
      <c r="T1451" s="841"/>
      <c r="U1451" s="841"/>
      <c r="V1451" s="841"/>
      <c r="W1451" s="841"/>
      <c r="X1451" s="841"/>
      <c r="Y1451" s="841"/>
      <c r="Z1451" s="1226"/>
      <c r="AA1451" s="1226"/>
      <c r="AB1451" s="1226"/>
      <c r="AC1451" s="1226"/>
      <c r="AD1451" s="1226"/>
      <c r="AE1451" s="1226"/>
      <c r="AF1451" s="1226"/>
      <c r="AG1451" s="1226"/>
      <c r="AH1451" s="1226"/>
      <c r="AI1451" s="841"/>
      <c r="AJ1451" s="841"/>
      <c r="AK1451" s="841"/>
      <c r="AL1451" s="841"/>
      <c r="AM1451" s="841"/>
      <c r="AN1451" s="841"/>
      <c r="AO1451" s="841"/>
      <c r="AP1451" s="841"/>
      <c r="AQ1451" s="841"/>
      <c r="AR1451" s="841"/>
      <c r="AS1451" s="842"/>
    </row>
    <row r="1452" spans="1:45">
      <c r="A1452" s="841"/>
      <c r="B1452" s="841"/>
      <c r="C1452" s="841"/>
      <c r="D1452" s="841"/>
      <c r="E1452" s="841"/>
      <c r="F1452" s="841"/>
      <c r="G1452" s="841"/>
      <c r="H1452" s="841"/>
      <c r="I1452" s="841"/>
      <c r="J1452" s="841"/>
      <c r="K1452" s="841"/>
      <c r="L1452" s="841"/>
      <c r="M1452" s="841"/>
      <c r="N1452" s="841"/>
      <c r="O1452" s="841"/>
      <c r="P1452" s="841"/>
      <c r="Q1452" s="841"/>
      <c r="R1452" s="841"/>
      <c r="S1452" s="841"/>
      <c r="T1452" s="841"/>
      <c r="U1452" s="841"/>
      <c r="V1452" s="841"/>
      <c r="W1452" s="841"/>
      <c r="X1452" s="841"/>
      <c r="Y1452" s="841"/>
      <c r="Z1452" s="1226"/>
      <c r="AA1452" s="1226"/>
      <c r="AB1452" s="1226"/>
      <c r="AC1452" s="1226"/>
      <c r="AD1452" s="1226"/>
      <c r="AE1452" s="1226"/>
      <c r="AF1452" s="1226"/>
      <c r="AG1452" s="1226"/>
      <c r="AH1452" s="1226"/>
      <c r="AI1452" s="841"/>
      <c r="AJ1452" s="841"/>
      <c r="AK1452" s="841"/>
      <c r="AL1452" s="841"/>
      <c r="AM1452" s="841"/>
      <c r="AN1452" s="841"/>
      <c r="AO1452" s="841"/>
      <c r="AP1452" s="841"/>
      <c r="AQ1452" s="841"/>
      <c r="AR1452" s="841"/>
      <c r="AS1452" s="842"/>
    </row>
    <row r="1453" spans="1:45">
      <c r="A1453" s="841"/>
      <c r="B1453" s="841"/>
      <c r="C1453" s="841"/>
      <c r="D1453" s="841"/>
      <c r="E1453" s="841"/>
      <c r="F1453" s="841"/>
      <c r="G1453" s="841"/>
      <c r="H1453" s="841"/>
      <c r="I1453" s="841"/>
      <c r="J1453" s="841"/>
      <c r="K1453" s="841"/>
      <c r="L1453" s="841"/>
      <c r="M1453" s="841"/>
      <c r="N1453" s="841"/>
      <c r="O1453" s="841"/>
      <c r="P1453" s="841"/>
      <c r="Q1453" s="841"/>
      <c r="R1453" s="841"/>
      <c r="S1453" s="841"/>
      <c r="T1453" s="841"/>
      <c r="U1453" s="841"/>
      <c r="V1453" s="841"/>
      <c r="W1453" s="841"/>
      <c r="X1453" s="841"/>
      <c r="Y1453" s="841"/>
      <c r="Z1453" s="1226"/>
      <c r="AA1453" s="1226"/>
      <c r="AB1453" s="1226"/>
      <c r="AC1453" s="1226"/>
      <c r="AD1453" s="1226"/>
      <c r="AE1453" s="1226"/>
      <c r="AF1453" s="1226"/>
      <c r="AG1453" s="1226"/>
      <c r="AH1453" s="1226"/>
      <c r="AI1453" s="841"/>
      <c r="AJ1453" s="841"/>
      <c r="AK1453" s="841"/>
      <c r="AL1453" s="841"/>
      <c r="AM1453" s="841"/>
      <c r="AN1453" s="841"/>
      <c r="AO1453" s="841"/>
      <c r="AP1453" s="841"/>
      <c r="AQ1453" s="841"/>
      <c r="AR1453" s="841"/>
      <c r="AS1453" s="842"/>
    </row>
    <row r="1454" spans="1:45">
      <c r="AH1454" s="1226"/>
      <c r="AI1454" s="841"/>
      <c r="AJ1454" s="841"/>
      <c r="AK1454" s="841"/>
      <c r="AL1454" s="841"/>
      <c r="AM1454" s="841"/>
      <c r="AN1454" s="841"/>
      <c r="AO1454" s="841"/>
      <c r="AP1454" s="841"/>
      <c r="AQ1454" s="841"/>
      <c r="AR1454" s="841"/>
      <c r="AS1454" s="842"/>
    </row>
    <row r="1455" spans="1:45">
      <c r="AH1455" s="1226"/>
      <c r="AI1455" s="841"/>
      <c r="AJ1455" s="841"/>
      <c r="AK1455" s="841"/>
      <c r="AL1455" s="841"/>
      <c r="AM1455" s="841"/>
      <c r="AN1455" s="841"/>
      <c r="AO1455" s="841"/>
      <c r="AP1455" s="841"/>
      <c r="AQ1455" s="841"/>
      <c r="AR1455" s="841"/>
      <c r="AS1455" s="842"/>
    </row>
    <row r="1456" spans="1:45">
      <c r="AH1456" s="1226"/>
      <c r="AI1456" s="841"/>
      <c r="AJ1456" s="841"/>
      <c r="AK1456" s="841"/>
      <c r="AL1456" s="841"/>
      <c r="AM1456" s="841"/>
      <c r="AN1456" s="841"/>
      <c r="AO1456" s="841"/>
      <c r="AP1456" s="841"/>
      <c r="AQ1456" s="841"/>
      <c r="AR1456" s="841"/>
      <c r="AS1456" s="842"/>
    </row>
    <row r="1457" spans="34:45">
      <c r="AH1457" s="1226"/>
      <c r="AI1457" s="841"/>
      <c r="AJ1457" s="841"/>
      <c r="AK1457" s="841"/>
      <c r="AL1457" s="841"/>
      <c r="AM1457" s="841"/>
      <c r="AN1457" s="841"/>
      <c r="AO1457" s="841"/>
      <c r="AP1457" s="841"/>
      <c r="AQ1457" s="841"/>
      <c r="AR1457" s="841"/>
      <c r="AS1457" s="842"/>
    </row>
    <row r="1458" spans="34:45">
      <c r="AH1458" s="1226"/>
      <c r="AI1458" s="841"/>
      <c r="AJ1458" s="841"/>
      <c r="AK1458" s="841"/>
      <c r="AL1458" s="841"/>
      <c r="AM1458" s="841"/>
      <c r="AN1458" s="841"/>
      <c r="AO1458" s="841"/>
      <c r="AP1458" s="841"/>
      <c r="AQ1458" s="841"/>
      <c r="AR1458" s="841"/>
      <c r="AS1458" s="842"/>
    </row>
    <row r="1459" spans="34:45">
      <c r="AH1459" s="1226"/>
      <c r="AI1459" s="841"/>
      <c r="AJ1459" s="841"/>
      <c r="AK1459" s="841"/>
      <c r="AL1459" s="841"/>
      <c r="AM1459" s="841"/>
      <c r="AN1459" s="841"/>
      <c r="AO1459" s="841"/>
      <c r="AP1459" s="841"/>
      <c r="AQ1459" s="841"/>
      <c r="AR1459" s="841"/>
      <c r="AS1459" s="842"/>
    </row>
    <row r="1460" spans="34:45">
      <c r="AH1460" s="1226"/>
      <c r="AI1460" s="841"/>
      <c r="AJ1460" s="841"/>
      <c r="AK1460" s="841"/>
      <c r="AL1460" s="841"/>
      <c r="AM1460" s="841"/>
      <c r="AN1460" s="841"/>
      <c r="AO1460" s="841"/>
      <c r="AP1460" s="841"/>
      <c r="AQ1460" s="841"/>
      <c r="AR1460" s="841"/>
      <c r="AS1460" s="842"/>
    </row>
    <row r="1461" spans="34:45">
      <c r="AH1461" s="1226"/>
      <c r="AI1461" s="841"/>
      <c r="AJ1461" s="841"/>
      <c r="AK1461" s="841"/>
      <c r="AL1461" s="841"/>
      <c r="AM1461" s="841"/>
      <c r="AN1461" s="841"/>
      <c r="AO1461" s="841"/>
      <c r="AP1461" s="841"/>
      <c r="AQ1461" s="841"/>
      <c r="AR1461" s="841"/>
      <c r="AS1461" s="842"/>
    </row>
    <row r="1462" spans="34:45">
      <c r="AH1462" s="1226"/>
      <c r="AI1462" s="841"/>
      <c r="AJ1462" s="841"/>
      <c r="AK1462" s="841"/>
      <c r="AL1462" s="841"/>
      <c r="AM1462" s="841"/>
      <c r="AN1462" s="841"/>
      <c r="AO1462" s="841"/>
      <c r="AP1462" s="841"/>
      <c r="AQ1462" s="841"/>
      <c r="AR1462" s="841"/>
      <c r="AS1462" s="842"/>
    </row>
    <row r="1463" spans="34:45">
      <c r="AH1463" s="1226"/>
      <c r="AI1463" s="841"/>
      <c r="AJ1463" s="841"/>
      <c r="AK1463" s="841"/>
      <c r="AL1463" s="841"/>
      <c r="AM1463" s="841"/>
      <c r="AN1463" s="841"/>
      <c r="AO1463" s="841"/>
      <c r="AP1463" s="841"/>
      <c r="AQ1463" s="841"/>
      <c r="AR1463" s="841"/>
      <c r="AS1463" s="842"/>
    </row>
    <row r="1464" spans="34:45">
      <c r="AH1464" s="1226"/>
      <c r="AI1464" s="841"/>
      <c r="AJ1464" s="841"/>
      <c r="AK1464" s="841"/>
      <c r="AL1464" s="841"/>
      <c r="AM1464" s="841"/>
      <c r="AN1464" s="841"/>
      <c r="AO1464" s="841"/>
      <c r="AP1464" s="841"/>
      <c r="AQ1464" s="841"/>
      <c r="AR1464" s="841"/>
      <c r="AS1464" s="842"/>
    </row>
    <row r="1465" spans="34:45">
      <c r="AH1465" s="1226"/>
      <c r="AI1465" s="841"/>
      <c r="AJ1465" s="841"/>
      <c r="AK1465" s="841"/>
      <c r="AL1465" s="841"/>
      <c r="AM1465" s="841"/>
      <c r="AN1465" s="841"/>
      <c r="AO1465" s="841"/>
      <c r="AP1465" s="841"/>
      <c r="AQ1465" s="841"/>
      <c r="AR1465" s="841"/>
      <c r="AS1465" s="842"/>
    </row>
    <row r="1466" spans="34:45">
      <c r="AH1466" s="1226"/>
      <c r="AI1466" s="841"/>
      <c r="AJ1466" s="841"/>
      <c r="AK1466" s="841"/>
      <c r="AL1466" s="841"/>
      <c r="AM1466" s="841"/>
      <c r="AN1466" s="841"/>
      <c r="AO1466" s="841"/>
      <c r="AP1466" s="841"/>
      <c r="AQ1466" s="841"/>
      <c r="AR1466" s="841"/>
      <c r="AS1466" s="842"/>
    </row>
    <row r="1467" spans="34:45">
      <c r="AH1467" s="1226"/>
      <c r="AI1467" s="841"/>
      <c r="AJ1467" s="841"/>
      <c r="AK1467" s="841"/>
      <c r="AL1467" s="841"/>
      <c r="AM1467" s="841"/>
      <c r="AN1467" s="841"/>
      <c r="AO1467" s="841"/>
      <c r="AP1467" s="841"/>
      <c r="AQ1467" s="841"/>
      <c r="AR1467" s="841"/>
      <c r="AS1467" s="842"/>
    </row>
    <row r="1468" spans="34:45">
      <c r="AH1468" s="1226"/>
      <c r="AI1468" s="841"/>
      <c r="AJ1468" s="841"/>
      <c r="AK1468" s="841"/>
      <c r="AL1468" s="841"/>
      <c r="AM1468" s="841"/>
      <c r="AN1468" s="841"/>
      <c r="AO1468" s="841"/>
      <c r="AP1468" s="841"/>
      <c r="AQ1468" s="841"/>
      <c r="AR1468" s="841"/>
      <c r="AS1468" s="842"/>
    </row>
    <row r="1469" spans="34:45">
      <c r="AH1469" s="1226"/>
      <c r="AI1469" s="841"/>
      <c r="AJ1469" s="841"/>
      <c r="AK1469" s="841"/>
      <c r="AL1469" s="841"/>
      <c r="AM1469" s="841"/>
      <c r="AN1469" s="841"/>
      <c r="AO1469" s="841"/>
      <c r="AP1469" s="841"/>
      <c r="AQ1469" s="841"/>
      <c r="AR1469" s="841"/>
      <c r="AS1469" s="842"/>
    </row>
    <row r="1470" spans="34:45">
      <c r="AH1470" s="1226"/>
      <c r="AI1470" s="841"/>
      <c r="AJ1470" s="841"/>
      <c r="AK1470" s="841"/>
      <c r="AL1470" s="841"/>
      <c r="AM1470" s="841"/>
      <c r="AN1470" s="841"/>
      <c r="AO1470" s="841"/>
      <c r="AP1470" s="841"/>
      <c r="AQ1470" s="841"/>
      <c r="AR1470" s="841"/>
      <c r="AS1470" s="842"/>
    </row>
    <row r="1471" spans="34:45">
      <c r="AH1471" s="1226"/>
      <c r="AI1471" s="841"/>
      <c r="AJ1471" s="841"/>
      <c r="AK1471" s="841"/>
      <c r="AL1471" s="841"/>
      <c r="AM1471" s="841"/>
      <c r="AN1471" s="841"/>
      <c r="AO1471" s="841"/>
      <c r="AP1471" s="841"/>
      <c r="AQ1471" s="841"/>
      <c r="AR1471" s="841"/>
      <c r="AS1471" s="842"/>
    </row>
    <row r="1472" spans="34:45">
      <c r="AH1472" s="1226"/>
      <c r="AI1472" s="841"/>
      <c r="AJ1472" s="841"/>
      <c r="AK1472" s="841"/>
      <c r="AL1472" s="841"/>
      <c r="AM1472" s="841"/>
      <c r="AN1472" s="841"/>
      <c r="AO1472" s="841"/>
      <c r="AP1472" s="841"/>
      <c r="AQ1472" s="841"/>
      <c r="AR1472" s="841"/>
      <c r="AS1472" s="842"/>
    </row>
    <row r="1473" spans="34:45">
      <c r="AH1473" s="1226"/>
      <c r="AI1473" s="841"/>
      <c r="AJ1473" s="841"/>
      <c r="AK1473" s="841"/>
      <c r="AL1473" s="841"/>
      <c r="AM1473" s="841"/>
      <c r="AN1473" s="841"/>
      <c r="AO1473" s="841"/>
      <c r="AP1473" s="841"/>
      <c r="AQ1473" s="841"/>
      <c r="AR1473" s="841"/>
      <c r="AS1473" s="842"/>
    </row>
    <row r="1474" spans="34:45">
      <c r="AH1474" s="1226"/>
      <c r="AI1474" s="841"/>
      <c r="AJ1474" s="841"/>
      <c r="AK1474" s="841"/>
      <c r="AL1474" s="841"/>
      <c r="AM1474" s="841"/>
      <c r="AN1474" s="841"/>
      <c r="AO1474" s="841"/>
      <c r="AP1474" s="841"/>
      <c r="AQ1474" s="841"/>
      <c r="AR1474" s="841"/>
      <c r="AS1474" s="842"/>
    </row>
    <row r="1475" spans="34:45">
      <c r="AH1475" s="1226"/>
      <c r="AI1475" s="841"/>
      <c r="AJ1475" s="841"/>
      <c r="AK1475" s="841"/>
      <c r="AL1475" s="841"/>
      <c r="AM1475" s="841"/>
      <c r="AN1475" s="841"/>
      <c r="AO1475" s="841"/>
      <c r="AP1475" s="841"/>
      <c r="AQ1475" s="841"/>
      <c r="AR1475" s="841"/>
      <c r="AS1475" s="842"/>
    </row>
    <row r="1476" spans="34:45">
      <c r="AH1476" s="1226"/>
      <c r="AI1476" s="841"/>
      <c r="AJ1476" s="841"/>
      <c r="AK1476" s="841"/>
      <c r="AL1476" s="841"/>
      <c r="AM1476" s="841"/>
      <c r="AN1476" s="841"/>
      <c r="AO1476" s="841"/>
      <c r="AP1476" s="841"/>
      <c r="AQ1476" s="841"/>
      <c r="AR1476" s="841"/>
      <c r="AS1476" s="842"/>
    </row>
    <row r="1477" spans="34:45">
      <c r="AH1477" s="1226"/>
      <c r="AI1477" s="841"/>
      <c r="AJ1477" s="841"/>
      <c r="AK1477" s="841"/>
      <c r="AL1477" s="841"/>
      <c r="AM1477" s="841"/>
      <c r="AN1477" s="841"/>
      <c r="AO1477" s="841"/>
      <c r="AP1477" s="841"/>
      <c r="AQ1477" s="841"/>
      <c r="AR1477" s="841"/>
      <c r="AS1477" s="842"/>
    </row>
    <row r="1478" spans="34:45">
      <c r="AH1478" s="1226"/>
      <c r="AI1478" s="841"/>
      <c r="AJ1478" s="841"/>
      <c r="AK1478" s="841"/>
      <c r="AL1478" s="841"/>
      <c r="AM1478" s="841"/>
      <c r="AN1478" s="841"/>
      <c r="AO1478" s="841"/>
      <c r="AP1478" s="841"/>
      <c r="AQ1478" s="841"/>
      <c r="AR1478" s="841"/>
      <c r="AS1478" s="842"/>
    </row>
    <row r="1479" spans="34:45">
      <c r="AH1479" s="1226"/>
      <c r="AI1479" s="841"/>
      <c r="AJ1479" s="841"/>
      <c r="AK1479" s="841"/>
      <c r="AL1479" s="841"/>
      <c r="AM1479" s="841"/>
      <c r="AN1479" s="841"/>
      <c r="AO1479" s="841"/>
      <c r="AP1479" s="841"/>
      <c r="AQ1479" s="841"/>
      <c r="AR1479" s="841"/>
      <c r="AS1479" s="842"/>
    </row>
    <row r="1480" spans="34:45">
      <c r="AH1480" s="1226"/>
      <c r="AI1480" s="841"/>
      <c r="AJ1480" s="841"/>
      <c r="AK1480" s="841"/>
      <c r="AL1480" s="841"/>
      <c r="AM1480" s="841"/>
      <c r="AN1480" s="841"/>
      <c r="AO1480" s="841"/>
      <c r="AP1480" s="841"/>
      <c r="AQ1480" s="841"/>
      <c r="AR1480" s="841"/>
      <c r="AS1480" s="842"/>
    </row>
    <row r="1481" spans="34:45">
      <c r="AH1481" s="1226"/>
      <c r="AI1481" s="841"/>
      <c r="AJ1481" s="841"/>
      <c r="AK1481" s="841"/>
      <c r="AL1481" s="841"/>
      <c r="AM1481" s="841"/>
      <c r="AN1481" s="841"/>
      <c r="AO1481" s="841"/>
      <c r="AP1481" s="841"/>
      <c r="AQ1481" s="841"/>
      <c r="AR1481" s="841"/>
      <c r="AS1481" s="842"/>
    </row>
    <row r="1482" spans="34:45">
      <c r="AH1482" s="1226"/>
      <c r="AI1482" s="841"/>
      <c r="AJ1482" s="841"/>
      <c r="AK1482" s="841"/>
      <c r="AL1482" s="841"/>
      <c r="AM1482" s="841"/>
      <c r="AN1482" s="841"/>
      <c r="AO1482" s="841"/>
      <c r="AP1482" s="841"/>
      <c r="AQ1482" s="841"/>
      <c r="AR1482" s="841"/>
      <c r="AS1482" s="842"/>
    </row>
    <row r="1483" spans="34:45">
      <c r="AH1483" s="1226"/>
      <c r="AI1483" s="841"/>
      <c r="AJ1483" s="841"/>
      <c r="AK1483" s="841"/>
      <c r="AL1483" s="841"/>
      <c r="AM1483" s="841"/>
      <c r="AN1483" s="841"/>
      <c r="AO1483" s="841"/>
      <c r="AP1483" s="841"/>
      <c r="AQ1483" s="841"/>
      <c r="AR1483" s="841"/>
      <c r="AS1483" s="842"/>
    </row>
    <row r="1484" spans="34:45">
      <c r="AH1484" s="1226"/>
      <c r="AI1484" s="841"/>
      <c r="AJ1484" s="841"/>
      <c r="AK1484" s="841"/>
      <c r="AL1484" s="841"/>
      <c r="AM1484" s="841"/>
      <c r="AN1484" s="841"/>
      <c r="AO1484" s="841"/>
      <c r="AP1484" s="841"/>
      <c r="AQ1484" s="841"/>
      <c r="AR1484" s="841"/>
      <c r="AS1484" s="842"/>
    </row>
    <row r="1485" spans="34:45">
      <c r="AH1485" s="1226"/>
      <c r="AI1485" s="841"/>
      <c r="AJ1485" s="841"/>
      <c r="AK1485" s="841"/>
      <c r="AL1485" s="841"/>
      <c r="AM1485" s="841"/>
      <c r="AN1485" s="841"/>
      <c r="AO1485" s="841"/>
      <c r="AP1485" s="841"/>
      <c r="AQ1485" s="841"/>
      <c r="AR1485" s="841"/>
      <c r="AS1485" s="842"/>
    </row>
    <row r="1486" spans="34:45">
      <c r="AH1486" s="1226"/>
      <c r="AI1486" s="841"/>
      <c r="AJ1486" s="841"/>
      <c r="AK1486" s="841"/>
      <c r="AL1486" s="841"/>
      <c r="AM1486" s="841"/>
      <c r="AN1486" s="841"/>
      <c r="AO1486" s="841"/>
      <c r="AP1486" s="841"/>
      <c r="AQ1486" s="841"/>
      <c r="AR1486" s="841"/>
      <c r="AS1486" s="842"/>
    </row>
    <row r="1487" spans="34:45">
      <c r="AH1487" s="1226"/>
      <c r="AI1487" s="841"/>
      <c r="AJ1487" s="841"/>
      <c r="AK1487" s="841"/>
      <c r="AL1487" s="841"/>
      <c r="AM1487" s="841"/>
      <c r="AN1487" s="841"/>
      <c r="AO1487" s="841"/>
      <c r="AP1487" s="841"/>
      <c r="AQ1487" s="841"/>
      <c r="AR1487" s="841"/>
      <c r="AS1487" s="842"/>
    </row>
    <row r="1488" spans="34:45">
      <c r="AH1488" s="1226"/>
      <c r="AI1488" s="841"/>
      <c r="AJ1488" s="841"/>
      <c r="AK1488" s="841"/>
      <c r="AL1488" s="841"/>
      <c r="AM1488" s="841"/>
      <c r="AN1488" s="841"/>
      <c r="AO1488" s="841"/>
      <c r="AP1488" s="841"/>
      <c r="AQ1488" s="841"/>
      <c r="AR1488" s="841"/>
      <c r="AS1488" s="842"/>
    </row>
    <row r="1489" spans="34:45">
      <c r="AH1489" s="1226"/>
      <c r="AI1489" s="841"/>
      <c r="AJ1489" s="841"/>
      <c r="AK1489" s="841"/>
      <c r="AL1489" s="841"/>
      <c r="AM1489" s="841"/>
      <c r="AN1489" s="841"/>
      <c r="AO1489" s="841"/>
      <c r="AP1489" s="841"/>
      <c r="AQ1489" s="841"/>
      <c r="AR1489" s="841"/>
      <c r="AS1489" s="842"/>
    </row>
    <row r="1490" spans="34:45">
      <c r="AH1490" s="1226"/>
      <c r="AI1490" s="841"/>
      <c r="AJ1490" s="841"/>
      <c r="AK1490" s="841"/>
      <c r="AL1490" s="841"/>
      <c r="AM1490" s="841"/>
      <c r="AN1490" s="841"/>
      <c r="AO1490" s="841"/>
      <c r="AP1490" s="841"/>
      <c r="AQ1490" s="841"/>
      <c r="AR1490" s="841"/>
      <c r="AS1490" s="842"/>
    </row>
    <row r="1491" spans="34:45">
      <c r="AH1491" s="1226"/>
      <c r="AI1491" s="841"/>
      <c r="AJ1491" s="841"/>
      <c r="AK1491" s="841"/>
      <c r="AL1491" s="841"/>
      <c r="AM1491" s="841"/>
      <c r="AN1491" s="841"/>
      <c r="AO1491" s="841"/>
      <c r="AP1491" s="841"/>
      <c r="AQ1491" s="841"/>
      <c r="AR1491" s="841"/>
      <c r="AS1491" s="842"/>
    </row>
    <row r="1492" spans="34:45">
      <c r="AH1492" s="1226"/>
      <c r="AI1492" s="841"/>
      <c r="AJ1492" s="841"/>
      <c r="AK1492" s="841"/>
      <c r="AL1492" s="841"/>
      <c r="AM1492" s="841"/>
      <c r="AN1492" s="841"/>
      <c r="AO1492" s="841"/>
      <c r="AP1492" s="841"/>
      <c r="AQ1492" s="841"/>
      <c r="AR1492" s="841"/>
      <c r="AS1492" s="842"/>
    </row>
    <row r="1493" spans="34:45">
      <c r="AH1493" s="1226"/>
      <c r="AI1493" s="841"/>
      <c r="AJ1493" s="841"/>
      <c r="AK1493" s="841"/>
      <c r="AL1493" s="841"/>
      <c r="AM1493" s="841"/>
      <c r="AN1493" s="841"/>
      <c r="AO1493" s="841"/>
      <c r="AP1493" s="841"/>
      <c r="AQ1493" s="841"/>
      <c r="AR1493" s="841"/>
      <c r="AS1493" s="842"/>
    </row>
    <row r="1494" spans="34:45">
      <c r="AH1494" s="1226"/>
      <c r="AI1494" s="841"/>
      <c r="AJ1494" s="841"/>
      <c r="AK1494" s="841"/>
      <c r="AL1494" s="841"/>
      <c r="AM1494" s="841"/>
      <c r="AN1494" s="841"/>
      <c r="AO1494" s="841"/>
      <c r="AP1494" s="841"/>
      <c r="AQ1494" s="841"/>
      <c r="AR1494" s="841"/>
      <c r="AS1494" s="842"/>
    </row>
    <row r="1495" spans="34:45">
      <c r="AH1495" s="1226"/>
      <c r="AI1495" s="841"/>
      <c r="AJ1495" s="841"/>
      <c r="AK1495" s="841"/>
      <c r="AL1495" s="841"/>
      <c r="AM1495" s="841"/>
      <c r="AN1495" s="841"/>
      <c r="AO1495" s="841"/>
      <c r="AP1495" s="841"/>
      <c r="AQ1495" s="841"/>
      <c r="AR1495" s="841"/>
      <c r="AS1495" s="842"/>
    </row>
    <row r="1496" spans="34:45">
      <c r="AH1496" s="1226"/>
      <c r="AI1496" s="841"/>
      <c r="AJ1496" s="841"/>
      <c r="AK1496" s="841"/>
      <c r="AL1496" s="841"/>
      <c r="AM1496" s="841"/>
      <c r="AN1496" s="841"/>
      <c r="AO1496" s="841"/>
      <c r="AP1496" s="841"/>
      <c r="AQ1496" s="841"/>
      <c r="AR1496" s="841"/>
      <c r="AS1496" s="842"/>
    </row>
    <row r="1497" spans="34:45">
      <c r="AH1497" s="1226"/>
      <c r="AI1497" s="841"/>
      <c r="AJ1497" s="841"/>
      <c r="AK1497" s="841"/>
      <c r="AL1497" s="841"/>
      <c r="AM1497" s="841"/>
      <c r="AN1497" s="841"/>
      <c r="AO1497" s="841"/>
      <c r="AP1497" s="841"/>
      <c r="AQ1497" s="841"/>
      <c r="AR1497" s="841"/>
      <c r="AS1497" s="842"/>
    </row>
    <row r="1498" spans="34:45">
      <c r="AH1498" s="1226"/>
      <c r="AI1498" s="841"/>
      <c r="AJ1498" s="841"/>
      <c r="AK1498" s="841"/>
      <c r="AL1498" s="841"/>
      <c r="AM1498" s="841"/>
      <c r="AN1498" s="841"/>
      <c r="AO1498" s="841"/>
      <c r="AP1498" s="841"/>
      <c r="AQ1498" s="841"/>
      <c r="AR1498" s="841"/>
      <c r="AS1498" s="842"/>
    </row>
    <row r="1499" spans="34:45">
      <c r="AH1499" s="1226"/>
      <c r="AI1499" s="841"/>
      <c r="AJ1499" s="841"/>
      <c r="AK1499" s="841"/>
      <c r="AL1499" s="841"/>
      <c r="AM1499" s="841"/>
      <c r="AN1499" s="841"/>
      <c r="AO1499" s="841"/>
      <c r="AP1499" s="841"/>
      <c r="AQ1499" s="841"/>
      <c r="AR1499" s="841"/>
      <c r="AS1499" s="842"/>
    </row>
    <row r="1500" spans="34:45">
      <c r="AH1500" s="1226"/>
      <c r="AI1500" s="841"/>
      <c r="AJ1500" s="841"/>
      <c r="AK1500" s="841"/>
      <c r="AL1500" s="841"/>
      <c r="AM1500" s="841"/>
      <c r="AN1500" s="841"/>
      <c r="AO1500" s="841"/>
      <c r="AP1500" s="841"/>
      <c r="AQ1500" s="841"/>
      <c r="AR1500" s="841"/>
      <c r="AS1500" s="842"/>
    </row>
    <row r="1501" spans="34:45">
      <c r="AH1501" s="1226"/>
      <c r="AI1501" s="841"/>
      <c r="AJ1501" s="841"/>
      <c r="AK1501" s="841"/>
      <c r="AL1501" s="841"/>
      <c r="AM1501" s="841"/>
      <c r="AN1501" s="841"/>
      <c r="AO1501" s="841"/>
      <c r="AP1501" s="841"/>
      <c r="AQ1501" s="841"/>
      <c r="AR1501" s="841"/>
      <c r="AS1501" s="842"/>
    </row>
    <row r="1502" spans="34:45">
      <c r="AH1502" s="1226"/>
      <c r="AI1502" s="841"/>
      <c r="AJ1502" s="841"/>
      <c r="AK1502" s="841"/>
      <c r="AL1502" s="841"/>
      <c r="AM1502" s="841"/>
      <c r="AN1502" s="841"/>
      <c r="AO1502" s="841"/>
      <c r="AP1502" s="841"/>
      <c r="AQ1502" s="841"/>
      <c r="AR1502" s="841"/>
      <c r="AS1502" s="842"/>
    </row>
    <row r="1503" spans="34:45">
      <c r="AH1503" s="1226"/>
      <c r="AI1503" s="841"/>
      <c r="AJ1503" s="841"/>
      <c r="AK1503" s="841"/>
      <c r="AL1503" s="841"/>
      <c r="AM1503" s="841"/>
      <c r="AN1503" s="841"/>
      <c r="AO1503" s="841"/>
      <c r="AP1503" s="841"/>
      <c r="AQ1503" s="841"/>
      <c r="AR1503" s="841"/>
      <c r="AS1503" s="842"/>
    </row>
    <row r="1504" spans="34:45">
      <c r="AH1504" s="1226"/>
      <c r="AI1504" s="841"/>
      <c r="AJ1504" s="841"/>
      <c r="AK1504" s="841"/>
      <c r="AL1504" s="841"/>
      <c r="AM1504" s="841"/>
      <c r="AN1504" s="841"/>
      <c r="AO1504" s="841"/>
      <c r="AP1504" s="841"/>
      <c r="AQ1504" s="841"/>
      <c r="AR1504" s="841"/>
      <c r="AS1504" s="842"/>
    </row>
    <row r="1505" spans="34:45">
      <c r="AH1505" s="1226"/>
      <c r="AI1505" s="841"/>
      <c r="AJ1505" s="841"/>
      <c r="AK1505" s="841"/>
      <c r="AL1505" s="841"/>
      <c r="AM1505" s="841"/>
      <c r="AN1505" s="841"/>
      <c r="AO1505" s="841"/>
      <c r="AP1505" s="841"/>
      <c r="AQ1505" s="841"/>
      <c r="AR1505" s="841"/>
      <c r="AS1505" s="842"/>
    </row>
    <row r="1506" spans="34:45">
      <c r="AH1506" s="1226"/>
      <c r="AI1506" s="841"/>
      <c r="AJ1506" s="841"/>
      <c r="AK1506" s="841"/>
      <c r="AL1506" s="841"/>
      <c r="AM1506" s="841"/>
      <c r="AN1506" s="841"/>
      <c r="AO1506" s="841"/>
      <c r="AP1506" s="841"/>
      <c r="AQ1506" s="841"/>
      <c r="AR1506" s="841"/>
      <c r="AS1506" s="842"/>
    </row>
    <row r="1507" spans="34:45">
      <c r="AH1507" s="1226"/>
      <c r="AI1507" s="841"/>
      <c r="AJ1507" s="841"/>
      <c r="AK1507" s="841"/>
      <c r="AL1507" s="841"/>
      <c r="AM1507" s="841"/>
      <c r="AN1507" s="841"/>
      <c r="AO1507" s="841"/>
      <c r="AP1507" s="841"/>
      <c r="AQ1507" s="841"/>
      <c r="AR1507" s="841"/>
      <c r="AS1507" s="842"/>
    </row>
    <row r="1508" spans="34:45">
      <c r="AH1508" s="1226"/>
      <c r="AI1508" s="841"/>
      <c r="AJ1508" s="841"/>
      <c r="AK1508" s="841"/>
      <c r="AL1508" s="841"/>
      <c r="AM1508" s="841"/>
      <c r="AN1508" s="841"/>
      <c r="AO1508" s="841"/>
      <c r="AP1508" s="841"/>
      <c r="AQ1508" s="841"/>
      <c r="AR1508" s="841"/>
      <c r="AS1508" s="842"/>
    </row>
    <row r="1509" spans="34:45">
      <c r="AH1509" s="1226"/>
      <c r="AI1509" s="841"/>
      <c r="AJ1509" s="841"/>
      <c r="AK1509" s="841"/>
      <c r="AL1509" s="841"/>
      <c r="AM1509" s="841"/>
      <c r="AN1509" s="841"/>
      <c r="AO1509" s="841"/>
      <c r="AP1509" s="841"/>
      <c r="AQ1509" s="841"/>
      <c r="AR1509" s="841"/>
      <c r="AS1509" s="842"/>
    </row>
    <row r="1510" spans="34:45">
      <c r="AH1510" s="1226"/>
      <c r="AI1510" s="841"/>
      <c r="AJ1510" s="841"/>
      <c r="AK1510" s="841"/>
      <c r="AL1510" s="841"/>
      <c r="AM1510" s="841"/>
      <c r="AN1510" s="841"/>
      <c r="AO1510" s="841"/>
      <c r="AP1510" s="841"/>
      <c r="AQ1510" s="841"/>
      <c r="AR1510" s="841"/>
      <c r="AS1510" s="842"/>
    </row>
    <row r="1511" spans="34:45">
      <c r="AH1511" s="1226"/>
      <c r="AI1511" s="841"/>
      <c r="AJ1511" s="841"/>
      <c r="AK1511" s="841"/>
      <c r="AL1511" s="841"/>
      <c r="AM1511" s="841"/>
      <c r="AN1511" s="841"/>
      <c r="AO1511" s="841"/>
      <c r="AP1511" s="841"/>
      <c r="AQ1511" s="841"/>
      <c r="AR1511" s="841"/>
      <c r="AS1511" s="842"/>
    </row>
    <row r="1512" spans="34:45">
      <c r="AH1512" s="1226"/>
      <c r="AI1512" s="841"/>
      <c r="AJ1512" s="841"/>
      <c r="AK1512" s="841"/>
      <c r="AL1512" s="841"/>
      <c r="AM1512" s="841"/>
      <c r="AN1512" s="841"/>
      <c r="AO1512" s="841"/>
      <c r="AP1512" s="841"/>
      <c r="AQ1512" s="841"/>
      <c r="AR1512" s="841"/>
      <c r="AS1512" s="842"/>
    </row>
    <row r="1513" spans="34:45">
      <c r="AH1513" s="1226"/>
      <c r="AI1513" s="841"/>
      <c r="AJ1513" s="841"/>
      <c r="AK1513" s="841"/>
      <c r="AL1513" s="841"/>
      <c r="AM1513" s="841"/>
      <c r="AN1513" s="841"/>
      <c r="AO1513" s="841"/>
      <c r="AP1513" s="841"/>
      <c r="AQ1513" s="841"/>
      <c r="AR1513" s="841"/>
      <c r="AS1513" s="842"/>
    </row>
    <row r="1514" spans="34:45">
      <c r="AH1514" s="1226"/>
      <c r="AI1514" s="841"/>
      <c r="AJ1514" s="841"/>
      <c r="AK1514" s="841"/>
      <c r="AL1514" s="841"/>
      <c r="AM1514" s="841"/>
      <c r="AN1514" s="841"/>
      <c r="AO1514" s="841"/>
      <c r="AP1514" s="841"/>
      <c r="AQ1514" s="841"/>
      <c r="AR1514" s="841"/>
      <c r="AS1514" s="842"/>
    </row>
    <row r="1515" spans="34:45">
      <c r="AH1515" s="1226"/>
      <c r="AI1515" s="841"/>
      <c r="AJ1515" s="841"/>
      <c r="AK1515" s="841"/>
      <c r="AL1515" s="841"/>
      <c r="AM1515" s="841"/>
      <c r="AN1515" s="841"/>
      <c r="AO1515" s="841"/>
      <c r="AP1515" s="841"/>
      <c r="AQ1515" s="841"/>
      <c r="AR1515" s="841"/>
      <c r="AS1515" s="842"/>
    </row>
    <row r="1516" spans="34:45">
      <c r="AH1516" s="1226"/>
      <c r="AI1516" s="841"/>
      <c r="AJ1516" s="841"/>
      <c r="AK1516" s="841"/>
      <c r="AL1516" s="841"/>
      <c r="AM1516" s="841"/>
      <c r="AN1516" s="841"/>
      <c r="AO1516" s="841"/>
      <c r="AP1516" s="841"/>
      <c r="AQ1516" s="841"/>
      <c r="AR1516" s="841"/>
      <c r="AS1516" s="842"/>
    </row>
    <row r="1517" spans="34:45">
      <c r="AH1517" s="1226"/>
      <c r="AI1517" s="841"/>
      <c r="AJ1517" s="841"/>
      <c r="AK1517" s="841"/>
      <c r="AL1517" s="841"/>
      <c r="AM1517" s="841"/>
      <c r="AN1517" s="841"/>
      <c r="AO1517" s="841"/>
      <c r="AP1517" s="841"/>
      <c r="AQ1517" s="841"/>
      <c r="AR1517" s="841"/>
      <c r="AS1517" s="842"/>
    </row>
    <row r="1518" spans="34:45">
      <c r="AH1518" s="1226"/>
      <c r="AI1518" s="841"/>
      <c r="AJ1518" s="841"/>
      <c r="AK1518" s="841"/>
      <c r="AL1518" s="841"/>
      <c r="AM1518" s="841"/>
      <c r="AN1518" s="841"/>
      <c r="AO1518" s="841"/>
      <c r="AP1518" s="841"/>
      <c r="AQ1518" s="841"/>
      <c r="AR1518" s="841"/>
      <c r="AS1518" s="842"/>
    </row>
    <row r="1519" spans="34:45">
      <c r="AH1519" s="1226"/>
      <c r="AI1519" s="841"/>
      <c r="AJ1519" s="841"/>
      <c r="AK1519" s="841"/>
      <c r="AL1519" s="841"/>
      <c r="AM1519" s="841"/>
      <c r="AN1519" s="841"/>
      <c r="AO1519" s="841"/>
      <c r="AP1519" s="841"/>
      <c r="AQ1519" s="841"/>
      <c r="AR1519" s="841"/>
      <c r="AS1519" s="842"/>
    </row>
    <row r="1520" spans="34:45">
      <c r="AH1520" s="1226"/>
      <c r="AI1520" s="841"/>
      <c r="AJ1520" s="841"/>
      <c r="AK1520" s="841"/>
      <c r="AL1520" s="841"/>
      <c r="AM1520" s="841"/>
      <c r="AN1520" s="841"/>
      <c r="AO1520" s="841"/>
      <c r="AP1520" s="841"/>
      <c r="AQ1520" s="841"/>
      <c r="AR1520" s="841"/>
      <c r="AS1520" s="842"/>
    </row>
    <row r="1521" spans="34:45">
      <c r="AH1521" s="1226"/>
      <c r="AI1521" s="841"/>
      <c r="AJ1521" s="841"/>
      <c r="AK1521" s="841"/>
      <c r="AL1521" s="841"/>
      <c r="AM1521" s="841"/>
      <c r="AN1521" s="841"/>
      <c r="AO1521" s="841"/>
      <c r="AP1521" s="841"/>
      <c r="AQ1521" s="841"/>
      <c r="AR1521" s="841"/>
      <c r="AS1521" s="842"/>
    </row>
    <row r="1522" spans="34:45">
      <c r="AH1522" s="1226"/>
      <c r="AI1522" s="841"/>
      <c r="AJ1522" s="841"/>
      <c r="AK1522" s="841"/>
      <c r="AL1522" s="841"/>
      <c r="AM1522" s="841"/>
      <c r="AN1522" s="841"/>
      <c r="AO1522" s="841"/>
      <c r="AP1522" s="841"/>
      <c r="AQ1522" s="841"/>
      <c r="AR1522" s="841"/>
      <c r="AS1522" s="842"/>
    </row>
    <row r="1523" spans="34:45">
      <c r="AH1523" s="1226"/>
      <c r="AI1523" s="841"/>
      <c r="AJ1523" s="841"/>
      <c r="AK1523" s="841"/>
      <c r="AL1523" s="841"/>
      <c r="AM1523" s="841"/>
      <c r="AN1523" s="841"/>
      <c r="AO1523" s="841"/>
      <c r="AP1523" s="841"/>
      <c r="AQ1523" s="841"/>
      <c r="AR1523" s="841"/>
      <c r="AS1523" s="842"/>
    </row>
    <row r="1524" spans="34:45">
      <c r="AH1524" s="1226"/>
      <c r="AI1524" s="841"/>
      <c r="AJ1524" s="841"/>
      <c r="AK1524" s="841"/>
      <c r="AL1524" s="841"/>
      <c r="AM1524" s="841"/>
      <c r="AN1524" s="841"/>
      <c r="AO1524" s="841"/>
      <c r="AP1524" s="841"/>
      <c r="AQ1524" s="841"/>
      <c r="AR1524" s="841"/>
      <c r="AS1524" s="842"/>
    </row>
    <row r="1525" spans="34:45">
      <c r="AH1525" s="1226"/>
      <c r="AI1525" s="841"/>
      <c r="AJ1525" s="841"/>
      <c r="AK1525" s="841"/>
      <c r="AL1525" s="841"/>
      <c r="AM1525" s="841"/>
      <c r="AN1525" s="841"/>
      <c r="AO1525" s="841"/>
      <c r="AP1525" s="841"/>
      <c r="AQ1525" s="841"/>
      <c r="AR1525" s="841"/>
      <c r="AS1525" s="842"/>
    </row>
    <row r="1526" spans="34:45">
      <c r="AH1526" s="1226"/>
      <c r="AI1526" s="841"/>
      <c r="AJ1526" s="841"/>
      <c r="AK1526" s="841"/>
      <c r="AL1526" s="841"/>
      <c r="AM1526" s="841"/>
      <c r="AN1526" s="841"/>
      <c r="AO1526" s="841"/>
      <c r="AP1526" s="841"/>
      <c r="AQ1526" s="841"/>
      <c r="AR1526" s="841"/>
      <c r="AS1526" s="842"/>
    </row>
    <row r="1527" spans="34:45">
      <c r="AH1527" s="1226"/>
      <c r="AI1527" s="841"/>
      <c r="AJ1527" s="841"/>
      <c r="AK1527" s="841"/>
      <c r="AL1527" s="841"/>
      <c r="AM1527" s="841"/>
      <c r="AN1527" s="841"/>
      <c r="AO1527" s="841"/>
      <c r="AP1527" s="841"/>
      <c r="AQ1527" s="841"/>
      <c r="AR1527" s="841"/>
      <c r="AS1527" s="842"/>
    </row>
    <row r="1528" spans="34:45">
      <c r="AH1528" s="1226"/>
      <c r="AI1528" s="841"/>
      <c r="AJ1528" s="841"/>
      <c r="AK1528" s="841"/>
      <c r="AL1528" s="841"/>
      <c r="AM1528" s="841"/>
      <c r="AN1528" s="841"/>
      <c r="AO1528" s="841"/>
      <c r="AP1528" s="841"/>
      <c r="AQ1528" s="841"/>
      <c r="AR1528" s="841"/>
      <c r="AS1528" s="842"/>
    </row>
    <row r="1529" spans="34:45">
      <c r="AH1529" s="1226"/>
      <c r="AI1529" s="841"/>
      <c r="AJ1529" s="841"/>
      <c r="AK1529" s="841"/>
      <c r="AL1529" s="841"/>
      <c r="AM1529" s="841"/>
      <c r="AN1529" s="841"/>
      <c r="AO1529" s="841"/>
      <c r="AP1529" s="841"/>
      <c r="AQ1529" s="841"/>
      <c r="AR1529" s="841"/>
      <c r="AS1529" s="842"/>
    </row>
    <row r="1530" spans="34:45">
      <c r="AH1530" s="1226"/>
      <c r="AI1530" s="841"/>
      <c r="AJ1530" s="841"/>
      <c r="AK1530" s="841"/>
      <c r="AL1530" s="841"/>
      <c r="AM1530" s="841"/>
      <c r="AN1530" s="841"/>
      <c r="AO1530" s="841"/>
      <c r="AP1530" s="841"/>
      <c r="AQ1530" s="841"/>
      <c r="AR1530" s="841"/>
      <c r="AS1530" s="842"/>
    </row>
    <row r="1531" spans="34:45">
      <c r="AH1531" s="1226"/>
      <c r="AI1531" s="841"/>
      <c r="AJ1531" s="841"/>
      <c r="AK1531" s="841"/>
      <c r="AL1531" s="841"/>
      <c r="AM1531" s="841"/>
      <c r="AN1531" s="841"/>
      <c r="AO1531" s="841"/>
      <c r="AP1531" s="841"/>
      <c r="AQ1531" s="841"/>
      <c r="AR1531" s="841"/>
      <c r="AS1531" s="842"/>
    </row>
    <row r="1532" spans="34:45">
      <c r="AH1532" s="1226"/>
      <c r="AI1532" s="841"/>
      <c r="AJ1532" s="841"/>
      <c r="AK1532" s="841"/>
      <c r="AL1532" s="841"/>
      <c r="AM1532" s="841"/>
      <c r="AN1532" s="841"/>
      <c r="AO1532" s="841"/>
      <c r="AP1532" s="841"/>
      <c r="AQ1532" s="841"/>
      <c r="AR1532" s="841"/>
      <c r="AS1532" s="842"/>
    </row>
    <row r="1533" spans="34:45">
      <c r="AH1533" s="1226"/>
      <c r="AI1533" s="841"/>
      <c r="AJ1533" s="841"/>
      <c r="AK1533" s="841"/>
      <c r="AL1533" s="841"/>
      <c r="AM1533" s="841"/>
      <c r="AN1533" s="841"/>
      <c r="AO1533" s="841"/>
      <c r="AP1533" s="841"/>
      <c r="AQ1533" s="841"/>
      <c r="AR1533" s="841"/>
      <c r="AS1533" s="842"/>
    </row>
    <row r="1534" spans="34:45">
      <c r="AH1534" s="1226"/>
      <c r="AI1534" s="841"/>
      <c r="AJ1534" s="841"/>
      <c r="AK1534" s="841"/>
      <c r="AL1534" s="841"/>
      <c r="AM1534" s="841"/>
      <c r="AN1534" s="841"/>
      <c r="AO1534" s="841"/>
      <c r="AP1534" s="841"/>
      <c r="AQ1534" s="841"/>
      <c r="AR1534" s="841"/>
      <c r="AS1534" s="842"/>
    </row>
    <row r="1535" spans="34:45">
      <c r="AH1535" s="1226"/>
      <c r="AI1535" s="841"/>
      <c r="AJ1535" s="841"/>
      <c r="AK1535" s="841"/>
      <c r="AL1535" s="841"/>
      <c r="AM1535" s="841"/>
      <c r="AN1535" s="841"/>
      <c r="AO1535" s="841"/>
      <c r="AP1535" s="841"/>
      <c r="AQ1535" s="841"/>
      <c r="AR1535" s="841"/>
      <c r="AS1535" s="842"/>
    </row>
    <row r="1536" spans="34:45">
      <c r="AH1536" s="1226"/>
      <c r="AI1536" s="841"/>
      <c r="AJ1536" s="841"/>
      <c r="AK1536" s="841"/>
      <c r="AL1536" s="841"/>
      <c r="AM1536" s="841"/>
      <c r="AN1536" s="841"/>
      <c r="AO1536" s="841"/>
      <c r="AP1536" s="841"/>
      <c r="AQ1536" s="841"/>
      <c r="AR1536" s="841"/>
      <c r="AS1536" s="842"/>
    </row>
    <row r="1537" spans="34:45">
      <c r="AH1537" s="1226"/>
      <c r="AI1537" s="841"/>
      <c r="AJ1537" s="841"/>
      <c r="AK1537" s="841"/>
      <c r="AL1537" s="841"/>
      <c r="AM1537" s="841"/>
      <c r="AN1537" s="841"/>
      <c r="AO1537" s="841"/>
      <c r="AP1537" s="841"/>
      <c r="AQ1537" s="841"/>
      <c r="AR1537" s="841"/>
      <c r="AS1537" s="842"/>
    </row>
    <row r="1538" spans="34:45">
      <c r="AH1538" s="1226"/>
      <c r="AI1538" s="841"/>
      <c r="AJ1538" s="841"/>
      <c r="AK1538" s="841"/>
      <c r="AL1538" s="841"/>
      <c r="AM1538" s="841"/>
      <c r="AN1538" s="841"/>
      <c r="AO1538" s="841"/>
      <c r="AP1538" s="841"/>
      <c r="AQ1538" s="841"/>
      <c r="AR1538" s="841"/>
      <c r="AS1538" s="842"/>
    </row>
    <row r="1539" spans="34:45">
      <c r="AH1539" s="1226"/>
      <c r="AI1539" s="841"/>
      <c r="AJ1539" s="841"/>
      <c r="AK1539" s="841"/>
      <c r="AL1539" s="841"/>
      <c r="AM1539" s="841"/>
      <c r="AN1539" s="841"/>
      <c r="AO1539" s="841"/>
      <c r="AP1539" s="841"/>
      <c r="AQ1539" s="841"/>
      <c r="AR1539" s="841"/>
      <c r="AS1539" s="842"/>
    </row>
    <row r="1540" spans="34:45">
      <c r="AH1540" s="1226"/>
      <c r="AI1540" s="841"/>
      <c r="AJ1540" s="841"/>
      <c r="AK1540" s="841"/>
      <c r="AL1540" s="841"/>
      <c r="AM1540" s="841"/>
      <c r="AN1540" s="841"/>
      <c r="AO1540" s="841"/>
      <c r="AP1540" s="841"/>
      <c r="AQ1540" s="841"/>
      <c r="AR1540" s="841"/>
      <c r="AS1540" s="842"/>
    </row>
    <row r="1541" spans="34:45">
      <c r="AH1541" s="1226"/>
      <c r="AI1541" s="841"/>
      <c r="AJ1541" s="841"/>
      <c r="AK1541" s="841"/>
      <c r="AL1541" s="841"/>
      <c r="AM1541" s="841"/>
      <c r="AN1541" s="841"/>
      <c r="AO1541" s="841"/>
      <c r="AP1541" s="841"/>
      <c r="AQ1541" s="841"/>
      <c r="AR1541" s="841"/>
      <c r="AS1541" s="842"/>
    </row>
    <row r="1542" spans="34:45">
      <c r="AH1542" s="1226"/>
      <c r="AI1542" s="841"/>
      <c r="AJ1542" s="841"/>
      <c r="AK1542" s="841"/>
      <c r="AL1542" s="841"/>
      <c r="AM1542" s="841"/>
      <c r="AN1542" s="841"/>
      <c r="AO1542" s="841"/>
      <c r="AP1542" s="841"/>
      <c r="AQ1542" s="841"/>
      <c r="AR1542" s="841"/>
      <c r="AS1542" s="842"/>
    </row>
    <row r="1543" spans="34:45">
      <c r="AH1543" s="1226"/>
      <c r="AI1543" s="841"/>
      <c r="AJ1543" s="841"/>
      <c r="AK1543" s="841"/>
      <c r="AL1543" s="841"/>
      <c r="AM1543" s="841"/>
      <c r="AN1543" s="841"/>
      <c r="AO1543" s="841"/>
      <c r="AP1543" s="841"/>
      <c r="AQ1543" s="841"/>
      <c r="AR1543" s="841"/>
      <c r="AS1543" s="842"/>
    </row>
    <row r="1544" spans="34:45">
      <c r="AH1544" s="1226"/>
      <c r="AI1544" s="841"/>
      <c r="AJ1544" s="841"/>
      <c r="AK1544" s="841"/>
      <c r="AL1544" s="841"/>
      <c r="AM1544" s="841"/>
      <c r="AN1544" s="841"/>
      <c r="AO1544" s="841"/>
      <c r="AP1544" s="841"/>
      <c r="AQ1544" s="841"/>
      <c r="AR1544" s="841"/>
      <c r="AS1544" s="842"/>
    </row>
    <row r="1545" spans="34:45">
      <c r="AH1545" s="1226"/>
      <c r="AI1545" s="841"/>
      <c r="AJ1545" s="841"/>
      <c r="AK1545" s="841"/>
      <c r="AL1545" s="841"/>
      <c r="AM1545" s="841"/>
      <c r="AN1545" s="841"/>
      <c r="AO1545" s="841"/>
      <c r="AP1545" s="841"/>
      <c r="AQ1545" s="841"/>
      <c r="AR1545" s="841"/>
      <c r="AS1545" s="842"/>
    </row>
    <row r="1546" spans="34:45">
      <c r="AH1546" s="1226"/>
      <c r="AI1546" s="841"/>
      <c r="AJ1546" s="841"/>
      <c r="AK1546" s="841"/>
      <c r="AL1546" s="841"/>
      <c r="AM1546" s="841"/>
      <c r="AN1546" s="841"/>
      <c r="AO1546" s="841"/>
      <c r="AP1546" s="841"/>
      <c r="AQ1546" s="841"/>
      <c r="AR1546" s="841"/>
      <c r="AS1546" s="842"/>
    </row>
    <row r="1547" spans="34:45">
      <c r="AH1547" s="1226"/>
      <c r="AI1547" s="841"/>
      <c r="AJ1547" s="841"/>
      <c r="AK1547" s="841"/>
      <c r="AL1547" s="841"/>
      <c r="AM1547" s="841"/>
      <c r="AN1547" s="841"/>
      <c r="AO1547" s="841"/>
      <c r="AP1547" s="841"/>
      <c r="AQ1547" s="841"/>
      <c r="AR1547" s="841"/>
      <c r="AS1547" s="842"/>
    </row>
    <row r="1548" spans="34:45">
      <c r="AH1548" s="1226"/>
      <c r="AI1548" s="841"/>
      <c r="AJ1548" s="841"/>
      <c r="AK1548" s="841"/>
      <c r="AL1548" s="841"/>
      <c r="AM1548" s="841"/>
      <c r="AN1548" s="841"/>
      <c r="AO1548" s="841"/>
      <c r="AP1548" s="841"/>
      <c r="AQ1548" s="841"/>
      <c r="AR1548" s="841"/>
      <c r="AS1548" s="842"/>
    </row>
    <row r="1549" spans="34:45">
      <c r="AH1549" s="1226"/>
      <c r="AI1549" s="841"/>
      <c r="AJ1549" s="841"/>
      <c r="AK1549" s="841"/>
      <c r="AL1549" s="841"/>
      <c r="AM1549" s="841"/>
      <c r="AN1549" s="841"/>
      <c r="AO1549" s="841"/>
      <c r="AP1549" s="841"/>
      <c r="AQ1549" s="841"/>
      <c r="AR1549" s="841"/>
      <c r="AS1549" s="842"/>
    </row>
    <row r="1550" spans="34:45">
      <c r="AH1550" s="1226"/>
      <c r="AI1550" s="841"/>
      <c r="AJ1550" s="841"/>
      <c r="AK1550" s="841"/>
      <c r="AL1550" s="841"/>
      <c r="AM1550" s="841"/>
      <c r="AN1550" s="841"/>
      <c r="AO1550" s="841"/>
      <c r="AP1550" s="841"/>
      <c r="AQ1550" s="841"/>
      <c r="AR1550" s="841"/>
      <c r="AS1550" s="842"/>
    </row>
    <row r="1551" spans="34:45">
      <c r="AH1551" s="1226"/>
      <c r="AI1551" s="841"/>
      <c r="AJ1551" s="841"/>
      <c r="AK1551" s="841"/>
      <c r="AL1551" s="841"/>
      <c r="AM1551" s="841"/>
      <c r="AN1551" s="841"/>
      <c r="AO1551" s="841"/>
      <c r="AP1551" s="841"/>
      <c r="AQ1551" s="841"/>
      <c r="AR1551" s="841"/>
      <c r="AS1551" s="842"/>
    </row>
    <row r="1552" spans="34:45">
      <c r="AH1552" s="1226"/>
      <c r="AI1552" s="841"/>
      <c r="AJ1552" s="841"/>
      <c r="AK1552" s="841"/>
      <c r="AL1552" s="841"/>
      <c r="AM1552" s="841"/>
      <c r="AN1552" s="841"/>
      <c r="AO1552" s="841"/>
      <c r="AP1552" s="841"/>
      <c r="AQ1552" s="841"/>
      <c r="AR1552" s="841"/>
      <c r="AS1552" s="842"/>
    </row>
    <row r="1553" spans="34:45">
      <c r="AH1553" s="1226"/>
      <c r="AI1553" s="841"/>
      <c r="AJ1553" s="841"/>
      <c r="AK1553" s="841"/>
      <c r="AL1553" s="841"/>
      <c r="AM1553" s="841"/>
      <c r="AN1553" s="841"/>
      <c r="AO1553" s="841"/>
      <c r="AP1553" s="841"/>
      <c r="AQ1553" s="841"/>
      <c r="AR1553" s="841"/>
      <c r="AS1553" s="842"/>
    </row>
    <row r="1554" spans="34:45">
      <c r="AH1554" s="1226"/>
      <c r="AI1554" s="841"/>
      <c r="AJ1554" s="841"/>
      <c r="AK1554" s="841"/>
      <c r="AL1554" s="841"/>
      <c r="AM1554" s="841"/>
      <c r="AN1554" s="841"/>
      <c r="AO1554" s="841"/>
      <c r="AP1554" s="841"/>
      <c r="AQ1554" s="841"/>
      <c r="AR1554" s="841"/>
      <c r="AS1554" s="842"/>
    </row>
    <row r="1555" spans="34:45">
      <c r="AH1555" s="1226"/>
      <c r="AI1555" s="841"/>
      <c r="AJ1555" s="841"/>
      <c r="AK1555" s="841"/>
      <c r="AL1555" s="841"/>
      <c r="AM1555" s="841"/>
      <c r="AN1555" s="841"/>
      <c r="AO1555" s="841"/>
      <c r="AP1555" s="841"/>
      <c r="AQ1555" s="841"/>
      <c r="AR1555" s="841"/>
      <c r="AS1555" s="842"/>
    </row>
    <row r="1556" spans="34:45">
      <c r="AH1556" s="1226"/>
      <c r="AI1556" s="841"/>
      <c r="AJ1556" s="841"/>
      <c r="AK1556" s="841"/>
      <c r="AL1556" s="841"/>
      <c r="AM1556" s="841"/>
      <c r="AN1556" s="841"/>
      <c r="AO1556" s="841"/>
      <c r="AP1556" s="841"/>
      <c r="AQ1556" s="841"/>
      <c r="AR1556" s="841"/>
      <c r="AS1556" s="842"/>
    </row>
    <row r="1557" spans="34:45">
      <c r="AH1557" s="1226"/>
      <c r="AI1557" s="841"/>
      <c r="AJ1557" s="841"/>
      <c r="AK1557" s="841"/>
      <c r="AL1557" s="841"/>
      <c r="AM1557" s="841"/>
      <c r="AN1557" s="841"/>
      <c r="AO1557" s="841"/>
      <c r="AP1557" s="841"/>
      <c r="AQ1557" s="841"/>
      <c r="AR1557" s="841"/>
      <c r="AS1557" s="842"/>
    </row>
    <row r="1558" spans="34:45">
      <c r="AH1558" s="1226"/>
      <c r="AI1558" s="841"/>
      <c r="AJ1558" s="841"/>
      <c r="AK1558" s="841"/>
      <c r="AL1558" s="841"/>
      <c r="AM1558" s="841"/>
      <c r="AN1558" s="841"/>
      <c r="AO1558" s="841"/>
      <c r="AP1558" s="841"/>
      <c r="AQ1558" s="841"/>
      <c r="AR1558" s="841"/>
      <c r="AS1558" s="842"/>
    </row>
    <row r="1559" spans="34:45">
      <c r="AH1559" s="1226"/>
      <c r="AI1559" s="841"/>
      <c r="AJ1559" s="841"/>
      <c r="AK1559" s="841"/>
      <c r="AL1559" s="841"/>
      <c r="AM1559" s="841"/>
      <c r="AN1559" s="841"/>
      <c r="AO1559" s="841"/>
      <c r="AP1559" s="841"/>
      <c r="AQ1559" s="841"/>
      <c r="AR1559" s="841"/>
      <c r="AS1559" s="842"/>
    </row>
    <row r="1560" spans="34:45">
      <c r="AH1560" s="1226"/>
      <c r="AI1560" s="841"/>
      <c r="AJ1560" s="841"/>
      <c r="AK1560" s="841"/>
      <c r="AL1560" s="841"/>
      <c r="AM1560" s="841"/>
      <c r="AN1560" s="841"/>
      <c r="AO1560" s="841"/>
      <c r="AP1560" s="841"/>
      <c r="AQ1560" s="841"/>
      <c r="AR1560" s="841"/>
      <c r="AS1560" s="842"/>
    </row>
    <row r="1561" spans="34:45">
      <c r="AH1561" s="1226"/>
      <c r="AI1561" s="841"/>
      <c r="AJ1561" s="841"/>
      <c r="AK1561" s="841"/>
      <c r="AL1561" s="841"/>
      <c r="AM1561" s="841"/>
      <c r="AN1561" s="841"/>
      <c r="AO1561" s="841"/>
      <c r="AP1561" s="841"/>
      <c r="AQ1561" s="841"/>
      <c r="AR1561" s="841"/>
      <c r="AS1561" s="842"/>
    </row>
    <row r="1562" spans="34:45">
      <c r="AH1562" s="1226"/>
      <c r="AI1562" s="841"/>
      <c r="AJ1562" s="841"/>
      <c r="AK1562" s="841"/>
      <c r="AL1562" s="841"/>
      <c r="AM1562" s="841"/>
      <c r="AN1562" s="841"/>
      <c r="AO1562" s="841"/>
      <c r="AP1562" s="841"/>
      <c r="AQ1562" s="841"/>
      <c r="AR1562" s="841"/>
      <c r="AS1562" s="842"/>
    </row>
    <row r="1563" spans="34:45">
      <c r="AH1563" s="1226"/>
      <c r="AI1563" s="841"/>
      <c r="AJ1563" s="841"/>
      <c r="AK1563" s="841"/>
      <c r="AL1563" s="841"/>
      <c r="AM1563" s="841"/>
      <c r="AN1563" s="841"/>
      <c r="AO1563" s="841"/>
      <c r="AP1563" s="841"/>
      <c r="AQ1563" s="841"/>
      <c r="AR1563" s="841"/>
      <c r="AS1563" s="842"/>
    </row>
    <row r="1564" spans="34:45">
      <c r="AH1564" s="1226"/>
      <c r="AI1564" s="841"/>
      <c r="AJ1564" s="841"/>
      <c r="AK1564" s="841"/>
      <c r="AL1564" s="841"/>
      <c r="AM1564" s="841"/>
      <c r="AN1564" s="841"/>
      <c r="AO1564" s="841"/>
      <c r="AP1564" s="841"/>
      <c r="AQ1564" s="841"/>
      <c r="AR1564" s="841"/>
      <c r="AS1564" s="842"/>
    </row>
    <row r="1565" spans="34:45">
      <c r="AH1565" s="1226"/>
      <c r="AI1565" s="841"/>
      <c r="AJ1565" s="841"/>
      <c r="AK1565" s="841"/>
      <c r="AL1565" s="841"/>
      <c r="AM1565" s="841"/>
      <c r="AN1565" s="841"/>
      <c r="AO1565" s="841"/>
      <c r="AP1565" s="841"/>
      <c r="AQ1565" s="841"/>
      <c r="AR1565" s="841"/>
      <c r="AS1565" s="842"/>
    </row>
    <row r="1566" spans="34:45">
      <c r="AH1566" s="1226"/>
      <c r="AI1566" s="841"/>
      <c r="AJ1566" s="841"/>
      <c r="AK1566" s="841"/>
      <c r="AL1566" s="841"/>
      <c r="AM1566" s="841"/>
      <c r="AN1566" s="841"/>
      <c r="AO1566" s="841"/>
      <c r="AP1566" s="841"/>
      <c r="AQ1566" s="841"/>
      <c r="AR1566" s="841"/>
      <c r="AS1566" s="842"/>
    </row>
    <row r="1567" spans="34:45">
      <c r="AH1567" s="1226"/>
      <c r="AI1567" s="841"/>
      <c r="AJ1567" s="841"/>
      <c r="AK1567" s="841"/>
      <c r="AL1567" s="841"/>
      <c r="AM1567" s="841"/>
      <c r="AN1567" s="841"/>
      <c r="AO1567" s="841"/>
      <c r="AP1567" s="841"/>
      <c r="AQ1567" s="841"/>
      <c r="AR1567" s="841"/>
      <c r="AS1567" s="842"/>
    </row>
    <row r="1568" spans="34:45">
      <c r="AH1568" s="1226"/>
      <c r="AI1568" s="841"/>
      <c r="AJ1568" s="841"/>
      <c r="AK1568" s="841"/>
      <c r="AL1568" s="841"/>
      <c r="AM1568" s="841"/>
      <c r="AN1568" s="841"/>
      <c r="AO1568" s="841"/>
      <c r="AP1568" s="841"/>
      <c r="AQ1568" s="841"/>
      <c r="AR1568" s="841"/>
      <c r="AS1568" s="842"/>
    </row>
    <row r="1569" spans="34:45">
      <c r="AH1569" s="1226"/>
      <c r="AI1569" s="841"/>
      <c r="AJ1569" s="841"/>
      <c r="AK1569" s="841"/>
      <c r="AL1569" s="841"/>
      <c r="AM1569" s="841"/>
      <c r="AN1569" s="841"/>
      <c r="AO1569" s="841"/>
      <c r="AP1569" s="841"/>
      <c r="AQ1569" s="841"/>
      <c r="AR1569" s="841"/>
      <c r="AS1569" s="842"/>
    </row>
    <row r="1570" spans="34:45">
      <c r="AH1570" s="1226"/>
      <c r="AI1570" s="841"/>
      <c r="AJ1570" s="841"/>
      <c r="AK1570" s="841"/>
      <c r="AL1570" s="841"/>
      <c r="AM1570" s="841"/>
      <c r="AN1570" s="841"/>
      <c r="AO1570" s="841"/>
      <c r="AP1570" s="841"/>
      <c r="AQ1570" s="841"/>
      <c r="AR1570" s="841"/>
      <c r="AS1570" s="842"/>
    </row>
    <row r="1571" spans="34:45">
      <c r="AH1571" s="1226"/>
      <c r="AI1571" s="841"/>
      <c r="AJ1571" s="841"/>
      <c r="AK1571" s="841"/>
      <c r="AL1571" s="841"/>
      <c r="AM1571" s="841"/>
      <c r="AN1571" s="841"/>
      <c r="AO1571" s="841"/>
      <c r="AP1571" s="841"/>
      <c r="AQ1571" s="841"/>
      <c r="AR1571" s="841"/>
      <c r="AS1571" s="842"/>
    </row>
    <row r="1572" spans="34:45">
      <c r="AH1572" s="1226"/>
      <c r="AI1572" s="841"/>
      <c r="AJ1572" s="841"/>
      <c r="AK1572" s="841"/>
      <c r="AL1572" s="841"/>
      <c r="AM1572" s="841"/>
      <c r="AN1572" s="841"/>
      <c r="AO1572" s="841"/>
      <c r="AP1572" s="841"/>
      <c r="AQ1572" s="841"/>
      <c r="AR1572" s="841"/>
      <c r="AS1572" s="842"/>
    </row>
    <row r="1573" spans="34:45">
      <c r="AH1573" s="1226"/>
      <c r="AI1573" s="841"/>
      <c r="AJ1573" s="841"/>
      <c r="AK1573" s="841"/>
      <c r="AL1573" s="841"/>
      <c r="AM1573" s="841"/>
      <c r="AN1573" s="841"/>
      <c r="AO1573" s="841"/>
      <c r="AP1573" s="841"/>
      <c r="AQ1573" s="841"/>
      <c r="AR1573" s="841"/>
      <c r="AS1573" s="842"/>
    </row>
    <row r="1574" spans="34:45">
      <c r="AH1574" s="1226"/>
      <c r="AI1574" s="841"/>
      <c r="AJ1574" s="841"/>
      <c r="AK1574" s="841"/>
      <c r="AL1574" s="841"/>
      <c r="AM1574" s="841"/>
      <c r="AN1574" s="841"/>
      <c r="AO1574" s="841"/>
      <c r="AP1574" s="841"/>
      <c r="AQ1574" s="841"/>
      <c r="AR1574" s="841"/>
      <c r="AS1574" s="842"/>
    </row>
    <row r="1575" spans="34:45">
      <c r="AH1575" s="1226"/>
      <c r="AI1575" s="841"/>
      <c r="AJ1575" s="841"/>
      <c r="AK1575" s="841"/>
      <c r="AL1575" s="841"/>
      <c r="AM1575" s="841"/>
      <c r="AN1575" s="841"/>
      <c r="AO1575" s="841"/>
      <c r="AP1575" s="841"/>
      <c r="AQ1575" s="841"/>
      <c r="AR1575" s="841"/>
      <c r="AS1575" s="842"/>
    </row>
    <row r="1576" spans="34:45">
      <c r="AH1576" s="1226"/>
      <c r="AI1576" s="841"/>
      <c r="AJ1576" s="841"/>
      <c r="AK1576" s="841"/>
      <c r="AL1576" s="841"/>
      <c r="AM1576" s="841"/>
      <c r="AN1576" s="841"/>
      <c r="AO1576" s="841"/>
      <c r="AP1576" s="841"/>
      <c r="AQ1576" s="841"/>
      <c r="AR1576" s="841"/>
      <c r="AS1576" s="842"/>
    </row>
    <row r="1577" spans="34:45">
      <c r="AH1577" s="1226"/>
      <c r="AI1577" s="841"/>
      <c r="AJ1577" s="841"/>
      <c r="AK1577" s="841"/>
      <c r="AL1577" s="841"/>
      <c r="AM1577" s="841"/>
      <c r="AN1577" s="841"/>
      <c r="AO1577" s="841"/>
      <c r="AP1577" s="841"/>
      <c r="AQ1577" s="841"/>
      <c r="AR1577" s="841"/>
      <c r="AS1577" s="842"/>
    </row>
    <row r="1578" spans="34:45">
      <c r="AH1578" s="1226"/>
      <c r="AI1578" s="841"/>
      <c r="AJ1578" s="841"/>
      <c r="AK1578" s="841"/>
      <c r="AL1578" s="841"/>
      <c r="AM1578" s="841"/>
      <c r="AN1578" s="841"/>
      <c r="AO1578" s="841"/>
      <c r="AP1578" s="841"/>
      <c r="AQ1578" s="841"/>
      <c r="AR1578" s="841"/>
      <c r="AS1578" s="842"/>
    </row>
    <row r="1579" spans="34:45">
      <c r="AH1579" s="1226"/>
      <c r="AI1579" s="841"/>
      <c r="AJ1579" s="841"/>
      <c r="AK1579" s="841"/>
      <c r="AL1579" s="841"/>
      <c r="AM1579" s="841"/>
      <c r="AN1579" s="841"/>
      <c r="AO1579" s="841"/>
      <c r="AP1579" s="841"/>
      <c r="AQ1579" s="841"/>
      <c r="AR1579" s="841"/>
      <c r="AS1579" s="842"/>
    </row>
    <row r="1580" spans="34:45">
      <c r="AH1580" s="1226"/>
      <c r="AI1580" s="841"/>
      <c r="AJ1580" s="841"/>
      <c r="AK1580" s="841"/>
      <c r="AL1580" s="841"/>
      <c r="AM1580" s="841"/>
      <c r="AN1580" s="841"/>
      <c r="AO1580" s="841"/>
      <c r="AP1580" s="841"/>
      <c r="AQ1580" s="841"/>
      <c r="AR1580" s="841"/>
      <c r="AS1580" s="842"/>
    </row>
    <row r="1581" spans="34:45">
      <c r="AH1581" s="1226"/>
      <c r="AI1581" s="841"/>
      <c r="AJ1581" s="841"/>
      <c r="AK1581" s="841"/>
      <c r="AL1581" s="841"/>
      <c r="AM1581" s="841"/>
      <c r="AN1581" s="841"/>
      <c r="AO1581" s="841"/>
      <c r="AP1581" s="841"/>
      <c r="AQ1581" s="841"/>
      <c r="AR1581" s="841"/>
      <c r="AS1581" s="842"/>
    </row>
    <row r="1582" spans="34:45">
      <c r="AH1582" s="1226"/>
      <c r="AI1582" s="841"/>
      <c r="AJ1582" s="841"/>
      <c r="AK1582" s="841"/>
      <c r="AL1582" s="841"/>
      <c r="AM1582" s="841"/>
      <c r="AN1582" s="841"/>
      <c r="AO1582" s="841"/>
      <c r="AP1582" s="841"/>
      <c r="AQ1582" s="841"/>
      <c r="AR1582" s="841"/>
      <c r="AS1582" s="842"/>
    </row>
    <row r="1583" spans="34:45">
      <c r="AH1583" s="1226"/>
      <c r="AI1583" s="841"/>
      <c r="AJ1583" s="841"/>
      <c r="AK1583" s="841"/>
      <c r="AL1583" s="841"/>
      <c r="AM1583" s="841"/>
      <c r="AN1583" s="841"/>
      <c r="AO1583" s="841"/>
      <c r="AP1583" s="841"/>
      <c r="AQ1583" s="841"/>
      <c r="AR1583" s="841"/>
      <c r="AS1583" s="842"/>
    </row>
    <row r="1584" spans="34:45">
      <c r="AH1584" s="1226"/>
      <c r="AI1584" s="841"/>
      <c r="AJ1584" s="841"/>
      <c r="AK1584" s="841"/>
      <c r="AL1584" s="841"/>
      <c r="AM1584" s="841"/>
      <c r="AN1584" s="841"/>
      <c r="AO1584" s="841"/>
      <c r="AP1584" s="841"/>
      <c r="AQ1584" s="841"/>
      <c r="AR1584" s="841"/>
      <c r="AS1584" s="842"/>
    </row>
    <row r="1585" spans="34:45">
      <c r="AH1585" s="1226"/>
      <c r="AI1585" s="841"/>
      <c r="AJ1585" s="841"/>
      <c r="AK1585" s="841"/>
      <c r="AL1585" s="841"/>
      <c r="AM1585" s="841"/>
      <c r="AN1585" s="841"/>
      <c r="AO1585" s="841"/>
      <c r="AP1585" s="841"/>
      <c r="AQ1585" s="841"/>
      <c r="AR1585" s="841"/>
      <c r="AS1585" s="842"/>
    </row>
    <row r="1586" spans="34:45">
      <c r="AH1586" s="1226"/>
      <c r="AI1586" s="841"/>
      <c r="AJ1586" s="841"/>
      <c r="AK1586" s="841"/>
      <c r="AL1586" s="841"/>
      <c r="AM1586" s="841"/>
      <c r="AN1586" s="841"/>
      <c r="AO1586" s="841"/>
      <c r="AP1586" s="841"/>
      <c r="AQ1586" s="841"/>
      <c r="AR1586" s="841"/>
      <c r="AS1586" s="842"/>
    </row>
    <row r="1587" spans="34:45">
      <c r="AH1587" s="1226"/>
      <c r="AI1587" s="841"/>
      <c r="AJ1587" s="841"/>
      <c r="AK1587" s="841"/>
      <c r="AL1587" s="841"/>
      <c r="AM1587" s="841"/>
      <c r="AN1587" s="841"/>
      <c r="AO1587" s="841"/>
      <c r="AP1587" s="841"/>
      <c r="AQ1587" s="841"/>
      <c r="AR1587" s="841"/>
      <c r="AS1587" s="842"/>
    </row>
    <row r="1588" spans="34:45">
      <c r="AH1588" s="1226"/>
      <c r="AI1588" s="841"/>
      <c r="AJ1588" s="841"/>
      <c r="AK1588" s="841"/>
      <c r="AL1588" s="841"/>
      <c r="AM1588" s="841"/>
      <c r="AN1588" s="841"/>
      <c r="AO1588" s="841"/>
      <c r="AP1588" s="841"/>
      <c r="AQ1588" s="841"/>
      <c r="AR1588" s="841"/>
      <c r="AS1588" s="842"/>
    </row>
    <row r="1589" spans="34:45">
      <c r="AH1589" s="1226"/>
      <c r="AI1589" s="841"/>
      <c r="AJ1589" s="841"/>
      <c r="AK1589" s="841"/>
      <c r="AL1589" s="841"/>
      <c r="AM1589" s="841"/>
      <c r="AN1589" s="841"/>
      <c r="AO1589" s="841"/>
      <c r="AP1589" s="841"/>
      <c r="AQ1589" s="841"/>
      <c r="AR1589" s="841"/>
      <c r="AS1589" s="842"/>
    </row>
    <row r="1590" spans="34:45">
      <c r="AH1590" s="1226"/>
      <c r="AI1590" s="841"/>
      <c r="AJ1590" s="841"/>
      <c r="AK1590" s="841"/>
      <c r="AL1590" s="841"/>
      <c r="AM1590" s="841"/>
      <c r="AN1590" s="841"/>
      <c r="AO1590" s="841"/>
      <c r="AP1590" s="841"/>
      <c r="AQ1590" s="841"/>
      <c r="AR1590" s="841"/>
      <c r="AS1590" s="842"/>
    </row>
    <row r="1591" spans="34:45">
      <c r="AH1591" s="1226"/>
      <c r="AI1591" s="841"/>
      <c r="AJ1591" s="841"/>
      <c r="AK1591" s="841"/>
      <c r="AL1591" s="841"/>
      <c r="AM1591" s="841"/>
      <c r="AN1591" s="841"/>
      <c r="AO1591" s="841"/>
      <c r="AP1591" s="841"/>
      <c r="AQ1591" s="841"/>
      <c r="AR1591" s="841"/>
      <c r="AS1591" s="842"/>
    </row>
    <row r="1592" spans="34:45">
      <c r="AH1592" s="1226"/>
      <c r="AI1592" s="841"/>
      <c r="AJ1592" s="841"/>
      <c r="AK1592" s="841"/>
      <c r="AL1592" s="841"/>
      <c r="AM1592" s="841"/>
      <c r="AN1592" s="841"/>
      <c r="AO1592" s="841"/>
      <c r="AP1592" s="841"/>
      <c r="AQ1592" s="841"/>
      <c r="AR1592" s="841"/>
      <c r="AS1592" s="842"/>
    </row>
    <row r="1593" spans="34:45">
      <c r="AH1593" s="1226"/>
      <c r="AI1593" s="841"/>
      <c r="AJ1593" s="841"/>
      <c r="AK1593" s="841"/>
      <c r="AL1593" s="841"/>
      <c r="AM1593" s="841"/>
      <c r="AN1593" s="841"/>
      <c r="AO1593" s="841"/>
      <c r="AP1593" s="841"/>
      <c r="AQ1593" s="841"/>
      <c r="AR1593" s="841"/>
      <c r="AS1593" s="842"/>
    </row>
    <row r="1594" spans="34:45">
      <c r="AH1594" s="1226"/>
      <c r="AI1594" s="841"/>
      <c r="AJ1594" s="841"/>
      <c r="AK1594" s="841"/>
      <c r="AL1594" s="841"/>
      <c r="AM1594" s="841"/>
      <c r="AN1594" s="841"/>
      <c r="AO1594" s="841"/>
      <c r="AP1594" s="841"/>
      <c r="AQ1594" s="841"/>
      <c r="AR1594" s="841"/>
      <c r="AS1594" s="842"/>
    </row>
    <row r="1595" spans="34:45">
      <c r="AH1595" s="1226"/>
      <c r="AI1595" s="841"/>
      <c r="AJ1595" s="841"/>
      <c r="AK1595" s="841"/>
      <c r="AL1595" s="841"/>
      <c r="AM1595" s="841"/>
      <c r="AN1595" s="841"/>
      <c r="AO1595" s="841"/>
      <c r="AP1595" s="841"/>
      <c r="AQ1595" s="841"/>
      <c r="AR1595" s="841"/>
      <c r="AS1595" s="842"/>
    </row>
    <row r="1596" spans="34:45">
      <c r="AH1596" s="1226"/>
      <c r="AI1596" s="841"/>
      <c r="AJ1596" s="841"/>
      <c r="AK1596" s="841"/>
      <c r="AL1596" s="841"/>
      <c r="AM1596" s="841"/>
      <c r="AN1596" s="841"/>
      <c r="AO1596" s="841"/>
      <c r="AP1596" s="841"/>
      <c r="AQ1596" s="841"/>
      <c r="AR1596" s="841"/>
      <c r="AS1596" s="842"/>
    </row>
    <row r="1597" spans="34:45">
      <c r="AH1597" s="1226"/>
      <c r="AI1597" s="841"/>
      <c r="AJ1597" s="841"/>
      <c r="AK1597" s="841"/>
      <c r="AL1597" s="841"/>
      <c r="AM1597" s="841"/>
      <c r="AN1597" s="841"/>
      <c r="AO1597" s="841"/>
      <c r="AP1597" s="841"/>
      <c r="AQ1597" s="841"/>
      <c r="AR1597" s="841"/>
      <c r="AS1597" s="842"/>
    </row>
    <row r="1598" spans="34:45">
      <c r="AH1598" s="1226"/>
      <c r="AI1598" s="841"/>
      <c r="AJ1598" s="841"/>
      <c r="AK1598" s="841"/>
      <c r="AL1598" s="841"/>
      <c r="AM1598" s="841"/>
      <c r="AN1598" s="841"/>
      <c r="AO1598" s="841"/>
      <c r="AP1598" s="841"/>
      <c r="AQ1598" s="841"/>
      <c r="AR1598" s="841"/>
      <c r="AS1598" s="842"/>
    </row>
    <row r="1599" spans="34:45">
      <c r="AH1599" s="1226"/>
      <c r="AI1599" s="841"/>
      <c r="AJ1599" s="841"/>
      <c r="AK1599" s="841"/>
      <c r="AL1599" s="841"/>
      <c r="AM1599" s="841"/>
      <c r="AN1599" s="841"/>
      <c r="AO1599" s="841"/>
      <c r="AP1599" s="841"/>
      <c r="AQ1599" s="841"/>
      <c r="AR1599" s="841"/>
      <c r="AS1599" s="842"/>
    </row>
    <row r="1600" spans="34:45">
      <c r="AH1600" s="1226"/>
      <c r="AI1600" s="841"/>
      <c r="AJ1600" s="841"/>
      <c r="AK1600" s="841"/>
      <c r="AL1600" s="841"/>
      <c r="AM1600" s="841"/>
      <c r="AN1600" s="841"/>
      <c r="AO1600" s="841"/>
      <c r="AP1600" s="841"/>
      <c r="AQ1600" s="841"/>
      <c r="AR1600" s="841"/>
      <c r="AS1600" s="842"/>
    </row>
    <row r="1601" spans="34:45">
      <c r="AH1601" s="1226"/>
      <c r="AI1601" s="841"/>
      <c r="AJ1601" s="841"/>
      <c r="AK1601" s="841"/>
      <c r="AL1601" s="841"/>
      <c r="AM1601" s="841"/>
      <c r="AN1601" s="841"/>
      <c r="AO1601" s="841"/>
      <c r="AP1601" s="841"/>
      <c r="AQ1601" s="841"/>
      <c r="AR1601" s="841"/>
      <c r="AS1601" s="842"/>
    </row>
    <row r="1602" spans="34:45">
      <c r="AH1602" s="1226"/>
      <c r="AI1602" s="841"/>
      <c r="AJ1602" s="841"/>
      <c r="AK1602" s="841"/>
      <c r="AL1602" s="841"/>
      <c r="AM1602" s="841"/>
      <c r="AN1602" s="841"/>
      <c r="AO1602" s="841"/>
      <c r="AP1602" s="841"/>
      <c r="AQ1602" s="841"/>
      <c r="AR1602" s="841"/>
      <c r="AS1602" s="842"/>
    </row>
    <row r="1603" spans="34:45">
      <c r="AH1603" s="1226"/>
      <c r="AI1603" s="841"/>
      <c r="AJ1603" s="841"/>
      <c r="AK1603" s="841"/>
      <c r="AL1603" s="841"/>
      <c r="AM1603" s="841"/>
      <c r="AN1603" s="841"/>
      <c r="AO1603" s="841"/>
      <c r="AP1603" s="841"/>
      <c r="AQ1603" s="841"/>
      <c r="AR1603" s="841"/>
      <c r="AS1603" s="842"/>
    </row>
    <row r="1604" spans="34:45">
      <c r="AH1604" s="1226"/>
      <c r="AI1604" s="841"/>
      <c r="AJ1604" s="841"/>
      <c r="AK1604" s="841"/>
      <c r="AL1604" s="841"/>
      <c r="AM1604" s="841"/>
      <c r="AN1604" s="841"/>
      <c r="AO1604" s="841"/>
      <c r="AP1604" s="841"/>
      <c r="AQ1604" s="841"/>
      <c r="AR1604" s="841"/>
      <c r="AS1604" s="842"/>
    </row>
    <row r="1605" spans="34:45">
      <c r="AH1605" s="1226"/>
      <c r="AI1605" s="841"/>
      <c r="AJ1605" s="841"/>
      <c r="AK1605" s="841"/>
      <c r="AL1605" s="841"/>
      <c r="AM1605" s="841"/>
      <c r="AN1605" s="841"/>
      <c r="AO1605" s="841"/>
      <c r="AP1605" s="841"/>
      <c r="AQ1605" s="841"/>
      <c r="AR1605" s="841"/>
      <c r="AS1605" s="842"/>
    </row>
    <row r="1606" spans="34:45">
      <c r="AH1606" s="1226"/>
      <c r="AI1606" s="841"/>
      <c r="AJ1606" s="841"/>
      <c r="AK1606" s="841"/>
      <c r="AL1606" s="841"/>
      <c r="AM1606" s="841"/>
      <c r="AN1606" s="841"/>
      <c r="AO1606" s="841"/>
      <c r="AP1606" s="841"/>
      <c r="AQ1606" s="841"/>
      <c r="AR1606" s="841"/>
      <c r="AS1606" s="842"/>
    </row>
    <row r="1607" spans="34:45">
      <c r="AH1607" s="1226"/>
      <c r="AI1607" s="841"/>
      <c r="AJ1607" s="841"/>
      <c r="AK1607" s="841"/>
      <c r="AL1607" s="841"/>
      <c r="AM1607" s="841"/>
      <c r="AN1607" s="841"/>
      <c r="AO1607" s="841"/>
      <c r="AP1607" s="841"/>
      <c r="AQ1607" s="841"/>
      <c r="AR1607" s="841"/>
      <c r="AS1607" s="842"/>
    </row>
    <row r="1608" spans="34:45">
      <c r="AH1608" s="1226"/>
      <c r="AI1608" s="841"/>
      <c r="AJ1608" s="841"/>
      <c r="AK1608" s="841"/>
      <c r="AL1608" s="841"/>
      <c r="AM1608" s="841"/>
      <c r="AN1608" s="841"/>
      <c r="AO1608" s="841"/>
      <c r="AP1608" s="841"/>
      <c r="AQ1608" s="841"/>
      <c r="AR1608" s="841"/>
      <c r="AS1608" s="842"/>
    </row>
    <row r="1609" spans="34:45">
      <c r="AH1609" s="1226"/>
      <c r="AI1609" s="841"/>
      <c r="AJ1609" s="841"/>
      <c r="AK1609" s="841"/>
      <c r="AL1609" s="841"/>
      <c r="AM1609" s="841"/>
      <c r="AN1609" s="841"/>
      <c r="AO1609" s="841"/>
      <c r="AP1609" s="841"/>
      <c r="AQ1609" s="841"/>
      <c r="AR1609" s="841"/>
      <c r="AS1609" s="842"/>
    </row>
    <row r="1610" spans="34:45">
      <c r="AH1610" s="1226"/>
      <c r="AI1610" s="841"/>
      <c r="AJ1610" s="841"/>
      <c r="AK1610" s="841"/>
      <c r="AL1610" s="841"/>
      <c r="AM1610" s="841"/>
      <c r="AN1610" s="841"/>
      <c r="AO1610" s="841"/>
      <c r="AP1610" s="841"/>
      <c r="AQ1610" s="841"/>
      <c r="AR1610" s="841"/>
      <c r="AS1610" s="842"/>
    </row>
    <row r="1611" spans="34:45">
      <c r="AH1611" s="1226"/>
      <c r="AI1611" s="841"/>
      <c r="AJ1611" s="841"/>
      <c r="AK1611" s="841"/>
      <c r="AL1611" s="841"/>
      <c r="AM1611" s="841"/>
      <c r="AN1611" s="841"/>
      <c r="AO1611" s="841"/>
      <c r="AP1611" s="841"/>
      <c r="AQ1611" s="841"/>
      <c r="AR1611" s="841"/>
      <c r="AS1611" s="842"/>
    </row>
    <row r="1612" spans="34:45">
      <c r="AH1612" s="1226"/>
      <c r="AI1612" s="841"/>
      <c r="AJ1612" s="841"/>
      <c r="AK1612" s="841"/>
      <c r="AL1612" s="841"/>
      <c r="AM1612" s="841"/>
      <c r="AN1612" s="841"/>
      <c r="AO1612" s="841"/>
      <c r="AP1612" s="841"/>
      <c r="AQ1612" s="841"/>
      <c r="AR1612" s="841"/>
      <c r="AS1612" s="842"/>
    </row>
    <row r="1613" spans="34:45">
      <c r="AH1613" s="1226"/>
      <c r="AI1613" s="841"/>
      <c r="AJ1613" s="841"/>
      <c r="AK1613" s="841"/>
      <c r="AL1613" s="841"/>
      <c r="AM1613" s="841"/>
      <c r="AN1613" s="841"/>
      <c r="AO1613" s="841"/>
      <c r="AP1613" s="841"/>
      <c r="AQ1613" s="841"/>
      <c r="AR1613" s="841"/>
      <c r="AS1613" s="842"/>
    </row>
    <row r="1614" spans="34:45">
      <c r="AH1614" s="1226"/>
      <c r="AI1614" s="841"/>
      <c r="AJ1614" s="841"/>
      <c r="AK1614" s="841"/>
      <c r="AL1614" s="841"/>
      <c r="AM1614" s="841"/>
      <c r="AN1614" s="841"/>
      <c r="AO1614" s="841"/>
      <c r="AP1614" s="841"/>
      <c r="AQ1614" s="841"/>
      <c r="AR1614" s="841"/>
      <c r="AS1614" s="842"/>
    </row>
    <row r="1615" spans="34:45">
      <c r="AH1615" s="1226"/>
      <c r="AI1615" s="841"/>
      <c r="AJ1615" s="841"/>
      <c r="AK1615" s="841"/>
      <c r="AL1615" s="841"/>
      <c r="AM1615" s="841"/>
      <c r="AN1615" s="841"/>
      <c r="AO1615" s="841"/>
      <c r="AP1615" s="841"/>
      <c r="AQ1615" s="841"/>
      <c r="AR1615" s="841"/>
      <c r="AS1615" s="842"/>
    </row>
    <row r="1616" spans="34:45">
      <c r="AH1616" s="1226"/>
      <c r="AI1616" s="841"/>
      <c r="AJ1616" s="841"/>
      <c r="AK1616" s="841"/>
      <c r="AL1616" s="841"/>
      <c r="AM1616" s="841"/>
      <c r="AN1616" s="841"/>
      <c r="AO1616" s="841"/>
      <c r="AP1616" s="841"/>
      <c r="AQ1616" s="841"/>
      <c r="AR1616" s="841"/>
      <c r="AS1616" s="842"/>
    </row>
    <row r="1617" spans="34:45">
      <c r="AH1617" s="1226"/>
      <c r="AI1617" s="841"/>
      <c r="AJ1617" s="841"/>
      <c r="AK1617" s="841"/>
      <c r="AL1617" s="841"/>
      <c r="AM1617" s="841"/>
      <c r="AN1617" s="841"/>
      <c r="AO1617" s="841"/>
      <c r="AP1617" s="841"/>
      <c r="AQ1617" s="841"/>
      <c r="AR1617" s="841"/>
      <c r="AS1617" s="842"/>
    </row>
    <row r="1618" spans="34:45">
      <c r="AH1618" s="1226"/>
      <c r="AI1618" s="841"/>
      <c r="AJ1618" s="841"/>
      <c r="AK1618" s="841"/>
      <c r="AL1618" s="841"/>
      <c r="AM1618" s="841"/>
      <c r="AN1618" s="841"/>
      <c r="AO1618" s="841"/>
      <c r="AP1618" s="841"/>
      <c r="AQ1618" s="841"/>
      <c r="AR1618" s="841"/>
      <c r="AS1618" s="842"/>
    </row>
    <row r="1619" spans="34:45">
      <c r="AH1619" s="1226"/>
      <c r="AI1619" s="841"/>
      <c r="AJ1619" s="841"/>
      <c r="AK1619" s="841"/>
      <c r="AL1619" s="841"/>
      <c r="AM1619" s="841"/>
      <c r="AN1619" s="841"/>
      <c r="AO1619" s="841"/>
      <c r="AP1619" s="841"/>
      <c r="AQ1619" s="841"/>
      <c r="AR1619" s="841"/>
      <c r="AS1619" s="842"/>
    </row>
    <row r="1620" spans="34:45">
      <c r="AH1620" s="1226"/>
      <c r="AI1620" s="841"/>
      <c r="AJ1620" s="841"/>
      <c r="AK1620" s="841"/>
      <c r="AL1620" s="841"/>
      <c r="AM1620" s="841"/>
      <c r="AN1620" s="841"/>
      <c r="AO1620" s="841"/>
      <c r="AP1620" s="841"/>
      <c r="AQ1620" s="841"/>
      <c r="AR1620" s="841"/>
      <c r="AS1620" s="842"/>
    </row>
    <row r="1621" spans="34:45">
      <c r="AH1621" s="1226"/>
      <c r="AI1621" s="841"/>
      <c r="AJ1621" s="841"/>
      <c r="AK1621" s="841"/>
      <c r="AL1621" s="841"/>
      <c r="AM1621" s="841"/>
      <c r="AN1621" s="841"/>
      <c r="AO1621" s="841"/>
      <c r="AP1621" s="841"/>
      <c r="AQ1621" s="841"/>
      <c r="AR1621" s="841"/>
      <c r="AS1621" s="842"/>
    </row>
    <row r="1622" spans="34:45">
      <c r="AH1622" s="1226"/>
      <c r="AI1622" s="841"/>
      <c r="AJ1622" s="841"/>
      <c r="AK1622" s="841"/>
      <c r="AL1622" s="841"/>
      <c r="AM1622" s="841"/>
      <c r="AN1622" s="841"/>
      <c r="AO1622" s="841"/>
      <c r="AP1622" s="841"/>
      <c r="AQ1622" s="841"/>
      <c r="AR1622" s="841"/>
      <c r="AS1622" s="842"/>
    </row>
    <row r="1623" spans="34:45">
      <c r="AH1623" s="1226"/>
      <c r="AI1623" s="841"/>
      <c r="AJ1623" s="841"/>
      <c r="AK1623" s="841"/>
      <c r="AL1623" s="841"/>
      <c r="AM1623" s="841"/>
      <c r="AN1623" s="841"/>
      <c r="AO1623" s="841"/>
      <c r="AP1623" s="841"/>
      <c r="AQ1623" s="841"/>
      <c r="AR1623" s="841"/>
      <c r="AS1623" s="842"/>
    </row>
    <row r="1624" spans="34:45">
      <c r="AH1624" s="1226"/>
      <c r="AI1624" s="841"/>
      <c r="AJ1624" s="841"/>
      <c r="AK1624" s="841"/>
      <c r="AL1624" s="841"/>
      <c r="AM1624" s="841"/>
      <c r="AN1624" s="841"/>
      <c r="AO1624" s="841"/>
      <c r="AP1624" s="841"/>
      <c r="AQ1624" s="841"/>
      <c r="AR1624" s="841"/>
      <c r="AS1624" s="842"/>
    </row>
    <row r="1625" spans="34:45">
      <c r="AH1625" s="1226"/>
      <c r="AI1625" s="841"/>
      <c r="AJ1625" s="841"/>
      <c r="AK1625" s="841"/>
      <c r="AL1625" s="841"/>
      <c r="AM1625" s="841"/>
      <c r="AN1625" s="841"/>
      <c r="AO1625" s="841"/>
      <c r="AP1625" s="841"/>
      <c r="AQ1625" s="841"/>
      <c r="AR1625" s="841"/>
      <c r="AS1625" s="842"/>
    </row>
    <row r="1626" spans="34:45">
      <c r="AH1626" s="1226"/>
      <c r="AI1626" s="841"/>
      <c r="AJ1626" s="841"/>
      <c r="AK1626" s="841"/>
      <c r="AL1626" s="841"/>
      <c r="AM1626" s="841"/>
      <c r="AN1626" s="841"/>
      <c r="AO1626" s="841"/>
      <c r="AP1626" s="841"/>
      <c r="AQ1626" s="841"/>
      <c r="AR1626" s="841"/>
      <c r="AS1626" s="842"/>
    </row>
    <row r="1627" spans="34:45">
      <c r="AH1627" s="1226"/>
      <c r="AI1627" s="841"/>
      <c r="AJ1627" s="841"/>
      <c r="AK1627" s="841"/>
      <c r="AL1627" s="841"/>
      <c r="AM1627" s="841"/>
      <c r="AN1627" s="841"/>
      <c r="AO1627" s="841"/>
      <c r="AP1627" s="841"/>
      <c r="AQ1627" s="841"/>
      <c r="AR1627" s="841"/>
      <c r="AS1627" s="842"/>
    </row>
    <row r="1628" spans="34:45">
      <c r="AH1628" s="1226"/>
      <c r="AI1628" s="841"/>
      <c r="AJ1628" s="841"/>
      <c r="AK1628" s="841"/>
      <c r="AL1628" s="841"/>
      <c r="AM1628" s="841"/>
      <c r="AN1628" s="841"/>
      <c r="AO1628" s="841"/>
      <c r="AP1628" s="841"/>
      <c r="AQ1628" s="841"/>
      <c r="AR1628" s="841"/>
      <c r="AS1628" s="842"/>
    </row>
    <row r="1629" spans="34:45">
      <c r="AH1629" s="1226"/>
      <c r="AI1629" s="841"/>
      <c r="AJ1629" s="841"/>
      <c r="AK1629" s="841"/>
      <c r="AL1629" s="841"/>
      <c r="AM1629" s="841"/>
      <c r="AN1629" s="841"/>
      <c r="AO1629" s="841"/>
      <c r="AP1629" s="841"/>
      <c r="AQ1629" s="841"/>
      <c r="AR1629" s="841"/>
      <c r="AS1629" s="842"/>
    </row>
    <row r="1630" spans="34:45">
      <c r="AH1630" s="1226"/>
      <c r="AI1630" s="841"/>
      <c r="AJ1630" s="841"/>
      <c r="AK1630" s="841"/>
      <c r="AL1630" s="841"/>
      <c r="AM1630" s="841"/>
      <c r="AN1630" s="841"/>
      <c r="AO1630" s="841"/>
      <c r="AP1630" s="841"/>
      <c r="AQ1630" s="841"/>
      <c r="AR1630" s="841"/>
      <c r="AS1630" s="842"/>
    </row>
    <row r="1631" spans="34:45">
      <c r="AH1631" s="1226"/>
      <c r="AI1631" s="841"/>
      <c r="AJ1631" s="841"/>
      <c r="AK1631" s="841"/>
      <c r="AL1631" s="841"/>
      <c r="AM1631" s="841"/>
      <c r="AN1631" s="841"/>
      <c r="AO1631" s="841"/>
      <c r="AP1631" s="841"/>
      <c r="AQ1631" s="841"/>
      <c r="AR1631" s="841"/>
      <c r="AS1631" s="842"/>
    </row>
    <row r="1632" spans="34:45">
      <c r="AH1632" s="1226"/>
      <c r="AI1632" s="841"/>
      <c r="AJ1632" s="841"/>
      <c r="AK1632" s="841"/>
      <c r="AL1632" s="841"/>
      <c r="AM1632" s="841"/>
      <c r="AN1632" s="841"/>
      <c r="AO1632" s="841"/>
      <c r="AP1632" s="841"/>
      <c r="AQ1632" s="841"/>
      <c r="AR1632" s="841"/>
      <c r="AS1632" s="842"/>
    </row>
    <row r="1633" spans="34:45">
      <c r="AH1633" s="1226"/>
      <c r="AI1633" s="841"/>
      <c r="AJ1633" s="841"/>
      <c r="AK1633" s="841"/>
      <c r="AL1633" s="841"/>
      <c r="AM1633" s="841"/>
      <c r="AN1633" s="841"/>
      <c r="AO1633" s="841"/>
      <c r="AP1633" s="841"/>
      <c r="AQ1633" s="841"/>
      <c r="AR1633" s="841"/>
      <c r="AS1633" s="842"/>
    </row>
    <row r="1634" spans="34:45">
      <c r="AH1634" s="1226"/>
      <c r="AI1634" s="841"/>
      <c r="AJ1634" s="841"/>
      <c r="AK1634" s="841"/>
      <c r="AL1634" s="841"/>
      <c r="AM1634" s="841"/>
      <c r="AN1634" s="841"/>
      <c r="AO1634" s="841"/>
      <c r="AP1634" s="841"/>
      <c r="AQ1634" s="841"/>
      <c r="AR1634" s="841"/>
      <c r="AS1634" s="842"/>
    </row>
    <row r="1635" spans="34:45">
      <c r="AH1635" s="1226"/>
      <c r="AI1635" s="841"/>
      <c r="AJ1635" s="841"/>
      <c r="AK1635" s="841"/>
      <c r="AL1635" s="841"/>
      <c r="AM1635" s="841"/>
      <c r="AN1635" s="841"/>
      <c r="AO1635" s="841"/>
      <c r="AP1635" s="841"/>
      <c r="AQ1635" s="841"/>
      <c r="AR1635" s="841"/>
      <c r="AS1635" s="842"/>
    </row>
    <row r="1636" spans="34:45">
      <c r="AH1636" s="1226"/>
      <c r="AI1636" s="841"/>
      <c r="AJ1636" s="841"/>
      <c r="AK1636" s="841"/>
      <c r="AL1636" s="841"/>
      <c r="AM1636" s="841"/>
      <c r="AN1636" s="841"/>
      <c r="AO1636" s="841"/>
      <c r="AP1636" s="841"/>
      <c r="AQ1636" s="841"/>
      <c r="AR1636" s="841"/>
      <c r="AS1636" s="842"/>
    </row>
    <row r="1637" spans="34:45">
      <c r="AH1637" s="1226"/>
      <c r="AI1637" s="841"/>
      <c r="AJ1637" s="841"/>
      <c r="AK1637" s="841"/>
      <c r="AL1637" s="841"/>
      <c r="AM1637" s="841"/>
      <c r="AN1637" s="841"/>
      <c r="AO1637" s="841"/>
      <c r="AP1637" s="841"/>
      <c r="AQ1637" s="841"/>
      <c r="AR1637" s="841"/>
      <c r="AS1637" s="842"/>
    </row>
    <row r="1638" spans="34:45">
      <c r="AH1638" s="1226"/>
      <c r="AI1638" s="841"/>
      <c r="AJ1638" s="841"/>
      <c r="AK1638" s="841"/>
      <c r="AL1638" s="841"/>
      <c r="AM1638" s="841"/>
      <c r="AN1638" s="841"/>
      <c r="AO1638" s="841"/>
      <c r="AP1638" s="841"/>
      <c r="AQ1638" s="841"/>
      <c r="AR1638" s="841"/>
      <c r="AS1638" s="842"/>
    </row>
    <row r="1639" spans="34:45">
      <c r="AH1639" s="1226"/>
      <c r="AI1639" s="841"/>
      <c r="AJ1639" s="841"/>
      <c r="AK1639" s="841"/>
      <c r="AL1639" s="841"/>
      <c r="AM1639" s="841"/>
      <c r="AN1639" s="841"/>
      <c r="AO1639" s="841"/>
      <c r="AP1639" s="841"/>
      <c r="AQ1639" s="841"/>
      <c r="AR1639" s="841"/>
      <c r="AS1639" s="842"/>
    </row>
    <row r="1640" spans="34:45">
      <c r="AH1640" s="1226"/>
      <c r="AI1640" s="841"/>
      <c r="AJ1640" s="841"/>
      <c r="AK1640" s="841"/>
      <c r="AL1640" s="841"/>
      <c r="AM1640" s="841"/>
      <c r="AN1640" s="841"/>
      <c r="AO1640" s="841"/>
      <c r="AP1640" s="841"/>
      <c r="AQ1640" s="841"/>
      <c r="AR1640" s="841"/>
      <c r="AS1640" s="842"/>
    </row>
    <row r="1641" spans="34:45">
      <c r="AH1641" s="1226"/>
      <c r="AI1641" s="841"/>
      <c r="AJ1641" s="841"/>
      <c r="AK1641" s="841"/>
      <c r="AL1641" s="841"/>
      <c r="AM1641" s="841"/>
      <c r="AN1641" s="841"/>
      <c r="AO1641" s="841"/>
      <c r="AP1641" s="841"/>
      <c r="AQ1641" s="841"/>
      <c r="AR1641" s="841"/>
      <c r="AS1641" s="842"/>
    </row>
    <row r="1642" spans="34:45">
      <c r="AH1642" s="1226"/>
      <c r="AI1642" s="841"/>
      <c r="AJ1642" s="841"/>
      <c r="AK1642" s="841"/>
      <c r="AL1642" s="841"/>
      <c r="AM1642" s="841"/>
      <c r="AN1642" s="841"/>
      <c r="AO1642" s="841"/>
      <c r="AP1642" s="841"/>
      <c r="AQ1642" s="841"/>
      <c r="AR1642" s="841"/>
      <c r="AS1642" s="842"/>
    </row>
    <row r="1643" spans="34:45">
      <c r="AH1643" s="1226"/>
      <c r="AI1643" s="841"/>
      <c r="AJ1643" s="841"/>
      <c r="AK1643" s="841"/>
      <c r="AL1643" s="841"/>
      <c r="AM1643" s="841"/>
      <c r="AN1643" s="841"/>
      <c r="AO1643" s="841"/>
      <c r="AP1643" s="841"/>
      <c r="AQ1643" s="841"/>
      <c r="AR1643" s="841"/>
      <c r="AS1643" s="842"/>
    </row>
    <row r="1644" spans="34:45">
      <c r="AH1644" s="1226"/>
      <c r="AI1644" s="841"/>
      <c r="AJ1644" s="841"/>
      <c r="AK1644" s="841"/>
      <c r="AL1644" s="841"/>
      <c r="AM1644" s="841"/>
      <c r="AN1644" s="841"/>
      <c r="AO1644" s="841"/>
      <c r="AP1644" s="841"/>
      <c r="AQ1644" s="841"/>
      <c r="AR1644" s="841"/>
      <c r="AS1644" s="842"/>
    </row>
    <row r="1645" spans="34:45">
      <c r="AH1645" s="1226"/>
      <c r="AI1645" s="841"/>
      <c r="AJ1645" s="841"/>
      <c r="AK1645" s="841"/>
      <c r="AL1645" s="841"/>
      <c r="AM1645" s="841"/>
      <c r="AN1645" s="841"/>
      <c r="AO1645" s="841"/>
      <c r="AP1645" s="841"/>
      <c r="AQ1645" s="841"/>
      <c r="AR1645" s="841"/>
      <c r="AS1645" s="842"/>
    </row>
    <row r="1646" spans="34:45">
      <c r="AH1646" s="1226"/>
      <c r="AI1646" s="841"/>
      <c r="AJ1646" s="841"/>
      <c r="AK1646" s="841"/>
      <c r="AL1646" s="841"/>
      <c r="AM1646" s="841"/>
      <c r="AN1646" s="841"/>
      <c r="AO1646" s="841"/>
      <c r="AP1646" s="841"/>
      <c r="AQ1646" s="841"/>
      <c r="AR1646" s="841"/>
      <c r="AS1646" s="842"/>
    </row>
    <row r="1647" spans="34:45">
      <c r="AH1647" s="1226"/>
      <c r="AI1647" s="841"/>
      <c r="AJ1647" s="841"/>
      <c r="AK1647" s="841"/>
      <c r="AL1647" s="841"/>
      <c r="AM1647" s="841"/>
      <c r="AN1647" s="841"/>
      <c r="AO1647" s="841"/>
      <c r="AP1647" s="841"/>
      <c r="AQ1647" s="841"/>
      <c r="AR1647" s="841"/>
      <c r="AS1647" s="842"/>
    </row>
    <row r="1648" spans="34:45">
      <c r="AH1648" s="1226"/>
      <c r="AI1648" s="841"/>
      <c r="AJ1648" s="841"/>
      <c r="AK1648" s="841"/>
      <c r="AL1648" s="841"/>
      <c r="AM1648" s="841"/>
      <c r="AN1648" s="841"/>
      <c r="AO1648" s="841"/>
      <c r="AP1648" s="841"/>
      <c r="AQ1648" s="841"/>
      <c r="AR1648" s="841"/>
      <c r="AS1648" s="842"/>
    </row>
    <row r="1649" spans="34:45">
      <c r="AH1649" s="1226"/>
      <c r="AI1649" s="841"/>
      <c r="AJ1649" s="841"/>
      <c r="AK1649" s="841"/>
      <c r="AL1649" s="841"/>
      <c r="AM1649" s="841"/>
      <c r="AN1649" s="841"/>
      <c r="AO1649" s="841"/>
      <c r="AP1649" s="841"/>
      <c r="AQ1649" s="841"/>
      <c r="AR1649" s="841"/>
      <c r="AS1649" s="842"/>
    </row>
    <row r="1650" spans="34:45">
      <c r="AH1650" s="1226"/>
      <c r="AI1650" s="841"/>
      <c r="AJ1650" s="841"/>
      <c r="AK1650" s="841"/>
      <c r="AL1650" s="841"/>
      <c r="AM1650" s="841"/>
      <c r="AN1650" s="841"/>
      <c r="AO1650" s="841"/>
      <c r="AP1650" s="841"/>
      <c r="AQ1650" s="841"/>
      <c r="AR1650" s="841"/>
      <c r="AS1650" s="842"/>
    </row>
    <row r="1651" spans="34:45">
      <c r="AH1651" s="1226"/>
      <c r="AI1651" s="841"/>
      <c r="AJ1651" s="841"/>
      <c r="AK1651" s="841"/>
      <c r="AL1651" s="841"/>
      <c r="AM1651" s="841"/>
      <c r="AN1651" s="841"/>
      <c r="AO1651" s="841"/>
      <c r="AP1651" s="841"/>
      <c r="AQ1651" s="841"/>
      <c r="AR1651" s="841"/>
      <c r="AS1651" s="842"/>
    </row>
    <row r="1652" spans="34:45">
      <c r="AH1652" s="1226"/>
      <c r="AI1652" s="841"/>
      <c r="AJ1652" s="841"/>
      <c r="AK1652" s="841"/>
      <c r="AL1652" s="841"/>
      <c r="AM1652" s="841"/>
      <c r="AN1652" s="841"/>
      <c r="AO1652" s="841"/>
      <c r="AP1652" s="841"/>
      <c r="AQ1652" s="841"/>
      <c r="AR1652" s="841"/>
      <c r="AS1652" s="842"/>
    </row>
    <row r="1653" spans="34:45">
      <c r="AH1653" s="1226"/>
      <c r="AI1653" s="841"/>
      <c r="AJ1653" s="841"/>
      <c r="AK1653" s="841"/>
      <c r="AL1653" s="841"/>
      <c r="AM1653" s="841"/>
      <c r="AN1653" s="841"/>
      <c r="AO1653" s="841"/>
      <c r="AP1653" s="841"/>
      <c r="AQ1653" s="841"/>
      <c r="AR1653" s="841"/>
      <c r="AS1653" s="842"/>
    </row>
    <row r="1654" spans="34:45">
      <c r="AH1654" s="1226"/>
      <c r="AI1654" s="841"/>
      <c r="AJ1654" s="841"/>
      <c r="AK1654" s="841"/>
      <c r="AL1654" s="841"/>
      <c r="AM1654" s="841"/>
      <c r="AN1654" s="841"/>
      <c r="AO1654" s="841"/>
      <c r="AP1654" s="841"/>
      <c r="AQ1654" s="841"/>
      <c r="AR1654" s="841"/>
      <c r="AS1654" s="842"/>
    </row>
    <row r="1655" spans="34:45">
      <c r="AH1655" s="1226"/>
      <c r="AI1655" s="841"/>
      <c r="AJ1655" s="841"/>
      <c r="AK1655" s="841"/>
      <c r="AL1655" s="841"/>
      <c r="AM1655" s="841"/>
      <c r="AN1655" s="841"/>
      <c r="AO1655" s="841"/>
      <c r="AP1655" s="841"/>
      <c r="AQ1655" s="841"/>
      <c r="AR1655" s="841"/>
      <c r="AS1655" s="842"/>
    </row>
    <row r="1656" spans="34:45">
      <c r="AH1656" s="1226"/>
      <c r="AI1656" s="841"/>
      <c r="AJ1656" s="841"/>
      <c r="AK1656" s="841"/>
      <c r="AL1656" s="841"/>
      <c r="AM1656" s="841"/>
      <c r="AN1656" s="841"/>
      <c r="AO1656" s="841"/>
      <c r="AP1656" s="841"/>
      <c r="AQ1656" s="841"/>
      <c r="AR1656" s="841"/>
      <c r="AS1656" s="842"/>
    </row>
    <row r="1657" spans="34:45">
      <c r="AH1657" s="1226"/>
      <c r="AI1657" s="841"/>
      <c r="AJ1657" s="841"/>
      <c r="AK1657" s="841"/>
      <c r="AL1657" s="841"/>
      <c r="AM1657" s="841"/>
      <c r="AN1657" s="841"/>
      <c r="AO1657" s="841"/>
      <c r="AP1657" s="841"/>
      <c r="AQ1657" s="841"/>
      <c r="AR1657" s="841"/>
      <c r="AS1657" s="842"/>
    </row>
    <row r="1658" spans="34:45">
      <c r="AH1658" s="1226"/>
      <c r="AI1658" s="841"/>
      <c r="AJ1658" s="841"/>
      <c r="AK1658" s="841"/>
      <c r="AL1658" s="841"/>
      <c r="AM1658" s="841"/>
      <c r="AN1658" s="841"/>
      <c r="AO1658" s="841"/>
      <c r="AP1658" s="841"/>
      <c r="AQ1658" s="841"/>
      <c r="AR1658" s="841"/>
      <c r="AS1658" s="842"/>
    </row>
    <row r="1659" spans="34:45">
      <c r="AH1659" s="1226"/>
      <c r="AI1659" s="841"/>
      <c r="AJ1659" s="841"/>
      <c r="AK1659" s="841"/>
      <c r="AL1659" s="841"/>
      <c r="AM1659" s="841"/>
      <c r="AN1659" s="841"/>
      <c r="AO1659" s="841"/>
      <c r="AP1659" s="841"/>
      <c r="AQ1659" s="841"/>
      <c r="AR1659" s="841"/>
      <c r="AS1659" s="842"/>
    </row>
    <row r="1660" spans="34:45">
      <c r="AH1660" s="1226"/>
      <c r="AI1660" s="841"/>
      <c r="AJ1660" s="841"/>
      <c r="AK1660" s="841"/>
      <c r="AL1660" s="841"/>
      <c r="AM1660" s="841"/>
      <c r="AN1660" s="841"/>
      <c r="AO1660" s="841"/>
      <c r="AP1660" s="841"/>
      <c r="AQ1660" s="841"/>
      <c r="AR1660" s="841"/>
      <c r="AS1660" s="842"/>
    </row>
    <row r="1661" spans="34:45">
      <c r="AH1661" s="1226"/>
      <c r="AI1661" s="841"/>
      <c r="AJ1661" s="841"/>
      <c r="AK1661" s="841"/>
      <c r="AL1661" s="841"/>
      <c r="AM1661" s="841"/>
      <c r="AN1661" s="841"/>
      <c r="AO1661" s="841"/>
      <c r="AP1661" s="841"/>
      <c r="AQ1661" s="841"/>
      <c r="AR1661" s="841"/>
      <c r="AS1661" s="842"/>
    </row>
    <row r="1662" spans="34:45">
      <c r="AH1662" s="1226"/>
      <c r="AI1662" s="841"/>
      <c r="AJ1662" s="841"/>
      <c r="AK1662" s="841"/>
      <c r="AL1662" s="841"/>
      <c r="AM1662" s="841"/>
      <c r="AN1662" s="841"/>
      <c r="AO1662" s="841"/>
      <c r="AP1662" s="841"/>
      <c r="AQ1662" s="841"/>
      <c r="AR1662" s="841"/>
      <c r="AS1662" s="842"/>
    </row>
    <row r="1663" spans="34:45">
      <c r="AH1663" s="1226"/>
      <c r="AI1663" s="841"/>
      <c r="AJ1663" s="841"/>
      <c r="AK1663" s="841"/>
      <c r="AL1663" s="841"/>
      <c r="AM1663" s="841"/>
      <c r="AN1663" s="841"/>
      <c r="AO1663" s="841"/>
      <c r="AP1663" s="841"/>
      <c r="AQ1663" s="841"/>
      <c r="AR1663" s="841"/>
      <c r="AS1663" s="842"/>
    </row>
    <row r="1664" spans="34:45">
      <c r="AH1664" s="1226"/>
      <c r="AI1664" s="841"/>
      <c r="AJ1664" s="841"/>
      <c r="AK1664" s="841"/>
      <c r="AL1664" s="841"/>
      <c r="AM1664" s="841"/>
      <c r="AN1664" s="841"/>
      <c r="AO1664" s="841"/>
      <c r="AP1664" s="841"/>
      <c r="AQ1664" s="841"/>
      <c r="AR1664" s="841"/>
      <c r="AS1664" s="842"/>
    </row>
    <row r="1665" spans="34:45">
      <c r="AH1665" s="1226"/>
      <c r="AI1665" s="841"/>
      <c r="AJ1665" s="841"/>
      <c r="AK1665" s="841"/>
      <c r="AL1665" s="841"/>
      <c r="AM1665" s="841"/>
      <c r="AN1665" s="841"/>
      <c r="AO1665" s="841"/>
      <c r="AP1665" s="841"/>
      <c r="AQ1665" s="841"/>
      <c r="AR1665" s="841"/>
      <c r="AS1665" s="842"/>
    </row>
    <row r="1666" spans="34:45">
      <c r="AH1666" s="1226"/>
      <c r="AI1666" s="841"/>
      <c r="AJ1666" s="841"/>
      <c r="AK1666" s="841"/>
      <c r="AL1666" s="841"/>
      <c r="AM1666" s="841"/>
      <c r="AN1666" s="841"/>
      <c r="AO1666" s="841"/>
      <c r="AP1666" s="841"/>
      <c r="AQ1666" s="841"/>
      <c r="AR1666" s="841"/>
      <c r="AS1666" s="842"/>
    </row>
    <row r="1667" spans="34:45">
      <c r="AH1667" s="1226"/>
      <c r="AI1667" s="841"/>
      <c r="AJ1667" s="841"/>
      <c r="AK1667" s="841"/>
      <c r="AL1667" s="841"/>
      <c r="AM1667" s="841"/>
      <c r="AN1667" s="841"/>
      <c r="AO1667" s="841"/>
      <c r="AP1667" s="841"/>
      <c r="AQ1667" s="841"/>
      <c r="AR1667" s="841"/>
      <c r="AS1667" s="842"/>
    </row>
    <row r="1668" spans="34:45">
      <c r="AH1668" s="1226"/>
      <c r="AI1668" s="841"/>
      <c r="AJ1668" s="841"/>
      <c r="AK1668" s="841"/>
      <c r="AL1668" s="841"/>
      <c r="AM1668" s="841"/>
      <c r="AN1668" s="841"/>
      <c r="AO1668" s="841"/>
      <c r="AP1668" s="841"/>
      <c r="AQ1668" s="841"/>
      <c r="AR1668" s="841"/>
      <c r="AS1668" s="842"/>
    </row>
    <row r="1669" spans="34:45">
      <c r="AH1669" s="1226"/>
      <c r="AI1669" s="841"/>
      <c r="AJ1669" s="841"/>
      <c r="AK1669" s="841"/>
      <c r="AL1669" s="841"/>
      <c r="AM1669" s="841"/>
      <c r="AN1669" s="841"/>
      <c r="AO1669" s="841"/>
      <c r="AP1669" s="841"/>
      <c r="AQ1669" s="841"/>
      <c r="AR1669" s="841"/>
      <c r="AS1669" s="842"/>
    </row>
    <row r="1670" spans="34:45">
      <c r="AH1670" s="1226"/>
      <c r="AI1670" s="841"/>
      <c r="AJ1670" s="841"/>
      <c r="AK1670" s="841"/>
      <c r="AL1670" s="841"/>
      <c r="AM1670" s="841"/>
      <c r="AN1670" s="841"/>
      <c r="AO1670" s="841"/>
      <c r="AP1670" s="841"/>
      <c r="AQ1670" s="841"/>
      <c r="AR1670" s="841"/>
      <c r="AS1670" s="842"/>
    </row>
    <row r="1671" spans="34:45">
      <c r="AH1671" s="1226"/>
      <c r="AI1671" s="841"/>
      <c r="AJ1671" s="841"/>
      <c r="AK1671" s="841"/>
      <c r="AL1671" s="841"/>
      <c r="AM1671" s="841"/>
      <c r="AN1671" s="841"/>
      <c r="AO1671" s="841"/>
      <c r="AP1671" s="841"/>
      <c r="AQ1671" s="841"/>
      <c r="AR1671" s="841"/>
      <c r="AS1671" s="842"/>
    </row>
    <row r="1672" spans="34:45">
      <c r="AH1672" s="1226"/>
      <c r="AI1672" s="841"/>
      <c r="AJ1672" s="841"/>
      <c r="AK1672" s="841"/>
      <c r="AL1672" s="841"/>
      <c r="AM1672" s="841"/>
      <c r="AN1672" s="841"/>
      <c r="AO1672" s="841"/>
      <c r="AP1672" s="841"/>
      <c r="AQ1672" s="841"/>
      <c r="AR1672" s="841"/>
      <c r="AS1672" s="842"/>
    </row>
    <row r="1673" spans="34:45">
      <c r="AH1673" s="1226"/>
      <c r="AI1673" s="841"/>
      <c r="AJ1673" s="841"/>
      <c r="AK1673" s="841"/>
      <c r="AL1673" s="841"/>
      <c r="AM1673" s="841"/>
      <c r="AN1673" s="841"/>
      <c r="AO1673" s="841"/>
      <c r="AP1673" s="841"/>
      <c r="AQ1673" s="841"/>
      <c r="AR1673" s="841"/>
      <c r="AS1673" s="842"/>
    </row>
    <row r="1674" spans="34:45">
      <c r="AH1674" s="1226"/>
      <c r="AI1674" s="841"/>
      <c r="AJ1674" s="841"/>
      <c r="AK1674" s="841"/>
      <c r="AL1674" s="841"/>
      <c r="AM1674" s="841"/>
      <c r="AN1674" s="841"/>
      <c r="AO1674" s="841"/>
      <c r="AP1674" s="841"/>
      <c r="AQ1674" s="841"/>
      <c r="AR1674" s="841"/>
      <c r="AS1674" s="842"/>
    </row>
    <row r="1675" spans="34:45">
      <c r="AH1675" s="1226"/>
      <c r="AI1675" s="841"/>
      <c r="AJ1675" s="841"/>
      <c r="AK1675" s="841"/>
      <c r="AL1675" s="841"/>
      <c r="AM1675" s="841"/>
      <c r="AN1675" s="841"/>
      <c r="AO1675" s="841"/>
      <c r="AP1675" s="841"/>
      <c r="AQ1675" s="841"/>
      <c r="AR1675" s="841"/>
      <c r="AS1675" s="842"/>
    </row>
    <row r="1676" spans="34:45">
      <c r="AH1676" s="1226"/>
      <c r="AI1676" s="841"/>
      <c r="AJ1676" s="841"/>
      <c r="AK1676" s="841"/>
      <c r="AL1676" s="841"/>
      <c r="AM1676" s="841"/>
      <c r="AN1676" s="841"/>
      <c r="AO1676" s="841"/>
      <c r="AP1676" s="841"/>
      <c r="AQ1676" s="841"/>
      <c r="AR1676" s="841"/>
      <c r="AS1676" s="842"/>
    </row>
    <row r="1677" spans="34:45">
      <c r="AH1677" s="1226"/>
      <c r="AI1677" s="841"/>
      <c r="AJ1677" s="841"/>
      <c r="AK1677" s="841"/>
      <c r="AL1677" s="841"/>
      <c r="AM1677" s="841"/>
      <c r="AN1677" s="841"/>
      <c r="AO1677" s="841"/>
      <c r="AP1677" s="841"/>
      <c r="AQ1677" s="841"/>
      <c r="AR1677" s="841"/>
      <c r="AS1677" s="842"/>
    </row>
    <row r="1678" spans="34:45">
      <c r="AH1678" s="1226"/>
      <c r="AI1678" s="841"/>
      <c r="AJ1678" s="841"/>
      <c r="AK1678" s="841"/>
      <c r="AL1678" s="841"/>
      <c r="AM1678" s="841"/>
      <c r="AN1678" s="841"/>
      <c r="AO1678" s="841"/>
      <c r="AP1678" s="841"/>
      <c r="AQ1678" s="841"/>
      <c r="AR1678" s="841"/>
      <c r="AS1678" s="842"/>
    </row>
    <row r="1679" spans="34:45">
      <c r="AH1679" s="1226"/>
      <c r="AI1679" s="841"/>
      <c r="AJ1679" s="841"/>
      <c r="AK1679" s="841"/>
      <c r="AL1679" s="841"/>
      <c r="AM1679" s="841"/>
      <c r="AN1679" s="841"/>
      <c r="AO1679" s="841"/>
      <c r="AP1679" s="841"/>
      <c r="AQ1679" s="841"/>
      <c r="AR1679" s="841"/>
      <c r="AS1679" s="842"/>
    </row>
    <row r="1680" spans="34:45">
      <c r="AH1680" s="1226"/>
      <c r="AI1680" s="841"/>
      <c r="AJ1680" s="841"/>
      <c r="AK1680" s="841"/>
      <c r="AL1680" s="841"/>
      <c r="AM1680" s="841"/>
      <c r="AN1680" s="841"/>
      <c r="AO1680" s="841"/>
      <c r="AP1680" s="841"/>
      <c r="AQ1680" s="841"/>
      <c r="AR1680" s="841"/>
      <c r="AS1680" s="842"/>
    </row>
    <row r="1681" spans="34:45">
      <c r="AH1681" s="1226"/>
      <c r="AI1681" s="841"/>
      <c r="AJ1681" s="841"/>
      <c r="AK1681" s="841"/>
      <c r="AL1681" s="841"/>
      <c r="AM1681" s="841"/>
      <c r="AN1681" s="841"/>
      <c r="AO1681" s="841"/>
      <c r="AP1681" s="841"/>
      <c r="AQ1681" s="841"/>
      <c r="AR1681" s="841"/>
      <c r="AS1681" s="842"/>
    </row>
    <row r="1682" spans="34:45">
      <c r="AH1682" s="1226"/>
      <c r="AI1682" s="841"/>
      <c r="AJ1682" s="841"/>
      <c r="AK1682" s="841"/>
      <c r="AL1682" s="841"/>
      <c r="AM1682" s="841"/>
      <c r="AN1682" s="841"/>
      <c r="AO1682" s="841"/>
      <c r="AP1682" s="841"/>
      <c r="AQ1682" s="841"/>
      <c r="AR1682" s="841"/>
      <c r="AS1682" s="842"/>
    </row>
    <row r="1683" spans="34:45">
      <c r="AH1683" s="1226"/>
      <c r="AI1683" s="841"/>
      <c r="AJ1683" s="841"/>
      <c r="AK1683" s="841"/>
      <c r="AL1683" s="841"/>
      <c r="AM1683" s="841"/>
      <c r="AN1683" s="841"/>
      <c r="AO1683" s="841"/>
      <c r="AP1683" s="841"/>
      <c r="AQ1683" s="841"/>
      <c r="AR1683" s="841"/>
      <c r="AS1683" s="842"/>
    </row>
    <row r="1684" spans="34:45">
      <c r="AH1684" s="1226"/>
      <c r="AI1684" s="841"/>
      <c r="AJ1684" s="841"/>
      <c r="AK1684" s="841"/>
      <c r="AL1684" s="841"/>
      <c r="AM1684" s="841"/>
      <c r="AN1684" s="841"/>
      <c r="AO1684" s="841"/>
      <c r="AP1684" s="841"/>
      <c r="AQ1684" s="841"/>
      <c r="AR1684" s="841"/>
      <c r="AS1684" s="842"/>
    </row>
    <row r="1685" spans="34:45">
      <c r="AH1685" s="1226"/>
      <c r="AI1685" s="841"/>
      <c r="AJ1685" s="841"/>
      <c r="AK1685" s="841"/>
      <c r="AL1685" s="841"/>
      <c r="AM1685" s="841"/>
      <c r="AN1685" s="841"/>
      <c r="AO1685" s="841"/>
      <c r="AP1685" s="841"/>
      <c r="AQ1685" s="841"/>
      <c r="AR1685" s="841"/>
      <c r="AS1685" s="842"/>
    </row>
    <row r="1686" spans="34:45">
      <c r="AH1686" s="1226"/>
      <c r="AI1686" s="841"/>
      <c r="AJ1686" s="841"/>
      <c r="AK1686" s="841"/>
      <c r="AL1686" s="841"/>
      <c r="AM1686" s="841"/>
      <c r="AN1686" s="841"/>
      <c r="AO1686" s="841"/>
      <c r="AP1686" s="841"/>
      <c r="AQ1686" s="841"/>
      <c r="AR1686" s="841"/>
      <c r="AS1686" s="842"/>
    </row>
    <row r="1687" spans="34:45">
      <c r="AH1687" s="1226"/>
      <c r="AI1687" s="841"/>
      <c r="AJ1687" s="841"/>
      <c r="AK1687" s="841"/>
      <c r="AL1687" s="841"/>
      <c r="AM1687" s="841"/>
      <c r="AN1687" s="841"/>
      <c r="AO1687" s="841"/>
      <c r="AP1687" s="841"/>
      <c r="AQ1687" s="841"/>
      <c r="AR1687" s="841"/>
      <c r="AS1687" s="842"/>
    </row>
    <row r="1688" spans="34:45">
      <c r="AH1688" s="1226"/>
      <c r="AI1688" s="841"/>
      <c r="AJ1688" s="841"/>
      <c r="AK1688" s="841"/>
      <c r="AL1688" s="841"/>
      <c r="AM1688" s="841"/>
      <c r="AN1688" s="841"/>
      <c r="AO1688" s="841"/>
      <c r="AP1688" s="841"/>
      <c r="AQ1688" s="841"/>
      <c r="AR1688" s="841"/>
      <c r="AS1688" s="842"/>
    </row>
    <row r="1689" spans="34:45">
      <c r="AH1689" s="1226"/>
      <c r="AI1689" s="841"/>
      <c r="AJ1689" s="841"/>
      <c r="AK1689" s="841"/>
      <c r="AL1689" s="841"/>
      <c r="AM1689" s="841"/>
      <c r="AN1689" s="841"/>
      <c r="AO1689" s="841"/>
      <c r="AP1689" s="841"/>
      <c r="AQ1689" s="841"/>
      <c r="AR1689" s="841"/>
      <c r="AS1689" s="842"/>
    </row>
    <row r="1690" spans="34:45">
      <c r="AH1690" s="1226"/>
      <c r="AI1690" s="841"/>
      <c r="AJ1690" s="841"/>
      <c r="AK1690" s="841"/>
      <c r="AL1690" s="841"/>
      <c r="AM1690" s="841"/>
      <c r="AN1690" s="841"/>
      <c r="AO1690" s="841"/>
      <c r="AP1690" s="841"/>
      <c r="AQ1690" s="841"/>
      <c r="AR1690" s="841"/>
      <c r="AS1690" s="842"/>
    </row>
    <row r="1691" spans="34:45">
      <c r="AH1691" s="1226"/>
      <c r="AI1691" s="841"/>
      <c r="AJ1691" s="841"/>
      <c r="AK1691" s="841"/>
      <c r="AL1691" s="841"/>
      <c r="AM1691" s="841"/>
      <c r="AN1691" s="841"/>
      <c r="AO1691" s="841"/>
      <c r="AP1691" s="841"/>
      <c r="AQ1691" s="841"/>
      <c r="AR1691" s="841"/>
      <c r="AS1691" s="842"/>
    </row>
    <row r="1692" spans="34:45">
      <c r="AH1692" s="1226"/>
      <c r="AI1692" s="841"/>
      <c r="AJ1692" s="841"/>
      <c r="AK1692" s="841"/>
      <c r="AL1692" s="841"/>
      <c r="AM1692" s="841"/>
      <c r="AN1692" s="841"/>
      <c r="AO1692" s="841"/>
      <c r="AP1692" s="841"/>
      <c r="AQ1692" s="841"/>
      <c r="AR1692" s="841"/>
      <c r="AS1692" s="842"/>
    </row>
    <row r="1693" spans="34:45">
      <c r="AH1693" s="1226"/>
      <c r="AI1693" s="841"/>
      <c r="AJ1693" s="841"/>
      <c r="AK1693" s="841"/>
      <c r="AL1693" s="841"/>
      <c r="AM1693" s="841"/>
      <c r="AN1693" s="841"/>
      <c r="AO1693" s="841"/>
      <c r="AP1693" s="841"/>
      <c r="AQ1693" s="841"/>
      <c r="AR1693" s="841"/>
      <c r="AS1693" s="842"/>
    </row>
    <row r="1694" spans="34:45">
      <c r="AH1694" s="1226"/>
      <c r="AI1694" s="841"/>
      <c r="AJ1694" s="841"/>
      <c r="AK1694" s="841"/>
      <c r="AL1694" s="841"/>
      <c r="AM1694" s="841"/>
      <c r="AN1694" s="841"/>
      <c r="AO1694" s="841"/>
      <c r="AP1694" s="841"/>
      <c r="AQ1694" s="841"/>
      <c r="AR1694" s="841"/>
      <c r="AS1694" s="842"/>
    </row>
    <row r="1695" spans="34:45">
      <c r="AH1695" s="1226"/>
      <c r="AI1695" s="841"/>
      <c r="AJ1695" s="841"/>
      <c r="AK1695" s="841"/>
      <c r="AL1695" s="841"/>
      <c r="AM1695" s="841"/>
      <c r="AN1695" s="841"/>
      <c r="AO1695" s="841"/>
      <c r="AP1695" s="841"/>
      <c r="AQ1695" s="841"/>
      <c r="AR1695" s="841"/>
      <c r="AS1695" s="842"/>
    </row>
    <row r="1696" spans="34:45">
      <c r="AH1696" s="1226"/>
      <c r="AI1696" s="841"/>
      <c r="AJ1696" s="841"/>
      <c r="AK1696" s="841"/>
      <c r="AL1696" s="841"/>
      <c r="AM1696" s="841"/>
      <c r="AN1696" s="841"/>
      <c r="AO1696" s="841"/>
      <c r="AP1696" s="841"/>
      <c r="AQ1696" s="841"/>
      <c r="AR1696" s="841"/>
      <c r="AS1696" s="842"/>
    </row>
    <row r="1697" spans="34:45">
      <c r="AH1697" s="1226"/>
      <c r="AI1697" s="841"/>
      <c r="AJ1697" s="841"/>
      <c r="AK1697" s="841"/>
      <c r="AL1697" s="841"/>
      <c r="AM1697" s="841"/>
      <c r="AN1697" s="841"/>
      <c r="AO1697" s="841"/>
      <c r="AP1697" s="841"/>
      <c r="AQ1697" s="841"/>
      <c r="AR1697" s="841"/>
      <c r="AS1697" s="842"/>
    </row>
    <row r="1698" spans="34:45">
      <c r="AH1698" s="1226"/>
      <c r="AI1698" s="841"/>
      <c r="AJ1698" s="841"/>
      <c r="AK1698" s="841"/>
      <c r="AL1698" s="841"/>
      <c r="AM1698" s="841"/>
      <c r="AN1698" s="841"/>
      <c r="AO1698" s="841"/>
      <c r="AP1698" s="841"/>
      <c r="AQ1698" s="841"/>
      <c r="AR1698" s="841"/>
      <c r="AS1698" s="842"/>
    </row>
    <row r="1699" spans="34:45">
      <c r="AH1699" s="1226"/>
      <c r="AI1699" s="841"/>
      <c r="AJ1699" s="841"/>
      <c r="AK1699" s="841"/>
      <c r="AL1699" s="841"/>
      <c r="AM1699" s="841"/>
      <c r="AN1699" s="841"/>
      <c r="AO1699" s="841"/>
      <c r="AP1699" s="841"/>
      <c r="AQ1699" s="841"/>
      <c r="AR1699" s="841"/>
      <c r="AS1699" s="842"/>
    </row>
    <row r="1700" spans="34:45">
      <c r="AH1700" s="1226"/>
      <c r="AI1700" s="841"/>
      <c r="AJ1700" s="841"/>
      <c r="AK1700" s="841"/>
      <c r="AL1700" s="841"/>
      <c r="AM1700" s="841"/>
      <c r="AN1700" s="841"/>
      <c r="AO1700" s="841"/>
      <c r="AP1700" s="841"/>
      <c r="AQ1700" s="841"/>
      <c r="AR1700" s="841"/>
      <c r="AS1700" s="842"/>
    </row>
    <row r="1701" spans="34:45">
      <c r="AH1701" s="1226"/>
      <c r="AI1701" s="841"/>
      <c r="AJ1701" s="841"/>
      <c r="AK1701" s="841"/>
      <c r="AL1701" s="841"/>
      <c r="AM1701" s="841"/>
      <c r="AN1701" s="841"/>
      <c r="AO1701" s="841"/>
      <c r="AP1701" s="841"/>
      <c r="AQ1701" s="841"/>
      <c r="AR1701" s="841"/>
      <c r="AS1701" s="842"/>
    </row>
    <row r="1702" spans="34:45">
      <c r="AH1702" s="1226"/>
      <c r="AI1702" s="841"/>
      <c r="AJ1702" s="841"/>
      <c r="AK1702" s="841"/>
      <c r="AL1702" s="841"/>
      <c r="AM1702" s="841"/>
      <c r="AN1702" s="841"/>
      <c r="AO1702" s="841"/>
      <c r="AP1702" s="841"/>
      <c r="AQ1702" s="841"/>
      <c r="AR1702" s="841"/>
      <c r="AS1702" s="842"/>
    </row>
    <row r="1703" spans="34:45">
      <c r="AH1703" s="1226"/>
      <c r="AI1703" s="841"/>
      <c r="AJ1703" s="841"/>
      <c r="AK1703" s="841"/>
      <c r="AL1703" s="841"/>
      <c r="AM1703" s="841"/>
      <c r="AN1703" s="841"/>
      <c r="AO1703" s="841"/>
      <c r="AP1703" s="841"/>
      <c r="AQ1703" s="841"/>
      <c r="AR1703" s="841"/>
      <c r="AS1703" s="842"/>
    </row>
    <row r="1704" spans="34:45">
      <c r="AH1704" s="1226"/>
      <c r="AI1704" s="841"/>
      <c r="AJ1704" s="841"/>
      <c r="AK1704" s="841"/>
      <c r="AL1704" s="841"/>
      <c r="AM1704" s="841"/>
      <c r="AN1704" s="841"/>
      <c r="AO1704" s="841"/>
      <c r="AP1704" s="841"/>
      <c r="AQ1704" s="841"/>
      <c r="AR1704" s="841"/>
      <c r="AS1704" s="842"/>
    </row>
    <row r="1705" spans="34:45">
      <c r="AH1705" s="1226"/>
      <c r="AI1705" s="841"/>
      <c r="AJ1705" s="841"/>
      <c r="AK1705" s="841"/>
      <c r="AL1705" s="841"/>
      <c r="AM1705" s="841"/>
      <c r="AN1705" s="841"/>
      <c r="AO1705" s="841"/>
      <c r="AP1705" s="841"/>
      <c r="AQ1705" s="841"/>
      <c r="AR1705" s="841"/>
      <c r="AS1705" s="842"/>
    </row>
    <row r="1706" spans="34:45">
      <c r="AH1706" s="1226"/>
      <c r="AI1706" s="841"/>
      <c r="AJ1706" s="841"/>
      <c r="AK1706" s="841"/>
      <c r="AL1706" s="841"/>
      <c r="AM1706" s="841"/>
      <c r="AN1706" s="841"/>
      <c r="AO1706" s="841"/>
      <c r="AP1706" s="841"/>
      <c r="AQ1706" s="841"/>
      <c r="AR1706" s="841"/>
      <c r="AS1706" s="842"/>
    </row>
    <row r="1707" spans="34:45">
      <c r="AH1707" s="1226"/>
      <c r="AI1707" s="841"/>
      <c r="AJ1707" s="841"/>
      <c r="AK1707" s="841"/>
      <c r="AL1707" s="841"/>
      <c r="AM1707" s="841"/>
      <c r="AN1707" s="841"/>
      <c r="AO1707" s="841"/>
      <c r="AP1707" s="841"/>
      <c r="AQ1707" s="841"/>
      <c r="AR1707" s="841"/>
      <c r="AS1707" s="842"/>
    </row>
    <row r="1708" spans="34:45">
      <c r="AH1708" s="1226"/>
      <c r="AI1708" s="841"/>
      <c r="AJ1708" s="841"/>
      <c r="AK1708" s="841"/>
      <c r="AL1708" s="841"/>
      <c r="AM1708" s="841"/>
      <c r="AN1708" s="841"/>
      <c r="AO1708" s="841"/>
      <c r="AP1708" s="841"/>
      <c r="AQ1708" s="841"/>
      <c r="AR1708" s="841"/>
      <c r="AS1708" s="842"/>
    </row>
    <row r="1709" spans="34:45">
      <c r="AH1709" s="1226"/>
      <c r="AI1709" s="841"/>
      <c r="AJ1709" s="841"/>
      <c r="AK1709" s="841"/>
      <c r="AL1709" s="841"/>
      <c r="AM1709" s="841"/>
      <c r="AN1709" s="841"/>
      <c r="AO1709" s="841"/>
      <c r="AP1709" s="841"/>
      <c r="AQ1709" s="841"/>
      <c r="AR1709" s="841"/>
      <c r="AS1709" s="842"/>
    </row>
    <row r="1710" spans="34:45">
      <c r="AH1710" s="1226"/>
      <c r="AI1710" s="841"/>
      <c r="AJ1710" s="841"/>
      <c r="AK1710" s="841"/>
      <c r="AL1710" s="841"/>
      <c r="AM1710" s="841"/>
      <c r="AN1710" s="841"/>
      <c r="AO1710" s="841"/>
      <c r="AP1710" s="841"/>
      <c r="AQ1710" s="841"/>
      <c r="AR1710" s="841"/>
      <c r="AS1710" s="842"/>
    </row>
    <row r="1711" spans="34:45">
      <c r="AH1711" s="1226"/>
      <c r="AI1711" s="841"/>
      <c r="AJ1711" s="841"/>
      <c r="AK1711" s="841"/>
      <c r="AL1711" s="841"/>
      <c r="AM1711" s="841"/>
      <c r="AN1711" s="841"/>
      <c r="AO1711" s="841"/>
      <c r="AP1711" s="841"/>
      <c r="AQ1711" s="841"/>
      <c r="AR1711" s="841"/>
      <c r="AS1711" s="842"/>
    </row>
    <row r="1712" spans="34:45">
      <c r="AH1712" s="1226"/>
      <c r="AI1712" s="841"/>
      <c r="AJ1712" s="841"/>
      <c r="AK1712" s="841"/>
      <c r="AL1712" s="841"/>
      <c r="AM1712" s="841"/>
      <c r="AN1712" s="841"/>
      <c r="AO1712" s="841"/>
      <c r="AP1712" s="841"/>
      <c r="AQ1712" s="841"/>
      <c r="AR1712" s="841"/>
      <c r="AS1712" s="842"/>
    </row>
    <row r="1713" spans="34:45">
      <c r="AH1713" s="1226"/>
      <c r="AI1713" s="841"/>
      <c r="AJ1713" s="841"/>
      <c r="AK1713" s="841"/>
      <c r="AL1713" s="841"/>
      <c r="AM1713" s="841"/>
      <c r="AN1713" s="841"/>
      <c r="AO1713" s="841"/>
      <c r="AP1713" s="841"/>
      <c r="AQ1713" s="841"/>
      <c r="AR1713" s="841"/>
      <c r="AS1713" s="842"/>
    </row>
    <row r="1714" spans="34:45">
      <c r="AH1714" s="1226"/>
      <c r="AI1714" s="841"/>
      <c r="AJ1714" s="841"/>
      <c r="AK1714" s="841"/>
      <c r="AL1714" s="841"/>
      <c r="AM1714" s="841"/>
      <c r="AN1714" s="841"/>
      <c r="AO1714" s="841"/>
      <c r="AP1714" s="841"/>
      <c r="AQ1714" s="841"/>
      <c r="AR1714" s="841"/>
      <c r="AS1714" s="842"/>
    </row>
    <row r="1715" spans="34:45">
      <c r="AH1715" s="1226"/>
      <c r="AI1715" s="841"/>
      <c r="AJ1715" s="841"/>
      <c r="AK1715" s="841"/>
      <c r="AL1715" s="841"/>
      <c r="AM1715" s="841"/>
      <c r="AN1715" s="841"/>
      <c r="AO1715" s="841"/>
      <c r="AP1715" s="841"/>
      <c r="AQ1715" s="841"/>
      <c r="AR1715" s="841"/>
      <c r="AS1715" s="842"/>
    </row>
    <row r="1716" spans="34:45">
      <c r="AH1716" s="1226"/>
      <c r="AI1716" s="841"/>
      <c r="AJ1716" s="841"/>
      <c r="AK1716" s="841"/>
      <c r="AL1716" s="841"/>
      <c r="AM1716" s="841"/>
      <c r="AN1716" s="841"/>
      <c r="AO1716" s="841"/>
      <c r="AP1716" s="841"/>
      <c r="AQ1716" s="841"/>
      <c r="AR1716" s="841"/>
      <c r="AS1716" s="842"/>
    </row>
    <row r="1717" spans="34:45">
      <c r="AH1717" s="1226"/>
      <c r="AI1717" s="841"/>
      <c r="AJ1717" s="841"/>
      <c r="AK1717" s="841"/>
      <c r="AL1717" s="841"/>
      <c r="AM1717" s="841"/>
      <c r="AN1717" s="841"/>
      <c r="AO1717" s="841"/>
      <c r="AP1717" s="841"/>
      <c r="AQ1717" s="841"/>
      <c r="AR1717" s="841"/>
      <c r="AS1717" s="842"/>
    </row>
    <row r="1718" spans="34:45">
      <c r="AH1718" s="1226"/>
      <c r="AI1718" s="841"/>
      <c r="AJ1718" s="841"/>
      <c r="AK1718" s="841"/>
      <c r="AL1718" s="841"/>
      <c r="AM1718" s="841"/>
      <c r="AN1718" s="841"/>
      <c r="AO1718" s="841"/>
      <c r="AP1718" s="841"/>
      <c r="AQ1718" s="841"/>
      <c r="AR1718" s="841"/>
      <c r="AS1718" s="842"/>
    </row>
    <row r="1719" spans="34:45">
      <c r="AH1719" s="1226"/>
      <c r="AI1719" s="841"/>
      <c r="AJ1719" s="841"/>
      <c r="AK1719" s="841"/>
      <c r="AL1719" s="841"/>
      <c r="AM1719" s="841"/>
      <c r="AN1719" s="841"/>
      <c r="AO1719" s="841"/>
      <c r="AP1719" s="841"/>
      <c r="AQ1719" s="841"/>
      <c r="AR1719" s="841"/>
      <c r="AS1719" s="842"/>
    </row>
    <row r="1720" spans="34:45">
      <c r="AH1720" s="1226"/>
      <c r="AI1720" s="841"/>
      <c r="AJ1720" s="841"/>
      <c r="AK1720" s="841"/>
      <c r="AL1720" s="841"/>
      <c r="AM1720" s="841"/>
      <c r="AN1720" s="841"/>
      <c r="AO1720" s="841"/>
      <c r="AP1720" s="841"/>
      <c r="AQ1720" s="841"/>
      <c r="AR1720" s="841"/>
      <c r="AS1720" s="842"/>
    </row>
    <row r="1721" spans="34:45">
      <c r="AH1721" s="1226"/>
      <c r="AI1721" s="841"/>
      <c r="AJ1721" s="841"/>
      <c r="AK1721" s="841"/>
      <c r="AL1721" s="841"/>
      <c r="AM1721" s="841"/>
      <c r="AN1721" s="841"/>
      <c r="AO1721" s="841"/>
      <c r="AP1721" s="841"/>
      <c r="AQ1721" s="841"/>
      <c r="AR1721" s="841"/>
      <c r="AS1721" s="842"/>
    </row>
    <row r="1722" spans="34:45">
      <c r="AH1722" s="1226"/>
      <c r="AI1722" s="841"/>
      <c r="AJ1722" s="841"/>
      <c r="AK1722" s="841"/>
      <c r="AL1722" s="841"/>
      <c r="AM1722" s="841"/>
      <c r="AN1722" s="841"/>
      <c r="AO1722" s="841"/>
      <c r="AP1722" s="841"/>
      <c r="AQ1722" s="841"/>
      <c r="AR1722" s="841"/>
      <c r="AS1722" s="842"/>
    </row>
    <row r="1723" spans="34:45">
      <c r="AH1723" s="1226"/>
      <c r="AI1723" s="841"/>
      <c r="AJ1723" s="841"/>
      <c r="AK1723" s="841"/>
      <c r="AL1723" s="841"/>
      <c r="AM1723" s="841"/>
      <c r="AN1723" s="841"/>
      <c r="AO1723" s="841"/>
      <c r="AP1723" s="841"/>
      <c r="AQ1723" s="841"/>
      <c r="AR1723" s="841"/>
      <c r="AS1723" s="842"/>
    </row>
    <row r="1724" spans="34:45">
      <c r="AH1724" s="1226"/>
      <c r="AI1724" s="841"/>
      <c r="AJ1724" s="841"/>
      <c r="AK1724" s="841"/>
      <c r="AL1724" s="841"/>
      <c r="AM1724" s="841"/>
      <c r="AN1724" s="841"/>
      <c r="AO1724" s="841"/>
      <c r="AP1724" s="841"/>
      <c r="AQ1724" s="841"/>
      <c r="AR1724" s="841"/>
      <c r="AS1724" s="842"/>
    </row>
    <row r="1725" spans="34:45">
      <c r="AH1725" s="1226"/>
      <c r="AI1725" s="841"/>
      <c r="AJ1725" s="841"/>
      <c r="AK1725" s="841"/>
      <c r="AL1725" s="841"/>
      <c r="AM1725" s="841"/>
      <c r="AN1725" s="841"/>
      <c r="AO1725" s="841"/>
      <c r="AP1725" s="841"/>
      <c r="AQ1725" s="841"/>
      <c r="AR1725" s="841"/>
      <c r="AS1725" s="842"/>
    </row>
    <row r="1726" spans="34:45">
      <c r="AH1726" s="1226"/>
      <c r="AI1726" s="841"/>
      <c r="AJ1726" s="841"/>
      <c r="AK1726" s="841"/>
      <c r="AL1726" s="841"/>
      <c r="AM1726" s="841"/>
      <c r="AN1726" s="841"/>
      <c r="AO1726" s="841"/>
      <c r="AP1726" s="841"/>
      <c r="AQ1726" s="841"/>
      <c r="AR1726" s="841"/>
      <c r="AS1726" s="842"/>
    </row>
    <row r="1727" spans="34:45">
      <c r="AH1727" s="1226"/>
      <c r="AI1727" s="841"/>
      <c r="AJ1727" s="841"/>
      <c r="AK1727" s="841"/>
      <c r="AL1727" s="841"/>
      <c r="AM1727" s="841"/>
      <c r="AN1727" s="841"/>
      <c r="AO1727" s="841"/>
      <c r="AP1727" s="841"/>
      <c r="AQ1727" s="841"/>
      <c r="AR1727" s="841"/>
      <c r="AS1727" s="842"/>
    </row>
    <row r="1728" spans="34:45">
      <c r="AH1728" s="1226"/>
      <c r="AI1728" s="841"/>
      <c r="AJ1728" s="841"/>
      <c r="AK1728" s="841"/>
      <c r="AL1728" s="841"/>
      <c r="AM1728" s="841"/>
      <c r="AN1728" s="841"/>
      <c r="AO1728" s="841"/>
      <c r="AP1728" s="841"/>
      <c r="AQ1728" s="841"/>
      <c r="AR1728" s="841"/>
      <c r="AS1728" s="842"/>
    </row>
    <row r="1729" spans="34:45">
      <c r="AH1729" s="1226"/>
      <c r="AI1729" s="841"/>
      <c r="AJ1729" s="841"/>
      <c r="AK1729" s="841"/>
      <c r="AL1729" s="841"/>
      <c r="AM1729" s="841"/>
      <c r="AN1729" s="841"/>
      <c r="AO1729" s="841"/>
      <c r="AP1729" s="841"/>
      <c r="AQ1729" s="841"/>
      <c r="AR1729" s="841"/>
      <c r="AS1729" s="842"/>
    </row>
    <row r="1730" spans="34:45">
      <c r="AH1730" s="1226"/>
      <c r="AI1730" s="841"/>
      <c r="AJ1730" s="841"/>
      <c r="AK1730" s="841"/>
      <c r="AL1730" s="841"/>
      <c r="AM1730" s="841"/>
      <c r="AN1730" s="841"/>
      <c r="AO1730" s="841"/>
      <c r="AP1730" s="841"/>
      <c r="AQ1730" s="841"/>
      <c r="AR1730" s="841"/>
      <c r="AS1730" s="842"/>
    </row>
    <row r="1731" spans="34:45">
      <c r="AH1731" s="1226"/>
      <c r="AI1731" s="841"/>
      <c r="AJ1731" s="841"/>
      <c r="AK1731" s="841"/>
      <c r="AL1731" s="841"/>
      <c r="AM1731" s="841"/>
      <c r="AN1731" s="841"/>
      <c r="AO1731" s="841"/>
      <c r="AP1731" s="841"/>
      <c r="AQ1731" s="841"/>
      <c r="AR1731" s="841"/>
      <c r="AS1731" s="842"/>
    </row>
    <row r="1732" spans="34:45">
      <c r="AH1732" s="1226"/>
      <c r="AI1732" s="841"/>
      <c r="AJ1732" s="841"/>
      <c r="AK1732" s="841"/>
      <c r="AL1732" s="841"/>
      <c r="AM1732" s="841"/>
      <c r="AN1732" s="841"/>
      <c r="AO1732" s="841"/>
      <c r="AP1732" s="841"/>
      <c r="AQ1732" s="841"/>
      <c r="AR1732" s="841"/>
      <c r="AS1732" s="842"/>
    </row>
    <row r="1733" spans="34:45">
      <c r="AH1733" s="1226"/>
      <c r="AI1733" s="841"/>
      <c r="AJ1733" s="841"/>
      <c r="AK1733" s="841"/>
      <c r="AL1733" s="841"/>
      <c r="AM1733" s="841"/>
      <c r="AN1733" s="841"/>
      <c r="AO1733" s="841"/>
      <c r="AP1733" s="841"/>
      <c r="AQ1733" s="841"/>
      <c r="AR1733" s="841"/>
      <c r="AS1733" s="842"/>
    </row>
    <row r="1734" spans="34:45">
      <c r="AH1734" s="1226"/>
      <c r="AI1734" s="841"/>
      <c r="AJ1734" s="841"/>
      <c r="AK1734" s="841"/>
      <c r="AL1734" s="841"/>
      <c r="AM1734" s="841"/>
      <c r="AN1734" s="841"/>
      <c r="AO1734" s="841"/>
      <c r="AP1734" s="841"/>
      <c r="AQ1734" s="841"/>
      <c r="AR1734" s="841"/>
      <c r="AS1734" s="842"/>
    </row>
    <row r="1735" spans="34:45">
      <c r="AH1735" s="1226"/>
      <c r="AI1735" s="841"/>
      <c r="AJ1735" s="841"/>
      <c r="AK1735" s="841"/>
      <c r="AL1735" s="841"/>
      <c r="AM1735" s="841"/>
      <c r="AN1735" s="841"/>
      <c r="AO1735" s="841"/>
      <c r="AP1735" s="841"/>
      <c r="AQ1735" s="841"/>
      <c r="AR1735" s="841"/>
      <c r="AS1735" s="842"/>
    </row>
    <row r="1736" spans="34:45">
      <c r="AH1736" s="1226"/>
      <c r="AI1736" s="841"/>
      <c r="AJ1736" s="841"/>
      <c r="AK1736" s="841"/>
      <c r="AL1736" s="841"/>
      <c r="AM1736" s="841"/>
      <c r="AN1736" s="841"/>
      <c r="AO1736" s="841"/>
      <c r="AP1736" s="841"/>
      <c r="AQ1736" s="841"/>
      <c r="AR1736" s="841"/>
      <c r="AS1736" s="842"/>
    </row>
    <row r="1737" spans="34:45">
      <c r="AH1737" s="1226"/>
      <c r="AI1737" s="841"/>
      <c r="AJ1737" s="841"/>
      <c r="AK1737" s="841"/>
      <c r="AL1737" s="841"/>
      <c r="AM1737" s="841"/>
      <c r="AN1737" s="841"/>
      <c r="AO1737" s="841"/>
      <c r="AP1737" s="841"/>
      <c r="AQ1737" s="841"/>
      <c r="AR1737" s="841"/>
      <c r="AS1737" s="842"/>
    </row>
    <row r="1738" spans="34:45">
      <c r="AH1738" s="1226"/>
      <c r="AI1738" s="841"/>
      <c r="AJ1738" s="841"/>
      <c r="AK1738" s="841"/>
      <c r="AL1738" s="841"/>
      <c r="AM1738" s="841"/>
      <c r="AN1738" s="841"/>
      <c r="AO1738" s="841"/>
      <c r="AP1738" s="841"/>
      <c r="AQ1738" s="841"/>
      <c r="AR1738" s="841"/>
      <c r="AS1738" s="842"/>
    </row>
    <row r="1739" spans="34:45">
      <c r="AH1739" s="1226"/>
      <c r="AI1739" s="841"/>
      <c r="AJ1739" s="841"/>
      <c r="AK1739" s="841"/>
      <c r="AL1739" s="841"/>
      <c r="AM1739" s="841"/>
      <c r="AN1739" s="841"/>
      <c r="AO1739" s="841"/>
      <c r="AP1739" s="841"/>
      <c r="AQ1739" s="841"/>
      <c r="AR1739" s="841"/>
      <c r="AS1739" s="842"/>
    </row>
    <row r="1740" spans="34:45">
      <c r="AH1740" s="1226"/>
      <c r="AI1740" s="841"/>
      <c r="AJ1740" s="841"/>
      <c r="AK1740" s="841"/>
      <c r="AL1740" s="841"/>
      <c r="AM1740" s="841"/>
      <c r="AN1740" s="841"/>
      <c r="AO1740" s="841"/>
      <c r="AP1740" s="841"/>
      <c r="AQ1740" s="841"/>
      <c r="AR1740" s="841"/>
      <c r="AS1740" s="842"/>
    </row>
    <row r="1741" spans="34:45">
      <c r="AH1741" s="1226"/>
      <c r="AI1741" s="841"/>
      <c r="AJ1741" s="841"/>
      <c r="AK1741" s="841"/>
      <c r="AL1741" s="841"/>
      <c r="AM1741" s="841"/>
      <c r="AN1741" s="841"/>
      <c r="AO1741" s="841"/>
      <c r="AP1741" s="841"/>
      <c r="AQ1741" s="841"/>
      <c r="AR1741" s="841"/>
      <c r="AS1741" s="842"/>
    </row>
    <row r="1742" spans="34:45">
      <c r="AH1742" s="1226"/>
      <c r="AI1742" s="841"/>
      <c r="AJ1742" s="841"/>
      <c r="AK1742" s="841"/>
      <c r="AL1742" s="841"/>
      <c r="AM1742" s="841"/>
      <c r="AN1742" s="841"/>
      <c r="AO1742" s="841"/>
      <c r="AP1742" s="841"/>
      <c r="AQ1742" s="841"/>
      <c r="AR1742" s="841"/>
      <c r="AS1742" s="842"/>
    </row>
    <row r="1743" spans="34:45">
      <c r="AH1743" s="1226"/>
      <c r="AI1743" s="841"/>
      <c r="AJ1743" s="841"/>
      <c r="AK1743" s="841"/>
      <c r="AL1743" s="841"/>
      <c r="AM1743" s="841"/>
      <c r="AN1743" s="841"/>
      <c r="AO1743" s="841"/>
      <c r="AP1743" s="841"/>
      <c r="AQ1743" s="841"/>
      <c r="AR1743" s="841"/>
      <c r="AS1743" s="842"/>
    </row>
    <row r="1744" spans="34:45">
      <c r="AH1744" s="1226"/>
      <c r="AI1744" s="841"/>
      <c r="AJ1744" s="841"/>
      <c r="AK1744" s="841"/>
      <c r="AL1744" s="841"/>
      <c r="AM1744" s="841"/>
      <c r="AN1744" s="841"/>
      <c r="AO1744" s="841"/>
      <c r="AP1744" s="841"/>
      <c r="AQ1744" s="841"/>
      <c r="AR1744" s="841"/>
      <c r="AS1744" s="842"/>
    </row>
    <row r="1745" spans="34:45">
      <c r="AH1745" s="1226"/>
      <c r="AI1745" s="841"/>
      <c r="AJ1745" s="841"/>
      <c r="AK1745" s="841"/>
      <c r="AL1745" s="841"/>
      <c r="AM1745" s="841"/>
      <c r="AN1745" s="841"/>
      <c r="AO1745" s="841"/>
      <c r="AP1745" s="841"/>
      <c r="AQ1745" s="841"/>
      <c r="AR1745" s="841"/>
      <c r="AS1745" s="842"/>
    </row>
    <row r="1746" spans="34:45">
      <c r="AH1746" s="1226"/>
      <c r="AI1746" s="841"/>
      <c r="AJ1746" s="841"/>
      <c r="AK1746" s="841"/>
      <c r="AL1746" s="841"/>
      <c r="AM1746" s="841"/>
      <c r="AN1746" s="841"/>
      <c r="AO1746" s="841"/>
      <c r="AP1746" s="841"/>
      <c r="AQ1746" s="841"/>
      <c r="AR1746" s="841"/>
      <c r="AS1746" s="842"/>
    </row>
    <row r="1747" spans="34:45">
      <c r="AH1747" s="1226"/>
      <c r="AI1747" s="841"/>
      <c r="AJ1747" s="841"/>
      <c r="AK1747" s="841"/>
      <c r="AL1747" s="841"/>
      <c r="AM1747" s="841"/>
      <c r="AN1747" s="841"/>
      <c r="AO1747" s="841"/>
      <c r="AP1747" s="841"/>
      <c r="AQ1747" s="841"/>
      <c r="AR1747" s="841"/>
      <c r="AS1747" s="842"/>
    </row>
    <row r="1748" spans="34:45">
      <c r="AH1748" s="1226"/>
      <c r="AI1748" s="841"/>
      <c r="AJ1748" s="841"/>
      <c r="AK1748" s="841"/>
      <c r="AL1748" s="841"/>
      <c r="AM1748" s="841"/>
      <c r="AN1748" s="841"/>
      <c r="AO1748" s="841"/>
      <c r="AP1748" s="841"/>
      <c r="AQ1748" s="841"/>
      <c r="AR1748" s="841"/>
      <c r="AS1748" s="842"/>
    </row>
    <row r="1749" spans="34:45">
      <c r="AH1749" s="1226"/>
      <c r="AI1749" s="841"/>
      <c r="AJ1749" s="841"/>
      <c r="AK1749" s="841"/>
      <c r="AL1749" s="841"/>
      <c r="AM1749" s="841"/>
      <c r="AN1749" s="841"/>
      <c r="AO1749" s="841"/>
      <c r="AP1749" s="841"/>
      <c r="AQ1749" s="841"/>
      <c r="AR1749" s="841"/>
      <c r="AS1749" s="842"/>
    </row>
    <row r="1750" spans="34:45">
      <c r="AH1750" s="1226"/>
      <c r="AI1750" s="841"/>
      <c r="AJ1750" s="841"/>
      <c r="AK1750" s="841"/>
      <c r="AL1750" s="841"/>
      <c r="AM1750" s="841"/>
      <c r="AN1750" s="841"/>
      <c r="AO1750" s="841"/>
      <c r="AP1750" s="841"/>
      <c r="AQ1750" s="841"/>
      <c r="AR1750" s="841"/>
      <c r="AS1750" s="842"/>
    </row>
    <row r="1751" spans="34:45">
      <c r="AH1751" s="1226"/>
      <c r="AI1751" s="841"/>
      <c r="AJ1751" s="841"/>
      <c r="AK1751" s="841"/>
      <c r="AL1751" s="841"/>
      <c r="AM1751" s="841"/>
      <c r="AN1751" s="841"/>
      <c r="AO1751" s="841"/>
      <c r="AP1751" s="841"/>
      <c r="AQ1751" s="841"/>
      <c r="AR1751" s="841"/>
      <c r="AS1751" s="842"/>
    </row>
    <row r="1752" spans="34:45">
      <c r="AH1752" s="1226"/>
      <c r="AI1752" s="841"/>
      <c r="AJ1752" s="841"/>
      <c r="AK1752" s="841"/>
      <c r="AL1752" s="841"/>
      <c r="AM1752" s="841"/>
      <c r="AN1752" s="841"/>
      <c r="AO1752" s="841"/>
      <c r="AP1752" s="841"/>
      <c r="AQ1752" s="841"/>
      <c r="AR1752" s="841"/>
      <c r="AS1752" s="842"/>
    </row>
    <row r="1753" spans="34:45">
      <c r="AH1753" s="1226"/>
      <c r="AI1753" s="841"/>
      <c r="AJ1753" s="841"/>
      <c r="AK1753" s="841"/>
      <c r="AL1753" s="841"/>
      <c r="AM1753" s="841"/>
      <c r="AN1753" s="841"/>
      <c r="AO1753" s="841"/>
      <c r="AP1753" s="841"/>
      <c r="AQ1753" s="841"/>
      <c r="AR1753" s="841"/>
      <c r="AS1753" s="842"/>
    </row>
    <row r="1754" spans="34:45">
      <c r="AH1754" s="1226"/>
      <c r="AI1754" s="841"/>
      <c r="AJ1754" s="841"/>
      <c r="AK1754" s="841"/>
      <c r="AL1754" s="841"/>
      <c r="AM1754" s="841"/>
      <c r="AN1754" s="841"/>
      <c r="AO1754" s="841"/>
      <c r="AP1754" s="841"/>
      <c r="AQ1754" s="841"/>
      <c r="AR1754" s="841"/>
      <c r="AS1754" s="842"/>
    </row>
    <row r="1755" spans="34:45">
      <c r="AH1755" s="1226"/>
      <c r="AI1755" s="841"/>
      <c r="AJ1755" s="841"/>
      <c r="AK1755" s="841"/>
      <c r="AL1755" s="841"/>
      <c r="AM1755" s="841"/>
      <c r="AN1755" s="841"/>
      <c r="AO1755" s="841"/>
      <c r="AP1755" s="841"/>
      <c r="AQ1755" s="841"/>
      <c r="AR1755" s="841"/>
      <c r="AS1755" s="842"/>
    </row>
    <row r="1756" spans="34:45">
      <c r="AH1756" s="1226"/>
      <c r="AI1756" s="841"/>
      <c r="AJ1756" s="841"/>
      <c r="AK1756" s="841"/>
      <c r="AL1756" s="841"/>
      <c r="AM1756" s="841"/>
      <c r="AN1756" s="841"/>
      <c r="AO1756" s="841"/>
      <c r="AP1756" s="841"/>
      <c r="AQ1756" s="841"/>
      <c r="AR1756" s="841"/>
      <c r="AS1756" s="842"/>
    </row>
    <row r="1757" spans="34:45">
      <c r="AH1757" s="1226"/>
      <c r="AI1757" s="841"/>
      <c r="AJ1757" s="841"/>
      <c r="AK1757" s="841"/>
      <c r="AL1757" s="841"/>
      <c r="AM1757" s="841"/>
      <c r="AN1757" s="841"/>
      <c r="AO1757" s="841"/>
      <c r="AP1757" s="841"/>
      <c r="AQ1757" s="841"/>
      <c r="AR1757" s="841"/>
      <c r="AS1757" s="842"/>
    </row>
    <row r="1758" spans="34:45">
      <c r="AH1758" s="1226"/>
      <c r="AI1758" s="841"/>
      <c r="AJ1758" s="841"/>
      <c r="AK1758" s="841"/>
      <c r="AL1758" s="841"/>
      <c r="AM1758" s="841"/>
      <c r="AN1758" s="841"/>
      <c r="AO1758" s="841"/>
      <c r="AP1758" s="841"/>
      <c r="AQ1758" s="841"/>
      <c r="AR1758" s="841"/>
      <c r="AS1758" s="842"/>
    </row>
    <row r="1759" spans="34:45">
      <c r="AH1759" s="1226"/>
      <c r="AI1759" s="841"/>
      <c r="AJ1759" s="841"/>
      <c r="AK1759" s="841"/>
      <c r="AL1759" s="841"/>
      <c r="AM1759" s="841"/>
      <c r="AN1759" s="841"/>
      <c r="AO1759" s="841"/>
      <c r="AP1759" s="841"/>
      <c r="AQ1759" s="841"/>
      <c r="AR1759" s="841"/>
      <c r="AS1759" s="842"/>
    </row>
    <row r="1760" spans="34:45">
      <c r="AH1760" s="1226"/>
      <c r="AI1760" s="841"/>
      <c r="AJ1760" s="841"/>
      <c r="AK1760" s="841"/>
      <c r="AL1760" s="841"/>
      <c r="AM1760" s="841"/>
      <c r="AN1760" s="841"/>
      <c r="AO1760" s="841"/>
      <c r="AP1760" s="841"/>
      <c r="AQ1760" s="841"/>
      <c r="AR1760" s="841"/>
      <c r="AS1760" s="842"/>
    </row>
    <row r="1761" spans="34:45">
      <c r="AH1761" s="1226"/>
      <c r="AI1761" s="841"/>
      <c r="AJ1761" s="841"/>
      <c r="AK1761" s="841"/>
      <c r="AL1761" s="841"/>
      <c r="AM1761" s="841"/>
      <c r="AN1761" s="841"/>
      <c r="AO1761" s="841"/>
      <c r="AP1761" s="841"/>
      <c r="AQ1761" s="841"/>
      <c r="AR1761" s="841"/>
      <c r="AS1761" s="842"/>
    </row>
    <row r="1762" spans="34:45">
      <c r="AH1762" s="1226"/>
      <c r="AI1762" s="841"/>
      <c r="AJ1762" s="841"/>
      <c r="AK1762" s="841"/>
      <c r="AL1762" s="841"/>
      <c r="AM1762" s="841"/>
      <c r="AN1762" s="841"/>
      <c r="AO1762" s="841"/>
      <c r="AP1762" s="841"/>
      <c r="AQ1762" s="841"/>
      <c r="AR1762" s="841"/>
      <c r="AS1762" s="842"/>
    </row>
    <row r="1763" spans="34:45">
      <c r="AH1763" s="1226"/>
      <c r="AI1763" s="841"/>
      <c r="AJ1763" s="841"/>
      <c r="AK1763" s="841"/>
      <c r="AL1763" s="841"/>
      <c r="AM1763" s="841"/>
      <c r="AN1763" s="841"/>
      <c r="AO1763" s="841"/>
      <c r="AP1763" s="841"/>
      <c r="AQ1763" s="841"/>
      <c r="AR1763" s="841"/>
      <c r="AS1763" s="842"/>
    </row>
    <row r="1764" spans="34:45">
      <c r="AH1764" s="1226"/>
      <c r="AI1764" s="841"/>
      <c r="AJ1764" s="841"/>
      <c r="AK1764" s="841"/>
      <c r="AL1764" s="841"/>
      <c r="AM1764" s="841"/>
      <c r="AN1764" s="841"/>
      <c r="AO1764" s="841"/>
      <c r="AP1764" s="841"/>
      <c r="AQ1764" s="841"/>
      <c r="AR1764" s="841"/>
      <c r="AS1764" s="842"/>
    </row>
    <row r="1765" spans="34:45">
      <c r="AH1765" s="1226"/>
      <c r="AI1765" s="841"/>
      <c r="AJ1765" s="841"/>
      <c r="AK1765" s="841"/>
      <c r="AL1765" s="841"/>
      <c r="AM1765" s="841"/>
      <c r="AN1765" s="841"/>
      <c r="AO1765" s="841"/>
      <c r="AP1765" s="841"/>
      <c r="AQ1765" s="841"/>
      <c r="AR1765" s="841"/>
      <c r="AS1765" s="842"/>
    </row>
    <row r="1766" spans="34:45">
      <c r="AH1766" s="1226"/>
      <c r="AI1766" s="841"/>
      <c r="AJ1766" s="841"/>
      <c r="AK1766" s="841"/>
      <c r="AL1766" s="841"/>
      <c r="AM1766" s="841"/>
      <c r="AN1766" s="841"/>
      <c r="AO1766" s="841"/>
      <c r="AP1766" s="841"/>
      <c r="AQ1766" s="841"/>
      <c r="AR1766" s="841"/>
      <c r="AS1766" s="842"/>
    </row>
    <row r="1767" spans="34:45">
      <c r="AH1767" s="1226"/>
      <c r="AI1767" s="841"/>
      <c r="AJ1767" s="841"/>
      <c r="AK1767" s="841"/>
      <c r="AL1767" s="841"/>
      <c r="AM1767" s="841"/>
      <c r="AN1767" s="841"/>
      <c r="AO1767" s="841"/>
      <c r="AP1767" s="841"/>
      <c r="AQ1767" s="841"/>
      <c r="AR1767" s="841"/>
      <c r="AS1767" s="842"/>
    </row>
    <row r="1768" spans="34:45">
      <c r="AH1768" s="1226"/>
      <c r="AI1768" s="841"/>
      <c r="AJ1768" s="841"/>
      <c r="AK1768" s="841"/>
      <c r="AL1768" s="841"/>
      <c r="AM1768" s="841"/>
      <c r="AN1768" s="841"/>
      <c r="AO1768" s="841"/>
      <c r="AP1768" s="841"/>
      <c r="AQ1768" s="841"/>
      <c r="AR1768" s="841"/>
      <c r="AS1768" s="842"/>
    </row>
    <row r="1769" spans="34:45">
      <c r="AH1769" s="1226"/>
      <c r="AI1769" s="841"/>
      <c r="AJ1769" s="841"/>
      <c r="AK1769" s="841"/>
      <c r="AL1769" s="841"/>
      <c r="AM1769" s="841"/>
      <c r="AN1769" s="841"/>
      <c r="AO1769" s="841"/>
      <c r="AP1769" s="841"/>
      <c r="AQ1769" s="841"/>
      <c r="AR1769" s="841"/>
      <c r="AS1769" s="842"/>
    </row>
    <row r="1770" spans="34:45">
      <c r="AH1770" s="1226"/>
      <c r="AI1770" s="841"/>
      <c r="AJ1770" s="841"/>
      <c r="AK1770" s="841"/>
      <c r="AL1770" s="841"/>
      <c r="AM1770" s="841"/>
      <c r="AN1770" s="841"/>
      <c r="AO1770" s="841"/>
      <c r="AP1770" s="841"/>
      <c r="AQ1770" s="841"/>
      <c r="AR1770" s="841"/>
      <c r="AS1770" s="842"/>
    </row>
    <row r="1771" spans="34:45">
      <c r="AH1771" s="1226"/>
      <c r="AI1771" s="841"/>
      <c r="AJ1771" s="841"/>
      <c r="AK1771" s="841"/>
      <c r="AL1771" s="841"/>
      <c r="AM1771" s="841"/>
      <c r="AN1771" s="841"/>
      <c r="AO1771" s="841"/>
      <c r="AP1771" s="841"/>
      <c r="AQ1771" s="841"/>
      <c r="AR1771" s="841"/>
      <c r="AS1771" s="842"/>
    </row>
    <row r="1772" spans="34:45">
      <c r="AH1772" s="1226"/>
      <c r="AI1772" s="841"/>
      <c r="AJ1772" s="841"/>
      <c r="AK1772" s="841"/>
      <c r="AL1772" s="841"/>
      <c r="AM1772" s="841"/>
      <c r="AN1772" s="841"/>
      <c r="AO1772" s="841"/>
      <c r="AP1772" s="841"/>
      <c r="AQ1772" s="841"/>
      <c r="AR1772" s="841"/>
      <c r="AS1772" s="842"/>
    </row>
    <row r="1773" spans="34:45">
      <c r="AH1773" s="1226"/>
      <c r="AI1773" s="841"/>
      <c r="AJ1773" s="841"/>
      <c r="AK1773" s="841"/>
      <c r="AL1773" s="841"/>
      <c r="AM1773" s="841"/>
      <c r="AN1773" s="841"/>
      <c r="AO1773" s="841"/>
      <c r="AP1773" s="841"/>
      <c r="AQ1773" s="841"/>
      <c r="AR1773" s="841"/>
      <c r="AS1773" s="842"/>
    </row>
    <row r="1774" spans="34:45">
      <c r="AH1774" s="1226"/>
      <c r="AI1774" s="841"/>
      <c r="AJ1774" s="841"/>
      <c r="AK1774" s="841"/>
      <c r="AL1774" s="841"/>
      <c r="AM1774" s="841"/>
      <c r="AN1774" s="841"/>
      <c r="AO1774" s="841"/>
      <c r="AP1774" s="841"/>
      <c r="AQ1774" s="841"/>
      <c r="AR1774" s="841"/>
      <c r="AS1774" s="842"/>
    </row>
    <row r="1775" spans="34:45">
      <c r="AH1775" s="1226"/>
      <c r="AI1775" s="841"/>
      <c r="AJ1775" s="841"/>
      <c r="AK1775" s="841"/>
      <c r="AL1775" s="841"/>
      <c r="AM1775" s="841"/>
      <c r="AN1775" s="841"/>
      <c r="AO1775" s="841"/>
      <c r="AP1775" s="841"/>
      <c r="AQ1775" s="841"/>
      <c r="AR1775" s="841"/>
      <c r="AS1775" s="842"/>
    </row>
    <row r="1776" spans="34:45">
      <c r="AH1776" s="1226"/>
      <c r="AI1776" s="841"/>
      <c r="AJ1776" s="841"/>
      <c r="AK1776" s="841"/>
      <c r="AL1776" s="841"/>
      <c r="AM1776" s="841"/>
      <c r="AN1776" s="841"/>
      <c r="AO1776" s="841"/>
      <c r="AP1776" s="841"/>
      <c r="AQ1776" s="841"/>
      <c r="AR1776" s="841"/>
      <c r="AS1776" s="842"/>
    </row>
    <row r="1777" spans="34:45">
      <c r="AH1777" s="1226"/>
      <c r="AI1777" s="841"/>
      <c r="AJ1777" s="841"/>
      <c r="AK1777" s="841"/>
      <c r="AL1777" s="841"/>
      <c r="AM1777" s="841"/>
      <c r="AN1777" s="841"/>
      <c r="AO1777" s="841"/>
      <c r="AP1777" s="841"/>
      <c r="AQ1777" s="841"/>
      <c r="AR1777" s="841"/>
      <c r="AS1777" s="842"/>
    </row>
    <row r="1778" spans="34:45">
      <c r="AH1778" s="1226"/>
      <c r="AI1778" s="841"/>
      <c r="AJ1778" s="841"/>
      <c r="AK1778" s="841"/>
      <c r="AL1778" s="841"/>
      <c r="AM1778" s="841"/>
      <c r="AN1778" s="841"/>
      <c r="AO1778" s="841"/>
      <c r="AP1778" s="841"/>
      <c r="AQ1778" s="841"/>
      <c r="AR1778" s="841"/>
      <c r="AS1778" s="842"/>
    </row>
    <row r="1779" spans="34:45">
      <c r="AH1779" s="1226"/>
      <c r="AI1779" s="841"/>
      <c r="AJ1779" s="841"/>
      <c r="AK1779" s="841"/>
      <c r="AL1779" s="841"/>
      <c r="AM1779" s="841"/>
      <c r="AN1779" s="841"/>
      <c r="AO1779" s="841"/>
      <c r="AP1779" s="841"/>
      <c r="AQ1779" s="841"/>
      <c r="AR1779" s="841"/>
      <c r="AS1779" s="842"/>
    </row>
    <row r="1780" spans="34:45">
      <c r="AH1780" s="1226"/>
      <c r="AI1780" s="841"/>
      <c r="AJ1780" s="841"/>
      <c r="AK1780" s="841"/>
      <c r="AL1780" s="841"/>
      <c r="AM1780" s="841"/>
      <c r="AN1780" s="841"/>
      <c r="AO1780" s="841"/>
      <c r="AP1780" s="841"/>
      <c r="AQ1780" s="841"/>
      <c r="AR1780" s="841"/>
      <c r="AS1780" s="842"/>
    </row>
    <row r="1781" spans="34:45">
      <c r="AH1781" s="1226"/>
      <c r="AI1781" s="841"/>
      <c r="AJ1781" s="841"/>
      <c r="AK1781" s="841"/>
      <c r="AL1781" s="841"/>
      <c r="AM1781" s="841"/>
      <c r="AN1781" s="841"/>
      <c r="AO1781" s="841"/>
      <c r="AP1781" s="841"/>
      <c r="AQ1781" s="841"/>
      <c r="AR1781" s="841"/>
      <c r="AS1781" s="842"/>
    </row>
    <row r="1782" spans="34:45">
      <c r="AH1782" s="1226"/>
      <c r="AI1782" s="841"/>
      <c r="AJ1782" s="841"/>
      <c r="AK1782" s="841"/>
      <c r="AL1782" s="841"/>
      <c r="AM1782" s="841"/>
      <c r="AN1782" s="841"/>
      <c r="AO1782" s="841"/>
      <c r="AP1782" s="841"/>
      <c r="AQ1782" s="841"/>
      <c r="AR1782" s="841"/>
      <c r="AS1782" s="842"/>
    </row>
    <row r="1783" spans="34:45">
      <c r="AH1783" s="1226"/>
      <c r="AI1783" s="841"/>
      <c r="AJ1783" s="841"/>
      <c r="AK1783" s="841"/>
      <c r="AL1783" s="841"/>
      <c r="AM1783" s="841"/>
      <c r="AN1783" s="841"/>
      <c r="AO1783" s="841"/>
      <c r="AP1783" s="841"/>
      <c r="AQ1783" s="841"/>
      <c r="AR1783" s="841"/>
      <c r="AS1783" s="842"/>
    </row>
    <row r="1784" spans="34:45">
      <c r="AH1784" s="1226"/>
      <c r="AI1784" s="841"/>
      <c r="AJ1784" s="841"/>
      <c r="AK1784" s="841"/>
      <c r="AL1784" s="841"/>
      <c r="AM1784" s="841"/>
      <c r="AN1784" s="841"/>
      <c r="AO1784" s="841"/>
      <c r="AP1784" s="841"/>
      <c r="AQ1784" s="841"/>
      <c r="AR1784" s="841"/>
      <c r="AS1784" s="842"/>
    </row>
    <row r="1785" spans="34:45">
      <c r="AH1785" s="1226"/>
      <c r="AI1785" s="841"/>
      <c r="AJ1785" s="841"/>
      <c r="AK1785" s="841"/>
      <c r="AL1785" s="841"/>
      <c r="AM1785" s="841"/>
      <c r="AN1785" s="841"/>
      <c r="AO1785" s="841"/>
      <c r="AP1785" s="841"/>
      <c r="AQ1785" s="841"/>
      <c r="AR1785" s="841"/>
      <c r="AS1785" s="842"/>
    </row>
    <row r="1786" spans="34:45">
      <c r="AH1786" s="1226"/>
      <c r="AI1786" s="841"/>
      <c r="AJ1786" s="841"/>
      <c r="AK1786" s="841"/>
      <c r="AL1786" s="841"/>
      <c r="AM1786" s="841"/>
      <c r="AN1786" s="841"/>
      <c r="AO1786" s="841"/>
      <c r="AP1786" s="841"/>
      <c r="AQ1786" s="841"/>
      <c r="AR1786" s="841"/>
      <c r="AS1786" s="842"/>
    </row>
    <row r="1787" spans="34:45">
      <c r="AH1787" s="1226"/>
      <c r="AI1787" s="841"/>
      <c r="AJ1787" s="841"/>
      <c r="AK1787" s="841"/>
      <c r="AL1787" s="841"/>
      <c r="AM1787" s="841"/>
      <c r="AN1787" s="841"/>
      <c r="AO1787" s="841"/>
      <c r="AP1787" s="841"/>
      <c r="AQ1787" s="841"/>
      <c r="AR1787" s="841"/>
      <c r="AS1787" s="842"/>
    </row>
    <row r="1788" spans="34:45">
      <c r="AH1788" s="1226"/>
      <c r="AI1788" s="841"/>
      <c r="AJ1788" s="841"/>
      <c r="AK1788" s="841"/>
      <c r="AL1788" s="841"/>
      <c r="AM1788" s="841"/>
      <c r="AN1788" s="841"/>
      <c r="AO1788" s="841"/>
      <c r="AP1788" s="841"/>
      <c r="AQ1788" s="841"/>
      <c r="AR1788" s="841"/>
      <c r="AS1788" s="842"/>
    </row>
    <row r="1789" spans="34:45">
      <c r="AH1789" s="1226"/>
      <c r="AI1789" s="841"/>
      <c r="AJ1789" s="841"/>
      <c r="AK1789" s="841"/>
      <c r="AL1789" s="841"/>
      <c r="AM1789" s="841"/>
      <c r="AN1789" s="841"/>
      <c r="AO1789" s="841"/>
      <c r="AP1789" s="841"/>
      <c r="AQ1789" s="841"/>
      <c r="AR1789" s="841"/>
      <c r="AS1789" s="842"/>
    </row>
    <row r="1790" spans="34:45">
      <c r="AH1790" s="1226"/>
      <c r="AI1790" s="841"/>
      <c r="AJ1790" s="841"/>
      <c r="AK1790" s="841"/>
      <c r="AL1790" s="841"/>
      <c r="AM1790" s="841"/>
      <c r="AN1790" s="841"/>
      <c r="AO1790" s="841"/>
      <c r="AP1790" s="841"/>
      <c r="AQ1790" s="841"/>
      <c r="AR1790" s="841"/>
      <c r="AS1790" s="842"/>
    </row>
    <row r="1791" spans="34:45">
      <c r="AH1791" s="1226"/>
      <c r="AI1791" s="841"/>
      <c r="AJ1791" s="841"/>
      <c r="AK1791" s="841"/>
      <c r="AL1791" s="841"/>
      <c r="AM1791" s="841"/>
      <c r="AN1791" s="841"/>
      <c r="AO1791" s="841"/>
      <c r="AP1791" s="841"/>
      <c r="AQ1791" s="841"/>
      <c r="AR1791" s="841"/>
      <c r="AS1791" s="842"/>
    </row>
    <row r="1792" spans="34:45">
      <c r="AH1792" s="1226"/>
      <c r="AI1792" s="841"/>
      <c r="AJ1792" s="841"/>
      <c r="AK1792" s="841"/>
      <c r="AL1792" s="841"/>
      <c r="AM1792" s="841"/>
      <c r="AN1792" s="841"/>
      <c r="AO1792" s="841"/>
      <c r="AP1792" s="841"/>
      <c r="AQ1792" s="841"/>
      <c r="AR1792" s="841"/>
      <c r="AS1792" s="842"/>
    </row>
    <row r="1793" spans="34:45">
      <c r="AH1793" s="1226"/>
      <c r="AI1793" s="841"/>
      <c r="AJ1793" s="841"/>
      <c r="AK1793" s="841"/>
      <c r="AL1793" s="841"/>
      <c r="AM1793" s="841"/>
      <c r="AN1793" s="841"/>
      <c r="AO1793" s="841"/>
      <c r="AP1793" s="841"/>
      <c r="AQ1793" s="841"/>
      <c r="AR1793" s="841"/>
      <c r="AS1793" s="842"/>
    </row>
    <row r="1794" spans="34:45">
      <c r="AH1794" s="1226"/>
      <c r="AI1794" s="841"/>
      <c r="AJ1794" s="841"/>
      <c r="AK1794" s="841"/>
      <c r="AL1794" s="841"/>
      <c r="AM1794" s="841"/>
      <c r="AN1794" s="841"/>
      <c r="AO1794" s="841"/>
      <c r="AP1794" s="841"/>
      <c r="AQ1794" s="841"/>
      <c r="AR1794" s="841"/>
      <c r="AS1794" s="842"/>
    </row>
    <row r="1795" spans="34:45">
      <c r="AH1795" s="1226"/>
      <c r="AI1795" s="841"/>
      <c r="AJ1795" s="841"/>
      <c r="AK1795" s="841"/>
      <c r="AL1795" s="841"/>
      <c r="AM1795" s="841"/>
      <c r="AN1795" s="841"/>
      <c r="AO1795" s="841"/>
      <c r="AP1795" s="841"/>
      <c r="AQ1795" s="841"/>
      <c r="AR1795" s="841"/>
      <c r="AS1795" s="842"/>
    </row>
    <row r="1796" spans="34:45">
      <c r="AH1796" s="1226"/>
      <c r="AI1796" s="841"/>
      <c r="AJ1796" s="841"/>
      <c r="AK1796" s="841"/>
      <c r="AL1796" s="841"/>
      <c r="AM1796" s="841"/>
      <c r="AN1796" s="841"/>
      <c r="AO1796" s="841"/>
      <c r="AP1796" s="841"/>
      <c r="AQ1796" s="841"/>
      <c r="AR1796" s="841"/>
      <c r="AS1796" s="842"/>
    </row>
    <row r="1797" spans="34:45">
      <c r="AH1797" s="1226"/>
      <c r="AI1797" s="841"/>
      <c r="AJ1797" s="841"/>
      <c r="AK1797" s="841"/>
      <c r="AL1797" s="841"/>
      <c r="AM1797" s="841"/>
      <c r="AN1797" s="841"/>
      <c r="AO1797" s="841"/>
      <c r="AP1797" s="841"/>
      <c r="AQ1797" s="841"/>
      <c r="AR1797" s="841"/>
      <c r="AS1797" s="842"/>
    </row>
    <row r="1798" spans="34:45">
      <c r="AH1798" s="1226"/>
      <c r="AI1798" s="841"/>
      <c r="AJ1798" s="841"/>
      <c r="AK1798" s="841"/>
      <c r="AL1798" s="841"/>
      <c r="AM1798" s="841"/>
      <c r="AN1798" s="841"/>
      <c r="AO1798" s="841"/>
      <c r="AP1798" s="841"/>
      <c r="AQ1798" s="841"/>
      <c r="AR1798" s="841"/>
      <c r="AS1798" s="842"/>
    </row>
    <row r="1799" spans="34:45">
      <c r="AH1799" s="1226"/>
      <c r="AI1799" s="841"/>
      <c r="AJ1799" s="841"/>
      <c r="AK1799" s="841"/>
      <c r="AL1799" s="841"/>
      <c r="AM1799" s="841"/>
      <c r="AN1799" s="841"/>
      <c r="AO1799" s="841"/>
      <c r="AP1799" s="841"/>
      <c r="AQ1799" s="841"/>
      <c r="AR1799" s="841"/>
      <c r="AS1799" s="842"/>
    </row>
    <row r="1800" spans="34:45">
      <c r="AH1800" s="1226"/>
      <c r="AI1800" s="841"/>
      <c r="AJ1800" s="841"/>
      <c r="AK1800" s="841"/>
      <c r="AL1800" s="841"/>
      <c r="AM1800" s="841"/>
      <c r="AN1800" s="841"/>
      <c r="AO1800" s="841"/>
      <c r="AP1800" s="841"/>
      <c r="AQ1800" s="841"/>
      <c r="AR1800" s="841"/>
      <c r="AS1800" s="842"/>
    </row>
    <row r="1801" spans="34:45">
      <c r="AH1801" s="1226"/>
      <c r="AI1801" s="841"/>
      <c r="AJ1801" s="841"/>
      <c r="AK1801" s="841"/>
      <c r="AL1801" s="841"/>
      <c r="AM1801" s="841"/>
      <c r="AN1801" s="841"/>
      <c r="AO1801" s="841"/>
      <c r="AP1801" s="841"/>
      <c r="AQ1801" s="841"/>
      <c r="AR1801" s="841"/>
      <c r="AS1801" s="842"/>
    </row>
    <row r="1802" spans="34:45">
      <c r="AH1802" s="1226"/>
      <c r="AI1802" s="841"/>
      <c r="AJ1802" s="841"/>
      <c r="AK1802" s="841"/>
      <c r="AL1802" s="841"/>
      <c r="AM1802" s="841"/>
      <c r="AN1802" s="841"/>
      <c r="AO1802" s="841"/>
      <c r="AP1802" s="841"/>
      <c r="AQ1802" s="841"/>
      <c r="AR1802" s="841"/>
      <c r="AS1802" s="842"/>
    </row>
    <row r="1803" spans="34:45">
      <c r="AH1803" s="1226"/>
      <c r="AI1803" s="841"/>
      <c r="AJ1803" s="841"/>
      <c r="AK1803" s="841"/>
      <c r="AL1803" s="841"/>
      <c r="AM1803" s="841"/>
      <c r="AN1803" s="841"/>
      <c r="AO1803" s="841"/>
      <c r="AP1803" s="841"/>
      <c r="AQ1803" s="841"/>
      <c r="AR1803" s="841"/>
      <c r="AS1803" s="842"/>
    </row>
    <row r="1804" spans="34:45">
      <c r="AH1804" s="1226"/>
      <c r="AI1804" s="841"/>
      <c r="AJ1804" s="841"/>
      <c r="AK1804" s="841"/>
      <c r="AL1804" s="841"/>
      <c r="AM1804" s="841"/>
      <c r="AN1804" s="841"/>
      <c r="AO1804" s="841"/>
      <c r="AP1804" s="841"/>
      <c r="AQ1804" s="841"/>
      <c r="AR1804" s="841"/>
      <c r="AS1804" s="842"/>
    </row>
    <row r="1805" spans="34:45">
      <c r="AH1805" s="1226"/>
      <c r="AI1805" s="841"/>
      <c r="AJ1805" s="841"/>
      <c r="AK1805" s="841"/>
      <c r="AL1805" s="841"/>
      <c r="AM1805" s="841"/>
      <c r="AN1805" s="841"/>
      <c r="AO1805" s="841"/>
      <c r="AP1805" s="841"/>
      <c r="AQ1805" s="841"/>
      <c r="AR1805" s="841"/>
      <c r="AS1805" s="842"/>
    </row>
    <row r="1806" spans="34:45">
      <c r="AH1806" s="1226"/>
      <c r="AI1806" s="841"/>
      <c r="AJ1806" s="841"/>
      <c r="AK1806" s="841"/>
      <c r="AL1806" s="841"/>
      <c r="AM1806" s="841"/>
      <c r="AN1806" s="841"/>
      <c r="AO1806" s="841"/>
      <c r="AP1806" s="841"/>
      <c r="AQ1806" s="841"/>
      <c r="AR1806" s="841"/>
      <c r="AS1806" s="842"/>
    </row>
    <row r="1807" spans="34:45">
      <c r="AH1807" s="1226"/>
      <c r="AI1807" s="841"/>
      <c r="AJ1807" s="841"/>
      <c r="AK1807" s="841"/>
      <c r="AL1807" s="841"/>
      <c r="AM1807" s="841"/>
      <c r="AN1807" s="841"/>
      <c r="AO1807" s="841"/>
      <c r="AP1807" s="841"/>
      <c r="AQ1807" s="841"/>
      <c r="AR1807" s="841"/>
      <c r="AS1807" s="842"/>
    </row>
    <row r="1808" spans="34:45">
      <c r="AH1808" s="1226"/>
      <c r="AI1808" s="841"/>
      <c r="AJ1808" s="841"/>
      <c r="AK1808" s="841"/>
      <c r="AL1808" s="841"/>
      <c r="AM1808" s="841"/>
      <c r="AN1808" s="841"/>
      <c r="AO1808" s="841"/>
      <c r="AP1808" s="841"/>
      <c r="AQ1808" s="841"/>
      <c r="AR1808" s="841"/>
      <c r="AS1808" s="842"/>
    </row>
    <row r="1809" spans="34:45">
      <c r="AH1809" s="1226"/>
      <c r="AI1809" s="841"/>
      <c r="AJ1809" s="841"/>
      <c r="AK1809" s="841"/>
      <c r="AL1809" s="841"/>
      <c r="AM1809" s="841"/>
      <c r="AN1809" s="841"/>
      <c r="AO1809" s="841"/>
      <c r="AP1809" s="841"/>
      <c r="AQ1809" s="841"/>
      <c r="AR1809" s="841"/>
      <c r="AS1809" s="842"/>
    </row>
    <row r="1810" spans="34:45">
      <c r="AH1810" s="1226"/>
      <c r="AI1810" s="841"/>
      <c r="AJ1810" s="841"/>
      <c r="AK1810" s="841"/>
      <c r="AL1810" s="841"/>
      <c r="AM1810" s="841"/>
      <c r="AN1810" s="841"/>
      <c r="AO1810" s="841"/>
      <c r="AP1810" s="841"/>
      <c r="AQ1810" s="841"/>
      <c r="AR1810" s="841"/>
      <c r="AS1810" s="842"/>
    </row>
    <row r="1811" spans="34:45">
      <c r="AH1811" s="1226"/>
      <c r="AI1811" s="841"/>
      <c r="AJ1811" s="841"/>
      <c r="AK1811" s="841"/>
      <c r="AL1811" s="841"/>
      <c r="AM1811" s="841"/>
      <c r="AN1811" s="841"/>
      <c r="AO1811" s="841"/>
      <c r="AP1811" s="841"/>
      <c r="AQ1811" s="841"/>
      <c r="AR1811" s="841"/>
      <c r="AS1811" s="842"/>
    </row>
    <row r="1812" spans="34:45">
      <c r="AH1812" s="1226"/>
      <c r="AI1812" s="841"/>
      <c r="AJ1812" s="841"/>
      <c r="AK1812" s="841"/>
      <c r="AL1812" s="841"/>
      <c r="AM1812" s="841"/>
      <c r="AN1812" s="841"/>
      <c r="AO1812" s="841"/>
      <c r="AP1812" s="841"/>
      <c r="AQ1812" s="841"/>
      <c r="AR1812" s="841"/>
      <c r="AS1812" s="842"/>
    </row>
    <row r="1813" spans="34:45">
      <c r="AH1813" s="1226"/>
      <c r="AI1813" s="841"/>
      <c r="AJ1813" s="841"/>
      <c r="AK1813" s="841"/>
      <c r="AL1813" s="841"/>
      <c r="AM1813" s="841"/>
      <c r="AN1813" s="841"/>
      <c r="AO1813" s="841"/>
      <c r="AP1813" s="841"/>
      <c r="AQ1813" s="841"/>
      <c r="AR1813" s="841"/>
      <c r="AS1813" s="842"/>
    </row>
    <row r="1814" spans="34:45">
      <c r="AH1814" s="1226"/>
      <c r="AI1814" s="841"/>
      <c r="AJ1814" s="841"/>
      <c r="AK1814" s="841"/>
      <c r="AL1814" s="841"/>
      <c r="AM1814" s="841"/>
      <c r="AN1814" s="841"/>
      <c r="AO1814" s="841"/>
      <c r="AP1814" s="841"/>
      <c r="AQ1814" s="841"/>
      <c r="AR1814" s="841"/>
      <c r="AS1814" s="842"/>
    </row>
    <row r="1815" spans="34:45">
      <c r="AH1815" s="1226"/>
      <c r="AI1815" s="841"/>
      <c r="AJ1815" s="841"/>
      <c r="AK1815" s="841"/>
      <c r="AL1815" s="841"/>
      <c r="AM1815" s="841"/>
      <c r="AN1815" s="841"/>
      <c r="AO1815" s="841"/>
      <c r="AP1815" s="841"/>
      <c r="AQ1815" s="841"/>
      <c r="AR1815" s="841"/>
      <c r="AS1815" s="842"/>
    </row>
    <row r="1816" spans="34:45">
      <c r="AH1816" s="1226"/>
      <c r="AI1816" s="841"/>
      <c r="AJ1816" s="841"/>
      <c r="AK1816" s="841"/>
      <c r="AL1816" s="841"/>
      <c r="AM1816" s="841"/>
      <c r="AN1816" s="841"/>
      <c r="AO1816" s="841"/>
      <c r="AP1816" s="841"/>
      <c r="AQ1816" s="841"/>
      <c r="AR1816" s="841"/>
      <c r="AS1816" s="842"/>
    </row>
    <row r="1817" spans="34:45">
      <c r="AH1817" s="1226"/>
      <c r="AI1817" s="841"/>
      <c r="AJ1817" s="841"/>
      <c r="AK1817" s="841"/>
      <c r="AL1817" s="841"/>
      <c r="AM1817" s="841"/>
      <c r="AN1817" s="841"/>
      <c r="AO1817" s="841"/>
      <c r="AP1817" s="841"/>
      <c r="AQ1817" s="841"/>
      <c r="AR1817" s="841"/>
      <c r="AS1817" s="842"/>
    </row>
    <row r="1818" spans="34:45">
      <c r="AH1818" s="1226"/>
      <c r="AI1818" s="841"/>
      <c r="AJ1818" s="841"/>
      <c r="AK1818" s="841"/>
      <c r="AL1818" s="841"/>
      <c r="AM1818" s="841"/>
      <c r="AN1818" s="841"/>
      <c r="AO1818" s="841"/>
      <c r="AP1818" s="841"/>
      <c r="AQ1818" s="841"/>
      <c r="AR1818" s="841"/>
      <c r="AS1818" s="842"/>
    </row>
    <row r="1819" spans="34:45">
      <c r="AH1819" s="1226"/>
      <c r="AI1819" s="841"/>
      <c r="AJ1819" s="841"/>
      <c r="AK1819" s="841"/>
      <c r="AL1819" s="841"/>
      <c r="AM1819" s="841"/>
      <c r="AN1819" s="841"/>
      <c r="AO1819" s="841"/>
      <c r="AP1819" s="841"/>
      <c r="AQ1819" s="841"/>
      <c r="AR1819" s="841"/>
      <c r="AS1819" s="842"/>
    </row>
    <row r="1820" spans="34:45">
      <c r="AH1820" s="1226"/>
      <c r="AI1820" s="841"/>
      <c r="AJ1820" s="841"/>
      <c r="AK1820" s="841"/>
      <c r="AL1820" s="841"/>
      <c r="AM1820" s="841"/>
      <c r="AN1820" s="841"/>
      <c r="AO1820" s="841"/>
      <c r="AP1820" s="841"/>
      <c r="AQ1820" s="841"/>
      <c r="AR1820" s="841"/>
      <c r="AS1820" s="842"/>
    </row>
    <row r="1821" spans="34:45">
      <c r="AH1821" s="1226"/>
      <c r="AI1821" s="841"/>
      <c r="AJ1821" s="841"/>
      <c r="AK1821" s="841"/>
      <c r="AL1821" s="841"/>
      <c r="AM1821" s="841"/>
      <c r="AN1821" s="841"/>
      <c r="AO1821" s="841"/>
      <c r="AP1821" s="841"/>
      <c r="AQ1821" s="841"/>
      <c r="AR1821" s="841"/>
      <c r="AS1821" s="842"/>
    </row>
    <row r="1822" spans="34:45">
      <c r="AH1822" s="1226"/>
      <c r="AI1822" s="841"/>
      <c r="AJ1822" s="841"/>
      <c r="AK1822" s="841"/>
      <c r="AL1822" s="841"/>
      <c r="AM1822" s="841"/>
      <c r="AN1822" s="841"/>
      <c r="AO1822" s="841"/>
      <c r="AP1822" s="841"/>
      <c r="AQ1822" s="841"/>
      <c r="AR1822" s="841"/>
      <c r="AS1822" s="842"/>
    </row>
    <row r="1823" spans="34:45">
      <c r="AH1823" s="1226"/>
      <c r="AI1823" s="841"/>
      <c r="AJ1823" s="841"/>
      <c r="AK1823" s="841"/>
      <c r="AL1823" s="841"/>
      <c r="AM1823" s="841"/>
      <c r="AN1823" s="841"/>
      <c r="AO1823" s="841"/>
      <c r="AP1823" s="841"/>
      <c r="AQ1823" s="841"/>
      <c r="AR1823" s="841"/>
      <c r="AS1823" s="842"/>
    </row>
    <row r="1824" spans="34:45">
      <c r="AH1824" s="1226"/>
      <c r="AI1824" s="841"/>
      <c r="AJ1824" s="841"/>
      <c r="AK1824" s="841"/>
      <c r="AL1824" s="841"/>
      <c r="AM1824" s="841"/>
      <c r="AN1824" s="841"/>
      <c r="AO1824" s="841"/>
      <c r="AP1824" s="841"/>
      <c r="AQ1824" s="841"/>
      <c r="AR1824" s="841"/>
      <c r="AS1824" s="842"/>
    </row>
    <row r="1825" spans="34:45">
      <c r="AH1825" s="1226"/>
      <c r="AI1825" s="841"/>
      <c r="AJ1825" s="841"/>
      <c r="AK1825" s="841"/>
      <c r="AL1825" s="841"/>
      <c r="AM1825" s="841"/>
      <c r="AN1825" s="841"/>
      <c r="AO1825" s="841"/>
      <c r="AP1825" s="841"/>
      <c r="AQ1825" s="841"/>
      <c r="AR1825" s="841"/>
      <c r="AS1825" s="842"/>
    </row>
    <row r="1826" spans="34:45">
      <c r="AH1826" s="1226"/>
      <c r="AI1826" s="841"/>
      <c r="AJ1826" s="841"/>
      <c r="AK1826" s="841"/>
      <c r="AL1826" s="841"/>
      <c r="AM1826" s="841"/>
      <c r="AN1826" s="841"/>
      <c r="AO1826" s="841"/>
      <c r="AP1826" s="841"/>
      <c r="AQ1826" s="841"/>
      <c r="AR1826" s="841"/>
      <c r="AS1826" s="842"/>
    </row>
    <row r="1827" spans="34:45">
      <c r="AH1827" s="1226"/>
      <c r="AI1827" s="841"/>
      <c r="AJ1827" s="841"/>
      <c r="AK1827" s="841"/>
      <c r="AL1827" s="841"/>
      <c r="AM1827" s="841"/>
      <c r="AN1827" s="841"/>
      <c r="AO1827" s="841"/>
      <c r="AP1827" s="841"/>
      <c r="AQ1827" s="841"/>
      <c r="AR1827" s="841"/>
      <c r="AS1827" s="842"/>
    </row>
    <row r="1828" spans="34:45">
      <c r="AH1828" s="1226"/>
      <c r="AI1828" s="841"/>
      <c r="AJ1828" s="841"/>
      <c r="AK1828" s="841"/>
      <c r="AL1828" s="841"/>
      <c r="AM1828" s="841"/>
      <c r="AN1828" s="841"/>
      <c r="AO1828" s="841"/>
      <c r="AP1828" s="841"/>
      <c r="AQ1828" s="841"/>
      <c r="AR1828" s="841"/>
      <c r="AS1828" s="842"/>
    </row>
    <row r="1829" spans="34:45">
      <c r="AH1829" s="1226"/>
      <c r="AI1829" s="841"/>
      <c r="AJ1829" s="841"/>
      <c r="AK1829" s="841"/>
      <c r="AL1829" s="841"/>
      <c r="AM1829" s="841"/>
      <c r="AN1829" s="841"/>
      <c r="AO1829" s="841"/>
      <c r="AP1829" s="841"/>
      <c r="AQ1829" s="841"/>
      <c r="AR1829" s="841"/>
      <c r="AS1829" s="842"/>
    </row>
    <row r="1830" spans="34:45">
      <c r="AH1830" s="1226"/>
      <c r="AI1830" s="841"/>
      <c r="AJ1830" s="841"/>
      <c r="AK1830" s="841"/>
      <c r="AL1830" s="841"/>
      <c r="AM1830" s="841"/>
      <c r="AN1830" s="841"/>
      <c r="AO1830" s="841"/>
      <c r="AP1830" s="841"/>
      <c r="AQ1830" s="841"/>
      <c r="AR1830" s="841"/>
      <c r="AS1830" s="842"/>
    </row>
    <row r="1831" spans="34:45">
      <c r="AH1831" s="1226"/>
      <c r="AI1831" s="841"/>
      <c r="AJ1831" s="841"/>
      <c r="AK1831" s="841"/>
      <c r="AL1831" s="841"/>
      <c r="AM1831" s="841"/>
      <c r="AN1831" s="841"/>
      <c r="AO1831" s="841"/>
      <c r="AP1831" s="841"/>
      <c r="AQ1831" s="841"/>
      <c r="AR1831" s="841"/>
      <c r="AS1831" s="842"/>
    </row>
    <row r="1832" spans="34:45">
      <c r="AH1832" s="1226"/>
      <c r="AI1832" s="841"/>
      <c r="AJ1832" s="841"/>
      <c r="AK1832" s="841"/>
      <c r="AL1832" s="841"/>
      <c r="AM1832" s="841"/>
      <c r="AN1832" s="841"/>
      <c r="AO1832" s="841"/>
      <c r="AP1832" s="841"/>
      <c r="AQ1832" s="841"/>
      <c r="AR1832" s="841"/>
      <c r="AS1832" s="842"/>
    </row>
    <row r="1833" spans="34:45">
      <c r="AH1833" s="1226"/>
      <c r="AI1833" s="841"/>
      <c r="AJ1833" s="841"/>
      <c r="AK1833" s="841"/>
      <c r="AL1833" s="841"/>
      <c r="AM1833" s="841"/>
      <c r="AN1833" s="841"/>
      <c r="AO1833" s="841"/>
      <c r="AP1833" s="841"/>
      <c r="AQ1833" s="841"/>
      <c r="AR1833" s="841"/>
      <c r="AS1833" s="842"/>
    </row>
    <row r="1834" spans="34:45">
      <c r="AH1834" s="1226"/>
      <c r="AI1834" s="841"/>
      <c r="AJ1834" s="841"/>
      <c r="AK1834" s="841"/>
      <c r="AL1834" s="841"/>
      <c r="AM1834" s="841"/>
      <c r="AN1834" s="841"/>
      <c r="AO1834" s="841"/>
      <c r="AP1834" s="841"/>
      <c r="AQ1834" s="841"/>
      <c r="AR1834" s="841"/>
      <c r="AS1834" s="842"/>
    </row>
    <row r="1835" spans="34:45">
      <c r="AH1835" s="1226"/>
      <c r="AI1835" s="841"/>
      <c r="AJ1835" s="841"/>
      <c r="AK1835" s="841"/>
      <c r="AL1835" s="841"/>
      <c r="AM1835" s="841"/>
      <c r="AN1835" s="841"/>
      <c r="AO1835" s="841"/>
      <c r="AP1835" s="841"/>
      <c r="AQ1835" s="841"/>
      <c r="AR1835" s="841"/>
      <c r="AS1835" s="842"/>
    </row>
    <row r="1836" spans="34:45">
      <c r="AH1836" s="1226"/>
      <c r="AI1836" s="841"/>
      <c r="AJ1836" s="841"/>
      <c r="AK1836" s="841"/>
      <c r="AL1836" s="841"/>
      <c r="AM1836" s="841"/>
      <c r="AN1836" s="841"/>
      <c r="AO1836" s="841"/>
      <c r="AP1836" s="841"/>
      <c r="AQ1836" s="841"/>
      <c r="AR1836" s="841"/>
      <c r="AS1836" s="842"/>
    </row>
    <row r="1837" spans="34:45">
      <c r="AH1837" s="1226"/>
      <c r="AI1837" s="841"/>
      <c r="AJ1837" s="841"/>
      <c r="AK1837" s="841"/>
      <c r="AL1837" s="841"/>
      <c r="AM1837" s="841"/>
      <c r="AN1837" s="841"/>
      <c r="AO1837" s="841"/>
      <c r="AP1837" s="841"/>
      <c r="AQ1837" s="841"/>
      <c r="AR1837" s="841"/>
      <c r="AS1837" s="842"/>
    </row>
    <row r="1838" spans="34:45">
      <c r="AH1838" s="1226"/>
      <c r="AI1838" s="841"/>
      <c r="AJ1838" s="841"/>
      <c r="AK1838" s="841"/>
      <c r="AL1838" s="841"/>
      <c r="AM1838" s="841"/>
      <c r="AN1838" s="841"/>
      <c r="AO1838" s="841"/>
      <c r="AP1838" s="841"/>
      <c r="AQ1838" s="841"/>
      <c r="AR1838" s="841"/>
      <c r="AS1838" s="842"/>
    </row>
    <row r="1839" spans="34:45">
      <c r="AH1839" s="1226"/>
      <c r="AI1839" s="841"/>
      <c r="AJ1839" s="841"/>
      <c r="AK1839" s="841"/>
      <c r="AL1839" s="841"/>
      <c r="AM1839" s="841"/>
      <c r="AN1839" s="841"/>
      <c r="AO1839" s="841"/>
      <c r="AP1839" s="841"/>
      <c r="AQ1839" s="841"/>
      <c r="AR1839" s="841"/>
      <c r="AS1839" s="842"/>
    </row>
    <row r="1840" spans="34:45">
      <c r="AH1840" s="1226"/>
      <c r="AI1840" s="841"/>
      <c r="AJ1840" s="841"/>
      <c r="AK1840" s="841"/>
      <c r="AL1840" s="841"/>
      <c r="AM1840" s="841"/>
      <c r="AN1840" s="841"/>
      <c r="AO1840" s="841"/>
      <c r="AP1840" s="841"/>
      <c r="AQ1840" s="841"/>
      <c r="AR1840" s="841"/>
      <c r="AS1840" s="842"/>
    </row>
    <row r="1841" spans="34:45">
      <c r="AH1841" s="1226"/>
      <c r="AI1841" s="841"/>
      <c r="AJ1841" s="841"/>
      <c r="AK1841" s="841"/>
      <c r="AL1841" s="841"/>
      <c r="AM1841" s="841"/>
      <c r="AN1841" s="841"/>
      <c r="AO1841" s="841"/>
      <c r="AP1841" s="841"/>
      <c r="AQ1841" s="841"/>
      <c r="AR1841" s="841"/>
      <c r="AS1841" s="842"/>
    </row>
    <row r="1842" spans="34:45">
      <c r="AH1842" s="1226"/>
      <c r="AI1842" s="841"/>
      <c r="AJ1842" s="841"/>
      <c r="AK1842" s="841"/>
      <c r="AL1842" s="841"/>
      <c r="AM1842" s="841"/>
      <c r="AN1842" s="841"/>
      <c r="AO1842" s="841"/>
      <c r="AP1842" s="841"/>
      <c r="AQ1842" s="841"/>
      <c r="AR1842" s="841"/>
      <c r="AS1842" s="842"/>
    </row>
    <row r="1843" spans="34:45">
      <c r="AH1843" s="1226"/>
      <c r="AI1843" s="841"/>
      <c r="AJ1843" s="841"/>
      <c r="AK1843" s="841"/>
      <c r="AL1843" s="841"/>
      <c r="AM1843" s="841"/>
      <c r="AN1843" s="841"/>
      <c r="AO1843" s="841"/>
      <c r="AP1843" s="841"/>
      <c r="AQ1843" s="841"/>
      <c r="AR1843" s="841"/>
      <c r="AS1843" s="842"/>
    </row>
    <row r="1844" spans="34:45">
      <c r="AH1844" s="1226"/>
      <c r="AI1844" s="841"/>
      <c r="AJ1844" s="841"/>
      <c r="AK1844" s="841"/>
      <c r="AL1844" s="841"/>
      <c r="AM1844" s="841"/>
      <c r="AN1844" s="841"/>
      <c r="AO1844" s="841"/>
      <c r="AP1844" s="841"/>
      <c r="AQ1844" s="841"/>
      <c r="AR1844" s="841"/>
      <c r="AS1844" s="842"/>
    </row>
    <row r="1845" spans="34:45">
      <c r="AH1845" s="1226"/>
      <c r="AI1845" s="841"/>
      <c r="AJ1845" s="841"/>
      <c r="AK1845" s="841"/>
      <c r="AL1845" s="841"/>
      <c r="AM1845" s="841"/>
      <c r="AN1845" s="841"/>
      <c r="AO1845" s="841"/>
      <c r="AP1845" s="841"/>
      <c r="AQ1845" s="841"/>
      <c r="AR1845" s="841"/>
      <c r="AS1845" s="842"/>
    </row>
    <row r="1846" spans="34:45">
      <c r="AH1846" s="1226"/>
      <c r="AI1846" s="841"/>
      <c r="AJ1846" s="841"/>
      <c r="AK1846" s="841"/>
      <c r="AL1846" s="841"/>
      <c r="AM1846" s="841"/>
      <c r="AN1846" s="841"/>
      <c r="AO1846" s="841"/>
      <c r="AP1846" s="841"/>
      <c r="AQ1846" s="841"/>
      <c r="AR1846" s="841"/>
      <c r="AS1846" s="842"/>
    </row>
    <row r="1847" spans="34:45">
      <c r="AH1847" s="1226"/>
      <c r="AI1847" s="841"/>
      <c r="AJ1847" s="841"/>
      <c r="AK1847" s="841"/>
      <c r="AL1847" s="841"/>
      <c r="AM1847" s="841"/>
      <c r="AN1847" s="841"/>
      <c r="AO1847" s="841"/>
      <c r="AP1847" s="841"/>
      <c r="AQ1847" s="841"/>
      <c r="AR1847" s="841"/>
      <c r="AS1847" s="842"/>
    </row>
    <row r="1848" spans="34:45">
      <c r="AH1848" s="1226"/>
      <c r="AI1848" s="841"/>
      <c r="AJ1848" s="841"/>
      <c r="AK1848" s="841"/>
      <c r="AL1848" s="841"/>
      <c r="AM1848" s="841"/>
      <c r="AN1848" s="841"/>
      <c r="AO1848" s="841"/>
      <c r="AP1848" s="841"/>
      <c r="AQ1848" s="841"/>
      <c r="AR1848" s="841"/>
      <c r="AS1848" s="842"/>
    </row>
    <row r="1849" spans="34:45">
      <c r="AH1849" s="1226"/>
      <c r="AI1849" s="841"/>
      <c r="AJ1849" s="841"/>
      <c r="AK1849" s="841"/>
      <c r="AL1849" s="841"/>
      <c r="AM1849" s="841"/>
      <c r="AN1849" s="841"/>
      <c r="AO1849" s="841"/>
      <c r="AP1849" s="841"/>
      <c r="AQ1849" s="841"/>
      <c r="AR1849" s="841"/>
      <c r="AS1849" s="842"/>
    </row>
    <row r="1850" spans="34:45">
      <c r="AH1850" s="1226"/>
      <c r="AI1850" s="841"/>
      <c r="AJ1850" s="841"/>
      <c r="AK1850" s="841"/>
      <c r="AL1850" s="841"/>
      <c r="AM1850" s="841"/>
      <c r="AN1850" s="841"/>
      <c r="AO1850" s="841"/>
      <c r="AP1850" s="841"/>
      <c r="AQ1850" s="841"/>
      <c r="AR1850" s="841"/>
      <c r="AS1850" s="842"/>
    </row>
    <row r="1851" spans="34:45">
      <c r="AH1851" s="1226"/>
      <c r="AI1851" s="841"/>
      <c r="AJ1851" s="841"/>
      <c r="AK1851" s="841"/>
      <c r="AL1851" s="841"/>
      <c r="AM1851" s="841"/>
      <c r="AN1851" s="841"/>
      <c r="AO1851" s="841"/>
      <c r="AP1851" s="841"/>
      <c r="AQ1851" s="841"/>
      <c r="AR1851" s="841"/>
      <c r="AS1851" s="842"/>
    </row>
    <row r="1852" spans="34:45">
      <c r="AH1852" s="1226"/>
      <c r="AI1852" s="841"/>
      <c r="AJ1852" s="841"/>
      <c r="AK1852" s="841"/>
      <c r="AL1852" s="841"/>
      <c r="AM1852" s="841"/>
      <c r="AN1852" s="841"/>
      <c r="AO1852" s="841"/>
      <c r="AP1852" s="841"/>
      <c r="AQ1852" s="841"/>
      <c r="AR1852" s="841"/>
      <c r="AS1852" s="842"/>
    </row>
    <row r="1853" spans="34:45">
      <c r="AH1853" s="1226"/>
      <c r="AI1853" s="841"/>
      <c r="AJ1853" s="841"/>
      <c r="AK1853" s="841"/>
      <c r="AL1853" s="841"/>
      <c r="AM1853" s="841"/>
      <c r="AN1853" s="841"/>
      <c r="AO1853" s="841"/>
      <c r="AP1853" s="841"/>
      <c r="AQ1853" s="841"/>
      <c r="AR1853" s="841"/>
      <c r="AS1853" s="842"/>
    </row>
    <row r="1854" spans="34:45">
      <c r="AH1854" s="1226"/>
      <c r="AI1854" s="841"/>
      <c r="AJ1854" s="841"/>
      <c r="AK1854" s="841"/>
      <c r="AL1854" s="841"/>
      <c r="AM1854" s="841"/>
      <c r="AN1854" s="841"/>
      <c r="AO1854" s="841"/>
      <c r="AP1854" s="841"/>
      <c r="AQ1854" s="841"/>
      <c r="AR1854" s="841"/>
      <c r="AS1854" s="842"/>
    </row>
    <row r="1855" spans="34:45">
      <c r="AH1855" s="1226"/>
      <c r="AI1855" s="841"/>
      <c r="AJ1855" s="841"/>
      <c r="AK1855" s="841"/>
      <c r="AL1855" s="841"/>
      <c r="AM1855" s="841"/>
      <c r="AN1855" s="841"/>
      <c r="AO1855" s="841"/>
      <c r="AP1855" s="841"/>
      <c r="AQ1855" s="841"/>
      <c r="AR1855" s="841"/>
      <c r="AS1855" s="842"/>
    </row>
    <row r="1856" spans="34:45">
      <c r="AH1856" s="1226"/>
      <c r="AI1856" s="841"/>
      <c r="AJ1856" s="841"/>
      <c r="AK1856" s="841"/>
      <c r="AL1856" s="841"/>
      <c r="AM1856" s="841"/>
      <c r="AN1856" s="841"/>
      <c r="AO1856" s="841"/>
      <c r="AP1856" s="841"/>
      <c r="AQ1856" s="841"/>
      <c r="AR1856" s="841"/>
      <c r="AS1856" s="842"/>
    </row>
    <row r="1857" spans="34:45">
      <c r="AH1857" s="1226"/>
      <c r="AI1857" s="841"/>
      <c r="AJ1857" s="841"/>
      <c r="AK1857" s="841"/>
      <c r="AL1857" s="841"/>
      <c r="AM1857" s="841"/>
      <c r="AN1857" s="841"/>
      <c r="AO1857" s="841"/>
      <c r="AP1857" s="841"/>
      <c r="AQ1857" s="841"/>
      <c r="AR1857" s="841"/>
      <c r="AS1857" s="842"/>
    </row>
    <row r="1858" spans="34:45">
      <c r="AH1858" s="1226"/>
      <c r="AI1858" s="841"/>
      <c r="AJ1858" s="841"/>
      <c r="AK1858" s="841"/>
      <c r="AL1858" s="841"/>
      <c r="AM1858" s="841"/>
      <c r="AN1858" s="841"/>
      <c r="AO1858" s="841"/>
      <c r="AP1858" s="841"/>
      <c r="AQ1858" s="841"/>
      <c r="AR1858" s="841"/>
      <c r="AS1858" s="842"/>
    </row>
    <row r="1859" spans="34:45">
      <c r="AH1859" s="1226"/>
      <c r="AI1859" s="841"/>
      <c r="AJ1859" s="841"/>
      <c r="AK1859" s="841"/>
      <c r="AL1859" s="841"/>
      <c r="AM1859" s="841"/>
      <c r="AN1859" s="841"/>
      <c r="AO1859" s="841"/>
      <c r="AP1859" s="841"/>
      <c r="AQ1859" s="841"/>
      <c r="AR1859" s="841"/>
      <c r="AS1859" s="842"/>
    </row>
    <row r="1860" spans="34:45">
      <c r="AH1860" s="1226"/>
      <c r="AI1860" s="841"/>
      <c r="AJ1860" s="841"/>
      <c r="AK1860" s="841"/>
      <c r="AL1860" s="841"/>
      <c r="AM1860" s="841"/>
      <c r="AN1860" s="841"/>
      <c r="AO1860" s="841"/>
      <c r="AP1860" s="841"/>
      <c r="AQ1860" s="841"/>
      <c r="AR1860" s="841"/>
      <c r="AS1860" s="842"/>
    </row>
    <row r="1861" spans="34:45">
      <c r="AH1861" s="1226"/>
      <c r="AI1861" s="841"/>
      <c r="AJ1861" s="841"/>
      <c r="AK1861" s="841"/>
      <c r="AL1861" s="841"/>
      <c r="AM1861" s="841"/>
      <c r="AN1861" s="841"/>
      <c r="AO1861" s="841"/>
      <c r="AP1861" s="841"/>
      <c r="AQ1861" s="841"/>
      <c r="AR1861" s="841"/>
      <c r="AS1861" s="842"/>
    </row>
    <row r="1862" spans="34:45">
      <c r="AH1862" s="1226"/>
      <c r="AI1862" s="841"/>
      <c r="AJ1862" s="841"/>
      <c r="AK1862" s="841"/>
      <c r="AL1862" s="841"/>
      <c r="AM1862" s="841"/>
      <c r="AN1862" s="841"/>
      <c r="AO1862" s="841"/>
      <c r="AP1862" s="841"/>
      <c r="AQ1862" s="841"/>
      <c r="AR1862" s="841"/>
      <c r="AS1862" s="842"/>
    </row>
    <row r="1863" spans="34:45">
      <c r="AH1863" s="1226"/>
      <c r="AI1863" s="841"/>
      <c r="AJ1863" s="841"/>
      <c r="AK1863" s="841"/>
      <c r="AL1863" s="841"/>
      <c r="AM1863" s="841"/>
      <c r="AN1863" s="841"/>
      <c r="AO1863" s="841"/>
      <c r="AP1863" s="841"/>
      <c r="AQ1863" s="841"/>
      <c r="AR1863" s="841"/>
      <c r="AS1863" s="842"/>
    </row>
    <row r="1864" spans="34:45">
      <c r="AH1864" s="1226"/>
      <c r="AI1864" s="841"/>
      <c r="AJ1864" s="841"/>
      <c r="AK1864" s="841"/>
      <c r="AL1864" s="841"/>
      <c r="AM1864" s="841"/>
      <c r="AN1864" s="841"/>
      <c r="AO1864" s="841"/>
      <c r="AP1864" s="841"/>
      <c r="AQ1864" s="841"/>
      <c r="AR1864" s="841"/>
      <c r="AS1864" s="842"/>
    </row>
    <row r="1865" spans="34:45">
      <c r="AH1865" s="1226"/>
      <c r="AI1865" s="841"/>
      <c r="AJ1865" s="841"/>
      <c r="AK1865" s="841"/>
      <c r="AL1865" s="841"/>
      <c r="AM1865" s="841"/>
      <c r="AN1865" s="841"/>
      <c r="AO1865" s="841"/>
      <c r="AP1865" s="841"/>
      <c r="AQ1865" s="841"/>
      <c r="AR1865" s="841"/>
      <c r="AS1865" s="842"/>
    </row>
    <row r="1866" spans="34:45">
      <c r="AH1866" s="1226"/>
      <c r="AI1866" s="841"/>
      <c r="AJ1866" s="841"/>
      <c r="AK1866" s="841"/>
      <c r="AL1866" s="841"/>
      <c r="AM1866" s="841"/>
      <c r="AN1866" s="841"/>
      <c r="AO1866" s="841"/>
      <c r="AP1866" s="841"/>
      <c r="AQ1866" s="841"/>
      <c r="AR1866" s="841"/>
      <c r="AS1866" s="842"/>
    </row>
    <row r="1867" spans="34:45">
      <c r="AH1867" s="1226"/>
      <c r="AI1867" s="841"/>
      <c r="AJ1867" s="841"/>
      <c r="AK1867" s="841"/>
      <c r="AL1867" s="841"/>
      <c r="AM1867" s="841"/>
      <c r="AN1867" s="841"/>
      <c r="AO1867" s="841"/>
      <c r="AP1867" s="841"/>
      <c r="AQ1867" s="841"/>
      <c r="AR1867" s="841"/>
      <c r="AS1867" s="842"/>
    </row>
    <row r="1868" spans="34:45">
      <c r="AH1868" s="1226"/>
      <c r="AI1868" s="841"/>
      <c r="AJ1868" s="841"/>
      <c r="AK1868" s="841"/>
      <c r="AL1868" s="841"/>
      <c r="AM1868" s="841"/>
      <c r="AN1868" s="841"/>
      <c r="AO1868" s="841"/>
      <c r="AP1868" s="841"/>
      <c r="AQ1868" s="841"/>
      <c r="AR1868" s="841"/>
      <c r="AS1868" s="842"/>
    </row>
    <row r="1869" spans="34:45">
      <c r="AH1869" s="1226"/>
      <c r="AI1869" s="841"/>
      <c r="AJ1869" s="841"/>
      <c r="AK1869" s="841"/>
      <c r="AL1869" s="841"/>
      <c r="AM1869" s="841"/>
      <c r="AN1869" s="841"/>
      <c r="AO1869" s="841"/>
      <c r="AP1869" s="841"/>
      <c r="AQ1869" s="841"/>
      <c r="AR1869" s="841"/>
      <c r="AS1869" s="842"/>
    </row>
    <row r="1870" spans="34:45">
      <c r="AH1870" s="1226"/>
      <c r="AI1870" s="841"/>
      <c r="AJ1870" s="841"/>
      <c r="AK1870" s="841"/>
      <c r="AL1870" s="841"/>
      <c r="AM1870" s="841"/>
      <c r="AN1870" s="841"/>
      <c r="AO1870" s="841"/>
      <c r="AP1870" s="841"/>
      <c r="AQ1870" s="841"/>
      <c r="AR1870" s="841"/>
      <c r="AS1870" s="842"/>
    </row>
    <row r="1871" spans="34:45">
      <c r="AH1871" s="1226"/>
      <c r="AI1871" s="841"/>
      <c r="AJ1871" s="841"/>
      <c r="AK1871" s="841"/>
      <c r="AL1871" s="841"/>
      <c r="AM1871" s="841"/>
      <c r="AN1871" s="841"/>
      <c r="AO1871" s="841"/>
      <c r="AP1871" s="841"/>
      <c r="AQ1871" s="841"/>
      <c r="AR1871" s="841"/>
      <c r="AS1871" s="842"/>
    </row>
    <row r="1872" spans="34:45">
      <c r="AH1872" s="1226"/>
      <c r="AI1872" s="841"/>
      <c r="AJ1872" s="841"/>
      <c r="AK1872" s="841"/>
      <c r="AL1872" s="841"/>
      <c r="AM1872" s="841"/>
      <c r="AN1872" s="841"/>
      <c r="AO1872" s="841"/>
      <c r="AP1872" s="841"/>
      <c r="AQ1872" s="841"/>
      <c r="AR1872" s="841"/>
      <c r="AS1872" s="842"/>
    </row>
    <row r="1873" spans="34:45">
      <c r="AH1873" s="1226"/>
      <c r="AI1873" s="841"/>
      <c r="AJ1873" s="841"/>
      <c r="AK1873" s="841"/>
      <c r="AL1873" s="841"/>
      <c r="AM1873" s="841"/>
      <c r="AN1873" s="841"/>
      <c r="AO1873" s="841"/>
      <c r="AP1873" s="841"/>
      <c r="AQ1873" s="841"/>
      <c r="AR1873" s="841"/>
      <c r="AS1873" s="842"/>
    </row>
    <row r="1874" spans="34:45">
      <c r="AH1874" s="1226"/>
      <c r="AI1874" s="841"/>
      <c r="AJ1874" s="841"/>
      <c r="AK1874" s="841"/>
      <c r="AL1874" s="841"/>
      <c r="AM1874" s="841"/>
      <c r="AN1874" s="841"/>
      <c r="AO1874" s="841"/>
      <c r="AP1874" s="841"/>
      <c r="AQ1874" s="841"/>
      <c r="AR1874" s="841"/>
      <c r="AS1874" s="842"/>
    </row>
    <row r="1875" spans="34:45">
      <c r="AH1875" s="1226"/>
      <c r="AI1875" s="841"/>
      <c r="AJ1875" s="841"/>
      <c r="AK1875" s="841"/>
      <c r="AL1875" s="841"/>
      <c r="AM1875" s="841"/>
      <c r="AN1875" s="841"/>
      <c r="AO1875" s="841"/>
      <c r="AP1875" s="841"/>
      <c r="AQ1875" s="841"/>
      <c r="AR1875" s="841"/>
      <c r="AS1875" s="842"/>
    </row>
    <row r="1876" spans="34:45">
      <c r="AH1876" s="1226"/>
      <c r="AI1876" s="841"/>
      <c r="AJ1876" s="841"/>
      <c r="AK1876" s="841"/>
      <c r="AL1876" s="841"/>
      <c r="AM1876" s="841"/>
      <c r="AN1876" s="841"/>
      <c r="AO1876" s="841"/>
      <c r="AP1876" s="841"/>
      <c r="AQ1876" s="841"/>
      <c r="AR1876" s="841"/>
      <c r="AS1876" s="842"/>
    </row>
    <row r="1877" spans="34:45">
      <c r="AH1877" s="1226"/>
      <c r="AI1877" s="841"/>
      <c r="AJ1877" s="841"/>
      <c r="AK1877" s="841"/>
      <c r="AL1877" s="841"/>
      <c r="AM1877" s="841"/>
      <c r="AN1877" s="841"/>
      <c r="AO1877" s="841"/>
      <c r="AP1877" s="841"/>
      <c r="AQ1877" s="841"/>
      <c r="AR1877" s="841"/>
      <c r="AS1877" s="842"/>
    </row>
    <row r="1878" spans="34:45">
      <c r="AH1878" s="1226"/>
      <c r="AI1878" s="841"/>
      <c r="AJ1878" s="841"/>
      <c r="AK1878" s="841"/>
      <c r="AL1878" s="841"/>
      <c r="AM1878" s="841"/>
      <c r="AN1878" s="841"/>
      <c r="AO1878" s="841"/>
      <c r="AP1878" s="841"/>
      <c r="AQ1878" s="841"/>
      <c r="AR1878" s="841"/>
      <c r="AS1878" s="842"/>
    </row>
    <row r="1879" spans="34:45">
      <c r="AH1879" s="1226"/>
      <c r="AI1879" s="841"/>
      <c r="AJ1879" s="841"/>
      <c r="AK1879" s="841"/>
      <c r="AL1879" s="841"/>
      <c r="AM1879" s="841"/>
      <c r="AN1879" s="841"/>
      <c r="AO1879" s="841"/>
      <c r="AP1879" s="841"/>
      <c r="AQ1879" s="841"/>
      <c r="AR1879" s="841"/>
      <c r="AS1879" s="842"/>
    </row>
    <row r="1880" spans="34:45">
      <c r="AH1880" s="1226"/>
      <c r="AI1880" s="841"/>
      <c r="AJ1880" s="841"/>
      <c r="AK1880" s="841"/>
      <c r="AL1880" s="841"/>
      <c r="AM1880" s="841"/>
      <c r="AN1880" s="841"/>
      <c r="AO1880" s="841"/>
      <c r="AP1880" s="841"/>
      <c r="AQ1880" s="841"/>
      <c r="AR1880" s="841"/>
      <c r="AS1880" s="842"/>
    </row>
    <row r="1881" spans="34:45">
      <c r="AH1881" s="1226"/>
      <c r="AI1881" s="841"/>
      <c r="AJ1881" s="841"/>
      <c r="AK1881" s="841"/>
      <c r="AL1881" s="841"/>
      <c r="AM1881" s="841"/>
      <c r="AN1881" s="841"/>
      <c r="AO1881" s="841"/>
      <c r="AP1881" s="841"/>
      <c r="AQ1881" s="841"/>
      <c r="AR1881" s="841"/>
      <c r="AS1881" s="842"/>
    </row>
    <row r="1882" spans="34:45">
      <c r="AH1882" s="1226"/>
      <c r="AI1882" s="841"/>
      <c r="AJ1882" s="841"/>
      <c r="AK1882" s="841"/>
      <c r="AL1882" s="841"/>
      <c r="AM1882" s="841"/>
      <c r="AN1882" s="841"/>
      <c r="AO1882" s="841"/>
      <c r="AP1882" s="841"/>
      <c r="AQ1882" s="841"/>
      <c r="AR1882" s="841"/>
      <c r="AS1882" s="842"/>
    </row>
    <row r="1883" spans="34:45">
      <c r="AH1883" s="1226"/>
      <c r="AI1883" s="841"/>
      <c r="AJ1883" s="841"/>
      <c r="AK1883" s="841"/>
      <c r="AL1883" s="841"/>
      <c r="AM1883" s="841"/>
      <c r="AN1883" s="841"/>
      <c r="AO1883" s="841"/>
      <c r="AP1883" s="841"/>
      <c r="AQ1883" s="841"/>
      <c r="AR1883" s="841"/>
      <c r="AS1883" s="842"/>
    </row>
    <row r="1884" spans="34:45">
      <c r="AH1884" s="1226"/>
      <c r="AI1884" s="841"/>
      <c r="AJ1884" s="841"/>
      <c r="AK1884" s="841"/>
      <c r="AL1884" s="841"/>
      <c r="AM1884" s="841"/>
      <c r="AN1884" s="841"/>
      <c r="AO1884" s="841"/>
      <c r="AP1884" s="841"/>
      <c r="AQ1884" s="841"/>
      <c r="AR1884" s="841"/>
      <c r="AS1884" s="842"/>
    </row>
    <row r="1885" spans="34:45">
      <c r="AH1885" s="1226"/>
      <c r="AI1885" s="841"/>
      <c r="AJ1885" s="841"/>
      <c r="AK1885" s="841"/>
      <c r="AL1885" s="841"/>
      <c r="AM1885" s="841"/>
      <c r="AN1885" s="841"/>
      <c r="AO1885" s="841"/>
      <c r="AP1885" s="841"/>
      <c r="AQ1885" s="841"/>
      <c r="AR1885" s="841"/>
      <c r="AS1885" s="842"/>
    </row>
    <row r="1886" spans="34:45">
      <c r="AH1886" s="1226"/>
      <c r="AI1886" s="841"/>
      <c r="AJ1886" s="841"/>
      <c r="AK1886" s="841"/>
      <c r="AL1886" s="841"/>
      <c r="AM1886" s="841"/>
      <c r="AN1886" s="841"/>
      <c r="AO1886" s="841"/>
      <c r="AP1886" s="841"/>
      <c r="AQ1886" s="841"/>
      <c r="AR1886" s="841"/>
      <c r="AS1886" s="842"/>
    </row>
    <row r="1887" spans="34:45">
      <c r="AH1887" s="1226"/>
      <c r="AI1887" s="841"/>
      <c r="AJ1887" s="841"/>
      <c r="AK1887" s="841"/>
      <c r="AL1887" s="841"/>
      <c r="AM1887" s="841"/>
      <c r="AN1887" s="841"/>
      <c r="AO1887" s="841"/>
      <c r="AP1887" s="841"/>
      <c r="AQ1887" s="841"/>
      <c r="AR1887" s="841"/>
      <c r="AS1887" s="842"/>
    </row>
    <row r="1888" spans="34:45">
      <c r="AH1888" s="1226"/>
      <c r="AI1888" s="841"/>
      <c r="AJ1888" s="841"/>
      <c r="AK1888" s="841"/>
      <c r="AL1888" s="841"/>
      <c r="AM1888" s="841"/>
      <c r="AN1888" s="841"/>
      <c r="AO1888" s="841"/>
      <c r="AP1888" s="841"/>
      <c r="AQ1888" s="841"/>
      <c r="AR1888" s="841"/>
      <c r="AS1888" s="842"/>
    </row>
    <row r="1889" spans="34:45">
      <c r="AH1889" s="1226"/>
      <c r="AI1889" s="841"/>
      <c r="AJ1889" s="841"/>
      <c r="AK1889" s="841"/>
      <c r="AL1889" s="841"/>
      <c r="AM1889" s="841"/>
      <c r="AN1889" s="841"/>
      <c r="AO1889" s="841"/>
      <c r="AP1889" s="841"/>
      <c r="AQ1889" s="841"/>
      <c r="AR1889" s="841"/>
      <c r="AS1889" s="842"/>
    </row>
    <row r="1890" spans="34:45">
      <c r="AH1890" s="1226"/>
      <c r="AI1890" s="841"/>
      <c r="AJ1890" s="841"/>
      <c r="AK1890" s="841"/>
      <c r="AL1890" s="841"/>
      <c r="AM1890" s="841"/>
      <c r="AN1890" s="841"/>
      <c r="AO1890" s="841"/>
      <c r="AP1890" s="841"/>
      <c r="AQ1890" s="841"/>
      <c r="AR1890" s="841"/>
      <c r="AS1890" s="842"/>
    </row>
    <row r="1891" spans="34:45">
      <c r="AH1891" s="1226"/>
      <c r="AI1891" s="841"/>
      <c r="AJ1891" s="841"/>
      <c r="AK1891" s="841"/>
      <c r="AL1891" s="841"/>
      <c r="AM1891" s="841"/>
      <c r="AN1891" s="841"/>
      <c r="AO1891" s="841"/>
      <c r="AP1891" s="841"/>
      <c r="AQ1891" s="841"/>
      <c r="AR1891" s="841"/>
      <c r="AS1891" s="842"/>
    </row>
    <row r="1892" spans="34:45">
      <c r="AH1892" s="1226"/>
      <c r="AI1892" s="841"/>
      <c r="AJ1892" s="841"/>
      <c r="AK1892" s="841"/>
      <c r="AL1892" s="841"/>
      <c r="AM1892" s="841"/>
      <c r="AN1892" s="841"/>
      <c r="AO1892" s="841"/>
      <c r="AP1892" s="841"/>
      <c r="AQ1892" s="841"/>
      <c r="AR1892" s="841"/>
      <c r="AS1892" s="842"/>
    </row>
    <row r="1893" spans="34:45">
      <c r="AH1893" s="1226"/>
      <c r="AI1893" s="841"/>
      <c r="AJ1893" s="841"/>
      <c r="AK1893" s="841"/>
      <c r="AL1893" s="841"/>
      <c r="AM1893" s="841"/>
      <c r="AN1893" s="841"/>
      <c r="AO1893" s="841"/>
      <c r="AP1893" s="841"/>
      <c r="AQ1893" s="841"/>
      <c r="AR1893" s="841"/>
      <c r="AS1893" s="842"/>
    </row>
    <row r="1894" spans="34:45">
      <c r="AH1894" s="1226"/>
      <c r="AI1894" s="841"/>
      <c r="AJ1894" s="841"/>
      <c r="AK1894" s="841"/>
      <c r="AL1894" s="841"/>
      <c r="AM1894" s="841"/>
      <c r="AN1894" s="841"/>
      <c r="AO1894" s="841"/>
      <c r="AP1894" s="841"/>
      <c r="AQ1894" s="841"/>
      <c r="AR1894" s="841"/>
      <c r="AS1894" s="842"/>
    </row>
    <row r="1895" spans="34:45">
      <c r="AH1895" s="1226"/>
      <c r="AI1895" s="841"/>
      <c r="AJ1895" s="841"/>
      <c r="AK1895" s="841"/>
      <c r="AL1895" s="841"/>
      <c r="AM1895" s="841"/>
      <c r="AN1895" s="841"/>
      <c r="AO1895" s="841"/>
      <c r="AP1895" s="841"/>
      <c r="AQ1895" s="841"/>
      <c r="AR1895" s="841"/>
      <c r="AS1895" s="842"/>
    </row>
    <row r="1896" spans="34:45">
      <c r="AH1896" s="1226"/>
      <c r="AI1896" s="841"/>
      <c r="AJ1896" s="841"/>
      <c r="AK1896" s="841"/>
      <c r="AL1896" s="841"/>
      <c r="AM1896" s="841"/>
      <c r="AN1896" s="841"/>
      <c r="AO1896" s="841"/>
      <c r="AP1896" s="841"/>
      <c r="AQ1896" s="841"/>
      <c r="AR1896" s="841"/>
      <c r="AS1896" s="842"/>
    </row>
    <row r="1897" spans="34:45">
      <c r="AH1897" s="1226"/>
      <c r="AI1897" s="841"/>
      <c r="AJ1897" s="841"/>
      <c r="AK1897" s="841"/>
      <c r="AL1897" s="841"/>
      <c r="AM1897" s="841"/>
      <c r="AN1897" s="841"/>
      <c r="AO1897" s="841"/>
      <c r="AP1897" s="841"/>
      <c r="AQ1897" s="841"/>
      <c r="AR1897" s="841"/>
      <c r="AS1897" s="842"/>
    </row>
    <row r="1898" spans="34:45">
      <c r="AH1898" s="1226"/>
      <c r="AI1898" s="841"/>
      <c r="AJ1898" s="841"/>
      <c r="AK1898" s="841"/>
      <c r="AL1898" s="841"/>
      <c r="AM1898" s="841"/>
      <c r="AN1898" s="841"/>
      <c r="AO1898" s="841"/>
      <c r="AP1898" s="841"/>
      <c r="AQ1898" s="841"/>
      <c r="AR1898" s="841"/>
      <c r="AS1898" s="842"/>
    </row>
    <row r="1899" spans="34:45">
      <c r="AH1899" s="1226"/>
      <c r="AI1899" s="841"/>
      <c r="AJ1899" s="841"/>
      <c r="AK1899" s="841"/>
      <c r="AL1899" s="841"/>
      <c r="AM1899" s="841"/>
      <c r="AN1899" s="841"/>
      <c r="AO1899" s="841"/>
      <c r="AP1899" s="841"/>
      <c r="AQ1899" s="841"/>
      <c r="AR1899" s="841"/>
      <c r="AS1899" s="842"/>
    </row>
    <row r="1900" spans="34:45">
      <c r="AH1900" s="1226"/>
      <c r="AI1900" s="841"/>
      <c r="AJ1900" s="841"/>
      <c r="AK1900" s="841"/>
      <c r="AL1900" s="841"/>
      <c r="AM1900" s="841"/>
      <c r="AN1900" s="841"/>
      <c r="AO1900" s="841"/>
      <c r="AP1900" s="841"/>
      <c r="AQ1900" s="841"/>
      <c r="AR1900" s="841"/>
      <c r="AS1900" s="842"/>
    </row>
    <row r="1901" spans="34:45">
      <c r="AH1901" s="1226"/>
      <c r="AI1901" s="841"/>
      <c r="AJ1901" s="841"/>
      <c r="AK1901" s="841"/>
      <c r="AL1901" s="841"/>
      <c r="AM1901" s="841"/>
      <c r="AN1901" s="841"/>
      <c r="AO1901" s="841"/>
      <c r="AP1901" s="841"/>
      <c r="AQ1901" s="841"/>
      <c r="AR1901" s="841"/>
      <c r="AS1901" s="842"/>
    </row>
    <row r="1902" spans="34:45">
      <c r="AH1902" s="1226"/>
      <c r="AI1902" s="841"/>
      <c r="AJ1902" s="841"/>
      <c r="AK1902" s="841"/>
      <c r="AL1902" s="841"/>
      <c r="AM1902" s="841"/>
      <c r="AN1902" s="841"/>
      <c r="AO1902" s="841"/>
      <c r="AP1902" s="841"/>
      <c r="AQ1902" s="841"/>
      <c r="AR1902" s="841"/>
      <c r="AS1902" s="842"/>
    </row>
    <row r="1903" spans="34:45">
      <c r="AH1903" s="1226"/>
      <c r="AI1903" s="841"/>
      <c r="AJ1903" s="841"/>
      <c r="AK1903" s="841"/>
      <c r="AL1903" s="841"/>
      <c r="AM1903" s="841"/>
      <c r="AN1903" s="841"/>
      <c r="AO1903" s="841"/>
      <c r="AP1903" s="841"/>
      <c r="AQ1903" s="841"/>
      <c r="AR1903" s="841"/>
      <c r="AS1903" s="842"/>
    </row>
    <row r="1904" spans="34:45">
      <c r="AH1904" s="1226"/>
      <c r="AI1904" s="841"/>
      <c r="AJ1904" s="841"/>
      <c r="AK1904" s="841"/>
      <c r="AL1904" s="841"/>
      <c r="AM1904" s="841"/>
      <c r="AN1904" s="841"/>
      <c r="AO1904" s="841"/>
      <c r="AP1904" s="841"/>
      <c r="AQ1904" s="841"/>
      <c r="AR1904" s="841"/>
      <c r="AS1904" s="842"/>
    </row>
    <row r="1905" spans="34:45">
      <c r="AH1905" s="1226"/>
      <c r="AI1905" s="841"/>
      <c r="AJ1905" s="841"/>
      <c r="AK1905" s="841"/>
      <c r="AL1905" s="841"/>
      <c r="AM1905" s="841"/>
      <c r="AN1905" s="841"/>
      <c r="AO1905" s="841"/>
      <c r="AP1905" s="841"/>
      <c r="AQ1905" s="841"/>
      <c r="AR1905" s="841"/>
      <c r="AS1905" s="842"/>
    </row>
    <row r="1906" spans="34:45">
      <c r="AH1906" s="1226"/>
      <c r="AI1906" s="841"/>
      <c r="AJ1906" s="841"/>
      <c r="AK1906" s="841"/>
      <c r="AL1906" s="841"/>
      <c r="AM1906" s="841"/>
      <c r="AN1906" s="841"/>
      <c r="AO1906" s="841"/>
      <c r="AP1906" s="841"/>
      <c r="AQ1906" s="841"/>
      <c r="AR1906" s="841"/>
      <c r="AS1906" s="842"/>
    </row>
    <row r="1907" spans="34:45">
      <c r="AH1907" s="1226"/>
      <c r="AI1907" s="841"/>
      <c r="AJ1907" s="841"/>
      <c r="AK1907" s="841"/>
      <c r="AL1907" s="841"/>
      <c r="AM1907" s="841"/>
      <c r="AN1907" s="841"/>
      <c r="AO1907" s="841"/>
      <c r="AP1907" s="841"/>
      <c r="AQ1907" s="841"/>
      <c r="AR1907" s="841"/>
      <c r="AS1907" s="842"/>
    </row>
    <row r="1908" spans="34:45">
      <c r="AH1908" s="1226"/>
      <c r="AI1908" s="841"/>
      <c r="AJ1908" s="841"/>
      <c r="AK1908" s="841"/>
      <c r="AL1908" s="841"/>
      <c r="AM1908" s="841"/>
      <c r="AN1908" s="841"/>
      <c r="AO1908" s="841"/>
      <c r="AP1908" s="841"/>
      <c r="AQ1908" s="841"/>
      <c r="AR1908" s="841"/>
      <c r="AS1908" s="842"/>
    </row>
    <row r="1909" spans="34:45">
      <c r="AH1909" s="1226"/>
      <c r="AI1909" s="841"/>
      <c r="AJ1909" s="841"/>
      <c r="AK1909" s="841"/>
      <c r="AL1909" s="841"/>
      <c r="AM1909" s="841"/>
      <c r="AN1909" s="841"/>
      <c r="AO1909" s="841"/>
      <c r="AP1909" s="841"/>
      <c r="AQ1909" s="841"/>
      <c r="AR1909" s="841"/>
      <c r="AS1909" s="842"/>
    </row>
    <row r="1910" spans="34:45">
      <c r="AH1910" s="1226"/>
      <c r="AI1910" s="841"/>
      <c r="AJ1910" s="841"/>
      <c r="AK1910" s="841"/>
      <c r="AL1910" s="841"/>
      <c r="AM1910" s="841"/>
      <c r="AN1910" s="841"/>
      <c r="AO1910" s="841"/>
      <c r="AP1910" s="841"/>
      <c r="AQ1910" s="841"/>
      <c r="AR1910" s="841"/>
      <c r="AS1910" s="842"/>
    </row>
    <row r="1911" spans="34:45">
      <c r="AH1911" s="1226"/>
      <c r="AI1911" s="841"/>
      <c r="AJ1911" s="841"/>
      <c r="AK1911" s="841"/>
      <c r="AL1911" s="841"/>
      <c r="AM1911" s="841"/>
      <c r="AN1911" s="841"/>
      <c r="AO1911" s="841"/>
      <c r="AP1911" s="841"/>
      <c r="AQ1911" s="841"/>
      <c r="AR1911" s="841"/>
      <c r="AS1911" s="842"/>
    </row>
    <row r="1912" spans="34:45">
      <c r="AH1912" s="1226"/>
      <c r="AI1912" s="841"/>
      <c r="AJ1912" s="841"/>
      <c r="AK1912" s="841"/>
      <c r="AL1912" s="841"/>
      <c r="AM1912" s="841"/>
      <c r="AN1912" s="841"/>
      <c r="AO1912" s="841"/>
      <c r="AP1912" s="841"/>
      <c r="AQ1912" s="841"/>
      <c r="AR1912" s="841"/>
      <c r="AS1912" s="842"/>
    </row>
    <row r="1913" spans="34:45">
      <c r="AH1913" s="1226"/>
      <c r="AI1913" s="841"/>
      <c r="AJ1913" s="841"/>
      <c r="AK1913" s="841"/>
      <c r="AL1913" s="841"/>
      <c r="AM1913" s="841"/>
      <c r="AN1913" s="841"/>
      <c r="AO1913" s="841"/>
      <c r="AP1913" s="841"/>
      <c r="AQ1913" s="841"/>
      <c r="AR1913" s="841"/>
      <c r="AS1913" s="842"/>
    </row>
    <row r="1914" spans="34:45">
      <c r="AH1914" s="1226"/>
      <c r="AI1914" s="841"/>
      <c r="AJ1914" s="841"/>
      <c r="AK1914" s="841"/>
      <c r="AL1914" s="841"/>
      <c r="AM1914" s="841"/>
      <c r="AN1914" s="841"/>
      <c r="AO1914" s="841"/>
      <c r="AP1914" s="841"/>
      <c r="AQ1914" s="841"/>
      <c r="AR1914" s="841"/>
      <c r="AS1914" s="842"/>
    </row>
    <row r="1915" spans="34:45">
      <c r="AH1915" s="1226"/>
      <c r="AI1915" s="841"/>
      <c r="AJ1915" s="841"/>
      <c r="AK1915" s="841"/>
      <c r="AL1915" s="841"/>
      <c r="AM1915" s="841"/>
      <c r="AN1915" s="841"/>
      <c r="AO1915" s="841"/>
      <c r="AP1915" s="841"/>
      <c r="AQ1915" s="841"/>
      <c r="AR1915" s="841"/>
      <c r="AS1915" s="842"/>
    </row>
    <row r="1916" spans="34:45">
      <c r="AH1916" s="1226"/>
      <c r="AI1916" s="841"/>
      <c r="AJ1916" s="841"/>
      <c r="AK1916" s="841"/>
      <c r="AL1916" s="841"/>
      <c r="AM1916" s="841"/>
      <c r="AN1916" s="841"/>
      <c r="AO1916" s="841"/>
      <c r="AP1916" s="841"/>
      <c r="AQ1916" s="841"/>
      <c r="AR1916" s="841"/>
      <c r="AS1916" s="842"/>
    </row>
    <row r="1917" spans="34:45">
      <c r="AH1917" s="1226"/>
      <c r="AI1917" s="841"/>
      <c r="AJ1917" s="841"/>
      <c r="AK1917" s="841"/>
      <c r="AL1917" s="841"/>
      <c r="AM1917" s="841"/>
      <c r="AN1917" s="841"/>
      <c r="AO1917" s="841"/>
      <c r="AP1917" s="841"/>
      <c r="AQ1917" s="841"/>
      <c r="AR1917" s="841"/>
      <c r="AS1917" s="842"/>
    </row>
    <row r="1918" spans="34:45">
      <c r="AH1918" s="1226"/>
      <c r="AI1918" s="841"/>
      <c r="AJ1918" s="841"/>
      <c r="AK1918" s="841"/>
      <c r="AL1918" s="841"/>
      <c r="AM1918" s="841"/>
      <c r="AN1918" s="841"/>
      <c r="AO1918" s="841"/>
      <c r="AP1918" s="841"/>
      <c r="AQ1918" s="841"/>
      <c r="AR1918" s="841"/>
      <c r="AS1918" s="842"/>
    </row>
    <row r="1919" spans="34:45">
      <c r="AH1919" s="1226"/>
      <c r="AI1919" s="841"/>
      <c r="AJ1919" s="841"/>
      <c r="AK1919" s="841"/>
      <c r="AL1919" s="841"/>
      <c r="AM1919" s="841"/>
      <c r="AN1919" s="841"/>
      <c r="AO1919" s="841"/>
      <c r="AP1919" s="841"/>
      <c r="AQ1919" s="841"/>
      <c r="AR1919" s="841"/>
      <c r="AS1919" s="842"/>
    </row>
    <row r="1920" spans="34:45">
      <c r="AH1920" s="1226"/>
      <c r="AI1920" s="841"/>
      <c r="AJ1920" s="841"/>
      <c r="AK1920" s="841"/>
      <c r="AL1920" s="841"/>
      <c r="AM1920" s="841"/>
      <c r="AN1920" s="841"/>
      <c r="AO1920" s="841"/>
      <c r="AP1920" s="841"/>
      <c r="AQ1920" s="841"/>
      <c r="AR1920" s="841"/>
      <c r="AS1920" s="842"/>
    </row>
    <row r="1921" spans="34:45">
      <c r="AH1921" s="1226"/>
      <c r="AI1921" s="841"/>
      <c r="AJ1921" s="841"/>
      <c r="AK1921" s="841"/>
      <c r="AL1921" s="841"/>
      <c r="AM1921" s="841"/>
      <c r="AN1921" s="841"/>
      <c r="AO1921" s="841"/>
      <c r="AP1921" s="841"/>
      <c r="AQ1921" s="841"/>
      <c r="AR1921" s="841"/>
      <c r="AS1921" s="842"/>
    </row>
    <row r="1922" spans="34:45">
      <c r="AH1922" s="1226"/>
      <c r="AI1922" s="841"/>
      <c r="AJ1922" s="841"/>
      <c r="AK1922" s="841"/>
      <c r="AL1922" s="841"/>
      <c r="AM1922" s="841"/>
      <c r="AN1922" s="841"/>
      <c r="AO1922" s="841"/>
      <c r="AP1922" s="841"/>
      <c r="AQ1922" s="841"/>
      <c r="AR1922" s="841"/>
      <c r="AS1922" s="842"/>
    </row>
    <row r="1923" spans="34:45">
      <c r="AH1923" s="1226"/>
      <c r="AI1923" s="841"/>
      <c r="AJ1923" s="841"/>
      <c r="AK1923" s="841"/>
      <c r="AL1923" s="841"/>
      <c r="AM1923" s="841"/>
      <c r="AN1923" s="841"/>
      <c r="AO1923" s="841"/>
      <c r="AP1923" s="841"/>
      <c r="AQ1923" s="841"/>
      <c r="AR1923" s="841"/>
      <c r="AS1923" s="842"/>
    </row>
    <row r="1924" spans="34:45">
      <c r="AH1924" s="1226"/>
      <c r="AI1924" s="841"/>
      <c r="AJ1924" s="841"/>
      <c r="AK1924" s="841"/>
      <c r="AL1924" s="841"/>
      <c r="AM1924" s="841"/>
      <c r="AN1924" s="841"/>
      <c r="AO1924" s="841"/>
      <c r="AP1924" s="841"/>
      <c r="AQ1924" s="841"/>
      <c r="AR1924" s="841"/>
      <c r="AS1924" s="842"/>
    </row>
    <row r="1925" spans="34:45">
      <c r="AH1925" s="1226"/>
      <c r="AI1925" s="841"/>
      <c r="AJ1925" s="841"/>
      <c r="AK1925" s="841"/>
      <c r="AL1925" s="841"/>
      <c r="AM1925" s="841"/>
      <c r="AN1925" s="841"/>
      <c r="AO1925" s="841"/>
      <c r="AP1925" s="841"/>
      <c r="AQ1925" s="841"/>
      <c r="AR1925" s="841"/>
      <c r="AS1925" s="842"/>
    </row>
    <row r="1926" spans="34:45">
      <c r="AH1926" s="1226"/>
      <c r="AI1926" s="841"/>
      <c r="AJ1926" s="841"/>
      <c r="AK1926" s="841"/>
      <c r="AL1926" s="841"/>
      <c r="AM1926" s="841"/>
      <c r="AN1926" s="841"/>
      <c r="AO1926" s="841"/>
      <c r="AP1926" s="841"/>
      <c r="AQ1926" s="841"/>
      <c r="AR1926" s="841"/>
      <c r="AS1926" s="842"/>
    </row>
    <row r="1927" spans="34:45">
      <c r="AH1927" s="1226"/>
      <c r="AI1927" s="841"/>
      <c r="AJ1927" s="841"/>
      <c r="AK1927" s="841"/>
      <c r="AL1927" s="841"/>
      <c r="AM1927" s="841"/>
      <c r="AN1927" s="841"/>
      <c r="AO1927" s="841"/>
      <c r="AP1927" s="841"/>
      <c r="AQ1927" s="841"/>
      <c r="AR1927" s="841"/>
      <c r="AS1927" s="842"/>
    </row>
    <row r="1928" spans="34:45">
      <c r="AH1928" s="1226"/>
      <c r="AI1928" s="841"/>
      <c r="AJ1928" s="841"/>
      <c r="AK1928" s="841"/>
      <c r="AL1928" s="841"/>
      <c r="AM1928" s="841"/>
      <c r="AN1928" s="841"/>
      <c r="AO1928" s="841"/>
      <c r="AP1928" s="841"/>
      <c r="AQ1928" s="841"/>
      <c r="AR1928" s="841"/>
      <c r="AS1928" s="842"/>
    </row>
    <row r="1929" spans="34:45">
      <c r="AH1929" s="1226"/>
      <c r="AI1929" s="841"/>
      <c r="AJ1929" s="841"/>
      <c r="AK1929" s="841"/>
      <c r="AL1929" s="841"/>
      <c r="AM1929" s="841"/>
      <c r="AN1929" s="841"/>
      <c r="AO1929" s="841"/>
      <c r="AP1929" s="841"/>
      <c r="AQ1929" s="841"/>
      <c r="AR1929" s="841"/>
      <c r="AS1929" s="842"/>
    </row>
    <row r="1930" spans="34:45">
      <c r="AH1930" s="1226"/>
      <c r="AI1930" s="841"/>
      <c r="AJ1930" s="841"/>
      <c r="AK1930" s="841"/>
      <c r="AL1930" s="841"/>
      <c r="AM1930" s="841"/>
      <c r="AN1930" s="841"/>
      <c r="AO1930" s="841"/>
      <c r="AP1930" s="841"/>
      <c r="AQ1930" s="841"/>
      <c r="AR1930" s="841"/>
      <c r="AS1930" s="842"/>
    </row>
    <row r="1931" spans="34:45">
      <c r="AH1931" s="1226"/>
      <c r="AI1931" s="841"/>
      <c r="AJ1931" s="841"/>
      <c r="AK1931" s="841"/>
      <c r="AL1931" s="841"/>
      <c r="AM1931" s="841"/>
      <c r="AN1931" s="841"/>
      <c r="AO1931" s="841"/>
      <c r="AP1931" s="841"/>
      <c r="AQ1931" s="841"/>
      <c r="AR1931" s="841"/>
      <c r="AS1931" s="842"/>
    </row>
    <row r="1932" spans="34:45">
      <c r="AH1932" s="1226"/>
      <c r="AI1932" s="841"/>
      <c r="AJ1932" s="841"/>
      <c r="AK1932" s="841"/>
      <c r="AL1932" s="841"/>
      <c r="AM1932" s="841"/>
      <c r="AN1932" s="841"/>
      <c r="AO1932" s="841"/>
      <c r="AP1932" s="841"/>
      <c r="AQ1932" s="841"/>
      <c r="AR1932" s="841"/>
      <c r="AS1932" s="842"/>
    </row>
    <row r="1933" spans="34:45">
      <c r="AH1933" s="1226"/>
      <c r="AI1933" s="841"/>
      <c r="AJ1933" s="841"/>
      <c r="AK1933" s="841"/>
      <c r="AL1933" s="841"/>
      <c r="AM1933" s="841"/>
      <c r="AN1933" s="841"/>
      <c r="AO1933" s="841"/>
      <c r="AP1933" s="841"/>
      <c r="AQ1933" s="841"/>
      <c r="AR1933" s="841"/>
      <c r="AS1933" s="842"/>
    </row>
    <row r="1934" spans="34:45">
      <c r="AH1934" s="1226"/>
      <c r="AI1934" s="841"/>
      <c r="AJ1934" s="841"/>
      <c r="AK1934" s="841"/>
      <c r="AL1934" s="841"/>
      <c r="AM1934" s="841"/>
      <c r="AN1934" s="841"/>
      <c r="AO1934" s="841"/>
      <c r="AP1934" s="841"/>
      <c r="AQ1934" s="841"/>
      <c r="AR1934" s="841"/>
      <c r="AS1934" s="842"/>
    </row>
    <row r="1935" spans="34:45">
      <c r="AH1935" s="1226"/>
      <c r="AI1935" s="841"/>
      <c r="AJ1935" s="841"/>
      <c r="AK1935" s="841"/>
      <c r="AL1935" s="841"/>
      <c r="AM1935" s="841"/>
      <c r="AN1935" s="841"/>
      <c r="AO1935" s="841"/>
      <c r="AP1935" s="841"/>
      <c r="AQ1935" s="841"/>
      <c r="AR1935" s="841"/>
      <c r="AS1935" s="842"/>
    </row>
    <row r="1936" spans="34:45">
      <c r="AH1936" s="1226"/>
      <c r="AI1936" s="841"/>
      <c r="AJ1936" s="841"/>
      <c r="AK1936" s="841"/>
      <c r="AL1936" s="841"/>
      <c r="AM1936" s="841"/>
      <c r="AN1936" s="841"/>
      <c r="AO1936" s="841"/>
      <c r="AP1936" s="841"/>
      <c r="AQ1936" s="841"/>
      <c r="AR1936" s="841"/>
      <c r="AS1936" s="842"/>
    </row>
    <row r="1937" spans="34:45">
      <c r="AH1937" s="1226"/>
      <c r="AI1937" s="841"/>
      <c r="AJ1937" s="841"/>
      <c r="AK1937" s="841"/>
      <c r="AL1937" s="841"/>
      <c r="AM1937" s="841"/>
      <c r="AN1937" s="841"/>
      <c r="AO1937" s="841"/>
      <c r="AP1937" s="841"/>
      <c r="AQ1937" s="841"/>
      <c r="AR1937" s="841"/>
      <c r="AS1937" s="842"/>
    </row>
    <row r="1938" spans="34:45">
      <c r="AH1938" s="1226"/>
      <c r="AI1938" s="841"/>
      <c r="AJ1938" s="841"/>
      <c r="AK1938" s="841"/>
      <c r="AL1938" s="841"/>
      <c r="AM1938" s="841"/>
      <c r="AN1938" s="841"/>
      <c r="AO1938" s="841"/>
      <c r="AP1938" s="841"/>
      <c r="AQ1938" s="841"/>
      <c r="AR1938" s="841"/>
      <c r="AS1938" s="842"/>
    </row>
    <row r="1939" spans="34:45">
      <c r="AH1939" s="1226"/>
      <c r="AI1939" s="841"/>
      <c r="AJ1939" s="841"/>
      <c r="AK1939" s="841"/>
      <c r="AL1939" s="841"/>
      <c r="AM1939" s="841"/>
      <c r="AN1939" s="841"/>
      <c r="AO1939" s="841"/>
      <c r="AP1939" s="841"/>
      <c r="AQ1939" s="841"/>
      <c r="AR1939" s="841"/>
      <c r="AS1939" s="842"/>
    </row>
  </sheetData>
  <sheetProtection algorithmName="SHA-512" hashValue="XJh/ne8QV8mA9v85FqQwLh46gYP7ny68yy13CEvoqVkNT6vTJUFOTV76G+0hJkiXGjkkZy9fdcQ1V6kItDf8Hg==" saltValue="8gdWQ6kQMoaz6sMD/5ownA==" spinCount="100000" sheet="1" objects="1" scenarios="1" selectLockedCells="1"/>
  <protectedRanges>
    <protectedRange sqref="B213 D213 F213 B215 D215 F215 B217 D217 F217 B219 D219 F219 B221 D221 F221 B223 D223 F223 B225 D225 F225 B227 D227 F227 B229 D229 F229 B231 D231 F231 B233 D233 F233" name="Conecta_Pymes_1"/>
  </protectedRanges>
  <dataConsolidate/>
  <mergeCells count="96">
    <mergeCell ref="J28:K28"/>
    <mergeCell ref="B19:G19"/>
    <mergeCell ref="I19:Q19"/>
    <mergeCell ref="N21:O21"/>
    <mergeCell ref="N22:O22"/>
    <mergeCell ref="N23:O23"/>
    <mergeCell ref="N79:R79"/>
    <mergeCell ref="F173:P173"/>
    <mergeCell ref="R173:X173"/>
    <mergeCell ref="F99:H99"/>
    <mergeCell ref="F97:H97"/>
    <mergeCell ref="B113:AH113"/>
    <mergeCell ref="B129:M129"/>
    <mergeCell ref="B131:M131"/>
    <mergeCell ref="V84:AH101"/>
    <mergeCell ref="F89:H89"/>
    <mergeCell ref="Z173:AN173"/>
    <mergeCell ref="B170:AQ170"/>
    <mergeCell ref="B133:AQ133"/>
    <mergeCell ref="F109:H109"/>
    <mergeCell ref="F91:H91"/>
    <mergeCell ref="F93:H93"/>
    <mergeCell ref="B209:AQ209"/>
    <mergeCell ref="R282:S282"/>
    <mergeCell ref="B268:AH268"/>
    <mergeCell ref="B280:AH280"/>
    <mergeCell ref="H135:N135"/>
    <mergeCell ref="R168:T168"/>
    <mergeCell ref="B254:AH254"/>
    <mergeCell ref="B238:AH238"/>
    <mergeCell ref="F258:J258"/>
    <mergeCell ref="L256:R256"/>
    <mergeCell ref="L264:R264"/>
    <mergeCell ref="L258:R258"/>
    <mergeCell ref="H168:P168"/>
    <mergeCell ref="B3:D3"/>
    <mergeCell ref="E3:H3"/>
    <mergeCell ref="B125:AH125"/>
    <mergeCell ref="V82:Z82"/>
    <mergeCell ref="J9:M9"/>
    <mergeCell ref="AF15:AF16"/>
    <mergeCell ref="T80:AF80"/>
    <mergeCell ref="J17:L17"/>
    <mergeCell ref="T7:AH7"/>
    <mergeCell ref="Q7:S7"/>
    <mergeCell ref="B5:AH5"/>
    <mergeCell ref="C7:M7"/>
    <mergeCell ref="AG9:AH9"/>
    <mergeCell ref="B14:AH14"/>
    <mergeCell ref="C9:D9"/>
    <mergeCell ref="J76:L76"/>
    <mergeCell ref="G9:I9"/>
    <mergeCell ref="Q9:R9"/>
    <mergeCell ref="S9:X9"/>
    <mergeCell ref="J37:L37"/>
    <mergeCell ref="B12:AQ12"/>
    <mergeCell ref="E22:F22"/>
    <mergeCell ref="E23:F23"/>
    <mergeCell ref="E24:F24"/>
    <mergeCell ref="E25:F25"/>
    <mergeCell ref="E31:F31"/>
    <mergeCell ref="D21:F21"/>
    <mergeCell ref="E26:F26"/>
    <mergeCell ref="E27:F27"/>
    <mergeCell ref="E29:F29"/>
    <mergeCell ref="J32:K32"/>
    <mergeCell ref="J29:K29"/>
    <mergeCell ref="J51:L51"/>
    <mergeCell ref="J54:L54"/>
    <mergeCell ref="J57:L57"/>
    <mergeCell ref="J70:L70"/>
    <mergeCell ref="J66:L66"/>
    <mergeCell ref="J63:L63"/>
    <mergeCell ref="J60:L60"/>
    <mergeCell ref="J45:L45"/>
    <mergeCell ref="V15:V16"/>
    <mergeCell ref="J39:L39"/>
    <mergeCell ref="J42:L42"/>
    <mergeCell ref="J48:L48"/>
    <mergeCell ref="J21:K21"/>
    <mergeCell ref="J22:K22"/>
    <mergeCell ref="J30:K30"/>
    <mergeCell ref="J31:K31"/>
    <mergeCell ref="J25:K25"/>
    <mergeCell ref="J26:K26"/>
    <mergeCell ref="J27:K27"/>
    <mergeCell ref="N24:O24"/>
    <mergeCell ref="J23:K23"/>
    <mergeCell ref="J24:K24"/>
    <mergeCell ref="N25:O25"/>
    <mergeCell ref="F95:H95"/>
    <mergeCell ref="F105:H105"/>
    <mergeCell ref="F107:H107"/>
    <mergeCell ref="J68:L68"/>
    <mergeCell ref="J74:L74"/>
    <mergeCell ref="J72:L72"/>
  </mergeCells>
  <conditionalFormatting sqref="R282:S282 U282:AH282 B280:AH280 B282:O282">
    <cfRule type="cellIs" dxfId="120" priority="294" stopIfTrue="1" operator="equal">
      <formula>""</formula>
    </cfRule>
  </conditionalFormatting>
  <conditionalFormatting sqref="N79:R79">
    <cfRule type="cellIs" dxfId="119" priority="291" stopIfTrue="1" operator="equal">
      <formula>"Es viable hacer oferta a medida de roaming"</formula>
    </cfRule>
  </conditionalFormatting>
  <conditionalFormatting sqref="R80">
    <cfRule type="cellIs" dxfId="118" priority="284" stopIfTrue="1" operator="equal">
      <formula>" "</formula>
    </cfRule>
  </conditionalFormatting>
  <conditionalFormatting sqref="AH80">
    <cfRule type="cellIs" dxfId="117" priority="283" stopIfTrue="1" operator="equal">
      <formula>" "</formula>
    </cfRule>
  </conditionalFormatting>
  <conditionalFormatting sqref="H168">
    <cfRule type="expression" dxfId="116" priority="246">
      <formula>$E$134=0</formula>
    </cfRule>
  </conditionalFormatting>
  <conditionalFormatting sqref="R168">
    <cfRule type="cellIs" dxfId="115" priority="239" stopIfTrue="1" operator="equal">
      <formula>" "</formula>
    </cfRule>
  </conditionalFormatting>
  <conditionalFormatting sqref="R138">
    <cfRule type="expression" dxfId="114" priority="145">
      <formula>Q138=1</formula>
    </cfRule>
  </conditionalFormatting>
  <conditionalFormatting sqref="V84">
    <cfRule type="expression" dxfId="113" priority="140">
      <formula>$D$77=1</formula>
    </cfRule>
  </conditionalFormatting>
  <conditionalFormatting sqref="AH82">
    <cfRule type="expression" dxfId="112" priority="139">
      <formula>$D$77=1</formula>
    </cfRule>
  </conditionalFormatting>
  <conditionalFormatting sqref="AB82">
    <cfRule type="expression" dxfId="111" priority="138">
      <formula>$D$77=1</formula>
    </cfRule>
  </conditionalFormatting>
  <conditionalFormatting sqref="R82">
    <cfRule type="expression" dxfId="110" priority="137">
      <formula>$D$77=1</formula>
    </cfRule>
  </conditionalFormatting>
  <conditionalFormatting sqref="R282:S282">
    <cfRule type="expression" dxfId="109" priority="136">
      <formula>$D$77=1</formula>
    </cfRule>
  </conditionalFormatting>
  <conditionalFormatting sqref="L101">
    <cfRule type="expression" dxfId="108" priority="135">
      <formula>$D$77=1</formula>
    </cfRule>
  </conditionalFormatting>
  <conditionalFormatting sqref="AH60">
    <cfRule type="expression" dxfId="107" priority="127">
      <formula>$D$77=1</formula>
    </cfRule>
  </conditionalFormatting>
  <conditionalFormatting sqref="AH66">
    <cfRule type="expression" dxfId="106" priority="125">
      <formula>$D$77=1</formula>
    </cfRule>
  </conditionalFormatting>
  <conditionalFormatting sqref="AH70">
    <cfRule type="expression" dxfId="105" priority="123">
      <formula>$D$77=1</formula>
    </cfRule>
  </conditionalFormatting>
  <conditionalFormatting sqref="AH57">
    <cfRule type="expression" dxfId="104" priority="128">
      <formula>$D$77=1</formula>
    </cfRule>
  </conditionalFormatting>
  <conditionalFormatting sqref="AH63">
    <cfRule type="expression" dxfId="103" priority="126">
      <formula>$D$77=1</formula>
    </cfRule>
  </conditionalFormatting>
  <conditionalFormatting sqref="AH68">
    <cfRule type="expression" dxfId="102" priority="124">
      <formula>$D$77=1</formula>
    </cfRule>
  </conditionalFormatting>
  <conditionalFormatting sqref="AH72">
    <cfRule type="expression" dxfId="101" priority="122">
      <formula>$D$77=1</formula>
    </cfRule>
  </conditionalFormatting>
  <conditionalFormatting sqref="AH74">
    <cfRule type="expression" dxfId="100" priority="121">
      <formula>$D$77=1</formula>
    </cfRule>
  </conditionalFormatting>
  <conditionalFormatting sqref="AH76">
    <cfRule type="expression" dxfId="99" priority="120">
      <formula>$D$77=1</formula>
    </cfRule>
  </conditionalFormatting>
  <conditionalFormatting sqref="AH78">
    <cfRule type="expression" dxfId="98" priority="119">
      <formula>$D$77=1</formula>
    </cfRule>
  </conditionalFormatting>
  <conditionalFormatting sqref="L91">
    <cfRule type="expression" dxfId="97" priority="118">
      <formula>$D$77=1</formula>
    </cfRule>
  </conditionalFormatting>
  <conditionalFormatting sqref="L93">
    <cfRule type="expression" dxfId="96" priority="117">
      <formula>$D$77=1</formula>
    </cfRule>
  </conditionalFormatting>
  <conditionalFormatting sqref="L95">
    <cfRule type="expression" dxfId="95" priority="116">
      <formula>$D$77=1</formula>
    </cfRule>
  </conditionalFormatting>
  <conditionalFormatting sqref="L97">
    <cfRule type="expression" dxfId="94" priority="115">
      <formula>$D$77=1</formula>
    </cfRule>
  </conditionalFormatting>
  <conditionalFormatting sqref="L99">
    <cfRule type="expression" dxfId="93" priority="114">
      <formula>$D$77=1</formula>
    </cfRule>
  </conditionalFormatting>
  <conditionalFormatting sqref="L262">
    <cfRule type="expression" dxfId="92" priority="108">
      <formula>$D$77=1</formula>
    </cfRule>
  </conditionalFormatting>
  <conditionalFormatting sqref="R262">
    <cfRule type="expression" dxfId="91" priority="93">
      <formula>$D$77=1</formula>
    </cfRule>
  </conditionalFormatting>
  <conditionalFormatting sqref="L266">
    <cfRule type="expression" dxfId="90" priority="102">
      <formula>$D$77=1</formula>
    </cfRule>
  </conditionalFormatting>
  <conditionalFormatting sqref="N262">
    <cfRule type="expression" dxfId="89" priority="95">
      <formula>$D$77=1</formula>
    </cfRule>
  </conditionalFormatting>
  <conditionalFormatting sqref="N266">
    <cfRule type="expression" dxfId="88" priority="98">
      <formula>$D$77=1</formula>
    </cfRule>
  </conditionalFormatting>
  <conditionalFormatting sqref="P266">
    <cfRule type="expression" dxfId="87" priority="97">
      <formula>$D$77=1</formula>
    </cfRule>
  </conditionalFormatting>
  <conditionalFormatting sqref="R266">
    <cfRule type="expression" dxfId="86" priority="96">
      <formula>$D$77=1</formula>
    </cfRule>
  </conditionalFormatting>
  <conditionalFormatting sqref="P262">
    <cfRule type="expression" dxfId="85" priority="94">
      <formula>$D$77=1</formula>
    </cfRule>
  </conditionalFormatting>
  <conditionalFormatting sqref="L107">
    <cfRule type="expression" dxfId="84" priority="75">
      <formula>$D$77=1</formula>
    </cfRule>
  </conditionalFormatting>
  <conditionalFormatting sqref="L109">
    <cfRule type="expression" dxfId="83" priority="74">
      <formula>$D$77=1</formula>
    </cfRule>
  </conditionalFormatting>
  <conditionalFormatting sqref="L111">
    <cfRule type="expression" dxfId="82" priority="73">
      <formula>$D$77=1</formula>
    </cfRule>
  </conditionalFormatting>
  <conditionalFormatting sqref="AH54">
    <cfRule type="expression" dxfId="81" priority="72">
      <formula>$D$77=1</formula>
    </cfRule>
  </conditionalFormatting>
  <conditionalFormatting sqref="AH51">
    <cfRule type="expression" dxfId="80" priority="71">
      <formula>$D$77=1</formula>
    </cfRule>
  </conditionalFormatting>
  <conditionalFormatting sqref="AH48">
    <cfRule type="expression" dxfId="79" priority="70">
      <formula>$D$77=1</formula>
    </cfRule>
  </conditionalFormatting>
  <conditionalFormatting sqref="AH45">
    <cfRule type="expression" dxfId="78" priority="69">
      <formula>$D$77=1</formula>
    </cfRule>
  </conditionalFormatting>
  <conditionalFormatting sqref="AH42">
    <cfRule type="expression" dxfId="77" priority="68">
      <formula>$D$77=1</formula>
    </cfRule>
  </conditionalFormatting>
  <conditionalFormatting sqref="AH39">
    <cfRule type="expression" dxfId="76" priority="67">
      <formula>$D$77=1</formula>
    </cfRule>
  </conditionalFormatting>
  <conditionalFormatting sqref="R140">
    <cfRule type="expression" dxfId="75" priority="30">
      <formula>Q140=1</formula>
    </cfRule>
  </conditionalFormatting>
  <conditionalFormatting sqref="R142">
    <cfRule type="expression" dxfId="74" priority="29">
      <formula>Q142=1</formula>
    </cfRule>
  </conditionalFormatting>
  <conditionalFormatting sqref="R144">
    <cfRule type="expression" dxfId="73" priority="28">
      <formula>Q144=1</formula>
    </cfRule>
  </conditionalFormatting>
  <conditionalFormatting sqref="R146">
    <cfRule type="expression" dxfId="72" priority="27">
      <formula>Q146=1</formula>
    </cfRule>
  </conditionalFormatting>
  <conditionalFormatting sqref="R148">
    <cfRule type="expression" dxfId="71" priority="26">
      <formula>Q148=1</formula>
    </cfRule>
  </conditionalFormatting>
  <conditionalFormatting sqref="R150">
    <cfRule type="expression" dxfId="70" priority="25">
      <formula>Q150=1</formula>
    </cfRule>
  </conditionalFormatting>
  <conditionalFormatting sqref="R152">
    <cfRule type="expression" dxfId="69" priority="24">
      <formula>Q152=1</formula>
    </cfRule>
  </conditionalFormatting>
  <conditionalFormatting sqref="R154">
    <cfRule type="expression" dxfId="68" priority="23">
      <formula>Q154=1</formula>
    </cfRule>
  </conditionalFormatting>
  <conditionalFormatting sqref="R156">
    <cfRule type="expression" dxfId="67" priority="22">
      <formula>Q156=1</formula>
    </cfRule>
  </conditionalFormatting>
  <conditionalFormatting sqref="R158">
    <cfRule type="expression" dxfId="66" priority="21">
      <formula>Q158=1</formula>
    </cfRule>
  </conditionalFormatting>
  <conditionalFormatting sqref="R160">
    <cfRule type="expression" dxfId="65" priority="20">
      <formula>Q160=1</formula>
    </cfRule>
  </conditionalFormatting>
  <conditionalFormatting sqref="R162">
    <cfRule type="expression" dxfId="64" priority="19">
      <formula>Q162=1</formula>
    </cfRule>
  </conditionalFormatting>
  <conditionalFormatting sqref="R164">
    <cfRule type="expression" dxfId="63" priority="18">
      <formula>Q164=1</formula>
    </cfRule>
  </conditionalFormatting>
  <conditionalFormatting sqref="R166">
    <cfRule type="expression" dxfId="62" priority="17">
      <formula>Q166=1</formula>
    </cfRule>
  </conditionalFormatting>
  <conditionalFormatting sqref="P211">
    <cfRule type="expression" dxfId="61" priority="15">
      <formula>$Q$116=1</formula>
    </cfRule>
  </conditionalFormatting>
  <conditionalFormatting sqref="N211">
    <cfRule type="expression" dxfId="60" priority="14">
      <formula>$Q$116=1</formula>
    </cfRule>
  </conditionalFormatting>
  <conditionalFormatting sqref="L211">
    <cfRule type="expression" dxfId="59" priority="13">
      <formula>$Q$116=1</formula>
    </cfRule>
  </conditionalFormatting>
  <conditionalFormatting sqref="J211">
    <cfRule type="expression" dxfId="58" priority="12">
      <formula>$Q$116=1</formula>
    </cfRule>
  </conditionalFormatting>
  <conditionalFormatting sqref="H211">
    <cfRule type="expression" dxfId="57" priority="11">
      <formula>$Q$116=1</formula>
    </cfRule>
  </conditionalFormatting>
  <conditionalFormatting sqref="R211">
    <cfRule type="expression" dxfId="56" priority="10">
      <formula>$Q$116=1</formula>
    </cfRule>
  </conditionalFormatting>
  <conditionalFormatting sqref="T211">
    <cfRule type="expression" dxfId="55" priority="9">
      <formula>$Q$116=1</formula>
    </cfRule>
  </conditionalFormatting>
  <conditionalFormatting sqref="V211">
    <cfRule type="expression" dxfId="54" priority="8">
      <formula>$Q$116=1</formula>
    </cfRule>
  </conditionalFormatting>
  <conditionalFormatting sqref="X211">
    <cfRule type="expression" dxfId="53" priority="7">
      <formula>$Q$116=1</formula>
    </cfRule>
  </conditionalFormatting>
  <conditionalFormatting sqref="Z211">
    <cfRule type="expression" dxfId="52" priority="3">
      <formula>$Q$116=1</formula>
    </cfRule>
  </conditionalFormatting>
  <conditionalFormatting sqref="AB211">
    <cfRule type="expression" dxfId="51" priority="2">
      <formula>$Q$116=1</formula>
    </cfRule>
  </conditionalFormatting>
  <conditionalFormatting sqref="AD211">
    <cfRule type="expression" dxfId="50" priority="1">
      <formula>$Q$116=1</formula>
    </cfRule>
  </conditionalFormatting>
  <dataValidations count="45">
    <dataValidation type="list" allowBlank="1" showInputMessage="1" showErrorMessage="1" sqref="T63:U63 N76 T42:U42 T45:U45 T48:U48 T51:U51 T54:U54 T57:U57 T60:U60 T66:U66 T68:U68 T70:U70 T72:U72 T74:U74 T76:U76 N63 N39 N42 N45 N48 N51 N54 N57 N60 N66 N68 N70 N72 N74 T39:U39 N213 P213 N215 P215 N217 P217 N219 P219 N221 P221 N223 P223 N225 P225 N227 P227 N229 P229 N231 P231 N233 P233">
      <formula1>"Sí,No"</formula1>
    </dataValidation>
    <dataValidation type="whole" allowBlank="1" showInputMessage="1" showErrorMessage="1" errorTitle="Inviable" error="No puede ser superior a las líneas totales" sqref="F39 F76 F74 F72 F70 F68 F66 F63 F60 F57 F54 F51 F48 F45 F42 F79 F81">
      <formula1>0</formula1>
      <formula2>D39</formula2>
    </dataValidation>
    <dataValidation type="list" allowBlank="1" showInputMessage="1" showErrorMessage="1" sqref="O76 M76 M74 M72 M70 M68 M66 M63 M39 M42 M45 M48 M51 M54 M57 M60 O60 O57 O54 O51 O48 O45 O42 O39 O63 O66 O68 O70 O72 O74">
      <formula1>$I$12:$I$14</formula1>
    </dataValidation>
    <dataValidation type="list" allowBlank="1" showInputMessage="1" showErrorMessage="1" sqref="L42 L57 L54 L51 L48 L45 L76 L74 L72 L70 L68 L66 L63 L60">
      <formula1>$CF$37:$CF$39</formula1>
    </dataValidation>
    <dataValidation type="list" allowBlank="1" showInputMessage="1" showErrorMessage="1" sqref="D17">
      <formula1>$CA$37:$CA$39</formula1>
    </dataValidation>
    <dataValidation type="list" allowBlank="1" showInputMessage="1" showErrorMessage="1" sqref="J17">
      <formula1>"Nuevo,Cartera Orange"</formula1>
    </dataValidation>
    <dataValidation type="list" allowBlank="1" showInputMessage="1" showErrorMessage="1" sqref="J39 J76 J74 J72 J70 J68 J66 J63 J60 J57 J54 J51 J48 J45 J42">
      <formula1>$CE$37:$CE$39</formula1>
    </dataValidation>
    <dataValidation type="whole" allowBlank="1" showInputMessage="1" showErrorMessage="1" errorTitle="Servicio no viable" error="La tarifa no permite disfrutar de Oficina Plus" sqref="D79 D81">
      <formula1>0</formula1>
      <formula2>C79</formula2>
    </dataValidation>
    <dataValidation type="list" allowBlank="1" showInputMessage="1" showErrorMessage="1" sqref="E3:H3">
      <formula1>$CE$47:$CE$48</formula1>
    </dataValidation>
    <dataValidation type="list" allowBlank="1" showInputMessage="1" showErrorMessage="1" sqref="H39 H42 H45 H48 H51 H54 H57 H60 H63 H66 H68 H70 H72 H74 H76">
      <formula1>$CD$37:$CD$45</formula1>
    </dataValidation>
    <dataValidation type="list" allowBlank="1" showInputMessage="1" showErrorMessage="1" sqref="B132 B131:M131">
      <formula1>$AK$126:$AK$133</formula1>
    </dataValidation>
    <dataValidation type="list" allowBlank="1" showErrorMessage="1" prompt="IP fija es incompatible con Conecta Fibra, excepto para:_x000a_• Conecta Pymes 2A fibra indirecta 25M_x000a_• Conecta Pymes IP fibra indirecta 10M_x000a_• Conecta Pymes 4D fibra indirecta 10M_x000a_" sqref="R142 R138 R164 R140 R146 R148 R150 R152 R154 R156 R158 R160 R162 R144 R166">
      <formula1>"0,1"</formula1>
    </dataValidation>
    <dataValidation type="list" allowBlank="1" showInputMessage="1" showErrorMessage="1" sqref="F109:H109 F107:H107">
      <formula1>"Bono consolidable 3 GB"</formula1>
    </dataValidation>
    <dataValidation type="list" allowBlank="1" showInputMessage="1" showErrorMessage="1" sqref="F91:H91 F99:H99 F97:H97 F95:H95 F93:H93">
      <formula1>$CG$37:$CG$41</formula1>
    </dataValidation>
    <dataValidation type="list" allowBlank="1" showInputMessage="1" showErrorMessage="1" prompt="no compatible con Conecta Pymes IP" sqref="F138 F140 F142 F144 F146 F148 F150 F152 F154 F156 F158 F160 F162 F164 F166">
      <formula1>INDIRECT(D137)</formula1>
    </dataValidation>
    <dataValidation type="list" allowBlank="1" showInputMessage="1" showErrorMessage="1" errorTitle="Inviable" error="El máximo de Teléfonos IP Premium por sede es 10" prompt="sólo para sedes con Conecta Pymes IP o Conecta Pymes IP fibra_x000a_" sqref="L138 L140 L142 L144 L146 L148 L150 L152 L154 L156 L158 L160 L162 L164 L166">
      <formula1>OFFSET($CJ$62,0,0,12-H138-J138)</formula1>
    </dataValidation>
    <dataValidation type="list" allowBlank="1" showInputMessage="1" showErrorMessage="1" errorTitle="Inviable" error="El máximo de Teléfonos IP Premium por sede es 10" prompt="sólo para sedes con Conecta Pymes IP o Conecta Pymes IP fibra_x000a_" sqref="H138 H140 H142 H144 H146 H148 H150 H152 H154 H156 H158 H160 H162 H164 H166">
      <formula1>OFFSET($CH$62,0,0,MIN(12-J138-L138,10-J138))</formula1>
    </dataValidation>
    <dataValidation type="list" allowBlank="1" showInputMessage="1" showErrorMessage="1" errorTitle="Inviable" error="El máximo de Teléfonos IP Premium por sede es 10" prompt="sólo para sedes con Conecta Pymes IP o Conecta Pymes IP fibra_x000a_" sqref="J138 J140 J142 J144 J146 J148 J150 J152 J154 J156 J158 J160 J162 J164 J166">
      <formula1>OFFSET($CI$62,0,0,MIN(12-H138-L138,10-H138))</formula1>
    </dataValidation>
    <dataValidation type="whole" allowBlank="1" showInputMessage="1" showErrorMessage="1" errorTitle="Inviable" promptTitle="Disponibilidad" prompt="DDIs no disponibles en productos 2A y 4A sin centralita_x000a_" sqref="P138 P140 P142 P144 P146 P148 P150 P152 P154 P156 P158 P160 P162 P164 P166">
      <formula1>0</formula1>
      <formula2>O138</formula2>
    </dataValidation>
    <dataValidation type="list" allowBlank="1" showInputMessage="1" showErrorMessage="1" sqref="D177 D203 D179 D181 D183 D185 D187 D189 D191 D193 D195 D197 D199 D201 D205">
      <formula1>CENTREX</formula1>
    </dataValidation>
    <dataValidation type="list" allowBlank="1" showInputMessage="1" showErrorMessage="1" sqref="Z177 Z205 Z203 Z201 Z199 Z197 Z195 Z193 Z191 Z189 Z187 Z185 Z183 Z181 Z179">
      <formula1>OFFSET($CK$62,0,0,D176-SUM(AB177:AN177))</formula1>
    </dataValidation>
    <dataValidation type="list" allowBlank="1" showInputMessage="1" showErrorMessage="1" sqref="AB177 AB205 AB203 AB201 AB199 AB197 AB195 AB193 AB191 AB189 AB187 AB185 AB183 AB181 AB179">
      <formula1>OFFSET($CK$62,0,0,D176-SUM(Z177,AD177:AN177))</formula1>
    </dataValidation>
    <dataValidation type="list" allowBlank="1" showInputMessage="1" showErrorMessage="1" sqref="AD177 AD205 AD203 AD201 AD199 AD197 AD195 AD193 AD191 AD189 AD187 AD185 AD183 AD181 AD179">
      <formula1>OFFSET($CK$62,0,0,D176-SUM(Z177:AB177,AF177:AN177))</formula1>
    </dataValidation>
    <dataValidation type="list" allowBlank="1" showInputMessage="1" showErrorMessage="1" sqref="AF177 AF205 AF203 AF201 AF199 AF197 AF195 AF193 AF191 AF189 AF187 AF185 AF183 AF181 AF179">
      <formula1>OFFSET($CK$62,0,0,D176-SUM(Z177:AD177,AH177:AN177))</formula1>
    </dataValidation>
    <dataValidation type="list" allowBlank="1" showInputMessage="1" showErrorMessage="1" sqref="AH177 AH205 AH203 AH201 AH199 AH197 AH195 AH193 AH191 AH189 AH187 AH185 AH183 AH181 AH179">
      <formula1>OFFSET($CK$62,0,0,D176-SUM(Z177:AF177,AJ177:AN177))</formula1>
    </dataValidation>
    <dataValidation type="list" allowBlank="1" showInputMessage="1" showErrorMessage="1" sqref="AJ177 AJ205 AJ203 AJ201 AJ199 AJ197 AJ195 AJ193 AJ191 AJ189 AJ187 AJ185 AJ183 AJ181 AJ179">
      <formula1>OFFSET($CK$62,0,0,D176-SUM(Z177:AH177,AL177:AN177))</formula1>
    </dataValidation>
    <dataValidation type="list" allowBlank="1" showInputMessage="1" showErrorMessage="1" sqref="AL177 AL205 AL203 AL201 AL199 AL197 AL195 AL193 AL191 AL189 AL187 AL185 AL183 AL181 AL179">
      <formula1>OFFSET($CK$62,0,0,D176-SUM(Z177:AJ177,AN177))</formula1>
    </dataValidation>
    <dataValidation type="list" allowBlank="1" showInputMessage="1" showErrorMessage="1" sqref="AN177 AN205 AN203 AN201 AN199 AN197 AN195 AN193 AN191 AN189 AN187 AN185 AN183 AN181 AN179">
      <formula1>OFFSET($CK$62,0,0,MIN((D176-SUM(Z177:AL177)),E176))</formula1>
    </dataValidation>
    <dataValidation type="list" allowBlank="1" showInputMessage="1" showErrorMessage="1" sqref="R177 T177 X177 R179 T179 X179 R181 T181 X181 R183 T183 X183 R185 T185 X185 R187 T187 X187 R189 T189 X189 R191 T191 X191 R193 T193 X193 R195 T195 X195 R197 T197 X197 R199 T199 X199 R201 T201 X201 R203 T203 X203 R205 T205 X205">
      <formula1>"0,1"</formula1>
    </dataValidation>
    <dataValidation type="whole" operator="greaterThan" allowBlank="1" showInputMessage="1" showErrorMessage="1" errorTitle="Valor incorrecto" error="Este valor debe ser superior al anterior umbral" sqref="D24:D26">
      <formula1>D23</formula1>
    </dataValidation>
    <dataValidation type="decimal" allowBlank="1" showInputMessage="1" showErrorMessage="1" errorTitle="Valor incorrecto" error="Este descuento debe ser superior al del anterior umbral" sqref="E24:F27">
      <formula1>E23</formula1>
      <formula2>1</formula2>
    </dataValidation>
    <dataValidation type="decimal" allowBlank="1" showInputMessage="1" showErrorMessage="1" sqref="E23:F23">
      <formula1>0</formula1>
      <formula2>1</formula2>
    </dataValidation>
    <dataValidation type="whole" allowBlank="1" showInputMessage="1" showErrorMessage="1" errorTitle="Inviable" error="No puede haber más servicios Premium que puestos" promptTitle="Campos requeridos" prompt="Antes de introducir un valor en este campo, debe completar la información de puestos asociados a la sede" sqref="V177 V179 V181 V183 V185 V187 V189 V191 V193 V195 V197 V199 V201 V203 V205">
      <formula1>0</formula1>
      <formula2>SUM(Z177:AN177)</formula2>
    </dataValidation>
    <dataValidation type="list" allowBlank="1" showInputMessage="1" showErrorMessage="1" prompt="válido para IP-VPN e Internet +, para accesos: Ethernet 10 y 100MB" sqref="AD213 AB213 AD215 AB215 AD217 AB217 AD219 AB219 AD221 AB221 AD223 AB223 AD225 AB225 AD227 AB227 AD229 AB229 AD231 AB231 AD233 AB233">
      <formula1>"Sí,No"</formula1>
    </dataValidation>
    <dataValidation type="list" allowBlank="1" showInputMessage="1" showErrorMessage="1" prompt="válido para IP-VPN e Internet +, para accesos: Simétrico offnet, Ethernet 10 y 100MB" sqref="Z213 Z215 Z217 Z219 Z221 Z223 Z225 Z227 Z229 Z231 Z233">
      <formula1>"Sí,No"</formula1>
    </dataValidation>
    <dataValidation type="list" allowBlank="1" showInputMessage="1" showErrorMessage="1" prompt="sólo válido para IP-VPN, excepto acceso móvil 4G" sqref="X213 X215 X217 X219 X221 X223 X225 X227 X229 X231 X233">
      <formula1>"Sí,No"</formula1>
    </dataValidation>
    <dataValidation type="list" allowBlank="1" showInputMessage="1" showErrorMessage="1" prompt="sólo válido para IP-VPN" sqref="V213 R213 T213 V215 R215 T215 V217 R217 T217 V219 R219 T219 V221 R221 T221 V223 R223 T223 V225 R225 T225 V227 R227 T227 V229 R229 T229 V231 R231 T231 V233 R233 T233">
      <formula1>"Sí,No"</formula1>
    </dataValidation>
    <dataValidation type="list" allowBlank="1" showInputMessage="1" showErrorMessage="1" prompt="sólo válido para accesos IP-VPN: Simétrico offnet, Ethernet 10 y 100MB" sqref="L213 L215 L217 L219 L221 L223 L225 L227 L229 L231 L233">
      <formula1>"Sí,No"</formula1>
    </dataValidation>
    <dataValidation type="list" allowBlank="1" showInputMessage="1" showErrorMessage="1" prompt="sólo válido para accesos IP-VPN, excepto móvil 4G" sqref="J213 J215 J217 J219 J221 J223 J225 J227 J229 J231 J233">
      <formula1>"Sí,No"</formula1>
    </dataValidation>
    <dataValidation type="list" allowBlank="1" showInputMessage="1" showErrorMessage="1" prompt="sólo compatible con acceso asimétrico o móvil 4G" sqref="H213 H215 H217 H219 H221 H223 H225 H227 H229 H231 H233">
      <formula1>"Sí,No"</formula1>
    </dataValidation>
    <dataValidation type="list" showInputMessage="1" showErrorMessage="1" sqref="B262">
      <formula1>"Estándar,A medida"</formula1>
    </dataValidation>
    <dataValidation type="list" allowBlank="1" showInputMessage="1" showErrorMessage="1" sqref="D142">
      <formula1>CH36:CH51</formula1>
    </dataValidation>
    <dataValidation type="list" allowBlank="1" showInputMessage="1" showErrorMessage="1" sqref="D144">
      <formula1>CH36:CH51</formula1>
    </dataValidation>
    <dataValidation type="list" allowBlank="1" showInputMessage="1" showErrorMessage="1" sqref="D150">
      <formula1>CH36:CH49</formula1>
    </dataValidation>
    <dataValidation type="list" allowBlank="1" showInputMessage="1" showErrorMessage="1" sqref="D138 D140 D146 D148 D152 D154 D156 D158 D160 D162 D164 D166">
      <formula1>$CH$36:$CH$51</formula1>
    </dataValidation>
  </dataValidations>
  <pageMargins left="0.7" right="0.7" top="0.75" bottom="0.75" header="0.3" footer="0.3"/>
  <pageSetup paperSize="9" orientation="portrait" horizontalDpi="150" verticalDpi="150" r:id="rId1"/>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showErrorMessage="1">
          <x14:formula1>
            <xm:f>IF(D233=Calculos_cuotas!$A$1149,Calculos_cuotas!$A$1150:$A$1154,Calculos_cuotas!$A$1156:$A$1161)</xm:f>
          </x14:formula1>
          <xm:sqref>F233</xm:sqref>
        </x14:dataValidation>
        <x14:dataValidation type="list" allowBlank="1" showInputMessage="1" showErrorMessage="1">
          <x14:formula1>
            <xm:f>Calculos_cuotas!$A$1144:$A$1145</xm:f>
          </x14:formula1>
          <xm:sqref>D233</xm:sqref>
        </x14:dataValidation>
        <x14:dataValidation type="list" allowBlank="1" showInputMessage="1" showErrorMessage="1">
          <x14:formula1>
            <xm:f>Calculos_cuotas!$A$294:$A$299</xm:f>
          </x14:formula1>
          <xm:sqref>B248 B250 B242 B244 B246</xm:sqref>
        </x14:dataValidation>
        <x14:dataValidation type="list" allowBlank="1" showInputMessage="1" showErrorMessage="1">
          <x14:formula1>
            <xm:f>IF(D213=Calculos_cuotas!$A$1149,Calculos_cuotas!$A$1150:$A$1154,Calculos_cuotas!$A$1156:$A$1161)</xm:f>
          </x14:formula1>
          <xm:sqref>F213</xm:sqref>
        </x14:dataValidation>
        <x14:dataValidation type="list" allowBlank="1" showInputMessage="1" showErrorMessage="1">
          <x14:formula1>
            <xm:f>Calculos_cuotas!$A$1144:$A$1145</xm:f>
          </x14:formula1>
          <xm:sqref>D213 D215 D217 D219 D221 D223 D225 D227 D229 D231</xm:sqref>
        </x14:dataValidation>
        <x14:dataValidation type="list" allowBlank="1" showInputMessage="1" showErrorMessage="1">
          <x14:formula1>
            <xm:f>IF(D215=Calculos_cuotas!$A$1149,Calculos_cuotas!$A$1150:$A$1154,Calculos_cuotas!$A$1156:$A$1161)</xm:f>
          </x14:formula1>
          <xm:sqref>F215</xm:sqref>
        </x14:dataValidation>
        <x14:dataValidation type="list" allowBlank="1" showInputMessage="1" showErrorMessage="1">
          <x14:formula1>
            <xm:f>IF(D217=Calculos_cuotas!$A$1149,Calculos_cuotas!$A$1150:$A$1154,Calculos_cuotas!$A$1156:$A$1161)</xm:f>
          </x14:formula1>
          <xm:sqref>F217</xm:sqref>
        </x14:dataValidation>
        <x14:dataValidation type="list" allowBlank="1" showInputMessage="1" showErrorMessage="1">
          <x14:formula1>
            <xm:f>IF(D219=Calculos_cuotas!$A$1149,Calculos_cuotas!$A$1150:$A$1154,Calculos_cuotas!$A$1156:$A$1161)</xm:f>
          </x14:formula1>
          <xm:sqref>F219</xm:sqref>
        </x14:dataValidation>
        <x14:dataValidation type="list" allowBlank="1" showInputMessage="1" showErrorMessage="1">
          <x14:formula1>
            <xm:f>IF(D221=Calculos_cuotas!$A$1149,Calculos_cuotas!$A$1150:$A$1154,Calculos_cuotas!$A$1156:$A$1161)</xm:f>
          </x14:formula1>
          <xm:sqref>F221</xm:sqref>
        </x14:dataValidation>
        <x14:dataValidation type="list" allowBlank="1" showInputMessage="1" showErrorMessage="1">
          <x14:formula1>
            <xm:f>IF(D223=Calculos_cuotas!$A$1149,Calculos_cuotas!$A$1150:$A$1154,Calculos_cuotas!$A$1156:$A$1161)</xm:f>
          </x14:formula1>
          <xm:sqref>F223</xm:sqref>
        </x14:dataValidation>
        <x14:dataValidation type="list" allowBlank="1" showInputMessage="1" showErrorMessage="1">
          <x14:formula1>
            <xm:f>IF(D225=Calculos_cuotas!$A$1149,Calculos_cuotas!$A$1150:$A$1154,Calculos_cuotas!$A$1156:$A$1161)</xm:f>
          </x14:formula1>
          <xm:sqref>F225</xm:sqref>
        </x14:dataValidation>
        <x14:dataValidation type="list" allowBlank="1" showInputMessage="1" showErrorMessage="1">
          <x14:formula1>
            <xm:f>IF(D227=Calculos_cuotas!$A$1149,Calculos_cuotas!$A$1150:$A$1154,Calculos_cuotas!$A$1156:$A$1161)</xm:f>
          </x14:formula1>
          <xm:sqref>F227</xm:sqref>
        </x14:dataValidation>
        <x14:dataValidation type="list" allowBlank="1" showInputMessage="1" showErrorMessage="1">
          <x14:formula1>
            <xm:f>IF(D229=Calculos_cuotas!$A$1149,Calculos_cuotas!$A$1150:$A$1154,Calculos_cuotas!$A$1156:$A$1161)</xm:f>
          </x14:formula1>
          <xm:sqref>F229</xm:sqref>
        </x14:dataValidation>
        <x14:dataValidation type="list" allowBlank="1" showInputMessage="1" showErrorMessage="1">
          <x14:formula1>
            <xm:f>IF(D231=Calculos_cuotas!$A$1149,Calculos_cuotas!$A$1150:$A$1154,Calculos_cuotas!$A$1156:$A$1161)</xm:f>
          </x14:formula1>
          <xm:sqref>F231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C000"/>
  </sheetPr>
  <dimension ref="A3:W145"/>
  <sheetViews>
    <sheetView showGridLines="0" showRowColHeaders="0" zoomScale="60" zoomScaleNormal="60" workbookViewId="0">
      <selection activeCell="F27" sqref="F27:G27"/>
    </sheetView>
  </sheetViews>
  <sheetFormatPr baseColWidth="10" defaultColWidth="11.42578125" defaultRowHeight="14.25"/>
  <cols>
    <col min="1" max="1" width="3.85546875" style="1551" customWidth="1"/>
    <col min="2" max="2" width="5.85546875" style="1551" customWidth="1"/>
    <col min="3" max="3" width="33.7109375" style="1551" customWidth="1"/>
    <col min="4" max="4" width="20.5703125" style="1551" customWidth="1"/>
    <col min="5" max="5" width="2" style="1551" customWidth="1"/>
    <col min="6" max="6" width="60.85546875" style="1551" customWidth="1"/>
    <col min="7" max="7" width="30.140625" style="1576" customWidth="1"/>
    <col min="8" max="8" width="13.5703125" style="1551" bestFit="1" customWidth="1"/>
    <col min="9" max="9" width="16.5703125" style="1577" customWidth="1"/>
    <col min="10" max="10" width="1.5703125" style="1551" customWidth="1"/>
    <col min="11" max="11" width="29.28515625" style="1551" customWidth="1"/>
    <col min="12" max="12" width="18.140625" style="1551" customWidth="1"/>
    <col min="13" max="13" width="2.140625" style="1551" customWidth="1"/>
    <col min="14" max="14" width="24" style="1551" customWidth="1"/>
    <col min="15" max="15" width="10.28515625" style="1551" customWidth="1"/>
    <col min="16" max="16" width="2.140625" style="1551" customWidth="1"/>
    <col min="17" max="17" width="20.28515625" style="1551" customWidth="1"/>
    <col min="18" max="18" width="10.42578125" style="1551" customWidth="1"/>
    <col min="19" max="19" width="2.140625" style="1551" customWidth="1"/>
    <col min="20" max="20" width="14.7109375" style="1551" customWidth="1"/>
    <col min="21" max="21" width="11.42578125" style="1551" customWidth="1"/>
    <col min="22" max="22" width="2.5703125" style="1551" customWidth="1"/>
    <col min="23" max="23" width="29" style="1552" bestFit="1" customWidth="1"/>
    <col min="24" max="16384" width="11.42578125" style="1551"/>
  </cols>
  <sheetData>
    <row r="3" spans="1:20" ht="57.75" customHeight="1">
      <c r="G3" s="1843" t="str">
        <f>'Seleccion de oferta'!K50</f>
        <v>SIN límites 9.0</v>
      </c>
    </row>
    <row r="6" spans="1:20" ht="26.25">
      <c r="B6" s="2195" t="s">
        <v>1474</v>
      </c>
      <c r="C6" s="2195"/>
      <c r="D6" s="2195"/>
      <c r="E6" s="2195"/>
      <c r="F6" s="2195"/>
      <c r="G6" s="2195"/>
      <c r="H6" s="2195"/>
      <c r="I6" s="2195"/>
      <c r="J6" s="2195"/>
      <c r="K6" s="2195"/>
      <c r="L6" s="2195"/>
      <c r="M6" s="2195"/>
      <c r="N6" s="2195"/>
      <c r="O6" s="2195"/>
      <c r="P6" s="2195"/>
      <c r="Q6" s="2195"/>
      <c r="R6" s="2195"/>
      <c r="S6" s="2195"/>
      <c r="T6" s="2195"/>
    </row>
    <row r="7" spans="1:20" customFormat="1" ht="21" customHeight="1">
      <c r="A7" s="1551"/>
      <c r="B7" s="1684" t="s">
        <v>1710</v>
      </c>
    </row>
    <row r="8" spans="1:20" customFormat="1" ht="15">
      <c r="A8" s="1684"/>
      <c r="B8" s="1684" t="s">
        <v>1711</v>
      </c>
    </row>
    <row r="9" spans="1:20" customFormat="1" ht="15">
      <c r="A9" s="1684"/>
      <c r="B9" s="1684" t="s">
        <v>1712</v>
      </c>
    </row>
    <row r="10" spans="1:20" customFormat="1" ht="7.5" customHeight="1">
      <c r="A10" s="1684"/>
      <c r="B10" s="1684"/>
    </row>
    <row r="11" spans="1:20" customFormat="1" ht="12.75">
      <c r="B11" s="1685" t="s">
        <v>1713</v>
      </c>
    </row>
    <row r="12" spans="1:20" customFormat="1" ht="12.75">
      <c r="B12" s="1685" t="s">
        <v>1714</v>
      </c>
    </row>
    <row r="13" spans="1:20" customFormat="1" ht="12.75">
      <c r="B13" s="1685" t="s">
        <v>1715</v>
      </c>
    </row>
    <row r="14" spans="1:20" customFormat="1" ht="12.75">
      <c r="B14" s="1685" t="s">
        <v>1716</v>
      </c>
    </row>
    <row r="15" spans="1:20" customFormat="1" ht="12.75">
      <c r="B15" t="s">
        <v>1717</v>
      </c>
    </row>
    <row r="16" spans="1:20" customFormat="1" ht="12.75">
      <c r="B16" t="s">
        <v>1718</v>
      </c>
    </row>
    <row r="18" spans="1:23" hidden="1"/>
    <row r="19" spans="1:23" s="1553" customFormat="1" ht="19.5" hidden="1" customHeight="1">
      <c r="B19" s="2192" t="s">
        <v>186</v>
      </c>
      <c r="C19" s="2193"/>
      <c r="D19" s="2192" t="s">
        <v>1475</v>
      </c>
      <c r="E19" s="2190"/>
      <c r="F19" s="2190"/>
      <c r="G19" s="2193"/>
      <c r="H19" s="2192" t="s">
        <v>1476</v>
      </c>
      <c r="I19" s="2190"/>
      <c r="J19" s="2190"/>
      <c r="K19" s="2190"/>
      <c r="L19" s="2193"/>
      <c r="M19" s="2192" t="s">
        <v>1477</v>
      </c>
      <c r="N19" s="2190"/>
      <c r="O19" s="2190"/>
      <c r="P19" s="2190"/>
      <c r="Q19" s="2190"/>
      <c r="R19" s="2190"/>
      <c r="S19" s="2190"/>
      <c r="T19" s="2193"/>
      <c r="W19" s="1554"/>
    </row>
    <row r="20" spans="1:23" s="1555" customFormat="1" ht="25.5" hidden="1" customHeight="1">
      <c r="B20" s="2185"/>
      <c r="C20" s="2186"/>
      <c r="D20" s="2185"/>
      <c r="E20" s="2187"/>
      <c r="F20" s="2187"/>
      <c r="G20" s="2186"/>
      <c r="H20" s="2185"/>
      <c r="I20" s="2187"/>
      <c r="J20" s="2187"/>
      <c r="K20" s="2187"/>
      <c r="L20" s="2186"/>
      <c r="M20" s="2185"/>
      <c r="N20" s="2187"/>
      <c r="O20" s="2187"/>
      <c r="P20" s="2187"/>
      <c r="Q20" s="2187"/>
      <c r="R20" s="2187"/>
      <c r="S20" s="2187"/>
      <c r="T20" s="2186"/>
      <c r="W20" s="1556"/>
    </row>
    <row r="21" spans="1:23" s="1553" customFormat="1" ht="15" hidden="1">
      <c r="B21" s="2190" t="s">
        <v>1478</v>
      </c>
      <c r="C21" s="2190"/>
      <c r="D21" s="2190"/>
      <c r="E21" s="2190"/>
      <c r="F21" s="2190"/>
      <c r="G21" s="2190" t="s">
        <v>1479</v>
      </c>
      <c r="H21" s="2190"/>
      <c r="I21" s="2190"/>
      <c r="J21" s="2190" t="s">
        <v>1480</v>
      </c>
      <c r="K21" s="2190"/>
      <c r="L21" s="2190"/>
      <c r="M21" s="2190" t="s">
        <v>1481</v>
      </c>
      <c r="N21" s="2190"/>
      <c r="O21" s="2190"/>
      <c r="P21" s="2190"/>
      <c r="Q21" s="2190"/>
      <c r="R21" s="2190"/>
      <c r="S21" s="2190"/>
      <c r="T21" s="2190"/>
      <c r="W21" s="1554"/>
    </row>
    <row r="22" spans="1:23" s="1557" customFormat="1" ht="25.5" hidden="1" customHeight="1">
      <c r="B22" s="2185"/>
      <c r="C22" s="2187"/>
      <c r="D22" s="2187"/>
      <c r="E22" s="2187"/>
      <c r="F22" s="2187"/>
      <c r="G22" s="2185"/>
      <c r="H22" s="2187"/>
      <c r="I22" s="2187"/>
      <c r="J22" s="2185"/>
      <c r="K22" s="2187"/>
      <c r="L22" s="2186"/>
      <c r="M22" s="2187"/>
      <c r="N22" s="2187"/>
      <c r="O22" s="2187"/>
      <c r="P22" s="2187"/>
      <c r="Q22" s="2187"/>
      <c r="R22" s="2187"/>
      <c r="S22" s="2187"/>
      <c r="T22" s="2186"/>
      <c r="W22" s="1558"/>
    </row>
    <row r="23" spans="1:23" s="1553" customFormat="1" ht="18" hidden="1" customHeight="1">
      <c r="B23" s="2192" t="s">
        <v>1482</v>
      </c>
      <c r="C23" s="2190"/>
      <c r="D23" s="2190"/>
      <c r="E23" s="2190"/>
      <c r="F23" s="2190"/>
      <c r="G23" s="2193"/>
      <c r="H23" s="2194" t="s">
        <v>1483</v>
      </c>
      <c r="I23" s="2194"/>
      <c r="J23" s="2194"/>
      <c r="K23" s="2194"/>
      <c r="L23" s="2192" t="s">
        <v>1484</v>
      </c>
      <c r="M23" s="2190"/>
      <c r="N23" s="2190"/>
      <c r="O23" s="2190"/>
      <c r="P23" s="2190"/>
      <c r="Q23" s="2193"/>
      <c r="R23" s="2192" t="s">
        <v>1485</v>
      </c>
      <c r="S23" s="2190"/>
      <c r="T23" s="2193"/>
      <c r="W23" s="1554"/>
    </row>
    <row r="24" spans="1:23" s="1555" customFormat="1" ht="26.25" hidden="1" customHeight="1">
      <c r="B24" s="2185"/>
      <c r="C24" s="2187"/>
      <c r="D24" s="2187"/>
      <c r="E24" s="2187"/>
      <c r="F24" s="2187"/>
      <c r="G24" s="2186"/>
      <c r="H24" s="2185"/>
      <c r="I24" s="2187"/>
      <c r="J24" s="2187"/>
      <c r="K24" s="2186"/>
      <c r="L24" s="2185"/>
      <c r="M24" s="2187"/>
      <c r="N24" s="2187"/>
      <c r="O24" s="2187"/>
      <c r="P24" s="2187"/>
      <c r="Q24" s="2186"/>
      <c r="R24" s="2185"/>
      <c r="S24" s="2187"/>
      <c r="T24" s="2186"/>
      <c r="W24" s="1556"/>
    </row>
    <row r="25" spans="1:23" s="1559" customFormat="1" ht="15">
      <c r="B25" s="1553"/>
      <c r="G25" s="1555"/>
      <c r="I25" s="1560"/>
      <c r="U25" s="1561"/>
    </row>
    <row r="26" spans="1:23" s="1559" customFormat="1" ht="22.5" customHeight="1">
      <c r="B26" s="2201" t="s">
        <v>1486</v>
      </c>
      <c r="C26" s="2201"/>
      <c r="D26" s="2201"/>
      <c r="F26" s="2202" t="s">
        <v>1487</v>
      </c>
      <c r="G26" s="2202"/>
      <c r="H26" s="1562" t="s">
        <v>1488</v>
      </c>
      <c r="I26" s="1563" t="s">
        <v>1489</v>
      </c>
      <c r="J26" s="1563"/>
      <c r="K26" s="1563" t="s">
        <v>1490</v>
      </c>
      <c r="N26" s="1563" t="s">
        <v>1491</v>
      </c>
      <c r="P26" s="2196" t="s">
        <v>1492</v>
      </c>
      <c r="Q26" s="2196"/>
      <c r="W26" s="1561"/>
    </row>
    <row r="27" spans="1:23" s="1559" customFormat="1" ht="20.25">
      <c r="F27" s="2197"/>
      <c r="G27" s="2197"/>
      <c r="H27" s="1680" t="str">
        <f>IF(F27&lt;&gt;"",1,"")</f>
        <v/>
      </c>
      <c r="I27" s="1681" t="str">
        <f>IFERROR(VLOOKUP(F27,Validacion!$L$2:$M$7,2,0),"")</f>
        <v/>
      </c>
      <c r="J27" s="1682"/>
      <c r="K27" s="1683" t="str">
        <f>IFERROR(H27*I27,"")</f>
        <v/>
      </c>
      <c r="N27" s="1565" t="str">
        <f>IFERROR(VLOOKUP(F27,Validacion!$L$2:$O$7,4,0),"")</f>
        <v/>
      </c>
      <c r="O27" s="1566"/>
      <c r="P27" s="2198" t="str">
        <f>IFERROR(VLOOKUP(F27,Validacion!$L$2:$O$7,3,0),"")</f>
        <v/>
      </c>
      <c r="Q27" s="2198"/>
      <c r="W27" s="1561"/>
    </row>
    <row r="28" spans="1:23" s="1567" customFormat="1" ht="10.5" customHeight="1">
      <c r="F28" s="1559"/>
      <c r="G28" s="1568"/>
      <c r="H28" s="1557"/>
      <c r="I28" s="1569"/>
      <c r="J28" s="1570"/>
      <c r="K28" s="1571"/>
      <c r="W28" s="1572"/>
    </row>
    <row r="29" spans="1:23" s="1567" customFormat="1" ht="20.25">
      <c r="F29" s="1559"/>
      <c r="G29" s="1568"/>
      <c r="H29" s="1557"/>
      <c r="I29" s="1573" t="s">
        <v>1494</v>
      </c>
      <c r="J29" s="1574"/>
      <c r="K29" s="1575" t="str">
        <f>+K27</f>
        <v/>
      </c>
      <c r="W29" s="1572"/>
    </row>
    <row r="30" spans="1:23" ht="23.25">
      <c r="N30" s="2191" t="s">
        <v>1495</v>
      </c>
      <c r="O30" s="2191"/>
      <c r="P30" s="2191"/>
      <c r="Q30" s="2191"/>
    </row>
    <row r="31" spans="1:23" s="1559" customFormat="1" ht="23.25" customHeight="1">
      <c r="B31" s="2201" t="s">
        <v>1496</v>
      </c>
      <c r="C31" s="2201"/>
      <c r="D31" s="2201"/>
      <c r="F31" s="1578" t="s">
        <v>1497</v>
      </c>
      <c r="G31" s="1564" t="s">
        <v>1498</v>
      </c>
      <c r="H31" s="1564" t="s">
        <v>1488</v>
      </c>
      <c r="I31" s="1564" t="s">
        <v>1489</v>
      </c>
      <c r="J31" s="1564"/>
      <c r="K31" s="1564" t="s">
        <v>804</v>
      </c>
      <c r="T31" s="1579"/>
      <c r="U31" s="1579"/>
      <c r="V31" s="1579"/>
      <c r="W31" s="1579"/>
    </row>
    <row r="32" spans="1:23" ht="15.75">
      <c r="A32" s="1580"/>
      <c r="B32" s="1580"/>
      <c r="F32" s="1674" t="s">
        <v>1499</v>
      </c>
      <c r="G32" s="1670" t="str">
        <f>IF(OR(F27="Conecta Pymes Centralita ADSL, 5-6-7",F27="Conecta Pymes Centralita ADSL, 8+",F27="Conecta Pymes Centralita FTTH, 5-6-7",F27="Conecta Pymes Centralita FTTH, 8+"),"Incluida sin coste","Opcional con coste")</f>
        <v>Opcional con coste</v>
      </c>
      <c r="H32" s="1676"/>
      <c r="I32" s="1671">
        <f>IF(G32="Incluida sin coste",0,VLOOKUP(F32,Validacion!$AA$2:$AB$6,2,0))</f>
        <v>2.5</v>
      </c>
      <c r="J32" s="1671"/>
      <c r="K32" s="1686">
        <f>IFERROR(+I32*H32,"")</f>
        <v>0</v>
      </c>
      <c r="N32" s="1581" t="s">
        <v>1088</v>
      </c>
      <c r="O32" s="1582"/>
      <c r="P32" s="1582"/>
      <c r="Q32" s="1583" t="str">
        <f>IFERROR(+K29,"")</f>
        <v/>
      </c>
      <c r="T32" s="1584"/>
      <c r="U32" s="1584"/>
      <c r="V32" s="1584"/>
      <c r="W32" s="1584"/>
    </row>
    <row r="33" spans="1:23" ht="15.75">
      <c r="A33" s="1580"/>
      <c r="B33" s="1580"/>
      <c r="F33" s="1674" t="s">
        <v>1342</v>
      </c>
      <c r="G33" s="1670" t="str">
        <f>IF(OR(F27="Conecta Pymes Centralita ADSL, 8+",F27="Conecta Pymes Centralita FTTH, 8+"),"Incluida sin coste","Opcional con coste")</f>
        <v>Opcional con coste</v>
      </c>
      <c r="H33" s="1676"/>
      <c r="I33" s="1671">
        <f>IF(G33="Incluida sin coste",0,VLOOKUP(F33,Validacion!$AA$2:$AB$6,2,0))</f>
        <v>25</v>
      </c>
      <c r="J33" s="1671"/>
      <c r="K33" s="1686">
        <f t="shared" ref="K33:K35" si="0">IFERROR(+I33*H33,"")</f>
        <v>0</v>
      </c>
      <c r="N33" s="1581" t="s">
        <v>1496</v>
      </c>
      <c r="O33" s="1581"/>
      <c r="P33" s="1585"/>
      <c r="Q33" s="1583">
        <f>IFERROR(+K37,"")</f>
        <v>0</v>
      </c>
      <c r="T33" s="1584"/>
      <c r="U33" s="1584"/>
      <c r="V33" s="1584"/>
    </row>
    <row r="34" spans="1:23" ht="15.75">
      <c r="A34" s="1580"/>
      <c r="B34" s="1580"/>
      <c r="F34" s="1674" t="s">
        <v>1343</v>
      </c>
      <c r="G34" s="1670" t="str">
        <f>"Opcional con coste"</f>
        <v>Opcional con coste</v>
      </c>
      <c r="H34" s="1676"/>
      <c r="I34" s="1671">
        <f>IF(G34="Incluida sin coste",0,VLOOKUP(F34,Validacion!$AA$2:$AB$6,2,0))</f>
        <v>5</v>
      </c>
      <c r="J34" s="1671"/>
      <c r="K34" s="1686">
        <f t="shared" si="0"/>
        <v>0</v>
      </c>
      <c r="N34" s="1581" t="s">
        <v>1500</v>
      </c>
      <c r="O34" s="1586"/>
      <c r="P34" s="1587"/>
      <c r="Q34" s="1583">
        <f>+T96</f>
        <v>0</v>
      </c>
      <c r="T34" s="1584"/>
      <c r="U34" s="1584"/>
      <c r="V34" s="1584"/>
    </row>
    <row r="35" spans="1:23" ht="15.75">
      <c r="A35" s="1580"/>
      <c r="F35" s="1679" t="s">
        <v>1501</v>
      </c>
      <c r="G35" s="1670" t="str">
        <f>"Opcional con coste"</f>
        <v>Opcional con coste</v>
      </c>
      <c r="H35" s="1676"/>
      <c r="I35" s="1670">
        <f>VLOOKUP(F35,Validacion!$AA$2:$AB$6,2,0)</f>
        <v>19.989999999999998</v>
      </c>
      <c r="J35" s="1671"/>
      <c r="K35" s="1686">
        <f t="shared" si="0"/>
        <v>0</v>
      </c>
      <c r="N35" s="1581"/>
      <c r="O35" s="1581"/>
      <c r="P35" s="1585"/>
      <c r="Q35" s="1583"/>
      <c r="T35" s="1584"/>
      <c r="U35" s="1584"/>
      <c r="V35" s="1584"/>
    </row>
    <row r="36" spans="1:23" ht="15.75">
      <c r="A36" s="1580"/>
      <c r="B36" s="1580"/>
      <c r="J36" s="1570"/>
      <c r="K36" s="1570"/>
      <c r="N36" s="1588" t="s">
        <v>1502</v>
      </c>
      <c r="O36" s="1588"/>
      <c r="P36" s="1588"/>
      <c r="Q36" s="1589" t="str">
        <f>IFERROR(+Q32+Q33+Q34,"")</f>
        <v/>
      </c>
      <c r="T36" s="1584"/>
      <c r="U36" s="1584"/>
      <c r="V36" s="1584"/>
    </row>
    <row r="37" spans="1:23" ht="19.5" customHeight="1">
      <c r="A37" s="1580"/>
      <c r="I37" s="1573" t="s">
        <v>1503</v>
      </c>
      <c r="J37" s="1574"/>
      <c r="K37" s="1575">
        <f>IFERROR(SUM(K32:K35),"")</f>
        <v>0</v>
      </c>
      <c r="Q37" s="1590"/>
      <c r="T37" s="1584"/>
      <c r="U37" s="1584"/>
      <c r="V37" s="1584"/>
    </row>
    <row r="38" spans="1:23" ht="24" customHeight="1">
      <c r="A38" s="1580"/>
      <c r="B38" s="2201" t="s">
        <v>735</v>
      </c>
      <c r="C38" s="2201"/>
      <c r="D38" s="2201"/>
      <c r="I38" s="1591"/>
      <c r="J38" s="1570"/>
      <c r="N38" s="1585" t="s">
        <v>1504</v>
      </c>
      <c r="O38" s="1585"/>
      <c r="P38" s="1585"/>
      <c r="Q38" s="1592">
        <f>IFERROR(K46,"")</f>
        <v>0</v>
      </c>
      <c r="R38" s="1584"/>
      <c r="S38" s="1593"/>
      <c r="W38" s="1551"/>
    </row>
    <row r="39" spans="1:23" ht="6" customHeight="1">
      <c r="O39" s="1585"/>
      <c r="P39" s="1585"/>
      <c r="Q39" s="1585"/>
      <c r="W39" s="1551"/>
    </row>
    <row r="40" spans="1:23" s="1559" customFormat="1" ht="34.5" customHeight="1">
      <c r="D40" s="1594" t="s">
        <v>1505</v>
      </c>
      <c r="E40" s="1562"/>
      <c r="F40" s="1578" t="s">
        <v>1506</v>
      </c>
      <c r="G40" s="1594" t="s">
        <v>1507</v>
      </c>
      <c r="H40" s="1562" t="s">
        <v>1488</v>
      </c>
      <c r="I40" s="1562" t="s">
        <v>1508</v>
      </c>
      <c r="J40" s="1562"/>
      <c r="K40" s="1562" t="s">
        <v>804</v>
      </c>
      <c r="L40" s="1595"/>
      <c r="M40" s="1595"/>
      <c r="N40" s="1585" t="s">
        <v>1509</v>
      </c>
      <c r="O40" s="1587"/>
      <c r="P40" s="1596"/>
      <c r="Q40" s="1587"/>
    </row>
    <row r="41" spans="1:23" ht="15.75">
      <c r="B41" s="1580"/>
      <c r="C41" s="1670">
        <v>1</v>
      </c>
      <c r="D41" s="2199"/>
      <c r="E41" s="2199"/>
      <c r="F41" s="1688" t="str">
        <f>IF(OR(D41="Núm. Nuevo",D41="Núm. Portado"),"Primer Cabecera. Es gratuito","")</f>
        <v/>
      </c>
      <c r="G41" s="1676"/>
      <c r="H41" s="1677" t="str">
        <f>IFERROR(IF(OR(D41="Núm. Nuevo",D41="Núm. Portado"),1,""),"")</f>
        <v/>
      </c>
      <c r="I41" s="1678" t="str">
        <f>IF(H41=1,0,"")</f>
        <v/>
      </c>
      <c r="J41" s="1678"/>
      <c r="K41" s="1687" t="str">
        <f>IFERROR(H41*I41,"")</f>
        <v/>
      </c>
      <c r="L41" s="1598"/>
      <c r="M41" s="1598"/>
      <c r="N41" s="1585"/>
      <c r="O41" s="1585"/>
      <c r="P41" s="1599"/>
      <c r="Q41" s="1585"/>
      <c r="W41" s="1551"/>
    </row>
    <row r="42" spans="1:23" ht="15.75">
      <c r="C42" s="1670">
        <f>+C41+1</f>
        <v>2</v>
      </c>
      <c r="D42" s="2199"/>
      <c r="E42" s="2199"/>
      <c r="F42" s="1688" t="str">
        <f>IF(OR(D42="Núm. Nuevo",D42="Núm. Portado"),"Segundo Cabecera. Tiene coste de alta, pero no mensual",IF(D42&lt;&gt;"","Error: revisar la opción elegida en la casilla de la izquierda",""))</f>
        <v/>
      </c>
      <c r="G42" s="1676"/>
      <c r="H42" s="1677" t="str">
        <f t="shared" ref="H42:H44" si="1">IFERROR(IF(OR(D42="Núm. Nuevo",D42="Núm. Portado"),1,""),"")</f>
        <v/>
      </c>
      <c r="I42" s="1678" t="str">
        <f>IF(H42=1,10,"")</f>
        <v/>
      </c>
      <c r="J42" s="1678"/>
      <c r="K42" s="1687" t="str">
        <f>IFERROR(H42*I42,"")</f>
        <v/>
      </c>
      <c r="L42" s="1598"/>
      <c r="M42" s="1598"/>
      <c r="N42" s="1585"/>
      <c r="O42" s="1585"/>
      <c r="P42" s="1599"/>
      <c r="Q42" s="1585"/>
      <c r="W42" s="1551"/>
    </row>
    <row r="43" spans="1:23" ht="14.25" customHeight="1">
      <c r="C43" s="1670">
        <f>+C42+1</f>
        <v>3</v>
      </c>
      <c r="D43" s="2199"/>
      <c r="E43" s="2199"/>
      <c r="F43" s="1688" t="str">
        <f>IF(OR(D43="Núm. Nuevo",D43="Núm. Portado"),"Tercer Cabecera. Tiene coste de alta, pero no mensual",IF(D43&lt;&gt;"","Error: revisar la opción elegida en la casilla de la izquierda",""))</f>
        <v/>
      </c>
      <c r="G43" s="1676"/>
      <c r="H43" s="1677" t="str">
        <f t="shared" si="1"/>
        <v/>
      </c>
      <c r="I43" s="1678" t="str">
        <f>IF(H43=1,10,"")</f>
        <v/>
      </c>
      <c r="J43" s="1678"/>
      <c r="K43" s="1687" t="str">
        <f>IFERROR(H43*I43,"")</f>
        <v/>
      </c>
      <c r="L43" s="1598"/>
      <c r="M43" s="1598"/>
      <c r="P43" s="1552"/>
      <c r="W43" s="1551"/>
    </row>
    <row r="44" spans="1:23" ht="14.25" customHeight="1">
      <c r="C44" s="1670">
        <f>+C43+1</f>
        <v>4</v>
      </c>
      <c r="D44" s="2199"/>
      <c r="E44" s="2199"/>
      <c r="F44" s="1688" t="str">
        <f>IF(OR(D44="Núm. Nuevo",D44="Núm. Portado"),"Cuarto Cabecera. Tiene coste de alta, pero no mensual",IF(D44&lt;&gt;"","Error: revisar la opción elegida en la casilla de la izquierda",""))</f>
        <v/>
      </c>
      <c r="G44" s="1676"/>
      <c r="H44" s="1677" t="str">
        <f t="shared" si="1"/>
        <v/>
      </c>
      <c r="I44" s="1678" t="str">
        <f>IF(H44=1,10,"")</f>
        <v/>
      </c>
      <c r="J44" s="1678"/>
      <c r="K44" s="1687" t="str">
        <f>IFERROR(H44*I44,"")</f>
        <v/>
      </c>
      <c r="L44" s="1598"/>
      <c r="M44" s="1598"/>
      <c r="P44" s="1552"/>
      <c r="W44" s="1551"/>
    </row>
    <row r="45" spans="1:23" s="1600" customFormat="1" ht="14.25" customHeight="1">
      <c r="C45" s="1601"/>
      <c r="D45" s="1602"/>
      <c r="E45" s="1602"/>
      <c r="F45" s="1603"/>
      <c r="I45" s="1604"/>
      <c r="J45" s="1605"/>
      <c r="K45" s="1605"/>
      <c r="L45" s="1598"/>
      <c r="M45" s="1598"/>
      <c r="P45" s="1606"/>
    </row>
    <row r="46" spans="1:23" ht="30.75" customHeight="1">
      <c r="B46" s="2200" t="s">
        <v>1512</v>
      </c>
      <c r="C46" s="2201"/>
      <c r="D46" s="2201"/>
      <c r="E46" s="1602"/>
      <c r="G46" s="1551"/>
      <c r="I46" s="1573" t="s">
        <v>1513</v>
      </c>
      <c r="J46" s="1574"/>
      <c r="K46" s="1575">
        <f>SUM(K41:K44)</f>
        <v>0</v>
      </c>
      <c r="L46" s="1598"/>
      <c r="M46" s="1598"/>
      <c r="P46" s="1552"/>
      <c r="W46" s="1551"/>
    </row>
    <row r="47" spans="1:23" ht="14.25" customHeight="1">
      <c r="D47" s="1607"/>
      <c r="E47" s="1607"/>
      <c r="F47" s="1603"/>
      <c r="G47" s="1601"/>
      <c r="H47" s="1598"/>
      <c r="I47" s="1598"/>
      <c r="J47" s="1598"/>
      <c r="K47" s="1598"/>
      <c r="L47" s="1598"/>
      <c r="M47" s="1598"/>
      <c r="N47" s="1598"/>
      <c r="O47" s="1598"/>
      <c r="P47" s="1598"/>
      <c r="Q47" s="1598"/>
      <c r="R47" s="1598"/>
      <c r="T47" s="1577"/>
    </row>
    <row r="48" spans="1:23" s="1559" customFormat="1" ht="22.5" customHeight="1">
      <c r="C48" s="2196" t="s">
        <v>1514</v>
      </c>
      <c r="D48" s="2196"/>
      <c r="E48" s="2196"/>
      <c r="F48" s="2196"/>
      <c r="G48" s="2196"/>
      <c r="H48" s="2196"/>
      <c r="I48" s="2196"/>
      <c r="J48" s="1595"/>
      <c r="K48" s="2196" t="s">
        <v>1515</v>
      </c>
      <c r="L48" s="2196"/>
      <c r="M48" s="2196"/>
      <c r="N48" s="2196"/>
      <c r="O48" s="2196"/>
      <c r="P48" s="2196"/>
      <c r="Q48" s="2196"/>
      <c r="R48" s="2196"/>
      <c r="T48" s="2203" t="s">
        <v>158</v>
      </c>
      <c r="W48" s="1561"/>
    </row>
    <row r="49" spans="2:23" s="1559" customFormat="1" ht="19.5" customHeight="1">
      <c r="C49" s="1608" t="s">
        <v>1516</v>
      </c>
      <c r="D49" s="2204" t="s">
        <v>1517</v>
      </c>
      <c r="E49" s="2204"/>
      <c r="F49" s="1609" t="s">
        <v>1518</v>
      </c>
      <c r="G49" s="1609" t="s">
        <v>1488</v>
      </c>
      <c r="H49" s="1609" t="s">
        <v>1508</v>
      </c>
      <c r="I49" s="1609" t="s">
        <v>1519</v>
      </c>
      <c r="J49" s="1610"/>
      <c r="K49" s="1667" t="s">
        <v>1520</v>
      </c>
      <c r="L49" s="1666" t="s">
        <v>1521</v>
      </c>
      <c r="M49" s="1610"/>
      <c r="N49" s="1667" t="s">
        <v>1522</v>
      </c>
      <c r="O49" s="1666" t="s">
        <v>1521</v>
      </c>
      <c r="P49" s="1610"/>
      <c r="Q49" s="1667" t="s">
        <v>1523</v>
      </c>
      <c r="R49" s="1666" t="s">
        <v>1521</v>
      </c>
      <c r="S49" s="1610"/>
      <c r="T49" s="2203"/>
      <c r="W49" s="1561"/>
    </row>
    <row r="50" spans="2:23">
      <c r="B50" s="1597">
        <v>1</v>
      </c>
      <c r="C50" s="1668"/>
      <c r="D50" s="2205"/>
      <c r="E50" s="2205"/>
      <c r="F50" s="1669"/>
      <c r="G50" s="1670" t="str">
        <f t="shared" ref="G50:G94" si="2">IF(F50&gt;"A",1,"")</f>
        <v/>
      </c>
      <c r="H50" s="1671" t="str">
        <f>IF(F50&gt;="A",VLOOKUP(F50,Validacion!$Q$2:$R$9,2,0),"")</f>
        <v/>
      </c>
      <c r="I50" s="1672" t="str">
        <f t="shared" ref="I50:I94" si="3">IFERROR(G50*H50,"")</f>
        <v/>
      </c>
      <c r="J50" s="1600"/>
      <c r="K50" s="1673" t="s">
        <v>1529</v>
      </c>
      <c r="L50" s="1674">
        <f>IFERROR(IF(F50="",0,VLOOKUP(K50,Validacion!$S$2:$T$5,2,0)),"")</f>
        <v>0</v>
      </c>
      <c r="M50" s="1611"/>
      <c r="N50" s="1673" t="s">
        <v>1530</v>
      </c>
      <c r="O50" s="1674">
        <f>IFERROR(IF(F50="",0,VLOOKUP(N50,Validacion!$U$2:$V$5,2,0)),"")</f>
        <v>0</v>
      </c>
      <c r="P50" s="1611"/>
      <c r="Q50" s="1668" t="s">
        <v>1527</v>
      </c>
      <c r="R50" s="1675">
        <f>IF(OR($F$27="Conecta Pymes Centralita ADSL, 8+",$F$27="Conecta Pymes Centralita FTTH, 8+"),0,VLOOKUP(Q50,Validacion!$W$2:$X$4,2,0))</f>
        <v>1.5</v>
      </c>
      <c r="S50" s="1612"/>
      <c r="T50" s="1674" t="str">
        <f>IFERROR(G50*(I50+L50+O50+R50),"")</f>
        <v/>
      </c>
      <c r="V50" s="1593"/>
    </row>
    <row r="51" spans="2:23">
      <c r="B51" s="1597">
        <f>+B50+1</f>
        <v>2</v>
      </c>
      <c r="C51" s="1668"/>
      <c r="D51" s="2205"/>
      <c r="E51" s="2205"/>
      <c r="F51" s="1669"/>
      <c r="G51" s="1670" t="str">
        <f t="shared" si="2"/>
        <v/>
      </c>
      <c r="H51" s="1671" t="str">
        <f>IF(F51&gt;="A",VLOOKUP(F51,Validacion!$Q$2:$R$9,2,0),"")</f>
        <v/>
      </c>
      <c r="I51" s="1672" t="str">
        <f t="shared" si="3"/>
        <v/>
      </c>
      <c r="J51" s="1600"/>
      <c r="K51" s="1673" t="s">
        <v>1529</v>
      </c>
      <c r="L51" s="1674">
        <f>IFERROR(IF(F51="",0,VLOOKUP(K51,Validacion!$S$2:$T$5,2,0)),"")</f>
        <v>0</v>
      </c>
      <c r="M51" s="1611"/>
      <c r="N51" s="1673" t="s">
        <v>1530</v>
      </c>
      <c r="O51" s="1674">
        <f>IFERROR(IF(F51="",0,VLOOKUP(N51,Validacion!$U$2:$V$5,2,0)),"")</f>
        <v>0</v>
      </c>
      <c r="P51" s="1611"/>
      <c r="Q51" s="1668" t="s">
        <v>818</v>
      </c>
      <c r="R51" s="1675">
        <f>IF(OR($F$27="Conecta Pymes Centralita ADSL, 8+",$F$27="Conecta Pymes Centralita FTTH, 8+"),0,VLOOKUP(Q51,Validacion!$W$2:$X$4,2,0))</f>
        <v>0</v>
      </c>
      <c r="S51" s="1612"/>
      <c r="T51" s="1674" t="str">
        <f t="shared" ref="T51:T94" si="4">IFERROR(G51*(I51+L51+O51+R51),"")</f>
        <v/>
      </c>
    </row>
    <row r="52" spans="2:23">
      <c r="B52" s="1597">
        <f t="shared" ref="B52:B94" si="5">+B51+1</f>
        <v>3</v>
      </c>
      <c r="C52" s="1668"/>
      <c r="D52" s="2205"/>
      <c r="E52" s="2205"/>
      <c r="F52" s="1669"/>
      <c r="G52" s="1670" t="str">
        <f t="shared" si="2"/>
        <v/>
      </c>
      <c r="H52" s="1671" t="str">
        <f>IF(F52&gt;="A",VLOOKUP(F52,Validacion!$Q$2:$R$9,2,0),"")</f>
        <v/>
      </c>
      <c r="I52" s="1672" t="str">
        <f t="shared" si="3"/>
        <v/>
      </c>
      <c r="J52" s="1600"/>
      <c r="K52" s="1673" t="s">
        <v>1529</v>
      </c>
      <c r="L52" s="1674">
        <f>IFERROR(IF(F52="",0,VLOOKUP(K52,Validacion!$S$2:$T$5,2,0)),"")</f>
        <v>0</v>
      </c>
      <c r="M52" s="1611"/>
      <c r="N52" s="1673" t="s">
        <v>1530</v>
      </c>
      <c r="O52" s="1674">
        <f>IFERROR(IF(F52="",0,VLOOKUP(N52,Validacion!$U$2:$V$5,2,0)),"")</f>
        <v>0</v>
      </c>
      <c r="P52" s="1611"/>
      <c r="Q52" s="1668" t="s">
        <v>818</v>
      </c>
      <c r="R52" s="1675">
        <f>IF(OR($F$27="Conecta Pymes Centralita ADSL, 8+",$F$27="Conecta Pymes Centralita FTTH, 8+"),0,VLOOKUP(Q52,Validacion!$W$2:$X$4,2,0))</f>
        <v>0</v>
      </c>
      <c r="S52" s="1612"/>
      <c r="T52" s="1674" t="str">
        <f t="shared" si="4"/>
        <v/>
      </c>
    </row>
    <row r="53" spans="2:23">
      <c r="B53" s="1597">
        <f t="shared" si="5"/>
        <v>4</v>
      </c>
      <c r="C53" s="1668"/>
      <c r="D53" s="2205"/>
      <c r="E53" s="2205"/>
      <c r="F53" s="1669"/>
      <c r="G53" s="1670" t="str">
        <f t="shared" si="2"/>
        <v/>
      </c>
      <c r="H53" s="1671" t="str">
        <f>IF(F53&gt;="A",VLOOKUP(F53,Validacion!$Q$2:$R$9,2,0),"")</f>
        <v/>
      </c>
      <c r="I53" s="1672" t="str">
        <f t="shared" si="3"/>
        <v/>
      </c>
      <c r="J53" s="1600"/>
      <c r="K53" s="1673" t="s">
        <v>1529</v>
      </c>
      <c r="L53" s="1674">
        <f>IFERROR(IF(F53="",0,VLOOKUP(K53,Validacion!$S$2:$T$5,2,0)),"")</f>
        <v>0</v>
      </c>
      <c r="M53" s="1611"/>
      <c r="N53" s="1673" t="s">
        <v>1530</v>
      </c>
      <c r="O53" s="1674">
        <f>IFERROR(IF(F53="",0,VLOOKUP(N53,Validacion!$U$2:$V$5,2,0)),"")</f>
        <v>0</v>
      </c>
      <c r="P53" s="1611"/>
      <c r="Q53" s="1668" t="s">
        <v>818</v>
      </c>
      <c r="R53" s="1675">
        <f>IF(OR($F$27="Conecta Pymes Centralita ADSL, 8+",$F$27="Conecta Pymes Centralita FTTH, 8+"),0,VLOOKUP(Q53,Validacion!$W$2:$X$4,2,0))</f>
        <v>0</v>
      </c>
      <c r="S53" s="1612"/>
      <c r="T53" s="1674" t="str">
        <f t="shared" si="4"/>
        <v/>
      </c>
    </row>
    <row r="54" spans="2:23">
      <c r="B54" s="1597">
        <f t="shared" si="5"/>
        <v>5</v>
      </c>
      <c r="C54" s="1668"/>
      <c r="D54" s="2205"/>
      <c r="E54" s="2205"/>
      <c r="F54" s="1669"/>
      <c r="G54" s="1670" t="str">
        <f t="shared" si="2"/>
        <v/>
      </c>
      <c r="H54" s="1671" t="str">
        <f>IF(F54&gt;="A",VLOOKUP(F54,Validacion!$Q$2:$R$9,2,0),"")</f>
        <v/>
      </c>
      <c r="I54" s="1672" t="str">
        <f t="shared" si="3"/>
        <v/>
      </c>
      <c r="J54" s="1600"/>
      <c r="K54" s="1673" t="s">
        <v>1529</v>
      </c>
      <c r="L54" s="1674">
        <f>IFERROR(IF(F54="",0,VLOOKUP(K54,Validacion!$S$2:$T$5,2,0)),"")</f>
        <v>0</v>
      </c>
      <c r="M54" s="1611"/>
      <c r="N54" s="1673" t="s">
        <v>1530</v>
      </c>
      <c r="O54" s="1674">
        <f>IFERROR(IF(F54="",0,VLOOKUP(N54,Validacion!$U$2:$V$5,2,0)),"")</f>
        <v>0</v>
      </c>
      <c r="P54" s="1611"/>
      <c r="Q54" s="1668" t="s">
        <v>818</v>
      </c>
      <c r="R54" s="1675">
        <f>IF(OR($F$27="Conecta Pymes Centralita ADSL, 8+",$F$27="Conecta Pymes Centralita FTTH, 8+"),0,VLOOKUP(Q54,Validacion!$W$2:$X$4,2,0))</f>
        <v>0</v>
      </c>
      <c r="S54" s="1612"/>
      <c r="T54" s="1674" t="str">
        <f t="shared" si="4"/>
        <v/>
      </c>
    </row>
    <row r="55" spans="2:23">
      <c r="B55" s="1597">
        <f t="shared" si="5"/>
        <v>6</v>
      </c>
      <c r="C55" s="1668"/>
      <c r="D55" s="2205"/>
      <c r="E55" s="2205"/>
      <c r="F55" s="1669"/>
      <c r="G55" s="1670" t="str">
        <f t="shared" si="2"/>
        <v/>
      </c>
      <c r="H55" s="1671" t="str">
        <f>IF(F55&gt;="A",VLOOKUP(F55,Validacion!$Q$2:$R$9,2,0),"")</f>
        <v/>
      </c>
      <c r="I55" s="1672" t="str">
        <f t="shared" si="3"/>
        <v/>
      </c>
      <c r="J55" s="1600"/>
      <c r="K55" s="1673" t="s">
        <v>1529</v>
      </c>
      <c r="L55" s="1674">
        <f>IFERROR(IF(F55="",0,VLOOKUP(K55,Validacion!$S$2:$T$5,2,0)),"")</f>
        <v>0</v>
      </c>
      <c r="M55" s="1611"/>
      <c r="N55" s="1673" t="s">
        <v>1530</v>
      </c>
      <c r="O55" s="1674">
        <f>IFERROR(IF(F55="",0,VLOOKUP(N55,Validacion!$U$2:$V$5,2,0)),"")</f>
        <v>0</v>
      </c>
      <c r="P55" s="1611"/>
      <c r="Q55" s="1668" t="s">
        <v>818</v>
      </c>
      <c r="R55" s="1675">
        <f>IF(OR($F$27="Conecta Pymes Centralita ADSL, 8+",$F$27="Conecta Pymes Centralita FTTH, 8+"),0,VLOOKUP(Q55,Validacion!$W$2:$X$4,2,0))</f>
        <v>0</v>
      </c>
      <c r="S55" s="1612"/>
      <c r="T55" s="1674" t="str">
        <f t="shared" si="4"/>
        <v/>
      </c>
    </row>
    <row r="56" spans="2:23">
      <c r="B56" s="1597">
        <f t="shared" si="5"/>
        <v>7</v>
      </c>
      <c r="C56" s="1668"/>
      <c r="D56" s="2205"/>
      <c r="E56" s="2205"/>
      <c r="F56" s="1669"/>
      <c r="G56" s="1670" t="str">
        <f t="shared" si="2"/>
        <v/>
      </c>
      <c r="H56" s="1671" t="str">
        <f>IF(F56&gt;="A",VLOOKUP(F56,Validacion!$Q$2:$R$9,2,0),"")</f>
        <v/>
      </c>
      <c r="I56" s="1672" t="str">
        <f t="shared" si="3"/>
        <v/>
      </c>
      <c r="J56" s="1600"/>
      <c r="K56" s="1673" t="s">
        <v>1529</v>
      </c>
      <c r="L56" s="1674">
        <f>IFERROR(IF(F56="",0,VLOOKUP(K56,Validacion!$S$2:$T$5,2,0)),"")</f>
        <v>0</v>
      </c>
      <c r="M56" s="1611"/>
      <c r="N56" s="1673" t="s">
        <v>1530</v>
      </c>
      <c r="O56" s="1674">
        <f>IFERROR(IF(F56="",0,VLOOKUP(N56,Validacion!$U$2:$V$5,2,0)),"")</f>
        <v>0</v>
      </c>
      <c r="P56" s="1611"/>
      <c r="Q56" s="1668" t="s">
        <v>818</v>
      </c>
      <c r="R56" s="1675">
        <f>IF(OR($F$27="Conecta Pymes Centralita ADSL, 8+",$F$27="Conecta Pymes Centralita FTTH, 8+"),0,VLOOKUP(Q56,Validacion!$W$2:$X$4,2,0))</f>
        <v>0</v>
      </c>
      <c r="S56" s="1612"/>
      <c r="T56" s="1674" t="str">
        <f t="shared" si="4"/>
        <v/>
      </c>
    </row>
    <row r="57" spans="2:23">
      <c r="B57" s="1597">
        <f t="shared" si="5"/>
        <v>8</v>
      </c>
      <c r="C57" s="1668"/>
      <c r="D57" s="2205"/>
      <c r="E57" s="2205"/>
      <c r="F57" s="1669"/>
      <c r="G57" s="1670" t="str">
        <f t="shared" si="2"/>
        <v/>
      </c>
      <c r="H57" s="1671" t="str">
        <f>IF(F57&gt;="A",VLOOKUP(F57,Validacion!$Q$2:$R$9,2,0),"")</f>
        <v/>
      </c>
      <c r="I57" s="1672" t="str">
        <f t="shared" si="3"/>
        <v/>
      </c>
      <c r="J57" s="1600"/>
      <c r="K57" s="1673" t="s">
        <v>1529</v>
      </c>
      <c r="L57" s="1674">
        <f>IFERROR(IF(F57="",0,VLOOKUP(K57,Validacion!$S$2:$T$5,2,0)),"")</f>
        <v>0</v>
      </c>
      <c r="M57" s="1611"/>
      <c r="N57" s="1673" t="s">
        <v>1530</v>
      </c>
      <c r="O57" s="1674">
        <f>IFERROR(IF(F57="",0,VLOOKUP(N57,Validacion!$U$2:$V$5,2,0)),"")</f>
        <v>0</v>
      </c>
      <c r="P57" s="1611"/>
      <c r="Q57" s="1668" t="s">
        <v>818</v>
      </c>
      <c r="R57" s="1675">
        <f>IF(OR($F$27="Conecta Pymes Centralita ADSL, 8+",$F$27="Conecta Pymes Centralita FTTH, 8+"),0,VLOOKUP(Q57,Validacion!$W$2:$X$4,2,0))</f>
        <v>0</v>
      </c>
      <c r="S57" s="1612"/>
      <c r="T57" s="1674" t="str">
        <f t="shared" si="4"/>
        <v/>
      </c>
    </row>
    <row r="58" spans="2:23">
      <c r="B58" s="1597">
        <f t="shared" si="5"/>
        <v>9</v>
      </c>
      <c r="C58" s="1668"/>
      <c r="D58" s="2205"/>
      <c r="E58" s="2205"/>
      <c r="F58" s="1669"/>
      <c r="G58" s="1670" t="str">
        <f t="shared" si="2"/>
        <v/>
      </c>
      <c r="H58" s="1671" t="str">
        <f>IF(F58&gt;="A",VLOOKUP(F58,Validacion!$Q$2:$R$9,2,0),"")</f>
        <v/>
      </c>
      <c r="I58" s="1672" t="str">
        <f t="shared" si="3"/>
        <v/>
      </c>
      <c r="J58" s="1600"/>
      <c r="K58" s="1673" t="s">
        <v>1529</v>
      </c>
      <c r="L58" s="1674">
        <f>IFERROR(IF(F58="",0,VLOOKUP(K58,Validacion!$S$2:$T$5,2,0)),"")</f>
        <v>0</v>
      </c>
      <c r="M58" s="1611"/>
      <c r="N58" s="1673" t="s">
        <v>1530</v>
      </c>
      <c r="O58" s="1674">
        <f>IFERROR(IF(F58="",0,VLOOKUP(N58,Validacion!$U$2:$V$5,2,0)),"")</f>
        <v>0</v>
      </c>
      <c r="P58" s="1611"/>
      <c r="Q58" s="1668" t="s">
        <v>818</v>
      </c>
      <c r="R58" s="1675">
        <f>IF(OR($F$27="Conecta Pymes Centralita ADSL, 8+",$F$27="Conecta Pymes Centralita FTTH, 8+"),0,VLOOKUP(Q58,Validacion!$W$2:$X$4,2,0))</f>
        <v>0</v>
      </c>
      <c r="S58" s="1612"/>
      <c r="T58" s="1674" t="str">
        <f t="shared" si="4"/>
        <v/>
      </c>
    </row>
    <row r="59" spans="2:23">
      <c r="B59" s="1597">
        <f t="shared" si="5"/>
        <v>10</v>
      </c>
      <c r="C59" s="1668"/>
      <c r="D59" s="2205"/>
      <c r="E59" s="2205"/>
      <c r="F59" s="1669"/>
      <c r="G59" s="1670" t="str">
        <f t="shared" si="2"/>
        <v/>
      </c>
      <c r="H59" s="1671" t="str">
        <f>IF(F59&gt;="A",VLOOKUP(F59,Validacion!$Q$2:$R$9,2,0),"")</f>
        <v/>
      </c>
      <c r="I59" s="1672" t="str">
        <f t="shared" si="3"/>
        <v/>
      </c>
      <c r="J59" s="1600"/>
      <c r="K59" s="1673" t="s">
        <v>1529</v>
      </c>
      <c r="L59" s="1674">
        <f>IFERROR(IF(F59="",0,VLOOKUP(K59,Validacion!$S$2:$T$5,2,0)),"")</f>
        <v>0</v>
      </c>
      <c r="M59" s="1611"/>
      <c r="N59" s="1673" t="s">
        <v>1530</v>
      </c>
      <c r="O59" s="1674">
        <f>IFERROR(IF(F59="",0,VLOOKUP(N59,Validacion!$U$2:$V$5,2,0)),"")</f>
        <v>0</v>
      </c>
      <c r="P59" s="1611"/>
      <c r="Q59" s="1668" t="s">
        <v>818</v>
      </c>
      <c r="R59" s="1675">
        <f>IF(OR($F$27="Conecta Pymes Centralita ADSL, 8+",$F$27="Conecta Pymes Centralita FTTH, 8+"),0,VLOOKUP(Q59,Validacion!$W$2:$X$4,2,0))</f>
        <v>0</v>
      </c>
      <c r="S59" s="1612"/>
      <c r="T59" s="1674" t="str">
        <f t="shared" si="4"/>
        <v/>
      </c>
    </row>
    <row r="60" spans="2:23">
      <c r="B60" s="1597">
        <f t="shared" si="5"/>
        <v>11</v>
      </c>
      <c r="C60" s="1668"/>
      <c r="D60" s="2205"/>
      <c r="E60" s="2205"/>
      <c r="F60" s="1669"/>
      <c r="G60" s="1670" t="str">
        <f t="shared" si="2"/>
        <v/>
      </c>
      <c r="H60" s="1671" t="str">
        <f>IF(F60&gt;="A",VLOOKUP(F60,Validacion!$Q$2:$R$9,2,0),"")</f>
        <v/>
      </c>
      <c r="I60" s="1672" t="str">
        <f t="shared" si="3"/>
        <v/>
      </c>
      <c r="J60" s="1600"/>
      <c r="K60" s="1673" t="s">
        <v>1529</v>
      </c>
      <c r="L60" s="1674">
        <f>IFERROR(IF(F60="",0,VLOOKUP(K60,Validacion!$S$2:$T$5,2,0)),"")</f>
        <v>0</v>
      </c>
      <c r="M60" s="1611"/>
      <c r="N60" s="1673" t="s">
        <v>1530</v>
      </c>
      <c r="O60" s="1674">
        <f>IFERROR(IF(F60="",0,VLOOKUP(N60,Validacion!$U$2:$V$5,2,0)),"")</f>
        <v>0</v>
      </c>
      <c r="P60" s="1611"/>
      <c r="Q60" s="1668" t="s">
        <v>818</v>
      </c>
      <c r="R60" s="1675">
        <f>IF(OR($F$27="Conecta Pymes Centralita ADSL, 8+",$F$27="Conecta Pymes Centralita FTTH, 8+"),0,VLOOKUP(Q60,Validacion!$W$2:$X$4,2,0))</f>
        <v>0</v>
      </c>
      <c r="S60" s="1612"/>
      <c r="T60" s="1674" t="str">
        <f t="shared" si="4"/>
        <v/>
      </c>
    </row>
    <row r="61" spans="2:23">
      <c r="B61" s="1597">
        <f t="shared" si="5"/>
        <v>12</v>
      </c>
      <c r="C61" s="1668"/>
      <c r="D61" s="2205"/>
      <c r="E61" s="2205"/>
      <c r="F61" s="1669"/>
      <c r="G61" s="1670" t="str">
        <f t="shared" si="2"/>
        <v/>
      </c>
      <c r="H61" s="1671" t="str">
        <f>IF(F61&gt;="A",VLOOKUP(F61,Validacion!$Q$2:$R$9,2,0),"")</f>
        <v/>
      </c>
      <c r="I61" s="1672" t="str">
        <f t="shared" si="3"/>
        <v/>
      </c>
      <c r="J61" s="1600"/>
      <c r="K61" s="1673" t="s">
        <v>1529</v>
      </c>
      <c r="L61" s="1674">
        <f>IFERROR(IF(F61="",0,VLOOKUP(K61,Validacion!$S$2:$T$5,2,0)),"")</f>
        <v>0</v>
      </c>
      <c r="M61" s="1611"/>
      <c r="N61" s="1673" t="s">
        <v>1530</v>
      </c>
      <c r="O61" s="1674">
        <f>IFERROR(IF(F61="",0,VLOOKUP(N61,Validacion!$U$2:$V$5,2,0)),"")</f>
        <v>0</v>
      </c>
      <c r="P61" s="1611"/>
      <c r="Q61" s="1668" t="s">
        <v>818</v>
      </c>
      <c r="R61" s="1675">
        <f>IF(OR($F$27="Conecta Pymes Centralita ADSL, 8+",$F$27="Conecta Pymes Centralita FTTH, 8+"),0,VLOOKUP(Q61,Validacion!$W$2:$X$4,2,0))</f>
        <v>0</v>
      </c>
      <c r="S61" s="1612"/>
      <c r="T61" s="1674" t="str">
        <f t="shared" si="4"/>
        <v/>
      </c>
    </row>
    <row r="62" spans="2:23">
      <c r="B62" s="1597">
        <f t="shared" si="5"/>
        <v>13</v>
      </c>
      <c r="C62" s="1668"/>
      <c r="D62" s="2205"/>
      <c r="E62" s="2205"/>
      <c r="F62" s="1669"/>
      <c r="G62" s="1670" t="str">
        <f t="shared" si="2"/>
        <v/>
      </c>
      <c r="H62" s="1671" t="str">
        <f>IF(F62&gt;="A",VLOOKUP(F62,Validacion!$Q$2:$R$9,2,0),"")</f>
        <v/>
      </c>
      <c r="I62" s="1672" t="str">
        <f t="shared" si="3"/>
        <v/>
      </c>
      <c r="J62" s="1600"/>
      <c r="K62" s="1673" t="s">
        <v>1529</v>
      </c>
      <c r="L62" s="1674">
        <f>IFERROR(IF(F62="",0,VLOOKUP(K62,Validacion!$S$2:$T$5,2,0)),"")</f>
        <v>0</v>
      </c>
      <c r="M62" s="1611"/>
      <c r="N62" s="1673" t="s">
        <v>1530</v>
      </c>
      <c r="O62" s="1674">
        <f>IFERROR(IF(F62="",0,VLOOKUP(N62,Validacion!$U$2:$V$5,2,0)),"")</f>
        <v>0</v>
      </c>
      <c r="P62" s="1611"/>
      <c r="Q62" s="1668" t="s">
        <v>818</v>
      </c>
      <c r="R62" s="1675">
        <f>IF(OR($F$27="Conecta Pymes Centralita ADSL, 8+",$F$27="Conecta Pymes Centralita FTTH, 8+"),0,VLOOKUP(Q62,Validacion!$W$2:$X$4,2,0))</f>
        <v>0</v>
      </c>
      <c r="S62" s="1612"/>
      <c r="T62" s="1674" t="str">
        <f t="shared" si="4"/>
        <v/>
      </c>
    </row>
    <row r="63" spans="2:23">
      <c r="B63" s="1597">
        <f t="shared" si="5"/>
        <v>14</v>
      </c>
      <c r="C63" s="1668"/>
      <c r="D63" s="2205"/>
      <c r="E63" s="2205"/>
      <c r="F63" s="1669"/>
      <c r="G63" s="1670" t="str">
        <f t="shared" si="2"/>
        <v/>
      </c>
      <c r="H63" s="1671" t="str">
        <f>IF(F63&gt;="A",VLOOKUP(F63,Validacion!$Q$2:$R$9,2,0),"")</f>
        <v/>
      </c>
      <c r="I63" s="1672" t="str">
        <f t="shared" si="3"/>
        <v/>
      </c>
      <c r="J63" s="1600"/>
      <c r="K63" s="1673" t="s">
        <v>1529</v>
      </c>
      <c r="L63" s="1674">
        <f>IFERROR(IF(F63="",0,VLOOKUP(K63,Validacion!$S$2:$T$5,2,0)),"")</f>
        <v>0</v>
      </c>
      <c r="M63" s="1611"/>
      <c r="N63" s="1673" t="s">
        <v>1530</v>
      </c>
      <c r="O63" s="1674">
        <f>IFERROR(IF(F63="",0,VLOOKUP(N63,Validacion!$U$2:$V$5,2,0)),"")</f>
        <v>0</v>
      </c>
      <c r="P63" s="1611"/>
      <c r="Q63" s="1668" t="s">
        <v>818</v>
      </c>
      <c r="R63" s="1675">
        <f>IF(OR($F$27="Conecta Pymes Centralita ADSL, 8+",$F$27="Conecta Pymes Centralita FTTH, 8+"),0,VLOOKUP(Q63,Validacion!$W$2:$X$4,2,0))</f>
        <v>0</v>
      </c>
      <c r="S63" s="1612"/>
      <c r="T63" s="1674" t="str">
        <f t="shared" si="4"/>
        <v/>
      </c>
    </row>
    <row r="64" spans="2:23">
      <c r="B64" s="1597">
        <f t="shared" si="5"/>
        <v>15</v>
      </c>
      <c r="C64" s="1668"/>
      <c r="D64" s="2205"/>
      <c r="E64" s="2205"/>
      <c r="F64" s="1669"/>
      <c r="G64" s="1670" t="str">
        <f t="shared" si="2"/>
        <v/>
      </c>
      <c r="H64" s="1671" t="str">
        <f>IF(F64&gt;="A",VLOOKUP(F64,Validacion!$Q$2:$R$9,2,0),"")</f>
        <v/>
      </c>
      <c r="I64" s="1672" t="str">
        <f t="shared" si="3"/>
        <v/>
      </c>
      <c r="J64" s="1600"/>
      <c r="K64" s="1673" t="s">
        <v>1529</v>
      </c>
      <c r="L64" s="1674">
        <f>IFERROR(IF(F64="",0,VLOOKUP(K64,Validacion!$S$2:$T$5,2,0)),"")</f>
        <v>0</v>
      </c>
      <c r="M64" s="1611"/>
      <c r="N64" s="1673" t="s">
        <v>1530</v>
      </c>
      <c r="O64" s="1674">
        <f>IFERROR(IF(F64="",0,VLOOKUP(N64,Validacion!$U$2:$V$5,2,0)),"")</f>
        <v>0</v>
      </c>
      <c r="P64" s="1611"/>
      <c r="Q64" s="1668" t="s">
        <v>818</v>
      </c>
      <c r="R64" s="1675">
        <f>IF(OR($F$27="Conecta Pymes Centralita ADSL, 8+",$F$27="Conecta Pymes Centralita FTTH, 8+"),0,VLOOKUP(Q64,Validacion!$W$2:$X$4,2,0))</f>
        <v>0</v>
      </c>
      <c r="S64" s="1612"/>
      <c r="T64" s="1674" t="str">
        <f t="shared" si="4"/>
        <v/>
      </c>
    </row>
    <row r="65" spans="2:20">
      <c r="B65" s="1597">
        <f t="shared" si="5"/>
        <v>16</v>
      </c>
      <c r="C65" s="1668"/>
      <c r="D65" s="2205"/>
      <c r="E65" s="2205"/>
      <c r="F65" s="1669"/>
      <c r="G65" s="1670" t="str">
        <f t="shared" si="2"/>
        <v/>
      </c>
      <c r="H65" s="1671" t="str">
        <f>IF(F65&gt;="A",VLOOKUP(F65,Validacion!$Q$2:$R$9,2,0),"")</f>
        <v/>
      </c>
      <c r="I65" s="1672" t="str">
        <f t="shared" si="3"/>
        <v/>
      </c>
      <c r="J65" s="1600"/>
      <c r="K65" s="1673" t="s">
        <v>1529</v>
      </c>
      <c r="L65" s="1674">
        <f>IFERROR(IF(F65="",0,VLOOKUP(K65,Validacion!$S$2:$T$5,2,0)),"")</f>
        <v>0</v>
      </c>
      <c r="M65" s="1611"/>
      <c r="N65" s="1673" t="s">
        <v>1530</v>
      </c>
      <c r="O65" s="1674">
        <f>IFERROR(IF(F65="",0,VLOOKUP(N65,Validacion!$U$2:$V$5,2,0)),"")</f>
        <v>0</v>
      </c>
      <c r="P65" s="1611"/>
      <c r="Q65" s="1668" t="s">
        <v>818</v>
      </c>
      <c r="R65" s="1675">
        <f>IF(OR($F$27="Conecta Pymes Centralita ADSL, 8+",$F$27="Conecta Pymes Centralita FTTH, 8+"),0,VLOOKUP(Q65,Validacion!$W$2:$X$4,2,0))</f>
        <v>0</v>
      </c>
      <c r="S65" s="1612"/>
      <c r="T65" s="1674" t="str">
        <f t="shared" si="4"/>
        <v/>
      </c>
    </row>
    <row r="66" spans="2:20">
      <c r="B66" s="1597">
        <f t="shared" si="5"/>
        <v>17</v>
      </c>
      <c r="C66" s="1668"/>
      <c r="D66" s="2205"/>
      <c r="E66" s="2205"/>
      <c r="F66" s="1669"/>
      <c r="G66" s="1670" t="str">
        <f t="shared" si="2"/>
        <v/>
      </c>
      <c r="H66" s="1671" t="str">
        <f>IF(F66&gt;="A",VLOOKUP(F66,Validacion!$Q$2:$R$9,2,0),"")</f>
        <v/>
      </c>
      <c r="I66" s="1672" t="str">
        <f t="shared" si="3"/>
        <v/>
      </c>
      <c r="J66" s="1600"/>
      <c r="K66" s="1673" t="s">
        <v>1529</v>
      </c>
      <c r="L66" s="1674">
        <f>IFERROR(IF(F66="",0,VLOOKUP(K66,Validacion!$S$2:$T$5,2,0)),"")</f>
        <v>0</v>
      </c>
      <c r="M66" s="1611"/>
      <c r="N66" s="1673" t="s">
        <v>1530</v>
      </c>
      <c r="O66" s="1674">
        <f>IFERROR(IF(F66="",0,VLOOKUP(N66,Validacion!$U$2:$V$5,2,0)),"")</f>
        <v>0</v>
      </c>
      <c r="P66" s="1611"/>
      <c r="Q66" s="1668" t="s">
        <v>818</v>
      </c>
      <c r="R66" s="1675">
        <f>IF(OR($F$27="Conecta Pymes Centralita ADSL, 8+",$F$27="Conecta Pymes Centralita FTTH, 8+"),0,VLOOKUP(Q66,Validacion!$W$2:$X$4,2,0))</f>
        <v>0</v>
      </c>
      <c r="S66" s="1612"/>
      <c r="T66" s="1674" t="str">
        <f t="shared" si="4"/>
        <v/>
      </c>
    </row>
    <row r="67" spans="2:20">
      <c r="B67" s="1597">
        <f t="shared" si="5"/>
        <v>18</v>
      </c>
      <c r="C67" s="1668"/>
      <c r="D67" s="2205"/>
      <c r="E67" s="2205"/>
      <c r="F67" s="1669"/>
      <c r="G67" s="1670" t="str">
        <f t="shared" si="2"/>
        <v/>
      </c>
      <c r="H67" s="1671" t="str">
        <f>IF(F67&gt;="A",VLOOKUP(F67,Validacion!$Q$2:$R$9,2,0),"")</f>
        <v/>
      </c>
      <c r="I67" s="1672" t="str">
        <f t="shared" si="3"/>
        <v/>
      </c>
      <c r="J67" s="1600"/>
      <c r="K67" s="1673" t="s">
        <v>1529</v>
      </c>
      <c r="L67" s="1674">
        <f>IFERROR(IF(F67="",0,VLOOKUP(K67,Validacion!$S$2:$T$5,2,0)),"")</f>
        <v>0</v>
      </c>
      <c r="M67" s="1611"/>
      <c r="N67" s="1673" t="s">
        <v>1530</v>
      </c>
      <c r="O67" s="1674">
        <f>IFERROR(IF(F67="",0,VLOOKUP(N67,Validacion!$U$2:$V$5,2,0)),"")</f>
        <v>0</v>
      </c>
      <c r="P67" s="1611"/>
      <c r="Q67" s="1668" t="s">
        <v>818</v>
      </c>
      <c r="R67" s="1675">
        <f>IF(OR($F$27="Conecta Pymes Centralita ADSL, 8+",$F$27="Conecta Pymes Centralita FTTH, 8+"),0,VLOOKUP(Q67,Validacion!$W$2:$X$4,2,0))</f>
        <v>0</v>
      </c>
      <c r="S67" s="1612"/>
      <c r="T67" s="1674" t="str">
        <f t="shared" si="4"/>
        <v/>
      </c>
    </row>
    <row r="68" spans="2:20">
      <c r="B68" s="1597">
        <f t="shared" si="5"/>
        <v>19</v>
      </c>
      <c r="C68" s="1668"/>
      <c r="D68" s="2205"/>
      <c r="E68" s="2205"/>
      <c r="F68" s="1669"/>
      <c r="G68" s="1670" t="str">
        <f t="shared" si="2"/>
        <v/>
      </c>
      <c r="H68" s="1671" t="str">
        <f>IF(F68&gt;="A",VLOOKUP(F68,Validacion!$Q$2:$R$9,2,0),"")</f>
        <v/>
      </c>
      <c r="I68" s="1672" t="str">
        <f t="shared" si="3"/>
        <v/>
      </c>
      <c r="J68" s="1600"/>
      <c r="K68" s="1673" t="s">
        <v>1529</v>
      </c>
      <c r="L68" s="1674">
        <f>IFERROR(IF(F68="",0,VLOOKUP(K68,Validacion!$S$2:$T$5,2,0)),"")</f>
        <v>0</v>
      </c>
      <c r="M68" s="1611"/>
      <c r="N68" s="1673" t="s">
        <v>1530</v>
      </c>
      <c r="O68" s="1674">
        <f>IFERROR(IF(F68="",0,VLOOKUP(N68,Validacion!$U$2:$V$5,2,0)),"")</f>
        <v>0</v>
      </c>
      <c r="P68" s="1611"/>
      <c r="Q68" s="1668" t="s">
        <v>818</v>
      </c>
      <c r="R68" s="1675">
        <f>IF(OR($F$27="Conecta Pymes Centralita ADSL, 8+",$F$27="Conecta Pymes Centralita FTTH, 8+"),0,VLOOKUP(Q68,Validacion!$W$2:$X$4,2,0))</f>
        <v>0</v>
      </c>
      <c r="S68" s="1612"/>
      <c r="T68" s="1674" t="str">
        <f t="shared" si="4"/>
        <v/>
      </c>
    </row>
    <row r="69" spans="2:20">
      <c r="B69" s="1597">
        <f t="shared" si="5"/>
        <v>20</v>
      </c>
      <c r="C69" s="1668"/>
      <c r="D69" s="2205"/>
      <c r="E69" s="2205"/>
      <c r="F69" s="1669"/>
      <c r="G69" s="1670" t="str">
        <f t="shared" si="2"/>
        <v/>
      </c>
      <c r="H69" s="1671" t="str">
        <f>IF(F69&gt;="A",VLOOKUP(F69,Validacion!$Q$2:$R$9,2,0),"")</f>
        <v/>
      </c>
      <c r="I69" s="1672" t="str">
        <f t="shared" si="3"/>
        <v/>
      </c>
      <c r="J69" s="1600"/>
      <c r="K69" s="1673" t="s">
        <v>1529</v>
      </c>
      <c r="L69" s="1674">
        <f>IFERROR(IF(F69="",0,VLOOKUP(K69,Validacion!$S$2:$T$5,2,0)),"")</f>
        <v>0</v>
      </c>
      <c r="M69" s="1611"/>
      <c r="N69" s="1673" t="s">
        <v>1530</v>
      </c>
      <c r="O69" s="1674">
        <f>IFERROR(IF(F69="",0,VLOOKUP(N69,Validacion!$U$2:$V$5,2,0)),"")</f>
        <v>0</v>
      </c>
      <c r="P69" s="1611"/>
      <c r="Q69" s="1668" t="s">
        <v>818</v>
      </c>
      <c r="R69" s="1675">
        <f>IF(OR($F$27="Conecta Pymes Centralita ADSL, 8+",$F$27="Conecta Pymes Centralita FTTH, 8+"),0,VLOOKUP(Q69,Validacion!$W$2:$X$4,2,0))</f>
        <v>0</v>
      </c>
      <c r="S69" s="1612"/>
      <c r="T69" s="1674" t="str">
        <f t="shared" si="4"/>
        <v/>
      </c>
    </row>
    <row r="70" spans="2:20">
      <c r="B70" s="1597">
        <f t="shared" si="5"/>
        <v>21</v>
      </c>
      <c r="C70" s="1668"/>
      <c r="D70" s="2205"/>
      <c r="E70" s="2205"/>
      <c r="F70" s="1669"/>
      <c r="G70" s="1670" t="str">
        <f t="shared" si="2"/>
        <v/>
      </c>
      <c r="H70" s="1671" t="str">
        <f>IF(F70&gt;="A",VLOOKUP(F70,Validacion!$Q$2:$R$9,2,0),"")</f>
        <v/>
      </c>
      <c r="I70" s="1672" t="str">
        <f t="shared" si="3"/>
        <v/>
      </c>
      <c r="J70" s="1600"/>
      <c r="K70" s="1673" t="s">
        <v>1529</v>
      </c>
      <c r="L70" s="1674">
        <f>IFERROR(IF(F70="",0,VLOOKUP(K70,Validacion!$S$2:$T$5,2,0)),"")</f>
        <v>0</v>
      </c>
      <c r="M70" s="1611"/>
      <c r="N70" s="1673" t="s">
        <v>1530</v>
      </c>
      <c r="O70" s="1674">
        <f>IFERROR(IF(F70="",0,VLOOKUP(N70,Validacion!$U$2:$V$5,2,0)),"")</f>
        <v>0</v>
      </c>
      <c r="P70" s="1611"/>
      <c r="Q70" s="1668" t="s">
        <v>818</v>
      </c>
      <c r="R70" s="1675">
        <f>IF(OR($F$27="Conecta Pymes Centralita ADSL, 8+",$F$27="Conecta Pymes Centralita FTTH, 8+"),0,VLOOKUP(Q70,Validacion!$W$2:$X$4,2,0))</f>
        <v>0</v>
      </c>
      <c r="S70" s="1612"/>
      <c r="T70" s="1674" t="str">
        <f t="shared" si="4"/>
        <v/>
      </c>
    </row>
    <row r="71" spans="2:20">
      <c r="B71" s="1597">
        <f t="shared" si="5"/>
        <v>22</v>
      </c>
      <c r="C71" s="1668"/>
      <c r="D71" s="2205"/>
      <c r="E71" s="2205"/>
      <c r="F71" s="1669"/>
      <c r="G71" s="1670" t="str">
        <f t="shared" si="2"/>
        <v/>
      </c>
      <c r="H71" s="1671" t="str">
        <f>IF(F71&gt;="A",VLOOKUP(F71,Validacion!$Q$2:$R$9,2,0),"")</f>
        <v/>
      </c>
      <c r="I71" s="1672" t="str">
        <f t="shared" si="3"/>
        <v/>
      </c>
      <c r="J71" s="1600"/>
      <c r="K71" s="1673" t="s">
        <v>1529</v>
      </c>
      <c r="L71" s="1674">
        <f>IFERROR(IF(F71="",0,VLOOKUP(K71,Validacion!$S$2:$T$5,2,0)),"")</f>
        <v>0</v>
      </c>
      <c r="M71" s="1611"/>
      <c r="N71" s="1673" t="s">
        <v>1530</v>
      </c>
      <c r="O71" s="1674">
        <f>IFERROR(IF(F71="",0,VLOOKUP(N71,Validacion!$U$2:$V$5,2,0)),"")</f>
        <v>0</v>
      </c>
      <c r="P71" s="1611"/>
      <c r="Q71" s="1668" t="s">
        <v>818</v>
      </c>
      <c r="R71" s="1675">
        <f>IF(OR($F$27="Conecta Pymes Centralita ADSL, 8+",$F$27="Conecta Pymes Centralita FTTH, 8+"),0,VLOOKUP(Q71,Validacion!$W$2:$X$4,2,0))</f>
        <v>0</v>
      </c>
      <c r="S71" s="1612"/>
      <c r="T71" s="1674" t="str">
        <f t="shared" si="4"/>
        <v/>
      </c>
    </row>
    <row r="72" spans="2:20">
      <c r="B72" s="1597">
        <f t="shared" si="5"/>
        <v>23</v>
      </c>
      <c r="C72" s="1668"/>
      <c r="D72" s="2205"/>
      <c r="E72" s="2205"/>
      <c r="F72" s="1669"/>
      <c r="G72" s="1670" t="str">
        <f t="shared" si="2"/>
        <v/>
      </c>
      <c r="H72" s="1671" t="str">
        <f>IF(F72&gt;="A",VLOOKUP(F72,Validacion!$Q$2:$R$9,2,0),"")</f>
        <v/>
      </c>
      <c r="I72" s="1672" t="str">
        <f t="shared" si="3"/>
        <v/>
      </c>
      <c r="J72" s="1600"/>
      <c r="K72" s="1673" t="s">
        <v>1529</v>
      </c>
      <c r="L72" s="1674">
        <f>IFERROR(IF(F72="",0,VLOOKUP(K72,Validacion!$S$2:$T$5,2,0)),"")</f>
        <v>0</v>
      </c>
      <c r="M72" s="1611"/>
      <c r="N72" s="1673" t="s">
        <v>1530</v>
      </c>
      <c r="O72" s="1674">
        <f>IFERROR(IF(F72="",0,VLOOKUP(N72,Validacion!$U$2:$V$5,2,0)),"")</f>
        <v>0</v>
      </c>
      <c r="P72" s="1611"/>
      <c r="Q72" s="1668" t="s">
        <v>818</v>
      </c>
      <c r="R72" s="1675">
        <f>IF(OR($F$27="Conecta Pymes Centralita ADSL, 8+",$F$27="Conecta Pymes Centralita FTTH, 8+"),0,VLOOKUP(Q72,Validacion!$W$2:$X$4,2,0))</f>
        <v>0</v>
      </c>
      <c r="S72" s="1612"/>
      <c r="T72" s="1674" t="str">
        <f t="shared" si="4"/>
        <v/>
      </c>
    </row>
    <row r="73" spans="2:20">
      <c r="B73" s="1597">
        <f t="shared" si="5"/>
        <v>24</v>
      </c>
      <c r="C73" s="1668"/>
      <c r="D73" s="2205"/>
      <c r="E73" s="2205"/>
      <c r="F73" s="1669"/>
      <c r="G73" s="1670" t="str">
        <f t="shared" si="2"/>
        <v/>
      </c>
      <c r="H73" s="1671" t="str">
        <f>IF(F73&gt;="A",VLOOKUP(F73,Validacion!$Q$2:$R$9,2,0),"")</f>
        <v/>
      </c>
      <c r="I73" s="1672" t="str">
        <f t="shared" si="3"/>
        <v/>
      </c>
      <c r="J73" s="1600"/>
      <c r="K73" s="1673" t="s">
        <v>1529</v>
      </c>
      <c r="L73" s="1674">
        <f>IFERROR(IF(F73="",0,VLOOKUP(K73,Validacion!$S$2:$T$5,2,0)),"")</f>
        <v>0</v>
      </c>
      <c r="M73" s="1611"/>
      <c r="N73" s="1673" t="s">
        <v>1530</v>
      </c>
      <c r="O73" s="1674">
        <f>IFERROR(IF(F73="",0,VLOOKUP(N73,Validacion!$U$2:$V$5,2,0)),"")</f>
        <v>0</v>
      </c>
      <c r="P73" s="1611"/>
      <c r="Q73" s="1668" t="s">
        <v>818</v>
      </c>
      <c r="R73" s="1675">
        <f>IF(OR($F$27="Conecta Pymes Centralita ADSL, 8+",$F$27="Conecta Pymes Centralita FTTH, 8+"),0,VLOOKUP(Q73,Validacion!$W$2:$X$4,2,0))</f>
        <v>0</v>
      </c>
      <c r="S73" s="1612"/>
      <c r="T73" s="1674" t="str">
        <f t="shared" si="4"/>
        <v/>
      </c>
    </row>
    <row r="74" spans="2:20">
      <c r="B74" s="1597">
        <f t="shared" si="5"/>
        <v>25</v>
      </c>
      <c r="C74" s="1668"/>
      <c r="D74" s="2205"/>
      <c r="E74" s="2205"/>
      <c r="F74" s="1669"/>
      <c r="G74" s="1670" t="str">
        <f t="shared" si="2"/>
        <v/>
      </c>
      <c r="H74" s="1671" t="str">
        <f>IF(F74&gt;="A",VLOOKUP(F74,Validacion!$Q$2:$R$9,2,0),"")</f>
        <v/>
      </c>
      <c r="I74" s="1672" t="str">
        <f t="shared" si="3"/>
        <v/>
      </c>
      <c r="J74" s="1600"/>
      <c r="K74" s="1673" t="s">
        <v>1529</v>
      </c>
      <c r="L74" s="1674">
        <f>IFERROR(IF(F74="",0,VLOOKUP(K74,Validacion!$S$2:$T$5,2,0)),"")</f>
        <v>0</v>
      </c>
      <c r="M74" s="1611"/>
      <c r="N74" s="1673" t="s">
        <v>1530</v>
      </c>
      <c r="O74" s="1674">
        <f>IFERROR(IF(F74="",0,VLOOKUP(N74,Validacion!$U$2:$V$5,2,0)),"")</f>
        <v>0</v>
      </c>
      <c r="P74" s="1611"/>
      <c r="Q74" s="1668" t="s">
        <v>818</v>
      </c>
      <c r="R74" s="1675">
        <f>IF(OR($F$27="Conecta Pymes Centralita ADSL, 8+",$F$27="Conecta Pymes Centralita FTTH, 8+"),0,VLOOKUP(Q74,Validacion!$W$2:$X$4,2,0))</f>
        <v>0</v>
      </c>
      <c r="S74" s="1612"/>
      <c r="T74" s="1674" t="str">
        <f t="shared" si="4"/>
        <v/>
      </c>
    </row>
    <row r="75" spans="2:20">
      <c r="B75" s="1597">
        <f t="shared" si="5"/>
        <v>26</v>
      </c>
      <c r="C75" s="1668"/>
      <c r="D75" s="2205"/>
      <c r="E75" s="2205"/>
      <c r="F75" s="1669"/>
      <c r="G75" s="1670" t="str">
        <f t="shared" si="2"/>
        <v/>
      </c>
      <c r="H75" s="1671" t="str">
        <f>IF(F75&gt;="A",VLOOKUP(F75,Validacion!$Q$2:$R$9,2,0),"")</f>
        <v/>
      </c>
      <c r="I75" s="1672" t="str">
        <f t="shared" si="3"/>
        <v/>
      </c>
      <c r="J75" s="1600"/>
      <c r="K75" s="1673" t="s">
        <v>1529</v>
      </c>
      <c r="L75" s="1674">
        <f>IFERROR(IF(F75="",0,VLOOKUP(K75,Validacion!$S$2:$T$5,2,0)),"")</f>
        <v>0</v>
      </c>
      <c r="M75" s="1611"/>
      <c r="N75" s="1673" t="s">
        <v>1530</v>
      </c>
      <c r="O75" s="1674">
        <f>IFERROR(IF(F75="",0,VLOOKUP(N75,Validacion!$U$2:$V$5,2,0)),"")</f>
        <v>0</v>
      </c>
      <c r="P75" s="1611"/>
      <c r="Q75" s="1668" t="s">
        <v>818</v>
      </c>
      <c r="R75" s="1675">
        <f>IF(OR($F$27="Conecta Pymes Centralita ADSL, 8+",$F$27="Conecta Pymes Centralita FTTH, 8+"),0,VLOOKUP(Q75,Validacion!$W$2:$X$4,2,0))</f>
        <v>0</v>
      </c>
      <c r="S75" s="1612"/>
      <c r="T75" s="1674" t="str">
        <f t="shared" si="4"/>
        <v/>
      </c>
    </row>
    <row r="76" spans="2:20">
      <c r="B76" s="1597">
        <f t="shared" si="5"/>
        <v>27</v>
      </c>
      <c r="C76" s="1668"/>
      <c r="D76" s="2205"/>
      <c r="E76" s="2205"/>
      <c r="F76" s="1669"/>
      <c r="G76" s="1670" t="str">
        <f t="shared" si="2"/>
        <v/>
      </c>
      <c r="H76" s="1671" t="str">
        <f>IF(F76&gt;="A",VLOOKUP(F76,Validacion!$Q$2:$R$9,2,0),"")</f>
        <v/>
      </c>
      <c r="I76" s="1672" t="str">
        <f t="shared" si="3"/>
        <v/>
      </c>
      <c r="J76" s="1600"/>
      <c r="K76" s="1673" t="s">
        <v>1529</v>
      </c>
      <c r="L76" s="1674">
        <f>IFERROR(IF(F76="",0,VLOOKUP(K76,Validacion!$S$2:$T$5,2,0)),"")</f>
        <v>0</v>
      </c>
      <c r="M76" s="1611"/>
      <c r="N76" s="1673" t="s">
        <v>1530</v>
      </c>
      <c r="O76" s="1674">
        <f>IFERROR(IF(F76="",0,VLOOKUP(N76,Validacion!$U$2:$V$5,2,0)),"")</f>
        <v>0</v>
      </c>
      <c r="P76" s="1611"/>
      <c r="Q76" s="1668" t="s">
        <v>818</v>
      </c>
      <c r="R76" s="1675">
        <f>IF(OR($F$27="Conecta Pymes Centralita ADSL, 8+",$F$27="Conecta Pymes Centralita FTTH, 8+"),0,VLOOKUP(Q76,Validacion!$W$2:$X$4,2,0))</f>
        <v>0</v>
      </c>
      <c r="S76" s="1612"/>
      <c r="T76" s="1674" t="str">
        <f t="shared" si="4"/>
        <v/>
      </c>
    </row>
    <row r="77" spans="2:20">
      <c r="B77" s="1597">
        <f t="shared" si="5"/>
        <v>28</v>
      </c>
      <c r="C77" s="1668"/>
      <c r="D77" s="2205"/>
      <c r="E77" s="2205"/>
      <c r="F77" s="1669"/>
      <c r="G77" s="1670" t="str">
        <f t="shared" si="2"/>
        <v/>
      </c>
      <c r="H77" s="1671" t="str">
        <f>IF(F77&gt;="A",VLOOKUP(F77,Validacion!$Q$2:$R$9,2,0),"")</f>
        <v/>
      </c>
      <c r="I77" s="1672" t="str">
        <f t="shared" si="3"/>
        <v/>
      </c>
      <c r="J77" s="1600"/>
      <c r="K77" s="1673" t="s">
        <v>1529</v>
      </c>
      <c r="L77" s="1674">
        <f>IFERROR(IF(F77="",0,VLOOKUP(K77,Validacion!$S$2:$T$5,2,0)),"")</f>
        <v>0</v>
      </c>
      <c r="M77" s="1611"/>
      <c r="N77" s="1673" t="s">
        <v>1530</v>
      </c>
      <c r="O77" s="1674">
        <f>IFERROR(IF(F77="",0,VLOOKUP(N77,Validacion!$U$2:$V$5,2,0)),"")</f>
        <v>0</v>
      </c>
      <c r="P77" s="1611"/>
      <c r="Q77" s="1668" t="s">
        <v>818</v>
      </c>
      <c r="R77" s="1675">
        <f>IF(OR($F$27="Conecta Pymes Centralita ADSL, 8+",$F$27="Conecta Pymes Centralita FTTH, 8+"),0,VLOOKUP(Q77,Validacion!$W$2:$X$4,2,0))</f>
        <v>0</v>
      </c>
      <c r="S77" s="1612"/>
      <c r="T77" s="1674" t="str">
        <f t="shared" si="4"/>
        <v/>
      </c>
    </row>
    <row r="78" spans="2:20">
      <c r="B78" s="1597">
        <f t="shared" si="5"/>
        <v>29</v>
      </c>
      <c r="C78" s="1668"/>
      <c r="D78" s="2205"/>
      <c r="E78" s="2205"/>
      <c r="F78" s="1669"/>
      <c r="G78" s="1670" t="str">
        <f t="shared" si="2"/>
        <v/>
      </c>
      <c r="H78" s="1671" t="str">
        <f>IF(F78&gt;="A",VLOOKUP(F78,Validacion!$Q$2:$R$9,2,0),"")</f>
        <v/>
      </c>
      <c r="I78" s="1672" t="str">
        <f t="shared" si="3"/>
        <v/>
      </c>
      <c r="J78" s="1600"/>
      <c r="K78" s="1673" t="s">
        <v>1529</v>
      </c>
      <c r="L78" s="1674">
        <f>IFERROR(IF(F78="",0,VLOOKUP(K78,Validacion!$S$2:$T$5,2,0)),"")</f>
        <v>0</v>
      </c>
      <c r="M78" s="1611"/>
      <c r="N78" s="1673" t="s">
        <v>1530</v>
      </c>
      <c r="O78" s="1674">
        <f>IFERROR(IF(F78="",0,VLOOKUP(N78,Validacion!$U$2:$V$5,2,0)),"")</f>
        <v>0</v>
      </c>
      <c r="P78" s="1611"/>
      <c r="Q78" s="1668" t="s">
        <v>818</v>
      </c>
      <c r="R78" s="1675">
        <f>IF(OR($F$27="Conecta Pymes Centralita ADSL, 8+",$F$27="Conecta Pymes Centralita FTTH, 8+"),0,VLOOKUP(Q78,Validacion!$W$2:$X$4,2,0))</f>
        <v>0</v>
      </c>
      <c r="S78" s="1612"/>
      <c r="T78" s="1674" t="str">
        <f t="shared" si="4"/>
        <v/>
      </c>
    </row>
    <row r="79" spans="2:20">
      <c r="B79" s="1597">
        <f t="shared" si="5"/>
        <v>30</v>
      </c>
      <c r="C79" s="1668"/>
      <c r="D79" s="2205"/>
      <c r="E79" s="2205"/>
      <c r="F79" s="1669"/>
      <c r="G79" s="1670" t="str">
        <f t="shared" si="2"/>
        <v/>
      </c>
      <c r="H79" s="1671" t="str">
        <f>IF(F79&gt;="A",VLOOKUP(F79,Validacion!$Q$2:$R$9,2,0),"")</f>
        <v/>
      </c>
      <c r="I79" s="1672" t="str">
        <f t="shared" si="3"/>
        <v/>
      </c>
      <c r="J79" s="1600"/>
      <c r="K79" s="1673" t="s">
        <v>1529</v>
      </c>
      <c r="L79" s="1674">
        <f>IFERROR(IF(F79="",0,VLOOKUP(K79,Validacion!$S$2:$T$5,2,0)),"")</f>
        <v>0</v>
      </c>
      <c r="M79" s="1611"/>
      <c r="N79" s="1673" t="s">
        <v>1530</v>
      </c>
      <c r="O79" s="1674">
        <f>IFERROR(IF(F79="",0,VLOOKUP(N79,Validacion!$U$2:$V$5,2,0)),"")</f>
        <v>0</v>
      </c>
      <c r="P79" s="1611"/>
      <c r="Q79" s="1668" t="s">
        <v>818</v>
      </c>
      <c r="R79" s="1675">
        <f>IF(OR($F$27="Conecta Pymes Centralita ADSL, 8+",$F$27="Conecta Pymes Centralita FTTH, 8+"),0,VLOOKUP(Q79,Validacion!$W$2:$X$4,2,0))</f>
        <v>0</v>
      </c>
      <c r="S79" s="1612"/>
      <c r="T79" s="1674" t="str">
        <f t="shared" si="4"/>
        <v/>
      </c>
    </row>
    <row r="80" spans="2:20">
      <c r="B80" s="1597">
        <f t="shared" si="5"/>
        <v>31</v>
      </c>
      <c r="C80" s="1668"/>
      <c r="D80" s="2205"/>
      <c r="E80" s="2205"/>
      <c r="F80" s="1669"/>
      <c r="G80" s="1670" t="str">
        <f t="shared" si="2"/>
        <v/>
      </c>
      <c r="H80" s="1671" t="str">
        <f>IF(F80&gt;="A",VLOOKUP(F80,Validacion!$Q$2:$R$9,2,0),"")</f>
        <v/>
      </c>
      <c r="I80" s="1672" t="str">
        <f t="shared" si="3"/>
        <v/>
      </c>
      <c r="J80" s="1600"/>
      <c r="K80" s="1673" t="s">
        <v>1529</v>
      </c>
      <c r="L80" s="1674">
        <f>IFERROR(IF(F80="",0,VLOOKUP(K80,Validacion!$S$2:$T$5,2,0)),"")</f>
        <v>0</v>
      </c>
      <c r="M80" s="1611"/>
      <c r="N80" s="1673" t="s">
        <v>1530</v>
      </c>
      <c r="O80" s="1674">
        <f>IFERROR(IF(F80="",0,VLOOKUP(N80,Validacion!$U$2:$V$5,2,0)),"")</f>
        <v>0</v>
      </c>
      <c r="P80" s="1611"/>
      <c r="Q80" s="1668" t="s">
        <v>818</v>
      </c>
      <c r="R80" s="1675">
        <f>IF(OR($F$27="Conecta Pymes Centralita ADSL, 8+",$F$27="Conecta Pymes Centralita FTTH, 8+"),0,VLOOKUP(Q80,Validacion!$W$2:$X$4,2,0))</f>
        <v>0</v>
      </c>
      <c r="S80" s="1612"/>
      <c r="T80" s="1674" t="str">
        <f t="shared" si="4"/>
        <v/>
      </c>
    </row>
    <row r="81" spans="2:20">
      <c r="B81" s="1597">
        <f t="shared" si="5"/>
        <v>32</v>
      </c>
      <c r="C81" s="1668"/>
      <c r="D81" s="2205"/>
      <c r="E81" s="2205"/>
      <c r="F81" s="1669"/>
      <c r="G81" s="1670" t="str">
        <f t="shared" si="2"/>
        <v/>
      </c>
      <c r="H81" s="1671" t="str">
        <f>IF(F81&gt;="A",VLOOKUP(F81,Validacion!$Q$2:$R$9,2,0),"")</f>
        <v/>
      </c>
      <c r="I81" s="1672" t="str">
        <f t="shared" si="3"/>
        <v/>
      </c>
      <c r="J81" s="1600"/>
      <c r="K81" s="1673" t="s">
        <v>1529</v>
      </c>
      <c r="L81" s="1674">
        <f>IFERROR(IF(F81="",0,VLOOKUP(K81,Validacion!$S$2:$T$5,2,0)),"")</f>
        <v>0</v>
      </c>
      <c r="M81" s="1611"/>
      <c r="N81" s="1673" t="s">
        <v>1530</v>
      </c>
      <c r="O81" s="1674">
        <f>IFERROR(IF(F81="",0,VLOOKUP(N81,Validacion!$U$2:$V$5,2,0)),"")</f>
        <v>0</v>
      </c>
      <c r="P81" s="1611"/>
      <c r="Q81" s="1668" t="s">
        <v>818</v>
      </c>
      <c r="R81" s="1675">
        <f>IF(OR($F$27="Conecta Pymes Centralita ADSL, 8+",$F$27="Conecta Pymes Centralita FTTH, 8+"),0,VLOOKUP(Q81,Validacion!$W$2:$X$4,2,0))</f>
        <v>0</v>
      </c>
      <c r="S81" s="1612"/>
      <c r="T81" s="1674" t="str">
        <f t="shared" si="4"/>
        <v/>
      </c>
    </row>
    <row r="82" spans="2:20">
      <c r="B82" s="1597">
        <f t="shared" si="5"/>
        <v>33</v>
      </c>
      <c r="C82" s="1668"/>
      <c r="D82" s="2205"/>
      <c r="E82" s="2205"/>
      <c r="F82" s="1669"/>
      <c r="G82" s="1670" t="str">
        <f t="shared" si="2"/>
        <v/>
      </c>
      <c r="H82" s="1671" t="str">
        <f>IF(F82&gt;="A",VLOOKUP(F82,Validacion!$Q$2:$R$9,2,0),"")</f>
        <v/>
      </c>
      <c r="I82" s="1672" t="str">
        <f t="shared" si="3"/>
        <v/>
      </c>
      <c r="J82" s="1600"/>
      <c r="K82" s="1673" t="s">
        <v>1529</v>
      </c>
      <c r="L82" s="1674">
        <f>IFERROR(IF(F82="",0,VLOOKUP(K82,Validacion!$S$2:$T$5,2,0)),"")</f>
        <v>0</v>
      </c>
      <c r="M82" s="1611"/>
      <c r="N82" s="1673" t="s">
        <v>1530</v>
      </c>
      <c r="O82" s="1674">
        <f>IFERROR(IF(F82="",0,VLOOKUP(N82,Validacion!$U$2:$V$5,2,0)),"")</f>
        <v>0</v>
      </c>
      <c r="P82" s="1611"/>
      <c r="Q82" s="1668" t="s">
        <v>818</v>
      </c>
      <c r="R82" s="1675">
        <f>IF(OR($F$27="Conecta Pymes Centralita ADSL, 8+",$F$27="Conecta Pymes Centralita FTTH, 8+"),0,VLOOKUP(Q82,Validacion!$W$2:$X$4,2,0))</f>
        <v>0</v>
      </c>
      <c r="S82" s="1612"/>
      <c r="T82" s="1674" t="str">
        <f t="shared" si="4"/>
        <v/>
      </c>
    </row>
    <row r="83" spans="2:20">
      <c r="B83" s="1597">
        <f t="shared" si="5"/>
        <v>34</v>
      </c>
      <c r="C83" s="1668"/>
      <c r="D83" s="2205"/>
      <c r="E83" s="2205"/>
      <c r="F83" s="1669"/>
      <c r="G83" s="1670" t="str">
        <f t="shared" si="2"/>
        <v/>
      </c>
      <c r="H83" s="1671" t="str">
        <f>IF(F83&gt;="A",VLOOKUP(F83,Validacion!$Q$2:$R$9,2,0),"")</f>
        <v/>
      </c>
      <c r="I83" s="1672" t="str">
        <f t="shared" si="3"/>
        <v/>
      </c>
      <c r="J83" s="1600"/>
      <c r="K83" s="1673" t="s">
        <v>1529</v>
      </c>
      <c r="L83" s="1674">
        <f>IFERROR(IF(F83="",0,VLOOKUP(K83,Validacion!$S$2:$T$5,2,0)),"")</f>
        <v>0</v>
      </c>
      <c r="M83" s="1611"/>
      <c r="N83" s="1673" t="s">
        <v>1530</v>
      </c>
      <c r="O83" s="1674">
        <f>IFERROR(IF(F83="",0,VLOOKUP(N83,Validacion!$U$2:$V$5,2,0)),"")</f>
        <v>0</v>
      </c>
      <c r="P83" s="1611"/>
      <c r="Q83" s="1668" t="s">
        <v>818</v>
      </c>
      <c r="R83" s="1675">
        <f>IF(OR($F$27="Conecta Pymes Centralita ADSL, 8+",$F$27="Conecta Pymes Centralita FTTH, 8+"),0,VLOOKUP(Q83,Validacion!$W$2:$X$4,2,0))</f>
        <v>0</v>
      </c>
      <c r="S83" s="1612"/>
      <c r="T83" s="1674" t="str">
        <f t="shared" si="4"/>
        <v/>
      </c>
    </row>
    <row r="84" spans="2:20">
      <c r="B84" s="1597">
        <f t="shared" si="5"/>
        <v>35</v>
      </c>
      <c r="C84" s="1668"/>
      <c r="D84" s="2205"/>
      <c r="E84" s="2205"/>
      <c r="F84" s="1669"/>
      <c r="G84" s="1670" t="str">
        <f t="shared" si="2"/>
        <v/>
      </c>
      <c r="H84" s="1671" t="str">
        <f>IF(F84&gt;="A",VLOOKUP(F84,Validacion!$Q$2:$R$9,2,0),"")</f>
        <v/>
      </c>
      <c r="I84" s="1672" t="str">
        <f t="shared" si="3"/>
        <v/>
      </c>
      <c r="J84" s="1600"/>
      <c r="K84" s="1673" t="s">
        <v>1529</v>
      </c>
      <c r="L84" s="1674">
        <f>IFERROR(IF(F84="",0,VLOOKUP(K84,Validacion!$S$2:$T$5,2,0)),"")</f>
        <v>0</v>
      </c>
      <c r="M84" s="1611"/>
      <c r="N84" s="1673" t="s">
        <v>1530</v>
      </c>
      <c r="O84" s="1674">
        <f>IFERROR(IF(F84="",0,VLOOKUP(N84,Validacion!$U$2:$V$5,2,0)),"")</f>
        <v>0</v>
      </c>
      <c r="P84" s="1611"/>
      <c r="Q84" s="1668" t="s">
        <v>818</v>
      </c>
      <c r="R84" s="1675">
        <f>IF(OR($F$27="Conecta Pymes Centralita ADSL, 8+",$F$27="Conecta Pymes Centralita FTTH, 8+"),0,VLOOKUP(Q84,Validacion!$W$2:$X$4,2,0))</f>
        <v>0</v>
      </c>
      <c r="S84" s="1612"/>
      <c r="T84" s="1674" t="str">
        <f t="shared" si="4"/>
        <v/>
      </c>
    </row>
    <row r="85" spans="2:20">
      <c r="B85" s="1597">
        <f t="shared" si="5"/>
        <v>36</v>
      </c>
      <c r="C85" s="1668"/>
      <c r="D85" s="2205"/>
      <c r="E85" s="2205"/>
      <c r="F85" s="1669"/>
      <c r="G85" s="1670" t="str">
        <f t="shared" si="2"/>
        <v/>
      </c>
      <c r="H85" s="1671" t="str">
        <f>IF(F85&gt;="A",VLOOKUP(F85,Validacion!$Q$2:$R$9,2,0),"")</f>
        <v/>
      </c>
      <c r="I85" s="1672" t="str">
        <f t="shared" si="3"/>
        <v/>
      </c>
      <c r="J85" s="1600"/>
      <c r="K85" s="1673" t="s">
        <v>1529</v>
      </c>
      <c r="L85" s="1674">
        <f>IFERROR(IF(F85="",0,VLOOKUP(K85,Validacion!$S$2:$T$5,2,0)),"")</f>
        <v>0</v>
      </c>
      <c r="M85" s="1611"/>
      <c r="N85" s="1673" t="s">
        <v>1530</v>
      </c>
      <c r="O85" s="1674">
        <f>IFERROR(IF(F85="",0,VLOOKUP(N85,Validacion!$U$2:$V$5,2,0)),"")</f>
        <v>0</v>
      </c>
      <c r="P85" s="1611"/>
      <c r="Q85" s="1668" t="s">
        <v>818</v>
      </c>
      <c r="R85" s="1675">
        <f>IF(OR($F$27="Conecta Pymes Centralita ADSL, 8+",$F$27="Conecta Pymes Centralita FTTH, 8+"),0,VLOOKUP(Q85,Validacion!$W$2:$X$4,2,0))</f>
        <v>0</v>
      </c>
      <c r="S85" s="1612"/>
      <c r="T85" s="1674" t="str">
        <f t="shared" si="4"/>
        <v/>
      </c>
    </row>
    <row r="86" spans="2:20">
      <c r="B86" s="1597">
        <f t="shared" si="5"/>
        <v>37</v>
      </c>
      <c r="C86" s="1668"/>
      <c r="D86" s="2205"/>
      <c r="E86" s="2205"/>
      <c r="F86" s="1669"/>
      <c r="G86" s="1670" t="str">
        <f t="shared" si="2"/>
        <v/>
      </c>
      <c r="H86" s="1671" t="str">
        <f>IF(F86&gt;="A",VLOOKUP(F86,Validacion!$Q$2:$R$9,2,0),"")</f>
        <v/>
      </c>
      <c r="I86" s="1672" t="str">
        <f t="shared" si="3"/>
        <v/>
      </c>
      <c r="J86" s="1600"/>
      <c r="K86" s="1673" t="s">
        <v>1529</v>
      </c>
      <c r="L86" s="1674">
        <f>IFERROR(IF(F86="",0,VLOOKUP(K86,Validacion!$S$2:$T$5,2,0)),"")</f>
        <v>0</v>
      </c>
      <c r="M86" s="1611"/>
      <c r="N86" s="1673" t="s">
        <v>1530</v>
      </c>
      <c r="O86" s="1674">
        <f>IFERROR(IF(F86="",0,VLOOKUP(N86,Validacion!$U$2:$V$5,2,0)),"")</f>
        <v>0</v>
      </c>
      <c r="P86" s="1611"/>
      <c r="Q86" s="1668" t="s">
        <v>818</v>
      </c>
      <c r="R86" s="1675">
        <f>IF(OR($F$27="Conecta Pymes Centralita ADSL, 8+",$F$27="Conecta Pymes Centralita FTTH, 8+"),0,VLOOKUP(Q86,Validacion!$W$2:$X$4,2,0))</f>
        <v>0</v>
      </c>
      <c r="S86" s="1612"/>
      <c r="T86" s="1674" t="str">
        <f t="shared" si="4"/>
        <v/>
      </c>
    </row>
    <row r="87" spans="2:20">
      <c r="B87" s="1597">
        <f t="shared" si="5"/>
        <v>38</v>
      </c>
      <c r="C87" s="1668"/>
      <c r="D87" s="2205"/>
      <c r="E87" s="2205"/>
      <c r="F87" s="1669"/>
      <c r="G87" s="1670" t="str">
        <f t="shared" si="2"/>
        <v/>
      </c>
      <c r="H87" s="1671" t="str">
        <f>IF(F87&gt;="A",VLOOKUP(F87,Validacion!$Q$2:$R$9,2,0),"")</f>
        <v/>
      </c>
      <c r="I87" s="1672" t="str">
        <f t="shared" si="3"/>
        <v/>
      </c>
      <c r="J87" s="1600"/>
      <c r="K87" s="1673" t="s">
        <v>1529</v>
      </c>
      <c r="L87" s="1674">
        <f>IFERROR(IF(F87="",0,VLOOKUP(K87,Validacion!$S$2:$T$5,2,0)),"")</f>
        <v>0</v>
      </c>
      <c r="M87" s="1611"/>
      <c r="N87" s="1673" t="s">
        <v>1530</v>
      </c>
      <c r="O87" s="1674">
        <f>IFERROR(IF(F87="",0,VLOOKUP(N87,Validacion!$U$2:$V$5,2,0)),"")</f>
        <v>0</v>
      </c>
      <c r="P87" s="1611"/>
      <c r="Q87" s="1668" t="s">
        <v>818</v>
      </c>
      <c r="R87" s="1675">
        <f>IF(OR($F$27="Conecta Pymes Centralita ADSL, 8+",$F$27="Conecta Pymes Centralita FTTH, 8+"),0,VLOOKUP(Q87,Validacion!$W$2:$X$4,2,0))</f>
        <v>0</v>
      </c>
      <c r="S87" s="1612"/>
      <c r="T87" s="1674" t="str">
        <f t="shared" si="4"/>
        <v/>
      </c>
    </row>
    <row r="88" spans="2:20">
      <c r="B88" s="1597">
        <f t="shared" si="5"/>
        <v>39</v>
      </c>
      <c r="C88" s="1668"/>
      <c r="D88" s="2205"/>
      <c r="E88" s="2205"/>
      <c r="F88" s="1669"/>
      <c r="G88" s="1670" t="str">
        <f t="shared" si="2"/>
        <v/>
      </c>
      <c r="H88" s="1671" t="str">
        <f>IF(F88&gt;="A",VLOOKUP(F88,Validacion!$Q$2:$R$9,2,0),"")</f>
        <v/>
      </c>
      <c r="I88" s="1672" t="str">
        <f t="shared" si="3"/>
        <v/>
      </c>
      <c r="J88" s="1600"/>
      <c r="K88" s="1673" t="s">
        <v>1529</v>
      </c>
      <c r="L88" s="1674">
        <f>IFERROR(IF(F88="",0,VLOOKUP(K88,Validacion!$S$2:$T$5,2,0)),"")</f>
        <v>0</v>
      </c>
      <c r="M88" s="1611"/>
      <c r="N88" s="1673" t="s">
        <v>1530</v>
      </c>
      <c r="O88" s="1674">
        <f>IFERROR(IF(F88="",0,VLOOKUP(N88,Validacion!$U$2:$V$5,2,0)),"")</f>
        <v>0</v>
      </c>
      <c r="P88" s="1611"/>
      <c r="Q88" s="1668" t="s">
        <v>818</v>
      </c>
      <c r="R88" s="1675">
        <f>IF(OR($F$27="Conecta Pymes Centralita ADSL, 8+",$F$27="Conecta Pymes Centralita FTTH, 8+"),0,VLOOKUP(Q88,Validacion!$W$2:$X$4,2,0))</f>
        <v>0</v>
      </c>
      <c r="S88" s="1612"/>
      <c r="T88" s="1674" t="str">
        <f t="shared" si="4"/>
        <v/>
      </c>
    </row>
    <row r="89" spans="2:20">
      <c r="B89" s="1597">
        <f t="shared" si="5"/>
        <v>40</v>
      </c>
      <c r="C89" s="1668"/>
      <c r="D89" s="2205"/>
      <c r="E89" s="2205"/>
      <c r="F89" s="1669"/>
      <c r="G89" s="1670" t="str">
        <f t="shared" si="2"/>
        <v/>
      </c>
      <c r="H89" s="1671" t="str">
        <f>IF(F89&gt;="A",VLOOKUP(F89,Validacion!$Q$2:$R$9,2,0),"")</f>
        <v/>
      </c>
      <c r="I89" s="1672" t="str">
        <f t="shared" si="3"/>
        <v/>
      </c>
      <c r="J89" s="1600"/>
      <c r="K89" s="1673" t="s">
        <v>1529</v>
      </c>
      <c r="L89" s="1674">
        <f>IFERROR(IF(F89="",0,VLOOKUP(K89,Validacion!$S$2:$T$5,2,0)),"")</f>
        <v>0</v>
      </c>
      <c r="M89" s="1611"/>
      <c r="N89" s="1673" t="s">
        <v>1530</v>
      </c>
      <c r="O89" s="1674">
        <f>IFERROR(IF(F89="",0,VLOOKUP(N89,Validacion!$U$2:$V$5,2,0)),"")</f>
        <v>0</v>
      </c>
      <c r="P89" s="1611"/>
      <c r="Q89" s="1668" t="s">
        <v>818</v>
      </c>
      <c r="R89" s="1675">
        <f>IF(OR($F$27="Conecta Pymes Centralita ADSL, 8+",$F$27="Conecta Pymes Centralita FTTH, 8+"),0,VLOOKUP(Q89,Validacion!$W$2:$X$4,2,0))</f>
        <v>0</v>
      </c>
      <c r="S89" s="1612"/>
      <c r="T89" s="1674" t="str">
        <f t="shared" si="4"/>
        <v/>
      </c>
    </row>
    <row r="90" spans="2:20">
      <c r="B90" s="1597">
        <f t="shared" si="5"/>
        <v>41</v>
      </c>
      <c r="C90" s="1668"/>
      <c r="D90" s="2205"/>
      <c r="E90" s="2205"/>
      <c r="F90" s="1669"/>
      <c r="G90" s="1670" t="str">
        <f t="shared" si="2"/>
        <v/>
      </c>
      <c r="H90" s="1671" t="str">
        <f>IF(F90&gt;="A",VLOOKUP(F90,Validacion!$Q$2:$R$9,2,0),"")</f>
        <v/>
      </c>
      <c r="I90" s="1672" t="str">
        <f t="shared" si="3"/>
        <v/>
      </c>
      <c r="J90" s="1600"/>
      <c r="K90" s="1673" t="s">
        <v>1529</v>
      </c>
      <c r="L90" s="1674">
        <f>IFERROR(IF(F90="",0,VLOOKUP(K90,Validacion!$S$2:$T$5,2,0)),"")</f>
        <v>0</v>
      </c>
      <c r="M90" s="1611"/>
      <c r="N90" s="1673" t="s">
        <v>1530</v>
      </c>
      <c r="O90" s="1674">
        <f>IFERROR(IF(F90="",0,VLOOKUP(N90,Validacion!$U$2:$V$5,2,0)),"")</f>
        <v>0</v>
      </c>
      <c r="P90" s="1611"/>
      <c r="Q90" s="1668" t="s">
        <v>818</v>
      </c>
      <c r="R90" s="1675">
        <f>IF(OR($F$27="Conecta Pymes Centralita ADSL, 8+",$F$27="Conecta Pymes Centralita FTTH, 8+"),0,VLOOKUP(Q90,Validacion!$W$2:$X$4,2,0))</f>
        <v>0</v>
      </c>
      <c r="S90" s="1612"/>
      <c r="T90" s="1674" t="str">
        <f t="shared" si="4"/>
        <v/>
      </c>
    </row>
    <row r="91" spans="2:20">
      <c r="B91" s="1597">
        <f t="shared" si="5"/>
        <v>42</v>
      </c>
      <c r="C91" s="1668"/>
      <c r="D91" s="2205"/>
      <c r="E91" s="2205"/>
      <c r="F91" s="1669"/>
      <c r="G91" s="1670" t="str">
        <f t="shared" si="2"/>
        <v/>
      </c>
      <c r="H91" s="1671" t="str">
        <f>IF(F91&gt;="A",VLOOKUP(F91,Validacion!$Q$2:$R$9,2,0),"")</f>
        <v/>
      </c>
      <c r="I91" s="1672" t="str">
        <f t="shared" si="3"/>
        <v/>
      </c>
      <c r="J91" s="1600"/>
      <c r="K91" s="1673" t="s">
        <v>1529</v>
      </c>
      <c r="L91" s="1674">
        <f>IFERROR(IF(F91="",0,VLOOKUP(K91,Validacion!$S$2:$T$5,2,0)),"")</f>
        <v>0</v>
      </c>
      <c r="M91" s="1611"/>
      <c r="N91" s="1673" t="s">
        <v>1530</v>
      </c>
      <c r="O91" s="1674">
        <f>IFERROR(IF(F91="",0,VLOOKUP(N91,Validacion!$U$2:$V$5,2,0)),"")</f>
        <v>0</v>
      </c>
      <c r="P91" s="1611"/>
      <c r="Q91" s="1668" t="s">
        <v>818</v>
      </c>
      <c r="R91" s="1675">
        <f>IF(OR($F$27="Conecta Pymes Centralita ADSL, 8+",$F$27="Conecta Pymes Centralita FTTH, 8+"),0,VLOOKUP(Q91,Validacion!$W$2:$X$4,2,0))</f>
        <v>0</v>
      </c>
      <c r="S91" s="1612"/>
      <c r="T91" s="1674" t="str">
        <f t="shared" si="4"/>
        <v/>
      </c>
    </row>
    <row r="92" spans="2:20">
      <c r="B92" s="1597">
        <f t="shared" si="5"/>
        <v>43</v>
      </c>
      <c r="C92" s="1668"/>
      <c r="D92" s="2205"/>
      <c r="E92" s="2205"/>
      <c r="F92" s="1669"/>
      <c r="G92" s="1670" t="str">
        <f t="shared" si="2"/>
        <v/>
      </c>
      <c r="H92" s="1671" t="str">
        <f>IF(F92&gt;="A",VLOOKUP(F92,Validacion!$Q$2:$R$9,2,0),"")</f>
        <v/>
      </c>
      <c r="I92" s="1672" t="str">
        <f t="shared" si="3"/>
        <v/>
      </c>
      <c r="J92" s="1600"/>
      <c r="K92" s="1673" t="s">
        <v>1529</v>
      </c>
      <c r="L92" s="1674">
        <f>IFERROR(IF(F92="",0,VLOOKUP(K92,Validacion!$S$2:$T$5,2,0)),"")</f>
        <v>0</v>
      </c>
      <c r="M92" s="1611"/>
      <c r="N92" s="1673" t="s">
        <v>1530</v>
      </c>
      <c r="O92" s="1674">
        <f>IFERROR(IF(F92="",0,VLOOKUP(N92,Validacion!$U$2:$V$5,2,0)),"")</f>
        <v>0</v>
      </c>
      <c r="P92" s="1611"/>
      <c r="Q92" s="1668" t="s">
        <v>818</v>
      </c>
      <c r="R92" s="1675">
        <f>IF(OR($F$27="Conecta Pymes Centralita ADSL, 8+",$F$27="Conecta Pymes Centralita FTTH, 8+"),0,VLOOKUP(Q92,Validacion!$W$2:$X$4,2,0))</f>
        <v>0</v>
      </c>
      <c r="S92" s="1612"/>
      <c r="T92" s="1674" t="str">
        <f t="shared" si="4"/>
        <v/>
      </c>
    </row>
    <row r="93" spans="2:20">
      <c r="B93" s="1597">
        <f t="shared" si="5"/>
        <v>44</v>
      </c>
      <c r="C93" s="1668"/>
      <c r="D93" s="2205"/>
      <c r="E93" s="2205"/>
      <c r="F93" s="1669"/>
      <c r="G93" s="1670" t="str">
        <f t="shared" si="2"/>
        <v/>
      </c>
      <c r="H93" s="1671" t="str">
        <f>IF(F93&gt;="A",VLOOKUP(F93,Validacion!$Q$2:$R$9,2,0),"")</f>
        <v/>
      </c>
      <c r="I93" s="1672" t="str">
        <f t="shared" si="3"/>
        <v/>
      </c>
      <c r="J93" s="1600"/>
      <c r="K93" s="1673" t="s">
        <v>1529</v>
      </c>
      <c r="L93" s="1674">
        <f>IFERROR(IF(F93="",0,VLOOKUP(K93,Validacion!$S$2:$T$5,2,0)),"")</f>
        <v>0</v>
      </c>
      <c r="M93" s="1611"/>
      <c r="N93" s="1673" t="s">
        <v>1530</v>
      </c>
      <c r="O93" s="1674">
        <f>IFERROR(IF(F93="",0,VLOOKUP(N93,Validacion!$U$2:$V$5,2,0)),"")</f>
        <v>0</v>
      </c>
      <c r="P93" s="1611"/>
      <c r="Q93" s="1668" t="s">
        <v>818</v>
      </c>
      <c r="R93" s="1675">
        <f>IF(OR($F$27="Conecta Pymes Centralita ADSL, 8+",$F$27="Conecta Pymes Centralita FTTH, 8+"),0,VLOOKUP(Q93,Validacion!$W$2:$X$4,2,0))</f>
        <v>0</v>
      </c>
      <c r="S93" s="1612"/>
      <c r="T93" s="1674" t="str">
        <f t="shared" si="4"/>
        <v/>
      </c>
    </row>
    <row r="94" spans="2:20">
      <c r="B94" s="1597">
        <f t="shared" si="5"/>
        <v>45</v>
      </c>
      <c r="C94" s="1668"/>
      <c r="D94" s="2205"/>
      <c r="E94" s="2205"/>
      <c r="F94" s="1669"/>
      <c r="G94" s="1670" t="str">
        <f t="shared" si="2"/>
        <v/>
      </c>
      <c r="H94" s="1671" t="str">
        <f>IF(F94&gt;="A",VLOOKUP(F94,Validacion!$Q$2:$R$9,2,0),"")</f>
        <v/>
      </c>
      <c r="I94" s="1672" t="str">
        <f t="shared" si="3"/>
        <v/>
      </c>
      <c r="J94" s="1600"/>
      <c r="K94" s="1673" t="s">
        <v>1529</v>
      </c>
      <c r="L94" s="1674">
        <f>IFERROR(IF(F94="",0,VLOOKUP(K94,Validacion!$S$2:$T$5,2,0)),"")</f>
        <v>0</v>
      </c>
      <c r="M94" s="1611"/>
      <c r="N94" s="1673" t="s">
        <v>1530</v>
      </c>
      <c r="O94" s="1674">
        <f>IFERROR(IF(F94="",0,VLOOKUP(N94,Validacion!$U$2:$V$5,2,0)),"")</f>
        <v>0</v>
      </c>
      <c r="P94" s="1611"/>
      <c r="Q94" s="1668" t="s">
        <v>818</v>
      </c>
      <c r="R94" s="1675">
        <f>IF(OR($F$27="Conecta Pymes Centralita ADSL, 8+",$F$27="Conecta Pymes Centralita FTTH, 8+"),0,VLOOKUP(Q94,Validacion!$W$2:$X$4,2,0))</f>
        <v>0</v>
      </c>
      <c r="S94" s="1612"/>
      <c r="T94" s="1674" t="str">
        <f t="shared" si="4"/>
        <v/>
      </c>
    </row>
    <row r="95" spans="2:20" ht="6.75" customHeight="1">
      <c r="C95" s="1576"/>
      <c r="D95" s="1576"/>
      <c r="F95" s="1577"/>
      <c r="G95" s="1613"/>
      <c r="I95" s="1551"/>
    </row>
    <row r="96" spans="2:20" ht="15" customHeight="1">
      <c r="P96" s="1559"/>
      <c r="Q96" s="1559"/>
      <c r="R96" s="1573" t="s">
        <v>1534</v>
      </c>
      <c r="S96" s="1559"/>
      <c r="T96" s="1575">
        <f>SUM(T50:T94)</f>
        <v>0</v>
      </c>
    </row>
    <row r="97" spans="3:23" s="1559" customFormat="1" ht="15.75" customHeight="1">
      <c r="C97" s="1579"/>
      <c r="D97" s="1579"/>
      <c r="F97" s="1559" t="s">
        <v>1535</v>
      </c>
      <c r="G97" s="1555"/>
      <c r="I97" s="1560"/>
      <c r="R97" s="1573"/>
      <c r="T97" s="1571"/>
      <c r="W97" s="1561"/>
    </row>
    <row r="98" spans="3:23" ht="5.25" customHeight="1">
      <c r="C98" s="1614"/>
      <c r="D98" s="1614"/>
      <c r="F98" s="1615"/>
      <c r="G98" s="1616"/>
      <c r="H98" s="1617"/>
      <c r="I98" s="1618"/>
      <c r="J98" s="1617"/>
      <c r="K98" s="1617"/>
      <c r="L98" s="1617"/>
      <c r="M98" s="1617"/>
      <c r="N98" s="1617"/>
      <c r="O98" s="1617"/>
      <c r="P98" s="1619"/>
      <c r="Q98" s="1619"/>
      <c r="R98" s="1620"/>
      <c r="S98" s="1619"/>
      <c r="T98" s="1621"/>
    </row>
    <row r="99" spans="3:23" s="1559" customFormat="1" ht="15">
      <c r="C99" s="1622" t="s">
        <v>1536</v>
      </c>
      <c r="D99" s="1556" t="e">
        <f>VLOOKUP($F$27,Validacion!$L$2:$P$7,3,0)</f>
        <v>#N/A</v>
      </c>
      <c r="E99" s="1622"/>
      <c r="F99" s="1623" t="s">
        <v>1537</v>
      </c>
      <c r="G99" s="1624">
        <f>COUNTA($F$50:$F$94)</f>
        <v>0</v>
      </c>
      <c r="H99" s="1625" t="str">
        <f>IFERROR(IF(G99&lt;=D99,"OK","ERROR"),"")</f>
        <v/>
      </c>
      <c r="I99" s="1626" t="str">
        <f>IF(H99="ERROR","El número total de puestos excede el máximo permitido para esta modalidad de Cpyme Centralita ("&amp;D99&amp;"): eliminar alguno o seleccionar una modalidad superior","Correcto: número de puestos totales no supera el máximo permitido para esta modalidad")</f>
        <v>Correcto: número de puestos totales no supera el máximo permitido para esta modalidad</v>
      </c>
      <c r="J99" s="1627"/>
      <c r="K99" s="1627"/>
      <c r="L99" s="1627"/>
      <c r="M99" s="1627"/>
      <c r="N99" s="1627"/>
      <c r="O99" s="1627"/>
      <c r="P99" s="1627"/>
      <c r="Q99" s="1627"/>
      <c r="R99" s="1627"/>
      <c r="S99" s="1627"/>
      <c r="T99" s="1628"/>
      <c r="W99" s="1561"/>
    </row>
    <row r="100" spans="3:23" s="1559" customFormat="1" ht="15">
      <c r="C100" s="1622" t="s">
        <v>1538</v>
      </c>
      <c r="D100" s="1556" t="e">
        <f>VLOOKUP($F$27,Validacion!$L$2:$P$7,4,0)</f>
        <v>#N/A</v>
      </c>
      <c r="E100" s="1622"/>
      <c r="F100" s="1623" t="s">
        <v>1539</v>
      </c>
      <c r="G100" s="1624">
        <f>COUNTIF(F50:F94,"Puesto Móvil")</f>
        <v>0</v>
      </c>
      <c r="H100" s="1625" t="str">
        <f>IF(G99=0,"OK",(IF(G100&gt;D100,"ERROR","OK")))</f>
        <v>OK</v>
      </c>
      <c r="I100" s="1629" t="str">
        <f>IF(H100="ERROR","Error: se ha superado el máximo de puestos móviles permitido ("&amp;D100&amp;") y hay que reducir su número","Correcto: el número de puestos móviles no supera el límite permitido para la modalidad")</f>
        <v>Correcto: el número de puestos móviles no supera el límite permitido para la modalidad</v>
      </c>
      <c r="J100" s="1627"/>
      <c r="K100" s="1627"/>
      <c r="L100" s="1627"/>
      <c r="M100" s="1627"/>
      <c r="N100" s="1627"/>
      <c r="O100" s="1627"/>
      <c r="P100" s="1627"/>
      <c r="Q100" s="1627"/>
      <c r="R100" s="1627"/>
      <c r="S100" s="1627"/>
      <c r="T100" s="1628"/>
      <c r="W100" s="1561"/>
    </row>
    <row r="101" spans="3:23" s="1559" customFormat="1" ht="15">
      <c r="C101" s="1622"/>
      <c r="D101" s="1556" t="str">
        <f>IF((G99-G100)&lt;1,"ERROR","OK")</f>
        <v>ERROR</v>
      </c>
      <c r="E101" s="1622"/>
      <c r="F101" s="1623" t="s">
        <v>1540</v>
      </c>
      <c r="G101" s="1624">
        <f>+G99-G100</f>
        <v>0</v>
      </c>
      <c r="H101" s="1625" t="str">
        <f>IF(G99=0,"OK",IF(G101&gt;=1,"OK","ERROR"))</f>
        <v>OK</v>
      </c>
      <c r="I101" s="1629" t="str">
        <f>IF(H101&gt;="OK","Correcto: al menos hay un puesto fijo","Error: se necesita incluir al menos un puesto fijo")</f>
        <v>Correcto: al menos hay un puesto fijo</v>
      </c>
      <c r="J101" s="1627"/>
      <c r="K101" s="1627"/>
      <c r="L101" s="1627"/>
      <c r="M101" s="1627"/>
      <c r="N101" s="1627"/>
      <c r="O101" s="1627"/>
      <c r="P101" s="1627"/>
      <c r="Q101" s="1627"/>
      <c r="R101" s="1627"/>
      <c r="S101" s="1627"/>
      <c r="T101" s="1628"/>
      <c r="W101" s="1561"/>
    </row>
    <row r="102" spans="3:23" s="1559" customFormat="1" ht="5.25" customHeight="1">
      <c r="C102" s="1579"/>
      <c r="D102" s="1556"/>
      <c r="E102" s="1622"/>
      <c r="F102" s="1623"/>
      <c r="G102" s="1630"/>
      <c r="H102" s="1625"/>
      <c r="I102" s="1629"/>
      <c r="J102" s="1627"/>
      <c r="K102" s="1627"/>
      <c r="L102" s="1627"/>
      <c r="M102" s="1627"/>
      <c r="N102" s="1627"/>
      <c r="O102" s="1627"/>
      <c r="P102" s="1627"/>
      <c r="Q102" s="1627"/>
      <c r="R102" s="1627"/>
      <c r="S102" s="1627"/>
      <c r="T102" s="1628"/>
      <c r="W102" s="1561"/>
    </row>
    <row r="103" spans="3:23" s="1559" customFormat="1" ht="15">
      <c r="D103" s="1556"/>
      <c r="E103" s="1622"/>
      <c r="F103" s="1623" t="s">
        <v>1541</v>
      </c>
      <c r="G103" s="1624">
        <f>COUNTIF(C50:C94,"Núm. Nuevo")</f>
        <v>0</v>
      </c>
      <c r="H103" s="1625"/>
      <c r="I103" s="1629"/>
      <c r="J103" s="1627"/>
      <c r="K103" s="1627"/>
      <c r="L103" s="1627"/>
      <c r="M103" s="1627"/>
      <c r="N103" s="1627"/>
      <c r="O103" s="1627"/>
      <c r="P103" s="1627"/>
      <c r="Q103" s="1627"/>
      <c r="R103" s="1627"/>
      <c r="S103" s="1627"/>
      <c r="T103" s="1628"/>
      <c r="W103" s="1561"/>
    </row>
    <row r="104" spans="3:23" s="1559" customFormat="1" ht="15">
      <c r="D104" s="1556"/>
      <c r="E104" s="1622"/>
      <c r="F104" s="1623" t="s">
        <v>1542</v>
      </c>
      <c r="G104" s="1624">
        <f>COUNTIF(C50:C94,"Núm. Portado")</f>
        <v>0</v>
      </c>
      <c r="H104" s="1625"/>
      <c r="I104" s="1629"/>
      <c r="J104" s="1627"/>
      <c r="K104" s="1627"/>
      <c r="L104" s="1627"/>
      <c r="M104" s="1627"/>
      <c r="N104" s="1627"/>
      <c r="O104" s="1627"/>
      <c r="P104" s="1627"/>
      <c r="Q104" s="1627"/>
      <c r="R104" s="1627"/>
      <c r="S104" s="1627"/>
      <c r="T104" s="1628"/>
      <c r="W104" s="1561"/>
    </row>
    <row r="105" spans="3:23" s="1559" customFormat="1" ht="15">
      <c r="D105" s="1556"/>
      <c r="E105" s="1622"/>
      <c r="F105" s="1623"/>
      <c r="G105" s="1624">
        <f>SUM(G103:G104)</f>
        <v>0</v>
      </c>
      <c r="H105" s="1625" t="str">
        <f>IF(G99=G105,"OK","ERROR")</f>
        <v>OK</v>
      </c>
      <c r="I105" s="1626" t="str">
        <f>IF(H105="ERROR","Revisar si se han descrito la numeración asignada a todos y cada uno de los Puestos de la lista: hay "&amp;G99&amp;" puestos, y se ha especificado la numeración para "&amp;G105&amp;" de ellos","Correcto: se ha descrito la numeración deseada para cada uno de los puestos")</f>
        <v>Correcto: se ha descrito la numeración deseada para cada uno de los puestos</v>
      </c>
      <c r="J105" s="1627"/>
      <c r="K105" s="1627"/>
      <c r="L105" s="1627"/>
      <c r="M105" s="1627"/>
      <c r="N105" s="1627"/>
      <c r="O105" s="1627"/>
      <c r="P105" s="1627"/>
      <c r="Q105" s="1627"/>
      <c r="R105" s="1627"/>
      <c r="S105" s="1627"/>
      <c r="T105" s="1628"/>
      <c r="W105" s="1561"/>
    </row>
    <row r="106" spans="3:23" ht="5.25" customHeight="1">
      <c r="D106" s="1631"/>
      <c r="F106" s="1632"/>
      <c r="G106" s="1633"/>
      <c r="H106" s="1634"/>
      <c r="I106" s="1635"/>
      <c r="J106" s="1634"/>
      <c r="K106" s="1634"/>
      <c r="L106" s="1634"/>
      <c r="M106" s="1634"/>
      <c r="N106" s="1634"/>
      <c r="O106" s="1634"/>
      <c r="P106" s="1634"/>
      <c r="Q106" s="1634"/>
      <c r="R106" s="1634"/>
      <c r="S106" s="1634"/>
      <c r="T106" s="1636"/>
    </row>
    <row r="110" spans="3:23" ht="15" thickBot="1"/>
    <row r="111" spans="3:23" ht="15" thickBot="1">
      <c r="C111" s="2188" t="s">
        <v>1719</v>
      </c>
      <c r="D111" s="2189"/>
    </row>
    <row r="112" spans="3:23" ht="18.75" customHeight="1">
      <c r="C112" s="1689" t="s">
        <v>1367</v>
      </c>
      <c r="D112" s="1693">
        <f>COUNTIF($K$50:$K$94,"3.000 min/mes")</f>
        <v>0</v>
      </c>
    </row>
    <row r="113" spans="3:4" ht="18.75" customHeight="1">
      <c r="C113" s="1691" t="s">
        <v>1368</v>
      </c>
      <c r="D113" s="1694">
        <f>COUNTIF($K$50:$K$94,"4.500 min/mes")</f>
        <v>0</v>
      </c>
    </row>
    <row r="114" spans="3:4" ht="18.75" customHeight="1">
      <c r="C114" s="1690" t="s">
        <v>1369</v>
      </c>
      <c r="D114" s="1695">
        <f>COUNTIF($K$50:$K$94,"6.000 min/mes")</f>
        <v>0</v>
      </c>
    </row>
    <row r="115" spans="3:4" ht="18.75" customHeight="1">
      <c r="C115" s="1691" t="s">
        <v>1338</v>
      </c>
      <c r="D115" s="1694">
        <f>COUNTIF($N$50:$N$94,"120 min/mes")</f>
        <v>0</v>
      </c>
    </row>
    <row r="116" spans="3:4" ht="18.75" customHeight="1">
      <c r="C116" s="1690" t="s">
        <v>1339</v>
      </c>
      <c r="D116" s="1695">
        <f>COUNTIF($N$50:$N$94,"240 min/mes")</f>
        <v>0</v>
      </c>
    </row>
    <row r="117" spans="3:4" ht="18.75" customHeight="1" thickBot="1">
      <c r="C117" s="1692" t="s">
        <v>1340</v>
      </c>
      <c r="D117" s="1696">
        <f>COUNTIF($N$50:$N$94,"600 min/mes")</f>
        <v>0</v>
      </c>
    </row>
    <row r="118" spans="3:4" ht="18.75" customHeight="1">
      <c r="C118" s="1689" t="s">
        <v>1341</v>
      </c>
      <c r="D118" s="1697">
        <f>H32</f>
        <v>0</v>
      </c>
    </row>
    <row r="119" spans="3:4" ht="18.75" customHeight="1">
      <c r="C119" s="1691" t="s">
        <v>1342</v>
      </c>
      <c r="D119" s="1698">
        <f>H33</f>
        <v>0</v>
      </c>
    </row>
    <row r="120" spans="3:4" ht="18.75" customHeight="1">
      <c r="C120" s="1690" t="s">
        <v>1343</v>
      </c>
      <c r="D120" s="1699">
        <f>H34</f>
        <v>0</v>
      </c>
    </row>
    <row r="121" spans="3:4" ht="18.75" customHeight="1" thickBot="1">
      <c r="C121" s="1692" t="s">
        <v>1344</v>
      </c>
      <c r="D121" s="1700">
        <f>H35</f>
        <v>0</v>
      </c>
    </row>
    <row r="122" spans="3:4" ht="18.75" customHeight="1">
      <c r="C122" s="1689" t="s">
        <v>1432</v>
      </c>
      <c r="D122" s="1693">
        <f>COUNTIF($F$50:$F$94,Validacion!Q4)</f>
        <v>0</v>
      </c>
    </row>
    <row r="123" spans="3:4" ht="18.75" customHeight="1">
      <c r="C123" s="1691" t="s">
        <v>1329</v>
      </c>
      <c r="D123" s="1694">
        <f>COUNTIF($F$50:$F$94,Validacion!Q5)</f>
        <v>0</v>
      </c>
    </row>
    <row r="124" spans="3:4" ht="18.75" customHeight="1">
      <c r="C124" s="1690" t="s">
        <v>1433</v>
      </c>
      <c r="D124" s="1695">
        <f>COUNTIF($F$50:$F$94,Validacion!Q3)</f>
        <v>0</v>
      </c>
    </row>
    <row r="125" spans="3:4" ht="18.75" customHeight="1">
      <c r="C125" s="1691" t="s">
        <v>1331</v>
      </c>
      <c r="D125" s="1694">
        <f>COUNTIF($F$50:$F$94,Validacion!Q2)</f>
        <v>0</v>
      </c>
    </row>
    <row r="126" spans="3:4" ht="18.75" customHeight="1">
      <c r="C126" s="1690" t="s">
        <v>1332</v>
      </c>
      <c r="D126" s="1695">
        <f>COUNTIF($F$50:$F$94,Validacion!Q6)</f>
        <v>0</v>
      </c>
    </row>
    <row r="127" spans="3:4" ht="18.75" customHeight="1">
      <c r="C127" s="1691" t="s">
        <v>1366</v>
      </c>
      <c r="D127" s="1694">
        <f>COUNTIF($F$50:$F$94,Validacion!Q7)</f>
        <v>0</v>
      </c>
    </row>
    <row r="128" spans="3:4" ht="18.75" customHeight="1">
      <c r="C128" s="1690" t="s">
        <v>1334</v>
      </c>
      <c r="D128" s="1695">
        <f>COUNTIF($F$50:$F$94,Validacion!Q8)</f>
        <v>0</v>
      </c>
    </row>
    <row r="129" spans="3:4" ht="18.75" customHeight="1" thickBot="1">
      <c r="C129" s="1692" t="s">
        <v>1327</v>
      </c>
      <c r="D129" s="1696">
        <f>COUNTIF($F$50:$F$94,Validacion!Q9)</f>
        <v>0</v>
      </c>
    </row>
    <row r="131" spans="3:4">
      <c r="D131" s="1600"/>
    </row>
    <row r="133" spans="3:4">
      <c r="D133" s="1600"/>
    </row>
    <row r="135" spans="3:4">
      <c r="D135" s="1600"/>
    </row>
    <row r="137" spans="3:4">
      <c r="D137" s="1600"/>
    </row>
    <row r="139" spans="3:4">
      <c r="D139" s="1600"/>
    </row>
    <row r="141" spans="3:4">
      <c r="D141" s="1600"/>
    </row>
    <row r="143" spans="3:4">
      <c r="D143" s="1600"/>
    </row>
    <row r="145" spans="4:4">
      <c r="D145" s="1600"/>
    </row>
  </sheetData>
  <sheetProtection algorithmName="SHA-512" hashValue="B0W0Z7nIttnGbi/Cx8ubriYBK/afghIwAeM2ciGnBWkV1kAc78CXL/pRYk1MWmyy6y8OyTcbVF1+0bOE/pT5eA==" saltValue="LaO2geyeVct9uo32HvyFtA==" spinCount="100000" sheet="1" selectLockedCells="1"/>
  <dataConsolidate/>
  <mergeCells count="88">
    <mergeCell ref="D93:E93"/>
    <mergeCell ref="D94:E94"/>
    <mergeCell ref="D87:E87"/>
    <mergeCell ref="D88:E88"/>
    <mergeCell ref="D89:E89"/>
    <mergeCell ref="D90:E90"/>
    <mergeCell ref="D91:E91"/>
    <mergeCell ref="D92:E92"/>
    <mergeCell ref="D86:E86"/>
    <mergeCell ref="D75:E75"/>
    <mergeCell ref="D76:E76"/>
    <mergeCell ref="D77:E77"/>
    <mergeCell ref="D78:E78"/>
    <mergeCell ref="D79:E79"/>
    <mergeCell ref="D80:E80"/>
    <mergeCell ref="D81:E81"/>
    <mergeCell ref="D82:E82"/>
    <mergeCell ref="D83:E83"/>
    <mergeCell ref="D84:E84"/>
    <mergeCell ref="D85:E85"/>
    <mergeCell ref="D74:E74"/>
    <mergeCell ref="D63:E63"/>
    <mergeCell ref="D64:E64"/>
    <mergeCell ref="D65:E65"/>
    <mergeCell ref="D66:E66"/>
    <mergeCell ref="D67:E67"/>
    <mergeCell ref="D68:E68"/>
    <mergeCell ref="D69:E69"/>
    <mergeCell ref="D70:E70"/>
    <mergeCell ref="D71:E71"/>
    <mergeCell ref="D72:E72"/>
    <mergeCell ref="D73:E73"/>
    <mergeCell ref="K48:R48"/>
    <mergeCell ref="T48:T49"/>
    <mergeCell ref="D49:E49"/>
    <mergeCell ref="D62:E62"/>
    <mergeCell ref="D51:E51"/>
    <mergeCell ref="D52:E52"/>
    <mergeCell ref="D53:E53"/>
    <mergeCell ref="D54:E54"/>
    <mergeCell ref="D55:E55"/>
    <mergeCell ref="D56:E56"/>
    <mergeCell ref="D57:E57"/>
    <mergeCell ref="D58:E58"/>
    <mergeCell ref="D59:E59"/>
    <mergeCell ref="D60:E60"/>
    <mergeCell ref="D61:E61"/>
    <mergeCell ref="D50:E50"/>
    <mergeCell ref="D44:E44"/>
    <mergeCell ref="B46:D46"/>
    <mergeCell ref="C48:I48"/>
    <mergeCell ref="B26:D26"/>
    <mergeCell ref="F26:G26"/>
    <mergeCell ref="B31:D31"/>
    <mergeCell ref="B38:D38"/>
    <mergeCell ref="D41:E41"/>
    <mergeCell ref="D42:E42"/>
    <mergeCell ref="D43:E43"/>
    <mergeCell ref="P26:Q26"/>
    <mergeCell ref="F27:G27"/>
    <mergeCell ref="P27:Q27"/>
    <mergeCell ref="L23:Q23"/>
    <mergeCell ref="R23:T23"/>
    <mergeCell ref="B24:G24"/>
    <mergeCell ref="H24:K24"/>
    <mergeCell ref="L24:Q24"/>
    <mergeCell ref="R24:T24"/>
    <mergeCell ref="B6:T6"/>
    <mergeCell ref="B19:C19"/>
    <mergeCell ref="D19:G19"/>
    <mergeCell ref="H19:L19"/>
    <mergeCell ref="M19:T19"/>
    <mergeCell ref="B20:C20"/>
    <mergeCell ref="D20:G20"/>
    <mergeCell ref="H20:L20"/>
    <mergeCell ref="M20:T20"/>
    <mergeCell ref="C111:D111"/>
    <mergeCell ref="B21:F21"/>
    <mergeCell ref="G21:I21"/>
    <mergeCell ref="J21:L21"/>
    <mergeCell ref="M21:T21"/>
    <mergeCell ref="B22:F22"/>
    <mergeCell ref="G22:I22"/>
    <mergeCell ref="J22:L22"/>
    <mergeCell ref="M22:T22"/>
    <mergeCell ref="N30:Q30"/>
    <mergeCell ref="B23:G23"/>
    <mergeCell ref="H23:K23"/>
  </mergeCells>
  <conditionalFormatting sqref="K50:K94">
    <cfRule type="expression" dxfId="49" priority="15">
      <formula>F50=""</formula>
    </cfRule>
  </conditionalFormatting>
  <conditionalFormatting sqref="O50:O94">
    <cfRule type="expression" dxfId="48" priority="14">
      <formula>I50=""</formula>
    </cfRule>
  </conditionalFormatting>
  <conditionalFormatting sqref="N50:N94">
    <cfRule type="expression" dxfId="47" priority="13">
      <formula>I50=""</formula>
    </cfRule>
  </conditionalFormatting>
  <conditionalFormatting sqref="Q50:Q94">
    <cfRule type="expression" dxfId="46" priority="12">
      <formula>I50=""</formula>
    </cfRule>
  </conditionalFormatting>
  <conditionalFormatting sqref="G99">
    <cfRule type="expression" dxfId="45" priority="16">
      <formula>H99&lt;&gt;"ERROR"</formula>
    </cfRule>
    <cfRule type="expression" dxfId="44" priority="17">
      <formula>H99="ERROR"</formula>
    </cfRule>
  </conditionalFormatting>
  <conditionalFormatting sqref="G100">
    <cfRule type="expression" dxfId="43" priority="11">
      <formula>H100&lt;&gt;"ERROR"</formula>
    </cfRule>
    <cfRule type="expression" dxfId="42" priority="18">
      <formula>H100="ERROR"</formula>
    </cfRule>
  </conditionalFormatting>
  <conditionalFormatting sqref="H99:H105">
    <cfRule type="cellIs" dxfId="41" priority="9" operator="notEqual">
      <formula>"ERROR"</formula>
    </cfRule>
    <cfRule type="cellIs" dxfId="40" priority="10" operator="equal">
      <formula>"ERROR"</formula>
    </cfRule>
  </conditionalFormatting>
  <conditionalFormatting sqref="I99">
    <cfRule type="expression" dxfId="39" priority="8">
      <formula>$H$99="ERROR"</formula>
    </cfRule>
  </conditionalFormatting>
  <conditionalFormatting sqref="I100">
    <cfRule type="expression" dxfId="38" priority="7">
      <formula>$H$100="ERROR"</formula>
    </cfRule>
  </conditionalFormatting>
  <conditionalFormatting sqref="I101:I104">
    <cfRule type="expression" dxfId="37" priority="6">
      <formula>$H$101="ERROR"</formula>
    </cfRule>
  </conditionalFormatting>
  <conditionalFormatting sqref="G105">
    <cfRule type="expression" dxfId="36" priority="4">
      <formula>H105&lt;&gt;"ERROR"</formula>
    </cfRule>
    <cfRule type="expression" dxfId="35" priority="5">
      <formula>H105="ERROR"</formula>
    </cfRule>
  </conditionalFormatting>
  <conditionalFormatting sqref="I105">
    <cfRule type="expression" dxfId="34" priority="3">
      <formula>$H$105="ERROR"</formula>
    </cfRule>
  </conditionalFormatting>
  <conditionalFormatting sqref="L50:L94">
    <cfRule type="expression" dxfId="33" priority="2">
      <formula>F50=""</formula>
    </cfRule>
  </conditionalFormatting>
  <conditionalFormatting sqref="R50:R94">
    <cfRule type="expression" dxfId="32" priority="1">
      <formula>I50=""</formula>
    </cfRule>
  </conditionalFormatting>
  <dataValidations count="13">
    <dataValidation type="list" allowBlank="1" showInputMessage="1" showErrorMessage="1" sqref="Q50:Q94">
      <formula1>IF(F50="Puesto Móvil",BONOS_EUROPA2,BONOS_EUROPA)</formula1>
    </dataValidation>
    <dataValidation allowBlank="1" showInputMessage="1" showErrorMessage="1" prompt="Escribir el número de cabecera sólo en el caso de que sea Portado" sqref="G41:G44"/>
    <dataValidation type="list" allowBlank="1" showInputMessage="1" showErrorMessage="1" prompt="Elegir una de las Tarifas Planas" sqref="K50:K94">
      <formula1>TTPP_FIJO</formula1>
    </dataValidation>
    <dataValidation type="list" allowBlank="1" showInputMessage="1" showErrorMessage="1" prompt="Elegir uno de los siguientes terminales" sqref="F50:F94">
      <formula1>Terminales</formula1>
    </dataValidation>
    <dataValidation type="list" allowBlank="1" showInputMessage="1" showErrorMessage="1" error="Esta celda solo puede tomar el valor &quot;Cabecera&quot; o vacío, ningún otro._x000a_" sqref="D45:E45">
      <formula1>"Cabecera"</formula1>
    </dataValidation>
    <dataValidation type="whole" operator="lessThanOrEqual" allowBlank="1" showInputMessage="1" showErrorMessage="1" sqref="G100 G103:G105">
      <formula1>G106</formula1>
    </dataValidation>
    <dataValidation type="list" allowBlank="1" showInputMessage="1" showErrorMessage="1" sqref="N50:N94">
      <formula1>BONOS_FIJO_A_MOVIL</formula1>
    </dataValidation>
    <dataValidation type="list" allowBlank="1" showInputMessage="1" showErrorMessage="1" sqref="S27:S29 L27:M29 F27">
      <formula1>MODALIDAD</formula1>
    </dataValidation>
    <dataValidation type="list" allowBlank="1" showInputMessage="1" showErrorMessage="1" errorTitle="Valor incorrecto" error="No puede haber más de una locución de bienvenida por sede" sqref="H32">
      <formula1>"0,1"</formula1>
    </dataValidation>
    <dataValidation type="list" allowBlank="1" showInputMessage="1" showErrorMessage="1" errorTitle="Valor incorrecto" error="No puede haber más de un SVA por sede" sqref="H33">
      <formula1>"0,1"</formula1>
    </dataValidation>
    <dataValidation type="list" allowBlank="1" showInputMessage="1" showErrorMessage="1" errorTitle="Valor incorrecto" error="No puede haber más de una línea para datáfono por sede" sqref="H35">
      <formula1>"0,1"</formula1>
    </dataValidation>
    <dataValidation type="whole" allowBlank="1" showInputMessage="1" showErrorMessage="1" errorTitle="Valor incorrecto" error="No puede haber más servicios Premium que puestos" promptTitle="Campos requeridos" prompt="Antes de introducir un valor en este campo, debe completar la información de puestos asociados a la sede" sqref="H34">
      <formula1>0</formula1>
      <formula2>SUM(D122:D129)</formula2>
    </dataValidation>
    <dataValidation type="list" allowBlank="1" showInputMessage="1" showErrorMessage="1" sqref="C50:C94">
      <formula1>Cabecera</formula1>
    </dataValidation>
  </dataValidations>
  <printOptions horizontalCentered="1" verticalCentered="1"/>
  <pageMargins left="0.23622047244094491" right="0.23622047244094491" top="0.35433070866141736" bottom="0.35433070866141736" header="0" footer="0"/>
  <pageSetup paperSize="9" scale="39"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Seleccionar de la lista si este Cabecera es Portado o el cliente desea que se le asigne un número Nuevo_x000a_" prompt="Seleccionar si el cabecera es portado o el cliente desea un cabecera de nueva numeración">
          <x14:formula1>
            <xm:f>Validacion!$J$2:$J$3</xm:f>
          </x14:formula1>
          <xm:sqref>D41:E44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W23"/>
  <sheetViews>
    <sheetView topLeftCell="H1" zoomScale="77" zoomScaleNormal="77" workbookViewId="0">
      <selection activeCell="H1" sqref="H1"/>
    </sheetView>
  </sheetViews>
  <sheetFormatPr baseColWidth="10" defaultColWidth="11.42578125" defaultRowHeight="11.25"/>
  <cols>
    <col min="1" max="1" width="12.85546875" style="1652" bestFit="1" customWidth="1"/>
    <col min="2" max="2" width="12.85546875" style="1652" customWidth="1"/>
    <col min="3" max="3" width="16.42578125" style="1652" bestFit="1" customWidth="1"/>
    <col min="4" max="5" width="16.42578125" style="1652" customWidth="1"/>
    <col min="6" max="6" width="15.42578125" style="1659" bestFit="1" customWidth="1"/>
    <col min="7" max="7" width="16.140625" style="1652" bestFit="1" customWidth="1"/>
    <col min="8" max="8" width="60.7109375" style="1652" customWidth="1"/>
    <col min="9" max="9" width="47.42578125" style="1638" bestFit="1" customWidth="1"/>
    <col min="10" max="10" width="10.28515625" style="1638" bestFit="1" customWidth="1"/>
    <col min="11" max="11" width="14" style="1638" customWidth="1"/>
    <col min="12" max="12" width="26.5703125" style="1638" customWidth="1"/>
    <col min="13" max="13" width="9.28515625" style="1638" customWidth="1"/>
    <col min="14" max="16" width="13.7109375" style="1638" customWidth="1"/>
    <col min="17" max="17" width="33.140625" style="1638" bestFit="1" customWidth="1"/>
    <col min="18" max="18" width="7.85546875" style="1638" customWidth="1"/>
    <col min="19" max="19" width="15" style="1638" customWidth="1"/>
    <col min="20" max="20" width="7.28515625" style="1638" customWidth="1"/>
    <col min="21" max="21" width="21.42578125" style="1638" bestFit="1" customWidth="1"/>
    <col min="22" max="22" width="8.140625" style="1638" customWidth="1"/>
    <col min="23" max="23" width="11.7109375" style="1638" customWidth="1"/>
    <col min="24" max="24" width="8.140625" style="1638" customWidth="1"/>
    <col min="25" max="26" width="11.7109375" style="1638" customWidth="1"/>
    <col min="27" max="27" width="21.42578125" style="1638" bestFit="1" customWidth="1"/>
    <col min="28" max="28" width="8.140625" style="1638" customWidth="1"/>
    <col min="29" max="30" width="11.5703125" style="1652" bestFit="1" customWidth="1"/>
    <col min="31" max="31" width="8.7109375" style="1652" bestFit="1" customWidth="1"/>
    <col min="32" max="32" width="16.5703125" style="1652" bestFit="1" customWidth="1"/>
    <col min="33" max="34" width="22.28515625" style="1652" bestFit="1" customWidth="1"/>
    <col min="35" max="35" width="28.140625" style="1652" bestFit="1" customWidth="1"/>
    <col min="36" max="36" width="28.140625" style="1652" customWidth="1"/>
    <col min="37" max="37" width="36.5703125" style="1652" bestFit="1" customWidth="1"/>
    <col min="38" max="38" width="39.7109375" style="1652" bestFit="1" customWidth="1"/>
    <col min="39" max="39" width="25" style="1652" bestFit="1" customWidth="1"/>
    <col min="40" max="41" width="31.42578125" style="1652" bestFit="1" customWidth="1"/>
    <col min="42" max="42" width="12.28515625" style="1652" bestFit="1" customWidth="1"/>
    <col min="43" max="43" width="14.42578125" style="1652" bestFit="1" customWidth="1"/>
    <col min="44" max="44" width="11.42578125" style="1652" bestFit="1" customWidth="1"/>
    <col min="45" max="45" width="22.7109375" style="1652" bestFit="1" customWidth="1"/>
    <col min="46" max="46" width="10.85546875" style="1652" bestFit="1" customWidth="1"/>
    <col min="47" max="47" width="6.42578125" style="1652" bestFit="1" customWidth="1"/>
    <col min="48" max="48" width="16.42578125" style="1652" bestFit="1" customWidth="1"/>
    <col min="49" max="49" width="25.140625" style="1652" bestFit="1" customWidth="1"/>
    <col min="50" max="16384" width="11.42578125" style="1652"/>
  </cols>
  <sheetData>
    <row r="1" spans="1:49" s="1638" customFormat="1" ht="22.5">
      <c r="A1" s="1637" t="s">
        <v>1543</v>
      </c>
      <c r="B1" s="1637" t="s">
        <v>1544</v>
      </c>
      <c r="C1" s="1637" t="s">
        <v>1545</v>
      </c>
      <c r="D1" s="1637" t="s">
        <v>1546</v>
      </c>
      <c r="E1" s="1637" t="s">
        <v>1547</v>
      </c>
      <c r="F1" s="1637" t="s">
        <v>1548</v>
      </c>
      <c r="G1" s="1637" t="s">
        <v>1549</v>
      </c>
      <c r="H1" s="1637" t="s">
        <v>1550</v>
      </c>
      <c r="I1" s="1637" t="s">
        <v>1551</v>
      </c>
      <c r="J1" s="1637" t="s">
        <v>1505</v>
      </c>
      <c r="K1" s="1637" t="s">
        <v>1552</v>
      </c>
      <c r="L1" s="1637" t="s">
        <v>1553</v>
      </c>
      <c r="M1" s="1637" t="s">
        <v>1554</v>
      </c>
      <c r="N1" s="1637" t="s">
        <v>1555</v>
      </c>
      <c r="O1" s="1637" t="s">
        <v>1556</v>
      </c>
      <c r="P1" s="1637" t="s">
        <v>1557</v>
      </c>
      <c r="Q1" s="1637" t="s">
        <v>1514</v>
      </c>
      <c r="R1" s="1637" t="s">
        <v>1558</v>
      </c>
      <c r="S1" s="1637" t="s">
        <v>1559</v>
      </c>
      <c r="T1" s="1637" t="s">
        <v>1560</v>
      </c>
      <c r="U1" s="1637" t="s">
        <v>1561</v>
      </c>
      <c r="V1" s="1637" t="s">
        <v>1562</v>
      </c>
      <c r="W1" s="1637" t="s">
        <v>1563</v>
      </c>
      <c r="X1" s="1637" t="s">
        <v>1562</v>
      </c>
      <c r="Y1" s="1637" t="s">
        <v>1564</v>
      </c>
      <c r="Z1" s="1637" t="s">
        <v>1565</v>
      </c>
      <c r="AA1" s="1637" t="s">
        <v>271</v>
      </c>
      <c r="AB1" s="1637" t="s">
        <v>1562</v>
      </c>
      <c r="AC1" s="1637" t="s">
        <v>1566</v>
      </c>
      <c r="AD1" s="1637" t="s">
        <v>1567</v>
      </c>
      <c r="AE1" s="1637" t="s">
        <v>1568</v>
      </c>
      <c r="AF1" s="1637" t="s">
        <v>1569</v>
      </c>
      <c r="AG1" s="1637" t="s">
        <v>1570</v>
      </c>
      <c r="AH1" s="1637" t="s">
        <v>1571</v>
      </c>
      <c r="AI1" s="1637" t="s">
        <v>1572</v>
      </c>
      <c r="AJ1" s="1637" t="s">
        <v>1573</v>
      </c>
      <c r="AK1" s="1637" t="s">
        <v>1574</v>
      </c>
      <c r="AL1" s="1637" t="s">
        <v>1575</v>
      </c>
      <c r="AM1" s="1637" t="s">
        <v>1576</v>
      </c>
      <c r="AN1" s="1637" t="s">
        <v>1577</v>
      </c>
      <c r="AO1" s="1637" t="s">
        <v>1578</v>
      </c>
      <c r="AP1" s="1637" t="s">
        <v>1579</v>
      </c>
      <c r="AQ1" s="1637" t="s">
        <v>1580</v>
      </c>
      <c r="AR1" s="1637" t="s">
        <v>1581</v>
      </c>
      <c r="AS1" s="1637" t="s">
        <v>1582</v>
      </c>
      <c r="AT1" s="1637" t="s">
        <v>1583</v>
      </c>
      <c r="AU1" s="1637" t="s">
        <v>1584</v>
      </c>
      <c r="AV1" s="1637" t="s">
        <v>1585</v>
      </c>
      <c r="AW1" s="1637" t="s">
        <v>1586</v>
      </c>
    </row>
    <row r="2" spans="1:49" s="1638" customFormat="1">
      <c r="A2" s="1639" t="s">
        <v>1544</v>
      </c>
      <c r="B2" s="1640" t="s">
        <v>1587</v>
      </c>
      <c r="C2" s="1639" t="s">
        <v>1588</v>
      </c>
      <c r="D2" s="1641" t="s">
        <v>1589</v>
      </c>
      <c r="E2" s="1641" t="s">
        <v>1590</v>
      </c>
      <c r="F2" s="1641" t="s">
        <v>149</v>
      </c>
      <c r="G2" s="1641" t="s">
        <v>149</v>
      </c>
      <c r="H2" s="1641" t="s">
        <v>1591</v>
      </c>
      <c r="I2" s="1641" t="s">
        <v>1592</v>
      </c>
      <c r="J2" s="1642" t="s">
        <v>1510</v>
      </c>
      <c r="K2" s="1641" t="s">
        <v>1593</v>
      </c>
      <c r="L2" s="1641" t="s">
        <v>1594</v>
      </c>
      <c r="M2" s="1641">
        <v>50</v>
      </c>
      <c r="N2" s="1641">
        <v>4</v>
      </c>
      <c r="O2" s="1641">
        <v>2</v>
      </c>
      <c r="P2" s="1641">
        <v>3</v>
      </c>
      <c r="Q2" s="1641" t="s">
        <v>1528</v>
      </c>
      <c r="R2" s="1643">
        <v>10</v>
      </c>
      <c r="S2" s="1644" t="s">
        <v>1529</v>
      </c>
      <c r="T2" s="1643">
        <v>0</v>
      </c>
      <c r="U2" s="1644" t="s">
        <v>1530</v>
      </c>
      <c r="V2" s="1643">
        <v>0</v>
      </c>
      <c r="W2" s="1644" t="s">
        <v>818</v>
      </c>
      <c r="X2" s="1643">
        <v>0</v>
      </c>
      <c r="Y2" s="1644" t="s">
        <v>1533</v>
      </c>
      <c r="Z2" s="1644">
        <v>0</v>
      </c>
      <c r="AA2" s="1643" t="s">
        <v>1595</v>
      </c>
      <c r="AB2" s="1643">
        <v>10</v>
      </c>
      <c r="AC2" s="1645" t="s">
        <v>1569</v>
      </c>
      <c r="AD2" s="1645" t="s">
        <v>1569</v>
      </c>
      <c r="AE2" s="1645" t="s">
        <v>1569</v>
      </c>
      <c r="AF2" s="1641" t="s">
        <v>1570</v>
      </c>
      <c r="AG2" s="1639" t="s">
        <v>1596</v>
      </c>
      <c r="AH2" s="1639" t="s">
        <v>1597</v>
      </c>
      <c r="AI2" s="1639" t="s">
        <v>1574</v>
      </c>
      <c r="AJ2" s="1639" t="s">
        <v>1598</v>
      </c>
      <c r="AK2" s="1646" t="s">
        <v>1599</v>
      </c>
      <c r="AL2" s="1639" t="s">
        <v>1600</v>
      </c>
      <c r="AM2" s="1639" t="s">
        <v>1601</v>
      </c>
      <c r="AN2" s="1645" t="s">
        <v>1602</v>
      </c>
      <c r="AO2" s="1645" t="s">
        <v>1603</v>
      </c>
      <c r="AP2" s="1647" t="s">
        <v>1572</v>
      </c>
      <c r="AQ2" s="1647" t="s">
        <v>1572</v>
      </c>
      <c r="AR2" s="1647" t="s">
        <v>1572</v>
      </c>
      <c r="AS2" s="1647" t="s">
        <v>1572</v>
      </c>
      <c r="AT2" s="1647" t="s">
        <v>764</v>
      </c>
      <c r="AU2" s="1647" t="s">
        <v>1572</v>
      </c>
      <c r="AV2" s="1647" t="s">
        <v>1572</v>
      </c>
      <c r="AW2" s="1645" t="s">
        <v>1604</v>
      </c>
    </row>
    <row r="3" spans="1:49" s="1638" customFormat="1">
      <c r="A3" s="1646" t="s">
        <v>1546</v>
      </c>
      <c r="B3" s="1648" t="s">
        <v>1605</v>
      </c>
      <c r="C3" s="1649" t="s">
        <v>1606</v>
      </c>
      <c r="D3" s="1649"/>
      <c r="E3" s="1649"/>
      <c r="F3" s="1650" t="s">
        <v>148</v>
      </c>
      <c r="G3" s="1649" t="s">
        <v>148</v>
      </c>
      <c r="H3" s="1641" t="s">
        <v>1607</v>
      </c>
      <c r="I3" s="1641" t="s">
        <v>1608</v>
      </c>
      <c r="J3" s="1642" t="s">
        <v>1511</v>
      </c>
      <c r="K3" s="1641" t="s">
        <v>1609</v>
      </c>
      <c r="L3" s="1641" t="s">
        <v>1493</v>
      </c>
      <c r="M3" s="1641">
        <v>65</v>
      </c>
      <c r="N3" s="1641">
        <v>7</v>
      </c>
      <c r="O3" s="1641">
        <v>5</v>
      </c>
      <c r="P3" s="1641">
        <v>6</v>
      </c>
      <c r="Q3" s="1641" t="s">
        <v>1435</v>
      </c>
      <c r="R3" s="1643">
        <v>9</v>
      </c>
      <c r="S3" s="1644" t="s">
        <v>1610</v>
      </c>
      <c r="T3" s="1643">
        <v>9</v>
      </c>
      <c r="U3" s="1644" t="s">
        <v>1611</v>
      </c>
      <c r="V3" s="1643">
        <v>2</v>
      </c>
      <c r="W3" s="1644" t="s">
        <v>1527</v>
      </c>
      <c r="X3" s="1643">
        <v>1.5</v>
      </c>
      <c r="Y3" s="1644"/>
      <c r="Z3" s="1644"/>
      <c r="AA3" s="1643" t="s">
        <v>1499</v>
      </c>
      <c r="AB3" s="1643">
        <v>2.5</v>
      </c>
      <c r="AC3" s="1647" t="s">
        <v>1572</v>
      </c>
      <c r="AD3" s="1647" t="s">
        <v>1572</v>
      </c>
      <c r="AE3" s="1647" t="s">
        <v>1572</v>
      </c>
      <c r="AF3" s="1649" t="s">
        <v>1571</v>
      </c>
      <c r="AG3" s="1638" t="s">
        <v>1612</v>
      </c>
      <c r="AH3" s="1646" t="s">
        <v>1613</v>
      </c>
      <c r="AI3" s="1646" t="s">
        <v>1575</v>
      </c>
      <c r="AJ3" s="1646" t="s">
        <v>1614</v>
      </c>
      <c r="AK3" s="1646" t="s">
        <v>1615</v>
      </c>
      <c r="AL3" s="1639" t="s">
        <v>1616</v>
      </c>
      <c r="AM3" s="1639" t="s">
        <v>1617</v>
      </c>
      <c r="AN3" s="1647" t="s">
        <v>1618</v>
      </c>
      <c r="AO3" s="1647" t="s">
        <v>1619</v>
      </c>
      <c r="AT3" s="1647" t="s">
        <v>818</v>
      </c>
      <c r="AW3" s="1645" t="s">
        <v>1620</v>
      </c>
    </row>
    <row r="4" spans="1:49" s="1638" customFormat="1">
      <c r="A4" s="1649" t="s">
        <v>1547</v>
      </c>
      <c r="B4" s="1651" t="s">
        <v>1621</v>
      </c>
      <c r="F4" s="1641" t="s">
        <v>142</v>
      </c>
      <c r="G4" s="1649" t="s">
        <v>142</v>
      </c>
      <c r="H4" s="1641" t="s">
        <v>1622</v>
      </c>
      <c r="I4" s="1641" t="s">
        <v>1623</v>
      </c>
      <c r="J4" s="1641"/>
      <c r="K4" s="1641"/>
      <c r="L4" s="1641" t="s">
        <v>1624</v>
      </c>
      <c r="M4" s="1641">
        <v>80</v>
      </c>
      <c r="N4" s="1641">
        <v>25</v>
      </c>
      <c r="O4" s="1641">
        <v>8</v>
      </c>
      <c r="P4" s="1641">
        <v>10</v>
      </c>
      <c r="Q4" s="1641" t="s">
        <v>1434</v>
      </c>
      <c r="R4" s="1643">
        <v>17</v>
      </c>
      <c r="S4" s="1644" t="s">
        <v>1625</v>
      </c>
      <c r="T4" s="1643">
        <v>17</v>
      </c>
      <c r="U4" s="1644" t="s">
        <v>1626</v>
      </c>
      <c r="V4" s="1643">
        <v>4</v>
      </c>
      <c r="W4" s="1644" t="s">
        <v>1533</v>
      </c>
      <c r="X4" s="1643">
        <v>0</v>
      </c>
      <c r="Y4" s="1644"/>
      <c r="Z4" s="1644"/>
      <c r="AA4" s="1643" t="s">
        <v>1343</v>
      </c>
      <c r="AB4" s="1643">
        <v>5</v>
      </c>
      <c r="AF4" s="1646"/>
      <c r="AG4" s="1646" t="s">
        <v>1627</v>
      </c>
      <c r="AH4" s="1649"/>
      <c r="AI4" s="1646" t="s">
        <v>1578</v>
      </c>
      <c r="AJ4" s="1646" t="s">
        <v>1628</v>
      </c>
      <c r="AK4" s="1646" t="s">
        <v>1629</v>
      </c>
      <c r="AL4" s="1646" t="s">
        <v>1630</v>
      </c>
      <c r="AM4" s="1639" t="s">
        <v>1631</v>
      </c>
      <c r="AN4" s="1647" t="s">
        <v>1632</v>
      </c>
      <c r="AO4" s="1647" t="s">
        <v>1633</v>
      </c>
      <c r="AS4" s="1647" t="s">
        <v>1634</v>
      </c>
      <c r="AV4" s="1645" t="s">
        <v>1635</v>
      </c>
    </row>
    <row r="5" spans="1:49">
      <c r="B5" s="1653" t="s">
        <v>1636</v>
      </c>
      <c r="F5" s="1650" t="s">
        <v>1637</v>
      </c>
      <c r="G5" s="1649" t="s">
        <v>1637</v>
      </c>
      <c r="H5" s="1641" t="s">
        <v>1638</v>
      </c>
      <c r="I5" s="1641" t="s">
        <v>1521</v>
      </c>
      <c r="J5" s="1641"/>
      <c r="K5" s="1641"/>
      <c r="L5" s="1641" t="s">
        <v>1639</v>
      </c>
      <c r="M5" s="1641">
        <v>60</v>
      </c>
      <c r="N5" s="1641">
        <v>4</v>
      </c>
      <c r="O5" s="1641">
        <v>2</v>
      </c>
      <c r="P5" s="1641">
        <v>3</v>
      </c>
      <c r="Q5" s="1641" t="s">
        <v>1524</v>
      </c>
      <c r="R5" s="1643">
        <v>19</v>
      </c>
      <c r="S5" s="1644" t="s">
        <v>1525</v>
      </c>
      <c r="T5" s="1643">
        <v>26</v>
      </c>
      <c r="U5" s="1644" t="s">
        <v>1526</v>
      </c>
      <c r="V5" s="1643">
        <v>9</v>
      </c>
      <c r="W5" s="1644"/>
      <c r="X5" s="1643"/>
      <c r="Y5" s="1643"/>
      <c r="Z5" s="1643"/>
      <c r="AA5" s="1643" t="s">
        <v>1342</v>
      </c>
      <c r="AB5" s="1643">
        <v>25</v>
      </c>
      <c r="AG5" s="1649"/>
      <c r="AH5" s="1654"/>
      <c r="AI5" s="1646" t="s">
        <v>1576</v>
      </c>
      <c r="AJ5" s="1646" t="s">
        <v>1640</v>
      </c>
      <c r="AK5" s="1646" t="s">
        <v>1641</v>
      </c>
      <c r="AL5" s="1646" t="s">
        <v>1642</v>
      </c>
      <c r="AM5" s="1639" t="s">
        <v>1643</v>
      </c>
      <c r="AN5" s="1647" t="s">
        <v>1644</v>
      </c>
      <c r="AO5" s="1647" t="s">
        <v>1645</v>
      </c>
      <c r="AW5" s="1645" t="s">
        <v>1646</v>
      </c>
    </row>
    <row r="6" spans="1:49">
      <c r="B6" s="1653" t="s">
        <v>1647</v>
      </c>
      <c r="F6" s="1641" t="s">
        <v>1648</v>
      </c>
      <c r="G6" s="1649" t="s">
        <v>1648</v>
      </c>
      <c r="H6" s="1641" t="s">
        <v>1649</v>
      </c>
      <c r="I6" s="1641" t="s">
        <v>1650</v>
      </c>
      <c r="J6" s="1641"/>
      <c r="K6" s="1641"/>
      <c r="L6" s="1641" t="s">
        <v>1651</v>
      </c>
      <c r="M6" s="1641">
        <v>70</v>
      </c>
      <c r="N6" s="1641">
        <v>7</v>
      </c>
      <c r="O6" s="1641">
        <v>5</v>
      </c>
      <c r="P6" s="1641">
        <v>6</v>
      </c>
      <c r="Q6" s="1641" t="s">
        <v>1531</v>
      </c>
      <c r="R6" s="1643">
        <v>12</v>
      </c>
      <c r="S6" s="1643"/>
      <c r="T6" s="1643"/>
      <c r="U6" s="1643"/>
      <c r="V6" s="1643"/>
      <c r="W6" s="1643"/>
      <c r="X6" s="1643"/>
      <c r="Y6" s="1643"/>
      <c r="Z6" s="1643"/>
      <c r="AA6" s="1643" t="s">
        <v>1501</v>
      </c>
      <c r="AB6" s="1643">
        <v>19.989999999999998</v>
      </c>
      <c r="AG6" s="1655"/>
      <c r="AH6" s="1654"/>
      <c r="AI6" s="1649" t="s">
        <v>1577</v>
      </c>
      <c r="AJ6" s="1649" t="s">
        <v>1652</v>
      </c>
      <c r="AK6" s="1646" t="s">
        <v>1653</v>
      </c>
      <c r="AL6" s="1646" t="s">
        <v>1654</v>
      </c>
      <c r="AM6" s="1639" t="s">
        <v>1655</v>
      </c>
      <c r="AN6" s="1647" t="s">
        <v>1656</v>
      </c>
      <c r="AO6" s="1647" t="s">
        <v>1657</v>
      </c>
      <c r="AW6" s="1645" t="s">
        <v>1658</v>
      </c>
    </row>
    <row r="7" spans="1:49">
      <c r="B7" s="1656" t="s">
        <v>1659</v>
      </c>
      <c r="F7" s="1650" t="s">
        <v>1660</v>
      </c>
      <c r="G7" s="1649" t="s">
        <v>1660</v>
      </c>
      <c r="H7" s="1641" t="s">
        <v>1661</v>
      </c>
      <c r="I7" s="1641" t="s">
        <v>1662</v>
      </c>
      <c r="J7" s="1641"/>
      <c r="K7" s="1641"/>
      <c r="L7" s="1641" t="s">
        <v>1663</v>
      </c>
      <c r="M7" s="1641">
        <v>85</v>
      </c>
      <c r="N7" s="1641">
        <v>45</v>
      </c>
      <c r="O7" s="1641">
        <v>8</v>
      </c>
      <c r="P7" s="1641">
        <v>10</v>
      </c>
      <c r="Q7" s="1641" t="s">
        <v>1532</v>
      </c>
      <c r="R7" s="1643">
        <v>5</v>
      </c>
      <c r="S7" s="1643"/>
      <c r="T7" s="1643"/>
      <c r="U7" s="1643"/>
      <c r="V7" s="1643"/>
      <c r="W7" s="1643"/>
      <c r="X7" s="1643"/>
      <c r="Y7" s="1643"/>
      <c r="Z7" s="1643"/>
      <c r="AA7" s="1643"/>
      <c r="AB7" s="1643"/>
      <c r="AG7" s="1654"/>
      <c r="AH7" s="1654"/>
      <c r="AI7" s="1652" t="s">
        <v>1573</v>
      </c>
      <c r="AJ7" s="1652" t="s">
        <v>1664</v>
      </c>
      <c r="AK7" s="1646" t="s">
        <v>1665</v>
      </c>
      <c r="AL7" s="1646" t="s">
        <v>1666</v>
      </c>
      <c r="AM7" s="1639" t="s">
        <v>1667</v>
      </c>
      <c r="AN7" s="1647" t="s">
        <v>1668</v>
      </c>
      <c r="AO7" s="1647" t="s">
        <v>1669</v>
      </c>
    </row>
    <row r="8" spans="1:49" ht="22.5">
      <c r="B8" s="1653" t="s">
        <v>1670</v>
      </c>
      <c r="F8" s="1641" t="s">
        <v>1671</v>
      </c>
      <c r="G8" s="1649" t="s">
        <v>1671</v>
      </c>
      <c r="H8" s="1641" t="s">
        <v>1672</v>
      </c>
      <c r="I8" s="1641" t="s">
        <v>1673</v>
      </c>
      <c r="J8" s="1657"/>
      <c r="K8" s="1657"/>
      <c r="L8" s="1657"/>
      <c r="M8" s="1657"/>
      <c r="N8" s="1657"/>
      <c r="O8" s="1657"/>
      <c r="P8" s="1657"/>
      <c r="Q8" s="1657" t="s">
        <v>1674</v>
      </c>
      <c r="R8" s="1658">
        <v>2.95</v>
      </c>
      <c r="S8" s="1658"/>
      <c r="T8" s="1658"/>
      <c r="U8" s="1658"/>
      <c r="V8" s="1658"/>
      <c r="W8" s="1643"/>
      <c r="X8" s="1658"/>
      <c r="Y8" s="1658"/>
      <c r="Z8" s="1658"/>
      <c r="AA8" s="1658"/>
      <c r="AB8" s="1658"/>
      <c r="AG8" s="1654"/>
      <c r="AH8" s="1654"/>
      <c r="AI8" s="1654"/>
      <c r="AJ8" s="1654"/>
      <c r="AK8" s="1639" t="s">
        <v>1675</v>
      </c>
      <c r="AL8" s="1649" t="s">
        <v>1676</v>
      </c>
      <c r="AM8" s="1639" t="s">
        <v>1677</v>
      </c>
      <c r="AN8" s="1647" t="s">
        <v>1678</v>
      </c>
      <c r="AO8" s="1647" t="s">
        <v>1679</v>
      </c>
    </row>
    <row r="9" spans="1:49">
      <c r="B9" s="1653"/>
      <c r="F9" s="1650" t="s">
        <v>1680</v>
      </c>
      <c r="G9" s="1649" t="s">
        <v>1680</v>
      </c>
      <c r="Q9" s="1657" t="s">
        <v>1327</v>
      </c>
      <c r="R9" s="1658">
        <v>6</v>
      </c>
      <c r="S9" s="1658"/>
      <c r="T9" s="1658"/>
      <c r="U9" s="1658"/>
      <c r="V9" s="1658"/>
      <c r="W9" s="1658"/>
      <c r="X9" s="1658"/>
      <c r="Y9" s="1658"/>
      <c r="Z9" s="1658"/>
      <c r="AA9" s="1658"/>
      <c r="AB9" s="1658"/>
      <c r="AK9" s="1639" t="s">
        <v>1681</v>
      </c>
      <c r="AL9" s="1649" t="s">
        <v>1676</v>
      </c>
      <c r="AM9" s="1639" t="s">
        <v>1682</v>
      </c>
      <c r="AN9" s="1647" t="s">
        <v>1683</v>
      </c>
      <c r="AO9" s="1647"/>
    </row>
    <row r="10" spans="1:49">
      <c r="B10" s="1653"/>
      <c r="F10" s="1641" t="s">
        <v>1684</v>
      </c>
      <c r="G10" s="1649" t="s">
        <v>1684</v>
      </c>
      <c r="W10" s="1658"/>
      <c r="AK10" s="1649" t="s">
        <v>1685</v>
      </c>
      <c r="AL10" s="1649" t="s">
        <v>1686</v>
      </c>
      <c r="AM10" s="1639" t="s">
        <v>1687</v>
      </c>
      <c r="AN10" s="1652" t="s">
        <v>1688</v>
      </c>
    </row>
    <row r="11" spans="1:49">
      <c r="B11" s="1653"/>
      <c r="F11" s="1650" t="s">
        <v>1689</v>
      </c>
      <c r="G11" s="1649" t="s">
        <v>1689</v>
      </c>
      <c r="AK11" s="1646" t="s">
        <v>1690</v>
      </c>
      <c r="AL11" s="1646" t="s">
        <v>1691</v>
      </c>
      <c r="AM11" s="1639" t="s">
        <v>1692</v>
      </c>
      <c r="AN11" s="1652" t="s">
        <v>1693</v>
      </c>
    </row>
    <row r="12" spans="1:49">
      <c r="B12" s="1653"/>
      <c r="AK12" s="1652" t="s">
        <v>1694</v>
      </c>
      <c r="AL12" s="1646" t="s">
        <v>1695</v>
      </c>
      <c r="AM12" s="1639" t="s">
        <v>1696</v>
      </c>
    </row>
    <row r="13" spans="1:49">
      <c r="B13" s="1653"/>
      <c r="AL13" s="1646" t="s">
        <v>1697</v>
      </c>
      <c r="AM13" s="1639" t="s">
        <v>1698</v>
      </c>
    </row>
    <row r="14" spans="1:49">
      <c r="B14" s="1653"/>
      <c r="AL14" s="1646"/>
      <c r="AM14" s="1639" t="s">
        <v>1699</v>
      </c>
    </row>
    <row r="15" spans="1:49">
      <c r="B15" s="1653"/>
      <c r="AM15" s="1639" t="s">
        <v>1700</v>
      </c>
    </row>
    <row r="16" spans="1:49">
      <c r="B16" s="1653"/>
      <c r="AK16" s="1646"/>
      <c r="AM16" s="1639" t="s">
        <v>1701</v>
      </c>
    </row>
    <row r="17" spans="2:39">
      <c r="AK17" s="1646"/>
      <c r="AM17" s="1639" t="s">
        <v>1702</v>
      </c>
    </row>
    <row r="18" spans="2:39">
      <c r="B18" s="1653"/>
      <c r="AK18" s="1646"/>
      <c r="AM18" s="1639" t="s">
        <v>1703</v>
      </c>
    </row>
    <row r="19" spans="2:39" ht="12" thickBot="1">
      <c r="B19" s="1653"/>
      <c r="AK19" s="1646"/>
    </row>
    <row r="20" spans="2:39" ht="39" thickBot="1">
      <c r="B20" s="1653"/>
      <c r="K20" s="1660" t="s">
        <v>1704</v>
      </c>
      <c r="L20" s="1660" t="s">
        <v>1705</v>
      </c>
      <c r="M20" s="1661"/>
      <c r="N20" s="1661"/>
      <c r="O20" s="1661"/>
      <c r="P20" s="1661"/>
      <c r="Q20" s="1661"/>
      <c r="R20" s="1661"/>
      <c r="S20" s="1661"/>
      <c r="T20" s="1661"/>
      <c r="U20" s="1661"/>
      <c r="V20" s="1661"/>
      <c r="X20" s="1661"/>
      <c r="Y20" s="1661"/>
      <c r="Z20" s="1661"/>
      <c r="AA20" s="1661"/>
      <c r="AB20" s="1661"/>
      <c r="AK20" s="1639"/>
    </row>
    <row r="21" spans="2:39" ht="39" thickBot="1">
      <c r="K21" s="1662" t="s">
        <v>1706</v>
      </c>
      <c r="L21" s="1662" t="s">
        <v>1707</v>
      </c>
      <c r="M21" s="1663"/>
      <c r="N21" s="1663"/>
      <c r="O21" s="1663"/>
      <c r="P21" s="1663"/>
      <c r="Q21" s="1663"/>
      <c r="R21" s="1663"/>
      <c r="S21" s="1663"/>
      <c r="T21" s="1663"/>
      <c r="U21" s="1663"/>
      <c r="V21" s="1663"/>
      <c r="W21" s="1661"/>
      <c r="X21" s="1663"/>
      <c r="Y21" s="1663"/>
      <c r="Z21" s="1663"/>
      <c r="AA21" s="1663"/>
      <c r="AB21" s="1663"/>
      <c r="AK21" s="1639"/>
    </row>
    <row r="22" spans="2:39" ht="39" thickBot="1">
      <c r="K22" s="1664" t="s">
        <v>1708</v>
      </c>
      <c r="L22" s="1664" t="s">
        <v>1709</v>
      </c>
      <c r="M22" s="1665"/>
      <c r="N22" s="1665"/>
      <c r="O22" s="1665"/>
      <c r="P22" s="1665"/>
      <c r="Q22" s="1665"/>
      <c r="R22" s="1665"/>
      <c r="S22" s="1665"/>
      <c r="T22" s="1665"/>
      <c r="U22" s="1665"/>
      <c r="V22" s="1665"/>
      <c r="W22" s="1663"/>
      <c r="X22" s="1665"/>
      <c r="Y22" s="1665"/>
      <c r="Z22" s="1665"/>
      <c r="AA22" s="1665"/>
      <c r="AB22" s="1665"/>
      <c r="AK22" s="1649"/>
    </row>
    <row r="23" spans="2:39" ht="12.75">
      <c r="W23" s="1665"/>
    </row>
  </sheetData>
  <sheetProtection algorithmName="SHA-512" hashValue="77RbgQaVsTA922RMUSBvowOvI4vB1OGhIHGKn07CBoPeWCFUxVCB2v6dat/nIH3itjtolIOUtDPD9q/FvTkuXw==" saltValue="62KIygvI/nk/TRqZ2AtGAA==" spinCount="100000" sheet="1" selectLockedCells="1" selectUnlockedCells="1"/>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1" tint="0.249977111117893"/>
  </sheetPr>
  <dimension ref="A1:BD1338"/>
  <sheetViews>
    <sheetView zoomScale="93" zoomScaleNormal="93" workbookViewId="0">
      <selection activeCell="B196" sqref="B196"/>
    </sheetView>
  </sheetViews>
  <sheetFormatPr baseColWidth="10" defaultColWidth="11.42578125" defaultRowHeight="14.25"/>
  <cols>
    <col min="1" max="1" width="39.5703125" style="226" customWidth="1"/>
    <col min="2" max="2" width="24.85546875" style="226" customWidth="1"/>
    <col min="3" max="3" width="24" style="226" customWidth="1"/>
    <col min="4" max="5" width="32.7109375" style="226" customWidth="1"/>
    <col min="6" max="6" width="21.140625" style="226" customWidth="1"/>
    <col min="7" max="7" width="37" style="226" customWidth="1"/>
    <col min="8" max="8" width="26.7109375" style="226" customWidth="1"/>
    <col min="9" max="9" width="25.7109375" style="226" customWidth="1"/>
    <col min="10" max="10" width="17.42578125" style="226" customWidth="1"/>
    <col min="11" max="11" width="27.7109375" style="226" customWidth="1"/>
    <col min="12" max="12" width="35.7109375" style="226" customWidth="1"/>
    <col min="13" max="13" width="25.5703125" style="226" customWidth="1"/>
    <col min="14" max="14" width="23" style="226" customWidth="1"/>
    <col min="15" max="15" width="20.140625" style="226" customWidth="1"/>
    <col min="16" max="16" width="23.5703125" style="226" customWidth="1"/>
    <col min="17" max="17" width="20.42578125" style="226" customWidth="1"/>
    <col min="18" max="18" width="25.7109375" style="226" customWidth="1"/>
    <col min="19" max="19" width="21" style="226" customWidth="1"/>
    <col min="20" max="20" width="26.42578125" style="226" customWidth="1"/>
    <col min="21" max="21" width="32.5703125" customWidth="1"/>
    <col min="22" max="22" width="32.42578125" customWidth="1"/>
    <col min="23" max="23" width="28" bestFit="1" customWidth="1"/>
    <col min="24" max="24" width="20.7109375" customWidth="1"/>
    <col min="25" max="25" width="29.5703125" customWidth="1"/>
    <col min="26" max="26" width="29.85546875" customWidth="1"/>
    <col min="27" max="27" width="44.7109375" customWidth="1"/>
    <col min="28" max="28" width="32.5703125" bestFit="1" customWidth="1"/>
    <col min="29" max="29" width="28.7109375" bestFit="1" customWidth="1"/>
    <col min="32" max="32" width="23.42578125" customWidth="1"/>
    <col min="33" max="33" width="22.7109375" bestFit="1" customWidth="1"/>
    <col min="34" max="47" width="21" customWidth="1"/>
    <col min="48" max="48" width="27.85546875" customWidth="1"/>
    <col min="49" max="49" width="28.140625" customWidth="1"/>
    <col min="50" max="50" width="29.5703125" customWidth="1"/>
    <col min="51" max="51" width="21.85546875" customWidth="1"/>
    <col min="52" max="52" width="30.7109375" customWidth="1"/>
    <col min="53" max="53" width="27" customWidth="1"/>
    <col min="54" max="54" width="19.5703125" customWidth="1"/>
    <col min="55" max="55" width="19.28515625" customWidth="1"/>
    <col min="56" max="56" width="21" customWidth="1"/>
  </cols>
  <sheetData>
    <row r="1" spans="1:20" ht="15.75" thickBot="1">
      <c r="A1" s="358" t="s">
        <v>450</v>
      </c>
      <c r="D1" s="2206" t="s">
        <v>456</v>
      </c>
      <c r="E1" s="2207"/>
      <c r="F1" s="2207"/>
      <c r="G1" s="2208"/>
      <c r="H1" s="2208"/>
      <c r="I1" s="2209"/>
      <c r="O1" s="226" t="s">
        <v>743</v>
      </c>
      <c r="P1" s="226" t="s">
        <v>138</v>
      </c>
      <c r="Q1" s="226" t="s">
        <v>748</v>
      </c>
      <c r="R1" s="226" t="s">
        <v>749</v>
      </c>
      <c r="S1" s="226" t="s">
        <v>750</v>
      </c>
      <c r="T1" s="226" t="s">
        <v>882</v>
      </c>
    </row>
    <row r="2" spans="1:20" ht="15.75" thickBot="1">
      <c r="A2" s="249" t="s">
        <v>395</v>
      </c>
      <c r="D2" s="250" t="s">
        <v>313</v>
      </c>
      <c r="E2" s="239"/>
      <c r="F2" s="278" t="s">
        <v>457</v>
      </c>
      <c r="G2" s="2210" t="s">
        <v>453</v>
      </c>
      <c r="H2" s="2211"/>
      <c r="I2" s="2212"/>
      <c r="N2" s="283" t="s">
        <v>745</v>
      </c>
      <c r="O2" s="284">
        <f>SUM(Perfiles_usuario!AH39:AH76)</f>
        <v>155.20000000000005</v>
      </c>
      <c r="P2" s="226">
        <f>6000*SUM(V137:Y137)+150*Z137</f>
        <v>24000</v>
      </c>
      <c r="Q2" s="226">
        <f>10*V137+4*W137+2*X137+0.5*Y137+0.3*Z137</f>
        <v>12.5</v>
      </c>
      <c r="R2" s="226">
        <f>AD99+U1335</f>
        <v>1</v>
      </c>
      <c r="S2" s="226">
        <f>AE99+V1335</f>
        <v>2</v>
      </c>
      <c r="T2" s="226">
        <f>SUM(Perfiles_usuario!H138:L166)+U1338</f>
        <v>0</v>
      </c>
    </row>
    <row r="3" spans="1:20">
      <c r="A3" s="249" t="s">
        <v>394</v>
      </c>
      <c r="D3" s="250" t="str">
        <f>Perfiles_usuario!D17</f>
        <v>Óptima RPV</v>
      </c>
      <c r="E3" s="269" t="s">
        <v>723</v>
      </c>
      <c r="F3" s="276">
        <f>Perfiles_usuario!F78</f>
        <v>3</v>
      </c>
      <c r="G3" s="281" t="s">
        <v>454</v>
      </c>
      <c r="H3" s="282">
        <f>Perfiles_usuario!F117</f>
        <v>155.20000000000005</v>
      </c>
      <c r="I3" s="234" t="s">
        <v>740</v>
      </c>
      <c r="J3" s="226" t="s">
        <v>735</v>
      </c>
      <c r="K3" s="226">
        <f>Perfiles_usuario!D79+Perfiles_usuario!D81</f>
        <v>3</v>
      </c>
      <c r="N3" s="283" t="s">
        <v>746</v>
      </c>
      <c r="O3" s="284">
        <f>Perfiles_usuario!X168+Perfiles_usuario!AP207</f>
        <v>44.95</v>
      </c>
    </row>
    <row r="4" spans="1:20" ht="15" thickBot="1">
      <c r="A4" s="357" t="s">
        <v>378</v>
      </c>
      <c r="D4" s="250"/>
      <c r="E4" s="269" t="s">
        <v>724</v>
      </c>
      <c r="F4" s="276">
        <f>Perfiles_usuario!D78-Perfiles_usuario!F78</f>
        <v>2</v>
      </c>
      <c r="G4" s="265" t="s">
        <v>455</v>
      </c>
      <c r="H4" s="275">
        <f>Perfiles_usuario!F119+Perfiles_usuario!F121</f>
        <v>0</v>
      </c>
      <c r="I4" s="280">
        <f>Perfiles_usuario!R78</f>
        <v>0</v>
      </c>
      <c r="N4" s="283" t="s">
        <v>1140</v>
      </c>
      <c r="O4" s="226">
        <f>Perfiles_usuario!D274</f>
        <v>0</v>
      </c>
    </row>
    <row r="5" spans="1:20" ht="15" thickBot="1">
      <c r="D5" s="251"/>
      <c r="E5" s="274" t="s">
        <v>449</v>
      </c>
      <c r="F5" s="243">
        <f>Perfiles_usuario!D101</f>
        <v>0</v>
      </c>
      <c r="G5" s="241" t="s">
        <v>295</v>
      </c>
      <c r="H5" s="279">
        <f>Perfiles_usuario!F123</f>
        <v>155.20000000000005</v>
      </c>
      <c r="I5" s="245"/>
      <c r="N5" s="226" t="s">
        <v>295</v>
      </c>
      <c r="O5" s="284">
        <f>ROUNDUP(SUM(O2:O4),0)</f>
        <v>201</v>
      </c>
    </row>
    <row r="6" spans="1:20" ht="15" thickBot="1"/>
    <row r="7" spans="1:20" ht="15.75" thickBot="1">
      <c r="A7" s="246" t="s">
        <v>1240</v>
      </c>
      <c r="B7" s="247"/>
      <c r="C7" s="247"/>
      <c r="D7" s="247"/>
      <c r="E7" s="247"/>
      <c r="F7" s="247"/>
      <c r="G7" s="247"/>
      <c r="H7" s="247"/>
      <c r="I7" s="247"/>
      <c r="J7" s="247"/>
      <c r="K7" s="247"/>
      <c r="L7" s="247"/>
      <c r="M7" s="248"/>
    </row>
    <row r="8" spans="1:20">
      <c r="A8" s="232"/>
      <c r="B8" s="233"/>
      <c r="C8" s="233"/>
      <c r="D8" s="233"/>
      <c r="E8" s="233"/>
      <c r="F8" s="233"/>
      <c r="G8" s="233"/>
      <c r="H8" s="233"/>
      <c r="I8" s="233"/>
      <c r="J8" s="285" t="s">
        <v>417</v>
      </c>
      <c r="K8" s="233"/>
      <c r="L8" s="233"/>
      <c r="M8" s="234"/>
    </row>
    <row r="9" spans="1:20" ht="15">
      <c r="G9" s="237" t="s">
        <v>385</v>
      </c>
      <c r="H9" s="237">
        <v>5</v>
      </c>
      <c r="I9" s="285" t="s">
        <v>390</v>
      </c>
      <c r="J9" s="285">
        <f>4*(IF($J$12&lt;3,1,IF($J$12&lt;6,0.85,IF($J$12&lt;11,0.8,IF($J$12&lt;21,0.75,0.7)))))</f>
        <v>4</v>
      </c>
      <c r="K9" s="1263" t="s">
        <v>759</v>
      </c>
      <c r="L9" s="237">
        <v>35</v>
      </c>
      <c r="M9" s="238"/>
      <c r="N9" s="228"/>
      <c r="O9" s="228"/>
      <c r="P9" s="228"/>
      <c r="Q9" s="228"/>
      <c r="R9" s="228"/>
      <c r="S9" s="228"/>
      <c r="T9" s="228"/>
    </row>
    <row r="10" spans="1:20" ht="15">
      <c r="A10" s="287" t="s">
        <v>384</v>
      </c>
      <c r="B10" s="288" t="s">
        <v>387</v>
      </c>
      <c r="C10" s="288">
        <v>18</v>
      </c>
      <c r="G10" s="237" t="s">
        <v>720</v>
      </c>
      <c r="H10" s="237">
        <v>5</v>
      </c>
      <c r="I10" s="285" t="s">
        <v>391</v>
      </c>
      <c r="J10" s="285">
        <f>8*(IF($J$12&lt;3,1,IF($J$12&lt;6,0.85,IF($J$12&lt;11,0.8,IF($J$12&lt;21,0.75,0.7)))))</f>
        <v>8</v>
      </c>
      <c r="K10" s="1263" t="s">
        <v>1213</v>
      </c>
      <c r="L10" s="833">
        <f>24.95/1.21</f>
        <v>20.619834710743802</v>
      </c>
      <c r="M10" s="238"/>
      <c r="N10" s="228"/>
      <c r="O10" s="1304" t="s">
        <v>759</v>
      </c>
      <c r="P10" s="228"/>
      <c r="Q10" s="228"/>
      <c r="R10" s="228"/>
      <c r="S10" s="228"/>
      <c r="T10" s="228"/>
    </row>
    <row r="11" spans="1:20" ht="15">
      <c r="A11" s="287" t="s">
        <v>736</v>
      </c>
      <c r="B11" s="288" t="s">
        <v>388</v>
      </c>
      <c r="C11" s="288">
        <v>12</v>
      </c>
      <c r="G11" s="237" t="s">
        <v>719</v>
      </c>
      <c r="H11" s="237">
        <v>10</v>
      </c>
      <c r="I11" s="285" t="s">
        <v>392</v>
      </c>
      <c r="J11" s="285">
        <f>12*(IF($J$12&lt;3,1,IF($J$12&lt;6,0.85,IF($J$12&lt;11,0.8,IF($J$12&lt;21,0.75,0.7)))))</f>
        <v>12</v>
      </c>
      <c r="K11" s="237"/>
      <c r="L11" s="237"/>
      <c r="M11" s="238"/>
      <c r="N11" s="228"/>
      <c r="O11" s="1304"/>
      <c r="P11" s="228"/>
      <c r="Q11" s="228"/>
      <c r="R11" s="228"/>
      <c r="S11" s="228"/>
      <c r="T11" s="228"/>
    </row>
    <row r="12" spans="1:20" ht="15">
      <c r="A12" s="236" t="s">
        <v>1994</v>
      </c>
      <c r="B12" s="236" t="s">
        <v>2006</v>
      </c>
      <c r="C12" s="236">
        <v>73</v>
      </c>
      <c r="D12" s="236"/>
      <c r="E12" s="236"/>
      <c r="F12" s="236"/>
      <c r="G12" s="237"/>
      <c r="H12" s="237"/>
      <c r="I12" s="286" t="s">
        <v>409</v>
      </c>
      <c r="J12" s="286">
        <f>SUM(N65:P65)+SUM(G79:I79)</f>
        <v>0</v>
      </c>
      <c r="K12" s="1263" t="s">
        <v>1867</v>
      </c>
      <c r="L12" s="237">
        <v>7.35</v>
      </c>
      <c r="M12" s="238"/>
      <c r="N12" s="228"/>
      <c r="O12" s="1304" t="s">
        <v>1213</v>
      </c>
      <c r="P12" s="228"/>
      <c r="Q12" s="228"/>
      <c r="R12" s="228"/>
      <c r="S12" s="228"/>
      <c r="T12" s="228"/>
    </row>
    <row r="13" spans="1:20" ht="15">
      <c r="A13" s="236" t="s">
        <v>1995</v>
      </c>
      <c r="B13" s="236" t="s">
        <v>2005</v>
      </c>
      <c r="C13" s="236">
        <v>53</v>
      </c>
      <c r="D13" s="236"/>
      <c r="E13" s="236"/>
      <c r="F13" s="236"/>
      <c r="G13" s="237"/>
      <c r="H13" s="237"/>
      <c r="I13" s="285"/>
      <c r="J13" s="285"/>
      <c r="K13" s="1263" t="s">
        <v>1079</v>
      </c>
      <c r="L13" s="830">
        <f>39.95/1.21</f>
        <v>33.016528925619838</v>
      </c>
      <c r="M13" s="238"/>
      <c r="N13" s="228"/>
      <c r="O13" s="1304" t="s">
        <v>1867</v>
      </c>
      <c r="P13" s="228"/>
      <c r="Q13" s="228"/>
      <c r="R13" s="228"/>
      <c r="S13" s="228"/>
      <c r="T13" s="228"/>
    </row>
    <row r="14" spans="1:20" ht="15">
      <c r="A14" s="236" t="s">
        <v>1996</v>
      </c>
      <c r="B14" s="236" t="s">
        <v>761</v>
      </c>
      <c r="C14" s="236">
        <v>32</v>
      </c>
      <c r="D14" s="236"/>
      <c r="E14" s="236"/>
      <c r="F14" s="236"/>
      <c r="G14" s="237"/>
      <c r="H14" s="237"/>
      <c r="I14" s="285"/>
      <c r="J14" s="285"/>
      <c r="K14" s="1263" t="s">
        <v>1078</v>
      </c>
      <c r="L14" s="830">
        <f>64.9/1.21</f>
        <v>53.63636363636364</v>
      </c>
      <c r="M14" s="238"/>
      <c r="N14" s="228"/>
      <c r="O14" s="1304" t="s">
        <v>1079</v>
      </c>
      <c r="P14" s="228"/>
      <c r="Q14" s="228"/>
      <c r="R14" s="228"/>
      <c r="S14" s="228"/>
      <c r="T14" s="228"/>
    </row>
    <row r="15" spans="1:20" ht="15">
      <c r="A15" s="236" t="s">
        <v>1081</v>
      </c>
      <c r="B15" s="236" t="s">
        <v>762</v>
      </c>
      <c r="C15" s="236">
        <v>24</v>
      </c>
      <c r="D15" s="236"/>
      <c r="E15" s="236"/>
      <c r="F15" s="236"/>
      <c r="G15" s="237"/>
      <c r="H15" s="237"/>
      <c r="I15" s="285"/>
      <c r="J15" s="285"/>
      <c r="K15" s="237"/>
      <c r="L15" s="237"/>
      <c r="M15" s="238"/>
      <c r="N15" s="228"/>
      <c r="O15" s="1304" t="s">
        <v>1078</v>
      </c>
      <c r="P15" s="228"/>
      <c r="Q15" s="228"/>
      <c r="R15" s="228"/>
      <c r="S15" s="228"/>
      <c r="T15" s="228"/>
    </row>
    <row r="16" spans="1:20">
      <c r="A16" s="236" t="s">
        <v>1082</v>
      </c>
      <c r="B16" s="236" t="s">
        <v>1082</v>
      </c>
      <c r="C16" s="236">
        <v>15</v>
      </c>
      <c r="D16" s="236"/>
      <c r="E16" s="236"/>
      <c r="F16" s="236"/>
      <c r="G16" s="237"/>
      <c r="H16" s="237"/>
      <c r="I16" s="285"/>
      <c r="J16" s="285"/>
      <c r="K16" s="237"/>
      <c r="L16" s="237"/>
      <c r="M16" s="238"/>
      <c r="N16" s="228"/>
      <c r="O16" s="228"/>
      <c r="P16" s="228"/>
      <c r="Q16" s="228"/>
      <c r="R16" s="228"/>
      <c r="S16" s="228"/>
      <c r="T16" s="228"/>
    </row>
    <row r="17" spans="1:26">
      <c r="A17" s="236" t="s">
        <v>383</v>
      </c>
      <c r="B17" s="236" t="s">
        <v>739</v>
      </c>
      <c r="C17" s="236">
        <v>30</v>
      </c>
      <c r="D17" s="236"/>
      <c r="E17" s="236"/>
      <c r="F17" s="236"/>
      <c r="G17" s="237"/>
      <c r="H17" s="237"/>
      <c r="I17" s="285"/>
      <c r="J17" s="285"/>
      <c r="K17" s="237"/>
      <c r="L17" s="237"/>
      <c r="M17" s="238"/>
      <c r="N17" s="228"/>
      <c r="O17" s="228" t="s">
        <v>1186</v>
      </c>
      <c r="P17" s="228"/>
      <c r="Q17" s="228"/>
      <c r="R17" s="228"/>
      <c r="S17" s="228"/>
      <c r="T17" s="228"/>
    </row>
    <row r="18" spans="1:26">
      <c r="A18" s="235" t="s">
        <v>410</v>
      </c>
      <c r="B18" s="236" t="s">
        <v>411</v>
      </c>
      <c r="C18" s="236">
        <f>ROUNDUP(85*0.104,0)</f>
        <v>9</v>
      </c>
      <c r="G18" s="237"/>
      <c r="H18" s="237"/>
      <c r="K18" s="226" t="s">
        <v>1189</v>
      </c>
      <c r="L18" s="226">
        <v>15</v>
      </c>
      <c r="M18" s="238"/>
      <c r="N18" s="228"/>
      <c r="O18" s="228"/>
      <c r="P18" s="228"/>
      <c r="Q18" s="228"/>
      <c r="R18" s="228"/>
      <c r="S18" s="228"/>
      <c r="T18" s="228"/>
    </row>
    <row r="19" spans="1:26">
      <c r="A19" s="235" t="s">
        <v>412</v>
      </c>
      <c r="B19" s="236" t="s">
        <v>413</v>
      </c>
      <c r="C19" s="236">
        <v>6</v>
      </c>
      <c r="G19" s="237"/>
      <c r="H19" s="237"/>
      <c r="I19" s="239"/>
      <c r="J19" s="239"/>
      <c r="K19" s="239" t="s">
        <v>1187</v>
      </c>
      <c r="L19" s="239">
        <v>125</v>
      </c>
      <c r="M19" s="240"/>
    </row>
    <row r="20" spans="1:26">
      <c r="A20" s="235" t="s">
        <v>405</v>
      </c>
      <c r="B20" s="236" t="s">
        <v>386</v>
      </c>
      <c r="C20" s="236">
        <v>5</v>
      </c>
      <c r="D20" s="237"/>
      <c r="E20" s="237"/>
      <c r="F20" s="237"/>
      <c r="G20" s="237"/>
      <c r="H20" s="237"/>
      <c r="I20" s="239"/>
      <c r="J20" s="239"/>
      <c r="K20" s="239"/>
      <c r="L20" s="239"/>
      <c r="M20" s="240"/>
    </row>
    <row r="21" spans="1:26" ht="15" thickBot="1">
      <c r="A21" s="241" t="s">
        <v>141</v>
      </c>
      <c r="B21" s="242"/>
      <c r="C21" s="243">
        <v>0</v>
      </c>
      <c r="D21" s="242"/>
      <c r="E21" s="242"/>
      <c r="F21" s="244"/>
      <c r="G21" s="242"/>
      <c r="H21" s="242"/>
      <c r="I21" s="242"/>
      <c r="J21" s="242"/>
      <c r="K21" s="242"/>
      <c r="L21" s="242"/>
      <c r="M21" s="245"/>
    </row>
    <row r="22" spans="1:26" ht="15" thickBot="1"/>
    <row r="23" spans="1:26" ht="15.75" thickBot="1">
      <c r="A23" s="246" t="s">
        <v>451</v>
      </c>
      <c r="B23" s="252"/>
      <c r="C23" s="252"/>
      <c r="D23" s="252"/>
      <c r="E23" s="252"/>
      <c r="F23" s="252"/>
      <c r="G23" s="252"/>
      <c r="H23" s="252"/>
      <c r="I23" s="252"/>
      <c r="J23" s="252"/>
      <c r="K23" s="252"/>
      <c r="L23" s="252"/>
      <c r="M23" s="252"/>
      <c r="N23" s="252"/>
      <c r="O23" s="252"/>
      <c r="P23" s="252"/>
      <c r="Q23" s="253"/>
    </row>
    <row r="24" spans="1:26">
      <c r="A24" s="254" t="s">
        <v>383</v>
      </c>
      <c r="B24" s="255" t="s">
        <v>384</v>
      </c>
      <c r="C24" s="255" t="s">
        <v>736</v>
      </c>
      <c r="D24" s="255" t="s">
        <v>410</v>
      </c>
      <c r="E24" s="255" t="s">
        <v>412</v>
      </c>
      <c r="F24" s="255" t="s">
        <v>405</v>
      </c>
      <c r="G24" s="236" t="s">
        <v>1994</v>
      </c>
      <c r="H24" s="236" t="s">
        <v>1995</v>
      </c>
      <c r="I24" s="236" t="s">
        <v>1996</v>
      </c>
      <c r="J24" s="236" t="s">
        <v>1081</v>
      </c>
      <c r="K24" s="236" t="s">
        <v>1082</v>
      </c>
      <c r="L24" s="256" t="s">
        <v>385</v>
      </c>
      <c r="M24" s="256" t="s">
        <v>720</v>
      </c>
      <c r="N24" s="903" t="s">
        <v>390</v>
      </c>
      <c r="O24" s="903" t="s">
        <v>391</v>
      </c>
      <c r="P24" s="903" t="s">
        <v>392</v>
      </c>
      <c r="Q24" s="257" t="s">
        <v>437</v>
      </c>
      <c r="R24" s="228" t="s">
        <v>459</v>
      </c>
      <c r="S24" s="228"/>
    </row>
    <row r="25" spans="1:26">
      <c r="A25" s="250"/>
      <c r="B25" s="239"/>
      <c r="C25" s="239"/>
      <c r="D25" s="239"/>
      <c r="E25" s="239"/>
      <c r="F25" s="239"/>
      <c r="G25" s="239"/>
      <c r="H25" s="239"/>
      <c r="I25" s="239"/>
      <c r="J25" s="239"/>
      <c r="K25" s="239"/>
      <c r="L25" s="239"/>
      <c r="M25" s="239"/>
      <c r="N25" s="277"/>
      <c r="O25" s="277"/>
      <c r="P25" s="277"/>
      <c r="Q25" s="240"/>
    </row>
    <row r="26" spans="1:26">
      <c r="A26" s="235">
        <f>IF(Perfiles_usuario!$H39=A$24,Perfiles_usuario!$D39,0)</f>
        <v>0</v>
      </c>
      <c r="B26" s="236">
        <f>IF(Perfiles_usuario!$H39=B$24,Perfiles_usuario!$D39,0)</f>
        <v>0</v>
      </c>
      <c r="C26" s="236">
        <f>IF(Perfiles_usuario!$H39=C$24,Perfiles_usuario!$D39,0)</f>
        <v>0</v>
      </c>
      <c r="D26" s="236">
        <f>IF(Perfiles_usuario!$H39=D$24,Perfiles_usuario!$D39,0)</f>
        <v>0</v>
      </c>
      <c r="E26" s="236">
        <f>IF(Perfiles_usuario!$H39=E$24,Perfiles_usuario!$D39,0)</f>
        <v>0</v>
      </c>
      <c r="F26" s="236">
        <f>IF(Perfiles_usuario!$H39=F$24,Perfiles_usuario!$D39,0)</f>
        <v>0</v>
      </c>
      <c r="G26" s="236">
        <f>IF(Perfiles_usuario!$H39=G$24,Perfiles_usuario!$D39,0)</f>
        <v>0</v>
      </c>
      <c r="H26" s="236">
        <f>IF(Perfiles_usuario!$H39=H$24,Perfiles_usuario!$D39,0)</f>
        <v>1</v>
      </c>
      <c r="I26" s="236">
        <f>IF(Perfiles_usuario!$H39=I$24,Perfiles_usuario!$D39,0)</f>
        <v>0</v>
      </c>
      <c r="J26" s="236">
        <f>IF(Perfiles_usuario!$H39=J$24,Perfiles_usuario!$D39,0)</f>
        <v>0</v>
      </c>
      <c r="K26" s="236">
        <f>IF(Perfiles_usuario!$H39=K$24,Perfiles_usuario!$D39,0)</f>
        <v>0</v>
      </c>
      <c r="L26" s="236">
        <f>IF(OR(Perfiles_usuario!$J39=L$24,Perfiles_usuario!$J39="Fijo en el Móvil + CV"),Perfiles_usuario!$D39,0)</f>
        <v>0</v>
      </c>
      <c r="M26" s="236">
        <f>IF(OR(Perfiles_usuario!$J39=M$24,Perfiles_usuario!$J39="Fijo en el Móvil + CV"),Perfiles_usuario!$D39,0)</f>
        <v>0</v>
      </c>
      <c r="N26" s="904">
        <f>IF(Perfiles_usuario!$L39=N$24,Perfiles_usuario!$D39,0)</f>
        <v>0</v>
      </c>
      <c r="O26" s="904">
        <f>IF(Perfiles_usuario!$L39=O$24,Perfiles_usuario!$D39,0)</f>
        <v>0</v>
      </c>
      <c r="P26" s="904">
        <f>IF(Perfiles_usuario!$L39=P$24,Perfiles_usuario!$D39,0)</f>
        <v>0</v>
      </c>
      <c r="Q26" s="258">
        <f>IF(AND(Perfiles_usuario!N39="Sí",OR(Perfiles_usuario!H39="Sin tarifa plana (50-100 min)",Perfiles_usuario!H39="Sin tarifa plana (0-50 min)",Perfiles_usuario!H39="Fijos nacionales",Perfiles_usuario!H39="150'+300MB")),1,0)*Perfiles_usuario!D39</f>
        <v>0</v>
      </c>
      <c r="R26" s="227"/>
      <c r="S26" s="227"/>
      <c r="T26" s="227"/>
    </row>
    <row r="27" spans="1:26">
      <c r="A27" s="250"/>
      <c r="B27" s="239"/>
      <c r="C27" s="239"/>
      <c r="D27" s="239"/>
      <c r="E27" s="239"/>
      <c r="F27" s="239"/>
      <c r="G27" s="239"/>
      <c r="H27" s="239"/>
      <c r="I27" s="239"/>
      <c r="J27" s="239"/>
      <c r="K27" s="239"/>
      <c r="L27" s="239"/>
      <c r="M27" s="239"/>
      <c r="N27" s="277"/>
      <c r="O27" s="277"/>
      <c r="P27" s="277"/>
      <c r="Q27" s="258"/>
    </row>
    <row r="28" spans="1:26">
      <c r="A28" s="250"/>
      <c r="B28" s="239"/>
      <c r="C28" s="239"/>
      <c r="D28" s="239"/>
      <c r="E28" s="239"/>
      <c r="F28" s="239"/>
      <c r="G28" s="239"/>
      <c r="H28" s="239"/>
      <c r="I28" s="239"/>
      <c r="J28" s="239"/>
      <c r="K28" s="239"/>
      <c r="L28" s="239"/>
      <c r="M28" s="239"/>
      <c r="N28" s="277"/>
      <c r="O28" s="277"/>
      <c r="P28" s="277"/>
      <c r="Q28" s="258"/>
    </row>
    <row r="29" spans="1:26">
      <c r="A29" s="235">
        <f>IF(Perfiles_usuario!$H42=A$24,Perfiles_usuario!$D42,0)</f>
        <v>0</v>
      </c>
      <c r="B29" s="236">
        <f>IF(Perfiles_usuario!$H42=B$24,Perfiles_usuario!$D42,0)</f>
        <v>0</v>
      </c>
      <c r="C29" s="236">
        <f>IF(Perfiles_usuario!$H42=C$24,Perfiles_usuario!$D42,0)</f>
        <v>0</v>
      </c>
      <c r="D29" s="236">
        <f>IF(Perfiles_usuario!$H42=D$24,Perfiles_usuario!$D42,0)</f>
        <v>0</v>
      </c>
      <c r="E29" s="236">
        <f>IF(Perfiles_usuario!$H42=E$24,Perfiles_usuario!$D42,0)</f>
        <v>0</v>
      </c>
      <c r="F29" s="236">
        <f>IF(Perfiles_usuario!$H42=F$24,Perfiles_usuario!$D42,0)</f>
        <v>0</v>
      </c>
      <c r="G29" s="236">
        <f>IF(Perfiles_usuario!$H42=G$24,Perfiles_usuario!$D42,0)</f>
        <v>0</v>
      </c>
      <c r="H29" s="236">
        <f>IF(Perfiles_usuario!$H42=H$24,Perfiles_usuario!$D42,0)</f>
        <v>1</v>
      </c>
      <c r="I29" s="236">
        <f>IF(Perfiles_usuario!$H42=I$24,Perfiles_usuario!$D42,0)</f>
        <v>0</v>
      </c>
      <c r="J29" s="236">
        <f>IF(Perfiles_usuario!$H42=J$24,Perfiles_usuario!$D42,0)</f>
        <v>0</v>
      </c>
      <c r="K29" s="236">
        <f>IF(Perfiles_usuario!$H42=K$24,Perfiles_usuario!$D42,0)</f>
        <v>0</v>
      </c>
      <c r="L29" s="236">
        <f>IF(OR(Perfiles_usuario!$J42=L$24,Perfiles_usuario!$J42="Fijo en el Móvil + CV"),Perfiles_usuario!$D42,0)</f>
        <v>0</v>
      </c>
      <c r="M29" s="236">
        <f>IF(OR(Perfiles_usuario!$J42=M$24,Perfiles_usuario!$J42="Fijo en el Móvil + CV"),Perfiles_usuario!$D42,0)</f>
        <v>0</v>
      </c>
      <c r="N29" s="904">
        <f>IF(Perfiles_usuario!$L42=N$24,Perfiles_usuario!$D42,0)</f>
        <v>0</v>
      </c>
      <c r="O29" s="904">
        <f>IF(Perfiles_usuario!$L42=O$24,Perfiles_usuario!$D42,0)</f>
        <v>0</v>
      </c>
      <c r="P29" s="904">
        <f>IF(Perfiles_usuario!$L42=P$24,Perfiles_usuario!$D42,0)</f>
        <v>0</v>
      </c>
      <c r="Q29" s="258">
        <f>IF(AND(Perfiles_usuario!N42="Sí",OR(Perfiles_usuario!H42="Sin tarifa plana (50-100 min)",Perfiles_usuario!H42="Sin tarifa plana (0-50 min)",Perfiles_usuario!H42="Fijos nacionales",Perfiles_usuario!H42="150'+300MB")),1,0)*Perfiles_usuario!D42</f>
        <v>0</v>
      </c>
      <c r="R29" s="227"/>
      <c r="S29" s="227"/>
      <c r="T29" s="227"/>
    </row>
    <row r="30" spans="1:26" ht="15" thickBot="1">
      <c r="A30" s="250"/>
      <c r="B30" s="239"/>
      <c r="C30" s="239"/>
      <c r="D30" s="239"/>
      <c r="E30" s="239"/>
      <c r="F30" s="239"/>
      <c r="G30" s="239"/>
      <c r="H30" s="239"/>
      <c r="I30" s="239"/>
      <c r="J30" s="239"/>
      <c r="K30" s="239"/>
      <c r="L30" s="239"/>
      <c r="M30" s="239"/>
      <c r="N30" s="277"/>
      <c r="O30" s="277"/>
      <c r="P30" s="277"/>
      <c r="Q30" s="240"/>
    </row>
    <row r="31" spans="1:26" ht="15.75" thickBot="1">
      <c r="A31" s="250"/>
      <c r="B31" s="239"/>
      <c r="C31" s="239"/>
      <c r="D31" s="239"/>
      <c r="E31" s="239"/>
      <c r="F31" s="239"/>
      <c r="G31" s="239"/>
      <c r="H31" s="239"/>
      <c r="I31" s="239"/>
      <c r="J31" s="239"/>
      <c r="K31" s="239"/>
      <c r="L31" s="239"/>
      <c r="M31" s="239"/>
      <c r="N31" s="277"/>
      <c r="O31" s="277"/>
      <c r="P31" s="277"/>
      <c r="Q31" s="240"/>
      <c r="T31" s="2220" t="s">
        <v>1419</v>
      </c>
      <c r="U31" s="2221"/>
      <c r="V31" s="2221"/>
      <c r="W31" s="2221"/>
      <c r="X31" s="2221"/>
      <c r="Y31" s="2221"/>
      <c r="Z31" s="2222"/>
    </row>
    <row r="32" spans="1:26">
      <c r="A32" s="235">
        <f>IF(Perfiles_usuario!$H45=A$24,Perfiles_usuario!$D45,0)</f>
        <v>0</v>
      </c>
      <c r="B32" s="236">
        <f>IF(Perfiles_usuario!$H45=B$24,Perfiles_usuario!$D45,0)</f>
        <v>0</v>
      </c>
      <c r="C32" s="236">
        <f>IF(Perfiles_usuario!$H45=C$24,Perfiles_usuario!$D45,0)</f>
        <v>0</v>
      </c>
      <c r="D32" s="236">
        <f>IF(Perfiles_usuario!$H45=D$24,Perfiles_usuario!$D45,0)</f>
        <v>0</v>
      </c>
      <c r="E32" s="236">
        <f>IF(Perfiles_usuario!$H45=E$24,Perfiles_usuario!$D45,0)</f>
        <v>0</v>
      </c>
      <c r="F32" s="236">
        <f>IF(Perfiles_usuario!$H45=F$24,Perfiles_usuario!$D45,0)</f>
        <v>0</v>
      </c>
      <c r="G32" s="236">
        <f>IF(Perfiles_usuario!$H45=G$24,Perfiles_usuario!$D45,0)</f>
        <v>0</v>
      </c>
      <c r="H32" s="236">
        <f>IF(Perfiles_usuario!$H45=H$24,Perfiles_usuario!$D45,0)</f>
        <v>1</v>
      </c>
      <c r="I32" s="236">
        <f>IF(Perfiles_usuario!$H45=I$24,Perfiles_usuario!$D45,0)</f>
        <v>0</v>
      </c>
      <c r="J32" s="236">
        <f>IF(Perfiles_usuario!$H45=J$24,Perfiles_usuario!$D45,0)</f>
        <v>0</v>
      </c>
      <c r="K32" s="236">
        <f>IF(Perfiles_usuario!$H45=K$24,Perfiles_usuario!$D45,0)</f>
        <v>0</v>
      </c>
      <c r="L32" s="236">
        <f>IF(OR(Perfiles_usuario!$J45=L$24,Perfiles_usuario!$J45="Fijo en el Móvil + CV"),Perfiles_usuario!$D45,0)</f>
        <v>0</v>
      </c>
      <c r="M32" s="236">
        <f>IF(OR(Perfiles_usuario!$J45=M$24,Perfiles_usuario!$J45="Fijo en el Móvil + CV"),Perfiles_usuario!$D45,0)</f>
        <v>0</v>
      </c>
      <c r="N32" s="904">
        <f>IF(Perfiles_usuario!$L45=N$24,Perfiles_usuario!$D45,0)</f>
        <v>0</v>
      </c>
      <c r="O32" s="904">
        <f>IF(Perfiles_usuario!$L45=O$24,Perfiles_usuario!$D45,0)</f>
        <v>0</v>
      </c>
      <c r="P32" s="904">
        <f>IF(Perfiles_usuario!$L45=P$24,Perfiles_usuario!$D45,0)</f>
        <v>0</v>
      </c>
      <c r="Q32" s="258">
        <f>IF(AND(Perfiles_usuario!N45="Sí",OR(Perfiles_usuario!H45="Sin tarifa plana (50-100 min)",Perfiles_usuario!H45="Sin tarifa plana (0-50 min)",Perfiles_usuario!H45="Fijos nacionales",Perfiles_usuario!H45="150'+300MB")),1,0)*Perfiles_usuario!D45</f>
        <v>0</v>
      </c>
      <c r="R32" s="227"/>
      <c r="S32" s="227"/>
      <c r="T32" s="2216" t="s">
        <v>1414</v>
      </c>
      <c r="U32" s="2217"/>
      <c r="V32" s="1415" t="s">
        <v>1415</v>
      </c>
      <c r="W32" s="2218" t="s">
        <v>307</v>
      </c>
      <c r="X32" s="2219"/>
      <c r="Y32" s="2218" t="s">
        <v>1413</v>
      </c>
      <c r="Z32" s="2219"/>
    </row>
    <row r="33" spans="1:26" ht="15" thickBot="1">
      <c r="A33" s="250"/>
      <c r="B33" s="239"/>
      <c r="C33" s="239"/>
      <c r="D33" s="239"/>
      <c r="E33" s="239"/>
      <c r="F33" s="239"/>
      <c r="G33" s="239"/>
      <c r="H33" s="239"/>
      <c r="I33" s="239"/>
      <c r="J33" s="239"/>
      <c r="K33" s="239"/>
      <c r="L33" s="239"/>
      <c r="M33" s="239"/>
      <c r="N33" s="277"/>
      <c r="O33" s="277"/>
      <c r="P33" s="277"/>
      <c r="Q33" s="240"/>
      <c r="T33" s="1414" t="s">
        <v>1411</v>
      </c>
      <c r="U33" s="1416" t="s">
        <v>220</v>
      </c>
      <c r="V33" s="1417" t="s">
        <v>1416</v>
      </c>
      <c r="W33" s="1414" t="s">
        <v>1411</v>
      </c>
      <c r="X33" s="1416" t="s">
        <v>220</v>
      </c>
      <c r="Y33" s="1414" t="s">
        <v>1411</v>
      </c>
      <c r="Z33" s="1416" t="s">
        <v>220</v>
      </c>
    </row>
    <row r="34" spans="1:26">
      <c r="A34" s="250"/>
      <c r="B34" s="239"/>
      <c r="C34" s="239"/>
      <c r="D34" s="239"/>
      <c r="E34" s="239"/>
      <c r="F34" s="239"/>
      <c r="G34" s="239"/>
      <c r="H34" s="239"/>
      <c r="I34" s="239"/>
      <c r="J34" s="239"/>
      <c r="K34" s="239"/>
      <c r="L34" s="239"/>
      <c r="M34" s="239"/>
      <c r="N34" s="277"/>
      <c r="O34" s="277"/>
      <c r="P34" s="277"/>
      <c r="Q34" s="240"/>
      <c r="T34" s="1410">
        <v>100</v>
      </c>
      <c r="U34" s="1418">
        <v>0</v>
      </c>
      <c r="V34" s="1419">
        <v>0</v>
      </c>
      <c r="W34" s="1410">
        <f>Perfiles_usuario!D23</f>
        <v>0</v>
      </c>
      <c r="X34" s="1420">
        <f>Perfiles_usuario!E23</f>
        <v>0</v>
      </c>
      <c r="Y34" s="1410">
        <f>IF(OR(Perfiles_usuario!$J$17="Nuevo",ISBLANK(Perfiles_usuario!$J$17)),T34,W34)</f>
        <v>100</v>
      </c>
      <c r="Z34" s="1418">
        <f>IF(ISBLANK(Perfiles_usuario!$J$17),0%,IF(Perfiles_usuario!$J$17="Nuevo",U34+V34,X34))</f>
        <v>0</v>
      </c>
    </row>
    <row r="35" spans="1:26">
      <c r="A35" s="235">
        <f>IF(Perfiles_usuario!$H48=A$24,Perfiles_usuario!$D48,0)</f>
        <v>0</v>
      </c>
      <c r="B35" s="236">
        <f>IF(Perfiles_usuario!$H48=B$24,Perfiles_usuario!$D48,0)</f>
        <v>0</v>
      </c>
      <c r="C35" s="236">
        <f>IF(Perfiles_usuario!$H48=C$24,Perfiles_usuario!$D48,0)</f>
        <v>0</v>
      </c>
      <c r="D35" s="236">
        <f>IF(Perfiles_usuario!$H48=D$24,Perfiles_usuario!$D48,0)</f>
        <v>0</v>
      </c>
      <c r="E35" s="236">
        <f>IF(Perfiles_usuario!$H48=E$24,Perfiles_usuario!$D48,0)</f>
        <v>0</v>
      </c>
      <c r="F35" s="236">
        <f>IF(Perfiles_usuario!$H48=F$24,Perfiles_usuario!$D48,0)</f>
        <v>0</v>
      </c>
      <c r="G35" s="236">
        <f>IF(Perfiles_usuario!$H48=G$24,Perfiles_usuario!$D48,0)</f>
        <v>0</v>
      </c>
      <c r="H35" s="236">
        <f>IF(Perfiles_usuario!$H48=H$24,Perfiles_usuario!$D48,0)</f>
        <v>0</v>
      </c>
      <c r="I35" s="236">
        <f>IF(Perfiles_usuario!$H48=I$24,Perfiles_usuario!$D48,0)</f>
        <v>0</v>
      </c>
      <c r="J35" s="236">
        <f>IF(Perfiles_usuario!$H48=J$24,Perfiles_usuario!$D48,0)</f>
        <v>1</v>
      </c>
      <c r="K35" s="236">
        <f>IF(Perfiles_usuario!$H48=K$24,Perfiles_usuario!$D48,0)</f>
        <v>0</v>
      </c>
      <c r="L35" s="236">
        <f>IF(OR(Perfiles_usuario!$J48=L$24,Perfiles_usuario!$J48="Fijo en el Móvil + CV"),Perfiles_usuario!$D48,0)</f>
        <v>0</v>
      </c>
      <c r="M35" s="236">
        <f>IF(OR(Perfiles_usuario!$J48=M$24,Perfiles_usuario!$J48="Fijo en el Móvil + CV"),Perfiles_usuario!$D48,0)</f>
        <v>1</v>
      </c>
      <c r="N35" s="904">
        <f>IF(Perfiles_usuario!$L48=N$24,Perfiles_usuario!$D48,0)</f>
        <v>0</v>
      </c>
      <c r="O35" s="904">
        <f>IF(Perfiles_usuario!$L48=O$24,Perfiles_usuario!$D48,0)</f>
        <v>0</v>
      </c>
      <c r="P35" s="904">
        <f>IF(Perfiles_usuario!$L48=P$24,Perfiles_usuario!$D48,0)</f>
        <v>0</v>
      </c>
      <c r="Q35" s="258">
        <f>IF(AND(Perfiles_usuario!N48="Sí",OR(Perfiles_usuario!H48="Sin tarifa plana (50-100 min)",Perfiles_usuario!H48="Sin tarifa plana (0-50 min)",Perfiles_usuario!H48="Fijos nacionales",Perfiles_usuario!H48="150'+300MB")),1,0)*Perfiles_usuario!D48</f>
        <v>0</v>
      </c>
      <c r="R35" s="227"/>
      <c r="S35" s="227"/>
      <c r="T35" s="1408">
        <v>250</v>
      </c>
      <c r="U35" s="1421">
        <v>0.1</v>
      </c>
      <c r="V35" s="1422">
        <f t="shared" ref="V35:V38" si="0">IF($U$106=1,$V$106,0%)</f>
        <v>0</v>
      </c>
      <c r="W35" s="1408">
        <f>Perfiles_usuario!D24</f>
        <v>0</v>
      </c>
      <c r="X35" s="1423">
        <f>Perfiles_usuario!E24</f>
        <v>0</v>
      </c>
      <c r="Y35" s="1408">
        <f>IF(OR(Perfiles_usuario!$J$17="Nuevo",ISBLANK(Perfiles_usuario!$J$17)),T35,W35)</f>
        <v>250</v>
      </c>
      <c r="Z35" s="1421">
        <f>IF(ISBLANK(Perfiles_usuario!$J$17),0%,IF(Perfiles_usuario!$J$17="Nuevo",U35+V35,X35))</f>
        <v>0.1</v>
      </c>
    </row>
    <row r="36" spans="1:26">
      <c r="A36" s="250"/>
      <c r="B36" s="239"/>
      <c r="C36" s="239"/>
      <c r="D36" s="239"/>
      <c r="E36" s="239"/>
      <c r="F36" s="239"/>
      <c r="G36" s="239"/>
      <c r="H36" s="239"/>
      <c r="I36" s="239"/>
      <c r="J36" s="239"/>
      <c r="K36" s="239"/>
      <c r="L36" s="239"/>
      <c r="M36" s="239"/>
      <c r="N36" s="277"/>
      <c r="O36" s="277"/>
      <c r="P36" s="277"/>
      <c r="Q36" s="240"/>
      <c r="T36" s="1407">
        <v>600</v>
      </c>
      <c r="U36" s="1421">
        <v>0.26</v>
      </c>
      <c r="V36" s="1422">
        <f t="shared" si="0"/>
        <v>0</v>
      </c>
      <c r="W36" s="1407">
        <f>Perfiles_usuario!D25</f>
        <v>0</v>
      </c>
      <c r="X36" s="1423">
        <f>Perfiles_usuario!E25</f>
        <v>0</v>
      </c>
      <c r="Y36" s="1407">
        <f>IF(OR(Perfiles_usuario!$J$17="Nuevo",ISBLANK(Perfiles_usuario!$J$17)),T36,W36)</f>
        <v>600</v>
      </c>
      <c r="Z36" s="1421">
        <f>IF(ISBLANK(Perfiles_usuario!$J$17),0%,IF(Perfiles_usuario!$J$17="Nuevo",U36+V36,X36))</f>
        <v>0.26</v>
      </c>
    </row>
    <row r="37" spans="1:26">
      <c r="A37" s="250"/>
      <c r="B37" s="239"/>
      <c r="C37" s="239"/>
      <c r="D37" s="239"/>
      <c r="E37" s="239"/>
      <c r="F37" s="239"/>
      <c r="G37" s="239"/>
      <c r="H37" s="239"/>
      <c r="I37" s="239"/>
      <c r="J37" s="239"/>
      <c r="K37" s="239"/>
      <c r="L37" s="239"/>
      <c r="M37" s="239"/>
      <c r="N37" s="277"/>
      <c r="O37" s="277"/>
      <c r="P37" s="277"/>
      <c r="Q37" s="240"/>
      <c r="T37" s="1407">
        <v>900</v>
      </c>
      <c r="U37" s="1421">
        <v>0.33</v>
      </c>
      <c r="V37" s="1422">
        <f t="shared" si="0"/>
        <v>0</v>
      </c>
      <c r="W37" s="1407">
        <f>Perfiles_usuario!D26</f>
        <v>0</v>
      </c>
      <c r="X37" s="1423">
        <f>Perfiles_usuario!E26</f>
        <v>0</v>
      </c>
      <c r="Y37" s="1407">
        <f>IF(OR(Perfiles_usuario!$J$17="Nuevo",ISBLANK(Perfiles_usuario!$J$17)),T37,W37)</f>
        <v>900</v>
      </c>
      <c r="Z37" s="1421">
        <f>IF(ISBLANK(Perfiles_usuario!$J$17),0%,IF(Perfiles_usuario!$J$17="Nuevo",U37+V37,X37))</f>
        <v>0.33</v>
      </c>
    </row>
    <row r="38" spans="1:26" ht="15" thickBot="1">
      <c r="A38" s="235">
        <f>IF(Perfiles_usuario!$H51=A$24,Perfiles_usuario!$D51,0)</f>
        <v>0</v>
      </c>
      <c r="B38" s="236">
        <f>IF(Perfiles_usuario!$H51=B$24,Perfiles_usuario!$D51,0)</f>
        <v>0</v>
      </c>
      <c r="C38" s="236">
        <f>IF(Perfiles_usuario!$H51=C$24,Perfiles_usuario!$D51,0)</f>
        <v>0</v>
      </c>
      <c r="D38" s="236">
        <f>IF(Perfiles_usuario!$H51=D$24,Perfiles_usuario!$D51,0)</f>
        <v>0</v>
      </c>
      <c r="E38" s="236">
        <f>IF(Perfiles_usuario!$H51=E$24,Perfiles_usuario!$D51,0)</f>
        <v>1</v>
      </c>
      <c r="F38" s="236">
        <f>IF(Perfiles_usuario!$H51=F$24,Perfiles_usuario!$D51,0)</f>
        <v>0</v>
      </c>
      <c r="G38" s="236">
        <f>IF(Perfiles_usuario!$H51=G$24,Perfiles_usuario!$D51,0)</f>
        <v>0</v>
      </c>
      <c r="H38" s="236">
        <f>IF(Perfiles_usuario!$H51=H$24,Perfiles_usuario!$D51,0)</f>
        <v>0</v>
      </c>
      <c r="I38" s="236">
        <f>IF(Perfiles_usuario!$H51=I$24,Perfiles_usuario!$D51,0)</f>
        <v>0</v>
      </c>
      <c r="J38" s="236">
        <f>IF(Perfiles_usuario!$H51=J$24,Perfiles_usuario!$D51,0)</f>
        <v>0</v>
      </c>
      <c r="K38" s="236">
        <f>IF(Perfiles_usuario!$H51=K$24,Perfiles_usuario!$D51,0)</f>
        <v>0</v>
      </c>
      <c r="L38" s="236">
        <f>IF(OR(Perfiles_usuario!$J51=L$24,Perfiles_usuario!$J51="Fijo en el Móvil + CV"),Perfiles_usuario!$D51,0)</f>
        <v>0</v>
      </c>
      <c r="M38" s="236">
        <f>IF(OR(Perfiles_usuario!$J51=M$24,Perfiles_usuario!$J51="Fijo en el Móvil + CV"),Perfiles_usuario!$D51,0)</f>
        <v>0</v>
      </c>
      <c r="N38" s="904">
        <f>IF(Perfiles_usuario!$L51=N$24,Perfiles_usuario!$D51,0)</f>
        <v>0</v>
      </c>
      <c r="O38" s="904">
        <f>IF(Perfiles_usuario!$L51=O$24,Perfiles_usuario!$D51,0)</f>
        <v>0</v>
      </c>
      <c r="P38" s="904">
        <f>IF(Perfiles_usuario!$L51=P$24,Perfiles_usuario!$D51,0)</f>
        <v>0</v>
      </c>
      <c r="Q38" s="258">
        <f>IF(AND(Perfiles_usuario!N51="Sí",OR(Perfiles_usuario!H51="Sin tarifa plana (50-100 min)",Perfiles_usuario!H51="Sin tarifa plana (0-50 min)",Perfiles_usuario!H51="Fijos nacionales",Perfiles_usuario!H51="150'+300MB")),1,0)*Perfiles_usuario!D51</f>
        <v>0</v>
      </c>
      <c r="R38" s="227"/>
      <c r="S38" s="227"/>
      <c r="T38" s="1409">
        <v>10000000000</v>
      </c>
      <c r="U38" s="1424">
        <v>0.4</v>
      </c>
      <c r="V38" s="1425">
        <f t="shared" si="0"/>
        <v>0</v>
      </c>
      <c r="W38" s="1409">
        <v>1000000000</v>
      </c>
      <c r="X38" s="1426">
        <f>Perfiles_usuario!E27</f>
        <v>0</v>
      </c>
      <c r="Y38" s="1409">
        <f>IF(OR(Perfiles_usuario!$J$17="Nuevo",ISBLANK(Perfiles_usuario!$J$17)),T38,W38)</f>
        <v>10000000000</v>
      </c>
      <c r="Z38" s="1424">
        <f>IF(ISBLANK(Perfiles_usuario!$J$17),0%,IF(Perfiles_usuario!$J$17="Nuevo",U38+V38,X38))</f>
        <v>0.4</v>
      </c>
    </row>
    <row r="39" spans="1:26">
      <c r="A39" s="250"/>
      <c r="B39" s="239"/>
      <c r="C39" s="239"/>
      <c r="D39" s="239"/>
      <c r="E39" s="239"/>
      <c r="F39" s="239"/>
      <c r="G39" s="239"/>
      <c r="H39" s="239"/>
      <c r="I39" s="239"/>
      <c r="J39" s="239"/>
      <c r="K39" s="239"/>
      <c r="L39" s="239"/>
      <c r="M39" s="239"/>
      <c r="N39" s="277"/>
      <c r="O39" s="277"/>
      <c r="P39" s="277"/>
      <c r="Q39" s="240"/>
    </row>
    <row r="40" spans="1:26" ht="15" thickBot="1">
      <c r="A40" s="250"/>
      <c r="B40" s="239"/>
      <c r="C40" s="239"/>
      <c r="D40" s="239"/>
      <c r="E40" s="239"/>
      <c r="F40" s="239"/>
      <c r="G40" s="239"/>
      <c r="H40" s="239"/>
      <c r="I40" s="239"/>
      <c r="J40" s="239"/>
      <c r="K40" s="239"/>
      <c r="L40" s="239"/>
      <c r="M40" s="239"/>
      <c r="N40" s="277"/>
      <c r="O40" s="277"/>
      <c r="P40" s="277"/>
      <c r="Q40" s="240"/>
    </row>
    <row r="41" spans="1:26" ht="15.75" thickBot="1">
      <c r="A41" s="235">
        <f>IF(Perfiles_usuario!$H54=A$24,Perfiles_usuario!$D54,0)</f>
        <v>0</v>
      </c>
      <c r="B41" s="236">
        <f>IF(Perfiles_usuario!$H54=B$24,Perfiles_usuario!$D54,0)</f>
        <v>0</v>
      </c>
      <c r="C41" s="236">
        <f>IF(Perfiles_usuario!$H54=C$24,Perfiles_usuario!$D54,0)</f>
        <v>0</v>
      </c>
      <c r="D41" s="236">
        <f>IF(Perfiles_usuario!$H54=D$24,Perfiles_usuario!$D54,0)</f>
        <v>0</v>
      </c>
      <c r="E41" s="236">
        <f>IF(Perfiles_usuario!$H54=E$24,Perfiles_usuario!$D54,0)</f>
        <v>0</v>
      </c>
      <c r="F41" s="236">
        <f>IF(Perfiles_usuario!$H54=F$24,Perfiles_usuario!$D54,0)</f>
        <v>0</v>
      </c>
      <c r="G41" s="236">
        <f>IF(Perfiles_usuario!$H54=G$24,Perfiles_usuario!$D54,0)</f>
        <v>0</v>
      </c>
      <c r="H41" s="236">
        <f>IF(Perfiles_usuario!$H54=H$24,Perfiles_usuario!$D54,0)</f>
        <v>0</v>
      </c>
      <c r="I41" s="236">
        <f>IF(Perfiles_usuario!$H54=I$24,Perfiles_usuario!$D54,0)</f>
        <v>0</v>
      </c>
      <c r="J41" s="236">
        <f>IF(Perfiles_usuario!$H54=J$24,Perfiles_usuario!$D54,0)</f>
        <v>0</v>
      </c>
      <c r="K41" s="236">
        <f>IF(Perfiles_usuario!$H54=K$24,Perfiles_usuario!$D54,0)</f>
        <v>0</v>
      </c>
      <c r="L41" s="236">
        <f>IF(OR(Perfiles_usuario!$J54=L$24,Perfiles_usuario!$J54="Fijo en el Móvil + CV"),Perfiles_usuario!$D54,0)</f>
        <v>0</v>
      </c>
      <c r="M41" s="236">
        <f>IF(OR(Perfiles_usuario!$J54=M$24,Perfiles_usuario!$J54="Fijo en el Móvil + CV"),Perfiles_usuario!$D54,0)</f>
        <v>0</v>
      </c>
      <c r="N41" s="904">
        <f>IF(Perfiles_usuario!$L54=N$24,Perfiles_usuario!$D54,0)</f>
        <v>0</v>
      </c>
      <c r="O41" s="904">
        <f>IF(Perfiles_usuario!$L54=O$24,Perfiles_usuario!$D54,0)</f>
        <v>0</v>
      </c>
      <c r="P41" s="904">
        <f>IF(Perfiles_usuario!$L54=P$24,Perfiles_usuario!$D54,0)</f>
        <v>0</v>
      </c>
      <c r="Q41" s="258">
        <f>IF(AND(Perfiles_usuario!N54="Sí",OR(Perfiles_usuario!H54="Sin tarifa plana (50-100 min)",Perfiles_usuario!H54="Sin tarifa plana (0-50 min)",Perfiles_usuario!H54="Fijos nacionales",Perfiles_usuario!H54="150'+300MB")),1,0)*Perfiles_usuario!D54</f>
        <v>0</v>
      </c>
      <c r="R41" s="227"/>
      <c r="S41" s="227"/>
      <c r="T41" s="2223" t="s">
        <v>1417</v>
      </c>
      <c r="U41" s="2224"/>
      <c r="V41" s="2224"/>
      <c r="W41" s="2225"/>
    </row>
    <row r="42" spans="1:26" ht="15" thickBot="1">
      <c r="A42" s="250"/>
      <c r="B42" s="239"/>
      <c r="C42" s="239"/>
      <c r="D42" s="239"/>
      <c r="E42" s="239"/>
      <c r="F42" s="239"/>
      <c r="G42" s="239"/>
      <c r="H42" s="239"/>
      <c r="I42" s="239"/>
      <c r="J42" s="239"/>
      <c r="K42" s="239"/>
      <c r="L42" s="239"/>
      <c r="M42" s="239"/>
      <c r="N42" s="277"/>
      <c r="O42" s="277"/>
      <c r="P42" s="277"/>
      <c r="Q42" s="240"/>
      <c r="T42" s="1412" t="s">
        <v>1412</v>
      </c>
      <c r="U42" s="1427" t="s">
        <v>1415</v>
      </c>
      <c r="V42" s="1427" t="s">
        <v>307</v>
      </c>
      <c r="W42" s="1413" t="s">
        <v>1418</v>
      </c>
    </row>
    <row r="43" spans="1:26" ht="15" thickBot="1">
      <c r="A43" s="250"/>
      <c r="B43" s="239"/>
      <c r="C43" s="239"/>
      <c r="D43" s="239"/>
      <c r="E43" s="239"/>
      <c r="F43" s="239"/>
      <c r="G43" s="239"/>
      <c r="H43" s="239"/>
      <c r="I43" s="239"/>
      <c r="J43" s="239"/>
      <c r="K43" s="239"/>
      <c r="L43" s="239"/>
      <c r="M43" s="239"/>
      <c r="N43" s="277"/>
      <c r="O43" s="277"/>
      <c r="P43" s="277"/>
      <c r="Q43" s="240"/>
      <c r="T43" s="1411">
        <f>H347</f>
        <v>0.1</v>
      </c>
      <c r="U43" s="1428">
        <v>0</v>
      </c>
      <c r="V43" s="1431">
        <f>Perfiles_usuario!E29</f>
        <v>0</v>
      </c>
      <c r="W43" s="1429">
        <f>IF(ISBLANK(Perfiles_usuario!$J$17),0%,IF(Perfiles_usuario!$J$17="Nuevo",T43+U43,V43))</f>
        <v>0.1</v>
      </c>
    </row>
    <row r="44" spans="1:26" ht="15" thickBot="1">
      <c r="A44" s="235">
        <f>IF(Perfiles_usuario!$H57=A$24,Perfiles_usuario!$D57,0)</f>
        <v>0</v>
      </c>
      <c r="B44" s="236">
        <f>IF(Perfiles_usuario!$H57=B$24,Perfiles_usuario!$D57,0)</f>
        <v>0</v>
      </c>
      <c r="C44" s="236">
        <f>IF(Perfiles_usuario!$H57=C$24,Perfiles_usuario!$D57,0)</f>
        <v>0</v>
      </c>
      <c r="D44" s="236">
        <f>IF(Perfiles_usuario!$H57=D$24,Perfiles_usuario!$D57,0)</f>
        <v>0</v>
      </c>
      <c r="E44" s="236">
        <f>IF(Perfiles_usuario!$H57=E$24,Perfiles_usuario!$D57,0)</f>
        <v>0</v>
      </c>
      <c r="F44" s="236">
        <f>IF(Perfiles_usuario!$H57=F$24,Perfiles_usuario!$D57,0)</f>
        <v>0</v>
      </c>
      <c r="G44" s="236">
        <f>IF(Perfiles_usuario!$H57=G$24,Perfiles_usuario!$D57,0)</f>
        <v>0</v>
      </c>
      <c r="H44" s="236">
        <f>IF(Perfiles_usuario!$H57=H$24,Perfiles_usuario!$D57,0)</f>
        <v>0</v>
      </c>
      <c r="I44" s="236">
        <f>IF(Perfiles_usuario!$H57=I$24,Perfiles_usuario!$D57,0)</f>
        <v>0</v>
      </c>
      <c r="J44" s="236">
        <f>IF(Perfiles_usuario!$H57=J$24,Perfiles_usuario!$D57,0)</f>
        <v>0</v>
      </c>
      <c r="K44" s="236">
        <f>IF(Perfiles_usuario!$H57=K$24,Perfiles_usuario!$D57,0)</f>
        <v>0</v>
      </c>
      <c r="L44" s="236">
        <f>IF(OR(Perfiles_usuario!$J57=L$24,Perfiles_usuario!$J57="Fijo en el Móvil + CV"),Perfiles_usuario!$D57,0)</f>
        <v>0</v>
      </c>
      <c r="M44" s="236">
        <f>IF(OR(Perfiles_usuario!$J57=M$24,Perfiles_usuario!$J57="Fijo en el Móvil + CV"),Perfiles_usuario!$D57,0)</f>
        <v>0</v>
      </c>
      <c r="N44" s="904">
        <f>IF(Perfiles_usuario!$L57=N$24,Perfiles_usuario!$D57,0)</f>
        <v>0</v>
      </c>
      <c r="O44" s="904">
        <f>IF(Perfiles_usuario!$L57=O$24,Perfiles_usuario!$D57,0)</f>
        <v>0</v>
      </c>
      <c r="P44" s="904">
        <f>IF(Perfiles_usuario!$L57=P$24,Perfiles_usuario!$D57,0)</f>
        <v>0</v>
      </c>
      <c r="Q44" s="258">
        <f>IF(AND(Perfiles_usuario!N57="Sí",OR(Perfiles_usuario!H57="Sin tarifa plana (50-100 min)",Perfiles_usuario!H57="Sin tarifa plana (0-50 min)",Perfiles_usuario!H57="Fijos nacionales",Perfiles_usuario!H57="150'+300MB")),1,0)*Perfiles_usuario!D57</f>
        <v>0</v>
      </c>
      <c r="R44" s="227"/>
      <c r="S44" s="227"/>
      <c r="T44" s="227"/>
      <c r="U44" s="1430"/>
      <c r="V44" s="1430"/>
      <c r="W44" s="1430"/>
    </row>
    <row r="45" spans="1:26" ht="15.75" thickBot="1">
      <c r="A45" s="250"/>
      <c r="B45" s="239"/>
      <c r="C45" s="239"/>
      <c r="D45" s="239"/>
      <c r="E45" s="239"/>
      <c r="F45" s="239"/>
      <c r="G45" s="239"/>
      <c r="H45" s="239"/>
      <c r="I45" s="239"/>
      <c r="J45" s="239"/>
      <c r="K45" s="239"/>
      <c r="L45" s="239"/>
      <c r="M45" s="239"/>
      <c r="N45" s="277"/>
      <c r="O45" s="277"/>
      <c r="P45" s="277"/>
      <c r="Q45" s="240"/>
      <c r="T45" s="2223" t="s">
        <v>694</v>
      </c>
      <c r="U45" s="2224"/>
      <c r="V45" s="2224"/>
      <c r="W45" s="2225"/>
    </row>
    <row r="46" spans="1:26" ht="15" thickBot="1">
      <c r="A46" s="250"/>
      <c r="B46" s="239"/>
      <c r="C46" s="239"/>
      <c r="D46" s="239"/>
      <c r="E46" s="239"/>
      <c r="F46" s="239"/>
      <c r="G46" s="239"/>
      <c r="H46" s="239"/>
      <c r="I46" s="239"/>
      <c r="J46" s="239"/>
      <c r="K46" s="239"/>
      <c r="L46" s="239"/>
      <c r="M46" s="239"/>
      <c r="N46" s="277"/>
      <c r="O46" s="277"/>
      <c r="P46" s="277"/>
      <c r="Q46" s="240"/>
      <c r="T46" s="1412" t="s">
        <v>1412</v>
      </c>
      <c r="U46" s="1427" t="s">
        <v>1415</v>
      </c>
      <c r="V46" s="1427" t="s">
        <v>307</v>
      </c>
      <c r="W46" s="1413" t="s">
        <v>1418</v>
      </c>
    </row>
    <row r="47" spans="1:26" ht="15" thickBot="1">
      <c r="A47" s="235">
        <f>IF(Perfiles_usuario!$H60=A$24,Perfiles_usuario!$D60,0)</f>
        <v>0</v>
      </c>
      <c r="B47" s="236">
        <f>IF(Perfiles_usuario!$H60=B$24,Perfiles_usuario!$D60,0)</f>
        <v>0</v>
      </c>
      <c r="C47" s="236">
        <f>IF(Perfiles_usuario!$H60=C$24,Perfiles_usuario!$D60,0)</f>
        <v>0</v>
      </c>
      <c r="D47" s="236">
        <f>IF(Perfiles_usuario!$H60=D$24,Perfiles_usuario!$D60,0)</f>
        <v>0</v>
      </c>
      <c r="E47" s="236">
        <f>IF(Perfiles_usuario!$H60=E$24,Perfiles_usuario!$D60,0)</f>
        <v>0</v>
      </c>
      <c r="F47" s="236">
        <f>IF(Perfiles_usuario!$H60=F$24,Perfiles_usuario!$D60,0)</f>
        <v>0</v>
      </c>
      <c r="G47" s="236">
        <f>IF(Perfiles_usuario!$H60=G$24,Perfiles_usuario!$D60,0)</f>
        <v>0</v>
      </c>
      <c r="H47" s="236">
        <f>IF(Perfiles_usuario!$H60=H$24,Perfiles_usuario!$D60,0)</f>
        <v>0</v>
      </c>
      <c r="I47" s="236">
        <f>IF(Perfiles_usuario!$H60=I$24,Perfiles_usuario!$D60,0)</f>
        <v>0</v>
      </c>
      <c r="J47" s="236">
        <f>IF(Perfiles_usuario!$H60=J$24,Perfiles_usuario!$D60,0)</f>
        <v>0</v>
      </c>
      <c r="K47" s="236">
        <f>IF(Perfiles_usuario!$H60=K$24,Perfiles_usuario!$D60,0)</f>
        <v>0</v>
      </c>
      <c r="L47" s="236">
        <f>IF(OR(Perfiles_usuario!$J60=L$24,Perfiles_usuario!$J60="Fijo en el Móvil + CV"),Perfiles_usuario!$D60,0)</f>
        <v>0</v>
      </c>
      <c r="M47" s="236">
        <f>IF(OR(Perfiles_usuario!$J60=M$24,Perfiles_usuario!$J60="Fijo en el Móvil + CV"),Perfiles_usuario!$D60,0)</f>
        <v>0</v>
      </c>
      <c r="N47" s="904">
        <f>IF(Perfiles_usuario!$L60=N$24,Perfiles_usuario!$D60,0)</f>
        <v>0</v>
      </c>
      <c r="O47" s="904">
        <f>IF(Perfiles_usuario!$L60=O$24,Perfiles_usuario!$D60,0)</f>
        <v>0</v>
      </c>
      <c r="P47" s="904">
        <f>IF(Perfiles_usuario!$L60=P$24,Perfiles_usuario!$D60,0)</f>
        <v>0</v>
      </c>
      <c r="Q47" s="258">
        <f>IF(AND(Perfiles_usuario!N60="Sí",OR(Perfiles_usuario!H60="Sin tarifa plana (50-100 min)",Perfiles_usuario!H60="Sin tarifa plana (0-50 min)",Perfiles_usuario!H60="Fijos nacionales",Perfiles_usuario!H60="150'+300MB")),1,0)*Perfiles_usuario!D60</f>
        <v>0</v>
      </c>
      <c r="R47" s="227"/>
      <c r="S47" s="227"/>
      <c r="T47" s="1411">
        <v>0.15</v>
      </c>
      <c r="U47" s="1428">
        <v>0</v>
      </c>
      <c r="V47" s="1431">
        <f>Perfiles_usuario!E31</f>
        <v>0</v>
      </c>
      <c r="W47" s="1429">
        <f>IF(ISBLANK(Perfiles_usuario!$J$17),0%,IF(Perfiles_usuario!$J$17="Nuevo",T47+U47,V47))</f>
        <v>0.15</v>
      </c>
    </row>
    <row r="48" spans="1:26">
      <c r="A48" s="250"/>
      <c r="B48" s="239"/>
      <c r="C48" s="239"/>
      <c r="D48" s="239"/>
      <c r="E48" s="239"/>
      <c r="F48" s="239"/>
      <c r="G48" s="239"/>
      <c r="H48" s="239"/>
      <c r="I48" s="239"/>
      <c r="J48" s="239"/>
      <c r="K48" s="239"/>
      <c r="L48" s="239"/>
      <c r="M48" s="239"/>
      <c r="N48" s="277"/>
      <c r="O48" s="277"/>
      <c r="P48" s="277"/>
      <c r="Q48" s="240"/>
    </row>
    <row r="49" spans="1:20">
      <c r="A49" s="250"/>
      <c r="B49" s="239"/>
      <c r="C49" s="239"/>
      <c r="D49" s="239"/>
      <c r="E49" s="239"/>
      <c r="F49" s="239"/>
      <c r="G49" s="239"/>
      <c r="H49" s="239"/>
      <c r="I49" s="239"/>
      <c r="J49" s="239"/>
      <c r="K49" s="239"/>
      <c r="L49" s="239"/>
      <c r="M49" s="239"/>
      <c r="N49" s="277"/>
      <c r="O49" s="277"/>
      <c r="P49" s="277"/>
      <c r="Q49" s="240"/>
    </row>
    <row r="50" spans="1:20">
      <c r="A50" s="235">
        <f>IF(Perfiles_usuario!$H63=A$24,Perfiles_usuario!$D63,0)</f>
        <v>0</v>
      </c>
      <c r="B50" s="236">
        <f>IF(Perfiles_usuario!$H63=B$24,Perfiles_usuario!$D63,0)</f>
        <v>0</v>
      </c>
      <c r="C50" s="236">
        <f>IF(Perfiles_usuario!$H63=C$24,Perfiles_usuario!$D63,0)</f>
        <v>0</v>
      </c>
      <c r="D50" s="236">
        <f>IF(Perfiles_usuario!$H63=D$24,Perfiles_usuario!$D63,0)</f>
        <v>0</v>
      </c>
      <c r="E50" s="236">
        <f>IF(Perfiles_usuario!$H63=E$24,Perfiles_usuario!$D63,0)</f>
        <v>0</v>
      </c>
      <c r="F50" s="236">
        <f>IF(Perfiles_usuario!$H63=F$24,Perfiles_usuario!$D63,0)</f>
        <v>0</v>
      </c>
      <c r="G50" s="236">
        <f>IF(Perfiles_usuario!$H63=G$24,Perfiles_usuario!$D63,0)</f>
        <v>0</v>
      </c>
      <c r="H50" s="236">
        <f>IF(Perfiles_usuario!$H63=H$24,Perfiles_usuario!$D63,0)</f>
        <v>0</v>
      </c>
      <c r="I50" s="236">
        <f>IF(Perfiles_usuario!$H63=I$24,Perfiles_usuario!$D63,0)</f>
        <v>0</v>
      </c>
      <c r="J50" s="236">
        <f>IF(Perfiles_usuario!$H63=J$24,Perfiles_usuario!$D63,0)</f>
        <v>0</v>
      </c>
      <c r="K50" s="236">
        <f>IF(Perfiles_usuario!$H63=K$24,Perfiles_usuario!$D63,0)</f>
        <v>0</v>
      </c>
      <c r="L50" s="236">
        <f>IF(OR(Perfiles_usuario!$J63=L$24,Perfiles_usuario!$J63="Fijo en el Móvil + CV"),Perfiles_usuario!$D63,0)</f>
        <v>0</v>
      </c>
      <c r="M50" s="236">
        <f>IF(OR(Perfiles_usuario!$J63=M$24,Perfiles_usuario!$J63="Fijo en el Móvil + CV"),Perfiles_usuario!$D63,0)</f>
        <v>0</v>
      </c>
      <c r="N50" s="904">
        <f>IF(Perfiles_usuario!$L63=N$24,Perfiles_usuario!$D63,0)</f>
        <v>0</v>
      </c>
      <c r="O50" s="904">
        <f>IF(Perfiles_usuario!$L63=O$24,Perfiles_usuario!$D63,0)</f>
        <v>0</v>
      </c>
      <c r="P50" s="904">
        <f>IF(Perfiles_usuario!$L63=P$24,Perfiles_usuario!$D63,0)</f>
        <v>0</v>
      </c>
      <c r="Q50" s="258">
        <f>IF(AND(Perfiles_usuario!N63="Sí",OR(Perfiles_usuario!H63="Sin tarifa plana (50-100 min)",Perfiles_usuario!H63="Sin tarifa plana (0-50 min)",Perfiles_usuario!H63="Fijos nacionales",Perfiles_usuario!H63="150'+300MB")),1,0)*Perfiles_usuario!D63</f>
        <v>0</v>
      </c>
      <c r="R50" s="227"/>
      <c r="S50" s="227"/>
      <c r="T50" s="227"/>
    </row>
    <row r="51" spans="1:20">
      <c r="A51" s="250"/>
      <c r="B51" s="239"/>
      <c r="C51" s="239"/>
      <c r="D51" s="239"/>
      <c r="E51" s="239"/>
      <c r="F51" s="239"/>
      <c r="G51" s="239"/>
      <c r="H51" s="239"/>
      <c r="I51" s="239"/>
      <c r="J51" s="239"/>
      <c r="K51" s="239"/>
      <c r="L51" s="239"/>
      <c r="M51" s="239"/>
      <c r="N51" s="277"/>
      <c r="O51" s="277"/>
      <c r="P51" s="277"/>
      <c r="Q51" s="240"/>
    </row>
    <row r="52" spans="1:20">
      <c r="A52" s="250"/>
      <c r="B52" s="239"/>
      <c r="C52" s="239"/>
      <c r="D52" s="239"/>
      <c r="E52" s="239"/>
      <c r="F52" s="239"/>
      <c r="G52" s="239"/>
      <c r="H52" s="239"/>
      <c r="I52" s="239"/>
      <c r="J52" s="239"/>
      <c r="K52" s="239"/>
      <c r="L52" s="239"/>
      <c r="M52" s="239"/>
      <c r="N52" s="277"/>
      <c r="O52" s="277"/>
      <c r="P52" s="277"/>
      <c r="Q52" s="240"/>
    </row>
    <row r="53" spans="1:20">
      <c r="A53" s="235">
        <f>IF(Perfiles_usuario!$H66=A$24,Perfiles_usuario!$D66,0)</f>
        <v>0</v>
      </c>
      <c r="B53" s="236">
        <f>IF(Perfiles_usuario!$H66=B$24,Perfiles_usuario!$D66,0)</f>
        <v>0</v>
      </c>
      <c r="C53" s="236">
        <f>IF(Perfiles_usuario!$H66=C$24,Perfiles_usuario!$D66,0)</f>
        <v>0</v>
      </c>
      <c r="D53" s="236">
        <f>IF(Perfiles_usuario!$H66=D$24,Perfiles_usuario!$D66,0)</f>
        <v>0</v>
      </c>
      <c r="E53" s="236">
        <f>IF(Perfiles_usuario!$H66=E$24,Perfiles_usuario!$D66,0)</f>
        <v>0</v>
      </c>
      <c r="F53" s="236">
        <f>IF(Perfiles_usuario!$H66=F$24,Perfiles_usuario!$D66,0)</f>
        <v>0</v>
      </c>
      <c r="G53" s="236">
        <f>IF(Perfiles_usuario!$H66=G$24,Perfiles_usuario!$D66,0)</f>
        <v>0</v>
      </c>
      <c r="H53" s="236">
        <f>IF(Perfiles_usuario!$H66=H$24,Perfiles_usuario!$D66,0)</f>
        <v>0</v>
      </c>
      <c r="I53" s="236">
        <f>IF(Perfiles_usuario!$H66=I$24,Perfiles_usuario!$D66,0)</f>
        <v>0</v>
      </c>
      <c r="J53" s="236">
        <f>IF(Perfiles_usuario!$H66=J$24,Perfiles_usuario!$D66,0)</f>
        <v>0</v>
      </c>
      <c r="K53" s="236">
        <f>IF(Perfiles_usuario!$H66=K$24,Perfiles_usuario!$D66,0)</f>
        <v>0</v>
      </c>
      <c r="L53" s="236">
        <f>IF(OR(Perfiles_usuario!$J66=L$24,Perfiles_usuario!$J66="Fijo en el Móvil + CV"),Perfiles_usuario!$D66,0)</f>
        <v>0</v>
      </c>
      <c r="M53" s="236">
        <f>IF(OR(Perfiles_usuario!$J66=M$24,Perfiles_usuario!$J66="Fijo en el Móvil + CV"),Perfiles_usuario!$D66,0)</f>
        <v>0</v>
      </c>
      <c r="N53" s="904">
        <f>IF(Perfiles_usuario!$L66=N$24,Perfiles_usuario!$D66,0)</f>
        <v>0</v>
      </c>
      <c r="O53" s="904">
        <f>IF(Perfiles_usuario!$L66=O$24,Perfiles_usuario!$D66,0)</f>
        <v>0</v>
      </c>
      <c r="P53" s="904">
        <f>IF(Perfiles_usuario!$L66=P$24,Perfiles_usuario!$D66,0)</f>
        <v>0</v>
      </c>
      <c r="Q53" s="258">
        <f>IF(AND(Perfiles_usuario!N66="Sí",OR(Perfiles_usuario!H66="Sin tarifa plana (50-100 min)",Perfiles_usuario!H66="Sin tarifa plana (0-50 min)",Perfiles_usuario!H66="Fijos nacionales",Perfiles_usuario!H66="150'+300MB")),1,0)*Perfiles_usuario!D66</f>
        <v>0</v>
      </c>
      <c r="R53" s="227"/>
      <c r="S53" s="227"/>
      <c r="T53" s="227"/>
    </row>
    <row r="54" spans="1:20">
      <c r="A54" s="250"/>
      <c r="B54" s="239"/>
      <c r="C54" s="239"/>
      <c r="D54" s="239"/>
      <c r="E54" s="239"/>
      <c r="F54" s="239"/>
      <c r="G54" s="239"/>
      <c r="H54" s="239"/>
      <c r="I54" s="239"/>
      <c r="J54" s="239"/>
      <c r="K54" s="239"/>
      <c r="L54" s="239"/>
      <c r="M54" s="239"/>
      <c r="N54" s="277"/>
      <c r="O54" s="277"/>
      <c r="P54" s="277"/>
      <c r="Q54" s="240"/>
    </row>
    <row r="55" spans="1:20">
      <c r="A55" s="235">
        <f>IF(Perfiles_usuario!$H68=A$24,Perfiles_usuario!$D68,0)</f>
        <v>0</v>
      </c>
      <c r="B55" s="236">
        <f>IF(Perfiles_usuario!$H68=B$24,Perfiles_usuario!$D68,0)</f>
        <v>0</v>
      </c>
      <c r="C55" s="236">
        <f>IF(Perfiles_usuario!$H68=C$24,Perfiles_usuario!$D68,0)</f>
        <v>0</v>
      </c>
      <c r="D55" s="236">
        <f>IF(Perfiles_usuario!$H68=D$24,Perfiles_usuario!$D68,0)</f>
        <v>0</v>
      </c>
      <c r="E55" s="236">
        <f>IF(Perfiles_usuario!$H68=E$24,Perfiles_usuario!$D68,0)</f>
        <v>0</v>
      </c>
      <c r="F55" s="236">
        <f>IF(Perfiles_usuario!$H68=F$24,Perfiles_usuario!$D68,0)</f>
        <v>0</v>
      </c>
      <c r="G55" s="236">
        <f>IF(Perfiles_usuario!$H68=G$24,Perfiles_usuario!$D68,0)</f>
        <v>0</v>
      </c>
      <c r="H55" s="236">
        <f>IF(Perfiles_usuario!$H68=H$24,Perfiles_usuario!$D68,0)</f>
        <v>0</v>
      </c>
      <c r="I55" s="236">
        <f>IF(Perfiles_usuario!$H68=I$24,Perfiles_usuario!$D68,0)</f>
        <v>0</v>
      </c>
      <c r="J55" s="236">
        <f>IF(Perfiles_usuario!$H68=J$24,Perfiles_usuario!$D68,0)</f>
        <v>0</v>
      </c>
      <c r="K55" s="236">
        <f>IF(Perfiles_usuario!$H68=K$24,Perfiles_usuario!$D68,0)</f>
        <v>0</v>
      </c>
      <c r="L55" s="236">
        <f>IF(OR(Perfiles_usuario!$J68=L$24,Perfiles_usuario!$J68="Fijo en el Móvil + CV"),Perfiles_usuario!$D68,0)</f>
        <v>0</v>
      </c>
      <c r="M55" s="236">
        <f>IF(OR(Perfiles_usuario!$J68=M$24,Perfiles_usuario!$J68="Fijo en el Móvil + CV"),Perfiles_usuario!$D68,0)</f>
        <v>0</v>
      </c>
      <c r="N55" s="904">
        <f>IF(Perfiles_usuario!$L68=N$24,Perfiles_usuario!$D68,0)</f>
        <v>0</v>
      </c>
      <c r="O55" s="904">
        <f>IF(Perfiles_usuario!$L68=O$24,Perfiles_usuario!$D68,0)</f>
        <v>0</v>
      </c>
      <c r="P55" s="904">
        <f>IF(Perfiles_usuario!$L68=P$24,Perfiles_usuario!$D68,0)</f>
        <v>0</v>
      </c>
      <c r="Q55" s="258">
        <f>IF(AND(Perfiles_usuario!N68="Sí",OR(Perfiles_usuario!H68="Sin tarifa plana (50-100 min)",Perfiles_usuario!H68="Sin tarifa plana (0-50 min)",Perfiles_usuario!H68="Fijos nacionales",Perfiles_usuario!H68="150'+300MB")),1,0)*Perfiles_usuario!D68</f>
        <v>0</v>
      </c>
    </row>
    <row r="56" spans="1:20">
      <c r="A56" s="250"/>
      <c r="B56" s="239"/>
      <c r="C56" s="239"/>
      <c r="D56" s="239"/>
      <c r="E56" s="239"/>
      <c r="F56" s="239"/>
      <c r="G56" s="239"/>
      <c r="H56" s="239"/>
      <c r="I56" s="239"/>
      <c r="J56" s="239"/>
      <c r="K56" s="239"/>
      <c r="L56" s="239"/>
      <c r="M56" s="239"/>
      <c r="N56" s="277"/>
      <c r="O56" s="277"/>
      <c r="P56" s="277"/>
      <c r="Q56" s="240"/>
    </row>
    <row r="57" spans="1:20">
      <c r="A57" s="235">
        <f>IF(Perfiles_usuario!$H70=A$24,Perfiles_usuario!$D70,0)</f>
        <v>0</v>
      </c>
      <c r="B57" s="236">
        <f>IF(Perfiles_usuario!$H70=B$24,Perfiles_usuario!$D70,0)</f>
        <v>0</v>
      </c>
      <c r="C57" s="236">
        <f>IF(Perfiles_usuario!$H70=C$24,Perfiles_usuario!$D70,0)</f>
        <v>0</v>
      </c>
      <c r="D57" s="236">
        <f>IF(Perfiles_usuario!$H70=D$24,Perfiles_usuario!$D70,0)</f>
        <v>0</v>
      </c>
      <c r="E57" s="236">
        <f>IF(Perfiles_usuario!$H70=E$24,Perfiles_usuario!$D70,0)</f>
        <v>0</v>
      </c>
      <c r="F57" s="236">
        <f>IF(Perfiles_usuario!$H70=F$24,Perfiles_usuario!$D70,0)</f>
        <v>0</v>
      </c>
      <c r="G57" s="236">
        <f>IF(Perfiles_usuario!$H70=G$24,Perfiles_usuario!$D70,0)</f>
        <v>0</v>
      </c>
      <c r="H57" s="236">
        <f>IF(Perfiles_usuario!$H70=H$24,Perfiles_usuario!$D70,0)</f>
        <v>0</v>
      </c>
      <c r="I57" s="236">
        <f>IF(Perfiles_usuario!$H70=I$24,Perfiles_usuario!$D70,0)</f>
        <v>0</v>
      </c>
      <c r="J57" s="236">
        <f>IF(Perfiles_usuario!$H70=J$24,Perfiles_usuario!$D70,0)</f>
        <v>0</v>
      </c>
      <c r="K57" s="236">
        <f>IF(Perfiles_usuario!$H70=K$24,Perfiles_usuario!$D70,0)</f>
        <v>0</v>
      </c>
      <c r="L57" s="236">
        <f>IF(OR(Perfiles_usuario!$J70=L$24,Perfiles_usuario!$J70="Fijo en el Móvil + CV"),Perfiles_usuario!$D70,0)</f>
        <v>0</v>
      </c>
      <c r="M57" s="236">
        <f>IF(OR(Perfiles_usuario!$J70=M$24,Perfiles_usuario!$J70="Fijo en el Móvil + CV"),Perfiles_usuario!$D70,0)</f>
        <v>0</v>
      </c>
      <c r="N57" s="904">
        <f>IF(Perfiles_usuario!$L70=N$24,Perfiles_usuario!$D70,0)</f>
        <v>0</v>
      </c>
      <c r="O57" s="904">
        <f>IF(Perfiles_usuario!$L70=O$24,Perfiles_usuario!$D70,0)</f>
        <v>0</v>
      </c>
      <c r="P57" s="904">
        <f>IF(Perfiles_usuario!$L70=P$24,Perfiles_usuario!$D70,0)</f>
        <v>0</v>
      </c>
      <c r="Q57" s="258">
        <f>IF(AND(Perfiles_usuario!N70="Sí",OR(Perfiles_usuario!H70="Sin tarifa plana (50-100 min)",Perfiles_usuario!H70="Sin tarifa plana (0-50 min)",Perfiles_usuario!H70="Fijos nacionales",Perfiles_usuario!H70="150'+300MB")),1,0)*Perfiles_usuario!D70</f>
        <v>0</v>
      </c>
    </row>
    <row r="58" spans="1:20">
      <c r="A58" s="250"/>
      <c r="B58" s="239"/>
      <c r="C58" s="239"/>
      <c r="D58" s="239"/>
      <c r="E58" s="239"/>
      <c r="F58" s="239"/>
      <c r="G58" s="239"/>
      <c r="H58" s="239"/>
      <c r="I58" s="239"/>
      <c r="J58" s="239"/>
      <c r="K58" s="239"/>
      <c r="L58" s="239"/>
      <c r="M58" s="239"/>
      <c r="N58" s="277"/>
      <c r="O58" s="277"/>
      <c r="P58" s="277"/>
      <c r="Q58" s="240"/>
    </row>
    <row r="59" spans="1:20">
      <c r="A59" s="235">
        <f>IF(Perfiles_usuario!$H72=A$24,Perfiles_usuario!$D72,0)</f>
        <v>0</v>
      </c>
      <c r="B59" s="236">
        <f>IF(Perfiles_usuario!$H72=B$24,Perfiles_usuario!$D72,0)</f>
        <v>0</v>
      </c>
      <c r="C59" s="236">
        <f>IF(Perfiles_usuario!$H72=C$24,Perfiles_usuario!$D72,0)</f>
        <v>0</v>
      </c>
      <c r="D59" s="236">
        <f>IF(Perfiles_usuario!$H72=D$24,Perfiles_usuario!$D72,0)</f>
        <v>0</v>
      </c>
      <c r="E59" s="236">
        <f>IF(Perfiles_usuario!$H72=E$24,Perfiles_usuario!$D72,0)</f>
        <v>0</v>
      </c>
      <c r="F59" s="236">
        <f>IF(Perfiles_usuario!$H72=F$24,Perfiles_usuario!$D72,0)</f>
        <v>0</v>
      </c>
      <c r="G59" s="236">
        <f>IF(Perfiles_usuario!$H72=G$24,Perfiles_usuario!$D72,0)</f>
        <v>0</v>
      </c>
      <c r="H59" s="236">
        <f>IF(Perfiles_usuario!$H72=H$24,Perfiles_usuario!$D72,0)</f>
        <v>0</v>
      </c>
      <c r="I59" s="236">
        <f>IF(Perfiles_usuario!$H72=I$24,Perfiles_usuario!$D72,0)</f>
        <v>0</v>
      </c>
      <c r="J59" s="236">
        <f>IF(Perfiles_usuario!$H72=J$24,Perfiles_usuario!$D72,0)</f>
        <v>0</v>
      </c>
      <c r="K59" s="236">
        <f>IF(Perfiles_usuario!$H72=K$24,Perfiles_usuario!$D72,0)</f>
        <v>0</v>
      </c>
      <c r="L59" s="236">
        <f>IF(OR(Perfiles_usuario!$J72=L$24,Perfiles_usuario!$J72="Fijo en el Móvil + CV"),Perfiles_usuario!$D72,0)</f>
        <v>0</v>
      </c>
      <c r="M59" s="236">
        <f>IF(OR(Perfiles_usuario!$J72=M$24,Perfiles_usuario!$J72="Fijo en el Móvil + CV"),Perfiles_usuario!$D72,0)</f>
        <v>0</v>
      </c>
      <c r="N59" s="904">
        <f>IF(Perfiles_usuario!$L72=N$24,Perfiles_usuario!$D72,0)</f>
        <v>0</v>
      </c>
      <c r="O59" s="904">
        <f>IF(Perfiles_usuario!$L72=O$24,Perfiles_usuario!$D72,0)</f>
        <v>0</v>
      </c>
      <c r="P59" s="904">
        <f>IF(Perfiles_usuario!$L72=P$24,Perfiles_usuario!$D72,0)</f>
        <v>0</v>
      </c>
      <c r="Q59" s="258">
        <f>IF(AND(Perfiles_usuario!N72="Sí",OR(Perfiles_usuario!H72="Sin tarifa plana (50-100 min)",Perfiles_usuario!H72="Sin tarifa plana (0-50 min)",Perfiles_usuario!H72="Fijos nacionales",Perfiles_usuario!H72="150'+300MB")),1,0)*Perfiles_usuario!D72</f>
        <v>0</v>
      </c>
    </row>
    <row r="60" spans="1:20">
      <c r="A60" s="250"/>
      <c r="B60" s="239"/>
      <c r="C60" s="239"/>
      <c r="D60" s="239"/>
      <c r="E60" s="239"/>
      <c r="F60" s="239"/>
      <c r="G60" s="239"/>
      <c r="H60" s="239"/>
      <c r="I60" s="239"/>
      <c r="J60" s="239"/>
      <c r="K60" s="239"/>
      <c r="L60" s="239"/>
      <c r="M60" s="239"/>
      <c r="N60" s="277"/>
      <c r="O60" s="277"/>
      <c r="P60" s="277"/>
      <c r="Q60" s="240"/>
    </row>
    <row r="61" spans="1:20">
      <c r="A61" s="235">
        <f>IF(Perfiles_usuario!$H74=A$24,Perfiles_usuario!$D74,0)</f>
        <v>0</v>
      </c>
      <c r="B61" s="236">
        <f>IF(Perfiles_usuario!$H74=B$24,Perfiles_usuario!$D74,0)</f>
        <v>0</v>
      </c>
      <c r="C61" s="236">
        <f>IF(Perfiles_usuario!$H74=C$24,Perfiles_usuario!$D74,0)</f>
        <v>0</v>
      </c>
      <c r="D61" s="236">
        <f>IF(Perfiles_usuario!$H74=D$24,Perfiles_usuario!$D74,0)</f>
        <v>0</v>
      </c>
      <c r="E61" s="236">
        <f>IF(Perfiles_usuario!$H74=E$24,Perfiles_usuario!$D74,0)</f>
        <v>0</v>
      </c>
      <c r="F61" s="236">
        <f>IF(Perfiles_usuario!$H74=F$24,Perfiles_usuario!$D74,0)</f>
        <v>0</v>
      </c>
      <c r="G61" s="236">
        <f>IF(Perfiles_usuario!$H74=G$24,Perfiles_usuario!$D74,0)</f>
        <v>0</v>
      </c>
      <c r="H61" s="236">
        <f>IF(Perfiles_usuario!$H74=H$24,Perfiles_usuario!$D74,0)</f>
        <v>0</v>
      </c>
      <c r="I61" s="236">
        <f>IF(Perfiles_usuario!$H74=I$24,Perfiles_usuario!$D74,0)</f>
        <v>0</v>
      </c>
      <c r="J61" s="236">
        <f>IF(Perfiles_usuario!$H74=J$24,Perfiles_usuario!$D74,0)</f>
        <v>0</v>
      </c>
      <c r="K61" s="236">
        <f>IF(Perfiles_usuario!$H74=K$24,Perfiles_usuario!$D74,0)</f>
        <v>0</v>
      </c>
      <c r="L61" s="236">
        <f>IF(OR(Perfiles_usuario!$J74=L$24,Perfiles_usuario!$J74="Fijo en el Móvil + CV"),Perfiles_usuario!$D74,0)</f>
        <v>0</v>
      </c>
      <c r="M61" s="236">
        <f>IF(OR(Perfiles_usuario!$J74=M$24,Perfiles_usuario!$J74="Fijo en el Móvil + CV"),Perfiles_usuario!$D74,0)</f>
        <v>0</v>
      </c>
      <c r="N61" s="904">
        <f>IF(Perfiles_usuario!$L74=N$24,Perfiles_usuario!$D74,0)</f>
        <v>0</v>
      </c>
      <c r="O61" s="904">
        <f>IF(Perfiles_usuario!$L74=O$24,Perfiles_usuario!$D74,0)</f>
        <v>0</v>
      </c>
      <c r="P61" s="904">
        <f>IF(Perfiles_usuario!$L74=P$24,Perfiles_usuario!$D74,0)</f>
        <v>0</v>
      </c>
      <c r="Q61" s="258">
        <f>IF(AND(Perfiles_usuario!N74="Sí",OR(Perfiles_usuario!H74="Sin tarifa plana (50-100 min)",Perfiles_usuario!H74="Sin tarifa plana (0-50 min)",Perfiles_usuario!H74="Fijos nacionales",Perfiles_usuario!H74="150'+300MB")),1,0)*Perfiles_usuario!D74</f>
        <v>0</v>
      </c>
    </row>
    <row r="62" spans="1:20">
      <c r="A62" s="250"/>
      <c r="B62" s="239"/>
      <c r="C62" s="239"/>
      <c r="D62" s="239"/>
      <c r="E62" s="239"/>
      <c r="F62" s="239"/>
      <c r="G62" s="239"/>
      <c r="H62" s="239"/>
      <c r="I62" s="239"/>
      <c r="J62" s="239"/>
      <c r="K62" s="239"/>
      <c r="L62" s="239"/>
      <c r="M62" s="239"/>
      <c r="N62" s="277"/>
      <c r="O62" s="277"/>
      <c r="P62" s="277"/>
      <c r="Q62" s="240"/>
    </row>
    <row r="63" spans="1:20">
      <c r="A63" s="235">
        <f>IF(Perfiles_usuario!$H76=A$24,Perfiles_usuario!$D76,0)</f>
        <v>0</v>
      </c>
      <c r="B63" s="236">
        <f>IF(Perfiles_usuario!$H76=B$24,Perfiles_usuario!$D76,0)</f>
        <v>0</v>
      </c>
      <c r="C63" s="236">
        <f>IF(Perfiles_usuario!$H76=C$24,Perfiles_usuario!$D76,0)</f>
        <v>0</v>
      </c>
      <c r="D63" s="236">
        <f>IF(Perfiles_usuario!$H76=D$24,Perfiles_usuario!$D76,0)</f>
        <v>0</v>
      </c>
      <c r="E63" s="236">
        <f>IF(Perfiles_usuario!$H76=E$24,Perfiles_usuario!$D76,0)</f>
        <v>0</v>
      </c>
      <c r="F63" s="236">
        <f>IF(Perfiles_usuario!$H76=F$24,Perfiles_usuario!$D76,0)</f>
        <v>0</v>
      </c>
      <c r="G63" s="236">
        <f>IF(Perfiles_usuario!$H76=G$24,Perfiles_usuario!$D76,0)</f>
        <v>0</v>
      </c>
      <c r="H63" s="236">
        <f>IF(Perfiles_usuario!$H76=H$24,Perfiles_usuario!$D76,0)</f>
        <v>0</v>
      </c>
      <c r="I63" s="236">
        <f>IF(Perfiles_usuario!$H76=I$24,Perfiles_usuario!$D76,0)</f>
        <v>0</v>
      </c>
      <c r="J63" s="236">
        <f>IF(Perfiles_usuario!$H76=J$24,Perfiles_usuario!$D76,0)</f>
        <v>0</v>
      </c>
      <c r="K63" s="236">
        <f>IF(Perfiles_usuario!$H76=K$24,Perfiles_usuario!$D76,0)</f>
        <v>0</v>
      </c>
      <c r="L63" s="236">
        <f>IF(OR(Perfiles_usuario!$J76=L$24,Perfiles_usuario!$J76="Fijo en el Móvil + CV"),Perfiles_usuario!$D76,0)</f>
        <v>0</v>
      </c>
      <c r="M63" s="236">
        <f>IF(OR(Perfiles_usuario!$J76=M$24,Perfiles_usuario!$J76="Fijo en el Móvil + CV"),Perfiles_usuario!$D76,0)</f>
        <v>0</v>
      </c>
      <c r="N63" s="904">
        <f>IF(Perfiles_usuario!$L76=N$24,Perfiles_usuario!$D76,0)</f>
        <v>0</v>
      </c>
      <c r="O63" s="904">
        <f>IF(Perfiles_usuario!$L76=O$24,Perfiles_usuario!$D76,0)</f>
        <v>0</v>
      </c>
      <c r="P63" s="904">
        <f>IF(Perfiles_usuario!$L76=P$24,Perfiles_usuario!$D76,0)</f>
        <v>0</v>
      </c>
      <c r="Q63" s="258">
        <f>IF(AND(Perfiles_usuario!N76="Sí",OR(Perfiles_usuario!H76="Sin tarifa plana (50-100 min)",Perfiles_usuario!H76="Sin tarifa plana (0-50 min)",Perfiles_usuario!H76="Fijos nacionales",Perfiles_usuario!H76="150'+300MB")),1,0)*Perfiles_usuario!D76</f>
        <v>0</v>
      </c>
    </row>
    <row r="64" spans="1:20">
      <c r="A64" s="250"/>
      <c r="B64" s="239"/>
      <c r="C64" s="239"/>
      <c r="D64" s="239"/>
      <c r="E64" s="239"/>
      <c r="F64" s="239"/>
      <c r="G64" s="239"/>
      <c r="H64" s="239"/>
      <c r="I64" s="239"/>
      <c r="J64" s="239"/>
      <c r="K64" s="239"/>
      <c r="L64" s="239"/>
      <c r="M64" s="239"/>
      <c r="N64" s="277"/>
      <c r="O64" s="277"/>
      <c r="P64" s="277"/>
      <c r="Q64" s="240"/>
    </row>
    <row r="65" spans="1:49" ht="15.75" thickBot="1">
      <c r="A65" s="259">
        <f t="shared" ref="A65:Q65" si="1">SUM(A26:A63)</f>
        <v>0</v>
      </c>
      <c r="B65" s="260">
        <f t="shared" si="1"/>
        <v>0</v>
      </c>
      <c r="C65" s="260">
        <f t="shared" si="1"/>
        <v>0</v>
      </c>
      <c r="D65" s="260">
        <f t="shared" si="1"/>
        <v>0</v>
      </c>
      <c r="E65" s="260">
        <f t="shared" si="1"/>
        <v>1</v>
      </c>
      <c r="F65" s="260">
        <f t="shared" si="1"/>
        <v>0</v>
      </c>
      <c r="G65" s="260">
        <f t="shared" si="1"/>
        <v>0</v>
      </c>
      <c r="H65" s="260">
        <f t="shared" si="1"/>
        <v>3</v>
      </c>
      <c r="I65" s="260">
        <f t="shared" si="1"/>
        <v>0</v>
      </c>
      <c r="J65" s="260">
        <f t="shared" si="1"/>
        <v>1</v>
      </c>
      <c r="K65" s="260">
        <f t="shared" si="1"/>
        <v>0</v>
      </c>
      <c r="L65" s="260">
        <f t="shared" si="1"/>
        <v>0</v>
      </c>
      <c r="M65" s="260">
        <f t="shared" si="1"/>
        <v>1</v>
      </c>
      <c r="N65" s="905">
        <f t="shared" si="1"/>
        <v>0</v>
      </c>
      <c r="O65" s="905">
        <f t="shared" si="1"/>
        <v>0</v>
      </c>
      <c r="P65" s="905">
        <f t="shared" si="1"/>
        <v>0</v>
      </c>
      <c r="Q65" s="261">
        <f t="shared" si="1"/>
        <v>0</v>
      </c>
      <c r="R65" s="229"/>
      <c r="S65" s="229"/>
    </row>
    <row r="66" spans="1:49" ht="15" thickBot="1"/>
    <row r="67" spans="1:49" ht="15.75" thickBot="1">
      <c r="H67" s="948"/>
      <c r="I67" s="948"/>
      <c r="K67" s="2227" t="s">
        <v>1238</v>
      </c>
      <c r="L67" s="2228"/>
      <c r="M67" s="2228"/>
      <c r="N67" s="2228"/>
      <c r="O67" s="2228"/>
      <c r="P67" s="2228"/>
      <c r="Q67" s="2228"/>
      <c r="R67" s="2228"/>
      <c r="S67" s="2228"/>
      <c r="T67" s="2228"/>
      <c r="U67" s="2228"/>
      <c r="V67" s="2228"/>
      <c r="W67" s="2228"/>
      <c r="X67" s="2228"/>
      <c r="Y67" s="2228"/>
      <c r="Z67" s="2228"/>
      <c r="AA67" s="2229"/>
      <c r="AB67" s="2229"/>
      <c r="AC67" s="2229"/>
      <c r="AH67" s="1993" t="s">
        <v>1869</v>
      </c>
      <c r="AI67" s="1994"/>
      <c r="AJ67" s="1994"/>
      <c r="AK67" s="1994"/>
      <c r="AL67" s="1994"/>
      <c r="AM67" s="1994"/>
      <c r="AN67" s="1994"/>
      <c r="AO67" s="1994"/>
      <c r="AP67" s="1994"/>
      <c r="AQ67" s="1994"/>
      <c r="AR67" s="1994"/>
      <c r="AS67" s="1994"/>
      <c r="AT67" s="1994"/>
      <c r="AU67" s="1994"/>
      <c r="AV67" s="1994"/>
      <c r="AW67" s="1995"/>
    </row>
    <row r="68" spans="1:49" ht="41.45" customHeight="1" thickBot="1">
      <c r="A68" s="262" t="s">
        <v>759</v>
      </c>
      <c r="B68" s="262" t="s">
        <v>1213</v>
      </c>
      <c r="C68" s="834" t="s">
        <v>1016</v>
      </c>
      <c r="D68" s="262" t="s">
        <v>1867</v>
      </c>
      <c r="E68" s="262" t="s">
        <v>1079</v>
      </c>
      <c r="F68" s="262" t="s">
        <v>1078</v>
      </c>
      <c r="G68" s="262" t="s">
        <v>1189</v>
      </c>
      <c r="H68" s="262" t="s">
        <v>1187</v>
      </c>
      <c r="I68" s="1283" t="s">
        <v>392</v>
      </c>
      <c r="K68" s="1276" t="s">
        <v>425</v>
      </c>
      <c r="L68" s="1279" t="s">
        <v>2027</v>
      </c>
      <c r="M68" s="1279" t="s">
        <v>2000</v>
      </c>
      <c r="N68" s="1279" t="s">
        <v>1227</v>
      </c>
      <c r="O68" s="1277" t="s">
        <v>754</v>
      </c>
      <c r="P68" s="1279" t="s">
        <v>427</v>
      </c>
      <c r="Q68" s="1277" t="s">
        <v>755</v>
      </c>
      <c r="R68" s="1277" t="s">
        <v>426</v>
      </c>
      <c r="S68" s="1277" t="s">
        <v>756</v>
      </c>
      <c r="T68" s="1277" t="s">
        <v>428</v>
      </c>
      <c r="U68" s="1277" t="s">
        <v>2028</v>
      </c>
      <c r="V68" s="1277" t="s">
        <v>2002</v>
      </c>
      <c r="W68" s="1277" t="s">
        <v>1228</v>
      </c>
      <c r="X68" s="1277" t="s">
        <v>429</v>
      </c>
      <c r="Y68" s="1279" t="s">
        <v>430</v>
      </c>
      <c r="Z68" s="1277" t="s">
        <v>1041</v>
      </c>
      <c r="AA68" s="1277" t="s">
        <v>2029</v>
      </c>
      <c r="AB68" s="1277" t="s">
        <v>2004</v>
      </c>
      <c r="AC68" s="1278" t="s">
        <v>1229</v>
      </c>
      <c r="AH68" s="1404" t="s">
        <v>1886</v>
      </c>
      <c r="AI68" s="1151" t="s">
        <v>1870</v>
      </c>
      <c r="AJ68" s="1151" t="s">
        <v>1342</v>
      </c>
      <c r="AK68" s="1151" t="s">
        <v>1873</v>
      </c>
      <c r="AL68" t="s">
        <v>1877</v>
      </c>
      <c r="AM68" t="s">
        <v>1878</v>
      </c>
      <c r="AN68" t="s">
        <v>1879</v>
      </c>
    </row>
    <row r="69" spans="1:49">
      <c r="A69" s="254">
        <f>IF(Perfiles_usuario!$F91=A$68,Perfiles_usuario!$D91,0)</f>
        <v>0</v>
      </c>
      <c r="B69" s="255">
        <f>IF(Perfiles_usuario!$F91=B$68,Perfiles_usuario!$D91,0)</f>
        <v>0</v>
      </c>
      <c r="C69" s="835">
        <f>IF(Perfiles_usuario!$F91=C$68,Perfiles_usuario!$D91,0)</f>
        <v>0</v>
      </c>
      <c r="D69" s="255">
        <f>IF(Perfiles_usuario!$F91=D$68,Perfiles_usuario!$D91,0)</f>
        <v>0</v>
      </c>
      <c r="E69" s="255">
        <f>IF(Perfiles_usuario!$F91=E$68,Perfiles_usuario!$D91,0)</f>
        <v>0</v>
      </c>
      <c r="F69" s="255">
        <f>IF(Perfiles_usuario!$F91=F$68,Perfiles_usuario!$D91,0)</f>
        <v>0</v>
      </c>
      <c r="G69" s="255">
        <f>IF(Perfiles_usuario!$F107=G$68,Perfiles_usuario!D107,0)</f>
        <v>0</v>
      </c>
      <c r="H69" s="255">
        <f>IF(Perfiles_usuario!$F107=H$68,Perfiles_usuario!D107,0)</f>
        <v>0</v>
      </c>
      <c r="I69" s="1284">
        <f>IF(Perfiles_usuario!$H91=I$68,Perfiles_usuario!$D91,0)</f>
        <v>0</v>
      </c>
      <c r="K69" s="250">
        <f>IF(Perfiles_usuario!$D138=Calculos_cuotas!K$68,1,0)</f>
        <v>1</v>
      </c>
      <c r="L69" s="239">
        <f>IF(Perfiles_usuario!$D138=Calculos_cuotas!L$68,1,0)</f>
        <v>0</v>
      </c>
      <c r="M69" s="239">
        <f>IF(Perfiles_usuario!$D138=Calculos_cuotas!M$68,1,0)</f>
        <v>0</v>
      </c>
      <c r="N69" s="239">
        <f>IF(Perfiles_usuario!$D138=Calculos_cuotas!N$68,1,0)</f>
        <v>0</v>
      </c>
      <c r="O69" s="239">
        <f>IF(Perfiles_usuario!$D138=Calculos_cuotas!O$68,1,0)</f>
        <v>0</v>
      </c>
      <c r="P69" s="239">
        <f>IF(Perfiles_usuario!$D138=Calculos_cuotas!P$68,1,0)</f>
        <v>0</v>
      </c>
      <c r="Q69" s="239">
        <f>IF(Perfiles_usuario!$D138=Calculos_cuotas!Q$68,1,0)</f>
        <v>0</v>
      </c>
      <c r="R69" s="239">
        <f>IF(Perfiles_usuario!$D138=Calculos_cuotas!R$68,1,0)</f>
        <v>0</v>
      </c>
      <c r="S69" s="239">
        <f>IF(Perfiles_usuario!$D138=Calculos_cuotas!S$68,1,0)</f>
        <v>0</v>
      </c>
      <c r="T69" s="239">
        <f>IF(Perfiles_usuario!$D138=Calculos_cuotas!T$68,1,0)</f>
        <v>0</v>
      </c>
      <c r="U69" s="239">
        <f>IF(Perfiles_usuario!$D138=Calculos_cuotas!U$68,1,0)</f>
        <v>0</v>
      </c>
      <c r="V69" s="239">
        <f>IF(Perfiles_usuario!$D138=Calculos_cuotas!V$68,1,0)</f>
        <v>0</v>
      </c>
      <c r="W69" s="239">
        <f>IF(Perfiles_usuario!$D138=Calculos_cuotas!W$68,1,0)</f>
        <v>0</v>
      </c>
      <c r="X69" s="239">
        <f>IF(Perfiles_usuario!$D138=Calculos_cuotas!X$68,1,0)</f>
        <v>0</v>
      </c>
      <c r="Y69" s="239">
        <f>IF(Perfiles_usuario!$D138=Calculos_cuotas!Y$68,1,0)</f>
        <v>0</v>
      </c>
      <c r="Z69" s="239">
        <f>IF(Perfiles_usuario!$D138=Calculos_cuotas!Z$68,1,0)</f>
        <v>0</v>
      </c>
      <c r="AA69" s="239">
        <f>IF(Perfiles_usuario!$D138=Calculos_cuotas!AA$68,1,0)</f>
        <v>0</v>
      </c>
      <c r="AB69" s="239">
        <f>IF(Perfiles_usuario!$D138=Calculos_cuotas!AB$68,1,0)</f>
        <v>0</v>
      </c>
      <c r="AC69" s="240">
        <f>IF(Perfiles_usuario!$D138=Calculos_cuotas!AC$68,1,0)</f>
        <v>0</v>
      </c>
      <c r="AH69" s="1151">
        <f>IF(AND(Perfiles_usuario!$D138&lt;&gt;Calculos_cuotas!Z$68,Perfiles_usuario!$D138&lt;&gt;Calculos_cuotas!AA$68,Perfiles_usuario!$D138&lt;&gt;Calculos_cuotas!AB$68,Perfiles_usuario!$D138&lt;&gt;Calculos_cuotas!AC$68,Perfiles_usuario!$R138=1),1,0)</f>
        <v>0</v>
      </c>
      <c r="AI69" s="1151">
        <f>IF(AND(Perfiles_usuario!$D138&lt;&gt;Calculos_cuotas!Z$68,Perfiles_usuario!$D138&lt;&gt;Calculos_cuotas!AA$68,Perfiles_usuario!$D138&lt;&gt;Calculos_cuotas!AB$68,Perfiles_usuario!$D138&lt;&gt;Calculos_cuotas!AC$68,OR(Perfiles_usuario!$F138=Perfiles_usuario!$CI$37,Perfiles_usuario!$F138=Perfiles_usuario!$CI$38)),1,0)</f>
        <v>0</v>
      </c>
      <c r="AJ69" s="1151">
        <f>IF(SUM(AH69:AI69)&gt;0,1,0)</f>
        <v>0</v>
      </c>
      <c r="AK69" s="1151">
        <f>IF(OR(Perfiles_usuario!$D138=Calculos_cuotas!Z$68,Perfiles_usuario!$D138=Calculos_cuotas!AA$68,Perfiles_usuario!$D138=Calculos_cuotas!AB$68,Perfiles_usuario!$D138=Calculos_cuotas!AC$68),IF(Perfiles_usuario!$R138=1,1,0),0)</f>
        <v>0</v>
      </c>
    </row>
    <row r="70" spans="1:49">
      <c r="A70" s="250"/>
      <c r="B70" s="239"/>
      <c r="C70" s="836"/>
      <c r="D70" s="239"/>
      <c r="I70" s="929"/>
      <c r="K70" s="250"/>
      <c r="L70" s="239"/>
      <c r="M70" s="239"/>
      <c r="N70" s="239"/>
      <c r="O70" s="239"/>
      <c r="P70" s="239"/>
      <c r="Q70" s="239"/>
      <c r="R70" s="239"/>
      <c r="S70" s="239"/>
      <c r="T70" s="239"/>
      <c r="U70" s="239"/>
      <c r="V70" s="239"/>
      <c r="W70" s="239"/>
      <c r="X70" s="239"/>
      <c r="Y70" s="239"/>
      <c r="Z70" s="239"/>
      <c r="AB70" s="239"/>
      <c r="AC70" s="330"/>
      <c r="AH70" s="1151"/>
      <c r="AI70" s="1151"/>
      <c r="AJ70" s="1151"/>
      <c r="AK70" s="1151"/>
    </row>
    <row r="71" spans="1:49">
      <c r="A71" s="235">
        <f>IF(Perfiles_usuario!$F93=A$68,Perfiles_usuario!$D93,0)</f>
        <v>0</v>
      </c>
      <c r="B71" s="236">
        <f>IF(Perfiles_usuario!$F93=B$68,Perfiles_usuario!$D93,0)</f>
        <v>0</v>
      </c>
      <c r="C71" s="837">
        <f>IF(Perfiles_usuario!$F93=C$68,Perfiles_usuario!$D93,0)</f>
        <v>0</v>
      </c>
      <c r="D71" s="236">
        <f>IF(Perfiles_usuario!$F93=D$68,Perfiles_usuario!$D93,0)</f>
        <v>0</v>
      </c>
      <c r="E71" s="236">
        <f>IF(Perfiles_usuario!$F93=E$68,Perfiles_usuario!$D93,0)</f>
        <v>0</v>
      </c>
      <c r="F71" s="236">
        <f>IF(Perfiles_usuario!$F93=F$68,Perfiles_usuario!$D93,0)</f>
        <v>0</v>
      </c>
      <c r="G71" s="236">
        <f>IF(Perfiles_usuario!$F109=G$68,Perfiles_usuario!D109,0)</f>
        <v>0</v>
      </c>
      <c r="H71" s="236">
        <f>IF(Perfiles_usuario!$F109=H$68,Perfiles_usuario!D109,0)</f>
        <v>0</v>
      </c>
      <c r="I71" s="1285">
        <f>IF(Perfiles_usuario!$H93=I$68,Perfiles_usuario!$D93,0)</f>
        <v>0</v>
      </c>
      <c r="K71" s="250">
        <f>IF(Perfiles_usuario!$D140=Calculos_cuotas!K$68,1,0)</f>
        <v>0</v>
      </c>
      <c r="L71" s="239">
        <f>IF(Perfiles_usuario!$D140=Calculos_cuotas!L$68,1,0)</f>
        <v>0</v>
      </c>
      <c r="M71" s="239">
        <f>IF(Perfiles_usuario!$D140=Calculos_cuotas!M$68,1,0)</f>
        <v>0</v>
      </c>
      <c r="N71" s="239">
        <f>IF(Perfiles_usuario!$D140=Calculos_cuotas!N$68,1,0)</f>
        <v>0</v>
      </c>
      <c r="O71" s="239">
        <f>IF(Perfiles_usuario!$D140=Calculos_cuotas!O$68,1,0)</f>
        <v>0</v>
      </c>
      <c r="P71" s="239">
        <f>IF(Perfiles_usuario!$D140=Calculos_cuotas!P$68,1,0)</f>
        <v>0</v>
      </c>
      <c r="Q71" s="239">
        <f>IF(Perfiles_usuario!$D140=Calculos_cuotas!Q$68,1,0)</f>
        <v>0</v>
      </c>
      <c r="R71" s="239">
        <f>IF(Perfiles_usuario!$D140=Calculos_cuotas!R$68,1,0)</f>
        <v>0</v>
      </c>
      <c r="S71" s="239">
        <f>IF(Perfiles_usuario!$D140=Calculos_cuotas!S$68,1,0)</f>
        <v>0</v>
      </c>
      <c r="T71" s="239">
        <f>IF(Perfiles_usuario!$D140=Calculos_cuotas!T$68,1,0)</f>
        <v>0</v>
      </c>
      <c r="U71" s="239">
        <f>IF(Perfiles_usuario!$D140=Calculos_cuotas!U$68,1,0)</f>
        <v>0</v>
      </c>
      <c r="V71" s="239">
        <f>IF(Perfiles_usuario!$D140=Calculos_cuotas!V$68,1,0)</f>
        <v>0</v>
      </c>
      <c r="W71" s="239">
        <f>IF(Perfiles_usuario!$D140=Calculos_cuotas!W$68,1,0)</f>
        <v>0</v>
      </c>
      <c r="X71" s="239">
        <f>IF(Perfiles_usuario!$D140=Calculos_cuotas!X$68,1,0)</f>
        <v>0</v>
      </c>
      <c r="Y71" s="239">
        <f>IF(Perfiles_usuario!$D140=Calculos_cuotas!Y$68,1,0)</f>
        <v>0</v>
      </c>
      <c r="Z71" s="239">
        <f>IF(Perfiles_usuario!$D140=Calculos_cuotas!Z$68,1,0)</f>
        <v>0</v>
      </c>
      <c r="AA71" s="239">
        <f>IF(Perfiles_usuario!$D140=Calculos_cuotas!AA$68,1,0)</f>
        <v>0</v>
      </c>
      <c r="AB71" s="239">
        <f>IF(Perfiles_usuario!$D140=Calculos_cuotas!AB$68,1,0)</f>
        <v>0</v>
      </c>
      <c r="AC71" s="240">
        <f>IF(Perfiles_usuario!$D140=Calculos_cuotas!AC$68,1,0)</f>
        <v>0</v>
      </c>
      <c r="AH71" s="1151">
        <f>IF(AND(Perfiles_usuario!$D140&lt;&gt;Calculos_cuotas!Z$68,Perfiles_usuario!$D140&lt;&gt;Calculos_cuotas!AA$68,Perfiles_usuario!$D140&lt;&gt;Calculos_cuotas!AB$68,Perfiles_usuario!$D140&lt;&gt;Calculos_cuotas!AC$68,Perfiles_usuario!$R140=1),1,0)</f>
        <v>0</v>
      </c>
      <c r="AI71" s="1151">
        <f>IF(AND(Perfiles_usuario!$D140&lt;&gt;Calculos_cuotas!Z$68,Perfiles_usuario!$D140&lt;&gt;Calculos_cuotas!AA$68,Perfiles_usuario!$D140&lt;&gt;Calculos_cuotas!AB$68,Perfiles_usuario!$D140&lt;&gt;Calculos_cuotas!AC$68,OR(Perfiles_usuario!$F140=Perfiles_usuario!$CI$37,Perfiles_usuario!$F140=Perfiles_usuario!$CI$38)),1,0)</f>
        <v>0</v>
      </c>
      <c r="AJ71" s="1151">
        <f t="shared" ref="AJ71:AJ97" si="2">IF(SUM(AH71:AI71)&gt;0,1,0)</f>
        <v>0</v>
      </c>
      <c r="AK71" s="1151">
        <f>IF(OR(Perfiles_usuario!$D140=Calculos_cuotas!Z$68,Perfiles_usuario!$D140=Calculos_cuotas!AA$68,Perfiles_usuario!$D140=Calculos_cuotas!AB$68,Perfiles_usuario!$D140=Calculos_cuotas!AC$68),IF(Perfiles_usuario!$R140=1,1,0),0)</f>
        <v>0</v>
      </c>
    </row>
    <row r="72" spans="1:49">
      <c r="A72" s="250"/>
      <c r="B72" s="239"/>
      <c r="C72" s="836"/>
      <c r="D72" s="239"/>
      <c r="E72" s="239"/>
      <c r="I72" s="929"/>
      <c r="K72" s="250"/>
      <c r="L72" s="239"/>
      <c r="M72" s="239"/>
      <c r="N72" s="239"/>
      <c r="O72" s="239"/>
      <c r="P72" s="239"/>
      <c r="Q72" s="239"/>
      <c r="R72" s="239"/>
      <c r="S72" s="239"/>
      <c r="T72" s="239"/>
      <c r="U72" s="239"/>
      <c r="V72" s="239"/>
      <c r="W72" s="239"/>
      <c r="X72" s="239"/>
      <c r="Y72" s="239"/>
      <c r="Z72" s="239"/>
      <c r="AB72" s="239"/>
      <c r="AC72" s="240"/>
      <c r="AH72" s="1151"/>
      <c r="AI72" s="1151"/>
      <c r="AJ72" s="1151"/>
      <c r="AK72" s="1151"/>
    </row>
    <row r="73" spans="1:49">
      <c r="A73" s="235">
        <f>IF(Perfiles_usuario!$F95=A$68,Perfiles_usuario!$D95,0)</f>
        <v>0</v>
      </c>
      <c r="B73" s="236">
        <f>IF(Perfiles_usuario!$F95=B$68,Perfiles_usuario!$D95,0)</f>
        <v>0</v>
      </c>
      <c r="C73" s="837">
        <f>IF(Perfiles_usuario!$F95=C$68,Perfiles_usuario!$D95,0)</f>
        <v>0</v>
      </c>
      <c r="D73" s="236">
        <f>IF(Perfiles_usuario!$F95=D$68,Perfiles_usuario!$D95,0)</f>
        <v>0</v>
      </c>
      <c r="E73" s="236">
        <f>IF(Perfiles_usuario!$F95=E$68,Perfiles_usuario!$D95,0)</f>
        <v>0</v>
      </c>
      <c r="F73" s="236">
        <f>IF(Perfiles_usuario!$F95=F$68,Perfiles_usuario!$D95,0)</f>
        <v>0</v>
      </c>
      <c r="G73" s="236"/>
      <c r="H73" s="236"/>
      <c r="I73" s="1285">
        <f>IF(Perfiles_usuario!$H95=I$68,Perfiles_usuario!$D95,0)</f>
        <v>0</v>
      </c>
      <c r="K73" s="250">
        <f>IF(Perfiles_usuario!$D142=Calculos_cuotas!K$68,1,0)</f>
        <v>0</v>
      </c>
      <c r="L73" s="239">
        <f>IF(Perfiles_usuario!$D142=Calculos_cuotas!L$68,1,0)</f>
        <v>0</v>
      </c>
      <c r="M73" s="239">
        <f>IF(Perfiles_usuario!$D142=Calculos_cuotas!M$68,1,0)</f>
        <v>0</v>
      </c>
      <c r="N73" s="239">
        <f>IF(Perfiles_usuario!$D142=Calculos_cuotas!N$68,1,0)</f>
        <v>0</v>
      </c>
      <c r="O73" s="239">
        <f>IF(Perfiles_usuario!$D142=Calculos_cuotas!O$68,1,0)</f>
        <v>0</v>
      </c>
      <c r="P73" s="239">
        <f>IF(Perfiles_usuario!$D142=Calculos_cuotas!P$68,1,0)</f>
        <v>0</v>
      </c>
      <c r="Q73" s="239">
        <f>IF(Perfiles_usuario!$D142=Calculos_cuotas!Q$68,1,0)</f>
        <v>0</v>
      </c>
      <c r="R73" s="239">
        <f>IF(Perfiles_usuario!$D142=Calculos_cuotas!R$68,1,0)</f>
        <v>0</v>
      </c>
      <c r="S73" s="239">
        <f>IF(Perfiles_usuario!$D142=Calculos_cuotas!S$68,1,0)</f>
        <v>0</v>
      </c>
      <c r="T73" s="239">
        <f>IF(Perfiles_usuario!$D142=Calculos_cuotas!T$68,1,0)</f>
        <v>0</v>
      </c>
      <c r="U73" s="239">
        <f>IF(Perfiles_usuario!$D142=Calculos_cuotas!U$68,1,0)</f>
        <v>0</v>
      </c>
      <c r="V73" s="239">
        <f>IF(Perfiles_usuario!$D142=Calculos_cuotas!V$68,1,0)</f>
        <v>0</v>
      </c>
      <c r="W73" s="239">
        <f>IF(Perfiles_usuario!$D142=Calculos_cuotas!W$68,1,0)</f>
        <v>0</v>
      </c>
      <c r="X73" s="239">
        <f>IF(Perfiles_usuario!$D142=Calculos_cuotas!X$68,1,0)</f>
        <v>0</v>
      </c>
      <c r="Y73" s="239">
        <f>IF(Perfiles_usuario!$D142=Calculos_cuotas!Y$68,1,0)</f>
        <v>0</v>
      </c>
      <c r="Z73" s="239">
        <f>IF(Perfiles_usuario!$D142=Calculos_cuotas!Z$68,1,0)</f>
        <v>0</v>
      </c>
      <c r="AA73" s="239">
        <f>IF(Perfiles_usuario!$D142=Calculos_cuotas!AA$68,1,0)</f>
        <v>0</v>
      </c>
      <c r="AB73" s="239">
        <f>IF(Perfiles_usuario!$D142=Calculos_cuotas!AB$68,1,0)</f>
        <v>0</v>
      </c>
      <c r="AC73" s="240">
        <f>IF(Perfiles_usuario!$D142=Calculos_cuotas!AC$68,1,0)</f>
        <v>0</v>
      </c>
      <c r="AH73" s="1151">
        <f>IF(AND(Perfiles_usuario!$D142&lt;&gt;Calculos_cuotas!Z$68,Perfiles_usuario!$D142&lt;&gt;Calculos_cuotas!AA$68,Perfiles_usuario!$D142&lt;&gt;Calculos_cuotas!AB$68,Perfiles_usuario!$D142&lt;&gt;Calculos_cuotas!AC$68,Perfiles_usuario!$R142=1),1,0)</f>
        <v>0</v>
      </c>
      <c r="AI73" s="1151">
        <f>IF(AND(Perfiles_usuario!$D142&lt;&gt;Calculos_cuotas!Z$68,Perfiles_usuario!$D142&lt;&gt;Calculos_cuotas!AA$68,Perfiles_usuario!$D142&lt;&gt;Calculos_cuotas!AB$68,Perfiles_usuario!$D142&lt;&gt;Calculos_cuotas!AC$68,OR(Perfiles_usuario!$F142=Perfiles_usuario!$CI$37,Perfiles_usuario!$F142=Perfiles_usuario!$CI$38)),1,0)</f>
        <v>0</v>
      </c>
      <c r="AJ73" s="1151">
        <f t="shared" si="2"/>
        <v>0</v>
      </c>
      <c r="AK73" s="1151">
        <f>IF(OR(Perfiles_usuario!$D142=Calculos_cuotas!Z$68,Perfiles_usuario!$D142=Calculos_cuotas!AA$68,Perfiles_usuario!$D142=Calculos_cuotas!AB$68,Perfiles_usuario!$D142=Calculos_cuotas!AC$68),IF(Perfiles_usuario!$R142=1,1,0),0)</f>
        <v>0</v>
      </c>
    </row>
    <row r="74" spans="1:49">
      <c r="A74" s="250"/>
      <c r="B74" s="239"/>
      <c r="C74" s="836"/>
      <c r="D74" s="239"/>
      <c r="E74" s="239"/>
      <c r="I74" s="929"/>
      <c r="K74" s="250"/>
      <c r="L74" s="239"/>
      <c r="M74" s="239"/>
      <c r="N74" s="239"/>
      <c r="O74" s="239"/>
      <c r="P74" s="239"/>
      <c r="Q74" s="239"/>
      <c r="R74" s="239"/>
      <c r="S74" s="239"/>
      <c r="T74" s="239"/>
      <c r="U74" s="239"/>
      <c r="V74" s="239"/>
      <c r="W74" s="239"/>
      <c r="X74" s="239"/>
      <c r="Y74" s="239"/>
      <c r="Z74" s="239"/>
      <c r="AB74" s="239"/>
      <c r="AC74" s="240"/>
      <c r="AH74" s="1151"/>
      <c r="AI74" s="1151"/>
      <c r="AJ74" s="1151"/>
      <c r="AK74" s="1151"/>
    </row>
    <row r="75" spans="1:49">
      <c r="A75" s="235">
        <f>IF(Perfiles_usuario!$F97=A$68,Perfiles_usuario!$D97,0)</f>
        <v>0</v>
      </c>
      <c r="B75" s="236">
        <f>IF(Perfiles_usuario!$F97=B$68,Perfiles_usuario!$D97,0)</f>
        <v>0</v>
      </c>
      <c r="C75" s="837">
        <f>IF(Perfiles_usuario!$F97=C$68,Perfiles_usuario!$D97,0)</f>
        <v>0</v>
      </c>
      <c r="D75" s="236">
        <f>IF(Perfiles_usuario!$F97=D$68,Perfiles_usuario!$D97,0)</f>
        <v>0</v>
      </c>
      <c r="E75" s="236">
        <f>IF(Perfiles_usuario!$F97=E$68,Perfiles_usuario!$D97,0)</f>
        <v>0</v>
      </c>
      <c r="F75" s="236">
        <f>IF(Perfiles_usuario!$F97=F$68,Perfiles_usuario!$D97,0)</f>
        <v>0</v>
      </c>
      <c r="G75" s="236"/>
      <c r="H75" s="236"/>
      <c r="I75" s="1285">
        <f>IF(Perfiles_usuario!$H97=I$68,Perfiles_usuario!$D97,0)</f>
        <v>0</v>
      </c>
      <c r="K75" s="250">
        <f>IF(Perfiles_usuario!$D144=Calculos_cuotas!K$68,1,0)</f>
        <v>0</v>
      </c>
      <c r="L75" s="239">
        <f>IF(Perfiles_usuario!$D144=Calculos_cuotas!L$68,1,0)</f>
        <v>0</v>
      </c>
      <c r="M75" s="239">
        <f>IF(Perfiles_usuario!$D144=Calculos_cuotas!M$68,1,0)</f>
        <v>0</v>
      </c>
      <c r="N75" s="239">
        <f>IF(Perfiles_usuario!$D144=Calculos_cuotas!N$68,1,0)</f>
        <v>0</v>
      </c>
      <c r="O75" s="239">
        <f>IF(Perfiles_usuario!$D144=Calculos_cuotas!O$68,1,0)</f>
        <v>0</v>
      </c>
      <c r="P75" s="239">
        <f>IF(Perfiles_usuario!$D144=Calculos_cuotas!P$68,1,0)</f>
        <v>0</v>
      </c>
      <c r="Q75" s="239">
        <f>IF(Perfiles_usuario!$D144=Calculos_cuotas!Q$68,1,0)</f>
        <v>0</v>
      </c>
      <c r="R75" s="239">
        <f>IF(Perfiles_usuario!$D144=Calculos_cuotas!R$68,1,0)</f>
        <v>0</v>
      </c>
      <c r="S75" s="239">
        <f>IF(Perfiles_usuario!$D144=Calculos_cuotas!S$68,1,0)</f>
        <v>0</v>
      </c>
      <c r="T75" s="239">
        <f>IF(Perfiles_usuario!$D144=Calculos_cuotas!T$68,1,0)</f>
        <v>0</v>
      </c>
      <c r="U75" s="239">
        <f>IF(Perfiles_usuario!$D144=Calculos_cuotas!U$68,1,0)</f>
        <v>0</v>
      </c>
      <c r="V75" s="239">
        <f>IF(Perfiles_usuario!$D144=Calculos_cuotas!V$68,1,0)</f>
        <v>0</v>
      </c>
      <c r="W75" s="239">
        <f>IF(Perfiles_usuario!$D144=Calculos_cuotas!W$68,1,0)</f>
        <v>0</v>
      </c>
      <c r="X75" s="239">
        <f>IF(Perfiles_usuario!$D144=Calculos_cuotas!X$68,1,0)</f>
        <v>0</v>
      </c>
      <c r="Y75" s="239">
        <f>IF(Perfiles_usuario!$D144=Calculos_cuotas!Y$68,1,0)</f>
        <v>0</v>
      </c>
      <c r="Z75" s="239">
        <f>IF(Perfiles_usuario!$D144=Calculos_cuotas!Z$68,1,0)</f>
        <v>0</v>
      </c>
      <c r="AA75" s="239">
        <f>IF(Perfiles_usuario!$D144=Calculos_cuotas!AA$68,1,0)</f>
        <v>0</v>
      </c>
      <c r="AB75" s="239">
        <f>IF(Perfiles_usuario!$D144=Calculos_cuotas!AB$68,1,0)</f>
        <v>0</v>
      </c>
      <c r="AC75" s="240">
        <f>IF(Perfiles_usuario!$D144=Calculos_cuotas!AC$68,1,0)</f>
        <v>0</v>
      </c>
      <c r="AH75" s="1151">
        <f>IF(AND(Perfiles_usuario!$D144&lt;&gt;Calculos_cuotas!Z$68,Perfiles_usuario!$D144&lt;&gt;Calculos_cuotas!AA$68,Perfiles_usuario!$D144&lt;&gt;Calculos_cuotas!AB$68,Perfiles_usuario!$D144&lt;&gt;Calculos_cuotas!AC$68,Perfiles_usuario!$R144=1),1,0)</f>
        <v>0</v>
      </c>
      <c r="AI75" s="1151">
        <f>IF(AND(Perfiles_usuario!$D144&lt;&gt;Calculos_cuotas!Z$68,Perfiles_usuario!$D144&lt;&gt;Calculos_cuotas!AA$68,Perfiles_usuario!$D144&lt;&gt;Calculos_cuotas!AB$68,Perfiles_usuario!$D144&lt;&gt;Calculos_cuotas!AC$68,OR(Perfiles_usuario!$F144=Perfiles_usuario!$CI$37,Perfiles_usuario!$F144=Perfiles_usuario!$CI$38)),1,0)</f>
        <v>0</v>
      </c>
      <c r="AJ75" s="1151">
        <f t="shared" si="2"/>
        <v>0</v>
      </c>
      <c r="AK75" s="1151">
        <f>IF(OR(Perfiles_usuario!$D144=Calculos_cuotas!Z$68,Perfiles_usuario!$D144=Calculos_cuotas!AA$68,Perfiles_usuario!$D144=Calculos_cuotas!AB$68,Perfiles_usuario!$D144=Calculos_cuotas!AC$68),IF(Perfiles_usuario!$R144=1,1,0),0)</f>
        <v>0</v>
      </c>
    </row>
    <row r="76" spans="1:49">
      <c r="A76" s="250"/>
      <c r="B76" s="239"/>
      <c r="C76" s="836"/>
      <c r="D76" s="239"/>
      <c r="E76" s="239"/>
      <c r="I76" s="929"/>
      <c r="K76" s="250"/>
      <c r="L76" s="239"/>
      <c r="M76" s="239"/>
      <c r="N76" s="239"/>
      <c r="O76" s="239"/>
      <c r="P76" s="239"/>
      <c r="Q76" s="239"/>
      <c r="R76" s="239"/>
      <c r="S76" s="239"/>
      <c r="T76" s="239"/>
      <c r="U76" s="239"/>
      <c r="V76" s="239"/>
      <c r="W76" s="239"/>
      <c r="X76" s="239"/>
      <c r="Y76" s="239"/>
      <c r="Z76" s="239"/>
      <c r="AB76" s="239"/>
      <c r="AC76" s="240"/>
      <c r="AH76" s="1151"/>
      <c r="AI76" s="1151"/>
      <c r="AJ76" s="1151"/>
      <c r="AK76" s="1151"/>
    </row>
    <row r="77" spans="1:49">
      <c r="A77" s="235">
        <f>IF(Perfiles_usuario!$F99=A$68,Perfiles_usuario!$D99,0)</f>
        <v>0</v>
      </c>
      <c r="B77" s="236">
        <f>IF(Perfiles_usuario!$F99=B$68,Perfiles_usuario!$D99,0)</f>
        <v>0</v>
      </c>
      <c r="C77" s="837">
        <f>IF(Perfiles_usuario!$F99=C$68,Perfiles_usuario!$D99,0)</f>
        <v>0</v>
      </c>
      <c r="D77" s="236">
        <f>IF(Perfiles_usuario!$F99=D$68,Perfiles_usuario!$D99,0)</f>
        <v>0</v>
      </c>
      <c r="E77" s="236">
        <f>IF(Perfiles_usuario!$F99=E$68,Perfiles_usuario!$D99,0)</f>
        <v>0</v>
      </c>
      <c r="F77" s="236">
        <f>IF(Perfiles_usuario!$F99=F$68,Perfiles_usuario!$D99,0)</f>
        <v>0</v>
      </c>
      <c r="G77" s="236"/>
      <c r="H77" s="236"/>
      <c r="I77" s="1285">
        <f>IF(Perfiles_usuario!$H99=I$68,Perfiles_usuario!$D99,0)</f>
        <v>0</v>
      </c>
      <c r="K77" s="250">
        <f>IF(Perfiles_usuario!$D146=Calculos_cuotas!K$68,1,0)</f>
        <v>0</v>
      </c>
      <c r="L77" s="239">
        <f>IF(Perfiles_usuario!$D146=Calculos_cuotas!L$68,1,0)</f>
        <v>0</v>
      </c>
      <c r="M77" s="239">
        <f>IF(Perfiles_usuario!$D146=Calculos_cuotas!M$68,1,0)</f>
        <v>0</v>
      </c>
      <c r="N77" s="239">
        <f>IF(Perfiles_usuario!$D146=Calculos_cuotas!N$68,1,0)</f>
        <v>0</v>
      </c>
      <c r="O77" s="239">
        <f>IF(Perfiles_usuario!$D146=Calculos_cuotas!O$68,1,0)</f>
        <v>0</v>
      </c>
      <c r="P77" s="239">
        <f>IF(Perfiles_usuario!$D146=Calculos_cuotas!P$68,1,0)</f>
        <v>0</v>
      </c>
      <c r="Q77" s="239">
        <f>IF(Perfiles_usuario!$D146=Calculos_cuotas!Q$68,1,0)</f>
        <v>0</v>
      </c>
      <c r="R77" s="239">
        <f>IF(Perfiles_usuario!$D146=Calculos_cuotas!R$68,1,0)</f>
        <v>0</v>
      </c>
      <c r="S77" s="239">
        <f>IF(Perfiles_usuario!$D146=Calculos_cuotas!S$68,1,0)</f>
        <v>0</v>
      </c>
      <c r="T77" s="239">
        <f>IF(Perfiles_usuario!$D146=Calculos_cuotas!T$68,1,0)</f>
        <v>0</v>
      </c>
      <c r="U77" s="239">
        <f>IF(Perfiles_usuario!$D146=Calculos_cuotas!U$68,1,0)</f>
        <v>0</v>
      </c>
      <c r="V77" s="239">
        <f>IF(Perfiles_usuario!$D146=Calculos_cuotas!V$68,1,0)</f>
        <v>0</v>
      </c>
      <c r="W77" s="239">
        <f>IF(Perfiles_usuario!$D146=Calculos_cuotas!W$68,1,0)</f>
        <v>0</v>
      </c>
      <c r="X77" s="239">
        <f>IF(Perfiles_usuario!$D146=Calculos_cuotas!X$68,1,0)</f>
        <v>0</v>
      </c>
      <c r="Y77" s="239">
        <f>IF(Perfiles_usuario!$D146=Calculos_cuotas!Y$68,1,0)</f>
        <v>0</v>
      </c>
      <c r="Z77" s="239">
        <f>IF(Perfiles_usuario!$D146=Calculos_cuotas!Z$68,1,0)</f>
        <v>0</v>
      </c>
      <c r="AA77" s="239">
        <f>IF(Perfiles_usuario!$D146=Calculos_cuotas!AA$68,1,0)</f>
        <v>0</v>
      </c>
      <c r="AB77" s="239">
        <f>IF(Perfiles_usuario!$D146=Calculos_cuotas!AB$68,1,0)</f>
        <v>0</v>
      </c>
      <c r="AC77" s="240">
        <f>IF(Perfiles_usuario!$D146=Calculos_cuotas!AC$68,1,0)</f>
        <v>0</v>
      </c>
      <c r="AH77" s="1151">
        <f>IF(AND(Perfiles_usuario!$D146&lt;&gt;Calculos_cuotas!Z$68,Perfiles_usuario!$D146&lt;&gt;Calculos_cuotas!AA$68,Perfiles_usuario!$D146&lt;&gt;Calculos_cuotas!AB$68,Perfiles_usuario!$D146&lt;&gt;Calculos_cuotas!AC$68,Perfiles_usuario!$R146=1),1,0)</f>
        <v>0</v>
      </c>
      <c r="AI77" s="1151">
        <f>IF(AND(Perfiles_usuario!$D146&lt;&gt;Calculos_cuotas!Z$68,Perfiles_usuario!$D146&lt;&gt;Calculos_cuotas!AA$68,Perfiles_usuario!$D146&lt;&gt;Calculos_cuotas!AB$68,Perfiles_usuario!$D146&lt;&gt;Calculos_cuotas!AC$68,OR(Perfiles_usuario!$F146=Perfiles_usuario!$CI$37,Perfiles_usuario!$F146=Perfiles_usuario!$CI$38)),1,0)</f>
        <v>0</v>
      </c>
      <c r="AJ77" s="1151">
        <f t="shared" si="2"/>
        <v>0</v>
      </c>
      <c r="AK77" s="1151">
        <f>IF(OR(Perfiles_usuario!$D146=Calculos_cuotas!Z$68,Perfiles_usuario!$D146=Calculos_cuotas!AA$68,Perfiles_usuario!$D146=Calculos_cuotas!AB$68,Perfiles_usuario!$D146=Calculos_cuotas!AC$68),IF(Perfiles_usuario!$R146=1,1,0),0)</f>
        <v>0</v>
      </c>
    </row>
    <row r="78" spans="1:49">
      <c r="A78" s="235"/>
      <c r="B78" s="236"/>
      <c r="C78" s="837"/>
      <c r="D78" s="236"/>
      <c r="E78" s="236"/>
      <c r="F78" s="236"/>
      <c r="G78" s="236"/>
      <c r="H78" s="236"/>
      <c r="I78" s="1285"/>
      <c r="K78" s="250"/>
      <c r="L78" s="239"/>
      <c r="M78" s="239"/>
      <c r="N78" s="239"/>
      <c r="O78" s="239"/>
      <c r="P78" s="239"/>
      <c r="Q78" s="239"/>
      <c r="R78" s="239"/>
      <c r="S78" s="239"/>
      <c r="T78" s="239"/>
      <c r="U78" s="239"/>
      <c r="V78" s="239"/>
      <c r="W78" s="239"/>
      <c r="X78" s="239"/>
      <c r="Y78" s="239"/>
      <c r="Z78" s="239"/>
      <c r="AA78" s="239"/>
      <c r="AB78" s="239"/>
      <c r="AC78" s="240"/>
      <c r="AH78" s="1151"/>
      <c r="AI78" s="1151"/>
      <c r="AJ78" s="1151"/>
      <c r="AK78" s="1151"/>
    </row>
    <row r="79" spans="1:49" ht="15.75" thickBot="1">
      <c r="A79" s="263">
        <f t="shared" ref="A79:I79" si="3">SUM(A69:A77)</f>
        <v>0</v>
      </c>
      <c r="B79" s="264">
        <f t="shared" si="3"/>
        <v>0</v>
      </c>
      <c r="C79" s="838">
        <f t="shared" si="3"/>
        <v>0</v>
      </c>
      <c r="D79" s="264">
        <f t="shared" si="3"/>
        <v>0</v>
      </c>
      <c r="E79" s="264">
        <f t="shared" si="3"/>
        <v>0</v>
      </c>
      <c r="F79" s="264">
        <f t="shared" si="3"/>
        <v>0</v>
      </c>
      <c r="G79" s="264">
        <f t="shared" si="3"/>
        <v>0</v>
      </c>
      <c r="H79" s="264">
        <f t="shared" si="3"/>
        <v>0</v>
      </c>
      <c r="I79" s="1286">
        <f t="shared" si="3"/>
        <v>0</v>
      </c>
      <c r="K79" s="250">
        <f>IF(Perfiles_usuario!$D148=Calculos_cuotas!K$68,1,0)</f>
        <v>0</v>
      </c>
      <c r="L79" s="239">
        <f>IF(Perfiles_usuario!$D148=Calculos_cuotas!L$68,1,0)</f>
        <v>0</v>
      </c>
      <c r="M79" s="239">
        <f>IF(Perfiles_usuario!$D148=Calculos_cuotas!M$68,1,0)</f>
        <v>0</v>
      </c>
      <c r="N79" s="239">
        <f>IF(Perfiles_usuario!$D148=Calculos_cuotas!N$68,1,0)</f>
        <v>0</v>
      </c>
      <c r="O79" s="239">
        <f>IF(Perfiles_usuario!$D148=Calculos_cuotas!O$68,1,0)</f>
        <v>0</v>
      </c>
      <c r="P79" s="239">
        <f>IF(Perfiles_usuario!$D148=Calculos_cuotas!P$68,1,0)</f>
        <v>0</v>
      </c>
      <c r="Q79" s="239">
        <f>IF(Perfiles_usuario!$D148=Calculos_cuotas!Q$68,1,0)</f>
        <v>0</v>
      </c>
      <c r="R79" s="239">
        <f>IF(Perfiles_usuario!$D148=Calculos_cuotas!R$68,1,0)</f>
        <v>0</v>
      </c>
      <c r="S79" s="239">
        <f>IF(Perfiles_usuario!$D148=Calculos_cuotas!S$68,1,0)</f>
        <v>0</v>
      </c>
      <c r="T79" s="239">
        <f>IF(Perfiles_usuario!$D148=Calculos_cuotas!T$68,1,0)</f>
        <v>0</v>
      </c>
      <c r="U79" s="239">
        <f>IF(Perfiles_usuario!$D148=Calculos_cuotas!U$68,1,0)</f>
        <v>0</v>
      </c>
      <c r="V79" s="239">
        <f>IF(Perfiles_usuario!$D148=Calculos_cuotas!V$68,1,0)</f>
        <v>0</v>
      </c>
      <c r="W79" s="239">
        <f>IF(Perfiles_usuario!$D148=Calculos_cuotas!W$68,1,0)</f>
        <v>0</v>
      </c>
      <c r="X79" s="239">
        <f>IF(Perfiles_usuario!$D148=Calculos_cuotas!X$68,1,0)</f>
        <v>0</v>
      </c>
      <c r="Y79" s="239">
        <f>IF(Perfiles_usuario!$D148=Calculos_cuotas!Y$68,1,0)</f>
        <v>0</v>
      </c>
      <c r="Z79" s="239">
        <f>IF(Perfiles_usuario!$D148=Calculos_cuotas!Z$68,1,0)</f>
        <v>0</v>
      </c>
      <c r="AA79" s="239">
        <f>IF(Perfiles_usuario!$D148=Calculos_cuotas!AA$68,1,0)</f>
        <v>0</v>
      </c>
      <c r="AB79" s="239">
        <f>IF(Perfiles_usuario!$D148=Calculos_cuotas!AB$68,1,0)</f>
        <v>0</v>
      </c>
      <c r="AC79" s="240">
        <f>IF(Perfiles_usuario!$D148=Calculos_cuotas!AC$68,1,0)</f>
        <v>0</v>
      </c>
      <c r="AH79" s="1151">
        <f>IF(AND(Perfiles_usuario!$D148&lt;&gt;Calculos_cuotas!Z$68,Perfiles_usuario!$D148&lt;&gt;Calculos_cuotas!AA$68,Perfiles_usuario!$D148&lt;&gt;Calculos_cuotas!AB$68,Perfiles_usuario!$D148&lt;&gt;Calculos_cuotas!AC$68,Perfiles_usuario!$R148=1),1,0)</f>
        <v>0</v>
      </c>
      <c r="AI79" s="1151">
        <f>IF(AND(Perfiles_usuario!$D148&lt;&gt;Calculos_cuotas!Z$68,Perfiles_usuario!$D148&lt;&gt;Calculos_cuotas!AA$68,Perfiles_usuario!$D148&lt;&gt;Calculos_cuotas!AB$68,Perfiles_usuario!$D148&lt;&gt;Calculos_cuotas!AC$68,OR(Perfiles_usuario!$F148=Perfiles_usuario!$CI$37,Perfiles_usuario!$F148=Perfiles_usuario!$CI$38)),1,0)</f>
        <v>0</v>
      </c>
      <c r="AJ79" s="1151">
        <f t="shared" si="2"/>
        <v>0</v>
      </c>
      <c r="AK79" s="1151">
        <f>IF(OR(Perfiles_usuario!$D148=Calculos_cuotas!Z$68,Perfiles_usuario!$D148=Calculos_cuotas!AA$68,Perfiles_usuario!$D148=Calculos_cuotas!AB$68,Perfiles_usuario!$D148=Calculos_cuotas!AC$68),IF(Perfiles_usuario!$R148=1,1,0),0)</f>
        <v>0</v>
      </c>
    </row>
    <row r="80" spans="1:49">
      <c r="A80" s="235"/>
      <c r="B80" s="236"/>
      <c r="C80" s="236"/>
      <c r="D80" s="236"/>
      <c r="E80" s="236"/>
      <c r="F80" s="236"/>
      <c r="G80" s="236"/>
      <c r="H80" s="236"/>
      <c r="I80" s="236"/>
      <c r="K80" s="250"/>
      <c r="L80" s="239"/>
      <c r="M80" s="239"/>
      <c r="N80" s="239"/>
      <c r="O80" s="239"/>
      <c r="P80" s="239"/>
      <c r="Q80" s="239"/>
      <c r="R80" s="239"/>
      <c r="S80" s="239"/>
      <c r="T80" s="239"/>
      <c r="U80" s="239"/>
      <c r="V80" s="239"/>
      <c r="W80" s="239"/>
      <c r="X80" s="239"/>
      <c r="Y80" s="239"/>
      <c r="Z80" s="239"/>
      <c r="AA80" s="239"/>
      <c r="AB80" s="239"/>
      <c r="AC80" s="240"/>
      <c r="AH80" s="1151"/>
      <c r="AI80" s="1151"/>
      <c r="AJ80" s="1151"/>
      <c r="AK80" s="1151"/>
    </row>
    <row r="81" spans="1:37">
      <c r="A81" s="235"/>
      <c r="B81" s="236"/>
      <c r="C81" s="236"/>
      <c r="D81" s="236"/>
      <c r="E81" s="236"/>
      <c r="F81" s="236"/>
      <c r="G81" s="236"/>
      <c r="H81" s="236"/>
      <c r="I81" s="236"/>
      <c r="K81" s="250">
        <f>IF(Perfiles_usuario!$D150=Calculos_cuotas!K$68,1,0)</f>
        <v>0</v>
      </c>
      <c r="L81" s="239">
        <f>IF(Perfiles_usuario!$D150=Calculos_cuotas!L$68,1,0)</f>
        <v>0</v>
      </c>
      <c r="M81" s="239">
        <f>IF(Perfiles_usuario!$D150=Calculos_cuotas!M$68,1,0)</f>
        <v>0</v>
      </c>
      <c r="N81" s="239">
        <f>IF(Perfiles_usuario!$D150=Calculos_cuotas!N$68,1,0)</f>
        <v>0</v>
      </c>
      <c r="O81" s="239">
        <f>IF(Perfiles_usuario!$D150=Calculos_cuotas!O$68,1,0)</f>
        <v>0</v>
      </c>
      <c r="P81" s="239">
        <f>IF(Perfiles_usuario!$D150=Calculos_cuotas!P$68,1,0)</f>
        <v>0</v>
      </c>
      <c r="Q81" s="239">
        <f>IF(Perfiles_usuario!$D150=Calculos_cuotas!Q$68,1,0)</f>
        <v>0</v>
      </c>
      <c r="R81" s="239">
        <f>IF(Perfiles_usuario!$D150=Calculos_cuotas!R$68,1,0)</f>
        <v>0</v>
      </c>
      <c r="S81" s="239">
        <f>IF(Perfiles_usuario!$D150=Calculos_cuotas!S$68,1,0)</f>
        <v>0</v>
      </c>
      <c r="T81" s="239">
        <f>IF(Perfiles_usuario!$D150=Calculos_cuotas!T$68,1,0)</f>
        <v>0</v>
      </c>
      <c r="U81" s="239">
        <f>IF(Perfiles_usuario!$D150=Calculos_cuotas!U$68,1,0)</f>
        <v>0</v>
      </c>
      <c r="V81" s="239">
        <f>IF(Perfiles_usuario!$D150=Calculos_cuotas!V$68,1,0)</f>
        <v>0</v>
      </c>
      <c r="W81" s="239">
        <f>IF(Perfiles_usuario!$D150=Calculos_cuotas!W$68,1,0)</f>
        <v>0</v>
      </c>
      <c r="X81" s="239">
        <f>IF(Perfiles_usuario!$D150=Calculos_cuotas!X$68,1,0)</f>
        <v>0</v>
      </c>
      <c r="Y81" s="239">
        <f>IF(Perfiles_usuario!$D150=Calculos_cuotas!Y$68,1,0)</f>
        <v>0</v>
      </c>
      <c r="Z81" s="239">
        <f>IF(Perfiles_usuario!$D150=Calculos_cuotas!Z$68,1,0)</f>
        <v>0</v>
      </c>
      <c r="AA81" s="239">
        <f>IF(Perfiles_usuario!$D150=Calculos_cuotas!AA$68,1,0)</f>
        <v>0</v>
      </c>
      <c r="AB81" s="239">
        <f>IF(Perfiles_usuario!$D150=Calculos_cuotas!AB$68,1,0)</f>
        <v>0</v>
      </c>
      <c r="AC81" s="240">
        <f>IF(Perfiles_usuario!$D150=Calculos_cuotas!AC$68,1,0)</f>
        <v>0</v>
      </c>
      <c r="AH81" s="1151">
        <f>IF(AND(Perfiles_usuario!$D150&lt;&gt;Calculos_cuotas!Z$68,Perfiles_usuario!$D150&lt;&gt;Calculos_cuotas!AA$68,Perfiles_usuario!$D150&lt;&gt;Calculos_cuotas!AB$68,Perfiles_usuario!$D150&lt;&gt;Calculos_cuotas!AC$68,Perfiles_usuario!$R150=1),1,0)</f>
        <v>0</v>
      </c>
      <c r="AI81" s="1151">
        <f>IF(AND(Perfiles_usuario!$D150&lt;&gt;Calculos_cuotas!Z$68,Perfiles_usuario!$D150&lt;&gt;Calculos_cuotas!AA$68,Perfiles_usuario!$D150&lt;&gt;Calculos_cuotas!AB$68,Perfiles_usuario!$D150&lt;&gt;Calculos_cuotas!AC$68,OR(Perfiles_usuario!$F150=Perfiles_usuario!$CI$37,Perfiles_usuario!$F150=Perfiles_usuario!$CI$38)),1,0)</f>
        <v>0</v>
      </c>
      <c r="AJ81" s="1151">
        <f t="shared" si="2"/>
        <v>0</v>
      </c>
      <c r="AK81" s="1151">
        <f>IF(OR(Perfiles_usuario!$D150=Calculos_cuotas!Z$68,Perfiles_usuario!$D150=Calculos_cuotas!AA$68,Perfiles_usuario!$D150=Calculos_cuotas!AB$68,Perfiles_usuario!$D150=Calculos_cuotas!AC$68),IF(Perfiles_usuario!$R150=1,1,0),0)</f>
        <v>0</v>
      </c>
    </row>
    <row r="82" spans="1:37">
      <c r="A82" s="235"/>
      <c r="B82" s="236"/>
      <c r="C82" s="236"/>
      <c r="D82" s="236"/>
      <c r="E82" s="236"/>
      <c r="F82" s="236"/>
      <c r="G82" s="236"/>
      <c r="H82" s="236"/>
      <c r="I82" s="236"/>
      <c r="K82" s="250"/>
      <c r="L82" s="239"/>
      <c r="M82" s="239"/>
      <c r="N82" s="239"/>
      <c r="O82" s="239"/>
      <c r="P82" s="239"/>
      <c r="Q82" s="239"/>
      <c r="R82" s="239"/>
      <c r="S82" s="239"/>
      <c r="T82" s="239"/>
      <c r="U82" s="239"/>
      <c r="V82" s="239"/>
      <c r="W82" s="239"/>
      <c r="X82" s="239"/>
      <c r="Y82" s="239"/>
      <c r="Z82" s="239"/>
      <c r="AA82" s="239"/>
      <c r="AB82" s="239"/>
      <c r="AC82" s="240"/>
      <c r="AH82" s="1151"/>
      <c r="AI82" s="1151"/>
      <c r="AJ82" s="1151"/>
      <c r="AK82" s="1151"/>
    </row>
    <row r="83" spans="1:37">
      <c r="A83" s="235"/>
      <c r="B83" s="236"/>
      <c r="C83" s="236"/>
      <c r="D83" s="236"/>
      <c r="E83" s="236"/>
      <c r="F83" s="236"/>
      <c r="G83" s="236"/>
      <c r="H83" s="236"/>
      <c r="I83" s="236"/>
      <c r="K83" s="250">
        <f>IF(Perfiles_usuario!$D152=Calculos_cuotas!K$68,1,0)</f>
        <v>0</v>
      </c>
      <c r="L83" s="239">
        <f>IF(Perfiles_usuario!$D152=Calculos_cuotas!L$68,1,0)</f>
        <v>0</v>
      </c>
      <c r="M83" s="239">
        <f>IF(Perfiles_usuario!$D152=Calculos_cuotas!M$68,1,0)</f>
        <v>0</v>
      </c>
      <c r="N83" s="239">
        <f>IF(Perfiles_usuario!$D152=Calculos_cuotas!N$68,1,0)</f>
        <v>0</v>
      </c>
      <c r="O83" s="239">
        <f>IF(Perfiles_usuario!$D152=Calculos_cuotas!O$68,1,0)</f>
        <v>0</v>
      </c>
      <c r="P83" s="239">
        <f>IF(Perfiles_usuario!$D152=Calculos_cuotas!P$68,1,0)</f>
        <v>0</v>
      </c>
      <c r="Q83" s="239">
        <f>IF(Perfiles_usuario!$D152=Calculos_cuotas!Q$68,1,0)</f>
        <v>0</v>
      </c>
      <c r="R83" s="239">
        <f>IF(Perfiles_usuario!$D152=Calculos_cuotas!R$68,1,0)</f>
        <v>0</v>
      </c>
      <c r="S83" s="239">
        <f>IF(Perfiles_usuario!$D152=Calculos_cuotas!S$68,1,0)</f>
        <v>0</v>
      </c>
      <c r="T83" s="239">
        <f>IF(Perfiles_usuario!$D152=Calculos_cuotas!T$68,1,0)</f>
        <v>0</v>
      </c>
      <c r="U83" s="239">
        <f>IF(Perfiles_usuario!$D152=Calculos_cuotas!U$68,1,0)</f>
        <v>0</v>
      </c>
      <c r="V83" s="239">
        <f>IF(Perfiles_usuario!$D152=Calculos_cuotas!V$68,1,0)</f>
        <v>0</v>
      </c>
      <c r="W83" s="239">
        <f>IF(Perfiles_usuario!$D152=Calculos_cuotas!W$68,1,0)</f>
        <v>0</v>
      </c>
      <c r="X83" s="239">
        <f>IF(Perfiles_usuario!$D152=Calculos_cuotas!X$68,1,0)</f>
        <v>0</v>
      </c>
      <c r="Y83" s="239">
        <f>IF(Perfiles_usuario!$D152=Calculos_cuotas!Y$68,1,0)</f>
        <v>0</v>
      </c>
      <c r="Z83" s="239">
        <f>IF(Perfiles_usuario!$D152=Calculos_cuotas!Z$68,1,0)</f>
        <v>0</v>
      </c>
      <c r="AA83" s="239">
        <f>IF(Perfiles_usuario!$D152=Calculos_cuotas!AA$68,1,0)</f>
        <v>0</v>
      </c>
      <c r="AB83" s="239">
        <f>IF(Perfiles_usuario!$D152=Calculos_cuotas!AB$68,1,0)</f>
        <v>0</v>
      </c>
      <c r="AC83" s="240">
        <f>IF(Perfiles_usuario!$D152=Calculos_cuotas!AC$68,1,0)</f>
        <v>0</v>
      </c>
      <c r="AH83" s="1151">
        <f>IF(AND(Perfiles_usuario!$D152&lt;&gt;Calculos_cuotas!Z$68,Perfiles_usuario!$D152&lt;&gt;Calculos_cuotas!AA$68,Perfiles_usuario!$D152&lt;&gt;Calculos_cuotas!AB$68,Perfiles_usuario!$D152&lt;&gt;Calculos_cuotas!AC$68,Perfiles_usuario!$R152=1),1,0)</f>
        <v>0</v>
      </c>
      <c r="AI83" s="1151">
        <f>IF(AND(Perfiles_usuario!$D152&lt;&gt;Calculos_cuotas!Z$68,Perfiles_usuario!$D152&lt;&gt;Calculos_cuotas!AA$68,Perfiles_usuario!$D152&lt;&gt;Calculos_cuotas!AB$68,Perfiles_usuario!$D152&lt;&gt;Calculos_cuotas!AC$68,OR(Perfiles_usuario!$F152=Perfiles_usuario!$CI$37,Perfiles_usuario!$F152=Perfiles_usuario!$CI$38)),1,0)</f>
        <v>0</v>
      </c>
      <c r="AJ83" s="1151">
        <f t="shared" si="2"/>
        <v>0</v>
      </c>
      <c r="AK83" s="1151">
        <f>IF(OR(Perfiles_usuario!$D152=Calculos_cuotas!Z$68,Perfiles_usuario!$D152=Calculos_cuotas!AA$68,Perfiles_usuario!$D152=Calculos_cuotas!AB$68,Perfiles_usuario!$D152=Calculos_cuotas!AC$68),IF(Perfiles_usuario!$R152=1,1,0),0)</f>
        <v>0</v>
      </c>
    </row>
    <row r="84" spans="1:37">
      <c r="A84" s="235"/>
      <c r="B84" s="236"/>
      <c r="C84" s="236"/>
      <c r="D84" s="236"/>
      <c r="E84" s="236"/>
      <c r="F84" s="236"/>
      <c r="G84" s="236"/>
      <c r="H84" s="236"/>
      <c r="I84" s="236"/>
      <c r="K84" s="250"/>
      <c r="L84" s="239"/>
      <c r="M84" s="239"/>
      <c r="N84" s="239"/>
      <c r="O84" s="239"/>
      <c r="P84" s="239"/>
      <c r="Q84" s="239"/>
      <c r="R84" s="239"/>
      <c r="S84" s="239"/>
      <c r="T84" s="239"/>
      <c r="U84" s="239"/>
      <c r="V84" s="239"/>
      <c r="W84" s="239"/>
      <c r="X84" s="239"/>
      <c r="Y84" s="239"/>
      <c r="Z84" s="239"/>
      <c r="AA84" s="239"/>
      <c r="AB84" s="239"/>
      <c r="AC84" s="240"/>
      <c r="AH84" s="1151"/>
      <c r="AI84" s="1151"/>
      <c r="AJ84" s="1151"/>
      <c r="AK84" s="1151"/>
    </row>
    <row r="85" spans="1:37">
      <c r="A85" s="235"/>
      <c r="B85" s="236"/>
      <c r="C85" s="236"/>
      <c r="D85" s="236"/>
      <c r="E85" s="236"/>
      <c r="F85" s="236"/>
      <c r="G85" s="236"/>
      <c r="H85" s="236"/>
      <c r="I85" s="236"/>
      <c r="K85" s="250">
        <f>IF(Perfiles_usuario!$D154=Calculos_cuotas!K$68,1,0)</f>
        <v>0</v>
      </c>
      <c r="L85" s="239">
        <f>IF(Perfiles_usuario!$D154=Calculos_cuotas!L$68,1,0)</f>
        <v>0</v>
      </c>
      <c r="M85" s="239">
        <f>IF(Perfiles_usuario!$D154=Calculos_cuotas!M$68,1,0)</f>
        <v>0</v>
      </c>
      <c r="N85" s="239">
        <f>IF(Perfiles_usuario!$D154=Calculos_cuotas!N$68,1,0)</f>
        <v>0</v>
      </c>
      <c r="O85" s="239">
        <f>IF(Perfiles_usuario!$D154=Calculos_cuotas!O$68,1,0)</f>
        <v>0</v>
      </c>
      <c r="P85" s="239">
        <f>IF(Perfiles_usuario!$D154=Calculos_cuotas!P$68,1,0)</f>
        <v>0</v>
      </c>
      <c r="Q85" s="239">
        <f>IF(Perfiles_usuario!$D154=Calculos_cuotas!Q$68,1,0)</f>
        <v>0</v>
      </c>
      <c r="R85" s="239">
        <f>IF(Perfiles_usuario!$D154=Calculos_cuotas!R$68,1,0)</f>
        <v>0</v>
      </c>
      <c r="S85" s="239">
        <f>IF(Perfiles_usuario!$D154=Calculos_cuotas!S$68,1,0)</f>
        <v>0</v>
      </c>
      <c r="T85" s="239">
        <f>IF(Perfiles_usuario!$D154=Calculos_cuotas!T$68,1,0)</f>
        <v>0</v>
      </c>
      <c r="U85" s="239">
        <f>IF(Perfiles_usuario!$D154=Calculos_cuotas!U$68,1,0)</f>
        <v>0</v>
      </c>
      <c r="V85" s="239">
        <f>IF(Perfiles_usuario!$D154=Calculos_cuotas!V$68,1,0)</f>
        <v>0</v>
      </c>
      <c r="W85" s="239">
        <f>IF(Perfiles_usuario!$D154=Calculos_cuotas!W$68,1,0)</f>
        <v>0</v>
      </c>
      <c r="X85" s="239">
        <f>IF(Perfiles_usuario!$D154=Calculos_cuotas!X$68,1,0)</f>
        <v>0</v>
      </c>
      <c r="Y85" s="239">
        <f>IF(Perfiles_usuario!$D154=Calculos_cuotas!Y$68,1,0)</f>
        <v>0</v>
      </c>
      <c r="Z85" s="239">
        <f>IF(Perfiles_usuario!$D154=Calculos_cuotas!Z$68,1,0)</f>
        <v>0</v>
      </c>
      <c r="AA85" s="239">
        <f>IF(Perfiles_usuario!$D154=Calculos_cuotas!AA$68,1,0)</f>
        <v>0</v>
      </c>
      <c r="AB85" s="239">
        <f>IF(Perfiles_usuario!$D154=Calculos_cuotas!AB$68,1,0)</f>
        <v>0</v>
      </c>
      <c r="AC85" s="240">
        <f>IF(Perfiles_usuario!$D154=Calculos_cuotas!AC$68,1,0)</f>
        <v>0</v>
      </c>
      <c r="AH85" s="1151">
        <f>IF(AND(Perfiles_usuario!$D154&lt;&gt;Calculos_cuotas!Z$68,Perfiles_usuario!$D154&lt;&gt;Calculos_cuotas!AA$68,Perfiles_usuario!$D154&lt;&gt;Calculos_cuotas!AB$68,Perfiles_usuario!$D154&lt;&gt;Calculos_cuotas!AC$68,Perfiles_usuario!$R154=1),1,0)</f>
        <v>0</v>
      </c>
      <c r="AI85" s="1151">
        <f>IF(AND(Perfiles_usuario!$D154&lt;&gt;Calculos_cuotas!Z$68,Perfiles_usuario!$D154&lt;&gt;Calculos_cuotas!AA$68,Perfiles_usuario!$D154&lt;&gt;Calculos_cuotas!AB$68,Perfiles_usuario!$D154&lt;&gt;Calculos_cuotas!AC$68,OR(Perfiles_usuario!$F154=Perfiles_usuario!$CI$37,Perfiles_usuario!$F154=Perfiles_usuario!$CI$38)),1,0)</f>
        <v>0</v>
      </c>
      <c r="AJ85" s="1151">
        <f t="shared" si="2"/>
        <v>0</v>
      </c>
      <c r="AK85" s="1151">
        <f>IF(OR(Perfiles_usuario!$D154=Calculos_cuotas!Z$68,Perfiles_usuario!$D154=Calculos_cuotas!AA$68,Perfiles_usuario!$D154=Calculos_cuotas!AB$68,Perfiles_usuario!$D154=Calculos_cuotas!AC$68),IF(Perfiles_usuario!$R154=1,1,0),0)</f>
        <v>0</v>
      </c>
    </row>
    <row r="86" spans="1:37">
      <c r="A86" s="235"/>
      <c r="B86" s="236"/>
      <c r="C86" s="236"/>
      <c r="D86" s="236"/>
      <c r="E86" s="236"/>
      <c r="F86" s="236"/>
      <c r="G86" s="236"/>
      <c r="H86" s="236"/>
      <c r="I86" s="236"/>
      <c r="K86" s="250"/>
      <c r="L86" s="239"/>
      <c r="M86" s="239"/>
      <c r="N86" s="239"/>
      <c r="O86" s="239"/>
      <c r="P86" s="239"/>
      <c r="Q86" s="239"/>
      <c r="R86" s="239"/>
      <c r="S86" s="239"/>
      <c r="T86" s="239"/>
      <c r="U86" s="239"/>
      <c r="V86" s="239"/>
      <c r="W86" s="239"/>
      <c r="X86" s="239"/>
      <c r="Y86" s="239"/>
      <c r="Z86" s="239"/>
      <c r="AA86" s="239"/>
      <c r="AB86" s="239"/>
      <c r="AC86" s="240"/>
      <c r="AH86" s="1151"/>
      <c r="AI86" s="1151"/>
      <c r="AJ86" s="1151"/>
      <c r="AK86" s="1151"/>
    </row>
    <row r="87" spans="1:37">
      <c r="A87" s="235"/>
      <c r="B87" s="236"/>
      <c r="C87" s="236"/>
      <c r="D87" s="236"/>
      <c r="E87" s="236"/>
      <c r="F87" s="236"/>
      <c r="G87" s="236"/>
      <c r="H87" s="236"/>
      <c r="I87" s="236"/>
      <c r="K87" s="250">
        <f>IF(Perfiles_usuario!$D156=Calculos_cuotas!K$68,1,0)</f>
        <v>0</v>
      </c>
      <c r="L87" s="239">
        <f>IF(Perfiles_usuario!$D156=Calculos_cuotas!L$68,1,0)</f>
        <v>0</v>
      </c>
      <c r="M87" s="239">
        <f>IF(Perfiles_usuario!$D156=Calculos_cuotas!M$68,1,0)</f>
        <v>0</v>
      </c>
      <c r="N87" s="239">
        <f>IF(Perfiles_usuario!$D156=Calculos_cuotas!N$68,1,0)</f>
        <v>0</v>
      </c>
      <c r="O87" s="239">
        <f>IF(Perfiles_usuario!$D156=Calculos_cuotas!O$68,1,0)</f>
        <v>0</v>
      </c>
      <c r="P87" s="239">
        <f>IF(Perfiles_usuario!$D156=Calculos_cuotas!P$68,1,0)</f>
        <v>0</v>
      </c>
      <c r="Q87" s="239">
        <f>IF(Perfiles_usuario!$D156=Calculos_cuotas!Q$68,1,0)</f>
        <v>0</v>
      </c>
      <c r="R87" s="239">
        <f>IF(Perfiles_usuario!$D156=Calculos_cuotas!R$68,1,0)</f>
        <v>0</v>
      </c>
      <c r="S87" s="239">
        <f>IF(Perfiles_usuario!$D156=Calculos_cuotas!S$68,1,0)</f>
        <v>0</v>
      </c>
      <c r="T87" s="239">
        <f>IF(Perfiles_usuario!$D156=Calculos_cuotas!T$68,1,0)</f>
        <v>0</v>
      </c>
      <c r="U87" s="239">
        <f>IF(Perfiles_usuario!$D156=Calculos_cuotas!U$68,1,0)</f>
        <v>0</v>
      </c>
      <c r="V87" s="239">
        <f>IF(Perfiles_usuario!$D156=Calculos_cuotas!V$68,1,0)</f>
        <v>0</v>
      </c>
      <c r="W87" s="239">
        <f>IF(Perfiles_usuario!$D156=Calculos_cuotas!W$68,1,0)</f>
        <v>0</v>
      </c>
      <c r="X87" s="239">
        <f>IF(Perfiles_usuario!$D156=Calculos_cuotas!X$68,1,0)</f>
        <v>0</v>
      </c>
      <c r="Y87" s="239">
        <f>IF(Perfiles_usuario!$D156=Calculos_cuotas!Y$68,1,0)</f>
        <v>0</v>
      </c>
      <c r="Z87" s="239">
        <f>IF(Perfiles_usuario!$D156=Calculos_cuotas!Z$68,1,0)</f>
        <v>0</v>
      </c>
      <c r="AA87" s="239">
        <f>IF(Perfiles_usuario!$D156=Calculos_cuotas!AA$68,1,0)</f>
        <v>0</v>
      </c>
      <c r="AB87" s="239">
        <f>IF(Perfiles_usuario!$D156=Calculos_cuotas!AB$68,1,0)</f>
        <v>0</v>
      </c>
      <c r="AC87" s="240">
        <f>IF(Perfiles_usuario!$D156=Calculos_cuotas!AC$68,1,0)</f>
        <v>0</v>
      </c>
      <c r="AH87" s="1151">
        <f>IF(AND(Perfiles_usuario!$D156&lt;&gt;Calculos_cuotas!Z$68,Perfiles_usuario!$D156&lt;&gt;Calculos_cuotas!AA$68,Perfiles_usuario!$D156&lt;&gt;Calculos_cuotas!AB$68,Perfiles_usuario!$D156&lt;&gt;Calculos_cuotas!AC$68,Perfiles_usuario!$R156=1),1,0)</f>
        <v>0</v>
      </c>
      <c r="AI87" s="1151">
        <f>IF(AND(Perfiles_usuario!$D156&lt;&gt;Calculos_cuotas!Z$68,Perfiles_usuario!$D156&lt;&gt;Calculos_cuotas!AA$68,Perfiles_usuario!$D156&lt;&gt;Calculos_cuotas!AB$68,Perfiles_usuario!$D156&lt;&gt;Calculos_cuotas!AC$68,OR(Perfiles_usuario!$F156=Perfiles_usuario!$CI$37,Perfiles_usuario!$F156=Perfiles_usuario!$CI$38)),1,0)</f>
        <v>0</v>
      </c>
      <c r="AJ87" s="1151">
        <f t="shared" si="2"/>
        <v>0</v>
      </c>
      <c r="AK87" s="1151">
        <f>IF(OR(Perfiles_usuario!$D156=Calculos_cuotas!Z$68,Perfiles_usuario!$D156=Calculos_cuotas!AA$68,Perfiles_usuario!$D156=Calculos_cuotas!AB$68,Perfiles_usuario!$D156=Calculos_cuotas!AC$68),IF(Perfiles_usuario!$R156=1,1,0),0)</f>
        <v>0</v>
      </c>
    </row>
    <row r="88" spans="1:37">
      <c r="A88" s="235"/>
      <c r="B88" s="236"/>
      <c r="C88" s="236"/>
      <c r="D88" s="236"/>
      <c r="E88" s="236"/>
      <c r="F88" s="236"/>
      <c r="G88" s="236"/>
      <c r="H88" s="236"/>
      <c r="I88" s="236"/>
      <c r="K88" s="250"/>
      <c r="L88" s="239"/>
      <c r="M88" s="239"/>
      <c r="N88" s="239"/>
      <c r="O88" s="239"/>
      <c r="P88" s="239"/>
      <c r="Q88" s="239"/>
      <c r="R88" s="239"/>
      <c r="S88" s="239"/>
      <c r="T88" s="239"/>
      <c r="U88" s="239"/>
      <c r="V88" s="239"/>
      <c r="W88" s="239"/>
      <c r="X88" s="239"/>
      <c r="Y88" s="239"/>
      <c r="Z88" s="239"/>
      <c r="AA88" s="239"/>
      <c r="AB88" s="239"/>
      <c r="AC88" s="240"/>
      <c r="AH88" s="1151"/>
      <c r="AI88" s="1151"/>
      <c r="AJ88" s="1151"/>
      <c r="AK88" s="1151"/>
    </row>
    <row r="89" spans="1:37">
      <c r="A89" s="235"/>
      <c r="B89" s="236"/>
      <c r="C89" s="236"/>
      <c r="D89" s="236"/>
      <c r="E89" s="236"/>
      <c r="F89" s="236"/>
      <c r="G89" s="236"/>
      <c r="H89" s="236"/>
      <c r="I89" s="236"/>
      <c r="K89" s="250">
        <f>IF(Perfiles_usuario!$D158=Calculos_cuotas!K$68,1,0)</f>
        <v>0</v>
      </c>
      <c r="L89" s="239">
        <f>IF(Perfiles_usuario!$D158=Calculos_cuotas!L$68,1,0)</f>
        <v>0</v>
      </c>
      <c r="M89" s="239">
        <f>IF(Perfiles_usuario!$D158=Calculos_cuotas!M$68,1,0)</f>
        <v>0</v>
      </c>
      <c r="N89" s="239">
        <f>IF(Perfiles_usuario!$D158=Calculos_cuotas!N$68,1,0)</f>
        <v>0</v>
      </c>
      <c r="O89" s="239">
        <f>IF(Perfiles_usuario!$D158=Calculos_cuotas!O$68,1,0)</f>
        <v>0</v>
      </c>
      <c r="P89" s="239">
        <f>IF(Perfiles_usuario!$D158=Calculos_cuotas!P$68,1,0)</f>
        <v>0</v>
      </c>
      <c r="Q89" s="239">
        <f>IF(Perfiles_usuario!$D158=Calculos_cuotas!Q$68,1,0)</f>
        <v>0</v>
      </c>
      <c r="R89" s="239">
        <f>IF(Perfiles_usuario!$D158=Calculos_cuotas!R$68,1,0)</f>
        <v>0</v>
      </c>
      <c r="S89" s="239">
        <f>IF(Perfiles_usuario!$D158=Calculos_cuotas!S$68,1,0)</f>
        <v>0</v>
      </c>
      <c r="T89" s="239">
        <f>IF(Perfiles_usuario!$D158=Calculos_cuotas!T$68,1,0)</f>
        <v>0</v>
      </c>
      <c r="U89" s="239">
        <f>IF(Perfiles_usuario!$D158=Calculos_cuotas!U$68,1,0)</f>
        <v>0</v>
      </c>
      <c r="V89" s="239">
        <f>IF(Perfiles_usuario!$D158=Calculos_cuotas!V$68,1,0)</f>
        <v>0</v>
      </c>
      <c r="W89" s="239">
        <f>IF(Perfiles_usuario!$D158=Calculos_cuotas!W$68,1,0)</f>
        <v>0</v>
      </c>
      <c r="X89" s="239">
        <f>IF(Perfiles_usuario!$D158=Calculos_cuotas!X$68,1,0)</f>
        <v>0</v>
      </c>
      <c r="Y89" s="239">
        <f>IF(Perfiles_usuario!$D158=Calculos_cuotas!Y$68,1,0)</f>
        <v>0</v>
      </c>
      <c r="Z89" s="239">
        <f>IF(Perfiles_usuario!$D158=Calculos_cuotas!Z$68,1,0)</f>
        <v>0</v>
      </c>
      <c r="AA89" s="239">
        <f>IF(Perfiles_usuario!$D158=Calculos_cuotas!AA$68,1,0)</f>
        <v>0</v>
      </c>
      <c r="AB89" s="239">
        <f>IF(Perfiles_usuario!$D158=Calculos_cuotas!AB$68,1,0)</f>
        <v>0</v>
      </c>
      <c r="AC89" s="240">
        <f>IF(Perfiles_usuario!$D158=Calculos_cuotas!AC$68,1,0)</f>
        <v>0</v>
      </c>
      <c r="AH89" s="1151">
        <f>IF(AND(Perfiles_usuario!$D158&lt;&gt;Calculos_cuotas!Z$68,Perfiles_usuario!$D158&lt;&gt;Calculos_cuotas!AA$68,Perfiles_usuario!$D158&lt;&gt;Calculos_cuotas!AB$68,Perfiles_usuario!$D158&lt;&gt;Calculos_cuotas!AC$68,Perfiles_usuario!$R158=1),1,0)</f>
        <v>0</v>
      </c>
      <c r="AI89" s="1151">
        <f>IF(AND(Perfiles_usuario!$D158&lt;&gt;Calculos_cuotas!Z$68,Perfiles_usuario!$D158&lt;&gt;Calculos_cuotas!AA$68,Perfiles_usuario!$D158&lt;&gt;Calculos_cuotas!AB$68,Perfiles_usuario!$D158&lt;&gt;Calculos_cuotas!AC$68,OR(Perfiles_usuario!$F158=Perfiles_usuario!$CI$37,Perfiles_usuario!$F158=Perfiles_usuario!$CI$38)),1,0)</f>
        <v>0</v>
      </c>
      <c r="AJ89" s="1151">
        <f t="shared" si="2"/>
        <v>0</v>
      </c>
      <c r="AK89" s="1151">
        <f>IF(OR(Perfiles_usuario!$D158=Calculos_cuotas!Z$68,Perfiles_usuario!$D158=Calculos_cuotas!AA$68,Perfiles_usuario!$D158=Calculos_cuotas!AB$68,Perfiles_usuario!$D158=Calculos_cuotas!AC$68),IF(Perfiles_usuario!$R158=1,1,0),0)</f>
        <v>0</v>
      </c>
    </row>
    <row r="90" spans="1:37">
      <c r="A90" s="235"/>
      <c r="B90" s="236"/>
      <c r="C90" s="236"/>
      <c r="D90" s="236"/>
      <c r="E90" s="236"/>
      <c r="F90" s="236"/>
      <c r="G90" s="236"/>
      <c r="H90" s="236"/>
      <c r="I90" s="236"/>
      <c r="K90" s="250"/>
      <c r="L90" s="239"/>
      <c r="M90" s="239"/>
      <c r="N90" s="239"/>
      <c r="O90" s="239"/>
      <c r="P90" s="239"/>
      <c r="Q90" s="239"/>
      <c r="R90" s="239"/>
      <c r="S90" s="239"/>
      <c r="T90" s="239"/>
      <c r="U90" s="239"/>
      <c r="V90" s="239"/>
      <c r="W90" s="239"/>
      <c r="X90" s="239"/>
      <c r="Y90" s="239"/>
      <c r="Z90" s="239"/>
      <c r="AA90" s="239"/>
      <c r="AB90" s="239"/>
      <c r="AC90" s="240"/>
      <c r="AH90" s="1151"/>
      <c r="AI90" s="1151"/>
      <c r="AJ90" s="1151"/>
      <c r="AK90" s="1151"/>
    </row>
    <row r="91" spans="1:37">
      <c r="A91" s="235"/>
      <c r="B91" s="236"/>
      <c r="C91" s="236"/>
      <c r="D91" s="236"/>
      <c r="E91" s="236"/>
      <c r="F91" s="236"/>
      <c r="G91" s="236"/>
      <c r="H91" s="236"/>
      <c r="I91" s="236"/>
      <c r="K91" s="250">
        <f>IF(Perfiles_usuario!$D160=Calculos_cuotas!K$68,1,0)</f>
        <v>0</v>
      </c>
      <c r="L91" s="239">
        <f>IF(Perfiles_usuario!$D160=Calculos_cuotas!L$68,1,0)</f>
        <v>0</v>
      </c>
      <c r="M91" s="239">
        <f>IF(Perfiles_usuario!$D160=Calculos_cuotas!M$68,1,0)</f>
        <v>0</v>
      </c>
      <c r="N91" s="239">
        <f>IF(Perfiles_usuario!$D160=Calculos_cuotas!N$68,1,0)</f>
        <v>0</v>
      </c>
      <c r="O91" s="239">
        <f>IF(Perfiles_usuario!$D160=Calculos_cuotas!O$68,1,0)</f>
        <v>0</v>
      </c>
      <c r="P91" s="239">
        <f>IF(Perfiles_usuario!$D160=Calculos_cuotas!P$68,1,0)</f>
        <v>0</v>
      </c>
      <c r="Q91" s="239">
        <f>IF(Perfiles_usuario!$D160=Calculos_cuotas!Q$68,1,0)</f>
        <v>0</v>
      </c>
      <c r="R91" s="239">
        <f>IF(Perfiles_usuario!$D160=Calculos_cuotas!R$68,1,0)</f>
        <v>0</v>
      </c>
      <c r="S91" s="239">
        <f>IF(Perfiles_usuario!$D160=Calculos_cuotas!S$68,1,0)</f>
        <v>0</v>
      </c>
      <c r="T91" s="239">
        <f>IF(Perfiles_usuario!$D160=Calculos_cuotas!T$68,1,0)</f>
        <v>0</v>
      </c>
      <c r="U91" s="239">
        <f>IF(Perfiles_usuario!$D160=Calculos_cuotas!U$68,1,0)</f>
        <v>0</v>
      </c>
      <c r="V91" s="239">
        <f>IF(Perfiles_usuario!$D160=Calculos_cuotas!V$68,1,0)</f>
        <v>0</v>
      </c>
      <c r="W91" s="239">
        <f>IF(Perfiles_usuario!$D160=Calculos_cuotas!W$68,1,0)</f>
        <v>0</v>
      </c>
      <c r="X91" s="239">
        <f>IF(Perfiles_usuario!$D160=Calculos_cuotas!X$68,1,0)</f>
        <v>0</v>
      </c>
      <c r="Y91" s="239">
        <f>IF(Perfiles_usuario!$D160=Calculos_cuotas!Y$68,1,0)</f>
        <v>0</v>
      </c>
      <c r="Z91" s="239">
        <f>IF(Perfiles_usuario!$D160=Calculos_cuotas!Z$68,1,0)</f>
        <v>0</v>
      </c>
      <c r="AA91" s="239">
        <f>IF(Perfiles_usuario!$D160=Calculos_cuotas!AA$68,1,0)</f>
        <v>0</v>
      </c>
      <c r="AB91" s="239">
        <f>IF(Perfiles_usuario!$D160=Calculos_cuotas!AB$68,1,0)</f>
        <v>0</v>
      </c>
      <c r="AC91" s="240">
        <f>IF(Perfiles_usuario!$D160=Calculos_cuotas!AC$68,1,0)</f>
        <v>0</v>
      </c>
      <c r="AH91" s="1151">
        <f>IF(AND(Perfiles_usuario!$D160&lt;&gt;Calculos_cuotas!Z$68,Perfiles_usuario!$D160&lt;&gt;Calculos_cuotas!AA$68,Perfiles_usuario!$D160&lt;&gt;Calculos_cuotas!AB$68,Perfiles_usuario!$D160&lt;&gt;Calculos_cuotas!AC$68,Perfiles_usuario!$R160=1),1,0)</f>
        <v>0</v>
      </c>
      <c r="AI91" s="1151">
        <f>IF(AND(Perfiles_usuario!$D160&lt;&gt;Calculos_cuotas!Z$68,Perfiles_usuario!$D160&lt;&gt;Calculos_cuotas!AA$68,Perfiles_usuario!$D160&lt;&gt;Calculos_cuotas!AB$68,Perfiles_usuario!$D160&lt;&gt;Calculos_cuotas!AC$68,OR(Perfiles_usuario!$F160=Perfiles_usuario!$CI$37,Perfiles_usuario!$F160=Perfiles_usuario!$CI$38)),1,0)</f>
        <v>0</v>
      </c>
      <c r="AJ91" s="1151">
        <f t="shared" si="2"/>
        <v>0</v>
      </c>
      <c r="AK91" s="1151">
        <f>IF(OR(Perfiles_usuario!$D160=Calculos_cuotas!Z$68,Perfiles_usuario!$D160=Calculos_cuotas!AA$68,Perfiles_usuario!$D160=Calculos_cuotas!AB$68,Perfiles_usuario!$D160=Calculos_cuotas!AC$68),IF(Perfiles_usuario!$R160=1,1,0),0)</f>
        <v>0</v>
      </c>
    </row>
    <row r="92" spans="1:37">
      <c r="A92" s="235"/>
      <c r="B92" s="236"/>
      <c r="C92" s="236"/>
      <c r="D92" s="236"/>
      <c r="E92" s="236"/>
      <c r="F92" s="236"/>
      <c r="G92" s="236"/>
      <c r="H92" s="236"/>
      <c r="I92" s="236"/>
      <c r="K92" s="250"/>
      <c r="L92" s="239"/>
      <c r="M92" s="239"/>
      <c r="N92" s="239"/>
      <c r="O92" s="239"/>
      <c r="P92" s="239"/>
      <c r="Q92" s="239"/>
      <c r="R92" s="239"/>
      <c r="S92" s="239"/>
      <c r="T92" s="239"/>
      <c r="U92" s="239"/>
      <c r="V92" s="239"/>
      <c r="W92" s="239"/>
      <c r="X92" s="239"/>
      <c r="Y92" s="239"/>
      <c r="Z92" s="239"/>
      <c r="AA92" s="239"/>
      <c r="AB92" s="239"/>
      <c r="AC92" s="240"/>
      <c r="AH92" s="1151"/>
      <c r="AI92" s="1151"/>
      <c r="AJ92" s="1151"/>
      <c r="AK92" s="1151"/>
    </row>
    <row r="93" spans="1:37">
      <c r="A93" s="235"/>
      <c r="B93" s="236"/>
      <c r="C93" s="236"/>
      <c r="D93" s="236"/>
      <c r="E93" s="236"/>
      <c r="F93" s="236"/>
      <c r="G93" s="236"/>
      <c r="H93" s="236"/>
      <c r="I93" s="236"/>
      <c r="K93" s="250">
        <f>IF(Perfiles_usuario!$D162=Calculos_cuotas!K$68,1,0)</f>
        <v>0</v>
      </c>
      <c r="L93" s="239">
        <f>IF(Perfiles_usuario!$D162=Calculos_cuotas!L$68,1,0)</f>
        <v>0</v>
      </c>
      <c r="M93" s="239">
        <f>IF(Perfiles_usuario!$D162=Calculos_cuotas!M$68,1,0)</f>
        <v>0</v>
      </c>
      <c r="N93" s="239">
        <f>IF(Perfiles_usuario!$D162=Calculos_cuotas!N$68,1,0)</f>
        <v>0</v>
      </c>
      <c r="O93" s="239">
        <f>IF(Perfiles_usuario!$D162=Calculos_cuotas!O$68,1,0)</f>
        <v>0</v>
      </c>
      <c r="P93" s="239">
        <f>IF(Perfiles_usuario!$D162=Calculos_cuotas!P$68,1,0)</f>
        <v>0</v>
      </c>
      <c r="Q93" s="239">
        <f>IF(Perfiles_usuario!$D162=Calculos_cuotas!Q$68,1,0)</f>
        <v>0</v>
      </c>
      <c r="R93" s="239">
        <f>IF(Perfiles_usuario!$D162=Calculos_cuotas!R$68,1,0)</f>
        <v>0</v>
      </c>
      <c r="S93" s="239">
        <f>IF(Perfiles_usuario!$D162=Calculos_cuotas!S$68,1,0)</f>
        <v>0</v>
      </c>
      <c r="T93" s="239">
        <f>IF(Perfiles_usuario!$D162=Calculos_cuotas!T$68,1,0)</f>
        <v>0</v>
      </c>
      <c r="U93" s="239">
        <f>IF(Perfiles_usuario!$D162=Calculos_cuotas!U$68,1,0)</f>
        <v>0</v>
      </c>
      <c r="V93" s="239">
        <f>IF(Perfiles_usuario!$D162=Calculos_cuotas!V$68,1,0)</f>
        <v>0</v>
      </c>
      <c r="W93" s="239">
        <f>IF(Perfiles_usuario!$D162=Calculos_cuotas!W$68,1,0)</f>
        <v>0</v>
      </c>
      <c r="X93" s="239">
        <f>IF(Perfiles_usuario!$D162=Calculos_cuotas!X$68,1,0)</f>
        <v>0</v>
      </c>
      <c r="Y93" s="239">
        <f>IF(Perfiles_usuario!$D162=Calculos_cuotas!Y$68,1,0)</f>
        <v>0</v>
      </c>
      <c r="Z93" s="239">
        <f>IF(Perfiles_usuario!$D162=Calculos_cuotas!Z$68,1,0)</f>
        <v>0</v>
      </c>
      <c r="AA93" s="239">
        <f>IF(Perfiles_usuario!$D162=Calculos_cuotas!AA$68,1,0)</f>
        <v>0</v>
      </c>
      <c r="AB93" s="239">
        <f>IF(Perfiles_usuario!$D162=Calculos_cuotas!AB$68,1,0)</f>
        <v>0</v>
      </c>
      <c r="AC93" s="240">
        <f>IF(Perfiles_usuario!$D162=Calculos_cuotas!AC$68,1,0)</f>
        <v>0</v>
      </c>
      <c r="AH93" s="1151">
        <f>IF(AND(Perfiles_usuario!$D162&lt;&gt;Calculos_cuotas!Z$68,Perfiles_usuario!$D162&lt;&gt;Calculos_cuotas!AA$68,Perfiles_usuario!$D162&lt;&gt;Calculos_cuotas!AB$68,Perfiles_usuario!$D162&lt;&gt;Calculos_cuotas!AC$68,Perfiles_usuario!$R162=1),1,0)</f>
        <v>0</v>
      </c>
      <c r="AI93" s="1151">
        <f>IF(AND(Perfiles_usuario!$D162&lt;&gt;Calculos_cuotas!Z$68,Perfiles_usuario!$D162&lt;&gt;Calculos_cuotas!AA$68,Perfiles_usuario!$D162&lt;&gt;Calculos_cuotas!AB$68,Perfiles_usuario!$D162&lt;&gt;Calculos_cuotas!AC$68,OR(Perfiles_usuario!$F162=Perfiles_usuario!$CI$37,Perfiles_usuario!$F162=Perfiles_usuario!$CI$38)),1,0)</f>
        <v>0</v>
      </c>
      <c r="AJ93" s="1151">
        <f t="shared" si="2"/>
        <v>0</v>
      </c>
      <c r="AK93" s="1151">
        <f>IF(OR(Perfiles_usuario!$D162=Calculos_cuotas!Z$68,Perfiles_usuario!$D162=Calculos_cuotas!AA$68,Perfiles_usuario!$D162=Calculos_cuotas!AB$68,Perfiles_usuario!$D162=Calculos_cuotas!AC$68),IF(Perfiles_usuario!$R162=1,1,0),0)</f>
        <v>0</v>
      </c>
    </row>
    <row r="94" spans="1:37">
      <c r="A94" s="235"/>
      <c r="B94" s="236"/>
      <c r="C94" s="236"/>
      <c r="D94" s="236"/>
      <c r="E94" s="236"/>
      <c r="F94" s="236"/>
      <c r="G94" s="236"/>
      <c r="H94" s="236"/>
      <c r="I94" s="236"/>
      <c r="K94" s="250"/>
      <c r="L94" s="239"/>
      <c r="M94" s="239"/>
      <c r="N94" s="239"/>
      <c r="O94" s="239"/>
      <c r="P94" s="239"/>
      <c r="Q94" s="239"/>
      <c r="R94" s="239"/>
      <c r="S94" s="239"/>
      <c r="T94" s="239"/>
      <c r="U94" s="239"/>
      <c r="V94" s="239"/>
      <c r="W94" s="239"/>
      <c r="X94" s="239"/>
      <c r="Y94" s="239"/>
      <c r="Z94" s="239"/>
      <c r="AA94" s="239"/>
      <c r="AB94" s="239"/>
      <c r="AC94" s="240"/>
      <c r="AH94" s="1151"/>
      <c r="AI94" s="1151"/>
      <c r="AJ94" s="1151"/>
      <c r="AK94" s="1151"/>
    </row>
    <row r="95" spans="1:37">
      <c r="A95" s="235"/>
      <c r="B95" s="236"/>
      <c r="C95" s="236"/>
      <c r="D95" s="236"/>
      <c r="E95" s="236"/>
      <c r="F95" s="236"/>
      <c r="G95" s="236"/>
      <c r="H95" s="236"/>
      <c r="I95" s="236"/>
      <c r="K95" s="250">
        <f>IF(Perfiles_usuario!$D164=Calculos_cuotas!K$68,1,0)</f>
        <v>0</v>
      </c>
      <c r="L95" s="239">
        <f>IF(Perfiles_usuario!$D164=Calculos_cuotas!L$68,1,0)</f>
        <v>0</v>
      </c>
      <c r="M95" s="239">
        <f>IF(Perfiles_usuario!$D164=Calculos_cuotas!M$68,1,0)</f>
        <v>0</v>
      </c>
      <c r="N95" s="239">
        <f>IF(Perfiles_usuario!$D164=Calculos_cuotas!N$68,1,0)</f>
        <v>0</v>
      </c>
      <c r="O95" s="239">
        <f>IF(Perfiles_usuario!$D164=Calculos_cuotas!O$68,1,0)</f>
        <v>0</v>
      </c>
      <c r="P95" s="239">
        <f>IF(Perfiles_usuario!$D164=Calculos_cuotas!P$68,1,0)</f>
        <v>0</v>
      </c>
      <c r="Q95" s="239">
        <f>IF(Perfiles_usuario!$D164=Calculos_cuotas!Q$68,1,0)</f>
        <v>0</v>
      </c>
      <c r="R95" s="239">
        <f>IF(Perfiles_usuario!$D164=Calculos_cuotas!R$68,1,0)</f>
        <v>0</v>
      </c>
      <c r="S95" s="239">
        <f>IF(Perfiles_usuario!$D164=Calculos_cuotas!S$68,1,0)</f>
        <v>0</v>
      </c>
      <c r="T95" s="239">
        <f>IF(Perfiles_usuario!$D164=Calculos_cuotas!T$68,1,0)</f>
        <v>0</v>
      </c>
      <c r="U95" s="239">
        <f>IF(Perfiles_usuario!$D164=Calculos_cuotas!U$68,1,0)</f>
        <v>0</v>
      </c>
      <c r="V95" s="239">
        <f>IF(Perfiles_usuario!$D164=Calculos_cuotas!V$68,1,0)</f>
        <v>0</v>
      </c>
      <c r="W95" s="239">
        <f>IF(Perfiles_usuario!$D164=Calculos_cuotas!W$68,1,0)</f>
        <v>0</v>
      </c>
      <c r="X95" s="239">
        <f>IF(Perfiles_usuario!$D164=Calculos_cuotas!X$68,1,0)</f>
        <v>0</v>
      </c>
      <c r="Y95" s="239">
        <f>IF(Perfiles_usuario!$D164=Calculos_cuotas!Y$68,1,0)</f>
        <v>0</v>
      </c>
      <c r="Z95" s="239">
        <f>IF(Perfiles_usuario!$D164=Calculos_cuotas!Z$68,1,0)</f>
        <v>0</v>
      </c>
      <c r="AA95" s="239">
        <f>IF(Perfiles_usuario!$D164=Calculos_cuotas!AA$68,1,0)</f>
        <v>0</v>
      </c>
      <c r="AB95" s="239">
        <f>IF(Perfiles_usuario!$D164=Calculos_cuotas!AB$68,1,0)</f>
        <v>0</v>
      </c>
      <c r="AC95" s="240">
        <f>IF(Perfiles_usuario!$D164=Calculos_cuotas!AC$68,1,0)</f>
        <v>0</v>
      </c>
      <c r="AH95" s="1151">
        <f>IF(AND(Perfiles_usuario!$D164&lt;&gt;Calculos_cuotas!Z$68,Perfiles_usuario!$D164&lt;&gt;Calculos_cuotas!AA$68,Perfiles_usuario!$D164&lt;&gt;Calculos_cuotas!AB$68,Perfiles_usuario!$D164&lt;&gt;Calculos_cuotas!AC$68,Perfiles_usuario!$R164=1),1,0)</f>
        <v>0</v>
      </c>
      <c r="AI95" s="1151">
        <f>IF(AND(Perfiles_usuario!$D164&lt;&gt;Calculos_cuotas!Z$68,Perfiles_usuario!$D164&lt;&gt;Calculos_cuotas!AA$68,Perfiles_usuario!$D164&lt;&gt;Calculos_cuotas!AB$68,Perfiles_usuario!$D164&lt;&gt;Calculos_cuotas!AC$68,OR(Perfiles_usuario!$F164=Perfiles_usuario!$CI$37,Perfiles_usuario!$F164=Perfiles_usuario!$CI$38)),1,0)</f>
        <v>0</v>
      </c>
      <c r="AJ95" s="1151">
        <f t="shared" si="2"/>
        <v>0</v>
      </c>
      <c r="AK95" s="1151">
        <f>IF(OR(Perfiles_usuario!$D164=Calculos_cuotas!Z$68,Perfiles_usuario!$D164=Calculos_cuotas!AA$68,Perfiles_usuario!$D164=Calculos_cuotas!AB$68,Perfiles_usuario!$D164=Calculos_cuotas!AC$68),IF(Perfiles_usuario!$R164=1,1,0),0)</f>
        <v>0</v>
      </c>
    </row>
    <row r="96" spans="1:37" s="1320" customFormat="1">
      <c r="A96" s="1315"/>
      <c r="B96" s="1316"/>
      <c r="C96" s="1316"/>
      <c r="D96" s="1316"/>
      <c r="E96" s="1316"/>
      <c r="F96" s="1316"/>
      <c r="G96" s="1316"/>
      <c r="H96" s="1316"/>
      <c r="I96" s="1316"/>
      <c r="J96" s="1317"/>
      <c r="K96" s="250"/>
      <c r="L96" s="1318"/>
      <c r="M96" s="1318"/>
      <c r="N96" s="1318"/>
      <c r="O96" s="1318"/>
      <c r="P96" s="1318"/>
      <c r="Q96" s="1318"/>
      <c r="R96" s="1318"/>
      <c r="S96" s="1318"/>
      <c r="T96" s="1318"/>
      <c r="U96" s="1318"/>
      <c r="V96" s="1318"/>
      <c r="W96" s="1318"/>
      <c r="X96" s="1318"/>
      <c r="Y96" s="1318"/>
      <c r="Z96" s="1318"/>
      <c r="AA96" s="1318"/>
      <c r="AB96" s="1318"/>
      <c r="AC96" s="1319"/>
      <c r="AH96" s="1151"/>
      <c r="AI96" s="1151"/>
      <c r="AJ96" s="1151"/>
      <c r="AK96" s="1151"/>
    </row>
    <row r="97" spans="1:49" ht="15" thickBot="1">
      <c r="A97" s="235"/>
      <c r="B97" s="236"/>
      <c r="C97" s="236"/>
      <c r="D97" s="236"/>
      <c r="E97" s="236"/>
      <c r="F97" s="236"/>
      <c r="G97" s="236"/>
      <c r="H97" s="236"/>
      <c r="I97" s="236"/>
      <c r="K97" s="250">
        <f>IF(Perfiles_usuario!$D166=Calculos_cuotas!K$68,1,0)</f>
        <v>0</v>
      </c>
      <c r="L97" s="239">
        <f>IF(Perfiles_usuario!$D166=Calculos_cuotas!L$68,1,0)</f>
        <v>0</v>
      </c>
      <c r="M97" s="239">
        <f>IF(Perfiles_usuario!$D166=Calculos_cuotas!M$68,1,0)</f>
        <v>0</v>
      </c>
      <c r="N97" s="239">
        <f>IF(Perfiles_usuario!$D166=Calculos_cuotas!N$68,1,0)</f>
        <v>0</v>
      </c>
      <c r="O97" s="239">
        <f>IF(Perfiles_usuario!$D166=Calculos_cuotas!O$68,1,0)</f>
        <v>0</v>
      </c>
      <c r="P97" s="239">
        <f>IF(Perfiles_usuario!$D166=Calculos_cuotas!P$68,1,0)</f>
        <v>0</v>
      </c>
      <c r="Q97" s="239">
        <f>IF(Perfiles_usuario!$D166=Calculos_cuotas!Q$68,1,0)</f>
        <v>0</v>
      </c>
      <c r="R97" s="239">
        <f>IF(Perfiles_usuario!$D166=Calculos_cuotas!R$68,1,0)</f>
        <v>0</v>
      </c>
      <c r="S97" s="239">
        <f>IF(Perfiles_usuario!$D166=Calculos_cuotas!S$68,1,0)</f>
        <v>0</v>
      </c>
      <c r="T97" s="239">
        <f>IF(Perfiles_usuario!$D166=Calculos_cuotas!T$68,1,0)</f>
        <v>0</v>
      </c>
      <c r="U97" s="239">
        <f>IF(Perfiles_usuario!$D166=Calculos_cuotas!U$68,1,0)</f>
        <v>0</v>
      </c>
      <c r="V97" s="239">
        <f>IF(Perfiles_usuario!$D166=Calculos_cuotas!V$68,1,0)</f>
        <v>0</v>
      </c>
      <c r="W97" s="239">
        <f>IF(Perfiles_usuario!$D166=Calculos_cuotas!W$68,1,0)</f>
        <v>0</v>
      </c>
      <c r="X97" s="239">
        <f>IF(Perfiles_usuario!$D166=Calculos_cuotas!X$68,1,0)</f>
        <v>0</v>
      </c>
      <c r="Y97" s="239">
        <f>IF(Perfiles_usuario!$D166=Calculos_cuotas!Y$68,1,0)</f>
        <v>0</v>
      </c>
      <c r="Z97" s="239">
        <f>IF(Perfiles_usuario!$D166=Calculos_cuotas!Z$68,1,0)</f>
        <v>0</v>
      </c>
      <c r="AA97" s="239">
        <f>IF(Perfiles_usuario!$D166=Calculos_cuotas!AA$68,1,0)</f>
        <v>0</v>
      </c>
      <c r="AB97" s="239">
        <f>IF(Perfiles_usuario!$D166=Calculos_cuotas!AB$68,1,0)</f>
        <v>0</v>
      </c>
      <c r="AC97" s="240">
        <f>IF(Perfiles_usuario!$D166=Calculos_cuotas!AC$68,1,0)</f>
        <v>0</v>
      </c>
      <c r="AH97" s="1151">
        <f>IF(AND(Perfiles_usuario!$D166&lt;&gt;Calculos_cuotas!Z$68,Perfiles_usuario!$D166&lt;&gt;Calculos_cuotas!AA$68,Perfiles_usuario!$D166&lt;&gt;Calculos_cuotas!AB$68,Perfiles_usuario!$D166&lt;&gt;Calculos_cuotas!AC$68,Perfiles_usuario!$R166=1),1,0)</f>
        <v>0</v>
      </c>
      <c r="AI97" s="1151">
        <f>IF(AND(Perfiles_usuario!$D166&lt;&gt;Calculos_cuotas!Z$68,Perfiles_usuario!$D166&lt;&gt;Calculos_cuotas!AA$68,Perfiles_usuario!$D166&lt;&gt;Calculos_cuotas!AB$68,Perfiles_usuario!$D166&lt;&gt;Calculos_cuotas!AC$68,OR(Perfiles_usuario!$F166=Perfiles_usuario!$CI$37,Perfiles_usuario!$F166=Perfiles_usuario!$CI$38)),1,0)</f>
        <v>0</v>
      </c>
      <c r="AJ97" s="1151">
        <f t="shared" si="2"/>
        <v>0</v>
      </c>
      <c r="AK97" s="1151">
        <f>IF(OR(Perfiles_usuario!$D166=Calculos_cuotas!Z$68,Perfiles_usuario!$D166=Calculos_cuotas!AA$68,Perfiles_usuario!$D166=Calculos_cuotas!AB$68,Perfiles_usuario!$D166=Calculos_cuotas!AC$68),IF(Perfiles_usuario!$R166=1,1,0),0)</f>
        <v>0</v>
      </c>
    </row>
    <row r="98" spans="1:49">
      <c r="A98" s="250"/>
      <c r="B98" s="239"/>
      <c r="C98" s="239"/>
      <c r="D98" s="239"/>
      <c r="K98" s="250"/>
      <c r="L98" s="239"/>
      <c r="M98" s="239"/>
      <c r="N98" s="239"/>
      <c r="O98" s="239"/>
      <c r="P98" s="239"/>
      <c r="Q98" s="239"/>
      <c r="R98" s="239"/>
      <c r="S98" s="239"/>
      <c r="T98" s="239"/>
      <c r="U98" s="239"/>
      <c r="V98" s="239"/>
      <c r="W98" s="239"/>
      <c r="X98" s="239"/>
      <c r="Y98" s="239"/>
      <c r="Z98" s="239"/>
      <c r="AB98" s="239"/>
      <c r="AC98" s="240"/>
      <c r="AD98" s="1281" t="s">
        <v>1013</v>
      </c>
      <c r="AE98" s="1281" t="s">
        <v>1247</v>
      </c>
      <c r="AH98" s="1281" t="s">
        <v>1871</v>
      </c>
      <c r="AI98" s="1281"/>
      <c r="AJ98" s="1281" t="s">
        <v>1872</v>
      </c>
      <c r="AK98" s="1281" t="s">
        <v>1874</v>
      </c>
    </row>
    <row r="99" spans="1:49" ht="15.75" thickBot="1">
      <c r="K99" s="814">
        <f>SUM(K69:K98)</f>
        <v>1</v>
      </c>
      <c r="L99" s="815">
        <f>SUM(L69:L98)</f>
        <v>0</v>
      </c>
      <c r="M99" s="815">
        <f>SUM(M69:M98)</f>
        <v>0</v>
      </c>
      <c r="N99" s="815">
        <f t="shared" ref="N99" si="4">SUM(N69:N98)</f>
        <v>0</v>
      </c>
      <c r="O99" s="815">
        <f t="shared" ref="O99:P99" si="5">SUM(O69:O98)</f>
        <v>0</v>
      </c>
      <c r="P99" s="815">
        <f t="shared" si="5"/>
        <v>0</v>
      </c>
      <c r="Q99" s="815">
        <f t="shared" ref="Q99:AC99" si="6">SUM(Q69:Q98)</f>
        <v>0</v>
      </c>
      <c r="R99" s="815">
        <f t="shared" si="6"/>
        <v>0</v>
      </c>
      <c r="S99" s="815">
        <f t="shared" si="6"/>
        <v>0</v>
      </c>
      <c r="T99" s="815">
        <f t="shared" si="6"/>
        <v>0</v>
      </c>
      <c r="U99" s="815">
        <f t="shared" si="6"/>
        <v>0</v>
      </c>
      <c r="V99" s="815">
        <f t="shared" si="6"/>
        <v>0</v>
      </c>
      <c r="W99" s="815">
        <f t="shared" si="6"/>
        <v>0</v>
      </c>
      <c r="X99" s="815">
        <f t="shared" si="6"/>
        <v>0</v>
      </c>
      <c r="Y99" s="815">
        <f t="shared" si="6"/>
        <v>0</v>
      </c>
      <c r="Z99" s="815">
        <f t="shared" si="6"/>
        <v>0</v>
      </c>
      <c r="AA99" s="815">
        <f t="shared" si="6"/>
        <v>0</v>
      </c>
      <c r="AB99" s="815">
        <f t="shared" si="6"/>
        <v>0</v>
      </c>
      <c r="AC99" s="1280">
        <f t="shared" si="6"/>
        <v>0</v>
      </c>
      <c r="AD99" s="1282">
        <f>SUM(K99:AC99)</f>
        <v>1</v>
      </c>
      <c r="AE99" s="1282">
        <f>SUMPRODUCT(K99:AC99,K101:AC101)</f>
        <v>2</v>
      </c>
      <c r="AH99" s="1151">
        <f>SUM(AH69:AH97)</f>
        <v>0</v>
      </c>
      <c r="AI99" s="1151"/>
      <c r="AJ99" s="1151">
        <f>SUM(AJ69:AJ97)</f>
        <v>0</v>
      </c>
      <c r="AK99" s="1151">
        <f>SUM(AK69:AK97)</f>
        <v>0</v>
      </c>
    </row>
    <row r="100" spans="1:49" ht="15.75" thickBot="1">
      <c r="J100" s="283" t="s">
        <v>1252</v>
      </c>
      <c r="K100" s="1294">
        <f>IF(K99=0,0,IF($AD99&lt;=4,0,IF($AD99&lt;=9,10,IF($AJ99&lt;SUM(K99:Y99),10,20))))</f>
        <v>0</v>
      </c>
      <c r="L100" s="1295">
        <f>IF(L99=0,0,IF($AD99&lt;=4,10,IF($AD99&lt;=9,20,IF($AJ99&lt;SUM(K99:Y99),20,30))))</f>
        <v>0</v>
      </c>
      <c r="M100" s="1295">
        <f>IF(M99=0,0,IF($AD99&lt;=4,10,IF($AD99&lt;=9,20,IF($AJ99&lt;SUM(K99:Y99),20,30))))</f>
        <v>0</v>
      </c>
      <c r="N100" s="1295">
        <f>IF(N99=0,0,IF($AD99&lt;=4,10,IF($AD99&lt;=9,20,IF($AJ99&lt;SUM(K99:Y99),20,30))))</f>
        <v>0</v>
      </c>
      <c r="O100" s="1295">
        <f>IF(O99=0,0,IF($AD99&lt;=4,20,IF($AD99&lt;=9,30,IF($AJ99&lt;SUM(K99:Y99),30,40))))</f>
        <v>0</v>
      </c>
      <c r="P100" s="1295">
        <f>IF(P99=0,0,IF($AD99&lt;=4,20,IF($AD99&lt;=9,30,IF($AJ99&lt;SUM(K99:Y99),30,40))))</f>
        <v>0</v>
      </c>
      <c r="Q100" s="1295">
        <f>IF(Q99=0,0,IF($AD99&lt;=4,20,IF($AD99&lt;=9,30,IF($AJ99&lt;SUM(K99:Y99),30,40))))</f>
        <v>0</v>
      </c>
      <c r="R100" s="1295">
        <f>IF(R99=0,0,IF($AD99&lt;=4,20,IF($AD99&lt;=9,30,IF($AJ99&lt;SUM(K99:Y99),30,40))))</f>
        <v>0</v>
      </c>
      <c r="S100" s="1295">
        <f>IF(S99=0,0,IF($AD99&lt;=4,20,IF($AD99&lt;=9,30,IF($AJ99&lt;SUM(K99:Y99),30,40))))</f>
        <v>0</v>
      </c>
      <c r="T100" s="1295">
        <f>IF(T99=0,0,IF($AD99&lt;=4,20,IF($AD99&lt;=9,30,IF($AJ99&lt;SUM(K99:Y99),30,40))))</f>
        <v>0</v>
      </c>
      <c r="U100" s="1295">
        <f>IF(U99=0,0,IF($AD99&lt;=4,20,IF($AD99&lt;=9,30,IF($AJ99&lt;SUM(K99:Y99),30,40))))</f>
        <v>0</v>
      </c>
      <c r="V100" s="1295">
        <f>IF(V99=0,0,IF($AD99&lt;=4,20,IF($AD99&lt;=9,30,IF($AJ99&lt;SUM(K99:Y99),30,40))))</f>
        <v>0</v>
      </c>
      <c r="W100" s="1295">
        <f>IF(W99=0,0,IF($AD99&lt;=4,20,IF($AD99&lt;=9,30,IF($AJ99&lt;SUM(K99:Y99),30,40))))</f>
        <v>0</v>
      </c>
      <c r="X100" s="1295">
        <f>IF(X99=0,0,IF($AD99&lt;=4,20,IF($AD99&lt;=9,30,IF($AJ99&lt;SUM(K99:Y99),30,40))))</f>
        <v>0</v>
      </c>
      <c r="Y100" s="1295">
        <f>IF(Y99=0,0,IF($AD99&lt;=4,20,IF($AD99&lt;=9,30,IF($AJ99&lt;SUM(K99:Y99),30,40))))</f>
        <v>0</v>
      </c>
      <c r="Z100" s="1295">
        <f>IF(Z99=0,0,IF($AD99&lt;=4,20,IF($AD99&lt;=9,30,IF($AK99&lt;SUM($Z$99:$AC$99)*0.8,30,40))))</f>
        <v>0</v>
      </c>
      <c r="AA100" s="1295">
        <f>IF(AA99=0,0,IF($AD99&lt;=4,20,IF($AD99&lt;=9,30,IF($AK99&lt;SUM($Z$99:$AC$99)*0.8,30,40))))</f>
        <v>0</v>
      </c>
      <c r="AB100" s="1295">
        <f>IF(AB99=0,0,IF($AD99&lt;=4,20,IF($AD99&lt;=9,30,IF($AK99&lt;SUM($Z$99:$AC$99)*0.8,30,40))))</f>
        <v>0</v>
      </c>
      <c r="AC100" s="1295">
        <f>IF(AC99=0,0,IF($AD99&lt;=4,20,IF($AD99&lt;=9,30,IF($AK99&lt;SUM($Z$99:$AC$99)*0.8,30,40))))</f>
        <v>0</v>
      </c>
      <c r="AD100" s="1296">
        <f>SUMPRODUCT(K100:AC100,K99:AC99)-MAX(K100:AC100)</f>
        <v>0</v>
      </c>
      <c r="AE100" s="813" t="s">
        <v>1236</v>
      </c>
    </row>
    <row r="101" spans="1:49" ht="15" thickBot="1">
      <c r="J101" s="283" t="s">
        <v>1248</v>
      </c>
      <c r="K101" s="1274">
        <v>2</v>
      </c>
      <c r="L101" s="1308">
        <v>2</v>
      </c>
      <c r="M101" s="1308">
        <v>2</v>
      </c>
      <c r="N101" s="1308">
        <v>2</v>
      </c>
      <c r="O101" s="1308">
        <v>2</v>
      </c>
      <c r="P101" s="1308">
        <v>2</v>
      </c>
      <c r="Q101" s="1308">
        <v>3</v>
      </c>
      <c r="R101" s="1308">
        <v>4</v>
      </c>
      <c r="S101" s="1308">
        <v>4</v>
      </c>
      <c r="T101" s="1308">
        <v>4</v>
      </c>
      <c r="U101" s="1308">
        <v>4</v>
      </c>
      <c r="V101" s="1308">
        <v>2</v>
      </c>
      <c r="W101" s="1308">
        <v>4</v>
      </c>
      <c r="X101" s="1308">
        <v>6</v>
      </c>
      <c r="Y101" s="1308">
        <v>8</v>
      </c>
      <c r="Z101" s="1308">
        <v>4</v>
      </c>
      <c r="AA101" s="1308">
        <v>4</v>
      </c>
      <c r="AB101" s="1308">
        <v>2</v>
      </c>
      <c r="AC101" s="1275">
        <v>4</v>
      </c>
    </row>
    <row r="102" spans="1:49" s="1272" customFormat="1" ht="15" thickBot="1">
      <c r="A102" s="239"/>
      <c r="B102" s="239"/>
      <c r="C102" s="239"/>
      <c r="D102" s="239"/>
      <c r="E102" s="239"/>
      <c r="F102" s="239"/>
      <c r="G102" s="239"/>
      <c r="H102" s="239"/>
      <c r="I102" s="239"/>
      <c r="J102" s="269"/>
      <c r="K102" s="239"/>
      <c r="L102" s="239"/>
      <c r="M102" s="239"/>
      <c r="N102" s="239"/>
      <c r="O102" s="239"/>
      <c r="P102" s="239"/>
      <c r="Q102" s="239"/>
      <c r="R102" s="239"/>
      <c r="S102" s="239"/>
      <c r="T102" s="239"/>
      <c r="U102" s="239"/>
      <c r="V102" s="239"/>
      <c r="W102" s="239"/>
      <c r="X102" s="239"/>
      <c r="Y102" s="239"/>
      <c r="Z102" s="239"/>
      <c r="AH102"/>
      <c r="AI102"/>
      <c r="AJ102"/>
      <c r="AK102"/>
      <c r="AL102"/>
      <c r="AM102"/>
      <c r="AN102"/>
      <c r="AO102"/>
      <c r="AP102"/>
      <c r="AQ102"/>
      <c r="AR102"/>
      <c r="AS102"/>
      <c r="AT102"/>
      <c r="AU102"/>
      <c r="AV102"/>
      <c r="AW102"/>
    </row>
    <row r="103" spans="1:49" ht="15" thickBot="1">
      <c r="I103" s="2213" t="s">
        <v>1239</v>
      </c>
      <c r="J103" s="2214"/>
      <c r="K103" s="2232" t="s">
        <v>1024</v>
      </c>
      <c r="L103" s="2233"/>
      <c r="U103" s="226"/>
      <c r="V103" s="226"/>
      <c r="X103" s="226"/>
      <c r="Y103" s="1301"/>
      <c r="Z103" s="226"/>
      <c r="AA103" s="813"/>
    </row>
    <row r="104" spans="1:49" ht="15.75" thickBot="1">
      <c r="A104" s="336" t="s">
        <v>452</v>
      </c>
      <c r="B104" s="337"/>
      <c r="C104" s="337"/>
      <c r="D104" s="337"/>
      <c r="E104" s="337"/>
      <c r="F104" s="337"/>
      <c r="G104" s="337"/>
      <c r="H104" s="337"/>
      <c r="I104" s="1731" t="s">
        <v>766</v>
      </c>
      <c r="J104" s="1732" t="s">
        <v>220</v>
      </c>
      <c r="K104" s="1287" t="s">
        <v>1022</v>
      </c>
      <c r="L104" s="1288">
        <v>0.1</v>
      </c>
      <c r="T104" s="2206" t="s">
        <v>1237</v>
      </c>
      <c r="U104" s="2207"/>
      <c r="V104" s="2226"/>
      <c r="Y104" s="1301"/>
      <c r="Z104" s="1301"/>
    </row>
    <row r="105" spans="1:49" ht="15" thickBot="1">
      <c r="A105" s="281" t="s">
        <v>425</v>
      </c>
      <c r="B105" s="1273">
        <v>44.95</v>
      </c>
      <c r="C105" s="233"/>
      <c r="D105" s="233"/>
      <c r="E105" s="233"/>
      <c r="F105" s="233"/>
      <c r="G105" s="1719" t="s">
        <v>425</v>
      </c>
      <c r="H105" s="1720">
        <v>0.1</v>
      </c>
      <c r="I105" s="1721">
        <f>MATCH(G105,Perfiles_usuario!$D$138:$D$166,0)</f>
        <v>1</v>
      </c>
      <c r="J105" s="1722">
        <f>IF(ISERROR(I105),0,IF(I105&gt;0,H105,0))</f>
        <v>0.1</v>
      </c>
      <c r="K105" s="1289" t="s">
        <v>1027</v>
      </c>
      <c r="L105" s="1290">
        <v>0.1</v>
      </c>
      <c r="T105" s="232"/>
      <c r="U105" s="1297" t="s">
        <v>1165</v>
      </c>
      <c r="V105" s="1298" t="s">
        <v>1166</v>
      </c>
      <c r="Y105" s="1301"/>
      <c r="Z105" s="1301"/>
    </row>
    <row r="106" spans="1:49" ht="16.5" thickBot="1">
      <c r="A106" s="265" t="s">
        <v>2027</v>
      </c>
      <c r="B106" s="271">
        <v>59.95</v>
      </c>
      <c r="C106" s="230" t="s">
        <v>180</v>
      </c>
      <c r="D106" s="266">
        <v>9</v>
      </c>
      <c r="E106" s="267" t="s">
        <v>176</v>
      </c>
      <c r="F106" s="268">
        <v>2</v>
      </c>
      <c r="G106" s="1723" t="s">
        <v>2027</v>
      </c>
      <c r="H106" s="1724">
        <v>0.1</v>
      </c>
      <c r="I106" s="1701" t="e">
        <f>MATCH(G106,Perfiles_usuario!$D$138:$D$166,0)</f>
        <v>#N/A</v>
      </c>
      <c r="J106" s="1725">
        <f t="shared" ref="J106:J129" si="7">IF(ISERROR(I106),0,IF(I106&gt;0,I106*H106/I106,0))</f>
        <v>0</v>
      </c>
      <c r="K106" s="1289" t="s">
        <v>1026</v>
      </c>
      <c r="L106" s="1290">
        <v>0.1</v>
      </c>
      <c r="T106" s="1461" t="s">
        <v>1164</v>
      </c>
      <c r="U106" s="1462">
        <f>IF(Perfiles_usuario!J17="Nuevo",1,0)</f>
        <v>1</v>
      </c>
      <c r="V106" s="1463">
        <f>IF(AND(Perfiles_usuario!$D$78&gt;9,Perfiles_usuario!$F$78&gt;5,Perfiles_usuario!J17="Nuevo"),0%,0%)</f>
        <v>0</v>
      </c>
      <c r="W106" s="1254"/>
      <c r="Y106" s="1259"/>
      <c r="Z106" s="1301"/>
    </row>
    <row r="107" spans="1:49" ht="16.5" thickBot="1">
      <c r="A107" s="265" t="s">
        <v>2000</v>
      </c>
      <c r="B107" s="271">
        <v>64.95</v>
      </c>
      <c r="C107" s="230"/>
      <c r="D107" s="266"/>
      <c r="E107" s="267"/>
      <c r="F107" s="268"/>
      <c r="G107" s="1723" t="s">
        <v>2000</v>
      </c>
      <c r="H107" s="1724">
        <v>0.1</v>
      </c>
      <c r="I107" s="1996" t="e">
        <f>MATCH(G107,Perfiles_usuario!$D$138:$D$166,0)</f>
        <v>#N/A</v>
      </c>
      <c r="J107" s="1725">
        <f t="shared" si="7"/>
        <v>0</v>
      </c>
      <c r="K107" s="1289"/>
      <c r="L107" s="1290"/>
      <c r="T107" s="241"/>
      <c r="U107" s="1299"/>
      <c r="V107" s="1997"/>
      <c r="W107" s="1254"/>
      <c r="Y107" s="1259"/>
      <c r="Z107" s="1301"/>
    </row>
    <row r="108" spans="1:49" ht="16.5" thickBot="1">
      <c r="A108" s="2015" t="s">
        <v>1227</v>
      </c>
      <c r="B108" s="2016">
        <v>59.95</v>
      </c>
      <c r="C108" s="230" t="s">
        <v>181</v>
      </c>
      <c r="D108" s="266">
        <v>19</v>
      </c>
      <c r="E108" s="267" t="s">
        <v>185</v>
      </c>
      <c r="F108" s="268">
        <v>27.45</v>
      </c>
      <c r="G108" s="1726" t="s">
        <v>1227</v>
      </c>
      <c r="H108" s="1724">
        <v>0.1</v>
      </c>
      <c r="I108" s="1701" t="e">
        <f>MATCH(G108,Perfiles_usuario!$D$138:$D$166,0)</f>
        <v>#N/A</v>
      </c>
      <c r="J108" s="1725">
        <f t="shared" si="7"/>
        <v>0</v>
      </c>
      <c r="K108" s="1289" t="s">
        <v>1030</v>
      </c>
      <c r="L108" s="1290">
        <v>0.1</v>
      </c>
      <c r="T108" s="241" t="s">
        <v>1167</v>
      </c>
      <c r="U108" s="1299">
        <v>1</v>
      </c>
      <c r="V108" s="1300">
        <v>0.2</v>
      </c>
      <c r="Y108" s="1301"/>
      <c r="Z108" s="1259"/>
    </row>
    <row r="109" spans="1:49">
      <c r="A109" s="270" t="s">
        <v>754</v>
      </c>
      <c r="B109" s="271">
        <v>69.95</v>
      </c>
      <c r="C109" s="237"/>
      <c r="D109" s="237"/>
      <c r="E109" s="231" t="s">
        <v>175</v>
      </c>
      <c r="F109" s="272">
        <v>19</v>
      </c>
      <c r="G109" s="1726" t="s">
        <v>754</v>
      </c>
      <c r="H109" s="1724">
        <v>0.1</v>
      </c>
      <c r="I109" s="1701" t="e">
        <f>MATCH(G109,Perfiles_usuario!$D$138:$D$166,0)</f>
        <v>#N/A</v>
      </c>
      <c r="J109" s="1725">
        <f t="shared" si="7"/>
        <v>0</v>
      </c>
      <c r="K109" s="1289" t="s">
        <v>1028</v>
      </c>
      <c r="L109" s="1290">
        <v>0.12</v>
      </c>
      <c r="U109" s="335"/>
      <c r="Y109" s="1301"/>
      <c r="Z109" s="1301"/>
    </row>
    <row r="110" spans="1:49" ht="15">
      <c r="A110" s="270" t="s">
        <v>427</v>
      </c>
      <c r="B110" s="271">
        <v>69.95</v>
      </c>
      <c r="C110" s="237"/>
      <c r="D110" s="237"/>
      <c r="E110" s="231"/>
      <c r="F110" s="272"/>
      <c r="G110" s="1726" t="s">
        <v>427</v>
      </c>
      <c r="H110" s="1724">
        <v>0.1</v>
      </c>
      <c r="I110" s="1701" t="e">
        <f>MATCH(G110,Perfiles_usuario!$D$138:$D$166,0)</f>
        <v>#N/A</v>
      </c>
      <c r="J110" s="1725">
        <f t="shared" si="7"/>
        <v>0</v>
      </c>
      <c r="K110" s="1289" t="s">
        <v>1029</v>
      </c>
      <c r="L110" s="1290">
        <v>0.12</v>
      </c>
      <c r="T110" s="1464" t="s">
        <v>1170</v>
      </c>
      <c r="U110" s="1466" t="str">
        <f>'Seleccion de oferta'!E23</f>
        <v>Movistar</v>
      </c>
      <c r="V110" s="1257" t="s">
        <v>1210</v>
      </c>
      <c r="W110" s="1258">
        <f>SUM(P99:AC99)</f>
        <v>0</v>
      </c>
    </row>
    <row r="111" spans="1:49">
      <c r="A111" s="270" t="s">
        <v>755</v>
      </c>
      <c r="B111" s="271">
        <v>89.95</v>
      </c>
      <c r="C111" s="237"/>
      <c r="D111" s="237"/>
      <c r="E111" s="231"/>
      <c r="F111" s="272"/>
      <c r="G111" s="1726" t="s">
        <v>755</v>
      </c>
      <c r="H111" s="1724">
        <v>0.1</v>
      </c>
      <c r="I111" s="1701" t="e">
        <f>MATCH(G111,Perfiles_usuario!$D$138:$D$166,0)</f>
        <v>#N/A</v>
      </c>
      <c r="J111" s="1725">
        <f t="shared" si="7"/>
        <v>0</v>
      </c>
      <c r="K111" s="1289" t="s">
        <v>1031</v>
      </c>
      <c r="L111" s="1290">
        <v>0.12</v>
      </c>
      <c r="Q111" s="226">
        <v>1</v>
      </c>
      <c r="R111" s="226" t="s">
        <v>1436</v>
      </c>
      <c r="T111" s="1464" t="s">
        <v>1172</v>
      </c>
      <c r="U111" s="1467" t="str">
        <f>Perfiles_usuario!D17</f>
        <v>Óptima RPV</v>
      </c>
    </row>
    <row r="112" spans="1:49" ht="15">
      <c r="A112" s="265" t="s">
        <v>426</v>
      </c>
      <c r="B112" s="266">
        <v>99.95</v>
      </c>
      <c r="E112" s="231"/>
      <c r="F112" s="272"/>
      <c r="G112" s="1723" t="s">
        <v>426</v>
      </c>
      <c r="H112" s="1724">
        <v>0.1</v>
      </c>
      <c r="I112" s="1701" t="e">
        <f>MATCH(G112,Perfiles_usuario!$D$138:$D$166,0)</f>
        <v>#N/A</v>
      </c>
      <c r="J112" s="1725">
        <f t="shared" si="7"/>
        <v>0</v>
      </c>
      <c r="K112" s="1289" t="s">
        <v>1032</v>
      </c>
      <c r="L112" s="1290">
        <v>0.12</v>
      </c>
      <c r="Q112" s="226">
        <v>2</v>
      </c>
      <c r="R112" s="226" t="s">
        <v>1437</v>
      </c>
      <c r="T112" s="1465" t="s">
        <v>1171</v>
      </c>
      <c r="U112" s="1467">
        <f>Perfiles_usuario!F77</f>
        <v>3</v>
      </c>
      <c r="V112" s="1257" t="s">
        <v>1209</v>
      </c>
      <c r="W112" s="1256">
        <f>IF(AND('Seleccion de oferta'!$E$23="Movistar",W110&gt;0),10%,0)</f>
        <v>0</v>
      </c>
      <c r="X112" s="334"/>
    </row>
    <row r="113" spans="1:54" ht="15">
      <c r="A113" s="270" t="s">
        <v>756</v>
      </c>
      <c r="B113" s="271">
        <f>B114</f>
        <v>109.95</v>
      </c>
      <c r="G113" s="1726" t="s">
        <v>756</v>
      </c>
      <c r="H113" s="1724">
        <v>0.1</v>
      </c>
      <c r="I113" s="1701" t="e">
        <f>MATCH(G113,Perfiles_usuario!$D$138:$D$166,0)</f>
        <v>#N/A</v>
      </c>
      <c r="J113" s="1725">
        <f t="shared" si="7"/>
        <v>0</v>
      </c>
      <c r="K113" s="1289" t="s">
        <v>1023</v>
      </c>
      <c r="L113" s="1290">
        <v>0.16</v>
      </c>
      <c r="Q113" s="226">
        <v>3</v>
      </c>
      <c r="R113" s="226" t="s">
        <v>1438</v>
      </c>
      <c r="T113" s="1464" t="s">
        <v>1173</v>
      </c>
      <c r="U113" s="1467" t="str">
        <f>IF(W110&gt;0,"si","no")</f>
        <v>no</v>
      </c>
      <c r="V113" s="1257" t="s">
        <v>1211</v>
      </c>
      <c r="W113" s="1256">
        <f>IF(AND('Seleccion de oferta'!$E$23="Movistar",Perfiles_usuario!$F$77&gt;9),10%,0)</f>
        <v>0</v>
      </c>
    </row>
    <row r="114" spans="1:54" ht="20.25">
      <c r="A114" s="265" t="s">
        <v>428</v>
      </c>
      <c r="B114" s="266">
        <v>109.95</v>
      </c>
      <c r="E114" s="267" t="s">
        <v>179</v>
      </c>
      <c r="F114" s="268">
        <v>12</v>
      </c>
      <c r="G114" s="1723" t="s">
        <v>428</v>
      </c>
      <c r="H114" s="1724">
        <v>0.1</v>
      </c>
      <c r="I114" s="1701" t="e">
        <f>MATCH(G114,Perfiles_usuario!$D$138:$D$166,0)</f>
        <v>#N/A</v>
      </c>
      <c r="J114" s="1725">
        <f t="shared" si="7"/>
        <v>0</v>
      </c>
      <c r="K114" s="1289"/>
      <c r="L114" s="1291"/>
      <c r="Q114" s="226">
        <v>4</v>
      </c>
      <c r="R114" s="226" t="s">
        <v>1439</v>
      </c>
      <c r="S114" s="1255"/>
      <c r="T114" s="1464" t="s">
        <v>1177</v>
      </c>
      <c r="U114" s="1467">
        <f>IF(V106=0,0,IF(AND('Seleccion de oferta'!E23="Movistar",Perfiles_usuario!F77&gt;9),"texto 1",IF(AND('Seleccion de oferta'!E23="Movistar",Calculos_cuotas!W110&gt;0),"texto 2","texto 3")))</f>
        <v>0</v>
      </c>
    </row>
    <row r="115" spans="1:54">
      <c r="A115" s="265" t="s">
        <v>2028</v>
      </c>
      <c r="B115" s="266">
        <v>129.94999999999999</v>
      </c>
      <c r="C115" s="239"/>
      <c r="D115" s="239"/>
      <c r="E115" s="239"/>
      <c r="F115" s="239"/>
      <c r="G115" s="1723" t="s">
        <v>2028</v>
      </c>
      <c r="H115" s="1724">
        <v>0.1</v>
      </c>
      <c r="I115" s="1701" t="e">
        <f>MATCH(G115,Perfiles_usuario!$D$138:$D$166,0)</f>
        <v>#N/A</v>
      </c>
      <c r="J115" s="1725">
        <f t="shared" si="7"/>
        <v>0</v>
      </c>
      <c r="K115" s="1289"/>
      <c r="L115" s="1290"/>
      <c r="Q115" s="226">
        <v>5</v>
      </c>
      <c r="R115" s="226" t="s">
        <v>1440</v>
      </c>
      <c r="T115" s="1464" t="s">
        <v>1174</v>
      </c>
      <c r="U115" s="1468"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W115" s="334"/>
      <c r="X115" s="334"/>
      <c r="Y115" s="334"/>
      <c r="Z115" s="334"/>
      <c r="AA115" s="334"/>
      <c r="AB115" s="334"/>
      <c r="AC115" s="334"/>
      <c r="AD115" s="334"/>
    </row>
    <row r="116" spans="1:54">
      <c r="A116" s="265" t="s">
        <v>2002</v>
      </c>
      <c r="B116" s="266">
        <v>134.94999999999999</v>
      </c>
      <c r="C116" s="239"/>
      <c r="D116" s="239"/>
      <c r="E116" s="239"/>
      <c r="F116" s="239"/>
      <c r="G116" s="1723" t="s">
        <v>2002</v>
      </c>
      <c r="H116" s="1724">
        <v>0.1</v>
      </c>
      <c r="I116" s="1996" t="e">
        <f>MATCH(G116,Perfiles_usuario!$D$138:$D$166,0)</f>
        <v>#N/A</v>
      </c>
      <c r="J116" s="1725">
        <f t="shared" si="7"/>
        <v>0</v>
      </c>
      <c r="K116" s="1289"/>
      <c r="L116" s="1290"/>
      <c r="T116" s="1464"/>
      <c r="U116" s="1468"/>
      <c r="W116" s="334"/>
      <c r="X116" s="334"/>
      <c r="Y116" s="334"/>
      <c r="Z116" s="334"/>
      <c r="AA116" s="334"/>
      <c r="AB116" s="334"/>
      <c r="AC116" s="334"/>
      <c r="AD116" s="334"/>
    </row>
    <row r="117" spans="1:54">
      <c r="A117" s="2017" t="s">
        <v>1228</v>
      </c>
      <c r="B117" s="2016">
        <v>129.94999999999999</v>
      </c>
      <c r="C117" s="239"/>
      <c r="D117" s="239"/>
      <c r="E117" s="273" t="s">
        <v>1249</v>
      </c>
      <c r="F117" s="268">
        <v>5.95</v>
      </c>
      <c r="G117" s="1723" t="s">
        <v>1228</v>
      </c>
      <c r="H117" s="1724">
        <v>0.1</v>
      </c>
      <c r="I117" s="1701" t="e">
        <f>MATCH(G117,Perfiles_usuario!$D$138:$D$166,0)</f>
        <v>#N/A</v>
      </c>
      <c r="J117" s="1725">
        <f t="shared" si="7"/>
        <v>0</v>
      </c>
      <c r="K117" s="1289"/>
      <c r="L117" s="1290"/>
      <c r="Q117" s="226">
        <v>6</v>
      </c>
      <c r="R117" s="226" t="s">
        <v>1441</v>
      </c>
      <c r="T117" s="1464" t="s">
        <v>1175</v>
      </c>
      <c r="U117" s="1468"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V117" s="334"/>
      <c r="W117" s="334"/>
      <c r="X117" s="334"/>
      <c r="Y117" s="334"/>
      <c r="Z117" s="334"/>
      <c r="AA117" s="334"/>
      <c r="AB117" s="334"/>
      <c r="AC117" s="334"/>
      <c r="AD117" s="334"/>
    </row>
    <row r="118" spans="1:54">
      <c r="A118" s="265" t="s">
        <v>429</v>
      </c>
      <c r="B118" s="266">
        <v>149.94999999999999</v>
      </c>
      <c r="C118" s="239"/>
      <c r="D118" s="239"/>
      <c r="E118" s="269" t="s">
        <v>1250</v>
      </c>
      <c r="F118" s="268">
        <v>9.9499999999999993</v>
      </c>
      <c r="G118" s="1723" t="s">
        <v>429</v>
      </c>
      <c r="H118" s="1724">
        <v>0.1</v>
      </c>
      <c r="I118" s="1701" t="e">
        <f>MATCH(G118,Perfiles_usuario!$D$138:$D$166,0)</f>
        <v>#N/A</v>
      </c>
      <c r="J118" s="1725">
        <f t="shared" si="7"/>
        <v>0</v>
      </c>
      <c r="K118" s="1289"/>
      <c r="L118" s="1291"/>
      <c r="Q118" s="226">
        <v>7</v>
      </c>
      <c r="R118" s="226" t="s">
        <v>1442</v>
      </c>
      <c r="T118" s="1464" t="s">
        <v>1176</v>
      </c>
      <c r="U118" s="1468"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V118" s="334"/>
      <c r="W118" s="334"/>
      <c r="X118" s="334"/>
      <c r="Y118" s="334"/>
      <c r="Z118" s="334"/>
    </row>
    <row r="119" spans="1:54" ht="15" thickBot="1">
      <c r="A119" s="265" t="s">
        <v>430</v>
      </c>
      <c r="B119" s="266">
        <v>189.95</v>
      </c>
      <c r="C119" s="239"/>
      <c r="D119" s="239"/>
      <c r="E119" s="269" t="s">
        <v>1251</v>
      </c>
      <c r="F119" s="268">
        <v>15.95</v>
      </c>
      <c r="G119" s="1723" t="s">
        <v>430</v>
      </c>
      <c r="H119" s="1724">
        <v>0.1</v>
      </c>
      <c r="I119" s="1701" t="e">
        <f>MATCH(G119,Perfiles_usuario!$D$138:$D$166,0)</f>
        <v>#N/A</v>
      </c>
      <c r="J119" s="1725">
        <f t="shared" si="7"/>
        <v>0</v>
      </c>
      <c r="K119" s="1292" t="s">
        <v>765</v>
      </c>
      <c r="L119" s="1293" t="e">
        <f>VLOOKUP(Perfiles_usuario!B131,Calculos_cuotas!$K$104:$L$113,2,0)</f>
        <v>#N/A</v>
      </c>
      <c r="Q119" s="226">
        <v>8</v>
      </c>
      <c r="R119" s="226" t="s">
        <v>1443</v>
      </c>
      <c r="V119" s="334"/>
      <c r="W119" s="334"/>
      <c r="X119" s="334"/>
      <c r="Y119" s="334"/>
      <c r="Z119" s="334"/>
    </row>
    <row r="120" spans="1:54">
      <c r="A120" s="265" t="s">
        <v>1041</v>
      </c>
      <c r="B120" s="266">
        <v>75.95</v>
      </c>
      <c r="C120" s="239"/>
      <c r="D120" s="239"/>
      <c r="E120" s="269"/>
      <c r="F120" s="239"/>
      <c r="G120" s="1723" t="s">
        <v>1041</v>
      </c>
      <c r="H120" s="1724">
        <v>0.1</v>
      </c>
      <c r="I120" s="1701" t="e">
        <f>MATCH(G120,Perfiles_usuario!$D$138:$D$166,0)</f>
        <v>#N/A</v>
      </c>
      <c r="J120" s="1725">
        <f t="shared" si="7"/>
        <v>0</v>
      </c>
      <c r="K120" s="922"/>
      <c r="L120" s="922"/>
      <c r="Q120" s="226">
        <v>9</v>
      </c>
      <c r="R120" s="226" t="s">
        <v>1444</v>
      </c>
    </row>
    <row r="121" spans="1:54">
      <c r="A121" s="265" t="s">
        <v>2029</v>
      </c>
      <c r="B121" s="266">
        <v>85.95</v>
      </c>
      <c r="C121" s="239"/>
      <c r="D121" s="239"/>
      <c r="E121" s="269" t="s">
        <v>1324</v>
      </c>
      <c r="F121" s="268">
        <v>5</v>
      </c>
      <c r="G121" s="1723" t="s">
        <v>2029</v>
      </c>
      <c r="H121" s="1724">
        <v>0.1</v>
      </c>
      <c r="I121" s="1701" t="e">
        <f>MATCH(G121,Perfiles_usuario!$D$138:$D$166,0)</f>
        <v>#N/A</v>
      </c>
      <c r="J121" s="1725">
        <f t="shared" si="7"/>
        <v>0</v>
      </c>
      <c r="K121" s="922"/>
      <c r="L121" s="922"/>
      <c r="Q121" s="226">
        <v>10</v>
      </c>
      <c r="R121" s="226" t="s">
        <v>1445</v>
      </c>
      <c r="U121" t="str">
        <f>VLOOKUP(MONTH('Seleccion de oferta'!E52),Q111:R124,2,FALSE)</f>
        <v>Septiembre</v>
      </c>
    </row>
    <row r="122" spans="1:54">
      <c r="A122" s="265" t="s">
        <v>2004</v>
      </c>
      <c r="B122" s="266">
        <v>90.95</v>
      </c>
      <c r="C122" s="239"/>
      <c r="D122" s="239"/>
      <c r="E122" s="269"/>
      <c r="F122" s="268"/>
      <c r="G122" s="1723" t="s">
        <v>2004</v>
      </c>
      <c r="H122" s="1724">
        <v>0.1</v>
      </c>
      <c r="I122" s="1996" t="e">
        <f>MATCH(G122,Perfiles_usuario!$D$138:$D$166,0)</f>
        <v>#N/A</v>
      </c>
      <c r="J122" s="1725">
        <f t="shared" si="7"/>
        <v>0</v>
      </c>
      <c r="K122" s="922"/>
      <c r="L122" s="922"/>
    </row>
    <row r="123" spans="1:54" ht="15" thickBot="1">
      <c r="A123" s="2017" t="s">
        <v>1229</v>
      </c>
      <c r="B123" s="2016">
        <v>85.95</v>
      </c>
      <c r="C123" s="239"/>
      <c r="D123" s="239"/>
      <c r="E123" s="239"/>
      <c r="F123" s="239"/>
      <c r="G123" s="1723" t="s">
        <v>1229</v>
      </c>
      <c r="H123" s="1724">
        <v>0.1</v>
      </c>
      <c r="I123" s="1701" t="e">
        <f>MATCH(G123,Perfiles_usuario!$D$138:$D$166,0)</f>
        <v>#N/A</v>
      </c>
      <c r="J123" s="1725">
        <f t="shared" si="7"/>
        <v>0</v>
      </c>
      <c r="K123" s="922"/>
      <c r="L123" s="922"/>
      <c r="Q123" s="226">
        <v>11</v>
      </c>
      <c r="R123" s="226" t="s">
        <v>1446</v>
      </c>
    </row>
    <row r="124" spans="1:54" ht="15.75" thickBot="1">
      <c r="A124" s="1469" t="s">
        <v>1350</v>
      </c>
      <c r="B124" s="1470">
        <v>50</v>
      </c>
      <c r="C124" s="1471"/>
      <c r="D124" s="1471"/>
      <c r="E124" s="1471"/>
      <c r="F124" s="1471"/>
      <c r="G124" s="1723" t="s">
        <v>1350</v>
      </c>
      <c r="H124" s="1724">
        <v>0.1</v>
      </c>
      <c r="I124" s="1701" t="e">
        <f>MATCH(G124,Perfiles_usuario!$D$177:$D$205,0)</f>
        <v>#N/A</v>
      </c>
      <c r="J124" s="1725">
        <f t="shared" si="7"/>
        <v>0</v>
      </c>
      <c r="K124" s="1718" t="s">
        <v>765</v>
      </c>
      <c r="L124" s="1717">
        <f>MAX(J105:J129)</f>
        <v>0.1</v>
      </c>
      <c r="Q124" s="226">
        <v>12</v>
      </c>
      <c r="R124" s="226" t="s">
        <v>1447</v>
      </c>
      <c r="AF124" s="1272"/>
      <c r="AG124" s="1272"/>
      <c r="AH124" s="1272"/>
      <c r="AI124" s="1272"/>
      <c r="AJ124" s="1272"/>
      <c r="AK124" s="1272"/>
      <c r="AL124" s="1272"/>
      <c r="AM124" s="1272"/>
      <c r="AN124" s="1272"/>
      <c r="AO124" s="1272"/>
      <c r="AP124" s="1272"/>
      <c r="AQ124" s="1272"/>
      <c r="AR124" s="1272"/>
      <c r="AS124" s="1272"/>
      <c r="AT124" s="1272"/>
      <c r="AU124" s="1272"/>
      <c r="AV124" s="1272"/>
      <c r="AW124" s="1272"/>
      <c r="AX124" s="1272"/>
      <c r="AY124" s="1272"/>
      <c r="AZ124" s="1272"/>
      <c r="BA124" s="1272"/>
      <c r="BB124" s="1272"/>
    </row>
    <row r="125" spans="1:54">
      <c r="A125" s="1469" t="s">
        <v>1351</v>
      </c>
      <c r="B125" s="1470">
        <v>60</v>
      </c>
      <c r="C125" s="1471"/>
      <c r="D125" s="1471"/>
      <c r="E125" s="1471"/>
      <c r="F125" s="1471"/>
      <c r="G125" s="1723" t="s">
        <v>1351</v>
      </c>
      <c r="H125" s="1724">
        <v>0.1</v>
      </c>
      <c r="I125" s="1701" t="e">
        <f>MATCH(G125,Perfiles_usuario!$D$177:$D$205,0)</f>
        <v>#N/A</v>
      </c>
      <c r="J125" s="1725">
        <f t="shared" si="7"/>
        <v>0</v>
      </c>
      <c r="K125" s="922"/>
      <c r="L125" s="922"/>
      <c r="AF125" s="1272"/>
      <c r="AG125" s="1272"/>
      <c r="AH125" s="1272"/>
      <c r="AI125" s="1272"/>
      <c r="AJ125" s="1272"/>
      <c r="AK125" s="1272"/>
      <c r="AL125" s="1272"/>
      <c r="AM125" s="1272"/>
      <c r="AN125" s="1272"/>
      <c r="AO125" s="1272"/>
      <c r="AP125" s="1272"/>
      <c r="AQ125" s="1272"/>
      <c r="AR125" s="1272"/>
      <c r="AS125" s="1272"/>
      <c r="AT125" s="1272"/>
      <c r="AU125" s="1272"/>
      <c r="AV125" s="1272"/>
      <c r="AW125" s="1272"/>
      <c r="AX125" s="1272"/>
      <c r="AY125" s="1272"/>
      <c r="AZ125" s="1272"/>
      <c r="BA125" s="1272"/>
      <c r="BB125" s="1272"/>
    </row>
    <row r="126" spans="1:54">
      <c r="A126" s="1469" t="s">
        <v>1352</v>
      </c>
      <c r="B126" s="1470">
        <v>65</v>
      </c>
      <c r="C126" s="1471"/>
      <c r="D126" s="1471"/>
      <c r="E126" s="1471"/>
      <c r="F126" s="1471"/>
      <c r="G126" s="1723" t="s">
        <v>1352</v>
      </c>
      <c r="H126" s="1724">
        <v>0.1</v>
      </c>
      <c r="I126" s="1701" t="e">
        <f>MATCH(G126,Perfiles_usuario!$D$177:$D$205,0)</f>
        <v>#N/A</v>
      </c>
      <c r="J126" s="1725">
        <f t="shared" si="7"/>
        <v>0</v>
      </c>
      <c r="AF126" s="1272"/>
      <c r="AG126" s="1272"/>
      <c r="AH126" s="1272"/>
      <c r="AI126" s="1272"/>
      <c r="AJ126" s="1272"/>
      <c r="AK126" s="1272"/>
      <c r="AL126" s="1272"/>
      <c r="AM126" s="1272"/>
      <c r="AN126" s="1272"/>
      <c r="AO126" s="1272"/>
      <c r="AP126" s="1272"/>
      <c r="AQ126" s="1272"/>
      <c r="AR126" s="1272"/>
      <c r="AS126" s="1272"/>
      <c r="AT126" s="1272"/>
      <c r="AU126" s="1272"/>
      <c r="AV126" s="1272"/>
      <c r="AW126" s="1272"/>
      <c r="AX126" s="1272"/>
      <c r="AY126" s="1272"/>
      <c r="AZ126" s="1272"/>
      <c r="BA126" s="1272"/>
      <c r="BB126" s="1272"/>
    </row>
    <row r="127" spans="1:54">
      <c r="A127" s="1469" t="s">
        <v>1353</v>
      </c>
      <c r="B127" s="1470">
        <v>70</v>
      </c>
      <c r="C127" s="1472"/>
      <c r="D127" s="1473"/>
      <c r="E127" s="1474"/>
      <c r="F127" s="1475"/>
      <c r="G127" s="1723" t="s">
        <v>1353</v>
      </c>
      <c r="H127" s="1724">
        <v>0.1</v>
      </c>
      <c r="I127" s="1701" t="e">
        <f>MATCH(G127,Perfiles_usuario!$D$177:$D$205,0)</f>
        <v>#N/A</v>
      </c>
      <c r="J127" s="1725">
        <f t="shared" si="7"/>
        <v>0</v>
      </c>
      <c r="AA127" s="334">
        <f>35*2</f>
        <v>70</v>
      </c>
      <c r="AB127" s="334">
        <f>29*2</f>
        <v>58</v>
      </c>
      <c r="AC127" s="334">
        <f>19*2</f>
        <v>38</v>
      </c>
      <c r="AD127" s="334"/>
      <c r="AF127" s="1704"/>
      <c r="AG127" s="1704"/>
      <c r="AH127" s="1704"/>
      <c r="AI127" s="1704"/>
      <c r="AJ127" s="1704"/>
      <c r="AK127" s="1704"/>
      <c r="AL127" s="1704"/>
      <c r="AM127" s="1704"/>
      <c r="AN127" s="1704"/>
      <c r="AO127" s="1704"/>
      <c r="AP127" s="1704"/>
      <c r="AQ127" s="1704"/>
      <c r="AR127" s="1704"/>
      <c r="AS127" s="1704"/>
      <c r="AT127" s="1704"/>
      <c r="AU127" s="1704"/>
      <c r="AV127" s="1704"/>
      <c r="AW127" s="1704"/>
      <c r="AX127" s="1704"/>
      <c r="AY127" s="1704"/>
      <c r="AZ127" s="1704"/>
      <c r="BA127" s="1704"/>
      <c r="BB127" s="1272"/>
    </row>
    <row r="128" spans="1:54" ht="15">
      <c r="A128" s="1469" t="s">
        <v>1354</v>
      </c>
      <c r="B128" s="1470">
        <v>80</v>
      </c>
      <c r="C128" s="1472"/>
      <c r="D128" s="1476"/>
      <c r="E128" s="1474"/>
      <c r="F128" s="1475"/>
      <c r="G128" s="1723" t="s">
        <v>1354</v>
      </c>
      <c r="H128" s="1724">
        <v>0.1</v>
      </c>
      <c r="I128" s="1701" t="e">
        <f>MATCH(G128,Perfiles_usuario!$D$177:$D$205,0)</f>
        <v>#N/A</v>
      </c>
      <c r="J128" s="1725">
        <f t="shared" si="7"/>
        <v>0</v>
      </c>
      <c r="AA128" t="s">
        <v>1017</v>
      </c>
      <c r="AB128" s="334"/>
      <c r="AC128" s="334"/>
      <c r="AD128" s="334"/>
      <c r="AF128" s="1705"/>
      <c r="AG128" s="1705"/>
      <c r="AH128" s="1705"/>
      <c r="AI128" s="1705"/>
      <c r="AJ128" s="1705"/>
      <c r="AK128" s="1705"/>
      <c r="AL128" s="1705"/>
      <c r="AM128" s="1705"/>
      <c r="AN128" s="1705"/>
      <c r="AO128" s="1705"/>
      <c r="AP128" s="1705"/>
      <c r="AQ128" s="1705"/>
      <c r="AR128" s="1705"/>
      <c r="AS128" s="1706"/>
      <c r="AT128" s="1706"/>
      <c r="AU128" s="1705"/>
      <c r="AV128" s="1705"/>
      <c r="AW128" s="1705"/>
      <c r="AX128" s="1705"/>
      <c r="AY128" s="1705"/>
      <c r="AZ128" s="1705"/>
      <c r="BA128" s="1705"/>
      <c r="BB128" s="1272"/>
    </row>
    <row r="129" spans="1:56" ht="15" thickBot="1">
      <c r="A129" s="1477" t="s">
        <v>1355</v>
      </c>
      <c r="B129" s="1478">
        <v>85</v>
      </c>
      <c r="C129" s="1479"/>
      <c r="D129" s="1479"/>
      <c r="E129" s="1479"/>
      <c r="F129" s="1479"/>
      <c r="G129" s="1727" t="s">
        <v>1355</v>
      </c>
      <c r="H129" s="1728">
        <v>0.1</v>
      </c>
      <c r="I129" s="1729" t="e">
        <f>MATCH(G129,Perfiles_usuario!$D$177:$D$205,0)</f>
        <v>#N/A</v>
      </c>
      <c r="J129" s="1730">
        <f t="shared" si="7"/>
        <v>0</v>
      </c>
      <c r="AA129" t="s">
        <v>1018</v>
      </c>
      <c r="AF129" s="1272"/>
      <c r="AG129" s="1272"/>
      <c r="AH129" s="1272"/>
      <c r="AI129" s="1272"/>
      <c r="AJ129" s="1272"/>
      <c r="AK129" s="1272"/>
      <c r="AL129" s="1272"/>
      <c r="AM129" s="1272"/>
      <c r="AN129" s="1272"/>
      <c r="AO129" s="1272"/>
      <c r="AP129" s="1272"/>
      <c r="AQ129" s="1272"/>
      <c r="AR129" s="1272"/>
      <c r="AS129" s="1272"/>
      <c r="AT129" s="1272"/>
      <c r="AU129" s="1272"/>
      <c r="AV129" s="1272"/>
      <c r="AW129" s="1272"/>
      <c r="AX129" s="1272"/>
      <c r="AY129" s="1272"/>
      <c r="AZ129" s="1272"/>
      <c r="BA129" s="1272"/>
      <c r="BB129" s="1272"/>
    </row>
    <row r="130" spans="1:56" ht="50.25" customHeight="1" thickBot="1">
      <c r="A130" s="1264" t="s">
        <v>857</v>
      </c>
      <c r="B130" s="1265"/>
      <c r="C130" s="1265"/>
      <c r="D130" s="1265"/>
      <c r="E130" s="1265"/>
      <c r="F130" s="1266"/>
      <c r="G130" s="922" t="s">
        <v>780</v>
      </c>
      <c r="H130" s="922"/>
      <c r="I130" s="922"/>
      <c r="J130" s="922"/>
      <c r="AA130" t="s">
        <v>1019</v>
      </c>
    </row>
    <row r="131" spans="1:56" ht="15.75" thickBot="1">
      <c r="A131" s="923"/>
      <c r="B131" s="924"/>
      <c r="C131" s="924"/>
      <c r="D131" s="924"/>
      <c r="E131" s="924"/>
      <c r="F131" s="925"/>
      <c r="G131" s="922" t="s">
        <v>781</v>
      </c>
      <c r="H131" s="922"/>
      <c r="I131" s="922"/>
      <c r="J131" s="922"/>
      <c r="L131" s="2231" t="s">
        <v>772</v>
      </c>
      <c r="M131" s="2231"/>
      <c r="O131" s="2206" t="s">
        <v>779</v>
      </c>
      <c r="P131" s="2207"/>
      <c r="Q131" s="2207"/>
      <c r="R131" s="2207"/>
      <c r="S131" s="2207"/>
      <c r="T131" s="2207"/>
      <c r="U131" s="2207"/>
      <c r="V131" s="2207"/>
      <c r="W131" s="2207"/>
      <c r="X131" s="2207"/>
      <c r="Y131" s="2207"/>
      <c r="Z131" s="2207"/>
      <c r="AA131" s="2207"/>
      <c r="AB131" s="2207"/>
      <c r="AC131" s="2207"/>
      <c r="AD131" s="2207"/>
      <c r="AE131" s="2207"/>
      <c r="AF131" s="2207"/>
      <c r="AG131" s="2207"/>
      <c r="AH131" s="2207"/>
      <c r="AI131" s="2207"/>
      <c r="AJ131" s="2207"/>
      <c r="AK131" s="2207"/>
      <c r="AL131" s="2207"/>
      <c r="AM131" s="2207"/>
      <c r="AN131" s="2207"/>
      <c r="AO131" s="2207"/>
      <c r="AP131" s="2207"/>
      <c r="AQ131" s="2207"/>
      <c r="AR131" s="2207"/>
      <c r="AS131" s="2207"/>
      <c r="AT131" s="2207"/>
      <c r="AU131" s="2207"/>
      <c r="AV131" s="2207"/>
      <c r="AW131" s="2207"/>
      <c r="AX131" s="2207"/>
      <c r="AY131" s="2207"/>
      <c r="AZ131" s="2207"/>
      <c r="BA131" s="2226"/>
    </row>
    <row r="132" spans="1:56" ht="25.5">
      <c r="A132" s="926" t="s">
        <v>433</v>
      </c>
      <c r="B132" s="927">
        <f>Perfiles_usuario!F117</f>
        <v>155.20000000000005</v>
      </c>
      <c r="C132" s="928"/>
      <c r="D132" s="836"/>
      <c r="E132" s="836"/>
      <c r="F132" s="929"/>
      <c r="G132" s="922" t="s">
        <v>782</v>
      </c>
      <c r="H132" s="922"/>
      <c r="I132" s="922"/>
      <c r="J132" s="922"/>
      <c r="L132" s="1302" t="s">
        <v>770</v>
      </c>
      <c r="M132" s="1303" t="s">
        <v>958</v>
      </c>
      <c r="O132" s="326" t="s">
        <v>771</v>
      </c>
      <c r="P132" s="327" t="s">
        <v>772</v>
      </c>
      <c r="Q132" s="327" t="s">
        <v>958</v>
      </c>
      <c r="R132" s="327" t="s">
        <v>773</v>
      </c>
      <c r="S132" s="233"/>
      <c r="T132" s="328" t="s">
        <v>777</v>
      </c>
      <c r="U132" s="328" t="s">
        <v>776</v>
      </c>
      <c r="V132" s="810" t="s">
        <v>1994</v>
      </c>
      <c r="W132" s="810" t="s">
        <v>1995</v>
      </c>
      <c r="X132" s="810" t="s">
        <v>1996</v>
      </c>
      <c r="Y132" s="810" t="s">
        <v>1081</v>
      </c>
      <c r="Z132" s="810" t="s">
        <v>1082</v>
      </c>
      <c r="AA132" s="810" t="s">
        <v>404</v>
      </c>
      <c r="AB132" s="810" t="s">
        <v>1020</v>
      </c>
      <c r="AC132" s="839"/>
      <c r="AD132" s="810" t="s">
        <v>1078</v>
      </c>
      <c r="AE132" s="810" t="s">
        <v>1079</v>
      </c>
      <c r="AF132" s="1371" t="str">
        <f>K68</f>
        <v>Conecta 2A</v>
      </c>
      <c r="AG132" s="1371" t="str">
        <f t="shared" ref="AG132:AX132" si="8">L68</f>
        <v>Conecta 2A fibra propia simétrica 500/500</v>
      </c>
      <c r="AH132" s="1371" t="str">
        <f t="shared" si="8"/>
        <v>Conecta 2A fibra NEBA</v>
      </c>
      <c r="AI132" s="1371" t="str">
        <f t="shared" si="8"/>
        <v>Conecta 2A GPON+</v>
      </c>
      <c r="AJ132" s="1371" t="str">
        <f t="shared" si="8"/>
        <v>Conecta 2A centralita</v>
      </c>
      <c r="AK132" s="1371" t="str">
        <f t="shared" si="8"/>
        <v>Conecta 2D</v>
      </c>
      <c r="AL132" s="1371" t="str">
        <f t="shared" si="8"/>
        <v>Conecta 3A centralita</v>
      </c>
      <c r="AM132" s="1371" t="str">
        <f t="shared" si="8"/>
        <v>Conecta 4A</v>
      </c>
      <c r="AN132" s="1371" t="str">
        <f t="shared" si="8"/>
        <v>Conecta 4A centralita</v>
      </c>
      <c r="AO132" s="1371" t="str">
        <f t="shared" si="8"/>
        <v>Conecta 4D</v>
      </c>
      <c r="AP132" s="1371" t="str">
        <f t="shared" si="8"/>
        <v>Conecta 4D fibra propia simétrica 500/500</v>
      </c>
      <c r="AQ132" s="1371" t="str">
        <f t="shared" si="8"/>
        <v>Conecta 4D fibra NEBA</v>
      </c>
      <c r="AR132" s="1371" t="str">
        <f t="shared" si="8"/>
        <v>Conecta 4D GPON+</v>
      </c>
      <c r="AS132" s="1371" t="str">
        <f t="shared" si="8"/>
        <v>Conecta 6D</v>
      </c>
      <c r="AT132" s="1371" t="str">
        <f t="shared" si="8"/>
        <v>Conecta 8D</v>
      </c>
      <c r="AU132" s="1371" t="str">
        <f t="shared" si="8"/>
        <v>Conecta Pymes IP</v>
      </c>
      <c r="AV132" s="1371" t="str">
        <f t="shared" si="8"/>
        <v>Conecta Pymes IP fibra propia simétrica 500/500</v>
      </c>
      <c r="AW132" s="1371" t="str">
        <f t="shared" si="8"/>
        <v>Conecta Pymes IP fibra NEBA</v>
      </c>
      <c r="AX132" s="1371" t="str">
        <f t="shared" si="8"/>
        <v>Conecta Pymes IP GPON+</v>
      </c>
      <c r="AY132" s="810" t="s">
        <v>1350</v>
      </c>
      <c r="AZ132" s="810" t="s">
        <v>1351</v>
      </c>
      <c r="BA132" s="810" t="s">
        <v>1352</v>
      </c>
      <c r="BB132" s="810" t="s">
        <v>1353</v>
      </c>
      <c r="BC132" s="810" t="s">
        <v>1354</v>
      </c>
      <c r="BD132" s="1368" t="s">
        <v>1355</v>
      </c>
    </row>
    <row r="133" spans="1:56" ht="15">
      <c r="A133" s="926" t="s">
        <v>434</v>
      </c>
      <c r="B133" s="927">
        <f>Perfiles_usuario!F119</f>
        <v>0</v>
      </c>
      <c r="C133" s="930"/>
      <c r="D133" s="836"/>
      <c r="E133" s="836"/>
      <c r="F133" s="929"/>
      <c r="G133" s="931"/>
      <c r="H133" s="931"/>
      <c r="I133" s="931"/>
      <c r="J133" s="931"/>
      <c r="L133" s="315">
        <v>5</v>
      </c>
      <c r="M133" s="1313">
        <v>2</v>
      </c>
      <c r="O133" s="329">
        <f>F3+F4</f>
        <v>5</v>
      </c>
      <c r="P133" s="315">
        <f>IF(O133&lt;5,10000000,VLOOKUP(O133,L133:M1123,2,FALSE))</f>
        <v>2</v>
      </c>
      <c r="Q133" s="315">
        <f>SUM(G65:I65)</f>
        <v>3</v>
      </c>
      <c r="R133" s="315">
        <f>IF(Q133&gt;=P133,1,0)</f>
        <v>1</v>
      </c>
      <c r="S133" s="239"/>
      <c r="T133" s="317">
        <f>IF($O$133&lt;=U133,1,0)</f>
        <v>1</v>
      </c>
      <c r="U133" s="318">
        <v>15</v>
      </c>
      <c r="V133" s="1481">
        <v>94.949999999999989</v>
      </c>
      <c r="W133" s="1481">
        <v>80.010000000000005</v>
      </c>
      <c r="X133" s="1481">
        <v>68.040000000000006</v>
      </c>
      <c r="Y133" s="1481">
        <v>56.25</v>
      </c>
      <c r="Z133" s="1481">
        <v>45</v>
      </c>
      <c r="AA133" s="1481">
        <v>68.040000000000006</v>
      </c>
      <c r="AB133" s="1481">
        <f>2*L10</f>
        <v>41.239669421487605</v>
      </c>
      <c r="AC133" s="1369"/>
      <c r="AD133" s="1481">
        <f>F263</f>
        <v>107.27272727272728</v>
      </c>
      <c r="AE133" s="1481">
        <f>F262</f>
        <v>66.033057851239676</v>
      </c>
      <c r="AF133" s="1483">
        <v>80</v>
      </c>
      <c r="AG133" s="1483">
        <v>120</v>
      </c>
      <c r="AH133" s="1483">
        <v>120</v>
      </c>
      <c r="AI133" s="1519">
        <v>139.9</v>
      </c>
      <c r="AJ133" s="1483">
        <v>140</v>
      </c>
      <c r="AK133" s="1483">
        <v>141</v>
      </c>
      <c r="AL133" s="1483">
        <v>180</v>
      </c>
      <c r="AM133" s="1483">
        <v>200</v>
      </c>
      <c r="AN133" s="1483">
        <v>220</v>
      </c>
      <c r="AO133" s="1483">
        <v>221</v>
      </c>
      <c r="AP133" s="1483">
        <v>260</v>
      </c>
      <c r="AQ133" s="1483">
        <v>260</v>
      </c>
      <c r="AR133" s="1519">
        <v>279.89999999999998</v>
      </c>
      <c r="AS133" s="1483">
        <v>300</v>
      </c>
      <c r="AT133" s="1483">
        <v>380</v>
      </c>
      <c r="AU133" s="1519">
        <v>150</v>
      </c>
      <c r="AV133" s="1519">
        <v>170</v>
      </c>
      <c r="AW133" s="1519">
        <v>170</v>
      </c>
      <c r="AX133" s="1519">
        <v>190</v>
      </c>
      <c r="AY133" s="1519">
        <v>100</v>
      </c>
      <c r="AZ133" s="1519">
        <v>120</v>
      </c>
      <c r="BA133" s="1519">
        <v>130</v>
      </c>
      <c r="BB133" s="1519">
        <v>140</v>
      </c>
      <c r="BC133" s="1519">
        <v>160</v>
      </c>
      <c r="BD133" s="1520">
        <v>170</v>
      </c>
    </row>
    <row r="134" spans="1:56" ht="15">
      <c r="A134" s="932" t="s">
        <v>435</v>
      </c>
      <c r="B134" s="933">
        <f>-B132*(1-C134)-SUM(ITL_roam!C31:C33)</f>
        <v>-15.520000000000001</v>
      </c>
      <c r="C134" s="934">
        <v>0.9</v>
      </c>
      <c r="D134" s="836" t="s">
        <v>458</v>
      </c>
      <c r="E134" s="836"/>
      <c r="F134" s="929"/>
      <c r="G134" s="931"/>
      <c r="H134" s="931"/>
      <c r="I134" s="931"/>
      <c r="J134" s="931"/>
      <c r="L134" s="315">
        <v>6</v>
      </c>
      <c r="M134" s="1313">
        <v>2</v>
      </c>
      <c r="O134" s="250"/>
      <c r="P134" s="239"/>
      <c r="Q134" s="239"/>
      <c r="R134" s="239"/>
      <c r="S134" s="239"/>
      <c r="T134" s="317">
        <f>IF(T133=1,0,IF($O$133&lt;=U134,1,0))</f>
        <v>0</v>
      </c>
      <c r="U134" s="318">
        <v>30</v>
      </c>
      <c r="V134" s="1481">
        <v>94.949999999999989</v>
      </c>
      <c r="W134" s="1481">
        <v>80.010000000000005</v>
      </c>
      <c r="X134" s="1481">
        <v>68.040000000000006</v>
      </c>
      <c r="Y134" s="1481">
        <v>56.25</v>
      </c>
      <c r="Z134" s="1481">
        <v>45</v>
      </c>
      <c r="AA134" s="1481">
        <v>68.040000000000006</v>
      </c>
      <c r="AB134" s="1481">
        <f>AB133</f>
        <v>41.239669421487605</v>
      </c>
      <c r="AC134" s="1370"/>
      <c r="AD134" s="1481">
        <f>AD133</f>
        <v>107.27272727272728</v>
      </c>
      <c r="AE134" s="1481">
        <f>AE133</f>
        <v>66.033057851239676</v>
      </c>
      <c r="AF134" s="1483">
        <v>80</v>
      </c>
      <c r="AG134" s="1483">
        <v>120</v>
      </c>
      <c r="AH134" s="1483">
        <v>120</v>
      </c>
      <c r="AI134" s="1519">
        <v>139.9</v>
      </c>
      <c r="AJ134" s="1483">
        <v>140</v>
      </c>
      <c r="AK134" s="1483">
        <v>141</v>
      </c>
      <c r="AL134" s="1483">
        <v>180</v>
      </c>
      <c r="AM134" s="1483">
        <v>200</v>
      </c>
      <c r="AN134" s="1483">
        <v>220</v>
      </c>
      <c r="AO134" s="1483">
        <v>221</v>
      </c>
      <c r="AP134" s="1483">
        <v>260</v>
      </c>
      <c r="AQ134" s="1483">
        <v>260</v>
      </c>
      <c r="AR134" s="1519">
        <v>279.89999999999998</v>
      </c>
      <c r="AS134" s="1483">
        <v>300</v>
      </c>
      <c r="AT134" s="1483">
        <v>380</v>
      </c>
      <c r="AU134" s="1519">
        <v>150</v>
      </c>
      <c r="AV134" s="1519">
        <v>170</v>
      </c>
      <c r="AW134" s="1519">
        <v>170</v>
      </c>
      <c r="AX134" s="1519">
        <v>190</v>
      </c>
      <c r="AY134" s="1519">
        <v>100</v>
      </c>
      <c r="AZ134" s="1519">
        <v>120</v>
      </c>
      <c r="BA134" s="1519">
        <v>130</v>
      </c>
      <c r="BB134" s="1519">
        <v>140</v>
      </c>
      <c r="BC134" s="1519">
        <v>160</v>
      </c>
      <c r="BD134" s="1520">
        <v>170</v>
      </c>
    </row>
    <row r="135" spans="1:56" ht="15">
      <c r="A135" s="932" t="s">
        <v>393</v>
      </c>
      <c r="B135" s="933">
        <f>-((Calculos_cuotas!N65+Calculos_cuotas!G79)*4+(Calculos_cuotas!O65+Calculos_cuotas!H79)*8+(Calculos_cuotas!P65+Calculos_cuotas!I79)*12)*0.5</f>
        <v>0</v>
      </c>
      <c r="C135" s="928"/>
      <c r="D135" s="836"/>
      <c r="E135" s="836"/>
      <c r="F135" s="929"/>
      <c r="G135" s="931"/>
      <c r="H135" s="931"/>
      <c r="I135" s="931"/>
      <c r="J135" s="931"/>
      <c r="L135" s="315">
        <v>7</v>
      </c>
      <c r="M135" s="1313">
        <v>2</v>
      </c>
      <c r="O135" s="250"/>
      <c r="P135" s="239"/>
      <c r="Q135" s="239"/>
      <c r="R135" s="239"/>
      <c r="S135" s="239"/>
      <c r="T135" s="317">
        <f>IF(OR(T133=1,T134=1),0,IF($O$133&lt;=U135,1,0))</f>
        <v>0</v>
      </c>
      <c r="U135" s="318">
        <v>100000000</v>
      </c>
      <c r="V135" s="1481">
        <v>94.95</v>
      </c>
      <c r="W135" s="1481">
        <v>80.010000000000005</v>
      </c>
      <c r="X135" s="1481">
        <v>68.040000000000006</v>
      </c>
      <c r="Y135" s="1481">
        <v>56.25</v>
      </c>
      <c r="Z135" s="1481">
        <v>45</v>
      </c>
      <c r="AA135" s="1481">
        <v>68.040000000000006</v>
      </c>
      <c r="AB135" s="1481">
        <f>AB133</f>
        <v>41.239669421487605</v>
      </c>
      <c r="AC135" s="1369"/>
      <c r="AD135" s="1482">
        <f>AD133</f>
        <v>107.27272727272728</v>
      </c>
      <c r="AE135" s="1482">
        <f>AE133</f>
        <v>66.033057851239676</v>
      </c>
      <c r="AF135" s="1483">
        <v>80</v>
      </c>
      <c r="AG135" s="1483">
        <v>120</v>
      </c>
      <c r="AH135" s="1483">
        <v>120</v>
      </c>
      <c r="AI135" s="1519">
        <v>139.9</v>
      </c>
      <c r="AJ135" s="1483">
        <v>140</v>
      </c>
      <c r="AK135" s="1483">
        <v>141</v>
      </c>
      <c r="AL135" s="1483">
        <v>180</v>
      </c>
      <c r="AM135" s="1483">
        <v>200</v>
      </c>
      <c r="AN135" s="1483">
        <v>220</v>
      </c>
      <c r="AO135" s="1483">
        <v>221</v>
      </c>
      <c r="AP135" s="1483">
        <v>260</v>
      </c>
      <c r="AQ135" s="1483">
        <v>260</v>
      </c>
      <c r="AR135" s="1519">
        <v>279.89999999999998</v>
      </c>
      <c r="AS135" s="1483">
        <v>300</v>
      </c>
      <c r="AT135" s="1483">
        <v>380</v>
      </c>
      <c r="AU135" s="1519">
        <v>150</v>
      </c>
      <c r="AV135" s="1519">
        <v>170</v>
      </c>
      <c r="AW135" s="1519">
        <v>170</v>
      </c>
      <c r="AX135" s="1519">
        <v>190</v>
      </c>
      <c r="AY135" s="1519">
        <v>100</v>
      </c>
      <c r="AZ135" s="1519">
        <v>120</v>
      </c>
      <c r="BA135" s="1519">
        <v>130</v>
      </c>
      <c r="BB135" s="1519">
        <v>140</v>
      </c>
      <c r="BC135" s="1519">
        <v>160</v>
      </c>
      <c r="BD135" s="1998">
        <v>170</v>
      </c>
    </row>
    <row r="136" spans="1:56" ht="15">
      <c r="A136" s="926" t="s">
        <v>182</v>
      </c>
      <c r="B136" s="927">
        <f>SUM(B132:B135)</f>
        <v>139.68000000000004</v>
      </c>
      <c r="C136" s="928"/>
      <c r="D136" s="836"/>
      <c r="E136" s="836"/>
      <c r="F136" s="929"/>
      <c r="G136" s="931"/>
      <c r="H136" s="931"/>
      <c r="I136" s="931"/>
      <c r="J136" s="931"/>
      <c r="L136" s="315">
        <v>8</v>
      </c>
      <c r="M136" s="1313">
        <v>3</v>
      </c>
      <c r="O136" s="250"/>
      <c r="P136" s="239"/>
      <c r="Q136" s="239"/>
      <c r="R136" s="239"/>
      <c r="S136" s="239"/>
      <c r="T136" s="239"/>
      <c r="U136" s="325"/>
      <c r="V136" s="325"/>
      <c r="W136" s="325"/>
      <c r="X136" s="325"/>
      <c r="Y136" s="325"/>
      <c r="Z136" s="325"/>
      <c r="AA136" s="325"/>
      <c r="AB136" s="325"/>
      <c r="AC136" s="325"/>
      <c r="AD136" s="325"/>
      <c r="AE136" s="325"/>
      <c r="AF136" s="325"/>
      <c r="AG136" s="325"/>
      <c r="AH136" s="325"/>
      <c r="AI136" s="325"/>
      <c r="AJ136" s="325"/>
      <c r="AK136" s="325"/>
      <c r="AL136" s="325"/>
      <c r="AM136" s="325"/>
      <c r="AN136" s="325"/>
      <c r="AO136" s="325"/>
      <c r="AP136" s="325"/>
      <c r="AQ136" s="325"/>
      <c r="AR136" s="325"/>
      <c r="AS136" s="325"/>
      <c r="AT136" s="325"/>
      <c r="AU136" s="325"/>
      <c r="AV136" s="325"/>
      <c r="AW136" s="325"/>
      <c r="AX136" s="325"/>
      <c r="AY136" s="325"/>
      <c r="AZ136" s="325"/>
      <c r="BD136" s="330"/>
    </row>
    <row r="137" spans="1:56" ht="15">
      <c r="A137" s="926" t="s">
        <v>436</v>
      </c>
      <c r="B137" s="935">
        <f>(B136-B133)/Perfiles_usuario!D78</f>
        <v>27.936000000000007</v>
      </c>
      <c r="C137" s="928" t="s">
        <v>716</v>
      </c>
      <c r="D137" s="928">
        <v>280</v>
      </c>
      <c r="E137" s="936" t="s">
        <v>717</v>
      </c>
      <c r="F137" s="929" t="s">
        <v>769</v>
      </c>
      <c r="G137" s="931"/>
      <c r="H137" s="931"/>
      <c r="I137" s="931"/>
      <c r="J137" s="931"/>
      <c r="L137" s="315">
        <v>9</v>
      </c>
      <c r="M137" s="1313">
        <v>3</v>
      </c>
      <c r="O137" s="250"/>
      <c r="P137" s="239"/>
      <c r="Q137" s="239"/>
      <c r="R137" s="239"/>
      <c r="S137" s="239"/>
      <c r="T137" s="239"/>
      <c r="U137" s="319" t="s">
        <v>778</v>
      </c>
      <c r="V137" s="316">
        <f>G65</f>
        <v>0</v>
      </c>
      <c r="W137" s="316">
        <f>H65</f>
        <v>3</v>
      </c>
      <c r="X137" s="316">
        <f>I65</f>
        <v>0</v>
      </c>
      <c r="Y137" s="316">
        <f>J65</f>
        <v>1</v>
      </c>
      <c r="Z137" s="316">
        <f>K65</f>
        <v>0</v>
      </c>
      <c r="AA137" s="316">
        <f>A79</f>
        <v>0</v>
      </c>
      <c r="AB137" s="316">
        <f>B79</f>
        <v>0</v>
      </c>
      <c r="AC137" s="811"/>
      <c r="AD137" s="811">
        <f>F79</f>
        <v>0</v>
      </c>
      <c r="AE137" s="811">
        <f>E79</f>
        <v>0</v>
      </c>
      <c r="AF137" s="811">
        <f t="shared" ref="AF137:AG137" si="9">K99</f>
        <v>1</v>
      </c>
      <c r="AG137" s="811">
        <f t="shared" si="9"/>
        <v>0</v>
      </c>
      <c r="AH137" s="811">
        <f t="shared" ref="AH137" si="10">M99</f>
        <v>0</v>
      </c>
      <c r="AI137" s="811">
        <f t="shared" ref="AI137" si="11">N99</f>
        <v>0</v>
      </c>
      <c r="AJ137" s="811">
        <f t="shared" ref="AJ137" si="12">O99</f>
        <v>0</v>
      </c>
      <c r="AK137" s="811">
        <f t="shared" ref="AK137" si="13">P99</f>
        <v>0</v>
      </c>
      <c r="AL137" s="811">
        <f t="shared" ref="AL137" si="14">Q99</f>
        <v>0</v>
      </c>
      <c r="AM137" s="811">
        <f t="shared" ref="AM137" si="15">R99</f>
        <v>0</v>
      </c>
      <c r="AN137" s="811">
        <f t="shared" ref="AN137" si="16">S99</f>
        <v>0</v>
      </c>
      <c r="AO137" s="811">
        <f t="shared" ref="AO137" si="17">T99</f>
        <v>0</v>
      </c>
      <c r="AP137" s="811">
        <f t="shared" ref="AP137" si="18">U99</f>
        <v>0</v>
      </c>
      <c r="AQ137" s="811">
        <f t="shared" ref="AQ137" si="19">V99</f>
        <v>0</v>
      </c>
      <c r="AR137" s="811">
        <f t="shared" ref="AR137" si="20">W99</f>
        <v>0</v>
      </c>
      <c r="AS137" s="811">
        <f t="shared" ref="AS137" si="21">X99</f>
        <v>0</v>
      </c>
      <c r="AT137" s="811">
        <f t="shared" ref="AT137" si="22">Y99</f>
        <v>0</v>
      </c>
      <c r="AU137" s="811">
        <f t="shared" ref="AU137" si="23">Z99</f>
        <v>0</v>
      </c>
      <c r="AV137" s="811">
        <f t="shared" ref="AV137" si="24">AA99</f>
        <v>0</v>
      </c>
      <c r="AW137" s="811">
        <f t="shared" ref="AW137" si="25">AB99</f>
        <v>0</v>
      </c>
      <c r="AX137" s="811">
        <f t="shared" ref="AX137" si="26">AC99</f>
        <v>0</v>
      </c>
      <c r="AY137" s="811">
        <f t="shared" ref="AY137:BD137" si="27">COUNTIF($A$1302:$A$1316,AY132)</f>
        <v>0</v>
      </c>
      <c r="AZ137" s="811">
        <f t="shared" si="27"/>
        <v>0</v>
      </c>
      <c r="BA137" s="811">
        <f t="shared" si="27"/>
        <v>0</v>
      </c>
      <c r="BB137" s="811">
        <f t="shared" si="27"/>
        <v>0</v>
      </c>
      <c r="BC137" s="811">
        <f t="shared" si="27"/>
        <v>0</v>
      </c>
      <c r="BD137" s="811">
        <f t="shared" si="27"/>
        <v>0</v>
      </c>
    </row>
    <row r="138" spans="1:56" ht="15">
      <c r="A138" s="926" t="s">
        <v>50</v>
      </c>
      <c r="B138" s="935">
        <f>IF(ISERROR(HLOOKUP(1,B146:E147,2,FALSE)),0,HLOOKUP(1,B146:E147,2,FALSE))</f>
        <v>2</v>
      </c>
      <c r="C138" s="836"/>
      <c r="D138" s="836" t="s">
        <v>718</v>
      </c>
      <c r="E138" s="836"/>
      <c r="F138" s="929"/>
      <c r="G138" s="931"/>
      <c r="H138" s="931"/>
      <c r="I138" s="931"/>
      <c r="J138" s="931"/>
      <c r="L138" s="315">
        <v>10</v>
      </c>
      <c r="M138" s="1313">
        <v>4</v>
      </c>
      <c r="O138" s="250"/>
      <c r="P138" s="239"/>
      <c r="Q138" s="239"/>
      <c r="R138" s="239"/>
      <c r="S138" s="239"/>
      <c r="T138" s="239"/>
      <c r="U138" s="325"/>
      <c r="V138" s="325"/>
      <c r="W138" s="325"/>
      <c r="X138" s="325"/>
      <c r="Y138" s="325"/>
      <c r="Z138" s="325"/>
      <c r="AA138" s="325"/>
      <c r="AB138" s="325"/>
      <c r="AC138" s="325"/>
      <c r="AD138" s="325"/>
      <c r="AE138" s="325"/>
      <c r="AF138" s="325"/>
      <c r="AG138" s="325"/>
      <c r="AH138" s="325"/>
      <c r="AI138" s="325"/>
      <c r="AJ138" s="325"/>
      <c r="AK138" s="325"/>
      <c r="AL138" s="325"/>
      <c r="AM138" s="325"/>
      <c r="AN138" s="325"/>
      <c r="AO138" s="325"/>
      <c r="AP138" s="325"/>
      <c r="AQ138" s="325"/>
      <c r="AR138" s="325"/>
      <c r="AS138" s="325"/>
      <c r="AT138" s="325"/>
      <c r="AU138" s="325"/>
      <c r="AV138" s="325"/>
      <c r="AW138" s="325"/>
      <c r="AX138" s="325"/>
      <c r="AY138" s="325"/>
      <c r="AZ138" s="325"/>
      <c r="BD138" s="330"/>
    </row>
    <row r="139" spans="1:56" ht="15">
      <c r="A139" s="937" t="s">
        <v>443</v>
      </c>
      <c r="B139" s="938">
        <f>IF(B138*B136&gt;D137*F3,D137*F3,B138*B136)</f>
        <v>279.36000000000007</v>
      </c>
      <c r="C139" s="836"/>
      <c r="D139" s="836"/>
      <c r="E139" s="836"/>
      <c r="F139" s="929"/>
      <c r="G139" s="931"/>
      <c r="H139" s="931"/>
      <c r="I139" s="931"/>
      <c r="J139" s="931"/>
      <c r="L139" s="315">
        <v>11</v>
      </c>
      <c r="M139" s="1313">
        <v>4</v>
      </c>
      <c r="O139" s="250"/>
      <c r="P139" s="239"/>
      <c r="Q139" s="239"/>
      <c r="R139" s="239"/>
      <c r="S139" s="239"/>
      <c r="T139" s="317"/>
      <c r="U139" s="320" t="s">
        <v>774</v>
      </c>
      <c r="V139" s="321">
        <f>((T133*SUMPRODUCT(V133:AE133,V137:AE137)+T134*SUMPRODUCT(V134:AE134,V137:AE137)+T135*SUMPRODUCT(V135:AE135,V137:AE137)+V140))*IF('Seleccion de oferta'!E23="Movistar",(1+U108*V108),1)</f>
        <v>451.536</v>
      </c>
      <c r="W139" s="325"/>
      <c r="X139" s="325"/>
      <c r="Y139" s="325"/>
      <c r="Z139" s="325"/>
      <c r="AA139" s="325"/>
      <c r="AB139" s="332" t="s">
        <v>716</v>
      </c>
      <c r="AC139" s="325">
        <f>D137</f>
        <v>280</v>
      </c>
      <c r="AD139" s="325"/>
      <c r="AE139" s="325"/>
      <c r="AF139" s="960">
        <f t="shared" ref="AF139:AP139" si="28">IF(AF137&gt;0,AF133,0)</f>
        <v>80</v>
      </c>
      <c r="AG139" s="960">
        <f t="shared" si="28"/>
        <v>0</v>
      </c>
      <c r="AH139" s="960">
        <f t="shared" si="28"/>
        <v>0</v>
      </c>
      <c r="AI139" s="960">
        <f t="shared" si="28"/>
        <v>0</v>
      </c>
      <c r="AJ139" s="960">
        <f t="shared" si="28"/>
        <v>0</v>
      </c>
      <c r="AK139" s="960">
        <f t="shared" si="28"/>
        <v>0</v>
      </c>
      <c r="AL139" s="960">
        <f t="shared" si="28"/>
        <v>0</v>
      </c>
      <c r="AM139" s="960">
        <f t="shared" si="28"/>
        <v>0</v>
      </c>
      <c r="AN139" s="960">
        <f t="shared" si="28"/>
        <v>0</v>
      </c>
      <c r="AO139" s="960">
        <f t="shared" si="28"/>
        <v>0</v>
      </c>
      <c r="AP139" s="960">
        <f t="shared" si="28"/>
        <v>0</v>
      </c>
      <c r="AQ139" s="960">
        <f>IF(AQ137&gt;0,AR133,0)</f>
        <v>0</v>
      </c>
      <c r="AR139" s="960">
        <f>IF(AR137&gt;0,AS133,0)</f>
        <v>0</v>
      </c>
      <c r="AS139" s="960">
        <f>IF(AS137&gt;0,AT133,0)</f>
        <v>0</v>
      </c>
      <c r="AT139" s="960">
        <f>IF(AT137&gt;0,AU133,0)</f>
        <v>0</v>
      </c>
      <c r="AU139" s="960">
        <f>IF(AU137&gt;0,AU133,0)</f>
        <v>0</v>
      </c>
      <c r="AV139" s="960">
        <f t="shared" ref="AV139:BD139" si="29">IF(AV137&gt;0,AV133,0)</f>
        <v>0</v>
      </c>
      <c r="AW139" s="960">
        <f t="shared" si="29"/>
        <v>0</v>
      </c>
      <c r="AX139" s="960">
        <f t="shared" si="29"/>
        <v>0</v>
      </c>
      <c r="AY139" s="960">
        <f t="shared" si="29"/>
        <v>0</v>
      </c>
      <c r="AZ139" s="960">
        <f t="shared" si="29"/>
        <v>0</v>
      </c>
      <c r="BA139" s="960">
        <f t="shared" si="29"/>
        <v>0</v>
      </c>
      <c r="BB139" s="960">
        <f t="shared" si="29"/>
        <v>0</v>
      </c>
      <c r="BC139" s="960">
        <f t="shared" si="29"/>
        <v>0</v>
      </c>
      <c r="BD139" s="960">
        <f t="shared" si="29"/>
        <v>0</v>
      </c>
    </row>
    <row r="140" spans="1:56" ht="15">
      <c r="A140" s="939"/>
      <c r="B140" s="836"/>
      <c r="C140" s="836"/>
      <c r="D140" s="836"/>
      <c r="E140" s="836"/>
      <c r="F140" s="929"/>
      <c r="G140" s="931"/>
      <c r="H140" s="931"/>
      <c r="I140" s="931"/>
      <c r="J140" s="931"/>
      <c r="L140" s="315">
        <v>12</v>
      </c>
      <c r="M140" s="1313">
        <v>4</v>
      </c>
      <c r="O140" s="250"/>
      <c r="P140" s="239"/>
      <c r="Q140" s="239"/>
      <c r="R140" s="239"/>
      <c r="S140" s="239"/>
      <c r="T140" s="317"/>
      <c r="U140" s="812" t="s">
        <v>1006</v>
      </c>
      <c r="V140" s="321">
        <f>SUMPRODUCT(AF139:BA139,AF140:BA140)</f>
        <v>80</v>
      </c>
      <c r="W140" s="325" t="str">
        <f>HLOOKUP(1,AF140:BA141,2,FALSE)</f>
        <v>Conecta 2A</v>
      </c>
      <c r="X140" s="325"/>
      <c r="Y140" s="325"/>
      <c r="Z140" s="325"/>
      <c r="AA140" s="325"/>
      <c r="AB140" s="332" t="s">
        <v>823</v>
      </c>
      <c r="AC140" s="325">
        <f>F3</f>
        <v>3</v>
      </c>
      <c r="AD140" s="325"/>
      <c r="AE140" s="325"/>
      <c r="AF140" s="960">
        <f>IF(AF139=MAX($AF$139:$BD$139),1,0)</f>
        <v>1</v>
      </c>
      <c r="AG140" s="960">
        <f>IF(AG139=MAX($AF$139:$BD$139),1,0)</f>
        <v>0</v>
      </c>
      <c r="AH140" s="960">
        <f t="shared" ref="AH140:BD140" si="30">IF(AH139=MAX($AF$139:$BD$139),1,0)</f>
        <v>0</v>
      </c>
      <c r="AI140" s="960">
        <f t="shared" si="30"/>
        <v>0</v>
      </c>
      <c r="AJ140" s="960">
        <f t="shared" si="30"/>
        <v>0</v>
      </c>
      <c r="AK140" s="960">
        <f t="shared" si="30"/>
        <v>0</v>
      </c>
      <c r="AL140" s="960">
        <f t="shared" si="30"/>
        <v>0</v>
      </c>
      <c r="AM140" s="960">
        <f t="shared" si="30"/>
        <v>0</v>
      </c>
      <c r="AN140" s="960">
        <f t="shared" si="30"/>
        <v>0</v>
      </c>
      <c r="AO140" s="960">
        <f t="shared" si="30"/>
        <v>0</v>
      </c>
      <c r="AP140" s="960">
        <f t="shared" si="30"/>
        <v>0</v>
      </c>
      <c r="AQ140" s="960">
        <f t="shared" si="30"/>
        <v>0</v>
      </c>
      <c r="AR140" s="960">
        <f t="shared" si="30"/>
        <v>0</v>
      </c>
      <c r="AS140" s="960">
        <f t="shared" si="30"/>
        <v>0</v>
      </c>
      <c r="AT140" s="960">
        <f t="shared" si="30"/>
        <v>0</v>
      </c>
      <c r="AU140" s="960">
        <f t="shared" si="30"/>
        <v>0</v>
      </c>
      <c r="AV140" s="960">
        <f t="shared" si="30"/>
        <v>0</v>
      </c>
      <c r="AW140" s="960">
        <f t="shared" si="30"/>
        <v>0</v>
      </c>
      <c r="AX140" s="960">
        <f t="shared" si="30"/>
        <v>0</v>
      </c>
      <c r="AY140" s="960">
        <f t="shared" si="30"/>
        <v>0</v>
      </c>
      <c r="AZ140" s="960">
        <f t="shared" si="30"/>
        <v>0</v>
      </c>
      <c r="BA140" s="960">
        <f t="shared" si="30"/>
        <v>0</v>
      </c>
      <c r="BB140" s="960">
        <f t="shared" si="30"/>
        <v>0</v>
      </c>
      <c r="BC140" s="960">
        <f t="shared" si="30"/>
        <v>0</v>
      </c>
      <c r="BD140" s="960">
        <f t="shared" si="30"/>
        <v>0</v>
      </c>
    </row>
    <row r="141" spans="1:56" ht="15">
      <c r="A141" s="940" t="s">
        <v>438</v>
      </c>
      <c r="B141" s="941">
        <v>17</v>
      </c>
      <c r="C141" s="941">
        <v>17</v>
      </c>
      <c r="D141" s="941">
        <v>21</v>
      </c>
      <c r="E141" s="941">
        <v>25</v>
      </c>
      <c r="F141" s="929"/>
      <c r="G141" s="931"/>
      <c r="H141" s="931"/>
      <c r="I141" s="931"/>
      <c r="J141" s="931"/>
      <c r="L141" s="315">
        <v>13</v>
      </c>
      <c r="M141" s="1313">
        <v>4</v>
      </c>
      <c r="O141" s="250"/>
      <c r="P141" s="239"/>
      <c r="Q141" s="239"/>
      <c r="R141" s="239"/>
      <c r="S141" s="239"/>
      <c r="T141" s="322"/>
      <c r="U141" s="323" t="s">
        <v>775</v>
      </c>
      <c r="V141" s="324">
        <f>IF(AND('Seleccion de oferta'!E36="serendipia",Perfiles_usuario!J17="Nuevo"),IF(Calculos_cuotas!R133*Calculos_cuotas!V139&gt;AC139*AC140,AC139*AC140,R133*V139),0)</f>
        <v>451.536</v>
      </c>
      <c r="W141" s="325"/>
      <c r="X141" s="325"/>
      <c r="Y141" s="325"/>
      <c r="Z141" s="325"/>
      <c r="AA141" s="325"/>
      <c r="AB141" s="325"/>
      <c r="AC141" s="325"/>
      <c r="AD141" s="325"/>
      <c r="AE141" s="325"/>
      <c r="AF141" s="960" t="str">
        <f>AF132</f>
        <v>Conecta 2A</v>
      </c>
      <c r="AG141" s="960" t="str">
        <f t="shared" ref="AG141" si="31">AG132</f>
        <v>Conecta 2A fibra propia simétrica 500/500</v>
      </c>
      <c r="AH141" s="960" t="str">
        <f>AH132</f>
        <v>Conecta 2A fibra NEBA</v>
      </c>
      <c r="AI141" s="960" t="str">
        <f t="shared" ref="AI141:BD141" si="32">AI132</f>
        <v>Conecta 2A GPON+</v>
      </c>
      <c r="AJ141" s="960" t="str">
        <f t="shared" si="32"/>
        <v>Conecta 2A centralita</v>
      </c>
      <c r="AK141" s="960" t="str">
        <f t="shared" si="32"/>
        <v>Conecta 2D</v>
      </c>
      <c r="AL141" s="960" t="str">
        <f t="shared" si="32"/>
        <v>Conecta 3A centralita</v>
      </c>
      <c r="AM141" s="960" t="str">
        <f t="shared" si="32"/>
        <v>Conecta 4A</v>
      </c>
      <c r="AN141" s="960" t="str">
        <f t="shared" si="32"/>
        <v>Conecta 4A centralita</v>
      </c>
      <c r="AO141" s="960" t="str">
        <f t="shared" si="32"/>
        <v>Conecta 4D</v>
      </c>
      <c r="AP141" s="960" t="str">
        <f t="shared" si="32"/>
        <v>Conecta 4D fibra propia simétrica 500/500</v>
      </c>
      <c r="AQ141" s="960" t="str">
        <f t="shared" si="32"/>
        <v>Conecta 4D fibra NEBA</v>
      </c>
      <c r="AR141" s="960" t="str">
        <f t="shared" si="32"/>
        <v>Conecta 4D GPON+</v>
      </c>
      <c r="AS141" s="960" t="str">
        <f t="shared" si="32"/>
        <v>Conecta 6D</v>
      </c>
      <c r="AT141" s="960" t="str">
        <f t="shared" si="32"/>
        <v>Conecta 8D</v>
      </c>
      <c r="AU141" s="960" t="str">
        <f t="shared" si="32"/>
        <v>Conecta Pymes IP</v>
      </c>
      <c r="AV141" s="960" t="str">
        <f t="shared" si="32"/>
        <v>Conecta Pymes IP fibra propia simétrica 500/500</v>
      </c>
      <c r="AW141" s="960" t="str">
        <f t="shared" si="32"/>
        <v>Conecta Pymes IP fibra NEBA</v>
      </c>
      <c r="AX141" s="960" t="str">
        <f t="shared" si="32"/>
        <v>Conecta Pymes IP GPON+</v>
      </c>
      <c r="AY141" s="960" t="str">
        <f t="shared" si="32"/>
        <v>CP Centralita ADSL 2-3-4 puestos</v>
      </c>
      <c r="AZ141" s="960" t="str">
        <f t="shared" si="32"/>
        <v>CP Centralita FTTH 2-3-4 puestos</v>
      </c>
      <c r="BA141" t="str">
        <f t="shared" si="32"/>
        <v>CP Centralita ADSL 5-6-7 puestos</v>
      </c>
      <c r="BB141" t="str">
        <f t="shared" si="32"/>
        <v>CP Centralita FTTH 5-6-7 puestos</v>
      </c>
      <c r="BC141" t="str">
        <f t="shared" si="32"/>
        <v>CP Centralita ADSL 8 ó más puestos</v>
      </c>
      <c r="BD141" s="330" t="str">
        <f t="shared" si="32"/>
        <v>CP Centralita FTTH 8 más puestos</v>
      </c>
    </row>
    <row r="142" spans="1:56" ht="15">
      <c r="A142" s="940" t="s">
        <v>439</v>
      </c>
      <c r="B142" s="942">
        <v>15</v>
      </c>
      <c r="C142" s="942">
        <v>15</v>
      </c>
      <c r="D142" s="942">
        <v>15</v>
      </c>
      <c r="E142" s="942">
        <v>15</v>
      </c>
      <c r="F142" s="929"/>
      <c r="G142" s="931"/>
      <c r="H142" s="931"/>
      <c r="I142" s="931"/>
      <c r="J142" s="931"/>
      <c r="L142" s="315">
        <v>14</v>
      </c>
      <c r="M142" s="1313">
        <v>5</v>
      </c>
      <c r="O142" s="250"/>
      <c r="P142" s="239"/>
      <c r="Q142" s="239"/>
      <c r="R142" s="239"/>
      <c r="S142" s="239"/>
      <c r="T142" s="239"/>
      <c r="U142" s="960" t="s">
        <v>1085</v>
      </c>
      <c r="V142" s="325">
        <f>IF(V141&gt;6000,"EXCEDE MAXIMO ABONO",0)</f>
        <v>0</v>
      </c>
      <c r="W142" s="325"/>
      <c r="X142" s="325"/>
      <c r="Y142" s="325"/>
      <c r="Z142" s="325"/>
      <c r="AA142" s="325"/>
      <c r="AB142" s="325"/>
      <c r="AC142" s="325"/>
      <c r="AD142" s="325"/>
      <c r="AE142" s="325"/>
      <c r="AF142" s="1484" t="s">
        <v>1428</v>
      </c>
      <c r="AG142" s="1272"/>
      <c r="AH142" s="1272"/>
      <c r="AI142" s="1272"/>
      <c r="AJ142" s="1272"/>
      <c r="AK142" s="1272"/>
      <c r="AL142" s="1272"/>
      <c r="AM142" s="1272"/>
      <c r="AN142" s="1272"/>
      <c r="AO142" s="1272"/>
      <c r="AP142" s="1272"/>
      <c r="AQ142" s="1272"/>
      <c r="AR142" s="1272"/>
      <c r="AS142" s="1272"/>
      <c r="AT142" s="1272"/>
      <c r="AU142" s="325"/>
      <c r="AV142" s="1272"/>
      <c r="AW142" s="325"/>
      <c r="AX142" s="325"/>
      <c r="AY142" s="325"/>
      <c r="AZ142" s="325"/>
      <c r="BD142" s="330"/>
    </row>
    <row r="143" spans="1:56" ht="15.75" thickBot="1">
      <c r="A143" s="940" t="s">
        <v>440</v>
      </c>
      <c r="B143" s="943">
        <f>(B141*(Perfiles_usuario!$D$78-$Q$65)+B142*$Q$65)/Perfiles_usuario!$D$78</f>
        <v>17</v>
      </c>
      <c r="C143" s="943">
        <f>(C141*(Perfiles_usuario!$D$78-$Q$65)+C142*$Q$65)/Perfiles_usuario!$D$78</f>
        <v>17</v>
      </c>
      <c r="D143" s="943">
        <f>(D141*(Perfiles_usuario!$D$78-$Q$65)+D142*$Q$65)/Perfiles_usuario!$D$78</f>
        <v>21</v>
      </c>
      <c r="E143" s="943">
        <f>(E141*(Perfiles_usuario!$D$78-$Q$65)+E142*$Q$65)/Perfiles_usuario!$D$78</f>
        <v>25</v>
      </c>
      <c r="F143" s="929"/>
      <c r="G143" s="931"/>
      <c r="H143" s="931"/>
      <c r="I143" s="931"/>
      <c r="J143" s="931"/>
      <c r="L143" s="315">
        <v>15</v>
      </c>
      <c r="M143" s="1313">
        <v>5</v>
      </c>
      <c r="O143" s="251"/>
      <c r="P143" s="242"/>
      <c r="Q143" s="242"/>
      <c r="R143" s="242"/>
      <c r="S143" s="242"/>
      <c r="T143" s="242"/>
      <c r="U143" s="331"/>
      <c r="V143" s="331"/>
      <c r="W143" s="331"/>
      <c r="X143" s="331"/>
      <c r="Y143" s="331"/>
      <c r="Z143" s="331"/>
      <c r="AA143" s="331"/>
      <c r="AB143" s="331"/>
      <c r="AC143" s="331"/>
      <c r="AD143" s="331"/>
      <c r="AE143" s="331"/>
      <c r="AF143" s="331"/>
      <c r="AG143" s="331"/>
      <c r="AH143" s="331"/>
      <c r="AI143" s="331"/>
      <c r="AJ143" s="331"/>
      <c r="AK143" s="331"/>
      <c r="AL143" s="331"/>
      <c r="AM143" s="331"/>
      <c r="AN143" s="331"/>
      <c r="AO143" s="331"/>
      <c r="AP143" s="331"/>
      <c r="AQ143" s="331"/>
      <c r="AR143" s="331"/>
      <c r="AS143" s="331"/>
      <c r="AT143" s="331"/>
      <c r="AU143" s="331"/>
      <c r="AV143" s="331"/>
      <c r="AW143" s="331"/>
      <c r="AX143" s="331"/>
      <c r="AY143" s="331"/>
      <c r="AZ143" s="331"/>
      <c r="BA143" s="331"/>
      <c r="BB143" s="331"/>
      <c r="BC143" s="331"/>
      <c r="BD143" s="1367"/>
    </row>
    <row r="144" spans="1:56" ht="15">
      <c r="A144" s="940" t="s">
        <v>397</v>
      </c>
      <c r="B144" s="944">
        <v>510</v>
      </c>
      <c r="C144" s="944">
        <v>340</v>
      </c>
      <c r="D144" s="944">
        <v>210</v>
      </c>
      <c r="E144" s="944">
        <v>125</v>
      </c>
      <c r="F144" s="929"/>
      <c r="G144" s="931"/>
      <c r="H144" s="931"/>
      <c r="I144" s="931"/>
      <c r="J144" s="931"/>
      <c r="L144" s="315">
        <v>16</v>
      </c>
      <c r="M144" s="1313">
        <v>5</v>
      </c>
    </row>
    <row r="145" spans="1:23" ht="15">
      <c r="A145" s="939"/>
      <c r="B145" s="836"/>
      <c r="C145" s="836"/>
      <c r="D145" s="836"/>
      <c r="E145" s="836"/>
      <c r="F145" s="929"/>
      <c r="G145" s="931"/>
      <c r="H145" s="931"/>
      <c r="I145" s="931"/>
      <c r="J145" s="931"/>
      <c r="L145" s="315">
        <v>17</v>
      </c>
      <c r="M145" s="1313">
        <v>6</v>
      </c>
      <c r="W145" s="921"/>
    </row>
    <row r="146" spans="1:23" ht="15">
      <c r="A146" s="940" t="s">
        <v>442</v>
      </c>
      <c r="B146" s="942">
        <f>IF(AND($B$136&gt;B144,$B$137&gt;B143,'Seleccion de oferta'!$E$36="serendipia",Perfiles_usuario!J17="Nuevo"),1,0)</f>
        <v>0</v>
      </c>
      <c r="C146" s="942">
        <f>IF(AND($B$136&gt;C144,$B$137&gt;C143,'Seleccion de oferta'!$E$36="serendipia",Perfiles_usuario!J17="Nuevo"),1,0)</f>
        <v>0</v>
      </c>
      <c r="D146" s="942">
        <f>IF(AND($B$136&gt;D144,$B$137&gt;D143,'Seleccion de oferta'!$E$36="serendipia",Perfiles_usuario!J17="Nuevo"),1,0)</f>
        <v>0</v>
      </c>
      <c r="E146" s="942">
        <f>IF(AND($B$136&gt;E144,$B$137&gt;E143,'Seleccion de oferta'!$E$36="serendipia",Perfiles_usuario!J17="Nuevo"),1,0)</f>
        <v>1</v>
      </c>
      <c r="F146" s="929" t="s">
        <v>695</v>
      </c>
      <c r="G146" s="931"/>
      <c r="H146" s="931"/>
      <c r="I146" s="931"/>
      <c r="J146" s="931"/>
      <c r="L146" s="315">
        <v>18</v>
      </c>
      <c r="M146" s="1313">
        <v>6</v>
      </c>
    </row>
    <row r="147" spans="1:23" ht="15">
      <c r="A147" s="940" t="s">
        <v>441</v>
      </c>
      <c r="B147" s="941">
        <v>4</v>
      </c>
      <c r="C147" s="941">
        <v>3</v>
      </c>
      <c r="D147" s="941">
        <v>2.5</v>
      </c>
      <c r="E147" s="941">
        <v>2</v>
      </c>
      <c r="F147" s="929"/>
      <c r="G147" s="931"/>
      <c r="H147" s="931"/>
      <c r="I147" s="931"/>
      <c r="J147" s="931"/>
      <c r="L147" s="315">
        <v>19</v>
      </c>
      <c r="M147" s="1313">
        <v>6</v>
      </c>
      <c r="W147" s="921"/>
    </row>
    <row r="148" spans="1:23" ht="15.75" thickBot="1">
      <c r="A148" s="945"/>
      <c r="B148" s="946"/>
      <c r="C148" s="946"/>
      <c r="D148" s="946"/>
      <c r="E148" s="946"/>
      <c r="F148" s="947"/>
      <c r="G148" s="931"/>
      <c r="H148" s="931"/>
      <c r="I148" s="931"/>
      <c r="J148" s="931"/>
      <c r="L148" s="315">
        <v>20</v>
      </c>
      <c r="M148" s="1313">
        <v>6</v>
      </c>
    </row>
    <row r="149" spans="1:23" ht="15">
      <c r="L149" s="315">
        <v>21</v>
      </c>
      <c r="M149" s="1313">
        <v>7</v>
      </c>
    </row>
    <row r="150" spans="1:23" ht="15">
      <c r="A150" s="239"/>
      <c r="B150" s="239"/>
      <c r="C150" s="239"/>
      <c r="D150" s="239"/>
      <c r="E150" s="239"/>
      <c r="F150" s="239"/>
      <c r="G150" s="239"/>
      <c r="H150" s="239"/>
      <c r="I150" s="239"/>
      <c r="L150" s="315">
        <v>22</v>
      </c>
      <c r="M150" s="1313">
        <v>7</v>
      </c>
    </row>
    <row r="151" spans="1:23" ht="15">
      <c r="A151" s="1309"/>
      <c r="B151" s="1309"/>
      <c r="C151" s="1309"/>
      <c r="D151" s="1309"/>
      <c r="E151" s="239"/>
      <c r="F151" s="239"/>
      <c r="G151" s="239"/>
      <c r="H151" s="239"/>
      <c r="I151" s="239"/>
      <c r="L151" s="315">
        <v>23</v>
      </c>
      <c r="M151" s="1313">
        <v>7</v>
      </c>
    </row>
    <row r="152" spans="1:23" ht="15">
      <c r="A152" s="1310"/>
      <c r="B152" s="1310"/>
      <c r="C152" s="1310"/>
      <c r="D152" s="1310"/>
      <c r="E152" s="239"/>
      <c r="F152" s="239"/>
      <c r="G152" s="1145"/>
      <c r="H152" s="239"/>
      <c r="I152" s="239"/>
      <c r="L152" s="315">
        <v>24</v>
      </c>
      <c r="M152" s="1313">
        <v>8</v>
      </c>
    </row>
    <row r="153" spans="1:23" ht="15">
      <c r="A153" s="276"/>
      <c r="B153" s="276"/>
      <c r="C153" s="1270"/>
      <c r="D153" s="1145"/>
      <c r="E153" s="239"/>
      <c r="F153" s="1145"/>
      <c r="G153" s="276"/>
      <c r="H153" s="239"/>
      <c r="I153" s="239"/>
      <c r="L153" s="315">
        <v>25</v>
      </c>
      <c r="M153" s="1313">
        <v>8</v>
      </c>
    </row>
    <row r="154" spans="1:23" ht="15">
      <c r="A154" s="276"/>
      <c r="B154" s="276"/>
      <c r="C154" s="1270"/>
      <c r="D154" s="1270"/>
      <c r="E154" s="239"/>
      <c r="F154" s="1267"/>
      <c r="G154" s="1270"/>
      <c r="H154" s="239"/>
      <c r="I154" s="239"/>
      <c r="L154" s="315">
        <v>26</v>
      </c>
      <c r="M154" s="1313">
        <v>8</v>
      </c>
    </row>
    <row r="155" spans="1:23" ht="15">
      <c r="A155" s="276"/>
      <c r="B155" s="276"/>
      <c r="C155" s="1270"/>
      <c r="D155" s="1145"/>
      <c r="E155" s="239"/>
      <c r="F155" s="1267"/>
      <c r="G155" s="1270"/>
      <c r="H155" s="239"/>
      <c r="I155" s="239"/>
      <c r="L155" s="315">
        <v>27</v>
      </c>
      <c r="M155" s="1313">
        <v>9</v>
      </c>
    </row>
    <row r="156" spans="1:23" ht="15">
      <c r="A156" s="276"/>
      <c r="B156" s="276"/>
      <c r="C156" s="1270"/>
      <c r="D156" s="1270"/>
      <c r="E156" s="239"/>
      <c r="F156" s="1311"/>
      <c r="G156" s="1270"/>
      <c r="H156" s="239"/>
      <c r="I156" s="239"/>
      <c r="L156" s="315">
        <v>28</v>
      </c>
      <c r="M156" s="1313">
        <v>9</v>
      </c>
    </row>
    <row r="157" spans="1:23" ht="15">
      <c r="A157" s="276"/>
      <c r="B157" s="276"/>
      <c r="C157" s="1270"/>
      <c r="D157" s="1145"/>
      <c r="E157" s="239"/>
      <c r="F157" s="1311"/>
      <c r="G157" s="1270"/>
      <c r="H157" s="239"/>
      <c r="I157" s="239"/>
      <c r="L157" s="315">
        <v>29</v>
      </c>
      <c r="M157" s="1313">
        <v>9</v>
      </c>
    </row>
    <row r="158" spans="1:23" ht="15">
      <c r="A158" s="276"/>
      <c r="B158" s="276"/>
      <c r="C158" s="1270"/>
      <c r="D158" s="1270"/>
      <c r="E158" s="239"/>
      <c r="F158" s="1311"/>
      <c r="G158" s="1270"/>
      <c r="H158" s="239"/>
      <c r="I158" s="239"/>
      <c r="L158" s="315">
        <v>30</v>
      </c>
      <c r="M158" s="1313">
        <v>9</v>
      </c>
    </row>
    <row r="159" spans="1:23">
      <c r="A159" s="276"/>
      <c r="B159" s="276"/>
      <c r="C159" s="1270"/>
      <c r="D159" s="1145"/>
      <c r="E159" s="239"/>
      <c r="F159" s="1311"/>
      <c r="G159" s="1270"/>
      <c r="H159" s="239"/>
      <c r="I159" s="239"/>
      <c r="L159" s="316">
        <v>31</v>
      </c>
      <c r="M159" s="1314">
        <v>10</v>
      </c>
    </row>
    <row r="160" spans="1:23">
      <c r="A160" s="276"/>
      <c r="B160" s="276"/>
      <c r="C160" s="1270"/>
      <c r="D160" s="1270"/>
      <c r="E160" s="239"/>
      <c r="F160" s="1267"/>
      <c r="G160" s="1270"/>
      <c r="H160" s="239"/>
      <c r="I160" s="239"/>
      <c r="L160" s="316">
        <v>32</v>
      </c>
      <c r="M160" s="1314">
        <v>10</v>
      </c>
    </row>
    <row r="161" spans="1:13">
      <c r="A161" s="276"/>
      <c r="B161" s="276"/>
      <c r="C161" s="1270"/>
      <c r="D161" s="1145"/>
      <c r="E161" s="239"/>
      <c r="F161" s="239"/>
      <c r="G161" s="276"/>
      <c r="H161" s="239"/>
      <c r="I161" s="239"/>
      <c r="L161" s="316">
        <v>33</v>
      </c>
      <c r="M161" s="1314">
        <v>10</v>
      </c>
    </row>
    <row r="162" spans="1:13">
      <c r="A162" s="276"/>
      <c r="B162" s="276"/>
      <c r="C162" s="1270"/>
      <c r="D162" s="1270"/>
      <c r="E162" s="239"/>
      <c r="F162" s="1267"/>
      <c r="G162" s="1270"/>
      <c r="H162" s="239"/>
      <c r="I162" s="239"/>
      <c r="L162" s="316">
        <v>34</v>
      </c>
      <c r="M162" s="1314">
        <v>11</v>
      </c>
    </row>
    <row r="163" spans="1:13">
      <c r="A163" s="276"/>
      <c r="B163" s="276"/>
      <c r="C163" s="1270"/>
      <c r="D163" s="1145"/>
      <c r="E163" s="239"/>
      <c r="F163" s="1267"/>
      <c r="G163" s="1270"/>
      <c r="H163" s="239"/>
      <c r="I163" s="239"/>
      <c r="L163" s="316">
        <v>35</v>
      </c>
      <c r="M163" s="1314">
        <v>11</v>
      </c>
    </row>
    <row r="164" spans="1:13" ht="15">
      <c r="A164" s="276"/>
      <c r="B164" s="276"/>
      <c r="C164" s="1312"/>
      <c r="D164" s="1312"/>
      <c r="E164" s="239"/>
      <c r="F164" s="239"/>
      <c r="G164" s="1270"/>
      <c r="H164" s="239"/>
      <c r="I164" s="239"/>
      <c r="L164" s="316">
        <v>36</v>
      </c>
      <c r="M164" s="1314">
        <v>11</v>
      </c>
    </row>
    <row r="165" spans="1:13">
      <c r="A165" s="239"/>
      <c r="B165" s="239"/>
      <c r="C165" s="239"/>
      <c r="D165" s="239"/>
      <c r="E165" s="239"/>
      <c r="F165" s="1267"/>
      <c r="G165" s="1270"/>
      <c r="H165" s="239"/>
      <c r="I165" s="239"/>
      <c r="L165" s="316">
        <v>37</v>
      </c>
      <c r="M165" s="1314">
        <v>12</v>
      </c>
    </row>
    <row r="166" spans="1:13">
      <c r="A166" s="239"/>
      <c r="B166" s="239"/>
      <c r="C166" s="239"/>
      <c r="D166" s="239"/>
      <c r="E166" s="239"/>
      <c r="F166" s="1145"/>
      <c r="G166" s="239"/>
      <c r="H166" s="239"/>
      <c r="I166" s="239"/>
      <c r="L166" s="316">
        <v>38</v>
      </c>
      <c r="M166" s="1314">
        <v>12</v>
      </c>
    </row>
    <row r="167" spans="1:13">
      <c r="A167" s="239"/>
      <c r="B167" s="239"/>
      <c r="C167" s="239"/>
      <c r="D167" s="239"/>
      <c r="E167" s="239"/>
      <c r="F167" s="239"/>
      <c r="G167" s="239"/>
      <c r="H167" s="239"/>
      <c r="I167" s="239"/>
      <c r="L167" s="316">
        <v>39</v>
      </c>
      <c r="M167" s="1314">
        <v>12</v>
      </c>
    </row>
    <row r="168" spans="1:13">
      <c r="A168" s="239"/>
      <c r="B168" s="239"/>
      <c r="C168" s="239"/>
      <c r="D168" s="239"/>
      <c r="E168" s="239"/>
      <c r="F168" s="239"/>
      <c r="G168" s="239"/>
      <c r="H168" s="239"/>
      <c r="I168" s="239"/>
      <c r="L168" s="316">
        <v>40</v>
      </c>
      <c r="M168" s="1314">
        <v>12</v>
      </c>
    </row>
    <row r="169" spans="1:13">
      <c r="A169" s="236"/>
      <c r="B169" s="239"/>
      <c r="C169" s="239"/>
      <c r="D169" s="239"/>
      <c r="E169" s="239"/>
      <c r="F169" s="239"/>
      <c r="G169" s="239"/>
      <c r="H169" s="239"/>
      <c r="I169" s="239"/>
      <c r="L169" s="316">
        <v>41</v>
      </c>
      <c r="M169" s="1314">
        <v>13</v>
      </c>
    </row>
    <row r="170" spans="1:13">
      <c r="L170" s="316">
        <v>42</v>
      </c>
      <c r="M170" s="1314">
        <v>13</v>
      </c>
    </row>
    <row r="171" spans="1:13">
      <c r="L171" s="316">
        <v>43</v>
      </c>
      <c r="M171" s="1314">
        <v>13</v>
      </c>
    </row>
    <row r="172" spans="1:13" ht="15" thickBot="1">
      <c r="L172" s="316">
        <v>44</v>
      </c>
      <c r="M172" s="1314">
        <v>14</v>
      </c>
    </row>
    <row r="173" spans="1:13">
      <c r="A173" s="336" t="s">
        <v>378</v>
      </c>
      <c r="B173" s="337"/>
      <c r="C173" s="337"/>
      <c r="D173" s="337"/>
      <c r="E173" s="337"/>
      <c r="F173" s="337"/>
      <c r="G173" s="338"/>
      <c r="L173" s="316">
        <v>45</v>
      </c>
      <c r="M173" s="1314">
        <v>14</v>
      </c>
    </row>
    <row r="174" spans="1:13">
      <c r="A174" s="250"/>
      <c r="B174" s="239"/>
      <c r="C174" s="239"/>
      <c r="D174" s="239"/>
      <c r="E174" s="239"/>
      <c r="F174" s="239"/>
      <c r="G174" s="240"/>
      <c r="L174" s="316">
        <v>46</v>
      </c>
      <c r="M174" s="1314">
        <v>14</v>
      </c>
    </row>
    <row r="175" spans="1:13">
      <c r="A175" s="250"/>
      <c r="B175" s="239"/>
      <c r="C175" s="239"/>
      <c r="D175" s="239"/>
      <c r="E175" s="239"/>
      <c r="F175" s="239"/>
      <c r="G175" s="240"/>
      <c r="L175" s="316">
        <v>47</v>
      </c>
      <c r="M175" s="1314">
        <v>15</v>
      </c>
    </row>
    <row r="176" spans="1:13">
      <c r="A176" s="250" t="s">
        <v>826</v>
      </c>
      <c r="B176" s="339">
        <f>Perfiles_usuario!R82</f>
        <v>194</v>
      </c>
      <c r="C176" s="239"/>
      <c r="D176" s="239"/>
      <c r="E176" s="239"/>
      <c r="F176" s="239"/>
      <c r="G176" s="240"/>
      <c r="L176" s="316">
        <v>48</v>
      </c>
      <c r="M176" s="1314">
        <v>15</v>
      </c>
    </row>
    <row r="177" spans="1:13">
      <c r="A177" s="250" t="s">
        <v>825</v>
      </c>
      <c r="B177" s="239">
        <f>IF(B176&gt;=F182,5,IF(B176&gt;=E182,4,IF(B176&gt;=D182,3,IF(B176&gt;=C182,2,1))))</f>
        <v>2</v>
      </c>
      <c r="C177" s="239"/>
      <c r="D177" s="239"/>
      <c r="E177" s="239"/>
      <c r="F177" s="239"/>
      <c r="G177" s="240"/>
      <c r="L177" s="316">
        <v>49</v>
      </c>
      <c r="M177" s="1314">
        <v>15</v>
      </c>
    </row>
    <row r="178" spans="1:13">
      <c r="A178" s="250"/>
      <c r="B178" s="239"/>
      <c r="C178" s="239"/>
      <c r="D178" s="239"/>
      <c r="E178" s="239"/>
      <c r="F178" s="239"/>
      <c r="G178" s="240"/>
      <c r="L178" s="316">
        <v>50</v>
      </c>
      <c r="M178" s="1314">
        <v>15</v>
      </c>
    </row>
    <row r="179" spans="1:13">
      <c r="A179" s="250"/>
      <c r="B179" s="239"/>
      <c r="C179" s="239"/>
      <c r="D179" s="239"/>
      <c r="E179" s="239"/>
      <c r="F179" s="239"/>
      <c r="G179" s="240"/>
      <c r="L179" s="316">
        <v>51</v>
      </c>
      <c r="M179" s="1314">
        <v>16</v>
      </c>
    </row>
    <row r="180" spans="1:13">
      <c r="A180" s="250"/>
      <c r="B180" s="239"/>
      <c r="C180" s="239"/>
      <c r="D180" s="239"/>
      <c r="E180" s="239"/>
      <c r="F180" s="239"/>
      <c r="G180" s="240"/>
      <c r="L180" s="316">
        <v>52</v>
      </c>
      <c r="M180" s="1314">
        <v>16</v>
      </c>
    </row>
    <row r="181" spans="1:13">
      <c r="A181" s="250" t="s">
        <v>1738</v>
      </c>
      <c r="B181" s="1444">
        <v>0</v>
      </c>
      <c r="C181" s="1444">
        <f>U35</f>
        <v>0.1</v>
      </c>
      <c r="D181" s="1444">
        <f>U36</f>
        <v>0.26</v>
      </c>
      <c r="E181" s="1444">
        <f>U37</f>
        <v>0.33</v>
      </c>
      <c r="F181" s="1444">
        <f>U38</f>
        <v>0.4</v>
      </c>
      <c r="G181" s="1445" t="s">
        <v>1424</v>
      </c>
      <c r="L181" s="316">
        <v>53</v>
      </c>
      <c r="M181" s="1314">
        <v>16</v>
      </c>
    </row>
    <row r="182" spans="1:13">
      <c r="A182" s="250"/>
      <c r="B182" s="1446">
        <v>0</v>
      </c>
      <c r="C182" s="1446">
        <f>T34</f>
        <v>100</v>
      </c>
      <c r="D182" s="1446">
        <f>T35</f>
        <v>250</v>
      </c>
      <c r="E182" s="1446">
        <f>T36</f>
        <v>600</v>
      </c>
      <c r="F182" s="1446">
        <f>T37</f>
        <v>900</v>
      </c>
      <c r="G182" s="1445" t="s">
        <v>1424</v>
      </c>
      <c r="L182" s="316">
        <v>54</v>
      </c>
      <c r="M182" s="1314">
        <v>17</v>
      </c>
    </row>
    <row r="183" spans="1:13">
      <c r="A183" s="235" t="s">
        <v>1994</v>
      </c>
      <c r="B183" s="236">
        <v>73</v>
      </c>
      <c r="C183" s="276">
        <f t="shared" ref="C183:F191" si="33">ROUND($B183*(1-C$181),0)</f>
        <v>66</v>
      </c>
      <c r="D183" s="276">
        <f t="shared" si="33"/>
        <v>54</v>
      </c>
      <c r="E183" s="276">
        <f t="shared" si="33"/>
        <v>49</v>
      </c>
      <c r="F183" s="276">
        <f t="shared" si="33"/>
        <v>44</v>
      </c>
      <c r="G183" s="240"/>
      <c r="L183" s="316">
        <v>55</v>
      </c>
      <c r="M183" s="1314">
        <v>17</v>
      </c>
    </row>
    <row r="184" spans="1:13">
      <c r="A184" s="235" t="s">
        <v>1995</v>
      </c>
      <c r="B184" s="236">
        <v>53</v>
      </c>
      <c r="C184" s="276">
        <f t="shared" si="33"/>
        <v>48</v>
      </c>
      <c r="D184" s="276">
        <f t="shared" si="33"/>
        <v>39</v>
      </c>
      <c r="E184" s="276">
        <f t="shared" si="33"/>
        <v>36</v>
      </c>
      <c r="F184" s="276">
        <f t="shared" si="33"/>
        <v>32</v>
      </c>
      <c r="G184" s="240"/>
      <c r="L184" s="316">
        <v>56</v>
      </c>
      <c r="M184" s="1314">
        <v>17</v>
      </c>
    </row>
    <row r="185" spans="1:13">
      <c r="A185" s="235" t="s">
        <v>1996</v>
      </c>
      <c r="B185" s="236">
        <v>32</v>
      </c>
      <c r="C185" s="276">
        <f t="shared" si="33"/>
        <v>29</v>
      </c>
      <c r="D185" s="276">
        <f t="shared" si="33"/>
        <v>24</v>
      </c>
      <c r="E185" s="276">
        <f t="shared" si="33"/>
        <v>21</v>
      </c>
      <c r="F185" s="276">
        <f t="shared" si="33"/>
        <v>19</v>
      </c>
      <c r="G185" s="240"/>
      <c r="L185" s="316">
        <v>57</v>
      </c>
      <c r="M185" s="1314">
        <v>18</v>
      </c>
    </row>
    <row r="186" spans="1:13" ht="15">
      <c r="A186" s="956" t="s">
        <v>1081</v>
      </c>
      <c r="B186" s="236">
        <v>24</v>
      </c>
      <c r="C186" s="276">
        <f t="shared" si="33"/>
        <v>22</v>
      </c>
      <c r="D186" s="276">
        <f t="shared" si="33"/>
        <v>18</v>
      </c>
      <c r="E186" s="276">
        <f t="shared" si="33"/>
        <v>16</v>
      </c>
      <c r="F186" s="276">
        <f t="shared" si="33"/>
        <v>14</v>
      </c>
      <c r="G186" s="240"/>
      <c r="L186" s="316">
        <v>58</v>
      </c>
      <c r="M186" s="1314">
        <v>18</v>
      </c>
    </row>
    <row r="187" spans="1:13" ht="15">
      <c r="A187" s="956" t="s">
        <v>1082</v>
      </c>
      <c r="B187" s="236">
        <v>15</v>
      </c>
      <c r="C187" s="276">
        <f t="shared" si="33"/>
        <v>14</v>
      </c>
      <c r="D187" s="276">
        <f t="shared" si="33"/>
        <v>11</v>
      </c>
      <c r="E187" s="276">
        <f t="shared" si="33"/>
        <v>10</v>
      </c>
      <c r="F187" s="276">
        <f t="shared" si="33"/>
        <v>9</v>
      </c>
      <c r="G187" s="240"/>
      <c r="L187" s="316">
        <v>59</v>
      </c>
      <c r="M187" s="1314">
        <v>18</v>
      </c>
    </row>
    <row r="188" spans="1:13">
      <c r="A188" s="236" t="s">
        <v>383</v>
      </c>
      <c r="B188" s="236">
        <v>30</v>
      </c>
      <c r="C188" s="276">
        <f t="shared" si="33"/>
        <v>27</v>
      </c>
      <c r="D188" s="276">
        <f t="shared" si="33"/>
        <v>22</v>
      </c>
      <c r="E188" s="276">
        <f t="shared" si="33"/>
        <v>20</v>
      </c>
      <c r="F188" s="276">
        <f t="shared" si="33"/>
        <v>18</v>
      </c>
      <c r="G188" s="240"/>
      <c r="L188" s="316">
        <v>60</v>
      </c>
      <c r="M188" s="1314">
        <v>18</v>
      </c>
    </row>
    <row r="189" spans="1:13">
      <c r="A189" s="235" t="s">
        <v>410</v>
      </c>
      <c r="B189" s="236">
        <f>ROUNDUP(85*0.104,0)</f>
        <v>9</v>
      </c>
      <c r="C189" s="276">
        <f t="shared" si="33"/>
        <v>8</v>
      </c>
      <c r="D189" s="276">
        <f t="shared" si="33"/>
        <v>7</v>
      </c>
      <c r="E189" s="276">
        <f t="shared" si="33"/>
        <v>6</v>
      </c>
      <c r="F189" s="276">
        <f t="shared" si="33"/>
        <v>5</v>
      </c>
      <c r="G189" s="240"/>
      <c r="L189" s="316">
        <v>61</v>
      </c>
      <c r="M189" s="1314">
        <v>19</v>
      </c>
    </row>
    <row r="190" spans="1:13">
      <c r="A190" s="235" t="s">
        <v>412</v>
      </c>
      <c r="B190" s="236">
        <v>6</v>
      </c>
      <c r="C190" s="276">
        <f t="shared" si="33"/>
        <v>5</v>
      </c>
      <c r="D190" s="276">
        <f t="shared" si="33"/>
        <v>4</v>
      </c>
      <c r="E190" s="276">
        <f t="shared" si="33"/>
        <v>4</v>
      </c>
      <c r="F190" s="276">
        <f t="shared" si="33"/>
        <v>4</v>
      </c>
      <c r="G190" s="240"/>
      <c r="L190" s="316">
        <v>62</v>
      </c>
      <c r="M190" s="1314">
        <v>19</v>
      </c>
    </row>
    <row r="191" spans="1:13">
      <c r="A191" s="235" t="s">
        <v>405</v>
      </c>
      <c r="B191" s="236">
        <v>5</v>
      </c>
      <c r="C191" s="276">
        <f t="shared" si="33"/>
        <v>5</v>
      </c>
      <c r="D191" s="276">
        <f t="shared" si="33"/>
        <v>4</v>
      </c>
      <c r="E191" s="276">
        <f t="shared" si="33"/>
        <v>3</v>
      </c>
      <c r="F191" s="276">
        <f t="shared" si="33"/>
        <v>3</v>
      </c>
      <c r="G191" s="240"/>
      <c r="L191" s="316">
        <v>63</v>
      </c>
      <c r="M191" s="1314">
        <v>19</v>
      </c>
    </row>
    <row r="192" spans="1:13">
      <c r="A192" s="341" t="s">
        <v>385</v>
      </c>
      <c r="B192" s="342">
        <v>5</v>
      </c>
      <c r="C192" s="342">
        <f t="shared" ref="C192:F193" si="34">ROUND($B192*(1-C$181),0)</f>
        <v>5</v>
      </c>
      <c r="D192" s="342">
        <f t="shared" si="34"/>
        <v>4</v>
      </c>
      <c r="E192" s="342">
        <f t="shared" si="34"/>
        <v>3</v>
      </c>
      <c r="F192" s="342">
        <f t="shared" si="34"/>
        <v>3</v>
      </c>
      <c r="G192" s="240"/>
      <c r="L192" s="316">
        <v>64</v>
      </c>
      <c r="M192" s="1314">
        <v>20</v>
      </c>
    </row>
    <row r="193" spans="1:13">
      <c r="A193" s="341" t="s">
        <v>720</v>
      </c>
      <c r="B193" s="342">
        <v>5</v>
      </c>
      <c r="C193" s="342">
        <f t="shared" si="34"/>
        <v>5</v>
      </c>
      <c r="D193" s="342">
        <f t="shared" si="34"/>
        <v>4</v>
      </c>
      <c r="E193" s="342">
        <f t="shared" si="34"/>
        <v>3</v>
      </c>
      <c r="F193" s="342">
        <f t="shared" si="34"/>
        <v>3</v>
      </c>
      <c r="G193" s="240"/>
      <c r="L193" s="316">
        <v>65</v>
      </c>
      <c r="M193" s="1314">
        <v>20</v>
      </c>
    </row>
    <row r="194" spans="1:13">
      <c r="A194" s="341" t="s">
        <v>719</v>
      </c>
      <c r="B194" s="342">
        <f>B192+B193</f>
        <v>10</v>
      </c>
      <c r="C194" s="342">
        <f>C192+C193</f>
        <v>10</v>
      </c>
      <c r="D194" s="342">
        <f>D192+D193</f>
        <v>8</v>
      </c>
      <c r="E194" s="342">
        <f>E192+E193</f>
        <v>6</v>
      </c>
      <c r="F194" s="342">
        <f>F192+F193</f>
        <v>6</v>
      </c>
      <c r="G194" s="240"/>
      <c r="L194" s="316">
        <v>66</v>
      </c>
      <c r="M194" s="1314">
        <v>20</v>
      </c>
    </row>
    <row r="195" spans="1:13">
      <c r="A195" s="250"/>
      <c r="B195" s="239" t="s">
        <v>1740</v>
      </c>
      <c r="C195" s="239"/>
      <c r="D195" s="239"/>
      <c r="E195" s="239"/>
      <c r="F195" s="239"/>
      <c r="G195" s="240"/>
      <c r="L195" s="316">
        <v>67</v>
      </c>
      <c r="M195" s="1314">
        <v>21</v>
      </c>
    </row>
    <row r="196" spans="1:13">
      <c r="A196" s="250" t="s">
        <v>1739</v>
      </c>
      <c r="B196" s="1444">
        <f>H347</f>
        <v>0.1</v>
      </c>
      <c r="C196" s="340">
        <f>$B$196+C181</f>
        <v>0.2</v>
      </c>
      <c r="D196" s="340">
        <f>$B$196+D181</f>
        <v>0.36</v>
      </c>
      <c r="E196" s="340">
        <f>$B$196+E181</f>
        <v>0.43000000000000005</v>
      </c>
      <c r="F196" s="340">
        <f>$B$196+F181</f>
        <v>0.5</v>
      </c>
      <c r="G196" s="240"/>
      <c r="L196" s="316">
        <v>68</v>
      </c>
      <c r="M196" s="1314">
        <v>21</v>
      </c>
    </row>
    <row r="197" spans="1:13">
      <c r="A197" s="250"/>
      <c r="B197" s="276">
        <f>B182</f>
        <v>0</v>
      </c>
      <c r="C197" s="2031">
        <f t="shared" ref="C197:F197" si="35">C182</f>
        <v>100</v>
      </c>
      <c r="D197" s="2031">
        <f t="shared" si="35"/>
        <v>250</v>
      </c>
      <c r="E197" s="2031">
        <f t="shared" si="35"/>
        <v>600</v>
      </c>
      <c r="F197" s="2031">
        <f t="shared" si="35"/>
        <v>900</v>
      </c>
      <c r="G197" s="240"/>
      <c r="L197" s="316">
        <v>69</v>
      </c>
      <c r="M197" s="1314">
        <v>21</v>
      </c>
    </row>
    <row r="198" spans="1:13">
      <c r="A198" s="235" t="s">
        <v>1994</v>
      </c>
      <c r="B198" s="236">
        <f t="shared" ref="B198:E208" si="36">ROUND($B183*(1-B$196),0)</f>
        <v>66</v>
      </c>
      <c r="C198" s="236">
        <f t="shared" si="36"/>
        <v>58</v>
      </c>
      <c r="D198" s="236">
        <f t="shared" si="36"/>
        <v>47</v>
      </c>
      <c r="E198" s="236">
        <f t="shared" si="36"/>
        <v>42</v>
      </c>
      <c r="F198" s="236">
        <f t="shared" ref="F198" si="37">ROUND($B183*(1-F$196),0)</f>
        <v>37</v>
      </c>
      <c r="G198" s="240"/>
      <c r="L198" s="316">
        <v>70</v>
      </c>
      <c r="M198" s="1314">
        <v>21</v>
      </c>
    </row>
    <row r="199" spans="1:13">
      <c r="A199" s="235" t="s">
        <v>1995</v>
      </c>
      <c r="B199" s="236">
        <f t="shared" si="36"/>
        <v>48</v>
      </c>
      <c r="C199" s="236">
        <f t="shared" si="36"/>
        <v>42</v>
      </c>
      <c r="D199" s="236">
        <f t="shared" si="36"/>
        <v>34</v>
      </c>
      <c r="E199" s="236">
        <f t="shared" si="36"/>
        <v>30</v>
      </c>
      <c r="F199" s="236">
        <f t="shared" ref="F199" si="38">ROUND($B184*(1-F$196),0)</f>
        <v>27</v>
      </c>
      <c r="G199" s="240"/>
      <c r="L199" s="316">
        <v>71</v>
      </c>
      <c r="M199" s="1314">
        <v>22</v>
      </c>
    </row>
    <row r="200" spans="1:13">
      <c r="A200" s="235" t="s">
        <v>1996</v>
      </c>
      <c r="B200" s="236">
        <f t="shared" si="36"/>
        <v>29</v>
      </c>
      <c r="C200" s="236">
        <f t="shared" si="36"/>
        <v>26</v>
      </c>
      <c r="D200" s="236">
        <f t="shared" si="36"/>
        <v>20</v>
      </c>
      <c r="E200" s="236">
        <f t="shared" si="36"/>
        <v>18</v>
      </c>
      <c r="F200" s="236">
        <f t="shared" ref="F200" si="39">ROUND($B185*(1-F$196),0)</f>
        <v>16</v>
      </c>
      <c r="G200" s="240"/>
      <c r="L200" s="316">
        <v>72</v>
      </c>
      <c r="M200" s="1314">
        <v>22</v>
      </c>
    </row>
    <row r="201" spans="1:13" ht="15">
      <c r="A201" s="956" t="s">
        <v>1081</v>
      </c>
      <c r="B201" s="236">
        <f t="shared" si="36"/>
        <v>22</v>
      </c>
      <c r="C201" s="236">
        <f t="shared" si="36"/>
        <v>19</v>
      </c>
      <c r="D201" s="236">
        <f t="shared" si="36"/>
        <v>15</v>
      </c>
      <c r="E201" s="236">
        <f t="shared" si="36"/>
        <v>14</v>
      </c>
      <c r="F201" s="236">
        <f t="shared" ref="F201" si="40">ROUND($B186*(1-F$196),0)</f>
        <v>12</v>
      </c>
      <c r="G201" s="240"/>
      <c r="L201" s="316">
        <v>73</v>
      </c>
      <c r="M201" s="1314">
        <v>22</v>
      </c>
    </row>
    <row r="202" spans="1:13" ht="15">
      <c r="A202" s="956" t="s">
        <v>1082</v>
      </c>
      <c r="B202" s="236">
        <f t="shared" si="36"/>
        <v>14</v>
      </c>
      <c r="C202" s="236">
        <f t="shared" si="36"/>
        <v>12</v>
      </c>
      <c r="D202" s="236">
        <f t="shared" si="36"/>
        <v>10</v>
      </c>
      <c r="E202" s="236">
        <f t="shared" si="36"/>
        <v>9</v>
      </c>
      <c r="F202" s="236">
        <f t="shared" ref="F202" si="41">ROUND($B187*(1-F$196),0)</f>
        <v>8</v>
      </c>
      <c r="G202" s="240"/>
      <c r="L202" s="316">
        <v>74</v>
      </c>
      <c r="M202" s="1314">
        <v>23</v>
      </c>
    </row>
    <row r="203" spans="1:13">
      <c r="A203" s="236" t="s">
        <v>383</v>
      </c>
      <c r="B203" s="236">
        <f t="shared" si="36"/>
        <v>27</v>
      </c>
      <c r="C203" s="236">
        <f t="shared" si="36"/>
        <v>24</v>
      </c>
      <c r="D203" s="236">
        <f t="shared" si="36"/>
        <v>19</v>
      </c>
      <c r="E203" s="236">
        <f t="shared" si="36"/>
        <v>17</v>
      </c>
      <c r="F203" s="236">
        <f t="shared" ref="F203" si="42">ROUND($B188*(1-F$196),0)</f>
        <v>15</v>
      </c>
      <c r="G203" s="240"/>
      <c r="L203" s="316">
        <v>75</v>
      </c>
      <c r="M203" s="1314">
        <v>23</v>
      </c>
    </row>
    <row r="204" spans="1:13">
      <c r="A204" s="235" t="s">
        <v>410</v>
      </c>
      <c r="B204" s="236">
        <f t="shared" si="36"/>
        <v>8</v>
      </c>
      <c r="C204" s="236">
        <f t="shared" si="36"/>
        <v>7</v>
      </c>
      <c r="D204" s="236">
        <f t="shared" si="36"/>
        <v>6</v>
      </c>
      <c r="E204" s="236">
        <f t="shared" si="36"/>
        <v>5</v>
      </c>
      <c r="F204" s="236">
        <f t="shared" ref="F204" si="43">ROUND($B189*(1-F$196),0)</f>
        <v>5</v>
      </c>
      <c r="G204" s="240"/>
      <c r="L204" s="316">
        <v>76</v>
      </c>
      <c r="M204" s="1314">
        <v>23</v>
      </c>
    </row>
    <row r="205" spans="1:13">
      <c r="A205" s="235" t="s">
        <v>412</v>
      </c>
      <c r="B205" s="236">
        <f t="shared" si="36"/>
        <v>5</v>
      </c>
      <c r="C205" s="236">
        <f t="shared" si="36"/>
        <v>5</v>
      </c>
      <c r="D205" s="236">
        <f t="shared" si="36"/>
        <v>4</v>
      </c>
      <c r="E205" s="236">
        <f t="shared" si="36"/>
        <v>3</v>
      </c>
      <c r="F205" s="236">
        <f t="shared" ref="F205" si="44">ROUND($B190*(1-F$196),0)</f>
        <v>3</v>
      </c>
      <c r="G205" s="240"/>
      <c r="L205" s="316">
        <v>77</v>
      </c>
      <c r="M205" s="1314">
        <v>24</v>
      </c>
    </row>
    <row r="206" spans="1:13">
      <c r="A206" s="235" t="s">
        <v>405</v>
      </c>
      <c r="B206" s="236">
        <f t="shared" si="36"/>
        <v>5</v>
      </c>
      <c r="C206" s="236">
        <f t="shared" si="36"/>
        <v>4</v>
      </c>
      <c r="D206" s="236">
        <f t="shared" si="36"/>
        <v>3</v>
      </c>
      <c r="E206" s="236">
        <f t="shared" si="36"/>
        <v>3</v>
      </c>
      <c r="F206" s="236">
        <f t="shared" ref="F206" si="45">ROUND($B191*(1-F$196),0)</f>
        <v>3</v>
      </c>
      <c r="G206" s="240"/>
      <c r="L206" s="316">
        <v>78</v>
      </c>
      <c r="M206" s="1314">
        <v>24</v>
      </c>
    </row>
    <row r="207" spans="1:13">
      <c r="A207" s="341" t="s">
        <v>385</v>
      </c>
      <c r="B207" s="333">
        <f t="shared" si="36"/>
        <v>5</v>
      </c>
      <c r="C207" s="333">
        <f t="shared" si="36"/>
        <v>4</v>
      </c>
      <c r="D207" s="333">
        <f t="shared" si="36"/>
        <v>3</v>
      </c>
      <c r="E207" s="333">
        <f t="shared" si="36"/>
        <v>3</v>
      </c>
      <c r="F207" s="333">
        <f t="shared" ref="F207" si="46">ROUND($B192*(1-F$196),0)</f>
        <v>3</v>
      </c>
      <c r="G207" s="240"/>
      <c r="L207" s="316">
        <v>79</v>
      </c>
      <c r="M207" s="1314">
        <v>24</v>
      </c>
    </row>
    <row r="208" spans="1:13">
      <c r="A208" s="341" t="s">
        <v>720</v>
      </c>
      <c r="B208" s="333">
        <f t="shared" si="36"/>
        <v>5</v>
      </c>
      <c r="C208" s="333">
        <f t="shared" si="36"/>
        <v>4</v>
      </c>
      <c r="D208" s="333">
        <f t="shared" si="36"/>
        <v>3</v>
      </c>
      <c r="E208" s="333">
        <f t="shared" si="36"/>
        <v>3</v>
      </c>
      <c r="F208" s="333">
        <f t="shared" ref="F208" si="47">ROUND($B193*(1-F$196),0)</f>
        <v>3</v>
      </c>
      <c r="G208" s="240"/>
      <c r="L208" s="316">
        <v>80</v>
      </c>
      <c r="M208" s="1314">
        <v>24</v>
      </c>
    </row>
    <row r="209" spans="1:13">
      <c r="A209" s="341" t="s">
        <v>719</v>
      </c>
      <c r="B209" s="342">
        <f>B207+B208</f>
        <v>10</v>
      </c>
      <c r="C209" s="342">
        <f>C207+C208</f>
        <v>8</v>
      </c>
      <c r="D209" s="342">
        <f>D207+D208</f>
        <v>6</v>
      </c>
      <c r="E209" s="342">
        <f>E207+E208</f>
        <v>6</v>
      </c>
      <c r="F209" s="342">
        <f>F207+F208</f>
        <v>6</v>
      </c>
      <c r="G209" s="240"/>
      <c r="L209" s="316">
        <v>81</v>
      </c>
      <c r="M209" s="1314">
        <v>25</v>
      </c>
    </row>
    <row r="210" spans="1:13">
      <c r="A210" s="250"/>
      <c r="B210" s="239"/>
      <c r="C210" s="239"/>
      <c r="D210" s="239"/>
      <c r="E210" s="239"/>
      <c r="F210" s="239"/>
      <c r="G210" s="240"/>
      <c r="L210" s="316">
        <v>82</v>
      </c>
      <c r="M210" s="1314">
        <v>25</v>
      </c>
    </row>
    <row r="211" spans="1:13">
      <c r="A211" s="1733" t="s">
        <v>824</v>
      </c>
      <c r="B211" s="1734">
        <v>0.12</v>
      </c>
      <c r="C211" s="1734">
        <f>$B$211+C181</f>
        <v>0.22</v>
      </c>
      <c r="D211" s="1734">
        <f>$B$211+D181</f>
        <v>0.38</v>
      </c>
      <c r="E211" s="1734">
        <f>$B$211+E181</f>
        <v>0.45</v>
      </c>
      <c r="F211" s="1734">
        <f>$B$211+F181</f>
        <v>0.52</v>
      </c>
      <c r="G211" s="1735" t="s">
        <v>1423</v>
      </c>
      <c r="L211" s="316">
        <v>83</v>
      </c>
      <c r="M211" s="1314">
        <v>25</v>
      </c>
    </row>
    <row r="212" spans="1:13">
      <c r="A212" s="1733"/>
      <c r="B212" s="1736">
        <v>0</v>
      </c>
      <c r="C212" s="1736">
        <v>100</v>
      </c>
      <c r="D212" s="1736">
        <v>300</v>
      </c>
      <c r="E212" s="1736">
        <v>600</v>
      </c>
      <c r="F212" s="1736">
        <v>900</v>
      </c>
      <c r="G212" s="1735"/>
      <c r="L212" s="316">
        <v>84</v>
      </c>
      <c r="M212" s="1314">
        <v>26</v>
      </c>
    </row>
    <row r="213" spans="1:13">
      <c r="A213" s="1737" t="s">
        <v>1994</v>
      </c>
      <c r="B213" s="1738">
        <f t="shared" ref="B213:E223" si="48">ROUND($B183*(1-B$211),0)</f>
        <v>64</v>
      </c>
      <c r="C213" s="1738">
        <f t="shared" si="48"/>
        <v>57</v>
      </c>
      <c r="D213" s="1738">
        <f t="shared" si="48"/>
        <v>45</v>
      </c>
      <c r="E213" s="1738">
        <f t="shared" si="48"/>
        <v>40</v>
      </c>
      <c r="F213" s="1738">
        <f t="shared" ref="F213" si="49">ROUND($B183*(1-F$211),0)</f>
        <v>35</v>
      </c>
      <c r="G213" s="1735"/>
      <c r="L213" s="316">
        <v>85</v>
      </c>
      <c r="M213" s="1314">
        <v>26</v>
      </c>
    </row>
    <row r="214" spans="1:13">
      <c r="A214" s="1737" t="s">
        <v>1995</v>
      </c>
      <c r="B214" s="1738">
        <f t="shared" si="48"/>
        <v>47</v>
      </c>
      <c r="C214" s="1738">
        <f t="shared" si="48"/>
        <v>41</v>
      </c>
      <c r="D214" s="1738">
        <f t="shared" si="48"/>
        <v>33</v>
      </c>
      <c r="E214" s="1738">
        <f t="shared" si="48"/>
        <v>29</v>
      </c>
      <c r="F214" s="1738">
        <f t="shared" ref="F214" si="50">ROUND($B184*(1-F$211),0)</f>
        <v>25</v>
      </c>
      <c r="G214" s="1735"/>
      <c r="L214" s="316">
        <v>86</v>
      </c>
      <c r="M214" s="1314">
        <v>26</v>
      </c>
    </row>
    <row r="215" spans="1:13">
      <c r="A215" s="1737" t="s">
        <v>1996</v>
      </c>
      <c r="B215" s="1738">
        <f t="shared" si="48"/>
        <v>28</v>
      </c>
      <c r="C215" s="1738">
        <f t="shared" si="48"/>
        <v>25</v>
      </c>
      <c r="D215" s="1738">
        <f t="shared" si="48"/>
        <v>20</v>
      </c>
      <c r="E215" s="1738">
        <f t="shared" si="48"/>
        <v>18</v>
      </c>
      <c r="F215" s="1738">
        <f t="shared" ref="F215" si="51">ROUND($B185*(1-F$211),0)</f>
        <v>15</v>
      </c>
      <c r="G215" s="1735"/>
      <c r="L215" s="316">
        <v>87</v>
      </c>
      <c r="M215" s="1314">
        <v>27</v>
      </c>
    </row>
    <row r="216" spans="1:13" ht="15">
      <c r="A216" s="1739" t="s">
        <v>1081</v>
      </c>
      <c r="B216" s="1738">
        <f t="shared" si="48"/>
        <v>21</v>
      </c>
      <c r="C216" s="1738">
        <f t="shared" si="48"/>
        <v>19</v>
      </c>
      <c r="D216" s="1738">
        <f t="shared" si="48"/>
        <v>15</v>
      </c>
      <c r="E216" s="1738">
        <f t="shared" si="48"/>
        <v>13</v>
      </c>
      <c r="F216" s="1738">
        <f t="shared" ref="F216" si="52">ROUND($B186*(1-F$211),0)</f>
        <v>12</v>
      </c>
      <c r="G216" s="1735"/>
      <c r="L216" s="316">
        <v>88</v>
      </c>
      <c r="M216" s="1314">
        <v>27</v>
      </c>
    </row>
    <row r="217" spans="1:13" ht="15">
      <c r="A217" s="1739" t="s">
        <v>1082</v>
      </c>
      <c r="B217" s="1738">
        <f t="shared" si="48"/>
        <v>13</v>
      </c>
      <c r="C217" s="1738">
        <f t="shared" si="48"/>
        <v>12</v>
      </c>
      <c r="D217" s="1738">
        <f t="shared" si="48"/>
        <v>9</v>
      </c>
      <c r="E217" s="1738">
        <f t="shared" si="48"/>
        <v>8</v>
      </c>
      <c r="F217" s="1738">
        <f t="shared" ref="F217" si="53">ROUND($B187*(1-F$211),0)</f>
        <v>7</v>
      </c>
      <c r="G217" s="1735"/>
      <c r="L217" s="316">
        <v>89</v>
      </c>
      <c r="M217" s="1314">
        <v>27</v>
      </c>
    </row>
    <row r="218" spans="1:13">
      <c r="A218" s="1738" t="s">
        <v>383</v>
      </c>
      <c r="B218" s="1738">
        <f t="shared" si="48"/>
        <v>26</v>
      </c>
      <c r="C218" s="1738">
        <f t="shared" si="48"/>
        <v>23</v>
      </c>
      <c r="D218" s="1738">
        <f t="shared" si="48"/>
        <v>19</v>
      </c>
      <c r="E218" s="1738">
        <f t="shared" si="48"/>
        <v>17</v>
      </c>
      <c r="F218" s="1738">
        <f t="shared" ref="F218" si="54">ROUND($B188*(1-F$211),0)</f>
        <v>14</v>
      </c>
      <c r="G218" s="1735"/>
      <c r="L218" s="316">
        <v>90</v>
      </c>
      <c r="M218" s="1314">
        <v>27</v>
      </c>
    </row>
    <row r="219" spans="1:13">
      <c r="A219" s="1737" t="s">
        <v>410</v>
      </c>
      <c r="B219" s="1738">
        <f t="shared" si="48"/>
        <v>8</v>
      </c>
      <c r="C219" s="1738">
        <f t="shared" si="48"/>
        <v>7</v>
      </c>
      <c r="D219" s="1738">
        <f t="shared" si="48"/>
        <v>6</v>
      </c>
      <c r="E219" s="1738">
        <f t="shared" si="48"/>
        <v>5</v>
      </c>
      <c r="F219" s="1738">
        <f t="shared" ref="F219" si="55">ROUND($B189*(1-F$211),0)</f>
        <v>4</v>
      </c>
      <c r="G219" s="1735"/>
      <c r="L219" s="316">
        <v>91</v>
      </c>
      <c r="M219" s="1314">
        <v>28</v>
      </c>
    </row>
    <row r="220" spans="1:13">
      <c r="A220" s="1737" t="s">
        <v>412</v>
      </c>
      <c r="B220" s="1738">
        <f t="shared" si="48"/>
        <v>5</v>
      </c>
      <c r="C220" s="1738">
        <f t="shared" si="48"/>
        <v>5</v>
      </c>
      <c r="D220" s="1738">
        <f t="shared" si="48"/>
        <v>4</v>
      </c>
      <c r="E220" s="1738">
        <f t="shared" si="48"/>
        <v>3</v>
      </c>
      <c r="F220" s="1738">
        <f t="shared" ref="F220" si="56">ROUND($B190*(1-F$211),0)</f>
        <v>3</v>
      </c>
      <c r="G220" s="1735"/>
      <c r="L220" s="316">
        <v>92</v>
      </c>
      <c r="M220" s="1314">
        <v>28</v>
      </c>
    </row>
    <row r="221" spans="1:13">
      <c r="A221" s="1737" t="s">
        <v>405</v>
      </c>
      <c r="B221" s="1738">
        <f t="shared" si="48"/>
        <v>4</v>
      </c>
      <c r="C221" s="1738">
        <f t="shared" si="48"/>
        <v>4</v>
      </c>
      <c r="D221" s="1738">
        <f t="shared" si="48"/>
        <v>3</v>
      </c>
      <c r="E221" s="1738">
        <f t="shared" si="48"/>
        <v>3</v>
      </c>
      <c r="F221" s="1738">
        <f t="shared" ref="F221" si="57">ROUND($B191*(1-F$211),0)</f>
        <v>2</v>
      </c>
      <c r="G221" s="1735"/>
      <c r="L221" s="316">
        <v>93</v>
      </c>
      <c r="M221" s="1314">
        <v>28</v>
      </c>
    </row>
    <row r="222" spans="1:13">
      <c r="A222" s="1701" t="s">
        <v>385</v>
      </c>
      <c r="B222" s="1738">
        <f t="shared" si="48"/>
        <v>4</v>
      </c>
      <c r="C222" s="1738">
        <f t="shared" si="48"/>
        <v>4</v>
      </c>
      <c r="D222" s="1738">
        <f t="shared" si="48"/>
        <v>3</v>
      </c>
      <c r="E222" s="1738">
        <f t="shared" si="48"/>
        <v>3</v>
      </c>
      <c r="F222" s="1738">
        <f t="shared" ref="F222" si="58">ROUND($B192*(1-F$211),0)</f>
        <v>2</v>
      </c>
      <c r="G222" s="1735"/>
      <c r="L222" s="316">
        <v>94</v>
      </c>
      <c r="M222" s="1314">
        <v>29</v>
      </c>
    </row>
    <row r="223" spans="1:13">
      <c r="A223" s="1701" t="s">
        <v>720</v>
      </c>
      <c r="B223" s="1738">
        <f t="shared" si="48"/>
        <v>4</v>
      </c>
      <c r="C223" s="1738">
        <f t="shared" si="48"/>
        <v>4</v>
      </c>
      <c r="D223" s="1738">
        <f t="shared" si="48"/>
        <v>3</v>
      </c>
      <c r="E223" s="1738">
        <f t="shared" si="48"/>
        <v>3</v>
      </c>
      <c r="F223" s="1738">
        <f t="shared" ref="F223" si="59">ROUND($B193*(1-F$211),0)</f>
        <v>2</v>
      </c>
      <c r="G223" s="1735"/>
      <c r="L223" s="316">
        <v>95</v>
      </c>
      <c r="M223" s="1314">
        <v>29</v>
      </c>
    </row>
    <row r="224" spans="1:13">
      <c r="A224" s="1701" t="s">
        <v>719</v>
      </c>
      <c r="B224" s="1736">
        <f>B222+B223</f>
        <v>8</v>
      </c>
      <c r="C224" s="1736">
        <f>C222+C223</f>
        <v>8</v>
      </c>
      <c r="D224" s="1736">
        <f>D222+D223</f>
        <v>6</v>
      </c>
      <c r="E224" s="1736">
        <f>E222+E223</f>
        <v>6</v>
      </c>
      <c r="F224" s="1736">
        <f>F222+F223</f>
        <v>4</v>
      </c>
      <c r="G224" s="1735"/>
      <c r="L224" s="316">
        <v>96</v>
      </c>
      <c r="M224" s="1314">
        <v>29</v>
      </c>
    </row>
    <row r="225" spans="1:13">
      <c r="A225" s="1733"/>
      <c r="B225" s="1289"/>
      <c r="C225" s="1289"/>
      <c r="D225" s="1289"/>
      <c r="E225" s="1289"/>
      <c r="F225" s="1289"/>
      <c r="G225" s="1735"/>
      <c r="L225" s="316">
        <v>97</v>
      </c>
      <c r="M225" s="1314">
        <v>30</v>
      </c>
    </row>
    <row r="226" spans="1:13">
      <c r="A226" s="1733" t="s">
        <v>878</v>
      </c>
      <c r="B226" s="1734">
        <v>0.16</v>
      </c>
      <c r="C226" s="1734">
        <f>$B$226+C181</f>
        <v>0.26</v>
      </c>
      <c r="D226" s="1734">
        <f>$B$226+D181</f>
        <v>0.42000000000000004</v>
      </c>
      <c r="E226" s="1734">
        <f>$B$226+E181</f>
        <v>0.49</v>
      </c>
      <c r="F226" s="1734">
        <f>$B$226+F181</f>
        <v>0.56000000000000005</v>
      </c>
      <c r="G226" s="1735"/>
      <c r="L226" s="316">
        <v>98</v>
      </c>
      <c r="M226" s="1314">
        <v>30</v>
      </c>
    </row>
    <row r="227" spans="1:13">
      <c r="A227" s="1733"/>
      <c r="B227" s="1736">
        <v>0</v>
      </c>
      <c r="C227" s="1736">
        <v>100</v>
      </c>
      <c r="D227" s="1736">
        <v>300</v>
      </c>
      <c r="E227" s="1736">
        <v>600</v>
      </c>
      <c r="F227" s="1736">
        <v>900</v>
      </c>
      <c r="G227" s="1735"/>
      <c r="L227" s="316">
        <v>99</v>
      </c>
      <c r="M227" s="1314">
        <v>30</v>
      </c>
    </row>
    <row r="228" spans="1:13">
      <c r="A228" s="1737" t="s">
        <v>1994</v>
      </c>
      <c r="B228" s="1738">
        <f t="shared" ref="B228:E238" si="60">ROUND($B183*(1-B$226),0)</f>
        <v>61</v>
      </c>
      <c r="C228" s="1738">
        <f t="shared" si="60"/>
        <v>54</v>
      </c>
      <c r="D228" s="1738">
        <f t="shared" si="60"/>
        <v>42</v>
      </c>
      <c r="E228" s="1738">
        <f t="shared" si="60"/>
        <v>37</v>
      </c>
      <c r="F228" s="1738">
        <f t="shared" ref="F228" si="61">ROUND($B183*(1-F$226),0)</f>
        <v>32</v>
      </c>
      <c r="G228" s="1735"/>
      <c r="L228" s="316">
        <v>100</v>
      </c>
      <c r="M228" s="1314">
        <v>30</v>
      </c>
    </row>
    <row r="229" spans="1:13">
      <c r="A229" s="1737" t="s">
        <v>1995</v>
      </c>
      <c r="B229" s="1738">
        <f t="shared" si="60"/>
        <v>45</v>
      </c>
      <c r="C229" s="1738">
        <f t="shared" si="60"/>
        <v>39</v>
      </c>
      <c r="D229" s="1738">
        <f t="shared" si="60"/>
        <v>31</v>
      </c>
      <c r="E229" s="1738">
        <f t="shared" si="60"/>
        <v>27</v>
      </c>
      <c r="F229" s="1738">
        <f t="shared" ref="F229" si="62">ROUND($B184*(1-F$226),0)</f>
        <v>23</v>
      </c>
      <c r="G229" s="1735"/>
      <c r="L229" s="316">
        <v>101</v>
      </c>
      <c r="M229" s="1314">
        <v>31</v>
      </c>
    </row>
    <row r="230" spans="1:13">
      <c r="A230" s="1737" t="s">
        <v>1996</v>
      </c>
      <c r="B230" s="1738">
        <f t="shared" si="60"/>
        <v>27</v>
      </c>
      <c r="C230" s="1738">
        <f t="shared" si="60"/>
        <v>24</v>
      </c>
      <c r="D230" s="1738">
        <f t="shared" si="60"/>
        <v>19</v>
      </c>
      <c r="E230" s="1738">
        <f t="shared" si="60"/>
        <v>16</v>
      </c>
      <c r="F230" s="1738">
        <f t="shared" ref="F230" si="63">ROUND($B185*(1-F$226),0)</f>
        <v>14</v>
      </c>
      <c r="G230" s="1735"/>
      <c r="L230" s="316">
        <v>102</v>
      </c>
      <c r="M230" s="1314">
        <v>31</v>
      </c>
    </row>
    <row r="231" spans="1:13" ht="15">
      <c r="A231" s="1739" t="s">
        <v>1081</v>
      </c>
      <c r="B231" s="1738">
        <f t="shared" si="60"/>
        <v>20</v>
      </c>
      <c r="C231" s="1738">
        <f t="shared" si="60"/>
        <v>18</v>
      </c>
      <c r="D231" s="1738">
        <f t="shared" si="60"/>
        <v>14</v>
      </c>
      <c r="E231" s="1738">
        <f t="shared" si="60"/>
        <v>12</v>
      </c>
      <c r="F231" s="1738">
        <f t="shared" ref="F231" si="64">ROUND($B186*(1-F$226),0)</f>
        <v>11</v>
      </c>
      <c r="G231" s="1735"/>
      <c r="L231" s="316">
        <v>103</v>
      </c>
      <c r="M231" s="1314">
        <v>31</v>
      </c>
    </row>
    <row r="232" spans="1:13" ht="15">
      <c r="A232" s="1739" t="s">
        <v>1082</v>
      </c>
      <c r="B232" s="1738">
        <f t="shared" si="60"/>
        <v>13</v>
      </c>
      <c r="C232" s="1738">
        <f t="shared" si="60"/>
        <v>11</v>
      </c>
      <c r="D232" s="1738">
        <f t="shared" si="60"/>
        <v>9</v>
      </c>
      <c r="E232" s="1738">
        <f t="shared" si="60"/>
        <v>8</v>
      </c>
      <c r="F232" s="1738">
        <f t="shared" ref="F232" si="65">ROUND($B187*(1-F$226),0)</f>
        <v>7</v>
      </c>
      <c r="G232" s="1735"/>
      <c r="L232" s="316">
        <v>104</v>
      </c>
      <c r="M232" s="1314">
        <v>32</v>
      </c>
    </row>
    <row r="233" spans="1:13">
      <c r="A233" s="1738" t="s">
        <v>383</v>
      </c>
      <c r="B233" s="1738">
        <f t="shared" si="60"/>
        <v>25</v>
      </c>
      <c r="C233" s="1738">
        <f t="shared" si="60"/>
        <v>22</v>
      </c>
      <c r="D233" s="1738">
        <f t="shared" si="60"/>
        <v>17</v>
      </c>
      <c r="E233" s="1738">
        <f t="shared" si="60"/>
        <v>15</v>
      </c>
      <c r="F233" s="1738">
        <f t="shared" ref="F233" si="66">ROUND($B188*(1-F$226),0)</f>
        <v>13</v>
      </c>
      <c r="G233" s="1735"/>
      <c r="L233" s="316">
        <v>105</v>
      </c>
      <c r="M233" s="1314">
        <v>32</v>
      </c>
    </row>
    <row r="234" spans="1:13">
      <c r="A234" s="1737" t="s">
        <v>410</v>
      </c>
      <c r="B234" s="1738">
        <f t="shared" si="60"/>
        <v>8</v>
      </c>
      <c r="C234" s="1738">
        <f t="shared" si="60"/>
        <v>7</v>
      </c>
      <c r="D234" s="1738">
        <f t="shared" si="60"/>
        <v>5</v>
      </c>
      <c r="E234" s="1738">
        <f t="shared" si="60"/>
        <v>5</v>
      </c>
      <c r="F234" s="1738">
        <f t="shared" ref="F234" si="67">ROUND($B189*(1-F$226),0)</f>
        <v>4</v>
      </c>
      <c r="G234" s="1735"/>
      <c r="L234" s="316">
        <v>106</v>
      </c>
      <c r="M234" s="1314">
        <v>32</v>
      </c>
    </row>
    <row r="235" spans="1:13">
      <c r="A235" s="1737" t="s">
        <v>412</v>
      </c>
      <c r="B235" s="1738">
        <f t="shared" si="60"/>
        <v>5</v>
      </c>
      <c r="C235" s="1738">
        <f t="shared" si="60"/>
        <v>4</v>
      </c>
      <c r="D235" s="1738">
        <f t="shared" si="60"/>
        <v>3</v>
      </c>
      <c r="E235" s="1738">
        <f t="shared" si="60"/>
        <v>3</v>
      </c>
      <c r="F235" s="1738">
        <f t="shared" ref="F235" si="68">ROUND($B190*(1-F$226),0)</f>
        <v>3</v>
      </c>
      <c r="G235" s="1735"/>
      <c r="L235" s="316">
        <v>107</v>
      </c>
      <c r="M235" s="1314">
        <v>33</v>
      </c>
    </row>
    <row r="236" spans="1:13">
      <c r="A236" s="1737" t="s">
        <v>405</v>
      </c>
      <c r="B236" s="1738">
        <f t="shared" si="60"/>
        <v>4</v>
      </c>
      <c r="C236" s="1738">
        <f t="shared" si="60"/>
        <v>4</v>
      </c>
      <c r="D236" s="1738">
        <f t="shared" si="60"/>
        <v>3</v>
      </c>
      <c r="E236" s="1738">
        <f t="shared" si="60"/>
        <v>3</v>
      </c>
      <c r="F236" s="1738">
        <f t="shared" ref="F236" si="69">ROUND($B191*(1-F$226),0)</f>
        <v>2</v>
      </c>
      <c r="G236" s="1735"/>
      <c r="L236" s="316">
        <v>108</v>
      </c>
      <c r="M236" s="1314">
        <v>33</v>
      </c>
    </row>
    <row r="237" spans="1:13">
      <c r="A237" s="1701" t="s">
        <v>385</v>
      </c>
      <c r="B237" s="1738">
        <f t="shared" si="60"/>
        <v>4</v>
      </c>
      <c r="C237" s="1738">
        <f t="shared" si="60"/>
        <v>4</v>
      </c>
      <c r="D237" s="1738">
        <f t="shared" si="60"/>
        <v>3</v>
      </c>
      <c r="E237" s="1738">
        <f t="shared" si="60"/>
        <v>3</v>
      </c>
      <c r="F237" s="1738">
        <f t="shared" ref="F237" si="70">ROUND($B192*(1-F$226),0)</f>
        <v>2</v>
      </c>
      <c r="G237" s="1735"/>
      <c r="L237" s="316">
        <v>109</v>
      </c>
      <c r="M237" s="1314">
        <v>33</v>
      </c>
    </row>
    <row r="238" spans="1:13">
      <c r="A238" s="1701" t="s">
        <v>720</v>
      </c>
      <c r="B238" s="1738">
        <f t="shared" si="60"/>
        <v>4</v>
      </c>
      <c r="C238" s="1738">
        <f t="shared" si="60"/>
        <v>4</v>
      </c>
      <c r="D238" s="1738">
        <f t="shared" si="60"/>
        <v>3</v>
      </c>
      <c r="E238" s="1738">
        <f t="shared" si="60"/>
        <v>3</v>
      </c>
      <c r="F238" s="1738">
        <f t="shared" ref="F238" si="71">ROUND($B193*(1-F$226),0)</f>
        <v>2</v>
      </c>
      <c r="G238" s="1735"/>
      <c r="L238" s="316">
        <v>110</v>
      </c>
      <c r="M238" s="1314">
        <v>33</v>
      </c>
    </row>
    <row r="239" spans="1:13">
      <c r="A239" s="1701" t="s">
        <v>719</v>
      </c>
      <c r="B239" s="1736">
        <f>B237+B238</f>
        <v>8</v>
      </c>
      <c r="C239" s="1736">
        <f>C237+C238</f>
        <v>8</v>
      </c>
      <c r="D239" s="1736">
        <f>D237+D238</f>
        <v>6</v>
      </c>
      <c r="E239" s="1736">
        <f>E237+E238</f>
        <v>6</v>
      </c>
      <c r="F239" s="1736">
        <f>F237+F238</f>
        <v>4</v>
      </c>
      <c r="G239" s="1735"/>
      <c r="L239" s="316">
        <v>111</v>
      </c>
      <c r="M239" s="1314">
        <v>34</v>
      </c>
    </row>
    <row r="240" spans="1:13">
      <c r="A240" s="250"/>
      <c r="B240" s="239"/>
      <c r="C240" s="239"/>
      <c r="D240" s="239"/>
      <c r="E240" s="239"/>
      <c r="F240" s="239"/>
      <c r="G240" s="240"/>
      <c r="L240" s="316">
        <v>112</v>
      </c>
      <c r="M240" s="1314">
        <v>34</v>
      </c>
    </row>
    <row r="241" spans="1:13">
      <c r="A241" s="250"/>
      <c r="B241" s="239"/>
      <c r="C241" s="239"/>
      <c r="D241" s="239"/>
      <c r="E241" s="239"/>
      <c r="F241" s="239"/>
      <c r="G241" s="240"/>
      <c r="L241" s="316">
        <v>113</v>
      </c>
      <c r="M241" s="1314">
        <v>34</v>
      </c>
    </row>
    <row r="242" spans="1:13">
      <c r="A242" s="250"/>
      <c r="B242" s="239"/>
      <c r="C242" s="239"/>
      <c r="D242" s="239"/>
      <c r="E242" s="239"/>
      <c r="F242" s="239"/>
      <c r="G242" s="240"/>
      <c r="L242" s="316">
        <v>114</v>
      </c>
      <c r="M242" s="1314">
        <v>35</v>
      </c>
    </row>
    <row r="243" spans="1:13">
      <c r="A243" s="343" t="s">
        <v>18</v>
      </c>
      <c r="B243" s="344"/>
      <c r="C243" s="353" t="s">
        <v>828</v>
      </c>
      <c r="D243" s="344"/>
      <c r="E243" s="2"/>
      <c r="F243" s="239"/>
      <c r="G243" s="240"/>
      <c r="L243" s="316">
        <v>115</v>
      </c>
      <c r="M243" s="1314">
        <v>35</v>
      </c>
    </row>
    <row r="244" spans="1:13">
      <c r="A244" s="345" t="s">
        <v>19</v>
      </c>
      <c r="B244" s="2"/>
      <c r="C244" s="2"/>
      <c r="D244" s="2"/>
      <c r="E244" s="346"/>
      <c r="F244" s="239"/>
      <c r="G244" s="240"/>
      <c r="L244" s="316">
        <v>116</v>
      </c>
      <c r="M244" s="1314">
        <v>35</v>
      </c>
    </row>
    <row r="245" spans="1:13">
      <c r="A245" s="347" t="s">
        <v>827</v>
      </c>
      <c r="B245" s="2"/>
      <c r="C245" s="348">
        <v>200</v>
      </c>
      <c r="D245" s="239"/>
      <c r="E245" s="346"/>
      <c r="F245" s="239"/>
      <c r="G245" s="240"/>
      <c r="L245" s="316">
        <v>117</v>
      </c>
      <c r="M245" s="1314">
        <v>36</v>
      </c>
    </row>
    <row r="246" spans="1:13">
      <c r="A246" s="345" t="s">
        <v>21</v>
      </c>
      <c r="B246" s="2"/>
      <c r="C246" s="348">
        <v>600</v>
      </c>
      <c r="D246" s="239"/>
      <c r="E246" s="346"/>
      <c r="F246" s="239"/>
      <c r="G246" s="240"/>
      <c r="L246" s="316">
        <v>118</v>
      </c>
      <c r="M246" s="1314">
        <v>36</v>
      </c>
    </row>
    <row r="247" spans="1:13">
      <c r="A247" s="345" t="s">
        <v>22</v>
      </c>
      <c r="B247" s="2"/>
      <c r="C247" s="349">
        <v>0.3</v>
      </c>
      <c r="D247" s="239"/>
      <c r="E247" s="346"/>
      <c r="F247" s="239"/>
      <c r="G247" s="240"/>
      <c r="L247" s="316">
        <v>119</v>
      </c>
      <c r="M247" s="1314">
        <v>36</v>
      </c>
    </row>
    <row r="248" spans="1:13">
      <c r="A248" s="345" t="s">
        <v>31</v>
      </c>
      <c r="B248" s="2"/>
      <c r="C248" s="350">
        <v>15</v>
      </c>
      <c r="D248" s="239"/>
      <c r="E248" s="2"/>
      <c r="F248" s="239"/>
      <c r="G248" s="240"/>
      <c r="L248" s="316">
        <v>120</v>
      </c>
      <c r="M248" s="1314">
        <v>36</v>
      </c>
    </row>
    <row r="249" spans="1:13">
      <c r="A249" s="343" t="s">
        <v>23</v>
      </c>
      <c r="B249" s="344"/>
      <c r="C249" s="353" t="s">
        <v>26</v>
      </c>
      <c r="D249" s="351" t="s">
        <v>25</v>
      </c>
      <c r="E249" s="239"/>
      <c r="F249" s="239"/>
      <c r="G249" s="240"/>
      <c r="L249" s="316">
        <v>121</v>
      </c>
      <c r="M249" s="1314">
        <v>37</v>
      </c>
    </row>
    <row r="250" spans="1:13">
      <c r="A250" s="347" t="s">
        <v>827</v>
      </c>
      <c r="B250" s="2"/>
      <c r="C250" s="348">
        <f>ITL_roam!K15</f>
        <v>0</v>
      </c>
      <c r="D250" s="348">
        <f>IF(C250&gt;C245,1,0)</f>
        <v>0</v>
      </c>
      <c r="E250" s="352"/>
      <c r="F250" s="239"/>
      <c r="G250" s="240"/>
      <c r="L250" s="316">
        <v>122</v>
      </c>
      <c r="M250" s="1314">
        <v>37</v>
      </c>
    </row>
    <row r="251" spans="1:13">
      <c r="A251" s="345" t="s">
        <v>29</v>
      </c>
      <c r="B251" s="2"/>
      <c r="C251" s="348">
        <f>IF(Perfiles_usuario!D17="Preaprobadas",Perfiles_usuario!AH82,0)</f>
        <v>0</v>
      </c>
      <c r="D251" s="348">
        <f>IF(C251&gt;C246,1,0)</f>
        <v>0</v>
      </c>
      <c r="E251" s="352"/>
      <c r="F251" s="239"/>
      <c r="G251" s="240"/>
      <c r="L251" s="316">
        <v>123</v>
      </c>
      <c r="M251" s="1314">
        <v>37</v>
      </c>
    </row>
    <row r="252" spans="1:13">
      <c r="A252" s="345" t="s">
        <v>27</v>
      </c>
      <c r="B252" s="2"/>
      <c r="C252" s="349" t="e">
        <f>C250/C251</f>
        <v>#DIV/0!</v>
      </c>
      <c r="D252" s="348" t="e">
        <f>IF(C252&gt;C247,1,0)</f>
        <v>#DIV/0!</v>
      </c>
      <c r="E252" s="352"/>
      <c r="F252" s="239"/>
      <c r="G252" s="240"/>
      <c r="L252" s="316">
        <v>124</v>
      </c>
      <c r="M252" s="1314">
        <v>38</v>
      </c>
    </row>
    <row r="253" spans="1:13">
      <c r="A253" s="345" t="s">
        <v>30</v>
      </c>
      <c r="B253" s="2"/>
      <c r="C253" s="350">
        <f>F3+F4</f>
        <v>5</v>
      </c>
      <c r="D253" s="348">
        <f>IF(C253&gt;C248,1,0)</f>
        <v>0</v>
      </c>
      <c r="E253" s="352"/>
      <c r="F253" s="239"/>
      <c r="G253" s="240"/>
      <c r="L253" s="316">
        <v>125</v>
      </c>
      <c r="M253" s="1314">
        <v>38</v>
      </c>
    </row>
    <row r="254" spans="1:13">
      <c r="A254" s="345" t="s">
        <v>28</v>
      </c>
      <c r="B254" s="2"/>
      <c r="C254" s="2"/>
      <c r="D254" s="350">
        <f>IF(ISERROR(D250*D251*D252*D253),0,IF(D250*D251*D252*D253=1,1,0))</f>
        <v>0</v>
      </c>
      <c r="E254" s="2"/>
      <c r="F254" s="239"/>
      <c r="G254" s="240"/>
      <c r="L254" s="316">
        <v>126</v>
      </c>
      <c r="M254" s="1314">
        <v>38</v>
      </c>
    </row>
    <row r="255" spans="1:13">
      <c r="A255" s="250"/>
      <c r="B255" s="239"/>
      <c r="C255" s="239"/>
      <c r="D255" s="239"/>
      <c r="E255" s="239"/>
      <c r="F255" s="239"/>
      <c r="G255" s="240"/>
      <c r="L255" s="316">
        <v>127</v>
      </c>
      <c r="M255" s="1314">
        <v>39</v>
      </c>
    </row>
    <row r="256" spans="1:13">
      <c r="A256" s="250"/>
      <c r="B256" s="2234" t="s">
        <v>1234</v>
      </c>
      <c r="C256" s="2234"/>
      <c r="D256" s="2234"/>
      <c r="E256" s="2234"/>
      <c r="F256" s="239"/>
      <c r="G256" s="240"/>
      <c r="L256" s="316">
        <v>128</v>
      </c>
      <c r="M256" s="1314">
        <v>39</v>
      </c>
    </row>
    <row r="257" spans="1:13">
      <c r="A257" s="239"/>
      <c r="B257" s="356">
        <v>9</v>
      </c>
      <c r="C257" s="356">
        <v>14</v>
      </c>
      <c r="D257" s="356">
        <v>49</v>
      </c>
      <c r="E257" s="356">
        <v>300000000</v>
      </c>
      <c r="F257" s="239"/>
      <c r="G257" s="240"/>
      <c r="L257" s="316">
        <v>129</v>
      </c>
      <c r="M257" s="1314">
        <v>39</v>
      </c>
    </row>
    <row r="258" spans="1:13" ht="15">
      <c r="A258" s="1263" t="s">
        <v>759</v>
      </c>
      <c r="B258" s="355">
        <v>35</v>
      </c>
      <c r="C258" s="359">
        <v>24.5</v>
      </c>
      <c r="D258" s="359">
        <v>23</v>
      </c>
      <c r="E258" s="359">
        <v>19</v>
      </c>
      <c r="F258" s="239"/>
      <c r="G258" s="240"/>
      <c r="L258" s="316">
        <v>130</v>
      </c>
      <c r="M258" s="1314">
        <v>39</v>
      </c>
    </row>
    <row r="259" spans="1:13" ht="15">
      <c r="A259" s="1263" t="s">
        <v>1213</v>
      </c>
      <c r="B259" s="953">
        <f>L10</f>
        <v>20.619834710743802</v>
      </c>
      <c r="C259" s="359">
        <v>16.5</v>
      </c>
      <c r="D259" s="359">
        <v>15</v>
      </c>
      <c r="E259" s="359">
        <v>13</v>
      </c>
      <c r="F259" s="239"/>
      <c r="G259" s="240"/>
      <c r="L259" s="316">
        <v>131</v>
      </c>
      <c r="M259" s="1314">
        <v>40</v>
      </c>
    </row>
    <row r="260" spans="1:13">
      <c r="A260" s="950" t="s">
        <v>757</v>
      </c>
      <c r="B260" s="951">
        <v>19</v>
      </c>
      <c r="C260" s="952">
        <v>15</v>
      </c>
      <c r="D260" s="952">
        <v>14</v>
      </c>
      <c r="E260" s="952">
        <v>12.5</v>
      </c>
      <c r="F260" s="239"/>
      <c r="G260" s="240"/>
      <c r="L260" s="316">
        <v>132</v>
      </c>
      <c r="M260" s="1314">
        <v>40</v>
      </c>
    </row>
    <row r="261" spans="1:13" ht="15">
      <c r="A261" s="1263" t="s">
        <v>1867</v>
      </c>
      <c r="B261" s="1831">
        <v>7.35</v>
      </c>
      <c r="C261" s="1832">
        <v>7.35</v>
      </c>
      <c r="D261" s="1832">
        <v>7</v>
      </c>
      <c r="E261" s="1832">
        <v>6.5</v>
      </c>
      <c r="F261" s="239"/>
      <c r="G261" s="240"/>
      <c r="L261" s="316">
        <v>133</v>
      </c>
      <c r="M261" s="1314">
        <v>40</v>
      </c>
    </row>
    <row r="262" spans="1:13" ht="15.75">
      <c r="A262" s="1263" t="s">
        <v>1079</v>
      </c>
      <c r="B262" s="360">
        <f>L13</f>
        <v>33.016528925619838</v>
      </c>
      <c r="C262" s="360">
        <f>B262</f>
        <v>33.016528925619838</v>
      </c>
      <c r="D262" s="360">
        <f>B262</f>
        <v>33.016528925619838</v>
      </c>
      <c r="E262" s="360">
        <f>B262</f>
        <v>33.016528925619838</v>
      </c>
      <c r="F262" s="955">
        <f>2*E262</f>
        <v>66.033057851239676</v>
      </c>
      <c r="G262" s="240"/>
      <c r="L262" s="316">
        <v>134</v>
      </c>
      <c r="M262" s="1314">
        <v>41</v>
      </c>
    </row>
    <row r="263" spans="1:13" ht="15.75">
      <c r="A263" s="1263" t="s">
        <v>1078</v>
      </c>
      <c r="B263" s="949">
        <f>L14</f>
        <v>53.63636363636364</v>
      </c>
      <c r="C263" s="949">
        <f>B263</f>
        <v>53.63636363636364</v>
      </c>
      <c r="D263" s="949">
        <f>B263</f>
        <v>53.63636363636364</v>
      </c>
      <c r="E263" s="949">
        <f>B263</f>
        <v>53.63636363636364</v>
      </c>
      <c r="F263" s="955">
        <f>2*E263</f>
        <v>107.27272727272728</v>
      </c>
      <c r="G263" s="240"/>
      <c r="L263" s="316">
        <v>135</v>
      </c>
      <c r="M263" s="1314">
        <v>41</v>
      </c>
    </row>
    <row r="264" spans="1:13">
      <c r="A264" s="239" t="s">
        <v>829</v>
      </c>
      <c r="B264" s="276">
        <f>IF(SUM($A$79:$D$79)&lt;=B257,1,IF(SUM($A$79:$D$79)&lt;=C257,2,IF(SUM($A$79:$D$79)&lt;=D257,3,4)))</f>
        <v>1</v>
      </c>
      <c r="C264" s="239"/>
      <c r="D264" s="239"/>
      <c r="E264" s="239"/>
      <c r="F264" s="239"/>
      <c r="G264" s="240"/>
      <c r="L264" s="316">
        <v>136</v>
      </c>
      <c r="M264" s="1314">
        <v>41</v>
      </c>
    </row>
    <row r="265" spans="1:13">
      <c r="A265" s="239"/>
      <c r="B265" s="276"/>
      <c r="C265" s="239"/>
      <c r="D265" s="239"/>
      <c r="E265" s="239"/>
      <c r="F265" s="239"/>
      <c r="G265" s="240"/>
      <c r="L265" s="316">
        <v>137</v>
      </c>
      <c r="M265" s="1314">
        <v>42</v>
      </c>
    </row>
    <row r="266" spans="1:13">
      <c r="A266" s="250"/>
      <c r="B266" s="2234" t="s">
        <v>1190</v>
      </c>
      <c r="C266" s="2234"/>
      <c r="D266" s="2234"/>
      <c r="E266" s="2234"/>
      <c r="F266" s="239"/>
      <c r="G266" s="240"/>
      <c r="L266" s="316">
        <v>138</v>
      </c>
      <c r="M266" s="1314">
        <v>42</v>
      </c>
    </row>
    <row r="267" spans="1:13">
      <c r="A267" s="239"/>
      <c r="B267" s="356">
        <v>5</v>
      </c>
      <c r="C267" s="356">
        <v>14</v>
      </c>
      <c r="D267" s="356">
        <v>49</v>
      </c>
      <c r="E267" s="356">
        <v>300000000</v>
      </c>
      <c r="F267" s="239"/>
      <c r="G267" s="240"/>
      <c r="L267" s="316">
        <v>139</v>
      </c>
      <c r="M267" s="1314">
        <v>42</v>
      </c>
    </row>
    <row r="268" spans="1:13">
      <c r="A268" s="354" t="s">
        <v>1187</v>
      </c>
      <c r="B268" s="355">
        <v>125</v>
      </c>
      <c r="C268" s="355">
        <v>125</v>
      </c>
      <c r="D268" s="355">
        <v>125</v>
      </c>
      <c r="E268" s="355">
        <v>125</v>
      </c>
      <c r="F268" s="239" t="s">
        <v>1194</v>
      </c>
      <c r="G268" s="240"/>
      <c r="L268" s="316">
        <v>140</v>
      </c>
      <c r="M268" s="1314">
        <v>42</v>
      </c>
    </row>
    <row r="269" spans="1:13">
      <c r="A269" s="354" t="s">
        <v>1189</v>
      </c>
      <c r="B269" s="355">
        <v>15</v>
      </c>
      <c r="C269" s="355">
        <v>15</v>
      </c>
      <c r="D269" s="355">
        <v>15</v>
      </c>
      <c r="E269" s="355">
        <v>15</v>
      </c>
      <c r="F269" s="239"/>
      <c r="G269" s="240"/>
      <c r="L269" s="316">
        <v>141</v>
      </c>
      <c r="M269" s="1314">
        <v>43</v>
      </c>
    </row>
    <row r="270" spans="1:13">
      <c r="A270" s="239" t="s">
        <v>829</v>
      </c>
      <c r="B270" s="276">
        <f>IF(SUM(G79:H79)&lt;=B267,1,IF(SUM(G79:H79)&lt;=C267,2,IF(SUM(G79:H79)&lt;=D267,3,4)))</f>
        <v>1</v>
      </c>
      <c r="C270" s="239"/>
      <c r="D270" s="239"/>
      <c r="E270" s="239"/>
      <c r="F270" s="239"/>
      <c r="G270" s="240"/>
      <c r="L270" s="316">
        <v>142</v>
      </c>
      <c r="M270" s="1314">
        <v>43</v>
      </c>
    </row>
    <row r="271" spans="1:13" ht="15" thickBot="1">
      <c r="A271" s="251"/>
      <c r="B271" s="242"/>
      <c r="C271" s="242"/>
      <c r="D271" s="242"/>
      <c r="E271" s="242"/>
      <c r="F271" s="242"/>
      <c r="G271" s="245"/>
      <c r="L271" s="316">
        <v>143</v>
      </c>
      <c r="M271" s="1314">
        <v>43</v>
      </c>
    </row>
    <row r="272" spans="1:13">
      <c r="A272" s="239"/>
      <c r="B272" s="239"/>
      <c r="C272" s="239"/>
      <c r="D272" s="239"/>
      <c r="E272" s="239"/>
      <c r="F272" s="239"/>
      <c r="G272" s="239"/>
      <c r="L272" s="316">
        <v>144</v>
      </c>
      <c r="M272" s="1314">
        <v>44</v>
      </c>
    </row>
    <row r="273" spans="1:13">
      <c r="A273" s="239"/>
      <c r="B273" s="1289"/>
      <c r="C273" s="1289"/>
      <c r="D273" s="1289"/>
      <c r="E273" s="1289"/>
      <c r="F273" s="239"/>
      <c r="G273" s="239"/>
      <c r="L273" s="316">
        <v>145</v>
      </c>
      <c r="M273" s="1314">
        <v>44</v>
      </c>
    </row>
    <row r="274" spans="1:13">
      <c r="A274" s="239"/>
      <c r="B274" s="1289" t="s">
        <v>862</v>
      </c>
      <c r="C274" s="1289" t="s">
        <v>863</v>
      </c>
      <c r="D274" s="1289"/>
      <c r="E274" s="1289"/>
      <c r="F274" s="239"/>
      <c r="G274" s="239"/>
      <c r="L274" s="316">
        <v>146</v>
      </c>
      <c r="M274" s="1314">
        <v>44</v>
      </c>
    </row>
    <row r="275" spans="1:13">
      <c r="A275" s="239"/>
      <c r="B275" s="1289"/>
      <c r="C275" s="1306" t="s">
        <v>870</v>
      </c>
      <c r="D275" s="1289" t="s">
        <v>864</v>
      </c>
      <c r="E275" s="1289" t="s">
        <v>865</v>
      </c>
      <c r="F275" s="239"/>
      <c r="G275" s="239"/>
      <c r="L275" s="316">
        <v>147</v>
      </c>
      <c r="M275" s="1314">
        <v>45</v>
      </c>
    </row>
    <row r="276" spans="1:13">
      <c r="A276" s="239"/>
      <c r="B276" s="1289" t="s">
        <v>866</v>
      </c>
      <c r="C276" s="1307">
        <v>7.5</v>
      </c>
      <c r="D276" s="1307">
        <v>7</v>
      </c>
      <c r="E276" s="1307">
        <v>6.5</v>
      </c>
      <c r="F276" s="239"/>
      <c r="G276" s="239"/>
      <c r="L276" s="316">
        <v>148</v>
      </c>
      <c r="M276" s="1314">
        <v>45</v>
      </c>
    </row>
    <row r="277" spans="1:13">
      <c r="A277" s="239"/>
      <c r="B277" s="1289" t="s">
        <v>867</v>
      </c>
      <c r="C277" s="1307">
        <v>15</v>
      </c>
      <c r="D277" s="1307">
        <v>14</v>
      </c>
      <c r="E277" s="1307">
        <v>12.5</v>
      </c>
      <c r="F277" s="239"/>
      <c r="G277" s="239"/>
      <c r="L277" s="316">
        <v>149</v>
      </c>
      <c r="M277" s="1314">
        <v>45</v>
      </c>
    </row>
    <row r="278" spans="1:13">
      <c r="A278" s="239"/>
      <c r="B278" s="1289" t="s">
        <v>868</v>
      </c>
      <c r="C278" s="1307">
        <v>16.5</v>
      </c>
      <c r="D278" s="1307">
        <v>15</v>
      </c>
      <c r="E278" s="1307">
        <v>13</v>
      </c>
      <c r="F278" s="239"/>
      <c r="G278" s="239"/>
      <c r="L278" s="316">
        <v>150</v>
      </c>
      <c r="M278" s="1314">
        <v>45</v>
      </c>
    </row>
    <row r="279" spans="1:13">
      <c r="A279" s="239"/>
      <c r="B279" s="1289" t="s">
        <v>869</v>
      </c>
      <c r="C279" s="1307">
        <v>24.5</v>
      </c>
      <c r="D279" s="1307">
        <v>23</v>
      </c>
      <c r="E279" s="1307">
        <v>19</v>
      </c>
      <c r="F279" s="239"/>
      <c r="G279" s="239"/>
      <c r="L279" s="316">
        <v>151</v>
      </c>
      <c r="M279" s="1314">
        <v>46</v>
      </c>
    </row>
    <row r="280" spans="1:13">
      <c r="A280" s="239"/>
      <c r="B280" s="1289"/>
      <c r="C280" s="1289"/>
      <c r="D280" s="1289"/>
      <c r="E280" s="1289"/>
      <c r="F280" s="239"/>
      <c r="G280" s="239"/>
      <c r="L280" s="316">
        <v>152</v>
      </c>
      <c r="M280" s="1314">
        <v>46</v>
      </c>
    </row>
    <row r="281" spans="1:13">
      <c r="A281" s="239"/>
      <c r="B281" s="239"/>
      <c r="C281" s="239"/>
      <c r="D281" s="239"/>
      <c r="E281" s="239"/>
      <c r="F281" s="239"/>
      <c r="G281" s="239"/>
      <c r="L281" s="316">
        <v>153</v>
      </c>
      <c r="M281" s="1314">
        <v>46</v>
      </c>
    </row>
    <row r="282" spans="1:13">
      <c r="A282" s="239"/>
      <c r="D282" s="239"/>
      <c r="E282" s="239"/>
      <c r="F282" s="239"/>
      <c r="G282" s="239"/>
      <c r="L282" s="316">
        <v>154</v>
      </c>
      <c r="M282" s="1314">
        <v>47</v>
      </c>
    </row>
    <row r="283" spans="1:13" ht="15" thickBot="1">
      <c r="A283" s="239"/>
      <c r="B283" s="2215" t="s">
        <v>1107</v>
      </c>
      <c r="C283" s="2215"/>
      <c r="D283" s="239"/>
      <c r="E283" s="239"/>
      <c r="F283" s="239"/>
      <c r="G283" s="239"/>
      <c r="L283" s="316">
        <v>155</v>
      </c>
      <c r="M283" s="1314">
        <v>47</v>
      </c>
    </row>
    <row r="284" spans="1:13" ht="15">
      <c r="A284" s="1789" t="s">
        <v>1090</v>
      </c>
      <c r="B284" s="1790" t="s">
        <v>1212</v>
      </c>
      <c r="C284" s="233">
        <v>0</v>
      </c>
      <c r="D284" s="233"/>
      <c r="E284" s="234"/>
      <c r="L284" s="316">
        <v>156</v>
      </c>
      <c r="M284" s="1314">
        <v>47</v>
      </c>
    </row>
    <row r="285" spans="1:13" ht="15">
      <c r="A285" s="1791" t="s">
        <v>1833</v>
      </c>
      <c r="B285" s="239">
        <v>300</v>
      </c>
      <c r="C285" s="239">
        <v>0.1</v>
      </c>
      <c r="D285" s="239"/>
      <c r="E285" s="240" t="s">
        <v>1835</v>
      </c>
      <c r="F285" s="239"/>
      <c r="G285" s="239"/>
      <c r="L285" s="316">
        <v>157</v>
      </c>
      <c r="M285" s="1314">
        <v>48</v>
      </c>
    </row>
    <row r="286" spans="1:13" ht="15">
      <c r="A286" s="1791" t="s">
        <v>1834</v>
      </c>
      <c r="B286" s="1786">
        <v>1000</v>
      </c>
      <c r="C286" s="1787">
        <v>0.1</v>
      </c>
      <c r="D286" s="239"/>
      <c r="E286" s="1792">
        <f>Perfiles_usuario!H262</f>
        <v>0</v>
      </c>
      <c r="F286" s="239"/>
      <c r="G286" s="239"/>
      <c r="L286" s="316">
        <v>158</v>
      </c>
      <c r="M286" s="1314">
        <v>48</v>
      </c>
    </row>
    <row r="287" spans="1:13" ht="15">
      <c r="A287" s="1791"/>
      <c r="B287" s="1786">
        <v>5000</v>
      </c>
      <c r="C287" s="239">
        <v>0.09</v>
      </c>
      <c r="D287" s="239"/>
      <c r="E287" s="240"/>
      <c r="F287" s="239"/>
      <c r="G287" s="239"/>
      <c r="L287" s="316">
        <v>159</v>
      </c>
      <c r="M287" s="1314">
        <v>48</v>
      </c>
    </row>
    <row r="288" spans="1:13" ht="15">
      <c r="A288" s="1791"/>
      <c r="B288" s="1786">
        <v>10000</v>
      </c>
      <c r="C288" s="239">
        <v>0.08</v>
      </c>
      <c r="D288" s="1785">
        <v>15</v>
      </c>
      <c r="E288" s="240" t="s">
        <v>1105</v>
      </c>
      <c r="F288" s="239"/>
      <c r="G288" s="239"/>
      <c r="L288" s="316">
        <v>160</v>
      </c>
      <c r="M288" s="1314">
        <v>48</v>
      </c>
    </row>
    <row r="289" spans="1:13" ht="15">
      <c r="A289" s="1791"/>
      <c r="B289" s="1786">
        <v>50000</v>
      </c>
      <c r="C289" s="239">
        <v>7.0000000000000007E-2</v>
      </c>
      <c r="D289" s="239"/>
      <c r="E289" s="240"/>
      <c r="F289" s="239"/>
      <c r="G289" s="239"/>
      <c r="L289" s="316">
        <v>161</v>
      </c>
      <c r="M289" s="1314">
        <v>49</v>
      </c>
    </row>
    <row r="290" spans="1:13" ht="15">
      <c r="A290" s="1791"/>
      <c r="B290" s="1788" t="s">
        <v>1106</v>
      </c>
      <c r="C290" s="239">
        <v>0.06</v>
      </c>
      <c r="D290" s="239"/>
      <c r="E290" s="240"/>
      <c r="F290" s="239"/>
      <c r="G290" s="239"/>
      <c r="L290" s="316">
        <v>162</v>
      </c>
      <c r="M290" s="1314">
        <v>49</v>
      </c>
    </row>
    <row r="291" spans="1:13" ht="15.75" thickBot="1">
      <c r="A291" s="1793"/>
      <c r="B291" s="1795" t="s">
        <v>1133</v>
      </c>
      <c r="C291" s="1794">
        <f>IF(E286&gt;B289,C290,IF(E286&gt;B288,C289,IF(E286&gt;B287,C288,IF(E286&gt;B286,C287,IF(E286&gt;B285,C285,C284)))))</f>
        <v>0</v>
      </c>
      <c r="D291" s="242"/>
      <c r="E291" s="245"/>
      <c r="F291" s="239"/>
      <c r="G291" s="239"/>
      <c r="L291" s="316">
        <v>163</v>
      </c>
      <c r="M291" s="1314">
        <v>49</v>
      </c>
    </row>
    <row r="292" spans="1:13" ht="15" thickBot="1">
      <c r="A292" s="1145"/>
      <c r="B292" s="1145"/>
      <c r="C292" s="1145"/>
      <c r="D292" s="239"/>
      <c r="E292" s="239"/>
      <c r="F292" s="239"/>
      <c r="G292" s="239"/>
      <c r="L292" s="316">
        <v>164</v>
      </c>
      <c r="M292" s="1314">
        <v>50</v>
      </c>
    </row>
    <row r="293" spans="1:13" ht="15">
      <c r="A293" s="1789" t="s">
        <v>1091</v>
      </c>
      <c r="B293" s="1797" t="s">
        <v>1096</v>
      </c>
      <c r="C293" s="233" t="s">
        <v>1141</v>
      </c>
      <c r="D293" s="234"/>
      <c r="E293" s="239"/>
      <c r="F293" s="239"/>
      <c r="G293" s="239"/>
      <c r="L293" s="316">
        <v>165</v>
      </c>
      <c r="M293" s="1314">
        <v>50</v>
      </c>
    </row>
    <row r="294" spans="1:13">
      <c r="A294" s="250" t="s">
        <v>1092</v>
      </c>
      <c r="B294" s="1796">
        <v>10</v>
      </c>
      <c r="C294" s="239" t="e">
        <f>VLOOKUP(A294,Perfiles_usuario!$B$242:$F$250,5,FALSE)</f>
        <v>#N/A</v>
      </c>
      <c r="D294" s="240"/>
      <c r="E294" s="239"/>
      <c r="F294" s="239"/>
      <c r="G294" s="239"/>
      <c r="L294" s="316">
        <v>166</v>
      </c>
      <c r="M294" s="1314">
        <v>50</v>
      </c>
    </row>
    <row r="295" spans="1:13">
      <c r="A295" s="250" t="s">
        <v>1093</v>
      </c>
      <c r="B295" s="1796">
        <v>5</v>
      </c>
      <c r="C295" s="239" t="e">
        <f>VLOOKUP(A295,Perfiles_usuario!$B$242:$F$250,5,FALSE)</f>
        <v>#N/A</v>
      </c>
      <c r="D295" s="240"/>
      <c r="E295" s="239"/>
      <c r="F295" s="239"/>
      <c r="G295" s="239"/>
      <c r="L295" s="316">
        <v>167</v>
      </c>
      <c r="M295" s="1314">
        <v>51</v>
      </c>
    </row>
    <row r="296" spans="1:13">
      <c r="A296" s="250" t="s">
        <v>1094</v>
      </c>
      <c r="B296" s="1796">
        <v>5</v>
      </c>
      <c r="C296" s="239" t="e">
        <f>VLOOKUP(A296,Perfiles_usuario!$B$242:$F$250,5,FALSE)</f>
        <v>#N/A</v>
      </c>
      <c r="D296" s="240"/>
      <c r="E296" s="239"/>
      <c r="F296" s="239"/>
      <c r="G296" s="239"/>
      <c r="L296" s="316">
        <v>168</v>
      </c>
      <c r="M296" s="1314">
        <v>51</v>
      </c>
    </row>
    <row r="297" spans="1:13">
      <c r="A297" s="250" t="s">
        <v>1095</v>
      </c>
      <c r="B297" s="1796">
        <v>15</v>
      </c>
      <c r="C297" s="239" t="e">
        <f>VLOOKUP(A297,Perfiles_usuario!$B$242:$F$250,5,FALSE)</f>
        <v>#N/A</v>
      </c>
      <c r="D297" s="240" t="s">
        <v>1097</v>
      </c>
      <c r="E297" s="239"/>
      <c r="F297" s="239"/>
      <c r="G297" s="239"/>
      <c r="L297" s="316">
        <v>169</v>
      </c>
      <c r="M297" s="1314">
        <v>51</v>
      </c>
    </row>
    <row r="298" spans="1:13">
      <c r="A298" s="250" t="s">
        <v>1102</v>
      </c>
      <c r="B298" s="1796">
        <v>4.5</v>
      </c>
      <c r="C298" s="239" t="e">
        <f>VLOOKUP(A298,Perfiles_usuario!$B$242:$F$250,5,FALSE)</f>
        <v>#N/A</v>
      </c>
      <c r="D298" s="240"/>
      <c r="E298" s="239"/>
      <c r="F298" s="239"/>
      <c r="G298" s="239"/>
      <c r="L298" s="316">
        <v>170</v>
      </c>
      <c r="M298" s="1314">
        <v>51</v>
      </c>
    </row>
    <row r="299" spans="1:13">
      <c r="A299" s="250" t="s">
        <v>1103</v>
      </c>
      <c r="B299" s="1796">
        <v>10.5</v>
      </c>
      <c r="C299" s="239" t="e">
        <f>VLOOKUP(A299,Perfiles_usuario!$B$242:$F$250,5,FALSE)</f>
        <v>#N/A</v>
      </c>
      <c r="D299" s="240"/>
      <c r="E299" s="239"/>
      <c r="F299" s="239"/>
      <c r="G299" s="239"/>
      <c r="L299" s="316">
        <v>171</v>
      </c>
      <c r="M299" s="1314">
        <v>52</v>
      </c>
    </row>
    <row r="300" spans="1:13" ht="15.75" thickBot="1">
      <c r="A300" s="251"/>
      <c r="B300" s="242"/>
      <c r="C300" s="815">
        <f>SUM(Perfiles_usuario!F242:F250)</f>
        <v>0</v>
      </c>
      <c r="D300" s="245" t="s">
        <v>1142</v>
      </c>
      <c r="E300" s="239"/>
      <c r="F300" s="239"/>
      <c r="G300" s="239"/>
      <c r="L300" s="316">
        <v>172</v>
      </c>
      <c r="M300" s="1314">
        <v>52</v>
      </c>
    </row>
    <row r="301" spans="1:13">
      <c r="A301" s="239"/>
      <c r="B301" s="239"/>
      <c r="C301" s="239"/>
      <c r="D301" s="239"/>
      <c r="E301" s="239"/>
      <c r="F301" s="239"/>
      <c r="G301" s="239"/>
      <c r="L301" s="316">
        <v>173</v>
      </c>
      <c r="M301" s="1314">
        <v>52</v>
      </c>
    </row>
    <row r="302" spans="1:13">
      <c r="A302" s="239"/>
      <c r="B302" s="239"/>
      <c r="C302" s="239"/>
      <c r="D302" s="239"/>
      <c r="E302" s="239"/>
      <c r="F302" s="239"/>
      <c r="G302" s="239"/>
      <c r="L302" s="316">
        <v>174</v>
      </c>
      <c r="M302" s="1314">
        <v>53</v>
      </c>
    </row>
    <row r="303" spans="1:13">
      <c r="A303" s="239"/>
      <c r="B303" s="239"/>
      <c r="C303" s="239"/>
      <c r="D303" s="239"/>
      <c r="E303" s="239"/>
      <c r="F303" s="239"/>
      <c r="G303" s="239"/>
      <c r="L303" s="316">
        <v>175</v>
      </c>
      <c r="M303" s="1314">
        <v>53</v>
      </c>
    </row>
    <row r="304" spans="1:13">
      <c r="A304" s="239"/>
      <c r="B304" s="239"/>
      <c r="C304" s="239"/>
      <c r="D304" s="239"/>
      <c r="E304" s="239"/>
      <c r="F304" s="239"/>
      <c r="G304" s="239"/>
      <c r="L304" s="316">
        <v>176</v>
      </c>
      <c r="M304" s="1314">
        <v>53</v>
      </c>
    </row>
    <row r="305" spans="1:13">
      <c r="A305" s="239"/>
      <c r="B305" s="239"/>
      <c r="C305" s="239"/>
      <c r="D305" s="239"/>
      <c r="E305" s="239"/>
      <c r="F305" s="239"/>
      <c r="G305" s="239"/>
      <c r="L305" s="316">
        <v>177</v>
      </c>
      <c r="M305" s="1314">
        <v>54</v>
      </c>
    </row>
    <row r="306" spans="1:13">
      <c r="A306" s="239"/>
      <c r="B306" s="239"/>
      <c r="C306" s="239"/>
      <c r="D306" s="239"/>
      <c r="E306" s="239"/>
      <c r="F306" s="239"/>
      <c r="G306" s="239"/>
      <c r="L306" s="316">
        <v>178</v>
      </c>
      <c r="M306" s="1314">
        <v>54</v>
      </c>
    </row>
    <row r="307" spans="1:13">
      <c r="A307" s="1145"/>
      <c r="B307" s="239"/>
      <c r="C307" s="239"/>
      <c r="D307" s="239"/>
      <c r="E307" s="239"/>
      <c r="F307" s="239"/>
      <c r="G307" s="239"/>
      <c r="L307" s="316">
        <v>179</v>
      </c>
      <c r="M307" s="1314">
        <v>54</v>
      </c>
    </row>
    <row r="308" spans="1:13">
      <c r="A308" s="239"/>
      <c r="B308" s="239"/>
      <c r="C308" s="239"/>
      <c r="D308" s="239"/>
      <c r="E308" s="239"/>
      <c r="F308" s="239"/>
      <c r="G308" s="239"/>
      <c r="L308" s="316">
        <v>180</v>
      </c>
      <c r="M308" s="1314">
        <v>54</v>
      </c>
    </row>
    <row r="309" spans="1:13">
      <c r="A309" s="239"/>
      <c r="B309" s="239"/>
      <c r="C309" s="239"/>
      <c r="D309" s="239"/>
      <c r="E309" s="239"/>
      <c r="F309" s="239"/>
      <c r="G309" s="239"/>
      <c r="L309" s="316">
        <v>181</v>
      </c>
      <c r="M309" s="1314">
        <v>55</v>
      </c>
    </row>
    <row r="310" spans="1:13">
      <c r="A310" s="239"/>
      <c r="B310" s="239"/>
      <c r="C310" s="239"/>
      <c r="D310" s="239"/>
      <c r="E310" s="239"/>
      <c r="F310" s="239"/>
      <c r="G310" s="239"/>
      <c r="L310" s="316">
        <v>182</v>
      </c>
      <c r="M310" s="1314">
        <v>55</v>
      </c>
    </row>
    <row r="311" spans="1:13">
      <c r="A311" s="239"/>
      <c r="B311" s="239"/>
      <c r="C311" s="239"/>
      <c r="D311" s="239"/>
      <c r="E311" s="239"/>
      <c r="F311" s="239"/>
      <c r="G311" s="239"/>
      <c r="L311" s="316">
        <v>183</v>
      </c>
      <c r="M311" s="1314">
        <v>55</v>
      </c>
    </row>
    <row r="312" spans="1:13">
      <c r="A312" s="239"/>
      <c r="B312" s="239"/>
      <c r="C312" s="239"/>
      <c r="D312" s="239"/>
      <c r="E312" s="239"/>
      <c r="F312" s="239"/>
      <c r="G312" s="239"/>
      <c r="L312" s="316">
        <v>184</v>
      </c>
      <c r="M312" s="1314">
        <v>56</v>
      </c>
    </row>
    <row r="313" spans="1:13">
      <c r="A313" s="239"/>
      <c r="B313" s="239"/>
      <c r="C313" s="239"/>
      <c r="D313" s="239"/>
      <c r="E313" s="239"/>
      <c r="F313" s="239"/>
      <c r="G313" s="239"/>
      <c r="L313" s="316">
        <v>185</v>
      </c>
      <c r="M313" s="1314">
        <v>56</v>
      </c>
    </row>
    <row r="314" spans="1:13">
      <c r="D314" s="239"/>
      <c r="E314" s="239"/>
      <c r="F314" s="239"/>
      <c r="G314" s="239"/>
      <c r="L314" s="316">
        <v>186</v>
      </c>
      <c r="M314" s="1314">
        <v>56</v>
      </c>
    </row>
    <row r="315" spans="1:13">
      <c r="D315" s="239"/>
      <c r="E315" s="239"/>
      <c r="F315" s="239"/>
      <c r="G315" s="239"/>
      <c r="L315" s="316">
        <v>187</v>
      </c>
      <c r="M315" s="1314">
        <v>57</v>
      </c>
    </row>
    <row r="316" spans="1:13">
      <c r="D316" s="239"/>
      <c r="E316" s="239"/>
      <c r="F316" s="239"/>
      <c r="G316" s="239"/>
      <c r="L316" s="316">
        <v>188</v>
      </c>
      <c r="M316" s="1314">
        <v>57</v>
      </c>
    </row>
    <row r="317" spans="1:13">
      <c r="D317" s="239"/>
      <c r="E317" s="239"/>
      <c r="F317" s="239"/>
      <c r="G317" s="239"/>
      <c r="L317" s="316">
        <v>189</v>
      </c>
      <c r="M317" s="1314">
        <v>57</v>
      </c>
    </row>
    <row r="318" spans="1:13">
      <c r="D318" s="239"/>
      <c r="E318" s="239"/>
      <c r="F318" s="239"/>
      <c r="G318" s="239"/>
      <c r="L318" s="316">
        <v>190</v>
      </c>
      <c r="M318" s="1314">
        <v>57</v>
      </c>
    </row>
    <row r="319" spans="1:13">
      <c r="C319" s="239"/>
      <c r="D319" s="239"/>
      <c r="E319" s="239"/>
      <c r="F319" s="239"/>
      <c r="G319" s="239"/>
      <c r="L319" s="316">
        <v>191</v>
      </c>
      <c r="M319" s="1314">
        <v>58</v>
      </c>
    </row>
    <row r="320" spans="1:13" ht="15" thickBot="1">
      <c r="C320" s="239"/>
      <c r="D320" s="239"/>
      <c r="E320" s="239"/>
      <c r="F320" s="239"/>
      <c r="G320" s="239"/>
      <c r="L320" s="316">
        <v>192</v>
      </c>
      <c r="M320" s="1314">
        <v>58</v>
      </c>
    </row>
    <row r="321" spans="1:13" ht="15.75" thickBot="1">
      <c r="A321" s="2206" t="s">
        <v>1737</v>
      </c>
      <c r="B321" s="2207"/>
      <c r="C321" s="2207"/>
      <c r="D321" s="2207"/>
      <c r="E321" s="2207"/>
      <c r="F321" s="2207"/>
      <c r="G321" s="2207"/>
      <c r="H321" s="2226"/>
      <c r="L321" s="316">
        <v>193</v>
      </c>
      <c r="M321" s="1314">
        <v>58</v>
      </c>
    </row>
    <row r="322" spans="1:13">
      <c r="A322" s="232"/>
      <c r="B322" s="1740" t="s">
        <v>1735</v>
      </c>
      <c r="C322" s="1740" t="s">
        <v>220</v>
      </c>
      <c r="D322" s="1740" t="s">
        <v>1733</v>
      </c>
      <c r="E322" s="233" t="s">
        <v>2007</v>
      </c>
      <c r="F322" s="1740" t="s">
        <v>220</v>
      </c>
      <c r="G322" s="233" t="s">
        <v>1734</v>
      </c>
      <c r="H322" s="234" t="s">
        <v>765</v>
      </c>
      <c r="L322" s="316">
        <v>194</v>
      </c>
      <c r="M322" s="1314">
        <v>59</v>
      </c>
    </row>
    <row r="323" spans="1:13">
      <c r="A323" s="836" t="s">
        <v>452</v>
      </c>
      <c r="B323" s="928"/>
      <c r="C323" s="2008"/>
      <c r="D323" s="2009">
        <v>6000</v>
      </c>
      <c r="E323" s="2009">
        <f>SUM(Perfiles_usuario!R39:R76)+Perfiles_usuario!T78</f>
        <v>194</v>
      </c>
      <c r="F323" s="2009">
        <f>B323*C323*E323</f>
        <v>0</v>
      </c>
      <c r="G323" s="2009">
        <f>B323*D323</f>
        <v>0</v>
      </c>
      <c r="H323" s="2010">
        <f t="shared" ref="H323:H345" si="72">IF(F323&lt;G323,F323,G323)</f>
        <v>0</v>
      </c>
      <c r="L323" s="316">
        <v>195</v>
      </c>
      <c r="M323" s="1314">
        <v>59</v>
      </c>
    </row>
    <row r="324" spans="1:13">
      <c r="A324" s="265" t="s">
        <v>425</v>
      </c>
      <c r="B324" s="2003">
        <f>IF(K99&gt;0,1,0)</f>
        <v>1</v>
      </c>
      <c r="C324" s="340">
        <v>0.1</v>
      </c>
      <c r="D324" s="1715">
        <v>20</v>
      </c>
      <c r="E324" s="1715">
        <f>E323</f>
        <v>194</v>
      </c>
      <c r="F324" s="1715">
        <f t="shared" ref="F324:F338" si="73">B324*C324*E324</f>
        <v>19.400000000000002</v>
      </c>
      <c r="G324" s="1715">
        <f t="shared" ref="G324:G338" si="74">B324*D324</f>
        <v>20</v>
      </c>
      <c r="H324" s="1741">
        <f t="shared" si="72"/>
        <v>19.400000000000002</v>
      </c>
      <c r="L324" s="316">
        <v>196</v>
      </c>
      <c r="M324" s="1314">
        <v>59</v>
      </c>
    </row>
    <row r="325" spans="1:13">
      <c r="A325" s="265" t="s">
        <v>1999</v>
      </c>
      <c r="B325" s="2003">
        <f>IF(L99&gt;0,1,0)</f>
        <v>0</v>
      </c>
      <c r="C325" s="340">
        <v>0.1</v>
      </c>
      <c r="D325" s="1715">
        <v>35</v>
      </c>
      <c r="E325" s="1715">
        <f>E323</f>
        <v>194</v>
      </c>
      <c r="F325" s="1715">
        <f t="shared" si="73"/>
        <v>0</v>
      </c>
      <c r="G325" s="1715">
        <f t="shared" si="74"/>
        <v>0</v>
      </c>
      <c r="H325" s="1741">
        <f t="shared" si="72"/>
        <v>0</v>
      </c>
      <c r="L325" s="316">
        <v>197</v>
      </c>
      <c r="M325" s="1314">
        <v>60</v>
      </c>
    </row>
    <row r="326" spans="1:13">
      <c r="A326" s="265" t="s">
        <v>2000</v>
      </c>
      <c r="B326" s="2003">
        <f>IF(M99&gt;0,1,0)</f>
        <v>0</v>
      </c>
      <c r="C326" s="340">
        <v>0.1</v>
      </c>
      <c r="D326" s="1715">
        <v>35</v>
      </c>
      <c r="E326" s="1715">
        <f>E323</f>
        <v>194</v>
      </c>
      <c r="F326" s="1715">
        <f t="shared" si="73"/>
        <v>0</v>
      </c>
      <c r="G326" s="1715">
        <f t="shared" si="74"/>
        <v>0</v>
      </c>
      <c r="H326" s="1741">
        <f t="shared" si="72"/>
        <v>0</v>
      </c>
      <c r="L326" s="316">
        <v>198</v>
      </c>
      <c r="M326" s="1314">
        <v>60</v>
      </c>
    </row>
    <row r="327" spans="1:13">
      <c r="A327" s="283" t="s">
        <v>1227</v>
      </c>
      <c r="B327" s="2005">
        <f>IF(N99&gt;0,1,0)</f>
        <v>0</v>
      </c>
      <c r="C327" s="340">
        <v>0.1</v>
      </c>
      <c r="D327" s="1715">
        <v>35</v>
      </c>
      <c r="E327" s="1715">
        <f>E324</f>
        <v>194</v>
      </c>
      <c r="F327" s="1715">
        <f t="shared" si="73"/>
        <v>0</v>
      </c>
      <c r="G327" s="1715">
        <f t="shared" si="74"/>
        <v>0</v>
      </c>
      <c r="H327" s="1741">
        <f t="shared" si="72"/>
        <v>0</v>
      </c>
      <c r="L327" s="316">
        <v>199</v>
      </c>
      <c r="M327" s="1314">
        <v>60</v>
      </c>
    </row>
    <row r="328" spans="1:13">
      <c r="A328" s="283" t="s">
        <v>754</v>
      </c>
      <c r="B328" s="2005">
        <f>IF(O99&gt;0,1,0)</f>
        <v>0</v>
      </c>
      <c r="C328" s="340">
        <v>0.1</v>
      </c>
      <c r="D328" s="1715">
        <v>35</v>
      </c>
      <c r="E328" s="1715">
        <f>E323</f>
        <v>194</v>
      </c>
      <c r="F328" s="1715">
        <f t="shared" ref="F328:F333" si="75">B328*C328*E328</f>
        <v>0</v>
      </c>
      <c r="G328" s="1715">
        <f t="shared" si="74"/>
        <v>0</v>
      </c>
      <c r="H328" s="1741">
        <f t="shared" si="72"/>
        <v>0</v>
      </c>
      <c r="L328" s="316">
        <v>200</v>
      </c>
      <c r="M328" s="1314">
        <v>60</v>
      </c>
    </row>
    <row r="329" spans="1:13">
      <c r="A329" s="270" t="s">
        <v>427</v>
      </c>
      <c r="B329" s="2005">
        <f>IF(P99&gt;0,1,0)</f>
        <v>0</v>
      </c>
      <c r="C329" s="340">
        <v>0.1</v>
      </c>
      <c r="D329" s="1715">
        <v>35</v>
      </c>
      <c r="E329" s="1715">
        <f>E323</f>
        <v>194</v>
      </c>
      <c r="F329" s="1715">
        <f t="shared" si="75"/>
        <v>0</v>
      </c>
      <c r="G329" s="1715">
        <f>B329*D329</f>
        <v>0</v>
      </c>
      <c r="H329" s="1741">
        <f>IF(F329&lt;G329,F329,G329)</f>
        <v>0</v>
      </c>
      <c r="L329" s="316">
        <v>201</v>
      </c>
      <c r="M329" s="1314">
        <v>61</v>
      </c>
    </row>
    <row r="330" spans="1:13">
      <c r="A330" s="283" t="s">
        <v>755</v>
      </c>
      <c r="B330" s="2005">
        <f>IF(Q99&gt;0,1,0)</f>
        <v>0</v>
      </c>
      <c r="C330" s="340">
        <v>0.1</v>
      </c>
      <c r="D330" s="1715">
        <v>35</v>
      </c>
      <c r="E330" s="1715">
        <f>E323</f>
        <v>194</v>
      </c>
      <c r="F330" s="1715">
        <f t="shared" si="75"/>
        <v>0</v>
      </c>
      <c r="G330" s="1715">
        <f t="shared" ref="G330:G332" si="76">B330*D330</f>
        <v>0</v>
      </c>
      <c r="H330" s="1741">
        <f t="shared" ref="H330:H332" si="77">IF(F330&lt;G330,F330,G330)</f>
        <v>0</v>
      </c>
      <c r="L330" s="316">
        <v>202</v>
      </c>
      <c r="M330" s="1314">
        <v>61</v>
      </c>
    </row>
    <row r="331" spans="1:13">
      <c r="A331" s="283" t="s">
        <v>426</v>
      </c>
      <c r="B331" s="2005">
        <f>IF(R99&gt;0,1,0)</f>
        <v>0</v>
      </c>
      <c r="C331" s="340">
        <v>0.1</v>
      </c>
      <c r="D331" s="1715">
        <v>80</v>
      </c>
      <c r="E331" s="1715">
        <f>E323</f>
        <v>194</v>
      </c>
      <c r="F331" s="1715">
        <f t="shared" si="75"/>
        <v>0</v>
      </c>
      <c r="G331" s="1715">
        <f t="shared" si="76"/>
        <v>0</v>
      </c>
      <c r="H331" s="1741">
        <f t="shared" si="77"/>
        <v>0</v>
      </c>
      <c r="L331" s="316">
        <v>203</v>
      </c>
      <c r="M331" s="1314">
        <v>61</v>
      </c>
    </row>
    <row r="332" spans="1:13">
      <c r="A332" s="283" t="s">
        <v>756</v>
      </c>
      <c r="B332" s="2005">
        <f>IF(S99&gt;0,1,0)</f>
        <v>0</v>
      </c>
      <c r="C332" s="340">
        <v>0.1</v>
      </c>
      <c r="D332" s="1715">
        <v>80</v>
      </c>
      <c r="E332" s="1715">
        <f>E323</f>
        <v>194</v>
      </c>
      <c r="F332" s="1715">
        <f t="shared" si="75"/>
        <v>0</v>
      </c>
      <c r="G332" s="1715">
        <f t="shared" si="76"/>
        <v>0</v>
      </c>
      <c r="H332" s="1741">
        <f t="shared" si="77"/>
        <v>0</v>
      </c>
      <c r="L332" s="316">
        <v>204</v>
      </c>
      <c r="M332" s="1314">
        <v>62</v>
      </c>
    </row>
    <row r="333" spans="1:13">
      <c r="A333" s="265" t="s">
        <v>428</v>
      </c>
      <c r="B333" s="2003">
        <f>IF(T99&gt;0,1,0)</f>
        <v>0</v>
      </c>
      <c r="C333" s="340">
        <v>0.1</v>
      </c>
      <c r="D333" s="1715">
        <v>80</v>
      </c>
      <c r="E333" s="1715">
        <f>E323</f>
        <v>194</v>
      </c>
      <c r="F333" s="1715">
        <f t="shared" si="75"/>
        <v>0</v>
      </c>
      <c r="G333" s="1715">
        <f>B333*D333</f>
        <v>0</v>
      </c>
      <c r="H333" s="1741">
        <f>IF(F333&lt;G333,F333,G333)</f>
        <v>0</v>
      </c>
      <c r="L333" s="316">
        <v>205</v>
      </c>
      <c r="M333" s="1314">
        <v>62</v>
      </c>
    </row>
    <row r="334" spans="1:13">
      <c r="A334" s="283" t="s">
        <v>2001</v>
      </c>
      <c r="B334" s="2004">
        <f>IF(U99&gt;0,1,0)</f>
        <v>0</v>
      </c>
      <c r="C334" s="340">
        <v>0.1</v>
      </c>
      <c r="D334" s="1715">
        <v>80</v>
      </c>
      <c r="E334" s="1715">
        <f t="shared" ref="E334:E336" si="78">E331</f>
        <v>194</v>
      </c>
      <c r="F334" s="1715">
        <f t="shared" ref="F334:F336" si="79">B334*C334*E334</f>
        <v>0</v>
      </c>
      <c r="G334" s="1715">
        <f t="shared" ref="G334:G336" si="80">B334*D334</f>
        <v>0</v>
      </c>
      <c r="H334" s="1741">
        <f t="shared" ref="H334:H336" si="81">IF(F334&lt;G334,F334,G334)</f>
        <v>0</v>
      </c>
      <c r="L334" s="316">
        <v>206</v>
      </c>
      <c r="M334" s="1314">
        <v>62</v>
      </c>
    </row>
    <row r="335" spans="1:13">
      <c r="A335" s="283" t="s">
        <v>2002</v>
      </c>
      <c r="B335" s="2004">
        <f>IF(V99&gt;0,1,0)</f>
        <v>0</v>
      </c>
      <c r="C335" s="340">
        <v>0.1</v>
      </c>
      <c r="D335" s="1715">
        <v>80</v>
      </c>
      <c r="E335" s="1715">
        <f t="shared" si="78"/>
        <v>194</v>
      </c>
      <c r="F335" s="1715">
        <f t="shared" si="79"/>
        <v>0</v>
      </c>
      <c r="G335" s="1715">
        <f t="shared" si="80"/>
        <v>0</v>
      </c>
      <c r="H335" s="1741">
        <f t="shared" si="81"/>
        <v>0</v>
      </c>
      <c r="L335" s="316">
        <v>207</v>
      </c>
      <c r="M335" s="1314">
        <v>63</v>
      </c>
    </row>
    <row r="336" spans="1:13">
      <c r="A336" s="283" t="s">
        <v>1228</v>
      </c>
      <c r="B336" s="2004">
        <f>IF(W99&gt;0,1,0)</f>
        <v>0</v>
      </c>
      <c r="C336" s="340">
        <v>0.1</v>
      </c>
      <c r="D336" s="1715">
        <v>80</v>
      </c>
      <c r="E336" s="1715">
        <f t="shared" si="78"/>
        <v>194</v>
      </c>
      <c r="F336" s="1715">
        <f t="shared" si="79"/>
        <v>0</v>
      </c>
      <c r="G336" s="1715">
        <f t="shared" si="80"/>
        <v>0</v>
      </c>
      <c r="H336" s="1741">
        <f t="shared" si="81"/>
        <v>0</v>
      </c>
      <c r="L336" s="316">
        <v>208</v>
      </c>
      <c r="M336" s="1314">
        <v>63</v>
      </c>
    </row>
    <row r="337" spans="1:13">
      <c r="A337" s="265" t="s">
        <v>429</v>
      </c>
      <c r="B337" s="2003">
        <f>IF(X99&gt;0,1,0)</f>
        <v>0</v>
      </c>
      <c r="C337" s="340">
        <v>0.1</v>
      </c>
      <c r="D337" s="1715">
        <v>80</v>
      </c>
      <c r="E337" s="1715">
        <f>E323</f>
        <v>194</v>
      </c>
      <c r="F337" s="1715">
        <f t="shared" si="73"/>
        <v>0</v>
      </c>
      <c r="G337" s="1715">
        <f t="shared" si="74"/>
        <v>0</v>
      </c>
      <c r="H337" s="1741">
        <f t="shared" si="72"/>
        <v>0</v>
      </c>
      <c r="L337" s="316">
        <v>209</v>
      </c>
      <c r="M337" s="1314">
        <v>63</v>
      </c>
    </row>
    <row r="338" spans="1:13">
      <c r="A338" s="265" t="s">
        <v>430</v>
      </c>
      <c r="B338" s="2003">
        <f>IF(Y99&gt;0,1,0)</f>
        <v>0</v>
      </c>
      <c r="C338" s="340">
        <v>0.1</v>
      </c>
      <c r="D338" s="1715">
        <v>80</v>
      </c>
      <c r="E338" s="1715">
        <f>E323</f>
        <v>194</v>
      </c>
      <c r="F338" s="1715">
        <f t="shared" si="73"/>
        <v>0</v>
      </c>
      <c r="G338" s="1715">
        <f t="shared" si="74"/>
        <v>0</v>
      </c>
      <c r="H338" s="1741">
        <f t="shared" si="72"/>
        <v>0</v>
      </c>
      <c r="L338" s="316">
        <v>210</v>
      </c>
      <c r="M338" s="1314">
        <v>63</v>
      </c>
    </row>
    <row r="339" spans="1:13">
      <c r="A339" s="265" t="s">
        <v>1041</v>
      </c>
      <c r="B339" s="2003">
        <f>IF(Z99&gt;0,1,0)</f>
        <v>0</v>
      </c>
      <c r="C339" s="340">
        <v>0.1</v>
      </c>
      <c r="D339" s="1715">
        <v>80</v>
      </c>
      <c r="E339" s="1715">
        <f>E323</f>
        <v>194</v>
      </c>
      <c r="F339" s="1715">
        <f>B339*C339*E339</f>
        <v>0</v>
      </c>
      <c r="G339" s="1715">
        <f>B339*D339</f>
        <v>0</v>
      </c>
      <c r="H339" s="1741">
        <f>IF(F339&lt;G339,F339,G339)</f>
        <v>0</v>
      </c>
      <c r="L339" s="316">
        <v>211</v>
      </c>
      <c r="M339" s="1314">
        <v>64</v>
      </c>
    </row>
    <row r="340" spans="1:13">
      <c r="A340" s="283" t="s">
        <v>2003</v>
      </c>
      <c r="B340" s="2004">
        <f>IF(AA99&gt;0,1,0)</f>
        <v>0</v>
      </c>
      <c r="C340" s="340">
        <v>0.1</v>
      </c>
      <c r="D340" s="1715">
        <v>80</v>
      </c>
      <c r="E340" s="1715">
        <f t="shared" ref="E340:E341" si="82">E337</f>
        <v>194</v>
      </c>
      <c r="F340" s="1715">
        <f t="shared" ref="F340:F342" si="83">B340*C340*E340</f>
        <v>0</v>
      </c>
      <c r="G340" s="1715">
        <f t="shared" ref="G340:G341" si="84">B340*D340</f>
        <v>0</v>
      </c>
      <c r="H340" s="1741">
        <f t="shared" ref="H340:H342" si="85">IF(F340&lt;G340,F340,G340)</f>
        <v>0</v>
      </c>
      <c r="L340" s="316">
        <v>212</v>
      </c>
      <c r="M340" s="1314">
        <v>64</v>
      </c>
    </row>
    <row r="341" spans="1:13">
      <c r="A341" s="283" t="s">
        <v>2004</v>
      </c>
      <c r="B341" s="2004">
        <f>IF(AB99&gt;0,1,0)</f>
        <v>0</v>
      </c>
      <c r="C341" s="340">
        <v>0.1</v>
      </c>
      <c r="D341" s="1715">
        <v>80</v>
      </c>
      <c r="E341" s="1715">
        <f t="shared" si="82"/>
        <v>194</v>
      </c>
      <c r="F341" s="1715">
        <f t="shared" si="83"/>
        <v>0</v>
      </c>
      <c r="G341" s="1715">
        <f t="shared" si="84"/>
        <v>0</v>
      </c>
      <c r="H341" s="1741">
        <f t="shared" si="85"/>
        <v>0</v>
      </c>
      <c r="L341" s="316">
        <v>213</v>
      </c>
      <c r="M341" s="1314">
        <v>64</v>
      </c>
    </row>
    <row r="342" spans="1:13">
      <c r="A342" s="283" t="s">
        <v>1229</v>
      </c>
      <c r="B342" s="2004">
        <f>IF(AC99&gt;0,1,0)</f>
        <v>0</v>
      </c>
      <c r="C342" s="340">
        <v>0.1</v>
      </c>
      <c r="D342" s="1715">
        <v>80</v>
      </c>
      <c r="E342" s="1715">
        <f>E323</f>
        <v>194</v>
      </c>
      <c r="F342" s="1715">
        <f t="shared" si="83"/>
        <v>0</v>
      </c>
      <c r="G342" s="1715">
        <f>B342*D342</f>
        <v>0</v>
      </c>
      <c r="H342" s="1741">
        <f t="shared" si="85"/>
        <v>0</v>
      </c>
      <c r="L342" s="316">
        <v>214</v>
      </c>
      <c r="M342" s="1314">
        <v>65</v>
      </c>
    </row>
    <row r="343" spans="1:13">
      <c r="A343" s="265" t="s">
        <v>2008</v>
      </c>
      <c r="B343" s="2003">
        <f>IF(U1335&gt;0,1,0)</f>
        <v>0</v>
      </c>
      <c r="C343" s="340">
        <v>0.1</v>
      </c>
      <c r="D343" s="1715">
        <v>80</v>
      </c>
      <c r="E343" s="1715">
        <f>E323</f>
        <v>194</v>
      </c>
      <c r="F343" s="1715">
        <f>B343*C343*E343</f>
        <v>0</v>
      </c>
      <c r="G343" s="1715">
        <f>B343*D343</f>
        <v>0</v>
      </c>
      <c r="H343" s="1741">
        <f t="shared" si="72"/>
        <v>0</v>
      </c>
      <c r="L343" s="316">
        <v>215</v>
      </c>
      <c r="M343" s="1314">
        <v>65</v>
      </c>
    </row>
    <row r="344" spans="1:13">
      <c r="A344" s="265" t="s">
        <v>1736</v>
      </c>
      <c r="B344" s="276">
        <f>IF(Perfiles_usuario!AF235&gt;0,1,0)</f>
        <v>0</v>
      </c>
      <c r="C344" s="340">
        <v>0.1</v>
      </c>
      <c r="D344" s="1715">
        <v>60</v>
      </c>
      <c r="E344" s="1715">
        <f>E323</f>
        <v>194</v>
      </c>
      <c r="F344" s="1715">
        <f t="shared" ref="F344:F345" si="86">B344*C344*E344</f>
        <v>0</v>
      </c>
      <c r="G344" s="1715">
        <f>B344*D344</f>
        <v>0</v>
      </c>
      <c r="H344" s="1741">
        <f t="shared" si="72"/>
        <v>0</v>
      </c>
      <c r="L344" s="316">
        <v>216</v>
      </c>
      <c r="M344" s="1314">
        <v>65</v>
      </c>
    </row>
    <row r="345" spans="1:13">
      <c r="A345" s="265" t="s">
        <v>1086</v>
      </c>
      <c r="B345" s="276">
        <f>IF(OR(Perfiles_usuario!H252&gt;0,Perfiles_usuario!T262&gt;0),1,0)</f>
        <v>0</v>
      </c>
      <c r="C345" s="340">
        <v>0</v>
      </c>
      <c r="D345" s="1715">
        <v>1000000000</v>
      </c>
      <c r="E345" s="1715">
        <f>E323</f>
        <v>194</v>
      </c>
      <c r="F345" s="1715">
        <f t="shared" si="86"/>
        <v>0</v>
      </c>
      <c r="G345" s="1715">
        <f>B345*D345</f>
        <v>0</v>
      </c>
      <c r="H345" s="1741">
        <f t="shared" si="72"/>
        <v>0</v>
      </c>
      <c r="L345" s="316">
        <v>217</v>
      </c>
      <c r="M345" s="1314">
        <v>66</v>
      </c>
    </row>
    <row r="346" spans="1:13" ht="15">
      <c r="A346" s="250"/>
      <c r="B346" s="1716"/>
      <c r="C346" s="239"/>
      <c r="D346" s="239"/>
      <c r="E346" s="1715">
        <f>E324</f>
        <v>194</v>
      </c>
      <c r="F346" s="1715">
        <f>MAX(F324:F345)</f>
        <v>19.400000000000002</v>
      </c>
      <c r="G346" s="1715">
        <f>MAX(G324:G345)</f>
        <v>20</v>
      </c>
      <c r="H346" s="1741">
        <f>MAX(H324:H345)</f>
        <v>19.400000000000002</v>
      </c>
      <c r="L346" s="316">
        <v>218</v>
      </c>
      <c r="M346" s="1314">
        <v>66</v>
      </c>
    </row>
    <row r="347" spans="1:13" ht="15.75" thickBot="1">
      <c r="A347" s="251"/>
      <c r="B347" s="242"/>
      <c r="C347" s="242"/>
      <c r="D347" s="242"/>
      <c r="E347" s="242"/>
      <c r="F347" s="242"/>
      <c r="G347" s="242"/>
      <c r="H347" s="1742">
        <f>IF(E346=0,0,H346/E346)</f>
        <v>0.1</v>
      </c>
      <c r="L347" s="316">
        <v>219</v>
      </c>
      <c r="M347" s="1314">
        <v>66</v>
      </c>
    </row>
    <row r="348" spans="1:13">
      <c r="A348" s="239"/>
      <c r="B348" s="239"/>
      <c r="C348" s="239"/>
      <c r="D348" s="239"/>
      <c r="E348" s="239"/>
      <c r="F348" s="239"/>
      <c r="G348" s="239"/>
      <c r="L348" s="316">
        <v>220</v>
      </c>
      <c r="M348" s="1314">
        <v>66</v>
      </c>
    </row>
    <row r="349" spans="1:13">
      <c r="A349" s="1310"/>
      <c r="B349" s="1310"/>
      <c r="C349" s="1310"/>
      <c r="D349" s="1310"/>
      <c r="E349" s="239"/>
      <c r="F349" s="239"/>
      <c r="G349" s="239"/>
      <c r="L349" s="316">
        <v>221</v>
      </c>
      <c r="M349" s="1314">
        <v>67</v>
      </c>
    </row>
    <row r="350" spans="1:13">
      <c r="A350" s="239"/>
      <c r="B350" s="237"/>
      <c r="C350" s="239"/>
      <c r="D350" s="239"/>
      <c r="E350" s="239"/>
      <c r="F350" s="239"/>
      <c r="G350" s="239"/>
      <c r="L350" s="316">
        <v>222</v>
      </c>
      <c r="M350" s="1314">
        <v>67</v>
      </c>
    </row>
    <row r="351" spans="1:13">
      <c r="A351" s="239"/>
      <c r="B351" s="239"/>
      <c r="C351" s="239"/>
      <c r="D351" s="239"/>
      <c r="E351" s="239"/>
      <c r="F351" s="239"/>
      <c r="G351" s="239"/>
      <c r="L351" s="316">
        <v>223</v>
      </c>
      <c r="M351" s="1314">
        <v>67</v>
      </c>
    </row>
    <row r="352" spans="1:13">
      <c r="A352" s="239"/>
      <c r="B352" s="239"/>
      <c r="C352" s="239"/>
      <c r="D352" s="239"/>
      <c r="E352" s="239"/>
      <c r="F352" s="239"/>
      <c r="G352" s="239"/>
      <c r="L352" s="316">
        <v>224</v>
      </c>
      <c r="M352" s="1314">
        <v>68</v>
      </c>
    </row>
    <row r="353" spans="1:13">
      <c r="A353" s="239"/>
      <c r="B353" s="239"/>
      <c r="C353" s="239"/>
      <c r="D353" s="239"/>
      <c r="E353" s="239"/>
      <c r="F353" s="239"/>
      <c r="G353" s="239"/>
      <c r="L353" s="316">
        <v>225</v>
      </c>
      <c r="M353" s="1314">
        <v>68</v>
      </c>
    </row>
    <row r="354" spans="1:13">
      <c r="A354" s="239"/>
      <c r="B354" s="239"/>
      <c r="C354" s="239"/>
      <c r="D354" s="239"/>
      <c r="E354" s="239"/>
      <c r="F354" s="239"/>
      <c r="G354" s="239"/>
      <c r="L354" s="316">
        <v>226</v>
      </c>
      <c r="M354" s="1314">
        <v>68</v>
      </c>
    </row>
    <row r="355" spans="1:13">
      <c r="A355" s="239"/>
      <c r="B355" s="239"/>
      <c r="C355" s="239"/>
      <c r="D355" s="239"/>
      <c r="E355" s="239"/>
      <c r="F355" s="239"/>
      <c r="G355" s="239"/>
      <c r="L355" s="316">
        <v>227</v>
      </c>
      <c r="M355" s="1314">
        <v>69</v>
      </c>
    </row>
    <row r="356" spans="1:13">
      <c r="A356" s="239"/>
      <c r="B356" s="239"/>
      <c r="C356" s="239"/>
      <c r="D356" s="239"/>
      <c r="E356" s="239"/>
      <c r="F356" s="239"/>
      <c r="G356" s="239"/>
      <c r="L356" s="316">
        <v>228</v>
      </c>
      <c r="M356" s="1314">
        <v>69</v>
      </c>
    </row>
    <row r="357" spans="1:13">
      <c r="L357" s="316">
        <v>229</v>
      </c>
      <c r="M357" s="1314">
        <v>69</v>
      </c>
    </row>
    <row r="358" spans="1:13">
      <c r="L358" s="316">
        <v>230</v>
      </c>
      <c r="M358" s="1314">
        <v>69</v>
      </c>
    </row>
    <row r="359" spans="1:13">
      <c r="L359" s="316">
        <v>231</v>
      </c>
      <c r="M359" s="1314">
        <v>70</v>
      </c>
    </row>
    <row r="360" spans="1:13">
      <c r="L360" s="316">
        <v>232</v>
      </c>
      <c r="M360" s="1314">
        <v>70</v>
      </c>
    </row>
    <row r="361" spans="1:13">
      <c r="L361" s="316">
        <v>233</v>
      </c>
      <c r="M361" s="1314">
        <v>70</v>
      </c>
    </row>
    <row r="362" spans="1:13">
      <c r="L362" s="316">
        <v>234</v>
      </c>
      <c r="M362" s="1314">
        <v>71</v>
      </c>
    </row>
    <row r="363" spans="1:13">
      <c r="L363" s="316">
        <v>235</v>
      </c>
      <c r="M363" s="1314">
        <v>71</v>
      </c>
    </row>
    <row r="364" spans="1:13">
      <c r="L364" s="316">
        <v>236</v>
      </c>
      <c r="M364" s="1314">
        <v>71</v>
      </c>
    </row>
    <row r="365" spans="1:13">
      <c r="L365" s="316">
        <v>237</v>
      </c>
      <c r="M365" s="1314">
        <v>72</v>
      </c>
    </row>
    <row r="366" spans="1:13">
      <c r="L366" s="316">
        <v>238</v>
      </c>
      <c r="M366" s="1314">
        <v>72</v>
      </c>
    </row>
    <row r="367" spans="1:13">
      <c r="L367" s="316">
        <v>239</v>
      </c>
      <c r="M367" s="1314">
        <v>72</v>
      </c>
    </row>
    <row r="368" spans="1:13">
      <c r="L368" s="316">
        <v>240</v>
      </c>
      <c r="M368" s="1314">
        <v>72</v>
      </c>
    </row>
    <row r="369" spans="12:13">
      <c r="L369" s="316">
        <v>241</v>
      </c>
      <c r="M369" s="1314">
        <v>73</v>
      </c>
    </row>
    <row r="370" spans="12:13">
      <c r="L370" s="316">
        <v>242</v>
      </c>
      <c r="M370" s="1314">
        <v>73</v>
      </c>
    </row>
    <row r="371" spans="12:13">
      <c r="L371" s="316">
        <v>243</v>
      </c>
      <c r="M371" s="1314">
        <v>73</v>
      </c>
    </row>
    <row r="372" spans="12:13">
      <c r="L372" s="316">
        <v>244</v>
      </c>
      <c r="M372" s="1314">
        <v>74</v>
      </c>
    </row>
    <row r="373" spans="12:13">
      <c r="L373" s="316">
        <v>245</v>
      </c>
      <c r="M373" s="1314">
        <v>74</v>
      </c>
    </row>
    <row r="374" spans="12:13">
      <c r="L374" s="316">
        <v>246</v>
      </c>
      <c r="M374" s="1314">
        <v>74</v>
      </c>
    </row>
    <row r="375" spans="12:13">
      <c r="L375" s="316">
        <v>247</v>
      </c>
      <c r="M375" s="1314">
        <v>75</v>
      </c>
    </row>
    <row r="376" spans="12:13">
      <c r="L376" s="316">
        <v>248</v>
      </c>
      <c r="M376" s="1314">
        <v>75</v>
      </c>
    </row>
    <row r="377" spans="12:13">
      <c r="L377" s="316">
        <v>249</v>
      </c>
      <c r="M377" s="1314">
        <v>75</v>
      </c>
    </row>
    <row r="378" spans="12:13">
      <c r="L378" s="316">
        <v>250</v>
      </c>
      <c r="M378" s="1314">
        <v>75</v>
      </c>
    </row>
    <row r="379" spans="12:13">
      <c r="L379" s="316">
        <v>251</v>
      </c>
      <c r="M379" s="1314">
        <v>76</v>
      </c>
    </row>
    <row r="380" spans="12:13">
      <c r="L380" s="316">
        <v>252</v>
      </c>
      <c r="M380" s="1314">
        <v>76</v>
      </c>
    </row>
    <row r="381" spans="12:13">
      <c r="L381" s="316">
        <v>253</v>
      </c>
      <c r="M381" s="1314">
        <v>76</v>
      </c>
    </row>
    <row r="382" spans="12:13">
      <c r="L382" s="316">
        <v>254</v>
      </c>
      <c r="M382" s="1314">
        <v>77</v>
      </c>
    </row>
    <row r="383" spans="12:13">
      <c r="L383" s="316">
        <v>255</v>
      </c>
      <c r="M383" s="1314">
        <v>77</v>
      </c>
    </row>
    <row r="384" spans="12:13">
      <c r="L384" s="316">
        <v>256</v>
      </c>
      <c r="M384" s="1314">
        <v>77</v>
      </c>
    </row>
    <row r="385" spans="12:13">
      <c r="L385" s="316">
        <v>257</v>
      </c>
      <c r="M385" s="1314">
        <v>78</v>
      </c>
    </row>
    <row r="386" spans="12:13">
      <c r="L386" s="316">
        <v>258</v>
      </c>
      <c r="M386" s="1314">
        <v>78</v>
      </c>
    </row>
    <row r="387" spans="12:13">
      <c r="L387" s="316">
        <v>259</v>
      </c>
      <c r="M387" s="1314">
        <v>78</v>
      </c>
    </row>
    <row r="388" spans="12:13">
      <c r="L388" s="316">
        <v>260</v>
      </c>
      <c r="M388" s="1314">
        <v>78</v>
      </c>
    </row>
    <row r="389" spans="12:13">
      <c r="L389" s="316">
        <v>261</v>
      </c>
      <c r="M389" s="1314">
        <v>79</v>
      </c>
    </row>
    <row r="390" spans="12:13">
      <c r="L390" s="316">
        <v>262</v>
      </c>
      <c r="M390" s="1314">
        <v>79</v>
      </c>
    </row>
    <row r="391" spans="12:13">
      <c r="L391" s="316">
        <v>263</v>
      </c>
      <c r="M391" s="1314">
        <v>79</v>
      </c>
    </row>
    <row r="392" spans="12:13">
      <c r="L392" s="316">
        <v>264</v>
      </c>
      <c r="M392" s="1314">
        <v>80</v>
      </c>
    </row>
    <row r="393" spans="12:13">
      <c r="L393" s="316">
        <v>265</v>
      </c>
      <c r="M393" s="1314">
        <v>80</v>
      </c>
    </row>
    <row r="394" spans="12:13">
      <c r="L394" s="316">
        <v>266</v>
      </c>
      <c r="M394" s="1314">
        <v>80</v>
      </c>
    </row>
    <row r="395" spans="12:13">
      <c r="L395" s="316">
        <v>267</v>
      </c>
      <c r="M395" s="1314">
        <v>81</v>
      </c>
    </row>
    <row r="396" spans="12:13">
      <c r="L396" s="316">
        <v>268</v>
      </c>
      <c r="M396" s="1314">
        <v>81</v>
      </c>
    </row>
    <row r="397" spans="12:13">
      <c r="L397" s="316">
        <v>269</v>
      </c>
      <c r="M397" s="1314">
        <v>81</v>
      </c>
    </row>
    <row r="398" spans="12:13">
      <c r="L398" s="316">
        <v>270</v>
      </c>
      <c r="M398" s="1314">
        <v>81</v>
      </c>
    </row>
    <row r="399" spans="12:13">
      <c r="L399" s="316">
        <v>271</v>
      </c>
      <c r="M399" s="1314">
        <v>82</v>
      </c>
    </row>
    <row r="400" spans="12:13">
      <c r="L400" s="316">
        <v>272</v>
      </c>
      <c r="M400" s="1314">
        <v>82</v>
      </c>
    </row>
    <row r="401" spans="12:13">
      <c r="L401" s="316">
        <v>273</v>
      </c>
      <c r="M401" s="1314">
        <v>82</v>
      </c>
    </row>
    <row r="402" spans="12:13">
      <c r="L402" s="316">
        <v>274</v>
      </c>
      <c r="M402" s="1314">
        <v>83</v>
      </c>
    </row>
    <row r="403" spans="12:13">
      <c r="L403" s="316">
        <v>275</v>
      </c>
      <c r="M403" s="1314">
        <v>83</v>
      </c>
    </row>
    <row r="404" spans="12:13">
      <c r="L404" s="316">
        <v>276</v>
      </c>
      <c r="M404" s="1314">
        <v>83</v>
      </c>
    </row>
    <row r="405" spans="12:13">
      <c r="L405" s="316">
        <v>277</v>
      </c>
      <c r="M405" s="1314">
        <v>84</v>
      </c>
    </row>
    <row r="406" spans="12:13">
      <c r="L406" s="316">
        <v>278</v>
      </c>
      <c r="M406" s="1314">
        <v>84</v>
      </c>
    </row>
    <row r="407" spans="12:13">
      <c r="L407" s="316">
        <v>279</v>
      </c>
      <c r="M407" s="1314">
        <v>84</v>
      </c>
    </row>
    <row r="408" spans="12:13">
      <c r="L408" s="316">
        <v>280</v>
      </c>
      <c r="M408" s="1314">
        <v>84</v>
      </c>
    </row>
    <row r="409" spans="12:13">
      <c r="L409" s="316">
        <v>281</v>
      </c>
      <c r="M409" s="1314">
        <v>85</v>
      </c>
    </row>
    <row r="410" spans="12:13">
      <c r="L410" s="316">
        <v>282</v>
      </c>
      <c r="M410" s="1314">
        <v>85</v>
      </c>
    </row>
    <row r="411" spans="12:13">
      <c r="L411" s="316">
        <v>283</v>
      </c>
      <c r="M411" s="1314">
        <v>85</v>
      </c>
    </row>
    <row r="412" spans="12:13">
      <c r="L412" s="316">
        <v>284</v>
      </c>
      <c r="M412" s="1314">
        <v>86</v>
      </c>
    </row>
    <row r="413" spans="12:13">
      <c r="L413" s="316">
        <v>285</v>
      </c>
      <c r="M413" s="1314">
        <v>86</v>
      </c>
    </row>
    <row r="414" spans="12:13">
      <c r="L414" s="316">
        <v>286</v>
      </c>
      <c r="M414" s="1314">
        <v>86</v>
      </c>
    </row>
    <row r="415" spans="12:13">
      <c r="L415" s="316">
        <v>287</v>
      </c>
      <c r="M415" s="1314">
        <v>87</v>
      </c>
    </row>
    <row r="416" spans="12:13">
      <c r="L416" s="316">
        <v>288</v>
      </c>
      <c r="M416" s="1314">
        <v>87</v>
      </c>
    </row>
    <row r="417" spans="12:13">
      <c r="L417" s="316">
        <v>289</v>
      </c>
      <c r="M417" s="1314">
        <v>87</v>
      </c>
    </row>
    <row r="418" spans="12:13">
      <c r="L418" s="316">
        <v>290</v>
      </c>
      <c r="M418" s="1314">
        <v>87</v>
      </c>
    </row>
    <row r="419" spans="12:13">
      <c r="L419" s="316">
        <v>291</v>
      </c>
      <c r="M419" s="1314">
        <v>88</v>
      </c>
    </row>
    <row r="420" spans="12:13">
      <c r="L420" s="316">
        <v>292</v>
      </c>
      <c r="M420" s="1314">
        <v>88</v>
      </c>
    </row>
    <row r="421" spans="12:13">
      <c r="L421" s="316">
        <v>293</v>
      </c>
      <c r="M421" s="1314">
        <v>88</v>
      </c>
    </row>
    <row r="422" spans="12:13">
      <c r="L422" s="316">
        <v>294</v>
      </c>
      <c r="M422" s="1314">
        <v>89</v>
      </c>
    </row>
    <row r="423" spans="12:13">
      <c r="L423" s="316">
        <v>295</v>
      </c>
      <c r="M423" s="1314">
        <v>89</v>
      </c>
    </row>
    <row r="424" spans="12:13">
      <c r="L424" s="316">
        <v>296</v>
      </c>
      <c r="M424" s="1314">
        <v>89</v>
      </c>
    </row>
    <row r="425" spans="12:13">
      <c r="L425" s="316">
        <v>297</v>
      </c>
      <c r="M425" s="1314">
        <v>90</v>
      </c>
    </row>
    <row r="426" spans="12:13">
      <c r="L426" s="316">
        <v>298</v>
      </c>
      <c r="M426" s="1314">
        <v>90</v>
      </c>
    </row>
    <row r="427" spans="12:13">
      <c r="L427" s="316">
        <v>299</v>
      </c>
      <c r="M427" s="1314">
        <v>90</v>
      </c>
    </row>
    <row r="428" spans="12:13">
      <c r="L428" s="316">
        <v>300</v>
      </c>
      <c r="M428" s="1314">
        <v>90</v>
      </c>
    </row>
    <row r="429" spans="12:13">
      <c r="L429" s="316">
        <v>301</v>
      </c>
      <c r="M429" s="1314">
        <v>91</v>
      </c>
    </row>
    <row r="430" spans="12:13">
      <c r="L430" s="316">
        <v>302</v>
      </c>
      <c r="M430" s="1314">
        <v>91</v>
      </c>
    </row>
    <row r="431" spans="12:13">
      <c r="L431" s="316">
        <v>303</v>
      </c>
      <c r="M431" s="1314">
        <v>91</v>
      </c>
    </row>
    <row r="432" spans="12:13">
      <c r="L432" s="316">
        <v>304</v>
      </c>
      <c r="M432" s="1314">
        <v>92</v>
      </c>
    </row>
    <row r="433" spans="1:13">
      <c r="L433" s="316">
        <v>305</v>
      </c>
      <c r="M433" s="1314">
        <v>92</v>
      </c>
    </row>
    <row r="434" spans="1:13">
      <c r="A434" s="239"/>
      <c r="B434" s="239"/>
      <c r="C434" s="239"/>
      <c r="D434" s="239"/>
      <c r="E434" s="239"/>
      <c r="F434" s="239"/>
      <c r="G434" s="239"/>
      <c r="H434" s="239"/>
      <c r="L434" s="316">
        <v>306</v>
      </c>
      <c r="M434" s="1314">
        <v>92</v>
      </c>
    </row>
    <row r="435" spans="1:13">
      <c r="A435" s="239"/>
      <c r="B435" s="239"/>
      <c r="C435" s="239"/>
      <c r="D435" s="239"/>
      <c r="E435" s="239"/>
      <c r="F435" s="239"/>
      <c r="G435" s="239"/>
      <c r="H435" s="239"/>
      <c r="L435" s="316">
        <v>307</v>
      </c>
      <c r="M435" s="1314">
        <v>93</v>
      </c>
    </row>
    <row r="436" spans="1:13">
      <c r="A436" s="239"/>
      <c r="B436" s="239"/>
      <c r="C436" s="239"/>
      <c r="D436" s="239"/>
      <c r="E436" s="239"/>
      <c r="F436" s="239"/>
      <c r="G436" s="239"/>
      <c r="H436" s="239"/>
      <c r="L436" s="316">
        <v>308</v>
      </c>
      <c r="M436" s="1314">
        <v>93</v>
      </c>
    </row>
    <row r="437" spans="1:13">
      <c r="A437" s="239"/>
      <c r="B437" s="239"/>
      <c r="C437" s="239"/>
      <c r="D437" s="239"/>
      <c r="E437" s="239"/>
      <c r="F437" s="239"/>
      <c r="G437" s="239"/>
      <c r="H437" s="239"/>
      <c r="L437" s="316">
        <v>309</v>
      </c>
      <c r="M437" s="1314">
        <v>93</v>
      </c>
    </row>
    <row r="438" spans="1:13">
      <c r="A438" s="239"/>
      <c r="B438" s="239"/>
      <c r="C438" s="239"/>
      <c r="D438" s="239"/>
      <c r="E438" s="239"/>
      <c r="F438" s="239"/>
      <c r="G438" s="239"/>
      <c r="H438" s="239"/>
      <c r="L438" s="316">
        <v>310</v>
      </c>
      <c r="M438" s="1314">
        <v>93</v>
      </c>
    </row>
    <row r="439" spans="1:13" ht="15">
      <c r="A439" s="1358"/>
      <c r="B439" s="1358"/>
      <c r="C439" s="1358"/>
      <c r="D439" s="1358"/>
      <c r="E439" s="1358"/>
      <c r="F439" s="239"/>
      <c r="G439" s="239"/>
      <c r="H439" s="239"/>
      <c r="L439" s="316">
        <v>311</v>
      </c>
      <c r="M439" s="1314">
        <v>94</v>
      </c>
    </row>
    <row r="440" spans="1:13">
      <c r="A440" s="276"/>
      <c r="B440" s="276"/>
      <c r="C440" s="276"/>
      <c r="D440" s="276"/>
      <c r="E440" s="276"/>
      <c r="F440" s="276"/>
      <c r="G440" s="239"/>
      <c r="H440" s="239"/>
      <c r="L440" s="316">
        <v>312</v>
      </c>
      <c r="M440" s="1314">
        <v>94</v>
      </c>
    </row>
    <row r="441" spans="1:13">
      <c r="A441" s="276"/>
      <c r="B441" s="276"/>
      <c r="C441" s="276"/>
      <c r="D441" s="276"/>
      <c r="E441" s="276"/>
      <c r="F441" s="276"/>
      <c r="G441" s="239"/>
      <c r="H441" s="239"/>
      <c r="L441" s="316">
        <v>313</v>
      </c>
      <c r="M441" s="1314">
        <v>94</v>
      </c>
    </row>
    <row r="442" spans="1:13">
      <c r="A442" s="276"/>
      <c r="B442" s="276"/>
      <c r="C442" s="276"/>
      <c r="D442" s="276"/>
      <c r="E442" s="276"/>
      <c r="F442" s="276"/>
      <c r="G442" s="239"/>
      <c r="H442" s="239"/>
      <c r="L442" s="316">
        <v>314</v>
      </c>
      <c r="M442" s="1314">
        <v>95</v>
      </c>
    </row>
    <row r="443" spans="1:13">
      <c r="A443" s="276"/>
      <c r="B443" s="276"/>
      <c r="C443" s="276"/>
      <c r="D443" s="276"/>
      <c r="E443" s="276"/>
      <c r="F443" s="276"/>
      <c r="G443" s="239"/>
      <c r="H443" s="239"/>
      <c r="L443" s="316">
        <v>315</v>
      </c>
      <c r="M443" s="1314">
        <v>95</v>
      </c>
    </row>
    <row r="444" spans="1:13">
      <c r="A444" s="276"/>
      <c r="B444" s="276"/>
      <c r="C444" s="276"/>
      <c r="D444" s="276"/>
      <c r="E444" s="276"/>
      <c r="F444" s="276"/>
      <c r="G444" s="239"/>
      <c r="H444" s="239"/>
      <c r="L444" s="316">
        <v>316</v>
      </c>
      <c r="M444" s="1314">
        <v>95</v>
      </c>
    </row>
    <row r="445" spans="1:13">
      <c r="A445" s="276"/>
      <c r="B445" s="276"/>
      <c r="C445" s="276"/>
      <c r="D445" s="276"/>
      <c r="E445" s="276"/>
      <c r="F445" s="276"/>
      <c r="G445" s="239"/>
      <c r="H445" s="239"/>
      <c r="L445" s="316">
        <v>317</v>
      </c>
      <c r="M445" s="1314">
        <v>96</v>
      </c>
    </row>
    <row r="446" spans="1:13">
      <c r="A446" s="276"/>
      <c r="B446" s="276"/>
      <c r="C446" s="276"/>
      <c r="D446" s="276"/>
      <c r="E446" s="276"/>
      <c r="F446" s="276"/>
      <c r="G446" s="239"/>
      <c r="H446" s="239"/>
      <c r="L446" s="316">
        <v>318</v>
      </c>
      <c r="M446" s="1314">
        <v>96</v>
      </c>
    </row>
    <row r="447" spans="1:13">
      <c r="A447" s="276"/>
      <c r="B447" s="276"/>
      <c r="C447" s="276"/>
      <c r="D447" s="276"/>
      <c r="E447" s="276"/>
      <c r="F447" s="276"/>
      <c r="G447" s="239"/>
      <c r="H447" s="239"/>
      <c r="L447" s="316">
        <v>319</v>
      </c>
      <c r="M447" s="1314">
        <v>96</v>
      </c>
    </row>
    <row r="448" spans="1:13">
      <c r="A448" s="276"/>
      <c r="B448" s="276"/>
      <c r="C448" s="276"/>
      <c r="D448" s="276"/>
      <c r="E448" s="276"/>
      <c r="F448" s="276"/>
      <c r="G448" s="239"/>
      <c r="H448" s="239"/>
      <c r="L448" s="316">
        <v>320</v>
      </c>
      <c r="M448" s="1314">
        <v>96</v>
      </c>
    </row>
    <row r="449" spans="1:13">
      <c r="A449" s="276"/>
      <c r="B449" s="276"/>
      <c r="C449" s="276"/>
      <c r="D449" s="276"/>
      <c r="E449" s="276"/>
      <c r="F449" s="276"/>
      <c r="G449" s="239"/>
      <c r="H449" s="239"/>
      <c r="L449" s="316">
        <v>321</v>
      </c>
      <c r="M449" s="1314">
        <v>97</v>
      </c>
    </row>
    <row r="450" spans="1:13">
      <c r="A450" s="276"/>
      <c r="B450" s="276"/>
      <c r="C450" s="276"/>
      <c r="D450" s="276"/>
      <c r="E450" s="276"/>
      <c r="F450" s="276"/>
      <c r="G450" s="239"/>
      <c r="H450" s="239"/>
      <c r="L450" s="316">
        <v>322</v>
      </c>
      <c r="M450" s="1314">
        <v>97</v>
      </c>
    </row>
    <row r="451" spans="1:13">
      <c r="A451" s="276"/>
      <c r="B451" s="276"/>
      <c r="C451" s="276"/>
      <c r="D451" s="276"/>
      <c r="E451" s="276"/>
      <c r="F451" s="276"/>
      <c r="G451" s="239"/>
      <c r="H451" s="239"/>
      <c r="L451" s="316">
        <v>323</v>
      </c>
      <c r="M451" s="1314">
        <v>97</v>
      </c>
    </row>
    <row r="452" spans="1:13">
      <c r="A452" s="276"/>
      <c r="B452" s="276"/>
      <c r="C452" s="276"/>
      <c r="D452" s="276"/>
      <c r="E452" s="276"/>
      <c r="F452" s="276"/>
      <c r="G452" s="239"/>
      <c r="H452" s="239"/>
      <c r="L452" s="316">
        <v>324</v>
      </c>
      <c r="M452" s="1314">
        <v>98</v>
      </c>
    </row>
    <row r="453" spans="1:13">
      <c r="A453" s="276"/>
      <c r="B453" s="276"/>
      <c r="C453" s="276"/>
      <c r="D453" s="276"/>
      <c r="E453" s="276"/>
      <c r="F453" s="276"/>
      <c r="G453" s="239"/>
      <c r="H453" s="239"/>
      <c r="L453" s="316">
        <v>325</v>
      </c>
      <c r="M453" s="1314">
        <v>98</v>
      </c>
    </row>
    <row r="454" spans="1:13">
      <c r="A454" s="276"/>
      <c r="B454" s="276"/>
      <c r="C454" s="276"/>
      <c r="D454" s="276"/>
      <c r="E454" s="276"/>
      <c r="F454" s="276"/>
      <c r="G454" s="239"/>
      <c r="H454" s="239"/>
      <c r="L454" s="316">
        <v>326</v>
      </c>
      <c r="M454" s="1314">
        <v>98</v>
      </c>
    </row>
    <row r="455" spans="1:13">
      <c r="A455" s="276"/>
      <c r="B455" s="276"/>
      <c r="C455" s="276"/>
      <c r="D455" s="276"/>
      <c r="E455" s="276"/>
      <c r="F455" s="276"/>
      <c r="G455" s="239"/>
      <c r="H455" s="239"/>
      <c r="L455" s="316">
        <v>327</v>
      </c>
      <c r="M455" s="1314">
        <v>99</v>
      </c>
    </row>
    <row r="456" spans="1:13">
      <c r="A456" s="276"/>
      <c r="B456" s="276"/>
      <c r="C456" s="276"/>
      <c r="D456" s="276"/>
      <c r="E456" s="276"/>
      <c r="F456" s="276"/>
      <c r="G456" s="239"/>
      <c r="H456" s="239"/>
      <c r="L456" s="316">
        <v>328</v>
      </c>
      <c r="M456" s="1314">
        <v>99</v>
      </c>
    </row>
    <row r="457" spans="1:13">
      <c r="A457" s="276"/>
      <c r="B457" s="276"/>
      <c r="C457" s="276"/>
      <c r="D457" s="276"/>
      <c r="E457" s="276"/>
      <c r="F457" s="276"/>
      <c r="G457" s="239"/>
      <c r="H457" s="239"/>
      <c r="L457" s="316">
        <v>329</v>
      </c>
      <c r="M457" s="1314">
        <v>99</v>
      </c>
    </row>
    <row r="458" spans="1:13">
      <c r="A458" s="276"/>
      <c r="B458" s="276"/>
      <c r="C458" s="276"/>
      <c r="D458" s="276"/>
      <c r="E458" s="276"/>
      <c r="F458" s="276"/>
      <c r="G458" s="239"/>
      <c r="H458" s="239"/>
      <c r="L458" s="316">
        <v>330</v>
      </c>
      <c r="M458" s="1314">
        <v>99</v>
      </c>
    </row>
    <row r="459" spans="1:13">
      <c r="A459" s="276"/>
      <c r="B459" s="276"/>
      <c r="C459" s="276"/>
      <c r="D459" s="276"/>
      <c r="E459" s="276"/>
      <c r="F459" s="276"/>
      <c r="G459" s="239"/>
      <c r="H459" s="239"/>
      <c r="L459" s="316">
        <v>331</v>
      </c>
      <c r="M459" s="1314">
        <v>100</v>
      </c>
    </row>
    <row r="460" spans="1:13">
      <c r="A460" s="276"/>
      <c r="B460" s="276"/>
      <c r="C460" s="276"/>
      <c r="D460" s="276"/>
      <c r="E460" s="276"/>
      <c r="F460" s="276"/>
      <c r="G460" s="239"/>
      <c r="H460" s="239"/>
      <c r="L460" s="316">
        <v>332</v>
      </c>
      <c r="M460" s="1314">
        <v>100</v>
      </c>
    </row>
    <row r="461" spans="1:13">
      <c r="A461" s="276"/>
      <c r="B461" s="276"/>
      <c r="C461" s="276"/>
      <c r="D461" s="276"/>
      <c r="E461" s="276"/>
      <c r="F461" s="276"/>
      <c r="G461" s="239"/>
      <c r="H461" s="239"/>
      <c r="L461" s="316">
        <v>333</v>
      </c>
      <c r="M461" s="1314">
        <v>100</v>
      </c>
    </row>
    <row r="462" spans="1:13">
      <c r="A462" s="276"/>
      <c r="B462" s="276"/>
      <c r="C462" s="276"/>
      <c r="D462" s="276"/>
      <c r="E462" s="276"/>
      <c r="F462" s="276"/>
      <c r="G462" s="239"/>
      <c r="H462" s="239"/>
      <c r="L462" s="316">
        <v>334</v>
      </c>
      <c r="M462" s="1314">
        <v>101</v>
      </c>
    </row>
    <row r="463" spans="1:13">
      <c r="A463" s="276"/>
      <c r="B463" s="276"/>
      <c r="C463" s="276"/>
      <c r="D463" s="276"/>
      <c r="E463" s="276"/>
      <c r="F463" s="276"/>
      <c r="G463" s="239"/>
      <c r="H463" s="239"/>
      <c r="L463" s="316">
        <v>335</v>
      </c>
      <c r="M463" s="1314">
        <v>101</v>
      </c>
    </row>
    <row r="464" spans="1:13">
      <c r="A464" s="276"/>
      <c r="B464" s="276"/>
      <c r="C464" s="276"/>
      <c r="D464" s="276"/>
      <c r="E464" s="276"/>
      <c r="F464" s="276"/>
      <c r="G464" s="239"/>
      <c r="H464" s="239"/>
      <c r="L464" s="316">
        <v>336</v>
      </c>
      <c r="M464" s="1314">
        <v>101</v>
      </c>
    </row>
    <row r="465" spans="1:13">
      <c r="A465" s="276"/>
      <c r="B465" s="276"/>
      <c r="C465" s="276"/>
      <c r="D465" s="276"/>
      <c r="E465" s="276"/>
      <c r="F465" s="276"/>
      <c r="G465" s="239"/>
      <c r="H465" s="239"/>
      <c r="L465" s="316">
        <v>337</v>
      </c>
      <c r="M465" s="1314">
        <v>102</v>
      </c>
    </row>
    <row r="466" spans="1:13">
      <c r="A466" s="276"/>
      <c r="B466" s="276"/>
      <c r="C466" s="276"/>
      <c r="D466" s="276"/>
      <c r="E466" s="276"/>
      <c r="F466" s="276"/>
      <c r="G466" s="239"/>
      <c r="H466" s="239"/>
      <c r="L466" s="316">
        <v>338</v>
      </c>
      <c r="M466" s="1314">
        <v>102</v>
      </c>
    </row>
    <row r="467" spans="1:13">
      <c r="A467" s="276"/>
      <c r="B467" s="276"/>
      <c r="C467" s="276"/>
      <c r="D467" s="276"/>
      <c r="E467" s="276"/>
      <c r="F467" s="276"/>
      <c r="G467" s="239"/>
      <c r="H467" s="239"/>
      <c r="L467" s="316">
        <v>339</v>
      </c>
      <c r="M467" s="1314">
        <v>102</v>
      </c>
    </row>
    <row r="468" spans="1:13">
      <c r="A468" s="276"/>
      <c r="B468" s="276"/>
      <c r="C468" s="276"/>
      <c r="D468" s="276"/>
      <c r="E468" s="276"/>
      <c r="F468" s="276"/>
      <c r="G468" s="239"/>
      <c r="H468" s="239"/>
      <c r="L468" s="316">
        <v>340</v>
      </c>
      <c r="M468" s="1314">
        <v>102</v>
      </c>
    </row>
    <row r="469" spans="1:13">
      <c r="A469" s="276"/>
      <c r="B469" s="276"/>
      <c r="C469" s="276"/>
      <c r="D469" s="276"/>
      <c r="E469" s="276"/>
      <c r="F469" s="276"/>
      <c r="G469" s="239"/>
      <c r="H469" s="239"/>
      <c r="L469" s="316">
        <v>341</v>
      </c>
      <c r="M469" s="1314">
        <v>103</v>
      </c>
    </row>
    <row r="470" spans="1:13">
      <c r="A470" s="276"/>
      <c r="B470" s="276"/>
      <c r="C470" s="276"/>
      <c r="D470" s="276"/>
      <c r="E470" s="276"/>
      <c r="F470" s="276"/>
      <c r="G470" s="239"/>
      <c r="H470" s="239"/>
      <c r="L470" s="316">
        <v>342</v>
      </c>
      <c r="M470" s="1314">
        <v>103</v>
      </c>
    </row>
    <row r="471" spans="1:13">
      <c r="A471" s="276"/>
      <c r="B471" s="276"/>
      <c r="C471" s="276"/>
      <c r="D471" s="276"/>
      <c r="E471" s="276"/>
      <c r="F471" s="276"/>
      <c r="G471" s="239"/>
      <c r="H471" s="239"/>
      <c r="L471" s="316">
        <v>343</v>
      </c>
      <c r="M471" s="1314">
        <v>103</v>
      </c>
    </row>
    <row r="472" spans="1:13">
      <c r="A472" s="276"/>
      <c r="B472" s="276"/>
      <c r="C472" s="276"/>
      <c r="D472" s="276"/>
      <c r="E472" s="276"/>
      <c r="F472" s="276"/>
      <c r="G472" s="239"/>
      <c r="H472" s="239"/>
      <c r="L472" s="316">
        <v>344</v>
      </c>
      <c r="M472" s="1314">
        <v>104</v>
      </c>
    </row>
    <row r="473" spans="1:13">
      <c r="A473" s="276"/>
      <c r="B473" s="276"/>
      <c r="C473" s="276"/>
      <c r="D473" s="276"/>
      <c r="E473" s="276"/>
      <c r="F473" s="276"/>
      <c r="G473" s="239"/>
      <c r="H473" s="239"/>
      <c r="L473" s="316">
        <v>345</v>
      </c>
      <c r="M473" s="1314">
        <v>104</v>
      </c>
    </row>
    <row r="474" spans="1:13">
      <c r="A474" s="276"/>
      <c r="B474" s="276"/>
      <c r="C474" s="276"/>
      <c r="D474" s="276"/>
      <c r="E474" s="276"/>
      <c r="F474" s="276"/>
      <c r="G474" s="239"/>
      <c r="H474" s="239"/>
      <c r="L474" s="316">
        <v>346</v>
      </c>
      <c r="M474" s="1314">
        <v>104</v>
      </c>
    </row>
    <row r="475" spans="1:13">
      <c r="A475" s="276"/>
      <c r="B475" s="276"/>
      <c r="C475" s="276"/>
      <c r="D475" s="276"/>
      <c r="E475" s="276"/>
      <c r="F475" s="276"/>
      <c r="G475" s="239"/>
      <c r="H475" s="239"/>
      <c r="L475" s="316">
        <v>347</v>
      </c>
      <c r="M475" s="1314">
        <v>105</v>
      </c>
    </row>
    <row r="476" spans="1:13">
      <c r="A476" s="276"/>
      <c r="B476" s="276"/>
      <c r="C476" s="276"/>
      <c r="D476" s="276"/>
      <c r="E476" s="276"/>
      <c r="F476" s="276"/>
      <c r="G476" s="239"/>
      <c r="H476" s="239"/>
      <c r="L476" s="316">
        <v>348</v>
      </c>
      <c r="M476" s="1314">
        <v>105</v>
      </c>
    </row>
    <row r="477" spans="1:13">
      <c r="A477" s="276"/>
      <c r="B477" s="276"/>
      <c r="C477" s="276"/>
      <c r="D477" s="276"/>
      <c r="E477" s="276"/>
      <c r="F477" s="276"/>
      <c r="G477" s="239"/>
      <c r="H477" s="239"/>
      <c r="L477" s="316">
        <v>349</v>
      </c>
      <c r="M477" s="1314">
        <v>105</v>
      </c>
    </row>
    <row r="478" spans="1:13">
      <c r="A478" s="276"/>
      <c r="B478" s="276"/>
      <c r="C478" s="276"/>
      <c r="D478" s="276"/>
      <c r="E478" s="276"/>
      <c r="F478" s="276"/>
      <c r="G478" s="239"/>
      <c r="H478" s="239"/>
      <c r="L478" s="316">
        <v>350</v>
      </c>
      <c r="M478" s="1314">
        <v>105</v>
      </c>
    </row>
    <row r="479" spans="1:13">
      <c r="A479" s="276"/>
      <c r="B479" s="276"/>
      <c r="C479" s="276"/>
      <c r="D479" s="276"/>
      <c r="E479" s="276"/>
      <c r="F479" s="276"/>
      <c r="G479" s="239"/>
      <c r="H479" s="239"/>
      <c r="L479" s="316">
        <v>351</v>
      </c>
      <c r="M479" s="1314">
        <v>106</v>
      </c>
    </row>
    <row r="480" spans="1:13">
      <c r="A480" s="239"/>
      <c r="B480" s="239"/>
      <c r="C480" s="239"/>
      <c r="D480" s="239"/>
      <c r="E480" s="239"/>
      <c r="F480" s="276"/>
      <c r="G480" s="239"/>
      <c r="H480" s="239"/>
      <c r="L480" s="316">
        <v>352</v>
      </c>
      <c r="M480" s="1314">
        <v>106</v>
      </c>
    </row>
    <row r="481" spans="1:13">
      <c r="A481" s="239"/>
      <c r="B481" s="239"/>
      <c r="C481" s="239"/>
      <c r="D481" s="239"/>
      <c r="E481" s="239"/>
      <c r="F481" s="239"/>
      <c r="G481" s="239"/>
      <c r="H481" s="239"/>
      <c r="L481" s="316">
        <v>353</v>
      </c>
      <c r="M481" s="1314">
        <v>106</v>
      </c>
    </row>
    <row r="482" spans="1:13" ht="15">
      <c r="A482" s="1358"/>
      <c r="B482" s="1358"/>
      <c r="C482" s="1358"/>
      <c r="D482" s="1358"/>
      <c r="E482" s="1358"/>
      <c r="F482" s="1358"/>
      <c r="G482" s="239"/>
      <c r="H482" s="239"/>
      <c r="L482" s="316">
        <v>354</v>
      </c>
      <c r="M482" s="1314">
        <v>107</v>
      </c>
    </row>
    <row r="483" spans="1:13" ht="15">
      <c r="A483" s="276"/>
      <c r="B483" s="1321"/>
      <c r="C483" s="1321"/>
      <c r="D483" s="1321"/>
      <c r="E483" s="1321"/>
      <c r="F483" s="1357"/>
      <c r="G483" s="1321"/>
      <c r="H483" s="239"/>
      <c r="L483" s="316">
        <v>355</v>
      </c>
      <c r="M483" s="1314">
        <v>107</v>
      </c>
    </row>
    <row r="484" spans="1:13" ht="15">
      <c r="A484" s="276"/>
      <c r="B484" s="1321"/>
      <c r="C484" s="1321"/>
      <c r="D484" s="1321"/>
      <c r="E484" s="1321"/>
      <c r="F484" s="1357"/>
      <c r="G484" s="1321"/>
      <c r="H484" s="239"/>
      <c r="L484" s="316">
        <v>356</v>
      </c>
      <c r="M484" s="1314">
        <v>107</v>
      </c>
    </row>
    <row r="485" spans="1:13" ht="15">
      <c r="A485" s="276"/>
      <c r="B485" s="1321"/>
      <c r="C485" s="1321"/>
      <c r="D485" s="1321"/>
      <c r="E485" s="1321"/>
      <c r="F485" s="1357"/>
      <c r="G485" s="1321"/>
      <c r="H485" s="239"/>
      <c r="L485" s="316">
        <v>357</v>
      </c>
      <c r="M485" s="1314">
        <v>108</v>
      </c>
    </row>
    <row r="486" spans="1:13" ht="15">
      <c r="A486" s="276"/>
      <c r="B486" s="1321"/>
      <c r="C486" s="1321"/>
      <c r="D486" s="1321"/>
      <c r="E486" s="1321"/>
      <c r="F486" s="1357"/>
      <c r="G486" s="1321"/>
      <c r="H486" s="239"/>
      <c r="L486" s="316">
        <v>358</v>
      </c>
      <c r="M486" s="1314">
        <v>108</v>
      </c>
    </row>
    <row r="487" spans="1:13" ht="15">
      <c r="A487" s="276"/>
      <c r="B487" s="1321"/>
      <c r="C487" s="1321"/>
      <c r="D487" s="1321"/>
      <c r="E487" s="1321"/>
      <c r="F487" s="1357"/>
      <c r="G487" s="1321"/>
      <c r="H487" s="239"/>
      <c r="L487" s="316">
        <v>359</v>
      </c>
      <c r="M487" s="1314">
        <v>108</v>
      </c>
    </row>
    <row r="488" spans="1:13" ht="15">
      <c r="A488" s="276"/>
      <c r="B488" s="1321"/>
      <c r="C488" s="1321"/>
      <c r="D488" s="1321"/>
      <c r="E488" s="1321"/>
      <c r="F488" s="1357"/>
      <c r="G488" s="1321"/>
      <c r="H488" s="239"/>
      <c r="L488" s="316">
        <v>360</v>
      </c>
      <c r="M488" s="1314">
        <v>108</v>
      </c>
    </row>
    <row r="489" spans="1:13" ht="15">
      <c r="A489" s="276"/>
      <c r="B489" s="1321"/>
      <c r="C489" s="1321"/>
      <c r="D489" s="1321"/>
      <c r="E489" s="1321"/>
      <c r="F489" s="1357"/>
      <c r="G489" s="1321"/>
      <c r="H489" s="239"/>
      <c r="L489" s="316">
        <v>361</v>
      </c>
      <c r="M489" s="1314">
        <v>109</v>
      </c>
    </row>
    <row r="490" spans="1:13" ht="15">
      <c r="A490" s="276"/>
      <c r="B490" s="1321"/>
      <c r="C490" s="1321"/>
      <c r="D490" s="1321"/>
      <c r="E490" s="1321"/>
      <c r="F490" s="1357"/>
      <c r="G490" s="1321"/>
      <c r="H490" s="239"/>
      <c r="L490" s="316">
        <v>362</v>
      </c>
      <c r="M490" s="1314">
        <v>109</v>
      </c>
    </row>
    <row r="491" spans="1:13" ht="15">
      <c r="A491" s="276"/>
      <c r="B491" s="1321"/>
      <c r="C491" s="1321"/>
      <c r="D491" s="1321"/>
      <c r="E491" s="1321"/>
      <c r="F491" s="1357"/>
      <c r="G491" s="1321"/>
      <c r="H491" s="239"/>
      <c r="L491" s="316">
        <v>363</v>
      </c>
      <c r="M491" s="1314">
        <v>109</v>
      </c>
    </row>
    <row r="492" spans="1:13" ht="15">
      <c r="A492" s="276"/>
      <c r="B492" s="1321"/>
      <c r="C492" s="1321"/>
      <c r="D492" s="1321"/>
      <c r="E492" s="1321"/>
      <c r="F492" s="1357"/>
      <c r="G492" s="1321"/>
      <c r="H492" s="239"/>
      <c r="L492" s="316">
        <v>364</v>
      </c>
      <c r="M492" s="1314">
        <v>110</v>
      </c>
    </row>
    <row r="493" spans="1:13" ht="15">
      <c r="A493" s="276"/>
      <c r="B493" s="1321"/>
      <c r="C493" s="1321"/>
      <c r="D493" s="1321"/>
      <c r="E493" s="1321"/>
      <c r="F493" s="1357"/>
      <c r="G493" s="1321"/>
      <c r="H493" s="239"/>
      <c r="L493" s="316">
        <v>365</v>
      </c>
      <c r="M493" s="1314">
        <v>110</v>
      </c>
    </row>
    <row r="494" spans="1:13" ht="15">
      <c r="A494" s="276"/>
      <c r="B494" s="1321"/>
      <c r="C494" s="1321"/>
      <c r="D494" s="1321"/>
      <c r="E494" s="1321"/>
      <c r="F494" s="1357"/>
      <c r="G494" s="239"/>
      <c r="H494" s="239"/>
      <c r="L494" s="316">
        <v>366</v>
      </c>
      <c r="M494" s="1314">
        <v>110</v>
      </c>
    </row>
    <row r="495" spans="1:13" ht="15">
      <c r="A495" s="276"/>
      <c r="B495" s="1321"/>
      <c r="C495" s="1321"/>
      <c r="D495" s="1321"/>
      <c r="E495" s="1321"/>
      <c r="F495" s="1357"/>
      <c r="G495" s="239"/>
      <c r="H495" s="239"/>
      <c r="L495" s="316">
        <v>367</v>
      </c>
      <c r="M495" s="1314">
        <v>111</v>
      </c>
    </row>
    <row r="496" spans="1:13" ht="15">
      <c r="A496" s="276"/>
      <c r="B496" s="1321"/>
      <c r="C496" s="1321"/>
      <c r="D496" s="1321"/>
      <c r="E496" s="1321"/>
      <c r="F496" s="1357"/>
      <c r="G496" s="239"/>
      <c r="H496" s="239"/>
      <c r="L496" s="316">
        <v>368</v>
      </c>
      <c r="M496" s="1314">
        <v>111</v>
      </c>
    </row>
    <row r="497" spans="1:13" ht="15">
      <c r="A497" s="276"/>
      <c r="B497" s="1321"/>
      <c r="C497" s="1321"/>
      <c r="D497" s="1321"/>
      <c r="E497" s="1321"/>
      <c r="F497" s="1357"/>
      <c r="G497" s="239"/>
      <c r="H497" s="239"/>
      <c r="L497" s="316">
        <v>369</v>
      </c>
      <c r="M497" s="1314">
        <v>111</v>
      </c>
    </row>
    <row r="498" spans="1:13" ht="15">
      <c r="A498" s="276"/>
      <c r="B498" s="1321"/>
      <c r="C498" s="1321"/>
      <c r="D498" s="1321"/>
      <c r="E498" s="1321"/>
      <c r="F498" s="1357"/>
      <c r="G498" s="239"/>
      <c r="H498" s="239"/>
      <c r="L498" s="316">
        <v>370</v>
      </c>
      <c r="M498" s="1314">
        <v>111</v>
      </c>
    </row>
    <row r="499" spans="1:13" ht="15">
      <c r="A499" s="276"/>
      <c r="B499" s="1321"/>
      <c r="C499" s="1321"/>
      <c r="D499" s="1321"/>
      <c r="E499" s="1321"/>
      <c r="F499" s="1357"/>
      <c r="G499" s="239"/>
      <c r="H499" s="239"/>
      <c r="L499" s="316">
        <v>371</v>
      </c>
      <c r="M499" s="1314">
        <v>112</v>
      </c>
    </row>
    <row r="500" spans="1:13" ht="15">
      <c r="A500" s="276"/>
      <c r="B500" s="1321"/>
      <c r="C500" s="1321"/>
      <c r="D500" s="1321"/>
      <c r="E500" s="1321"/>
      <c r="F500" s="1357"/>
      <c r="G500" s="239"/>
      <c r="H500" s="239"/>
      <c r="L500" s="316">
        <v>372</v>
      </c>
      <c r="M500" s="1314">
        <v>112</v>
      </c>
    </row>
    <row r="501" spans="1:13" ht="15">
      <c r="A501" s="276"/>
      <c r="B501" s="1321"/>
      <c r="C501" s="1321"/>
      <c r="D501" s="1321"/>
      <c r="E501" s="1321"/>
      <c r="F501" s="1357"/>
      <c r="G501" s="239"/>
      <c r="H501" s="239"/>
      <c r="L501" s="316">
        <v>373</v>
      </c>
      <c r="M501" s="1314">
        <v>112</v>
      </c>
    </row>
    <row r="502" spans="1:13" ht="15">
      <c r="A502" s="276"/>
      <c r="B502" s="1321"/>
      <c r="C502" s="1321"/>
      <c r="D502" s="1321"/>
      <c r="E502" s="1321"/>
      <c r="F502" s="1357"/>
      <c r="G502" s="239"/>
      <c r="H502" s="239"/>
      <c r="L502" s="316">
        <v>374</v>
      </c>
      <c r="M502" s="1314">
        <v>113</v>
      </c>
    </row>
    <row r="503" spans="1:13" ht="15">
      <c r="A503" s="276"/>
      <c r="B503" s="1321"/>
      <c r="C503" s="1321"/>
      <c r="D503" s="1321"/>
      <c r="E503" s="1321"/>
      <c r="F503" s="1357"/>
      <c r="G503" s="239"/>
      <c r="H503" s="239"/>
      <c r="L503" s="316">
        <v>375</v>
      </c>
      <c r="M503" s="1314">
        <v>113</v>
      </c>
    </row>
    <row r="504" spans="1:13" ht="15">
      <c r="A504" s="276"/>
      <c r="B504" s="1321"/>
      <c r="C504" s="1321"/>
      <c r="D504" s="1321"/>
      <c r="E504" s="1321"/>
      <c r="F504" s="1357"/>
      <c r="G504" s="239"/>
      <c r="H504" s="239"/>
      <c r="L504" s="316">
        <v>376</v>
      </c>
      <c r="M504" s="1314">
        <v>113</v>
      </c>
    </row>
    <row r="505" spans="1:13" ht="15">
      <c r="A505" s="276"/>
      <c r="B505" s="1321"/>
      <c r="C505" s="1321"/>
      <c r="D505" s="1321"/>
      <c r="E505" s="1321"/>
      <c r="F505" s="1357"/>
      <c r="G505" s="239"/>
      <c r="H505" s="239"/>
      <c r="L505" s="316">
        <v>377</v>
      </c>
      <c r="M505" s="1314">
        <v>114</v>
      </c>
    </row>
    <row r="506" spans="1:13" ht="15">
      <c r="A506" s="276"/>
      <c r="B506" s="1321"/>
      <c r="C506" s="1321"/>
      <c r="D506" s="1321"/>
      <c r="E506" s="1321"/>
      <c r="F506" s="1357"/>
      <c r="G506" s="239"/>
      <c r="H506" s="239"/>
      <c r="L506" s="316">
        <v>378</v>
      </c>
      <c r="M506" s="1314">
        <v>114</v>
      </c>
    </row>
    <row r="507" spans="1:13" ht="15">
      <c r="A507" s="276"/>
      <c r="B507" s="1321"/>
      <c r="C507" s="1321"/>
      <c r="D507" s="1321"/>
      <c r="E507" s="1321"/>
      <c r="F507" s="1357"/>
      <c r="G507" s="239"/>
      <c r="H507" s="239"/>
      <c r="L507" s="316">
        <v>379</v>
      </c>
      <c r="M507" s="1314">
        <v>114</v>
      </c>
    </row>
    <row r="508" spans="1:13" ht="15">
      <c r="A508" s="276"/>
      <c r="B508" s="1321"/>
      <c r="C508" s="1321"/>
      <c r="D508" s="1321"/>
      <c r="E508" s="1321"/>
      <c r="F508" s="1357"/>
      <c r="G508" s="239"/>
      <c r="H508" s="239"/>
      <c r="L508" s="316">
        <v>380</v>
      </c>
      <c r="M508" s="1314">
        <v>114</v>
      </c>
    </row>
    <row r="509" spans="1:13" ht="15">
      <c r="A509" s="276"/>
      <c r="B509" s="1321"/>
      <c r="C509" s="1321"/>
      <c r="D509" s="1321"/>
      <c r="E509" s="1321"/>
      <c r="F509" s="1357"/>
      <c r="G509" s="239"/>
      <c r="H509" s="239"/>
      <c r="L509" s="316">
        <v>381</v>
      </c>
      <c r="M509" s="1314">
        <v>115</v>
      </c>
    </row>
    <row r="510" spans="1:13" ht="15">
      <c r="A510" s="276"/>
      <c r="B510" s="1321"/>
      <c r="C510" s="1321"/>
      <c r="D510" s="1321"/>
      <c r="E510" s="1321"/>
      <c r="F510" s="1357"/>
      <c r="G510" s="239"/>
      <c r="H510" s="239"/>
      <c r="L510" s="316">
        <v>382</v>
      </c>
      <c r="M510" s="1314">
        <v>115</v>
      </c>
    </row>
    <row r="511" spans="1:13" ht="15">
      <c r="A511" s="276"/>
      <c r="B511" s="1321"/>
      <c r="C511" s="1321"/>
      <c r="D511" s="1321"/>
      <c r="E511" s="1321"/>
      <c r="F511" s="1357"/>
      <c r="G511" s="239"/>
      <c r="H511" s="239"/>
      <c r="L511" s="316">
        <v>383</v>
      </c>
      <c r="M511" s="1314">
        <v>115</v>
      </c>
    </row>
    <row r="512" spans="1:13" ht="15">
      <c r="A512" s="276"/>
      <c r="B512" s="1321"/>
      <c r="C512" s="1321"/>
      <c r="D512" s="1321"/>
      <c r="E512" s="1321"/>
      <c r="F512" s="1357"/>
      <c r="G512" s="239"/>
      <c r="H512" s="239"/>
      <c r="L512" s="316">
        <v>384</v>
      </c>
      <c r="M512" s="1314">
        <v>116</v>
      </c>
    </row>
    <row r="513" spans="1:13" ht="15">
      <c r="A513" s="276"/>
      <c r="B513" s="1321"/>
      <c r="C513" s="1321"/>
      <c r="D513" s="1321"/>
      <c r="E513" s="1321"/>
      <c r="F513" s="1357"/>
      <c r="G513" s="239"/>
      <c r="H513" s="239"/>
      <c r="L513" s="316">
        <v>385</v>
      </c>
      <c r="M513" s="1314">
        <v>116</v>
      </c>
    </row>
    <row r="514" spans="1:13" ht="15">
      <c r="A514" s="276"/>
      <c r="B514" s="1321"/>
      <c r="C514" s="1321"/>
      <c r="D514" s="1321"/>
      <c r="E514" s="1321"/>
      <c r="F514" s="1357"/>
      <c r="G514" s="239"/>
      <c r="H514" s="239"/>
      <c r="L514" s="316">
        <v>386</v>
      </c>
      <c r="M514" s="1314">
        <v>116</v>
      </c>
    </row>
    <row r="515" spans="1:13" ht="15">
      <c r="A515" s="276"/>
      <c r="B515" s="1321"/>
      <c r="C515" s="1321"/>
      <c r="D515" s="1321"/>
      <c r="E515" s="1321"/>
      <c r="F515" s="1357"/>
      <c r="G515" s="239"/>
      <c r="H515" s="239"/>
      <c r="L515" s="316">
        <v>387</v>
      </c>
      <c r="M515" s="1314">
        <v>117</v>
      </c>
    </row>
    <row r="516" spans="1:13" ht="15">
      <c r="A516" s="276"/>
      <c r="B516" s="1321"/>
      <c r="C516" s="1321"/>
      <c r="D516" s="1321"/>
      <c r="E516" s="1321"/>
      <c r="F516" s="1357"/>
      <c r="G516" s="239"/>
      <c r="H516" s="239"/>
      <c r="L516" s="316">
        <v>388</v>
      </c>
      <c r="M516" s="1314">
        <v>117</v>
      </c>
    </row>
    <row r="517" spans="1:13" ht="15">
      <c r="A517" s="276"/>
      <c r="B517" s="1321"/>
      <c r="C517" s="1321"/>
      <c r="D517" s="1321"/>
      <c r="E517" s="1321"/>
      <c r="F517" s="1357"/>
      <c r="G517" s="239"/>
      <c r="H517" s="239"/>
      <c r="L517" s="316">
        <v>389</v>
      </c>
      <c r="M517" s="1314">
        <v>117</v>
      </c>
    </row>
    <row r="518" spans="1:13" ht="15">
      <c r="A518" s="276"/>
      <c r="B518" s="1321"/>
      <c r="C518" s="1321"/>
      <c r="D518" s="1321"/>
      <c r="E518" s="1321"/>
      <c r="F518" s="1357"/>
      <c r="G518" s="239"/>
      <c r="H518" s="239"/>
      <c r="L518" s="316">
        <v>390</v>
      </c>
      <c r="M518" s="1314">
        <v>117</v>
      </c>
    </row>
    <row r="519" spans="1:13" ht="15">
      <c r="A519" s="276"/>
      <c r="B519" s="1321"/>
      <c r="C519" s="1321"/>
      <c r="D519" s="1321"/>
      <c r="E519" s="1321"/>
      <c r="F519" s="1357"/>
      <c r="G519" s="239"/>
      <c r="H519" s="239"/>
      <c r="L519" s="316">
        <v>391</v>
      </c>
      <c r="M519" s="1314">
        <v>118</v>
      </c>
    </row>
    <row r="520" spans="1:13" ht="15">
      <c r="A520" s="276"/>
      <c r="B520" s="1321"/>
      <c r="C520" s="1321"/>
      <c r="D520" s="1321"/>
      <c r="E520" s="1321"/>
      <c r="F520" s="1357"/>
      <c r="G520" s="239"/>
      <c r="H520" s="239"/>
      <c r="L520" s="316">
        <v>392</v>
      </c>
      <c r="M520" s="1314">
        <v>118</v>
      </c>
    </row>
    <row r="521" spans="1:13" ht="15">
      <c r="A521" s="276"/>
      <c r="B521" s="1321"/>
      <c r="C521" s="1321"/>
      <c r="D521" s="1321"/>
      <c r="E521" s="1321"/>
      <c r="F521" s="1357"/>
      <c r="G521" s="239"/>
      <c r="H521" s="239"/>
      <c r="L521" s="316">
        <v>393</v>
      </c>
      <c r="M521" s="1314">
        <v>118</v>
      </c>
    </row>
    <row r="522" spans="1:13" ht="15">
      <c r="A522" s="276"/>
      <c r="B522" s="1321"/>
      <c r="C522" s="1321"/>
      <c r="D522" s="1321"/>
      <c r="E522" s="1321"/>
      <c r="F522" s="1357"/>
      <c r="G522" s="239"/>
      <c r="H522" s="239"/>
      <c r="L522" s="316">
        <v>394</v>
      </c>
      <c r="M522" s="1314">
        <v>119</v>
      </c>
    </row>
    <row r="523" spans="1:13">
      <c r="A523" s="239"/>
      <c r="B523" s="239"/>
      <c r="C523" s="239"/>
      <c r="D523" s="239"/>
      <c r="E523" s="239"/>
      <c r="F523" s="239"/>
      <c r="G523" s="239"/>
      <c r="H523" s="239"/>
      <c r="L523" s="316">
        <v>395</v>
      </c>
      <c r="M523" s="1314">
        <v>119</v>
      </c>
    </row>
    <row r="524" spans="1:13">
      <c r="A524" s="239"/>
      <c r="B524" s="239"/>
      <c r="C524" s="239"/>
      <c r="D524" s="239"/>
      <c r="E524" s="239"/>
      <c r="F524" s="239"/>
      <c r="G524" s="239"/>
      <c r="H524" s="239"/>
      <c r="L524" s="316">
        <v>396</v>
      </c>
      <c r="M524" s="1314">
        <v>119</v>
      </c>
    </row>
    <row r="525" spans="1:13">
      <c r="A525" s="239"/>
      <c r="B525" s="239"/>
      <c r="C525" s="239"/>
      <c r="D525" s="239"/>
      <c r="E525" s="239"/>
      <c r="F525" s="239"/>
      <c r="G525" s="239"/>
      <c r="H525" s="239"/>
      <c r="L525" s="316">
        <v>397</v>
      </c>
      <c r="M525" s="1314">
        <v>120</v>
      </c>
    </row>
    <row r="526" spans="1:13">
      <c r="A526" s="239"/>
      <c r="B526" s="239"/>
      <c r="C526" s="239"/>
      <c r="D526" s="239"/>
      <c r="E526" s="239"/>
      <c r="F526" s="239"/>
      <c r="G526" s="239"/>
      <c r="H526" s="239"/>
      <c r="L526" s="316">
        <v>398</v>
      </c>
      <c r="M526" s="1314">
        <v>120</v>
      </c>
    </row>
    <row r="527" spans="1:13">
      <c r="A527" s="239"/>
      <c r="B527" s="239"/>
      <c r="C527" s="239"/>
      <c r="D527" s="239"/>
      <c r="E527" s="239"/>
      <c r="F527" s="239"/>
      <c r="G527" s="239"/>
      <c r="H527" s="239"/>
      <c r="L527" s="316">
        <v>399</v>
      </c>
      <c r="M527" s="1314">
        <v>120</v>
      </c>
    </row>
    <row r="528" spans="1:13">
      <c r="A528" s="239"/>
      <c r="B528" s="239"/>
      <c r="C528" s="239"/>
      <c r="D528" s="239"/>
      <c r="E528" s="239"/>
      <c r="F528" s="239"/>
      <c r="G528" s="239"/>
      <c r="H528" s="239"/>
      <c r="L528" s="316">
        <v>400</v>
      </c>
      <c r="M528" s="1314">
        <v>120</v>
      </c>
    </row>
    <row r="529" spans="1:13">
      <c r="A529" s="239"/>
      <c r="B529" s="239"/>
      <c r="C529" s="239"/>
      <c r="D529" s="239"/>
      <c r="E529" s="239"/>
      <c r="F529" s="239"/>
      <c r="G529" s="239"/>
      <c r="H529" s="239"/>
      <c r="L529" s="316">
        <v>401</v>
      </c>
      <c r="M529" s="1314">
        <v>121</v>
      </c>
    </row>
    <row r="530" spans="1:13">
      <c r="A530" s="239"/>
      <c r="B530" s="239"/>
      <c r="C530" s="239"/>
      <c r="D530" s="239"/>
      <c r="E530" s="239"/>
      <c r="F530" s="239"/>
      <c r="G530" s="239"/>
      <c r="H530" s="239"/>
      <c r="L530" s="316">
        <v>402</v>
      </c>
      <c r="M530" s="1314">
        <v>121</v>
      </c>
    </row>
    <row r="531" spans="1:13">
      <c r="A531" s="239"/>
      <c r="B531" s="239"/>
      <c r="C531" s="239"/>
      <c r="D531" s="239"/>
      <c r="E531" s="239"/>
      <c r="F531" s="239"/>
      <c r="G531" s="239"/>
      <c r="H531" s="239"/>
      <c r="L531" s="316">
        <v>403</v>
      </c>
      <c r="M531" s="1314">
        <v>121</v>
      </c>
    </row>
    <row r="532" spans="1:13">
      <c r="A532" s="239"/>
      <c r="B532" s="239"/>
      <c r="C532" s="239"/>
      <c r="D532" s="239"/>
      <c r="E532" s="239"/>
      <c r="F532" s="239"/>
      <c r="G532" s="239"/>
      <c r="H532" s="239"/>
      <c r="L532" s="316">
        <v>404</v>
      </c>
      <c r="M532" s="1314">
        <v>122</v>
      </c>
    </row>
    <row r="533" spans="1:13">
      <c r="A533" s="239"/>
      <c r="B533" s="239"/>
      <c r="C533" s="239"/>
      <c r="D533" s="239"/>
      <c r="E533" s="239"/>
      <c r="F533" s="239"/>
      <c r="G533" s="239"/>
      <c r="H533" s="239"/>
      <c r="L533" s="316">
        <v>405</v>
      </c>
      <c r="M533" s="1314">
        <v>122</v>
      </c>
    </row>
    <row r="534" spans="1:13">
      <c r="A534" s="239"/>
      <c r="B534" s="239"/>
      <c r="C534" s="239"/>
      <c r="D534" s="239"/>
      <c r="E534" s="239"/>
      <c r="F534" s="239"/>
      <c r="G534" s="239"/>
      <c r="H534" s="239"/>
      <c r="L534" s="316">
        <v>406</v>
      </c>
      <c r="M534" s="1314">
        <v>122</v>
      </c>
    </row>
    <row r="535" spans="1:13">
      <c r="A535" s="239"/>
      <c r="B535" s="239"/>
      <c r="C535" s="239"/>
      <c r="D535" s="239"/>
      <c r="E535" s="239"/>
      <c r="F535" s="239"/>
      <c r="G535" s="239"/>
      <c r="H535" s="239"/>
      <c r="L535" s="316">
        <v>407</v>
      </c>
      <c r="M535" s="1314">
        <v>123</v>
      </c>
    </row>
    <row r="536" spans="1:13">
      <c r="A536" s="239"/>
      <c r="B536" s="239"/>
      <c r="C536" s="239"/>
      <c r="D536" s="239"/>
      <c r="E536" s="239"/>
      <c r="F536" s="239"/>
      <c r="G536" s="239"/>
      <c r="H536" s="239"/>
      <c r="L536" s="316">
        <v>408</v>
      </c>
      <c r="M536" s="1314">
        <v>123</v>
      </c>
    </row>
    <row r="537" spans="1:13">
      <c r="A537" s="239"/>
      <c r="B537" s="239"/>
      <c r="C537" s="239"/>
      <c r="D537" s="239"/>
      <c r="E537" s="239"/>
      <c r="F537" s="239"/>
      <c r="G537" s="239"/>
      <c r="H537" s="239"/>
      <c r="L537" s="316">
        <v>409</v>
      </c>
      <c r="M537" s="1314">
        <v>123</v>
      </c>
    </row>
    <row r="538" spans="1:13">
      <c r="A538" s="239"/>
      <c r="B538" s="239"/>
      <c r="C538" s="239"/>
      <c r="D538" s="239"/>
      <c r="E538" s="239"/>
      <c r="F538" s="239"/>
      <c r="G538" s="239"/>
      <c r="H538" s="239"/>
      <c r="L538" s="316">
        <v>410</v>
      </c>
      <c r="M538" s="1314">
        <v>123</v>
      </c>
    </row>
    <row r="539" spans="1:13">
      <c r="A539" s="239"/>
      <c r="B539" s="239"/>
      <c r="C539" s="239"/>
      <c r="D539" s="239"/>
      <c r="E539" s="239"/>
      <c r="F539" s="239"/>
      <c r="G539" s="239"/>
      <c r="H539" s="239"/>
      <c r="L539" s="316">
        <v>411</v>
      </c>
      <c r="M539" s="1314">
        <v>124</v>
      </c>
    </row>
    <row r="540" spans="1:13">
      <c r="A540" s="239"/>
      <c r="B540" s="239"/>
      <c r="C540" s="239"/>
      <c r="D540" s="239"/>
      <c r="E540" s="239"/>
      <c r="F540" s="239"/>
      <c r="G540" s="239"/>
      <c r="H540" s="239"/>
      <c r="L540" s="316">
        <v>412</v>
      </c>
      <c r="M540" s="1314">
        <v>124</v>
      </c>
    </row>
    <row r="541" spans="1:13">
      <c r="A541" s="239"/>
      <c r="B541" s="239"/>
      <c r="C541" s="239"/>
      <c r="D541" s="239"/>
      <c r="E541" s="239"/>
      <c r="F541" s="239"/>
      <c r="G541" s="239"/>
      <c r="H541" s="239"/>
      <c r="L541" s="316">
        <v>413</v>
      </c>
      <c r="M541" s="1314">
        <v>124</v>
      </c>
    </row>
    <row r="542" spans="1:13">
      <c r="A542" s="239"/>
      <c r="B542" s="239"/>
      <c r="C542" s="239"/>
      <c r="D542" s="239"/>
      <c r="E542" s="239"/>
      <c r="F542" s="239"/>
      <c r="G542" s="239"/>
      <c r="H542" s="239"/>
      <c r="L542" s="316">
        <v>414</v>
      </c>
      <c r="M542" s="1314">
        <v>125</v>
      </c>
    </row>
    <row r="543" spans="1:13">
      <c r="A543" s="239"/>
      <c r="B543" s="239"/>
      <c r="C543" s="239"/>
      <c r="D543" s="239"/>
      <c r="E543" s="239"/>
      <c r="F543" s="239"/>
      <c r="G543" s="239"/>
      <c r="H543" s="239"/>
      <c r="L543" s="316">
        <v>415</v>
      </c>
      <c r="M543" s="1314">
        <v>125</v>
      </c>
    </row>
    <row r="544" spans="1:13">
      <c r="A544" s="239"/>
      <c r="B544" s="239"/>
      <c r="C544" s="239"/>
      <c r="D544" s="239"/>
      <c r="E544" s="239"/>
      <c r="F544" s="239"/>
      <c r="G544" s="239"/>
      <c r="H544" s="239"/>
      <c r="L544" s="316">
        <v>416</v>
      </c>
      <c r="M544" s="1314">
        <v>125</v>
      </c>
    </row>
    <row r="545" spans="1:13">
      <c r="A545" s="239"/>
      <c r="B545" s="239"/>
      <c r="C545" s="239"/>
      <c r="D545" s="239"/>
      <c r="E545" s="239"/>
      <c r="F545" s="239"/>
      <c r="G545" s="239"/>
      <c r="H545" s="239"/>
      <c r="L545" s="316">
        <v>417</v>
      </c>
      <c r="M545" s="1314">
        <v>126</v>
      </c>
    </row>
    <row r="546" spans="1:13">
      <c r="A546" s="239"/>
      <c r="B546" s="239"/>
      <c r="C546" s="239"/>
      <c r="D546" s="239"/>
      <c r="E546" s="239"/>
      <c r="F546" s="239"/>
      <c r="G546" s="239"/>
      <c r="H546" s="239"/>
      <c r="L546" s="316">
        <v>418</v>
      </c>
      <c r="M546" s="1314">
        <v>126</v>
      </c>
    </row>
    <row r="547" spans="1:13">
      <c r="A547" s="239"/>
      <c r="B547" s="239"/>
      <c r="C547" s="239"/>
      <c r="D547" s="239"/>
      <c r="E547" s="239"/>
      <c r="F547" s="239"/>
      <c r="G547" s="239"/>
      <c r="H547" s="239"/>
      <c r="L547" s="316">
        <v>419</v>
      </c>
      <c r="M547" s="1314">
        <v>126</v>
      </c>
    </row>
    <row r="548" spans="1:13">
      <c r="A548" s="239"/>
      <c r="B548" s="239"/>
      <c r="C548" s="239"/>
      <c r="D548" s="239"/>
      <c r="E548" s="239"/>
      <c r="F548" s="239"/>
      <c r="G548" s="239"/>
      <c r="H548" s="239"/>
      <c r="L548" s="316">
        <v>420</v>
      </c>
      <c r="M548" s="1314">
        <v>126</v>
      </c>
    </row>
    <row r="549" spans="1:13">
      <c r="A549" s="239"/>
      <c r="B549" s="239"/>
      <c r="C549" s="239"/>
      <c r="D549" s="239"/>
      <c r="E549" s="239"/>
      <c r="F549" s="239"/>
      <c r="G549" s="239"/>
      <c r="H549" s="239"/>
      <c r="L549" s="316">
        <v>421</v>
      </c>
      <c r="M549" s="1314">
        <v>127</v>
      </c>
    </row>
    <row r="550" spans="1:13">
      <c r="A550" s="239"/>
      <c r="B550" s="239"/>
      <c r="C550" s="239"/>
      <c r="D550" s="239"/>
      <c r="E550" s="239"/>
      <c r="F550" s="239"/>
      <c r="G550" s="239"/>
      <c r="H550" s="239"/>
      <c r="L550" s="316">
        <v>422</v>
      </c>
      <c r="M550" s="1314">
        <v>127</v>
      </c>
    </row>
    <row r="551" spans="1:13">
      <c r="A551" s="239"/>
      <c r="B551" s="239"/>
      <c r="C551" s="239"/>
      <c r="D551" s="239"/>
      <c r="E551" s="239"/>
      <c r="F551" s="239"/>
      <c r="G551" s="239"/>
      <c r="H551" s="239"/>
      <c r="L551" s="316">
        <v>423</v>
      </c>
      <c r="M551" s="1314">
        <v>127</v>
      </c>
    </row>
    <row r="552" spans="1:13">
      <c r="A552" s="239"/>
      <c r="B552" s="239"/>
      <c r="C552" s="239"/>
      <c r="D552" s="239"/>
      <c r="E552" s="239"/>
      <c r="F552" s="239"/>
      <c r="G552" s="239"/>
      <c r="H552" s="239"/>
      <c r="L552" s="316">
        <v>424</v>
      </c>
      <c r="M552" s="1314">
        <v>128</v>
      </c>
    </row>
    <row r="553" spans="1:13">
      <c r="A553" s="239"/>
      <c r="B553" s="239"/>
      <c r="C553" s="239"/>
      <c r="D553" s="239"/>
      <c r="E553" s="239"/>
      <c r="F553" s="239"/>
      <c r="G553" s="239"/>
      <c r="H553" s="239"/>
      <c r="L553" s="316">
        <v>425</v>
      </c>
      <c r="M553" s="1314">
        <v>128</v>
      </c>
    </row>
    <row r="554" spans="1:13">
      <c r="A554" s="239"/>
      <c r="B554" s="239"/>
      <c r="C554" s="239"/>
      <c r="D554" s="239"/>
      <c r="E554" s="239"/>
      <c r="F554" s="239"/>
      <c r="G554" s="239"/>
      <c r="H554" s="239"/>
      <c r="L554" s="316">
        <v>426</v>
      </c>
      <c r="M554" s="1314">
        <v>128</v>
      </c>
    </row>
    <row r="555" spans="1:13">
      <c r="A555" s="239"/>
      <c r="B555" s="239"/>
      <c r="C555" s="239"/>
      <c r="D555" s="239"/>
      <c r="E555" s="239"/>
      <c r="F555" s="239"/>
      <c r="G555" s="239"/>
      <c r="H555" s="239"/>
      <c r="L555" s="316">
        <v>427</v>
      </c>
      <c r="M555" s="1314">
        <v>129</v>
      </c>
    </row>
    <row r="556" spans="1:13">
      <c r="A556" s="239"/>
      <c r="B556" s="239"/>
      <c r="C556" s="239"/>
      <c r="D556" s="239"/>
      <c r="E556" s="239"/>
      <c r="F556" s="239"/>
      <c r="G556" s="239"/>
      <c r="H556" s="239"/>
      <c r="L556" s="316">
        <v>428</v>
      </c>
      <c r="M556" s="1314">
        <v>129</v>
      </c>
    </row>
    <row r="557" spans="1:13">
      <c r="A557" s="239"/>
      <c r="B557" s="239"/>
      <c r="C557" s="239"/>
      <c r="D557" s="239"/>
      <c r="E557" s="239"/>
      <c r="F557" s="239"/>
      <c r="G557" s="239"/>
      <c r="H557" s="239"/>
      <c r="L557" s="316">
        <v>429</v>
      </c>
      <c r="M557" s="1314">
        <v>129</v>
      </c>
    </row>
    <row r="558" spans="1:13">
      <c r="A558" s="239"/>
      <c r="B558" s="239"/>
      <c r="C558" s="239"/>
      <c r="D558" s="239"/>
      <c r="E558" s="239"/>
      <c r="F558" s="239"/>
      <c r="G558" s="239"/>
      <c r="H558" s="239"/>
      <c r="L558" s="316">
        <v>430</v>
      </c>
      <c r="M558" s="1314">
        <v>129</v>
      </c>
    </row>
    <row r="559" spans="1:13">
      <c r="A559" s="239"/>
      <c r="B559" s="239"/>
      <c r="C559" s="239"/>
      <c r="D559" s="239"/>
      <c r="E559" s="239"/>
      <c r="F559" s="239"/>
      <c r="G559" s="239"/>
      <c r="H559" s="239"/>
      <c r="L559" s="316">
        <v>431</v>
      </c>
      <c r="M559" s="1314">
        <v>130</v>
      </c>
    </row>
    <row r="560" spans="1:13">
      <c r="A560" s="239"/>
      <c r="B560" s="239"/>
      <c r="C560" s="239"/>
      <c r="D560" s="239"/>
      <c r="E560" s="239"/>
      <c r="F560" s="239"/>
      <c r="G560" s="239"/>
      <c r="H560" s="239"/>
      <c r="L560" s="316">
        <v>432</v>
      </c>
      <c r="M560" s="1314">
        <v>130</v>
      </c>
    </row>
    <row r="561" spans="1:13">
      <c r="A561" s="239"/>
      <c r="B561" s="239"/>
      <c r="C561" s="239"/>
      <c r="D561" s="239"/>
      <c r="E561" s="239"/>
      <c r="F561" s="239"/>
      <c r="G561" s="239"/>
      <c r="H561" s="239"/>
      <c r="L561" s="316">
        <v>433</v>
      </c>
      <c r="M561" s="1314">
        <v>130</v>
      </c>
    </row>
    <row r="562" spans="1:13">
      <c r="A562" s="239"/>
      <c r="B562" s="239"/>
      <c r="C562" s="239"/>
      <c r="D562" s="239"/>
      <c r="E562" s="239"/>
      <c r="F562" s="239"/>
      <c r="G562" s="239"/>
      <c r="H562" s="239"/>
      <c r="L562" s="316">
        <v>434</v>
      </c>
      <c r="M562" s="1314">
        <v>131</v>
      </c>
    </row>
    <row r="563" spans="1:13">
      <c r="A563" s="239"/>
      <c r="B563" s="239"/>
      <c r="C563" s="239"/>
      <c r="D563" s="239"/>
      <c r="E563" s="239"/>
      <c r="F563" s="239"/>
      <c r="G563" s="239"/>
      <c r="H563" s="239"/>
      <c r="L563" s="316">
        <v>435</v>
      </c>
      <c r="M563" s="1314">
        <v>131</v>
      </c>
    </row>
    <row r="564" spans="1:13">
      <c r="A564" s="239"/>
      <c r="B564" s="239"/>
      <c r="C564" s="239"/>
      <c r="D564" s="239"/>
      <c r="E564" s="239"/>
      <c r="F564" s="239"/>
      <c r="G564" s="239"/>
      <c r="H564" s="239"/>
      <c r="L564" s="316">
        <v>436</v>
      </c>
      <c r="M564" s="1314">
        <v>131</v>
      </c>
    </row>
    <row r="565" spans="1:13">
      <c r="A565" s="239"/>
      <c r="B565" s="239"/>
      <c r="C565" s="239"/>
      <c r="D565" s="239"/>
      <c r="E565" s="239"/>
      <c r="F565" s="239"/>
      <c r="G565" s="239"/>
      <c r="H565" s="239"/>
      <c r="L565" s="316">
        <v>437</v>
      </c>
      <c r="M565" s="1314">
        <v>132</v>
      </c>
    </row>
    <row r="566" spans="1:13">
      <c r="A566" s="239"/>
      <c r="B566" s="239"/>
      <c r="C566" s="239"/>
      <c r="D566" s="239"/>
      <c r="E566" s="239"/>
      <c r="F566" s="239"/>
      <c r="G566" s="239"/>
      <c r="H566" s="239"/>
      <c r="L566" s="316">
        <v>438</v>
      </c>
      <c r="M566" s="1314">
        <v>132</v>
      </c>
    </row>
    <row r="567" spans="1:13">
      <c r="A567" s="239"/>
      <c r="B567" s="239"/>
      <c r="C567" s="239"/>
      <c r="D567" s="239"/>
      <c r="E567" s="239"/>
      <c r="F567" s="239"/>
      <c r="G567" s="239"/>
      <c r="H567" s="239"/>
      <c r="L567" s="316">
        <v>439</v>
      </c>
      <c r="M567" s="1314">
        <v>132</v>
      </c>
    </row>
    <row r="568" spans="1:13">
      <c r="A568" s="239"/>
      <c r="B568" s="239"/>
      <c r="C568" s="239"/>
      <c r="D568" s="239"/>
      <c r="E568" s="239"/>
      <c r="F568" s="239"/>
      <c r="G568" s="239"/>
      <c r="H568" s="239"/>
      <c r="L568" s="316">
        <v>440</v>
      </c>
      <c r="M568" s="1314">
        <v>132</v>
      </c>
    </row>
    <row r="569" spans="1:13">
      <c r="A569" s="239"/>
      <c r="B569" s="239"/>
      <c r="C569" s="239"/>
      <c r="D569" s="239"/>
      <c r="E569" s="239"/>
      <c r="F569" s="239"/>
      <c r="G569" s="239"/>
      <c r="H569" s="239"/>
      <c r="L569" s="316">
        <v>441</v>
      </c>
      <c r="M569" s="1314">
        <v>133</v>
      </c>
    </row>
    <row r="570" spans="1:13">
      <c r="A570" s="239"/>
      <c r="B570" s="239"/>
      <c r="C570" s="239"/>
      <c r="D570" s="239"/>
      <c r="E570" s="239"/>
      <c r="F570" s="239"/>
      <c r="G570" s="239"/>
      <c r="H570" s="239"/>
      <c r="L570" s="316">
        <v>442</v>
      </c>
      <c r="M570" s="1314">
        <v>133</v>
      </c>
    </row>
    <row r="571" spans="1:13">
      <c r="A571" s="239"/>
      <c r="B571" s="239"/>
      <c r="C571" s="239"/>
      <c r="D571" s="239"/>
      <c r="E571" s="239"/>
      <c r="F571" s="239"/>
      <c r="G571" s="239"/>
      <c r="H571" s="239"/>
      <c r="L571" s="316">
        <v>443</v>
      </c>
      <c r="M571" s="1314">
        <v>133</v>
      </c>
    </row>
    <row r="572" spans="1:13">
      <c r="A572" s="239"/>
      <c r="B572" s="239"/>
      <c r="C572" s="239"/>
      <c r="D572" s="239"/>
      <c r="E572" s="239"/>
      <c r="F572" s="239"/>
      <c r="G572" s="239"/>
      <c r="H572" s="239"/>
      <c r="L572" s="316">
        <v>444</v>
      </c>
      <c r="M572" s="1314">
        <v>134</v>
      </c>
    </row>
    <row r="573" spans="1:13">
      <c r="A573" s="239"/>
      <c r="B573" s="239"/>
      <c r="C573" s="239"/>
      <c r="D573" s="239"/>
      <c r="E573" s="239"/>
      <c r="F573" s="239"/>
      <c r="G573" s="239"/>
      <c r="H573" s="239"/>
      <c r="L573" s="316">
        <v>445</v>
      </c>
      <c r="M573" s="1314">
        <v>134</v>
      </c>
    </row>
    <row r="574" spans="1:13">
      <c r="A574" s="239"/>
      <c r="B574" s="239"/>
      <c r="C574" s="239"/>
      <c r="D574" s="239"/>
      <c r="E574" s="239"/>
      <c r="F574" s="239"/>
      <c r="G574" s="239"/>
      <c r="H574" s="239"/>
      <c r="L574" s="316">
        <v>446</v>
      </c>
      <c r="M574" s="1314">
        <v>134</v>
      </c>
    </row>
    <row r="575" spans="1:13">
      <c r="A575" s="239"/>
      <c r="B575" s="239"/>
      <c r="C575" s="239"/>
      <c r="D575" s="239"/>
      <c r="E575" s="239"/>
      <c r="F575" s="239"/>
      <c r="G575" s="239"/>
      <c r="H575" s="239"/>
      <c r="L575" s="316">
        <v>447</v>
      </c>
      <c r="M575" s="1314">
        <v>135</v>
      </c>
    </row>
    <row r="576" spans="1:13">
      <c r="A576" s="239"/>
      <c r="B576" s="239"/>
      <c r="C576" s="239"/>
      <c r="D576" s="239"/>
      <c r="E576" s="239"/>
      <c r="F576" s="239"/>
      <c r="G576" s="239"/>
      <c r="H576" s="239"/>
      <c r="L576" s="316">
        <v>448</v>
      </c>
      <c r="M576" s="1314">
        <v>135</v>
      </c>
    </row>
    <row r="577" spans="1:13">
      <c r="A577" s="239"/>
      <c r="B577" s="239"/>
      <c r="C577" s="239"/>
      <c r="D577" s="239"/>
      <c r="E577" s="239"/>
      <c r="F577" s="239"/>
      <c r="G577" s="239"/>
      <c r="H577" s="239"/>
      <c r="L577" s="316">
        <v>449</v>
      </c>
      <c r="M577" s="1314">
        <v>135</v>
      </c>
    </row>
    <row r="578" spans="1:13">
      <c r="A578" s="239"/>
      <c r="B578" s="239"/>
      <c r="C578" s="239"/>
      <c r="D578" s="239"/>
      <c r="E578" s="239"/>
      <c r="F578" s="239"/>
      <c r="G578" s="239"/>
      <c r="H578" s="239"/>
      <c r="L578" s="316">
        <v>450</v>
      </c>
      <c r="M578" s="1314">
        <v>135</v>
      </c>
    </row>
    <row r="579" spans="1:13">
      <c r="A579" s="239"/>
      <c r="B579" s="239"/>
      <c r="C579" s="239"/>
      <c r="D579" s="239"/>
      <c r="E579" s="239"/>
      <c r="F579" s="239"/>
      <c r="G579" s="239"/>
      <c r="H579" s="239"/>
      <c r="L579" s="316">
        <v>451</v>
      </c>
      <c r="M579" s="1314">
        <v>136</v>
      </c>
    </row>
    <row r="580" spans="1:13">
      <c r="A580" s="239"/>
      <c r="B580" s="239"/>
      <c r="C580" s="239"/>
      <c r="D580" s="239"/>
      <c r="E580" s="239"/>
      <c r="F580" s="239"/>
      <c r="G580" s="239"/>
      <c r="H580" s="239"/>
      <c r="L580" s="316">
        <v>452</v>
      </c>
      <c r="M580" s="1314">
        <v>136</v>
      </c>
    </row>
    <row r="581" spans="1:13">
      <c r="A581" s="239"/>
      <c r="B581" s="239"/>
      <c r="C581" s="239"/>
      <c r="D581" s="239"/>
      <c r="E581" s="239"/>
      <c r="F581" s="239"/>
      <c r="G581" s="239"/>
      <c r="H581" s="239"/>
      <c r="L581" s="316">
        <v>453</v>
      </c>
      <c r="M581" s="1314">
        <v>136</v>
      </c>
    </row>
    <row r="582" spans="1:13">
      <c r="A582" s="239"/>
      <c r="B582" s="239"/>
      <c r="C582" s="239"/>
      <c r="D582" s="239"/>
      <c r="E582" s="239"/>
      <c r="F582" s="239"/>
      <c r="G582" s="239"/>
      <c r="H582" s="239"/>
      <c r="L582" s="316">
        <v>454</v>
      </c>
      <c r="M582" s="1314">
        <v>137</v>
      </c>
    </row>
    <row r="583" spans="1:13">
      <c r="A583" s="239"/>
      <c r="B583" s="239"/>
      <c r="C583" s="239"/>
      <c r="D583" s="239"/>
      <c r="E583" s="239"/>
      <c r="F583" s="239"/>
      <c r="G583" s="239"/>
      <c r="H583" s="239"/>
      <c r="L583" s="316">
        <v>455</v>
      </c>
      <c r="M583" s="1314">
        <v>137</v>
      </c>
    </row>
    <row r="584" spans="1:13">
      <c r="A584" s="239"/>
      <c r="B584" s="239"/>
      <c r="C584" s="239"/>
      <c r="D584" s="239"/>
      <c r="E584" s="239"/>
      <c r="F584" s="239"/>
      <c r="G584" s="239"/>
      <c r="H584" s="239"/>
      <c r="L584" s="316">
        <v>456</v>
      </c>
      <c r="M584" s="1314">
        <v>137</v>
      </c>
    </row>
    <row r="585" spans="1:13">
      <c r="A585" s="239"/>
      <c r="B585" s="239"/>
      <c r="C585" s="239"/>
      <c r="D585" s="239"/>
      <c r="E585" s="239"/>
      <c r="F585" s="239"/>
      <c r="G585" s="239"/>
      <c r="H585" s="239"/>
      <c r="L585" s="316">
        <v>457</v>
      </c>
      <c r="M585" s="1314">
        <v>138</v>
      </c>
    </row>
    <row r="586" spans="1:13">
      <c r="A586" s="239"/>
      <c r="B586" s="239"/>
      <c r="C586" s="239"/>
      <c r="D586" s="239"/>
      <c r="E586" s="239"/>
      <c r="F586" s="239"/>
      <c r="G586" s="239"/>
      <c r="H586" s="239"/>
      <c r="L586" s="316">
        <v>458</v>
      </c>
      <c r="M586" s="1314">
        <v>138</v>
      </c>
    </row>
    <row r="587" spans="1:13">
      <c r="A587" s="239"/>
      <c r="B587" s="239"/>
      <c r="C587" s="239"/>
      <c r="D587" s="239"/>
      <c r="E587" s="239"/>
      <c r="F587" s="239"/>
      <c r="G587" s="239"/>
      <c r="H587" s="239"/>
      <c r="L587" s="316">
        <v>459</v>
      </c>
      <c r="M587" s="1314">
        <v>138</v>
      </c>
    </row>
    <row r="588" spans="1:13">
      <c r="A588" s="239"/>
      <c r="B588" s="239"/>
      <c r="C588" s="239"/>
      <c r="D588" s="239"/>
      <c r="E588" s="239"/>
      <c r="F588" s="239"/>
      <c r="G588" s="239"/>
      <c r="H588" s="239"/>
      <c r="L588" s="316">
        <v>460</v>
      </c>
      <c r="M588" s="1314">
        <v>138</v>
      </c>
    </row>
    <row r="589" spans="1:13">
      <c r="A589" s="239"/>
      <c r="B589" s="239"/>
      <c r="C589" s="239"/>
      <c r="D589" s="239"/>
      <c r="E589" s="239"/>
      <c r="F589" s="239"/>
      <c r="G589" s="239"/>
      <c r="H589" s="239"/>
      <c r="L589" s="316">
        <v>461</v>
      </c>
      <c r="M589" s="1314">
        <v>139</v>
      </c>
    </row>
    <row r="590" spans="1:13">
      <c r="A590" s="239"/>
      <c r="B590" s="239"/>
      <c r="C590" s="239"/>
      <c r="D590" s="239"/>
      <c r="E590" s="239"/>
      <c r="F590" s="239"/>
      <c r="G590" s="239"/>
      <c r="H590" s="239"/>
      <c r="L590" s="316">
        <v>462</v>
      </c>
      <c r="M590" s="1314">
        <v>139</v>
      </c>
    </row>
    <row r="591" spans="1:13">
      <c r="A591" s="239"/>
      <c r="B591" s="239"/>
      <c r="C591" s="239"/>
      <c r="D591" s="239"/>
      <c r="E591" s="239"/>
      <c r="F591" s="239"/>
      <c r="G591" s="239"/>
      <c r="H591" s="239"/>
      <c r="L591" s="316">
        <v>463</v>
      </c>
      <c r="M591" s="1314">
        <v>139</v>
      </c>
    </row>
    <row r="592" spans="1:13">
      <c r="A592" s="239"/>
      <c r="B592" s="239"/>
      <c r="C592" s="239"/>
      <c r="D592" s="239"/>
      <c r="E592" s="239"/>
      <c r="F592" s="239"/>
      <c r="G592" s="239"/>
      <c r="H592" s="239"/>
      <c r="L592" s="316">
        <v>464</v>
      </c>
      <c r="M592" s="1314">
        <v>140</v>
      </c>
    </row>
    <row r="593" spans="1:13">
      <c r="A593" s="239"/>
      <c r="B593" s="239"/>
      <c r="C593" s="239"/>
      <c r="D593" s="239"/>
      <c r="E593" s="239"/>
      <c r="F593" s="239"/>
      <c r="G593" s="239"/>
      <c r="H593" s="239"/>
      <c r="L593" s="316">
        <v>465</v>
      </c>
      <c r="M593" s="1314">
        <v>140</v>
      </c>
    </row>
    <row r="594" spans="1:13">
      <c r="A594" s="239"/>
      <c r="B594" s="239"/>
      <c r="C594" s="239"/>
      <c r="D594" s="239"/>
      <c r="E594" s="239"/>
      <c r="F594" s="239"/>
      <c r="G594" s="239"/>
      <c r="H594" s="239"/>
      <c r="L594" s="316">
        <v>466</v>
      </c>
      <c r="M594" s="1314">
        <v>140</v>
      </c>
    </row>
    <row r="595" spans="1:13">
      <c r="A595" s="239"/>
      <c r="B595" s="239"/>
      <c r="C595" s="239"/>
      <c r="D595" s="239"/>
      <c r="E595" s="239"/>
      <c r="F595" s="239"/>
      <c r="G595" s="239"/>
      <c r="H595" s="239"/>
      <c r="L595" s="316">
        <v>467</v>
      </c>
      <c r="M595" s="1314">
        <v>141</v>
      </c>
    </row>
    <row r="596" spans="1:13">
      <c r="A596" s="239"/>
      <c r="B596" s="239"/>
      <c r="C596" s="239"/>
      <c r="D596" s="239"/>
      <c r="E596" s="239"/>
      <c r="F596" s="239"/>
      <c r="G596" s="239"/>
      <c r="H596" s="239"/>
      <c r="L596" s="316">
        <v>468</v>
      </c>
      <c r="M596" s="1314">
        <v>141</v>
      </c>
    </row>
    <row r="597" spans="1:13">
      <c r="A597" s="239"/>
      <c r="B597" s="239"/>
      <c r="C597" s="239"/>
      <c r="D597" s="239"/>
      <c r="E597" s="239"/>
      <c r="F597" s="239"/>
      <c r="G597" s="239"/>
      <c r="H597" s="239"/>
      <c r="L597" s="316">
        <v>469</v>
      </c>
      <c r="M597" s="1314">
        <v>141</v>
      </c>
    </row>
    <row r="598" spans="1:13">
      <c r="A598" s="239"/>
      <c r="B598" s="239"/>
      <c r="C598" s="239"/>
      <c r="D598" s="239"/>
      <c r="E598" s="239"/>
      <c r="F598" s="239"/>
      <c r="G598" s="239"/>
      <c r="H598" s="239"/>
      <c r="L598" s="316">
        <v>470</v>
      </c>
      <c r="M598" s="1314">
        <v>141</v>
      </c>
    </row>
    <row r="599" spans="1:13">
      <c r="A599" s="239"/>
      <c r="B599" s="239"/>
      <c r="C599" s="239"/>
      <c r="D599" s="239"/>
      <c r="E599" s="239"/>
      <c r="F599" s="239"/>
      <c r="G599" s="239"/>
      <c r="H599" s="239"/>
      <c r="L599" s="316">
        <v>471</v>
      </c>
      <c r="M599" s="1314">
        <v>142</v>
      </c>
    </row>
    <row r="600" spans="1:13">
      <c r="A600" s="239"/>
      <c r="B600" s="239"/>
      <c r="C600" s="239"/>
      <c r="D600" s="239"/>
      <c r="E600" s="239"/>
      <c r="F600" s="239"/>
      <c r="G600" s="239"/>
      <c r="H600" s="239"/>
      <c r="L600" s="316">
        <v>472</v>
      </c>
      <c r="M600" s="1314">
        <v>142</v>
      </c>
    </row>
    <row r="601" spans="1:13">
      <c r="A601" s="239"/>
      <c r="B601" s="239"/>
      <c r="C601" s="239"/>
      <c r="D601" s="239"/>
      <c r="E601" s="239"/>
      <c r="F601" s="239"/>
      <c r="G601" s="239"/>
      <c r="H601" s="239"/>
      <c r="L601" s="316">
        <v>473</v>
      </c>
      <c r="M601" s="1314">
        <v>142</v>
      </c>
    </row>
    <row r="602" spans="1:13">
      <c r="A602" s="239"/>
      <c r="B602" s="239"/>
      <c r="C602" s="239"/>
      <c r="D602" s="239"/>
      <c r="E602" s="239"/>
      <c r="F602" s="239"/>
      <c r="G602" s="239"/>
      <c r="H602" s="239"/>
      <c r="L602" s="316">
        <v>474</v>
      </c>
      <c r="M602" s="1314">
        <v>143</v>
      </c>
    </row>
    <row r="603" spans="1:13">
      <c r="A603" s="239"/>
      <c r="B603" s="239"/>
      <c r="C603" s="239"/>
      <c r="D603" s="239"/>
      <c r="E603" s="239"/>
      <c r="F603" s="239"/>
      <c r="G603" s="239"/>
      <c r="H603" s="239"/>
      <c r="L603" s="316">
        <v>475</v>
      </c>
      <c r="M603" s="1314">
        <v>143</v>
      </c>
    </row>
    <row r="604" spans="1:13">
      <c r="A604" s="239"/>
      <c r="B604" s="239"/>
      <c r="C604" s="239"/>
      <c r="D604" s="239"/>
      <c r="E604" s="239"/>
      <c r="F604" s="239"/>
      <c r="G604" s="239"/>
      <c r="H604" s="239"/>
      <c r="L604" s="316">
        <v>476</v>
      </c>
      <c r="M604" s="1314">
        <v>143</v>
      </c>
    </row>
    <row r="605" spans="1:13">
      <c r="A605" s="239"/>
      <c r="B605" s="239"/>
      <c r="C605" s="239"/>
      <c r="D605" s="239"/>
      <c r="E605" s="239"/>
      <c r="F605" s="239"/>
      <c r="G605" s="239"/>
      <c r="H605" s="239"/>
      <c r="L605" s="316">
        <v>477</v>
      </c>
      <c r="M605" s="1314">
        <v>144</v>
      </c>
    </row>
    <row r="606" spans="1:13">
      <c r="A606" s="239"/>
      <c r="B606" s="239"/>
      <c r="C606" s="239"/>
      <c r="D606" s="239"/>
      <c r="E606" s="239"/>
      <c r="F606" s="239"/>
      <c r="G606" s="239"/>
      <c r="H606" s="239"/>
      <c r="L606" s="316">
        <v>478</v>
      </c>
      <c r="M606" s="1314">
        <v>144</v>
      </c>
    </row>
    <row r="607" spans="1:13">
      <c r="A607" s="239"/>
      <c r="B607" s="239"/>
      <c r="C607" s="239"/>
      <c r="D607" s="239"/>
      <c r="E607" s="239"/>
      <c r="F607" s="239"/>
      <c r="G607" s="239"/>
      <c r="H607" s="239"/>
      <c r="L607" s="316">
        <v>479</v>
      </c>
      <c r="M607" s="1314">
        <v>144</v>
      </c>
    </row>
    <row r="608" spans="1:13">
      <c r="A608" s="239"/>
      <c r="B608" s="239"/>
      <c r="C608" s="239"/>
      <c r="D608" s="239"/>
      <c r="E608" s="239"/>
      <c r="F608" s="239"/>
      <c r="G608" s="239"/>
      <c r="H608" s="239"/>
      <c r="L608" s="316">
        <v>480</v>
      </c>
      <c r="M608" s="1314">
        <v>144</v>
      </c>
    </row>
    <row r="609" spans="1:13">
      <c r="A609" s="239"/>
      <c r="B609" s="239"/>
      <c r="C609" s="239"/>
      <c r="D609" s="239"/>
      <c r="E609" s="239"/>
      <c r="F609" s="239"/>
      <c r="G609" s="239"/>
      <c r="H609" s="239"/>
      <c r="L609" s="316">
        <v>481</v>
      </c>
      <c r="M609" s="1314">
        <v>145</v>
      </c>
    </row>
    <row r="610" spans="1:13">
      <c r="A610" s="239"/>
      <c r="B610" s="239"/>
      <c r="C610" s="239"/>
      <c r="D610" s="239"/>
      <c r="E610" s="239"/>
      <c r="F610" s="239"/>
      <c r="G610" s="239"/>
      <c r="H610" s="239"/>
      <c r="L610" s="316">
        <v>482</v>
      </c>
      <c r="M610" s="1314">
        <v>145</v>
      </c>
    </row>
    <row r="611" spans="1:13">
      <c r="A611" s="239"/>
      <c r="B611" s="239"/>
      <c r="C611" s="239"/>
      <c r="D611" s="239"/>
      <c r="E611" s="239"/>
      <c r="F611" s="239"/>
      <c r="G611" s="239"/>
      <c r="H611" s="239"/>
      <c r="L611" s="316">
        <v>483</v>
      </c>
      <c r="M611" s="1314">
        <v>145</v>
      </c>
    </row>
    <row r="612" spans="1:13">
      <c r="A612" s="239"/>
      <c r="B612" s="239"/>
      <c r="C612" s="239"/>
      <c r="D612" s="239"/>
      <c r="E612" s="239"/>
      <c r="F612" s="239"/>
      <c r="G612" s="239"/>
      <c r="H612" s="239"/>
      <c r="L612" s="316">
        <v>484</v>
      </c>
      <c r="M612" s="1314">
        <v>146</v>
      </c>
    </row>
    <row r="613" spans="1:13">
      <c r="A613" s="239"/>
      <c r="B613" s="239"/>
      <c r="C613" s="239"/>
      <c r="D613" s="239"/>
      <c r="E613" s="239"/>
      <c r="F613" s="239"/>
      <c r="G613" s="239"/>
      <c r="H613" s="239"/>
      <c r="L613" s="316">
        <v>485</v>
      </c>
      <c r="M613" s="1314">
        <v>146</v>
      </c>
    </row>
    <row r="614" spans="1:13">
      <c r="A614" s="239"/>
      <c r="B614" s="239"/>
      <c r="C614" s="239"/>
      <c r="D614" s="239"/>
      <c r="E614" s="239"/>
      <c r="F614" s="239"/>
      <c r="G614" s="239"/>
      <c r="H614" s="239"/>
      <c r="L614" s="316">
        <v>486</v>
      </c>
      <c r="M614" s="1314">
        <v>146</v>
      </c>
    </row>
    <row r="615" spans="1:13">
      <c r="A615" s="239"/>
      <c r="B615" s="239"/>
      <c r="C615" s="239"/>
      <c r="D615" s="239"/>
      <c r="E615" s="239"/>
      <c r="F615" s="239"/>
      <c r="G615" s="239"/>
      <c r="H615" s="239"/>
      <c r="L615" s="316">
        <v>487</v>
      </c>
      <c r="M615" s="1314">
        <v>147</v>
      </c>
    </row>
    <row r="616" spans="1:13">
      <c r="A616" s="239"/>
      <c r="B616" s="239"/>
      <c r="C616" s="239"/>
      <c r="D616" s="239"/>
      <c r="E616" s="239"/>
      <c r="F616" s="239"/>
      <c r="G616" s="239"/>
      <c r="H616" s="239"/>
      <c r="L616" s="316">
        <v>488</v>
      </c>
      <c r="M616" s="1314">
        <v>147</v>
      </c>
    </row>
    <row r="617" spans="1:13">
      <c r="A617" s="239"/>
      <c r="B617" s="239"/>
      <c r="C617" s="239"/>
      <c r="D617" s="239"/>
      <c r="E617" s="239"/>
      <c r="F617" s="239"/>
      <c r="G617" s="239"/>
      <c r="H617" s="239"/>
      <c r="L617" s="316">
        <v>489</v>
      </c>
      <c r="M617" s="1314">
        <v>147</v>
      </c>
    </row>
    <row r="618" spans="1:13">
      <c r="A618" s="239"/>
      <c r="B618" s="239"/>
      <c r="C618" s="239"/>
      <c r="D618" s="239"/>
      <c r="E618" s="239"/>
      <c r="F618" s="239"/>
      <c r="G618" s="239"/>
      <c r="H618" s="239"/>
      <c r="L618" s="316">
        <v>490</v>
      </c>
      <c r="M618" s="1314">
        <v>147</v>
      </c>
    </row>
    <row r="619" spans="1:13">
      <c r="A619" s="239"/>
      <c r="B619" s="239"/>
      <c r="C619" s="239"/>
      <c r="D619" s="239"/>
      <c r="E619" s="239"/>
      <c r="F619" s="239"/>
      <c r="G619" s="239"/>
      <c r="H619" s="239"/>
      <c r="L619" s="316">
        <v>491</v>
      </c>
      <c r="M619" s="1314">
        <v>148</v>
      </c>
    </row>
    <row r="620" spans="1:13">
      <c r="A620" s="239"/>
      <c r="B620" s="239"/>
      <c r="C620" s="239"/>
      <c r="D620" s="239"/>
      <c r="E620" s="239"/>
      <c r="F620" s="239"/>
      <c r="G620" s="239"/>
      <c r="H620" s="239"/>
      <c r="L620" s="316">
        <v>492</v>
      </c>
      <c r="M620" s="1314">
        <v>148</v>
      </c>
    </row>
    <row r="621" spans="1:13">
      <c r="A621" s="239"/>
      <c r="B621" s="239"/>
      <c r="C621" s="239"/>
      <c r="D621" s="239"/>
      <c r="E621" s="239"/>
      <c r="F621" s="239"/>
      <c r="G621" s="239"/>
      <c r="H621" s="239"/>
      <c r="L621" s="316">
        <v>493</v>
      </c>
      <c r="M621" s="1314">
        <v>148</v>
      </c>
    </row>
    <row r="622" spans="1:13">
      <c r="A622" s="239"/>
      <c r="B622" s="239"/>
      <c r="C622" s="239"/>
      <c r="D622" s="239"/>
      <c r="E622" s="239"/>
      <c r="F622" s="239"/>
      <c r="G622" s="239"/>
      <c r="H622" s="239"/>
      <c r="L622" s="316">
        <v>494</v>
      </c>
      <c r="M622" s="1314">
        <v>149</v>
      </c>
    </row>
    <row r="623" spans="1:13">
      <c r="A623" s="239"/>
      <c r="B623" s="239"/>
      <c r="C623" s="239"/>
      <c r="D623" s="239"/>
      <c r="E623" s="239"/>
      <c r="F623" s="239"/>
      <c r="G623" s="239"/>
      <c r="H623" s="239"/>
      <c r="L623" s="316">
        <v>495</v>
      </c>
      <c r="M623" s="1314">
        <v>149</v>
      </c>
    </row>
    <row r="624" spans="1:13">
      <c r="A624" s="239"/>
      <c r="B624" s="239"/>
      <c r="C624" s="239"/>
      <c r="D624" s="239"/>
      <c r="E624" s="239"/>
      <c r="F624" s="239"/>
      <c r="G624" s="239"/>
      <c r="H624" s="239"/>
      <c r="L624" s="316">
        <v>496</v>
      </c>
      <c r="M624" s="1314">
        <v>149</v>
      </c>
    </row>
    <row r="625" spans="1:13">
      <c r="A625" s="239"/>
      <c r="B625" s="239"/>
      <c r="C625" s="239"/>
      <c r="D625" s="239"/>
      <c r="E625" s="239"/>
      <c r="F625" s="239"/>
      <c r="G625" s="239"/>
      <c r="H625" s="239"/>
      <c r="L625" s="316">
        <v>497</v>
      </c>
      <c r="M625" s="1314">
        <v>150</v>
      </c>
    </row>
    <row r="626" spans="1:13">
      <c r="A626" s="239"/>
      <c r="B626" s="239"/>
      <c r="C626" s="239"/>
      <c r="D626" s="239"/>
      <c r="E626" s="239"/>
      <c r="F626" s="239"/>
      <c r="G626" s="239"/>
      <c r="H626" s="239"/>
      <c r="L626" s="316">
        <v>498</v>
      </c>
      <c r="M626" s="1314">
        <v>150</v>
      </c>
    </row>
    <row r="627" spans="1:13">
      <c r="A627" s="239"/>
      <c r="B627" s="239"/>
      <c r="C627" s="239"/>
      <c r="D627" s="239"/>
      <c r="E627" s="239"/>
      <c r="F627" s="239"/>
      <c r="G627" s="239"/>
      <c r="H627" s="239"/>
      <c r="L627" s="316">
        <v>499</v>
      </c>
      <c r="M627" s="1314">
        <v>150</v>
      </c>
    </row>
    <row r="628" spans="1:13">
      <c r="A628" s="239"/>
      <c r="B628" s="239"/>
      <c r="C628" s="239"/>
      <c r="D628" s="239"/>
      <c r="E628" s="239"/>
      <c r="F628" s="239"/>
      <c r="G628" s="239"/>
      <c r="H628" s="239"/>
      <c r="L628" s="316">
        <v>500</v>
      </c>
      <c r="M628" s="1314">
        <v>150</v>
      </c>
    </row>
    <row r="629" spans="1:13">
      <c r="A629" s="239"/>
      <c r="B629" s="239"/>
      <c r="C629" s="239"/>
      <c r="D629" s="239"/>
      <c r="E629" s="239"/>
      <c r="F629" s="239"/>
      <c r="G629" s="239"/>
      <c r="H629" s="239"/>
      <c r="L629" s="316">
        <v>501</v>
      </c>
      <c r="M629" s="1314">
        <v>151</v>
      </c>
    </row>
    <row r="630" spans="1:13">
      <c r="A630" s="239"/>
      <c r="B630" s="239"/>
      <c r="C630" s="239"/>
      <c r="D630" s="239"/>
      <c r="E630" s="239"/>
      <c r="F630" s="239"/>
      <c r="G630" s="239"/>
      <c r="H630" s="239"/>
      <c r="L630" s="316">
        <v>502</v>
      </c>
      <c r="M630" s="1314">
        <v>151</v>
      </c>
    </row>
    <row r="631" spans="1:13">
      <c r="A631" s="239"/>
      <c r="B631" s="239"/>
      <c r="C631" s="239"/>
      <c r="D631" s="239"/>
      <c r="E631" s="239"/>
      <c r="F631" s="239"/>
      <c r="G631" s="239"/>
      <c r="H631" s="239"/>
      <c r="L631" s="316">
        <v>503</v>
      </c>
      <c r="M631" s="1314">
        <v>151</v>
      </c>
    </row>
    <row r="632" spans="1:13">
      <c r="A632" s="239"/>
      <c r="B632" s="239"/>
      <c r="C632" s="239"/>
      <c r="D632" s="239"/>
      <c r="E632" s="239"/>
      <c r="F632" s="239"/>
      <c r="G632" s="239"/>
      <c r="H632" s="239"/>
      <c r="L632" s="316">
        <v>504</v>
      </c>
      <c r="M632" s="1314">
        <v>152</v>
      </c>
    </row>
    <row r="633" spans="1:13">
      <c r="A633" s="239"/>
      <c r="B633" s="239"/>
      <c r="C633" s="239"/>
      <c r="D633" s="239"/>
      <c r="E633" s="239"/>
      <c r="F633" s="239"/>
      <c r="G633" s="239"/>
      <c r="H633" s="239"/>
      <c r="L633" s="316">
        <v>505</v>
      </c>
      <c r="M633" s="1314">
        <v>152</v>
      </c>
    </row>
    <row r="634" spans="1:13">
      <c r="A634" s="239"/>
      <c r="B634" s="239"/>
      <c r="C634" s="239"/>
      <c r="D634" s="239"/>
      <c r="E634" s="239"/>
      <c r="F634" s="239"/>
      <c r="G634" s="239"/>
      <c r="H634" s="239"/>
      <c r="L634" s="316">
        <v>506</v>
      </c>
      <c r="M634" s="1314">
        <v>152</v>
      </c>
    </row>
    <row r="635" spans="1:13">
      <c r="A635" s="239"/>
      <c r="B635" s="239"/>
      <c r="C635" s="239"/>
      <c r="D635" s="239"/>
      <c r="E635" s="239"/>
      <c r="F635" s="239"/>
      <c r="G635" s="239"/>
      <c r="H635" s="239"/>
      <c r="L635" s="316">
        <v>507</v>
      </c>
      <c r="M635" s="1314">
        <v>153</v>
      </c>
    </row>
    <row r="636" spans="1:13">
      <c r="A636" s="239"/>
      <c r="B636" s="239"/>
      <c r="C636" s="239"/>
      <c r="D636" s="239"/>
      <c r="E636" s="239"/>
      <c r="F636" s="239"/>
      <c r="G636" s="239"/>
      <c r="H636" s="239"/>
      <c r="L636" s="316">
        <v>508</v>
      </c>
      <c r="M636" s="1314">
        <v>153</v>
      </c>
    </row>
    <row r="637" spans="1:13">
      <c r="A637" s="239"/>
      <c r="B637" s="239"/>
      <c r="C637" s="239"/>
      <c r="D637" s="239"/>
      <c r="E637" s="239"/>
      <c r="F637" s="239"/>
      <c r="G637" s="239"/>
      <c r="H637" s="239"/>
      <c r="L637" s="316">
        <v>509</v>
      </c>
      <c r="M637" s="1314">
        <v>153</v>
      </c>
    </row>
    <row r="638" spans="1:13">
      <c r="A638" s="239"/>
      <c r="B638" s="239"/>
      <c r="C638" s="239"/>
      <c r="D638" s="239"/>
      <c r="E638" s="239"/>
      <c r="F638" s="239"/>
      <c r="G638" s="239"/>
      <c r="H638" s="239"/>
      <c r="L638" s="316">
        <v>510</v>
      </c>
      <c r="M638" s="1314">
        <v>153</v>
      </c>
    </row>
    <row r="639" spans="1:13">
      <c r="A639" s="239"/>
      <c r="B639" s="239"/>
      <c r="C639" s="239"/>
      <c r="D639" s="239"/>
      <c r="E639" s="239"/>
      <c r="F639" s="239"/>
      <c r="G639" s="239"/>
      <c r="H639" s="239"/>
      <c r="L639" s="316">
        <v>511</v>
      </c>
      <c r="M639" s="1314">
        <v>154</v>
      </c>
    </row>
    <row r="640" spans="1:13">
      <c r="A640" s="239"/>
      <c r="B640" s="239"/>
      <c r="C640" s="239"/>
      <c r="D640" s="239"/>
      <c r="E640" s="239"/>
      <c r="F640" s="239"/>
      <c r="G640" s="239"/>
      <c r="H640" s="239"/>
      <c r="L640" s="316">
        <v>512</v>
      </c>
      <c r="M640" s="1314">
        <v>154</v>
      </c>
    </row>
    <row r="641" spans="1:13">
      <c r="A641" s="239"/>
      <c r="B641" s="239"/>
      <c r="C641" s="239"/>
      <c r="D641" s="239"/>
      <c r="E641" s="239"/>
      <c r="F641" s="239"/>
      <c r="G641" s="239"/>
      <c r="H641" s="239"/>
      <c r="L641" s="316">
        <v>513</v>
      </c>
      <c r="M641" s="1314">
        <v>154</v>
      </c>
    </row>
    <row r="642" spans="1:13">
      <c r="A642" s="239"/>
      <c r="B642" s="239"/>
      <c r="C642" s="239"/>
      <c r="D642" s="239"/>
      <c r="E642" s="239"/>
      <c r="F642" s="239"/>
      <c r="G642" s="239"/>
      <c r="H642" s="239"/>
      <c r="L642" s="316">
        <v>514</v>
      </c>
      <c r="M642" s="1314">
        <v>155</v>
      </c>
    </row>
    <row r="643" spans="1:13">
      <c r="A643" s="239"/>
      <c r="B643" s="239"/>
      <c r="C643" s="239"/>
      <c r="D643" s="239"/>
      <c r="E643" s="239"/>
      <c r="F643" s="239"/>
      <c r="G643" s="239"/>
      <c r="H643" s="239"/>
      <c r="L643" s="316">
        <v>515</v>
      </c>
      <c r="M643" s="1314">
        <v>155</v>
      </c>
    </row>
    <row r="644" spans="1:13">
      <c r="A644" s="239"/>
      <c r="B644" s="239"/>
      <c r="C644" s="239"/>
      <c r="D644" s="239"/>
      <c r="E644" s="239"/>
      <c r="F644" s="239"/>
      <c r="G644" s="239"/>
      <c r="H644" s="239"/>
      <c r="L644" s="316">
        <v>516</v>
      </c>
      <c r="M644" s="1314">
        <v>155</v>
      </c>
    </row>
    <row r="645" spans="1:13">
      <c r="A645" s="239"/>
      <c r="B645" s="239"/>
      <c r="C645" s="239"/>
      <c r="D645" s="239"/>
      <c r="E645" s="239"/>
      <c r="F645" s="239"/>
      <c r="G645" s="239"/>
      <c r="H645" s="239"/>
      <c r="L645" s="316">
        <v>517</v>
      </c>
      <c r="M645" s="1314">
        <v>156</v>
      </c>
    </row>
    <row r="646" spans="1:13">
      <c r="A646" s="239"/>
      <c r="B646" s="239"/>
      <c r="C646" s="239"/>
      <c r="D646" s="239"/>
      <c r="E646" s="239"/>
      <c r="F646" s="239"/>
      <c r="G646" s="239"/>
      <c r="H646" s="239"/>
      <c r="L646" s="316">
        <v>518</v>
      </c>
      <c r="M646" s="1314">
        <v>156</v>
      </c>
    </row>
    <row r="647" spans="1:13">
      <c r="A647" s="239"/>
      <c r="B647" s="239"/>
      <c r="C647" s="239"/>
      <c r="D647" s="239"/>
      <c r="E647" s="239"/>
      <c r="F647" s="239"/>
      <c r="G647" s="239"/>
      <c r="H647" s="239"/>
      <c r="L647" s="316">
        <v>519</v>
      </c>
      <c r="M647" s="1314">
        <v>156</v>
      </c>
    </row>
    <row r="648" spans="1:13">
      <c r="A648" s="239"/>
      <c r="B648" s="239"/>
      <c r="C648" s="239"/>
      <c r="D648" s="239"/>
      <c r="E648" s="239"/>
      <c r="F648" s="239"/>
      <c r="G648" s="239"/>
      <c r="H648" s="239"/>
      <c r="L648" s="316">
        <v>520</v>
      </c>
      <c r="M648" s="1314">
        <v>156</v>
      </c>
    </row>
    <row r="649" spans="1:13">
      <c r="A649" s="239"/>
      <c r="B649" s="239"/>
      <c r="C649" s="239"/>
      <c r="D649" s="239"/>
      <c r="E649" s="239"/>
      <c r="F649" s="239"/>
      <c r="G649" s="239"/>
      <c r="H649" s="239"/>
      <c r="L649" s="316">
        <v>521</v>
      </c>
      <c r="M649" s="1314">
        <v>157</v>
      </c>
    </row>
    <row r="650" spans="1:13">
      <c r="A650" s="239"/>
      <c r="B650" s="239"/>
      <c r="C650" s="239"/>
      <c r="D650" s="239"/>
      <c r="E650" s="239"/>
      <c r="F650" s="239"/>
      <c r="G650" s="239"/>
      <c r="H650" s="239"/>
      <c r="L650" s="316">
        <v>522</v>
      </c>
      <c r="M650" s="1314">
        <v>157</v>
      </c>
    </row>
    <row r="651" spans="1:13">
      <c r="A651" s="239"/>
      <c r="B651" s="239"/>
      <c r="C651" s="239"/>
      <c r="D651" s="239"/>
      <c r="E651" s="239"/>
      <c r="F651" s="239"/>
      <c r="G651" s="239"/>
      <c r="H651" s="239"/>
      <c r="L651" s="316">
        <v>523</v>
      </c>
      <c r="M651" s="1314">
        <v>157</v>
      </c>
    </row>
    <row r="652" spans="1:13">
      <c r="A652" s="239"/>
      <c r="B652" s="239"/>
      <c r="C652" s="239"/>
      <c r="D652" s="239"/>
      <c r="E652" s="239"/>
      <c r="F652" s="239"/>
      <c r="G652" s="239"/>
      <c r="H652" s="239"/>
      <c r="L652" s="316">
        <v>524</v>
      </c>
      <c r="M652" s="1314">
        <v>158</v>
      </c>
    </row>
    <row r="653" spans="1:13">
      <c r="A653" s="239"/>
      <c r="B653" s="239"/>
      <c r="C653" s="239"/>
      <c r="D653" s="239"/>
      <c r="E653" s="239"/>
      <c r="F653" s="239"/>
      <c r="G653" s="239"/>
      <c r="H653" s="239"/>
      <c r="L653" s="316">
        <v>525</v>
      </c>
      <c r="M653" s="1314">
        <v>158</v>
      </c>
    </row>
    <row r="654" spans="1:13">
      <c r="A654" s="239"/>
      <c r="B654" s="239"/>
      <c r="C654" s="239"/>
      <c r="D654" s="239"/>
      <c r="E654" s="239"/>
      <c r="F654" s="239"/>
      <c r="G654" s="239"/>
      <c r="H654" s="239"/>
      <c r="L654" s="316">
        <v>526</v>
      </c>
      <c r="M654" s="1314">
        <v>158</v>
      </c>
    </row>
    <row r="655" spans="1:13">
      <c r="A655" s="239"/>
      <c r="B655" s="239"/>
      <c r="C655" s="239"/>
      <c r="D655" s="239"/>
      <c r="E655" s="239"/>
      <c r="F655" s="239"/>
      <c r="G655" s="239"/>
      <c r="H655" s="239"/>
      <c r="L655" s="316">
        <v>527</v>
      </c>
      <c r="M655" s="1314">
        <v>159</v>
      </c>
    </row>
    <row r="656" spans="1:13">
      <c r="A656" s="239"/>
      <c r="B656" s="239"/>
      <c r="C656" s="239"/>
      <c r="D656" s="239"/>
      <c r="E656" s="239"/>
      <c r="F656" s="239"/>
      <c r="G656" s="239"/>
      <c r="H656" s="239"/>
      <c r="L656" s="316">
        <v>528</v>
      </c>
      <c r="M656" s="1314">
        <v>159</v>
      </c>
    </row>
    <row r="657" spans="1:13">
      <c r="A657" s="239"/>
      <c r="B657" s="239"/>
      <c r="C657" s="239"/>
      <c r="D657" s="239"/>
      <c r="E657" s="239"/>
      <c r="F657" s="239"/>
      <c r="G657" s="239"/>
      <c r="H657" s="239"/>
      <c r="L657" s="316">
        <v>529</v>
      </c>
      <c r="M657" s="1314">
        <v>159</v>
      </c>
    </row>
    <row r="658" spans="1:13">
      <c r="A658" s="239"/>
      <c r="B658" s="239"/>
      <c r="C658" s="239"/>
      <c r="D658" s="239"/>
      <c r="E658" s="239"/>
      <c r="F658" s="239"/>
      <c r="G658" s="239"/>
      <c r="H658" s="239"/>
      <c r="L658" s="316">
        <v>530</v>
      </c>
      <c r="M658" s="1314">
        <v>159</v>
      </c>
    </row>
    <row r="659" spans="1:13">
      <c r="A659" s="239"/>
      <c r="B659" s="239"/>
      <c r="C659" s="239"/>
      <c r="D659" s="239"/>
      <c r="E659" s="239"/>
      <c r="F659" s="239"/>
      <c r="G659" s="239"/>
      <c r="H659" s="239"/>
      <c r="L659" s="316">
        <v>531</v>
      </c>
      <c r="M659" s="1314">
        <v>160</v>
      </c>
    </row>
    <row r="660" spans="1:13">
      <c r="A660" s="239"/>
      <c r="B660" s="239"/>
      <c r="C660" s="239"/>
      <c r="D660" s="239"/>
      <c r="E660" s="239"/>
      <c r="F660" s="239"/>
      <c r="G660" s="239"/>
      <c r="H660" s="239"/>
      <c r="L660" s="316">
        <v>532</v>
      </c>
      <c r="M660" s="1314">
        <v>160</v>
      </c>
    </row>
    <row r="661" spans="1:13">
      <c r="A661" s="239"/>
      <c r="B661" s="239"/>
      <c r="C661" s="239"/>
      <c r="D661" s="239"/>
      <c r="E661" s="239"/>
      <c r="F661" s="239"/>
      <c r="G661" s="239"/>
      <c r="H661" s="239"/>
      <c r="L661" s="316">
        <v>533</v>
      </c>
      <c r="M661" s="1314">
        <v>160</v>
      </c>
    </row>
    <row r="662" spans="1:13">
      <c r="A662" s="239"/>
      <c r="B662" s="239"/>
      <c r="C662" s="239"/>
      <c r="D662" s="239"/>
      <c r="E662" s="239"/>
      <c r="F662" s="239"/>
      <c r="G662" s="239"/>
      <c r="H662" s="239"/>
      <c r="L662" s="316">
        <v>534</v>
      </c>
      <c r="M662" s="1314">
        <v>161</v>
      </c>
    </row>
    <row r="663" spans="1:13">
      <c r="A663" s="239"/>
      <c r="B663" s="239"/>
      <c r="C663" s="239"/>
      <c r="D663" s="239"/>
      <c r="E663" s="239"/>
      <c r="F663" s="239"/>
      <c r="G663" s="239"/>
      <c r="H663" s="239"/>
      <c r="L663" s="316">
        <v>535</v>
      </c>
      <c r="M663" s="1314">
        <v>161</v>
      </c>
    </row>
    <row r="664" spans="1:13">
      <c r="A664" s="239"/>
      <c r="B664" s="239"/>
      <c r="C664" s="239"/>
      <c r="D664" s="239"/>
      <c r="E664" s="239"/>
      <c r="F664" s="239"/>
      <c r="G664" s="239"/>
      <c r="H664" s="239"/>
      <c r="L664" s="316">
        <v>536</v>
      </c>
      <c r="M664" s="1314">
        <v>161</v>
      </c>
    </row>
    <row r="665" spans="1:13">
      <c r="A665" s="239"/>
      <c r="B665" s="239"/>
      <c r="C665" s="239"/>
      <c r="D665" s="239"/>
      <c r="E665" s="239"/>
      <c r="F665" s="239"/>
      <c r="G665" s="239"/>
      <c r="H665" s="239"/>
      <c r="L665" s="316">
        <v>537</v>
      </c>
      <c r="M665" s="1314">
        <v>162</v>
      </c>
    </row>
    <row r="666" spans="1:13">
      <c r="A666" s="239"/>
      <c r="B666" s="239"/>
      <c r="C666" s="239"/>
      <c r="D666" s="239"/>
      <c r="E666" s="239"/>
      <c r="F666" s="239"/>
      <c r="G666" s="239"/>
      <c r="H666" s="239"/>
      <c r="L666" s="316">
        <v>538</v>
      </c>
      <c r="M666" s="1314">
        <v>162</v>
      </c>
    </row>
    <row r="667" spans="1:13">
      <c r="A667" s="239"/>
      <c r="B667" s="239"/>
      <c r="C667" s="239"/>
      <c r="D667" s="239"/>
      <c r="E667" s="239"/>
      <c r="F667" s="239"/>
      <c r="G667" s="239"/>
      <c r="H667" s="239"/>
      <c r="L667" s="316">
        <v>539</v>
      </c>
      <c r="M667" s="1314">
        <v>162</v>
      </c>
    </row>
    <row r="668" spans="1:13">
      <c r="A668" s="239"/>
      <c r="B668" s="239"/>
      <c r="C668" s="239"/>
      <c r="D668" s="239"/>
      <c r="E668" s="239"/>
      <c r="F668" s="239"/>
      <c r="G668" s="239"/>
      <c r="H668" s="239"/>
      <c r="L668" s="316">
        <v>540</v>
      </c>
      <c r="M668" s="1314">
        <v>162</v>
      </c>
    </row>
    <row r="669" spans="1:13">
      <c r="A669" s="239"/>
      <c r="B669" s="239"/>
      <c r="C669" s="239"/>
      <c r="D669" s="239"/>
      <c r="E669" s="239"/>
      <c r="F669" s="239"/>
      <c r="G669" s="239"/>
      <c r="H669" s="239"/>
      <c r="L669" s="316">
        <v>541</v>
      </c>
      <c r="M669" s="1314">
        <v>163</v>
      </c>
    </row>
    <row r="670" spans="1:13">
      <c r="A670" s="239"/>
      <c r="B670" s="239"/>
      <c r="C670" s="239"/>
      <c r="D670" s="239"/>
      <c r="E670" s="239"/>
      <c r="F670" s="239"/>
      <c r="G670" s="239"/>
      <c r="H670" s="239"/>
      <c r="L670" s="316">
        <v>542</v>
      </c>
      <c r="M670" s="1314">
        <v>163</v>
      </c>
    </row>
    <row r="671" spans="1:13">
      <c r="A671" s="239"/>
      <c r="B671" s="239"/>
      <c r="C671" s="239"/>
      <c r="D671" s="239"/>
      <c r="E671" s="239"/>
      <c r="F671" s="239"/>
      <c r="G671" s="239"/>
      <c r="H671" s="239"/>
      <c r="L671" s="316">
        <v>543</v>
      </c>
      <c r="M671" s="1314">
        <v>163</v>
      </c>
    </row>
    <row r="672" spans="1:13">
      <c r="A672" s="239"/>
      <c r="B672" s="239"/>
      <c r="C672" s="239"/>
      <c r="D672" s="239"/>
      <c r="E672" s="239"/>
      <c r="F672" s="239"/>
      <c r="G672" s="239"/>
      <c r="H672" s="239"/>
      <c r="L672" s="316">
        <v>544</v>
      </c>
      <c r="M672" s="1314">
        <v>164</v>
      </c>
    </row>
    <row r="673" spans="1:13">
      <c r="A673" s="239"/>
      <c r="B673" s="239"/>
      <c r="C673" s="239"/>
      <c r="D673" s="239"/>
      <c r="E673" s="239"/>
      <c r="F673" s="239"/>
      <c r="G673" s="239"/>
      <c r="H673" s="239"/>
      <c r="L673" s="316">
        <v>545</v>
      </c>
      <c r="M673" s="1314">
        <v>164</v>
      </c>
    </row>
    <row r="674" spans="1:13">
      <c r="A674" s="239"/>
      <c r="B674" s="239"/>
      <c r="C674" s="239"/>
      <c r="D674" s="239"/>
      <c r="E674" s="239"/>
      <c r="F674" s="239"/>
      <c r="G674" s="239"/>
      <c r="H674" s="239"/>
      <c r="L674" s="316">
        <v>546</v>
      </c>
      <c r="M674" s="1314">
        <v>164</v>
      </c>
    </row>
    <row r="675" spans="1:13">
      <c r="A675" s="239"/>
      <c r="B675" s="239"/>
      <c r="C675" s="239"/>
      <c r="D675" s="239"/>
      <c r="E675" s="239"/>
      <c r="F675" s="239"/>
      <c r="G675" s="239"/>
      <c r="H675" s="239"/>
      <c r="L675" s="316">
        <v>547</v>
      </c>
      <c r="M675" s="1314">
        <v>165</v>
      </c>
    </row>
    <row r="676" spans="1:13">
      <c r="A676" s="239"/>
      <c r="B676" s="239"/>
      <c r="C676" s="239"/>
      <c r="D676" s="239"/>
      <c r="E676" s="239"/>
      <c r="F676" s="239"/>
      <c r="G676" s="239"/>
      <c r="H676" s="239"/>
      <c r="L676" s="316">
        <v>548</v>
      </c>
      <c r="M676" s="1314">
        <v>165</v>
      </c>
    </row>
    <row r="677" spans="1:13">
      <c r="A677" s="239"/>
      <c r="B677" s="239"/>
      <c r="C677" s="239"/>
      <c r="D677" s="239"/>
      <c r="E677" s="239"/>
      <c r="F677" s="239"/>
      <c r="G677" s="239"/>
      <c r="H677" s="239"/>
      <c r="L677" s="316">
        <v>549</v>
      </c>
      <c r="M677" s="1314">
        <v>165</v>
      </c>
    </row>
    <row r="678" spans="1:13">
      <c r="A678" s="239"/>
      <c r="B678" s="239"/>
      <c r="C678" s="239"/>
      <c r="D678" s="239"/>
      <c r="E678" s="239"/>
      <c r="F678" s="239"/>
      <c r="G678" s="239"/>
      <c r="H678" s="239"/>
      <c r="L678" s="316">
        <v>550</v>
      </c>
      <c r="M678" s="1314">
        <v>165</v>
      </c>
    </row>
    <row r="679" spans="1:13">
      <c r="A679" s="239"/>
      <c r="B679" s="239"/>
      <c r="C679" s="239"/>
      <c r="D679" s="239"/>
      <c r="E679" s="239"/>
      <c r="F679" s="239"/>
      <c r="G679" s="239"/>
      <c r="H679" s="239"/>
      <c r="L679" s="316">
        <v>551</v>
      </c>
      <c r="M679" s="1314">
        <v>166</v>
      </c>
    </row>
    <row r="680" spans="1:13">
      <c r="A680" s="239"/>
      <c r="B680" s="239"/>
      <c r="C680" s="239"/>
      <c r="D680" s="239"/>
      <c r="E680" s="239"/>
      <c r="F680" s="239"/>
      <c r="G680" s="239"/>
      <c r="H680" s="239"/>
      <c r="L680" s="316">
        <v>552</v>
      </c>
      <c r="M680" s="1314">
        <v>166</v>
      </c>
    </row>
    <row r="681" spans="1:13">
      <c r="A681" s="239"/>
      <c r="B681" s="239"/>
      <c r="C681" s="239"/>
      <c r="D681" s="239"/>
      <c r="E681" s="239"/>
      <c r="F681" s="239"/>
      <c r="G681" s="239"/>
      <c r="H681" s="239"/>
      <c r="L681" s="316">
        <v>553</v>
      </c>
      <c r="M681" s="1314">
        <v>166</v>
      </c>
    </row>
    <row r="682" spans="1:13">
      <c r="A682" s="239"/>
      <c r="B682" s="239"/>
      <c r="C682" s="239"/>
      <c r="D682" s="239"/>
      <c r="E682" s="239"/>
      <c r="F682" s="239"/>
      <c r="G682" s="239"/>
      <c r="H682" s="239"/>
      <c r="L682" s="316">
        <v>554</v>
      </c>
      <c r="M682" s="1314">
        <v>167</v>
      </c>
    </row>
    <row r="683" spans="1:13">
      <c r="A683" s="239"/>
      <c r="B683" s="239"/>
      <c r="C683" s="239"/>
      <c r="D683" s="239"/>
      <c r="E683" s="239"/>
      <c r="F683" s="239"/>
      <c r="G683" s="239"/>
      <c r="H683" s="239"/>
      <c r="L683" s="316">
        <v>555</v>
      </c>
      <c r="M683" s="1314">
        <v>167</v>
      </c>
    </row>
    <row r="684" spans="1:13">
      <c r="A684" s="239"/>
      <c r="B684" s="239"/>
      <c r="C684" s="239"/>
      <c r="D684" s="239"/>
      <c r="E684" s="239"/>
      <c r="F684" s="239"/>
      <c r="G684" s="239"/>
      <c r="H684" s="239"/>
      <c r="L684" s="316">
        <v>556</v>
      </c>
      <c r="M684" s="1314">
        <v>167</v>
      </c>
    </row>
    <row r="685" spans="1:13">
      <c r="A685" s="239"/>
      <c r="B685" s="239"/>
      <c r="C685" s="239"/>
      <c r="D685" s="239"/>
      <c r="E685" s="239"/>
      <c r="F685" s="239"/>
      <c r="G685" s="239"/>
      <c r="H685" s="239"/>
      <c r="L685" s="316">
        <v>557</v>
      </c>
      <c r="M685" s="1314">
        <v>168</v>
      </c>
    </row>
    <row r="686" spans="1:13">
      <c r="A686" s="239"/>
      <c r="B686" s="239"/>
      <c r="C686" s="239"/>
      <c r="D686" s="239"/>
      <c r="E686" s="239"/>
      <c r="F686" s="239"/>
      <c r="G686" s="239"/>
      <c r="H686" s="239"/>
      <c r="L686" s="316">
        <v>558</v>
      </c>
      <c r="M686" s="1314">
        <v>168</v>
      </c>
    </row>
    <row r="687" spans="1:13">
      <c r="A687" s="239"/>
      <c r="B687" s="239"/>
      <c r="C687" s="239"/>
      <c r="D687" s="239"/>
      <c r="E687" s="239"/>
      <c r="F687" s="239"/>
      <c r="G687" s="239"/>
      <c r="H687" s="239"/>
      <c r="L687" s="316">
        <v>559</v>
      </c>
      <c r="M687" s="1314">
        <v>168</v>
      </c>
    </row>
    <row r="688" spans="1:13">
      <c r="A688" s="239"/>
      <c r="B688" s="239"/>
      <c r="C688" s="239"/>
      <c r="D688" s="239"/>
      <c r="E688" s="239"/>
      <c r="F688" s="239"/>
      <c r="G688" s="239"/>
      <c r="H688" s="239"/>
      <c r="L688" s="316">
        <v>560</v>
      </c>
      <c r="M688" s="1314">
        <v>168</v>
      </c>
    </row>
    <row r="689" spans="1:13">
      <c r="A689" s="239"/>
      <c r="B689" s="239"/>
      <c r="C689" s="239"/>
      <c r="D689" s="239"/>
      <c r="E689" s="239"/>
      <c r="F689" s="239"/>
      <c r="G689" s="239"/>
      <c r="H689" s="239"/>
      <c r="L689" s="316">
        <v>561</v>
      </c>
      <c r="M689" s="1314">
        <v>169</v>
      </c>
    </row>
    <row r="690" spans="1:13">
      <c r="A690" s="239"/>
      <c r="B690" s="239"/>
      <c r="C690" s="239"/>
      <c r="D690" s="239"/>
      <c r="E690" s="239"/>
      <c r="F690" s="239"/>
      <c r="G690" s="239"/>
      <c r="H690" s="239"/>
      <c r="L690" s="316">
        <v>562</v>
      </c>
      <c r="M690" s="1314">
        <v>169</v>
      </c>
    </row>
    <row r="691" spans="1:13">
      <c r="A691" s="239"/>
      <c r="B691" s="239"/>
      <c r="C691" s="239"/>
      <c r="D691" s="239"/>
      <c r="E691" s="239"/>
      <c r="F691" s="239"/>
      <c r="G691" s="239"/>
      <c r="H691" s="239"/>
      <c r="L691" s="316">
        <v>563</v>
      </c>
      <c r="M691" s="1314">
        <v>169</v>
      </c>
    </row>
    <row r="692" spans="1:13">
      <c r="A692" s="239"/>
      <c r="B692" s="239"/>
      <c r="C692" s="239"/>
      <c r="D692" s="239"/>
      <c r="E692" s="239"/>
      <c r="F692" s="239"/>
      <c r="G692" s="239"/>
      <c r="H692" s="239"/>
      <c r="L692" s="316">
        <v>564</v>
      </c>
      <c r="M692" s="1314">
        <v>170</v>
      </c>
    </row>
    <row r="693" spans="1:13">
      <c r="A693" s="239"/>
      <c r="B693" s="239"/>
      <c r="C693" s="239"/>
      <c r="D693" s="239"/>
      <c r="E693" s="239"/>
      <c r="F693" s="239"/>
      <c r="G693" s="239"/>
      <c r="H693" s="239"/>
      <c r="L693" s="316">
        <v>565</v>
      </c>
      <c r="M693" s="1314">
        <v>170</v>
      </c>
    </row>
    <row r="694" spans="1:13">
      <c r="A694" s="239"/>
      <c r="B694" s="239"/>
      <c r="C694" s="239"/>
      <c r="D694" s="239"/>
      <c r="E694" s="239"/>
      <c r="F694" s="239"/>
      <c r="G694" s="239"/>
      <c r="H694" s="239"/>
      <c r="L694" s="316">
        <v>566</v>
      </c>
      <c r="M694" s="1314">
        <v>170</v>
      </c>
    </row>
    <row r="695" spans="1:13">
      <c r="A695" s="239"/>
      <c r="B695" s="239"/>
      <c r="C695" s="239"/>
      <c r="D695" s="239"/>
      <c r="E695" s="239"/>
      <c r="F695" s="239"/>
      <c r="G695" s="239"/>
      <c r="H695" s="239"/>
      <c r="L695" s="316">
        <v>567</v>
      </c>
      <c r="M695" s="1314">
        <v>171</v>
      </c>
    </row>
    <row r="696" spans="1:13">
      <c r="A696" s="239"/>
      <c r="B696" s="239"/>
      <c r="C696" s="239"/>
      <c r="D696" s="239"/>
      <c r="E696" s="239"/>
      <c r="F696" s="239"/>
      <c r="G696" s="239"/>
      <c r="H696" s="239"/>
      <c r="L696" s="316">
        <v>568</v>
      </c>
      <c r="M696" s="1314">
        <v>171</v>
      </c>
    </row>
    <row r="697" spans="1:13">
      <c r="A697" s="239"/>
      <c r="B697" s="239"/>
      <c r="C697" s="239"/>
      <c r="D697" s="239"/>
      <c r="E697" s="239"/>
      <c r="F697" s="239"/>
      <c r="G697" s="239"/>
      <c r="H697" s="239"/>
      <c r="L697" s="316">
        <v>569</v>
      </c>
      <c r="M697" s="1314">
        <v>171</v>
      </c>
    </row>
    <row r="698" spans="1:13">
      <c r="A698" s="239"/>
      <c r="B698" s="239"/>
      <c r="C698" s="239"/>
      <c r="D698" s="239"/>
      <c r="E698" s="239"/>
      <c r="F698" s="239"/>
      <c r="G698" s="239"/>
      <c r="H698" s="239"/>
      <c r="L698" s="316">
        <v>570</v>
      </c>
      <c r="M698" s="1314">
        <v>171</v>
      </c>
    </row>
    <row r="699" spans="1:13">
      <c r="A699" s="239"/>
      <c r="B699" s="239"/>
      <c r="C699" s="239"/>
      <c r="D699" s="239"/>
      <c r="E699" s="239"/>
      <c r="F699" s="239"/>
      <c r="G699" s="239"/>
      <c r="H699" s="239"/>
      <c r="L699" s="316">
        <v>571</v>
      </c>
      <c r="M699" s="1314">
        <v>172</v>
      </c>
    </row>
    <row r="700" spans="1:13">
      <c r="L700" s="316">
        <v>572</v>
      </c>
      <c r="M700" s="1314">
        <v>172</v>
      </c>
    </row>
    <row r="701" spans="1:13">
      <c r="L701" s="316">
        <v>573</v>
      </c>
      <c r="M701" s="1314">
        <v>172</v>
      </c>
    </row>
    <row r="702" spans="1:13">
      <c r="L702" s="316">
        <v>574</v>
      </c>
      <c r="M702" s="1314">
        <v>173</v>
      </c>
    </row>
    <row r="703" spans="1:13">
      <c r="L703" s="316">
        <v>575</v>
      </c>
      <c r="M703" s="1314">
        <v>173</v>
      </c>
    </row>
    <row r="704" spans="1:13">
      <c r="L704" s="316">
        <v>576</v>
      </c>
      <c r="M704" s="1314">
        <v>173</v>
      </c>
    </row>
    <row r="705" spans="12:13">
      <c r="L705" s="316">
        <v>577</v>
      </c>
      <c r="M705" s="1314">
        <v>174</v>
      </c>
    </row>
    <row r="706" spans="12:13">
      <c r="L706" s="316">
        <v>578</v>
      </c>
      <c r="M706" s="1314">
        <v>174</v>
      </c>
    </row>
    <row r="707" spans="12:13">
      <c r="L707" s="316">
        <v>579</v>
      </c>
      <c r="M707" s="1314">
        <v>174</v>
      </c>
    </row>
    <row r="708" spans="12:13">
      <c r="L708" s="316">
        <v>580</v>
      </c>
      <c r="M708" s="1314">
        <v>174</v>
      </c>
    </row>
    <row r="709" spans="12:13">
      <c r="L709" s="316">
        <v>581</v>
      </c>
      <c r="M709" s="1314">
        <v>175</v>
      </c>
    </row>
    <row r="710" spans="12:13">
      <c r="L710" s="316">
        <v>582</v>
      </c>
      <c r="M710" s="1314">
        <v>175</v>
      </c>
    </row>
    <row r="711" spans="12:13">
      <c r="L711" s="316">
        <v>583</v>
      </c>
      <c r="M711" s="1314">
        <v>175</v>
      </c>
    </row>
    <row r="712" spans="12:13">
      <c r="L712" s="316">
        <v>584</v>
      </c>
      <c r="M712" s="1314">
        <v>176</v>
      </c>
    </row>
    <row r="713" spans="12:13">
      <c r="L713" s="316">
        <v>585</v>
      </c>
      <c r="M713" s="1314">
        <v>176</v>
      </c>
    </row>
    <row r="714" spans="12:13">
      <c r="L714" s="316">
        <v>586</v>
      </c>
      <c r="M714" s="1314">
        <v>176</v>
      </c>
    </row>
    <row r="715" spans="12:13">
      <c r="L715" s="316">
        <v>587</v>
      </c>
      <c r="M715" s="1314">
        <v>177</v>
      </c>
    </row>
    <row r="716" spans="12:13">
      <c r="L716" s="316">
        <v>588</v>
      </c>
      <c r="M716" s="1314">
        <v>177</v>
      </c>
    </row>
    <row r="717" spans="12:13">
      <c r="L717" s="316">
        <v>589</v>
      </c>
      <c r="M717" s="1314">
        <v>177</v>
      </c>
    </row>
    <row r="718" spans="12:13">
      <c r="L718" s="316">
        <v>590</v>
      </c>
      <c r="M718" s="1314">
        <v>177</v>
      </c>
    </row>
    <row r="719" spans="12:13">
      <c r="L719" s="316">
        <v>591</v>
      </c>
      <c r="M719" s="1314">
        <v>178</v>
      </c>
    </row>
    <row r="720" spans="12:13">
      <c r="L720" s="316">
        <v>592</v>
      </c>
      <c r="M720" s="1314">
        <v>178</v>
      </c>
    </row>
    <row r="721" spans="12:13">
      <c r="L721" s="316">
        <v>593</v>
      </c>
      <c r="M721" s="1314">
        <v>178</v>
      </c>
    </row>
    <row r="722" spans="12:13">
      <c r="L722" s="316">
        <v>594</v>
      </c>
      <c r="M722" s="1314">
        <v>179</v>
      </c>
    </row>
    <row r="723" spans="12:13">
      <c r="L723" s="316">
        <v>595</v>
      </c>
      <c r="M723" s="1314">
        <v>179</v>
      </c>
    </row>
    <row r="724" spans="12:13">
      <c r="L724" s="316">
        <v>596</v>
      </c>
      <c r="M724" s="1314">
        <v>179</v>
      </c>
    </row>
    <row r="725" spans="12:13">
      <c r="L725" s="316">
        <v>597</v>
      </c>
      <c r="M725" s="1314">
        <v>180</v>
      </c>
    </row>
    <row r="726" spans="12:13">
      <c r="L726" s="316">
        <v>598</v>
      </c>
      <c r="M726" s="1314">
        <v>180</v>
      </c>
    </row>
    <row r="727" spans="12:13">
      <c r="L727" s="316">
        <v>599</v>
      </c>
      <c r="M727" s="1314">
        <v>180</v>
      </c>
    </row>
    <row r="728" spans="12:13">
      <c r="L728" s="316">
        <v>600</v>
      </c>
      <c r="M728" s="1314">
        <v>180</v>
      </c>
    </row>
    <row r="729" spans="12:13">
      <c r="L729" s="316">
        <v>601</v>
      </c>
      <c r="M729" s="1314">
        <v>181</v>
      </c>
    </row>
    <row r="730" spans="12:13">
      <c r="L730" s="316">
        <v>602</v>
      </c>
      <c r="M730" s="1314">
        <v>181</v>
      </c>
    </row>
    <row r="731" spans="12:13">
      <c r="L731" s="316">
        <v>603</v>
      </c>
      <c r="M731" s="1314">
        <v>181</v>
      </c>
    </row>
    <row r="732" spans="12:13">
      <c r="L732" s="316">
        <v>604</v>
      </c>
      <c r="M732" s="1314">
        <v>182</v>
      </c>
    </row>
    <row r="733" spans="12:13">
      <c r="L733" s="316">
        <v>605</v>
      </c>
      <c r="M733" s="1314">
        <v>182</v>
      </c>
    </row>
    <row r="734" spans="12:13">
      <c r="L734" s="316">
        <v>606</v>
      </c>
      <c r="M734" s="1314">
        <v>182</v>
      </c>
    </row>
    <row r="735" spans="12:13">
      <c r="L735" s="316">
        <v>607</v>
      </c>
      <c r="M735" s="1314">
        <v>183</v>
      </c>
    </row>
    <row r="736" spans="12:13">
      <c r="L736" s="316">
        <v>608</v>
      </c>
      <c r="M736" s="1314">
        <v>183</v>
      </c>
    </row>
    <row r="737" spans="12:13">
      <c r="L737" s="316">
        <v>609</v>
      </c>
      <c r="M737" s="1314">
        <v>183</v>
      </c>
    </row>
    <row r="738" spans="12:13">
      <c r="L738" s="316">
        <v>610</v>
      </c>
      <c r="M738" s="1314">
        <v>183</v>
      </c>
    </row>
    <row r="739" spans="12:13">
      <c r="L739" s="316">
        <v>611</v>
      </c>
      <c r="M739" s="1314">
        <v>184</v>
      </c>
    </row>
    <row r="740" spans="12:13">
      <c r="L740" s="316">
        <v>612</v>
      </c>
      <c r="M740" s="1314">
        <v>184</v>
      </c>
    </row>
    <row r="741" spans="12:13">
      <c r="L741" s="316">
        <v>613</v>
      </c>
      <c r="M741" s="1314">
        <v>184</v>
      </c>
    </row>
    <row r="742" spans="12:13">
      <c r="L742" s="316">
        <v>614</v>
      </c>
      <c r="M742" s="1314">
        <v>185</v>
      </c>
    </row>
    <row r="743" spans="12:13">
      <c r="L743" s="316">
        <v>615</v>
      </c>
      <c r="M743" s="1314">
        <v>185</v>
      </c>
    </row>
    <row r="744" spans="12:13">
      <c r="L744" s="316">
        <v>616</v>
      </c>
      <c r="M744" s="1314">
        <v>185</v>
      </c>
    </row>
    <row r="745" spans="12:13">
      <c r="L745" s="316">
        <v>617</v>
      </c>
      <c r="M745" s="1314">
        <v>186</v>
      </c>
    </row>
    <row r="746" spans="12:13">
      <c r="L746" s="316">
        <v>618</v>
      </c>
      <c r="M746" s="1314">
        <v>186</v>
      </c>
    </row>
    <row r="747" spans="12:13">
      <c r="L747" s="316">
        <v>619</v>
      </c>
      <c r="M747" s="1314">
        <v>186</v>
      </c>
    </row>
    <row r="748" spans="12:13">
      <c r="L748" s="316">
        <v>620</v>
      </c>
      <c r="M748" s="1314">
        <v>186</v>
      </c>
    </row>
    <row r="749" spans="12:13">
      <c r="L749" s="316">
        <v>621</v>
      </c>
      <c r="M749" s="1314">
        <v>187</v>
      </c>
    </row>
    <row r="750" spans="12:13">
      <c r="L750" s="316">
        <v>622</v>
      </c>
      <c r="M750" s="1314">
        <v>187</v>
      </c>
    </row>
    <row r="751" spans="12:13">
      <c r="L751" s="316">
        <v>623</v>
      </c>
      <c r="M751" s="1314">
        <v>187</v>
      </c>
    </row>
    <row r="752" spans="12:13">
      <c r="L752" s="316">
        <v>624</v>
      </c>
      <c r="M752" s="1314">
        <v>188</v>
      </c>
    </row>
    <row r="753" spans="12:13">
      <c r="L753" s="316">
        <v>625</v>
      </c>
      <c r="M753" s="1314">
        <v>188</v>
      </c>
    </row>
    <row r="754" spans="12:13">
      <c r="L754" s="316">
        <v>626</v>
      </c>
      <c r="M754" s="1314">
        <v>188</v>
      </c>
    </row>
    <row r="755" spans="12:13">
      <c r="L755" s="316">
        <v>627</v>
      </c>
      <c r="M755" s="1314">
        <v>189</v>
      </c>
    </row>
    <row r="756" spans="12:13">
      <c r="L756" s="316">
        <v>628</v>
      </c>
      <c r="M756" s="1314">
        <v>189</v>
      </c>
    </row>
    <row r="757" spans="12:13">
      <c r="L757" s="316">
        <v>629</v>
      </c>
      <c r="M757" s="1314">
        <v>189</v>
      </c>
    </row>
    <row r="758" spans="12:13">
      <c r="L758" s="316">
        <v>630</v>
      </c>
      <c r="M758" s="1314">
        <v>189</v>
      </c>
    </row>
    <row r="759" spans="12:13">
      <c r="L759" s="316">
        <v>631</v>
      </c>
      <c r="M759" s="1314">
        <v>190</v>
      </c>
    </row>
    <row r="760" spans="12:13">
      <c r="L760" s="316">
        <v>632</v>
      </c>
      <c r="M760" s="1314">
        <v>190</v>
      </c>
    </row>
    <row r="761" spans="12:13">
      <c r="L761" s="316">
        <v>633</v>
      </c>
      <c r="M761" s="1314">
        <v>190</v>
      </c>
    </row>
    <row r="762" spans="12:13">
      <c r="L762" s="316">
        <v>634</v>
      </c>
      <c r="M762" s="1314">
        <v>191</v>
      </c>
    </row>
    <row r="763" spans="12:13">
      <c r="L763" s="316">
        <v>635</v>
      </c>
      <c r="M763" s="1314">
        <v>191</v>
      </c>
    </row>
    <row r="764" spans="12:13">
      <c r="L764" s="316">
        <v>636</v>
      </c>
      <c r="M764" s="1314">
        <v>191</v>
      </c>
    </row>
    <row r="765" spans="12:13">
      <c r="L765" s="316">
        <v>637</v>
      </c>
      <c r="M765" s="1314">
        <v>192</v>
      </c>
    </row>
    <row r="766" spans="12:13">
      <c r="L766" s="316">
        <v>638</v>
      </c>
      <c r="M766" s="1314">
        <v>192</v>
      </c>
    </row>
    <row r="767" spans="12:13">
      <c r="L767" s="316">
        <v>639</v>
      </c>
      <c r="M767" s="1314">
        <v>192</v>
      </c>
    </row>
    <row r="768" spans="12:13">
      <c r="L768" s="316">
        <v>640</v>
      </c>
      <c r="M768" s="1314">
        <v>192</v>
      </c>
    </row>
    <row r="769" spans="12:13">
      <c r="L769" s="316">
        <v>641</v>
      </c>
      <c r="M769" s="1314">
        <v>193</v>
      </c>
    </row>
    <row r="770" spans="12:13">
      <c r="L770" s="316">
        <v>642</v>
      </c>
      <c r="M770" s="1314">
        <v>193</v>
      </c>
    </row>
    <row r="771" spans="12:13">
      <c r="L771" s="316">
        <v>643</v>
      </c>
      <c r="M771" s="1314">
        <v>193</v>
      </c>
    </row>
    <row r="772" spans="12:13">
      <c r="L772" s="316">
        <v>644</v>
      </c>
      <c r="M772" s="1314">
        <v>194</v>
      </c>
    </row>
    <row r="773" spans="12:13">
      <c r="L773" s="316">
        <v>645</v>
      </c>
      <c r="M773" s="1314">
        <v>194</v>
      </c>
    </row>
    <row r="774" spans="12:13">
      <c r="L774" s="316">
        <v>646</v>
      </c>
      <c r="M774" s="1314">
        <v>194</v>
      </c>
    </row>
    <row r="775" spans="12:13">
      <c r="L775" s="316">
        <v>647</v>
      </c>
      <c r="M775" s="1314">
        <v>195</v>
      </c>
    </row>
    <row r="776" spans="12:13">
      <c r="L776" s="316">
        <v>648</v>
      </c>
      <c r="M776" s="1314">
        <v>195</v>
      </c>
    </row>
    <row r="777" spans="12:13">
      <c r="L777" s="316">
        <v>649</v>
      </c>
      <c r="M777" s="1314">
        <v>195</v>
      </c>
    </row>
    <row r="778" spans="12:13">
      <c r="L778" s="316">
        <v>650</v>
      </c>
      <c r="M778" s="1314">
        <v>195</v>
      </c>
    </row>
    <row r="779" spans="12:13">
      <c r="L779" s="316">
        <v>651</v>
      </c>
      <c r="M779" s="1314">
        <v>196</v>
      </c>
    </row>
    <row r="780" spans="12:13">
      <c r="L780" s="316">
        <v>652</v>
      </c>
      <c r="M780" s="1314">
        <v>196</v>
      </c>
    </row>
    <row r="781" spans="12:13">
      <c r="L781" s="316">
        <v>653</v>
      </c>
      <c r="M781" s="1314">
        <v>196</v>
      </c>
    </row>
    <row r="782" spans="12:13">
      <c r="L782" s="316">
        <v>654</v>
      </c>
      <c r="M782" s="1314">
        <v>197</v>
      </c>
    </row>
    <row r="783" spans="12:13">
      <c r="L783" s="316">
        <v>655</v>
      </c>
      <c r="M783" s="1314">
        <v>197</v>
      </c>
    </row>
    <row r="784" spans="12:13">
      <c r="L784" s="316">
        <v>656</v>
      </c>
      <c r="M784" s="1314">
        <v>197</v>
      </c>
    </row>
    <row r="785" spans="12:13">
      <c r="L785" s="316">
        <v>657</v>
      </c>
      <c r="M785" s="1314">
        <v>198</v>
      </c>
    </row>
    <row r="786" spans="12:13">
      <c r="L786" s="316">
        <v>658</v>
      </c>
      <c r="M786" s="1314">
        <v>198</v>
      </c>
    </row>
    <row r="787" spans="12:13">
      <c r="L787" s="316">
        <v>659</v>
      </c>
      <c r="M787" s="1314">
        <v>198</v>
      </c>
    </row>
    <row r="788" spans="12:13">
      <c r="L788" s="316">
        <v>660</v>
      </c>
      <c r="M788" s="1314">
        <v>198</v>
      </c>
    </row>
    <row r="789" spans="12:13">
      <c r="L789" s="316">
        <v>661</v>
      </c>
      <c r="M789" s="1314">
        <v>199</v>
      </c>
    </row>
    <row r="790" spans="12:13">
      <c r="L790" s="316">
        <v>662</v>
      </c>
      <c r="M790" s="1314">
        <v>199</v>
      </c>
    </row>
    <row r="791" spans="12:13">
      <c r="L791" s="316">
        <v>663</v>
      </c>
      <c r="M791" s="1314">
        <v>199</v>
      </c>
    </row>
    <row r="792" spans="12:13">
      <c r="L792" s="316">
        <v>664</v>
      </c>
      <c r="M792" s="1314">
        <v>200</v>
      </c>
    </row>
    <row r="793" spans="12:13">
      <c r="L793" s="316">
        <v>665</v>
      </c>
      <c r="M793" s="1314">
        <v>200</v>
      </c>
    </row>
    <row r="794" spans="12:13">
      <c r="L794" s="316">
        <v>666</v>
      </c>
      <c r="M794" s="1314">
        <v>200</v>
      </c>
    </row>
    <row r="795" spans="12:13">
      <c r="L795" s="316">
        <v>667</v>
      </c>
      <c r="M795" s="1314">
        <v>201</v>
      </c>
    </row>
    <row r="796" spans="12:13">
      <c r="L796" s="316">
        <v>668</v>
      </c>
      <c r="M796" s="1314">
        <v>201</v>
      </c>
    </row>
    <row r="797" spans="12:13">
      <c r="L797" s="316">
        <v>669</v>
      </c>
      <c r="M797" s="1314">
        <v>201</v>
      </c>
    </row>
    <row r="798" spans="12:13">
      <c r="L798" s="316">
        <v>670</v>
      </c>
      <c r="M798" s="1314">
        <v>201</v>
      </c>
    </row>
    <row r="799" spans="12:13">
      <c r="L799" s="316">
        <v>671</v>
      </c>
      <c r="M799" s="1314">
        <v>202</v>
      </c>
    </row>
    <row r="800" spans="12:13">
      <c r="L800" s="316">
        <v>672</v>
      </c>
      <c r="M800" s="1314">
        <v>202</v>
      </c>
    </row>
    <row r="801" spans="12:13">
      <c r="L801" s="316">
        <v>673</v>
      </c>
      <c r="M801" s="1314">
        <v>202</v>
      </c>
    </row>
    <row r="802" spans="12:13">
      <c r="L802" s="316">
        <v>674</v>
      </c>
      <c r="M802" s="1314">
        <v>203</v>
      </c>
    </row>
    <row r="803" spans="12:13">
      <c r="L803" s="316">
        <v>675</v>
      </c>
      <c r="M803" s="1314">
        <v>203</v>
      </c>
    </row>
    <row r="804" spans="12:13">
      <c r="L804" s="316">
        <v>676</v>
      </c>
      <c r="M804" s="1314">
        <v>203</v>
      </c>
    </row>
    <row r="805" spans="12:13">
      <c r="L805" s="316">
        <v>677</v>
      </c>
      <c r="M805" s="1314">
        <v>204</v>
      </c>
    </row>
    <row r="806" spans="12:13">
      <c r="L806" s="316">
        <v>678</v>
      </c>
      <c r="M806" s="1314">
        <v>204</v>
      </c>
    </row>
    <row r="807" spans="12:13">
      <c r="L807" s="316">
        <v>679</v>
      </c>
      <c r="M807" s="1314">
        <v>204</v>
      </c>
    </row>
    <row r="808" spans="12:13">
      <c r="L808" s="316">
        <v>680</v>
      </c>
      <c r="M808" s="1314">
        <v>204</v>
      </c>
    </row>
    <row r="809" spans="12:13">
      <c r="L809" s="316">
        <v>681</v>
      </c>
      <c r="M809" s="1314">
        <v>205</v>
      </c>
    </row>
    <row r="810" spans="12:13">
      <c r="L810" s="316">
        <v>682</v>
      </c>
      <c r="M810" s="1314">
        <v>205</v>
      </c>
    </row>
    <row r="811" spans="12:13">
      <c r="L811" s="316">
        <v>683</v>
      </c>
      <c r="M811" s="1314">
        <v>205</v>
      </c>
    </row>
    <row r="812" spans="12:13">
      <c r="L812" s="316">
        <v>684</v>
      </c>
      <c r="M812" s="1314">
        <v>206</v>
      </c>
    </row>
    <row r="813" spans="12:13">
      <c r="L813" s="316">
        <v>685</v>
      </c>
      <c r="M813" s="1314">
        <v>206</v>
      </c>
    </row>
    <row r="814" spans="12:13">
      <c r="L814" s="316">
        <v>686</v>
      </c>
      <c r="M814" s="1314">
        <v>206</v>
      </c>
    </row>
    <row r="815" spans="12:13">
      <c r="L815" s="316">
        <v>687</v>
      </c>
      <c r="M815" s="1314">
        <v>207</v>
      </c>
    </row>
    <row r="816" spans="12:13">
      <c r="L816" s="316">
        <v>688</v>
      </c>
      <c r="M816" s="1314">
        <v>207</v>
      </c>
    </row>
    <row r="817" spans="12:13">
      <c r="L817" s="316">
        <v>689</v>
      </c>
      <c r="M817" s="1314">
        <v>207</v>
      </c>
    </row>
    <row r="818" spans="12:13">
      <c r="L818" s="316">
        <v>690</v>
      </c>
      <c r="M818" s="1314">
        <v>207</v>
      </c>
    </row>
    <row r="819" spans="12:13">
      <c r="L819" s="316">
        <v>691</v>
      </c>
      <c r="M819" s="1314">
        <v>208</v>
      </c>
    </row>
    <row r="820" spans="12:13">
      <c r="L820" s="316">
        <v>692</v>
      </c>
      <c r="M820" s="1314">
        <v>208</v>
      </c>
    </row>
    <row r="821" spans="12:13">
      <c r="L821" s="316">
        <v>693</v>
      </c>
      <c r="M821" s="1314">
        <v>208</v>
      </c>
    </row>
    <row r="822" spans="12:13">
      <c r="L822" s="316">
        <v>694</v>
      </c>
      <c r="M822" s="1314">
        <v>209</v>
      </c>
    </row>
    <row r="823" spans="12:13">
      <c r="L823" s="316">
        <v>695</v>
      </c>
      <c r="M823" s="1314">
        <v>209</v>
      </c>
    </row>
    <row r="824" spans="12:13">
      <c r="L824" s="316">
        <v>696</v>
      </c>
      <c r="M824" s="1314">
        <v>209</v>
      </c>
    </row>
    <row r="825" spans="12:13">
      <c r="L825" s="316">
        <v>697</v>
      </c>
      <c r="M825" s="1314">
        <v>210</v>
      </c>
    </row>
    <row r="826" spans="12:13">
      <c r="L826" s="316">
        <v>698</v>
      </c>
      <c r="M826" s="1314">
        <v>210</v>
      </c>
    </row>
    <row r="827" spans="12:13">
      <c r="L827" s="316">
        <v>699</v>
      </c>
      <c r="M827" s="1314">
        <v>210</v>
      </c>
    </row>
    <row r="828" spans="12:13">
      <c r="L828" s="316">
        <v>700</v>
      </c>
      <c r="M828" s="1314">
        <v>210</v>
      </c>
    </row>
    <row r="829" spans="12:13">
      <c r="L829" s="316">
        <v>701</v>
      </c>
      <c r="M829" s="1314">
        <v>211</v>
      </c>
    </row>
    <row r="830" spans="12:13">
      <c r="L830" s="316">
        <v>702</v>
      </c>
      <c r="M830" s="1314">
        <v>211</v>
      </c>
    </row>
    <row r="831" spans="12:13">
      <c r="L831" s="316">
        <v>703</v>
      </c>
      <c r="M831" s="1314">
        <v>211</v>
      </c>
    </row>
    <row r="832" spans="12:13">
      <c r="L832" s="316">
        <v>704</v>
      </c>
      <c r="M832" s="1314">
        <v>212</v>
      </c>
    </row>
    <row r="833" spans="12:13">
      <c r="L833" s="316">
        <v>705</v>
      </c>
      <c r="M833" s="1314">
        <v>212</v>
      </c>
    </row>
    <row r="834" spans="12:13">
      <c r="L834" s="316">
        <v>706</v>
      </c>
      <c r="M834" s="1314">
        <v>212</v>
      </c>
    </row>
    <row r="835" spans="12:13">
      <c r="L835" s="316">
        <v>707</v>
      </c>
      <c r="M835" s="1314">
        <v>213</v>
      </c>
    </row>
    <row r="836" spans="12:13">
      <c r="L836" s="316">
        <v>708</v>
      </c>
      <c r="M836" s="1314">
        <v>213</v>
      </c>
    </row>
    <row r="837" spans="12:13">
      <c r="L837" s="316">
        <v>709</v>
      </c>
      <c r="M837" s="1314">
        <v>213</v>
      </c>
    </row>
    <row r="838" spans="12:13">
      <c r="L838" s="316">
        <v>710</v>
      </c>
      <c r="M838" s="1314">
        <v>213</v>
      </c>
    </row>
    <row r="839" spans="12:13">
      <c r="L839" s="316">
        <v>711</v>
      </c>
      <c r="M839" s="1314">
        <v>214</v>
      </c>
    </row>
    <row r="840" spans="12:13">
      <c r="L840" s="316">
        <v>712</v>
      </c>
      <c r="M840" s="1314">
        <v>214</v>
      </c>
    </row>
    <row r="841" spans="12:13">
      <c r="L841" s="316">
        <v>713</v>
      </c>
      <c r="M841" s="1314">
        <v>214</v>
      </c>
    </row>
    <row r="842" spans="12:13">
      <c r="L842" s="316">
        <v>714</v>
      </c>
      <c r="M842" s="1314">
        <v>215</v>
      </c>
    </row>
    <row r="843" spans="12:13">
      <c r="L843" s="316">
        <v>715</v>
      </c>
      <c r="M843" s="1314">
        <v>215</v>
      </c>
    </row>
    <row r="844" spans="12:13">
      <c r="L844" s="316">
        <v>716</v>
      </c>
      <c r="M844" s="1314">
        <v>215</v>
      </c>
    </row>
    <row r="845" spans="12:13">
      <c r="L845" s="316">
        <v>717</v>
      </c>
      <c r="M845" s="1314">
        <v>216</v>
      </c>
    </row>
    <row r="846" spans="12:13">
      <c r="L846" s="316">
        <v>718</v>
      </c>
      <c r="M846" s="1314">
        <v>216</v>
      </c>
    </row>
    <row r="847" spans="12:13">
      <c r="L847" s="316">
        <v>719</v>
      </c>
      <c r="M847" s="1314">
        <v>216</v>
      </c>
    </row>
    <row r="848" spans="12:13">
      <c r="L848" s="316">
        <v>720</v>
      </c>
      <c r="M848" s="1314">
        <v>216</v>
      </c>
    </row>
    <row r="849" spans="12:13">
      <c r="L849" s="316">
        <v>721</v>
      </c>
      <c r="M849" s="1314">
        <v>217</v>
      </c>
    </row>
    <row r="850" spans="12:13">
      <c r="L850" s="316">
        <v>722</v>
      </c>
      <c r="M850" s="1314">
        <v>217</v>
      </c>
    </row>
    <row r="851" spans="12:13">
      <c r="L851" s="316">
        <v>723</v>
      </c>
      <c r="M851" s="1314">
        <v>217</v>
      </c>
    </row>
    <row r="852" spans="12:13">
      <c r="L852" s="316">
        <v>724</v>
      </c>
      <c r="M852" s="1314">
        <v>218</v>
      </c>
    </row>
    <row r="853" spans="12:13">
      <c r="L853" s="316">
        <v>725</v>
      </c>
      <c r="M853" s="1314">
        <v>218</v>
      </c>
    </row>
    <row r="854" spans="12:13">
      <c r="L854" s="316">
        <v>726</v>
      </c>
      <c r="M854" s="1314">
        <v>218</v>
      </c>
    </row>
    <row r="855" spans="12:13">
      <c r="L855" s="316">
        <v>727</v>
      </c>
      <c r="M855" s="1314">
        <v>219</v>
      </c>
    </row>
    <row r="856" spans="12:13">
      <c r="L856" s="316">
        <v>728</v>
      </c>
      <c r="M856" s="1314">
        <v>219</v>
      </c>
    </row>
    <row r="857" spans="12:13">
      <c r="L857" s="316">
        <v>729</v>
      </c>
      <c r="M857" s="1314">
        <v>219</v>
      </c>
    </row>
    <row r="858" spans="12:13">
      <c r="L858" s="316">
        <v>730</v>
      </c>
      <c r="M858" s="1314">
        <v>219</v>
      </c>
    </row>
    <row r="859" spans="12:13">
      <c r="L859" s="316">
        <v>731</v>
      </c>
      <c r="M859" s="1314">
        <v>220</v>
      </c>
    </row>
    <row r="860" spans="12:13">
      <c r="L860" s="316">
        <v>732</v>
      </c>
      <c r="M860" s="1314">
        <v>220</v>
      </c>
    </row>
    <row r="861" spans="12:13">
      <c r="L861" s="316">
        <v>733</v>
      </c>
      <c r="M861" s="1314">
        <v>220</v>
      </c>
    </row>
    <row r="862" spans="12:13">
      <c r="L862" s="316">
        <v>734</v>
      </c>
      <c r="M862" s="1314">
        <v>221</v>
      </c>
    </row>
    <row r="863" spans="12:13">
      <c r="L863" s="316">
        <v>735</v>
      </c>
      <c r="M863" s="1314">
        <v>221</v>
      </c>
    </row>
    <row r="864" spans="12:13">
      <c r="L864" s="316">
        <v>736</v>
      </c>
      <c r="M864" s="1314">
        <v>221</v>
      </c>
    </row>
    <row r="865" spans="12:13">
      <c r="L865" s="316">
        <v>737</v>
      </c>
      <c r="M865" s="1314">
        <v>222</v>
      </c>
    </row>
    <row r="866" spans="12:13">
      <c r="L866" s="316">
        <v>738</v>
      </c>
      <c r="M866" s="1314">
        <v>222</v>
      </c>
    </row>
    <row r="867" spans="12:13">
      <c r="L867" s="316">
        <v>739</v>
      </c>
      <c r="M867" s="1314">
        <v>222</v>
      </c>
    </row>
    <row r="868" spans="12:13">
      <c r="L868" s="316">
        <v>740</v>
      </c>
      <c r="M868" s="1314">
        <v>222</v>
      </c>
    </row>
    <row r="869" spans="12:13">
      <c r="L869" s="316">
        <v>741</v>
      </c>
      <c r="M869" s="1314">
        <v>223</v>
      </c>
    </row>
    <row r="870" spans="12:13">
      <c r="L870" s="316">
        <v>742</v>
      </c>
      <c r="M870" s="1314">
        <v>223</v>
      </c>
    </row>
    <row r="871" spans="12:13">
      <c r="L871" s="316">
        <v>743</v>
      </c>
      <c r="M871" s="1314">
        <v>223</v>
      </c>
    </row>
    <row r="872" spans="12:13">
      <c r="L872" s="316">
        <v>744</v>
      </c>
      <c r="M872" s="1314">
        <v>224</v>
      </c>
    </row>
    <row r="873" spans="12:13">
      <c r="L873" s="316">
        <v>745</v>
      </c>
      <c r="M873" s="1314">
        <v>224</v>
      </c>
    </row>
    <row r="874" spans="12:13">
      <c r="L874" s="316">
        <v>746</v>
      </c>
      <c r="M874" s="1314">
        <v>224</v>
      </c>
    </row>
    <row r="875" spans="12:13">
      <c r="L875" s="316">
        <v>747</v>
      </c>
      <c r="M875" s="1314">
        <v>225</v>
      </c>
    </row>
    <row r="876" spans="12:13">
      <c r="L876" s="316">
        <v>748</v>
      </c>
      <c r="M876" s="1314">
        <v>225</v>
      </c>
    </row>
    <row r="877" spans="12:13">
      <c r="L877" s="316">
        <v>749</v>
      </c>
      <c r="M877" s="1314">
        <v>225</v>
      </c>
    </row>
    <row r="878" spans="12:13">
      <c r="L878" s="316">
        <v>750</v>
      </c>
      <c r="M878" s="1314">
        <v>225</v>
      </c>
    </row>
    <row r="879" spans="12:13">
      <c r="L879" s="316">
        <v>751</v>
      </c>
      <c r="M879" s="1314">
        <v>226</v>
      </c>
    </row>
    <row r="880" spans="12:13">
      <c r="L880" s="316">
        <v>752</v>
      </c>
      <c r="M880" s="1314">
        <v>226</v>
      </c>
    </row>
    <row r="881" spans="12:13">
      <c r="L881" s="316">
        <v>753</v>
      </c>
      <c r="M881" s="1314">
        <v>226</v>
      </c>
    </row>
    <row r="882" spans="12:13">
      <c r="L882" s="316">
        <v>754</v>
      </c>
      <c r="M882" s="1314">
        <v>227</v>
      </c>
    </row>
    <row r="883" spans="12:13">
      <c r="L883" s="316">
        <v>755</v>
      </c>
      <c r="M883" s="1314">
        <v>227</v>
      </c>
    </row>
    <row r="884" spans="12:13">
      <c r="L884" s="316">
        <v>756</v>
      </c>
      <c r="M884" s="1314">
        <v>227</v>
      </c>
    </row>
    <row r="885" spans="12:13">
      <c r="L885" s="316">
        <v>757</v>
      </c>
      <c r="M885" s="1314">
        <v>228</v>
      </c>
    </row>
    <row r="886" spans="12:13">
      <c r="L886" s="316">
        <v>758</v>
      </c>
      <c r="M886" s="1314">
        <v>228</v>
      </c>
    </row>
    <row r="887" spans="12:13">
      <c r="L887" s="316">
        <v>759</v>
      </c>
      <c r="M887" s="1314">
        <v>228</v>
      </c>
    </row>
    <row r="888" spans="12:13">
      <c r="L888" s="316">
        <v>760</v>
      </c>
      <c r="M888" s="1314">
        <v>228</v>
      </c>
    </row>
    <row r="889" spans="12:13">
      <c r="L889" s="316">
        <v>761</v>
      </c>
      <c r="M889" s="1314">
        <v>229</v>
      </c>
    </row>
    <row r="890" spans="12:13">
      <c r="L890" s="316">
        <v>762</v>
      </c>
      <c r="M890" s="1314">
        <v>229</v>
      </c>
    </row>
    <row r="891" spans="12:13">
      <c r="L891" s="316">
        <v>763</v>
      </c>
      <c r="M891" s="1314">
        <v>229</v>
      </c>
    </row>
    <row r="892" spans="12:13">
      <c r="L892" s="316">
        <v>764</v>
      </c>
      <c r="M892" s="1314">
        <v>230</v>
      </c>
    </row>
    <row r="893" spans="12:13">
      <c r="L893" s="316">
        <v>765</v>
      </c>
      <c r="M893" s="1314">
        <v>230</v>
      </c>
    </row>
    <row r="894" spans="12:13">
      <c r="L894" s="316">
        <v>766</v>
      </c>
      <c r="M894" s="1314">
        <v>230</v>
      </c>
    </row>
    <row r="895" spans="12:13">
      <c r="L895" s="316">
        <v>767</v>
      </c>
      <c r="M895" s="1314">
        <v>231</v>
      </c>
    </row>
    <row r="896" spans="12:13">
      <c r="L896" s="316">
        <v>768</v>
      </c>
      <c r="M896" s="1314">
        <v>231</v>
      </c>
    </row>
    <row r="897" spans="12:13">
      <c r="L897" s="316">
        <v>769</v>
      </c>
      <c r="M897" s="1314">
        <v>231</v>
      </c>
    </row>
    <row r="898" spans="12:13">
      <c r="L898" s="316">
        <v>770</v>
      </c>
      <c r="M898" s="1314">
        <v>231</v>
      </c>
    </row>
    <row r="899" spans="12:13">
      <c r="L899" s="316">
        <v>771</v>
      </c>
      <c r="M899" s="1314">
        <v>232</v>
      </c>
    </row>
    <row r="900" spans="12:13">
      <c r="L900" s="316">
        <v>772</v>
      </c>
      <c r="M900" s="1314">
        <v>232</v>
      </c>
    </row>
    <row r="901" spans="12:13">
      <c r="L901" s="316">
        <v>773</v>
      </c>
      <c r="M901" s="1314">
        <v>232</v>
      </c>
    </row>
    <row r="902" spans="12:13">
      <c r="L902" s="316">
        <v>774</v>
      </c>
      <c r="M902" s="1314">
        <v>233</v>
      </c>
    </row>
    <row r="903" spans="12:13">
      <c r="L903" s="316">
        <v>775</v>
      </c>
      <c r="M903" s="1314">
        <v>233</v>
      </c>
    </row>
    <row r="904" spans="12:13">
      <c r="L904" s="316">
        <v>776</v>
      </c>
      <c r="M904" s="1314">
        <v>233</v>
      </c>
    </row>
    <row r="905" spans="12:13">
      <c r="L905" s="316">
        <v>777</v>
      </c>
      <c r="M905" s="1314">
        <v>234</v>
      </c>
    </row>
    <row r="906" spans="12:13">
      <c r="L906" s="316">
        <v>778</v>
      </c>
      <c r="M906" s="1314">
        <v>234</v>
      </c>
    </row>
    <row r="907" spans="12:13">
      <c r="L907" s="316">
        <v>779</v>
      </c>
      <c r="M907" s="1314">
        <v>234</v>
      </c>
    </row>
    <row r="908" spans="12:13">
      <c r="L908" s="316">
        <v>780</v>
      </c>
      <c r="M908" s="1314">
        <v>234</v>
      </c>
    </row>
    <row r="909" spans="12:13">
      <c r="L909" s="316">
        <v>781</v>
      </c>
      <c r="M909" s="1314">
        <v>235</v>
      </c>
    </row>
    <row r="910" spans="12:13">
      <c r="L910" s="316">
        <v>782</v>
      </c>
      <c r="M910" s="1314">
        <v>235</v>
      </c>
    </row>
    <row r="911" spans="12:13">
      <c r="L911" s="316">
        <v>783</v>
      </c>
      <c r="M911" s="1314">
        <v>235</v>
      </c>
    </row>
    <row r="912" spans="12:13">
      <c r="L912" s="316">
        <v>784</v>
      </c>
      <c r="M912" s="1314">
        <v>236</v>
      </c>
    </row>
    <row r="913" spans="12:13">
      <c r="L913" s="316">
        <v>785</v>
      </c>
      <c r="M913" s="1314">
        <v>236</v>
      </c>
    </row>
    <row r="914" spans="12:13">
      <c r="L914" s="316">
        <v>786</v>
      </c>
      <c r="M914" s="1314">
        <v>236</v>
      </c>
    </row>
    <row r="915" spans="12:13">
      <c r="L915" s="316">
        <v>787</v>
      </c>
      <c r="M915" s="1314">
        <v>237</v>
      </c>
    </row>
    <row r="916" spans="12:13">
      <c r="L916" s="316">
        <v>788</v>
      </c>
      <c r="M916" s="1314">
        <v>237</v>
      </c>
    </row>
    <row r="917" spans="12:13">
      <c r="L917" s="316">
        <v>789</v>
      </c>
      <c r="M917" s="1314">
        <v>237</v>
      </c>
    </row>
    <row r="918" spans="12:13">
      <c r="L918" s="316">
        <v>790</v>
      </c>
      <c r="M918" s="1314">
        <v>237</v>
      </c>
    </row>
    <row r="919" spans="12:13">
      <c r="L919" s="316">
        <v>791</v>
      </c>
      <c r="M919" s="1314">
        <v>238</v>
      </c>
    </row>
    <row r="920" spans="12:13">
      <c r="L920" s="316">
        <v>792</v>
      </c>
      <c r="M920" s="1314">
        <v>238</v>
      </c>
    </row>
    <row r="921" spans="12:13">
      <c r="L921" s="316">
        <v>793</v>
      </c>
      <c r="M921" s="1314">
        <v>238</v>
      </c>
    </row>
    <row r="922" spans="12:13">
      <c r="L922" s="316">
        <v>794</v>
      </c>
      <c r="M922" s="1314">
        <v>239</v>
      </c>
    </row>
    <row r="923" spans="12:13">
      <c r="L923" s="316">
        <v>795</v>
      </c>
      <c r="M923" s="1314">
        <v>239</v>
      </c>
    </row>
    <row r="924" spans="12:13">
      <c r="L924" s="316">
        <v>796</v>
      </c>
      <c r="M924" s="1314">
        <v>239</v>
      </c>
    </row>
    <row r="925" spans="12:13">
      <c r="L925" s="316">
        <v>797</v>
      </c>
      <c r="M925" s="1314">
        <v>240</v>
      </c>
    </row>
    <row r="926" spans="12:13">
      <c r="L926" s="316">
        <v>798</v>
      </c>
      <c r="M926" s="1314">
        <v>240</v>
      </c>
    </row>
    <row r="927" spans="12:13">
      <c r="L927" s="316">
        <v>799</v>
      </c>
      <c r="M927" s="1314">
        <v>240</v>
      </c>
    </row>
    <row r="928" spans="12:13">
      <c r="L928" s="316">
        <v>800</v>
      </c>
      <c r="M928" s="1314">
        <v>240</v>
      </c>
    </row>
    <row r="929" spans="12:13">
      <c r="L929" s="316">
        <v>801</v>
      </c>
      <c r="M929" s="1314">
        <v>241</v>
      </c>
    </row>
    <row r="930" spans="12:13">
      <c r="L930" s="316">
        <v>802</v>
      </c>
      <c r="M930" s="1314">
        <v>241</v>
      </c>
    </row>
    <row r="931" spans="12:13">
      <c r="L931" s="316">
        <v>803</v>
      </c>
      <c r="M931" s="1314">
        <v>241</v>
      </c>
    </row>
    <row r="932" spans="12:13">
      <c r="L932" s="316">
        <v>804</v>
      </c>
      <c r="M932" s="1314">
        <v>242</v>
      </c>
    </row>
    <row r="933" spans="12:13">
      <c r="L933" s="316">
        <v>805</v>
      </c>
      <c r="M933" s="1314">
        <v>242</v>
      </c>
    </row>
    <row r="934" spans="12:13">
      <c r="L934" s="316">
        <v>806</v>
      </c>
      <c r="M934" s="1314">
        <v>242</v>
      </c>
    </row>
    <row r="935" spans="12:13">
      <c r="L935" s="316">
        <v>807</v>
      </c>
      <c r="M935" s="1314">
        <v>243</v>
      </c>
    </row>
    <row r="936" spans="12:13">
      <c r="L936" s="316">
        <v>808</v>
      </c>
      <c r="M936" s="1314">
        <v>243</v>
      </c>
    </row>
    <row r="937" spans="12:13">
      <c r="L937" s="316">
        <v>809</v>
      </c>
      <c r="M937" s="1314">
        <v>243</v>
      </c>
    </row>
    <row r="938" spans="12:13">
      <c r="L938" s="316">
        <v>810</v>
      </c>
      <c r="M938" s="1314">
        <v>243</v>
      </c>
    </row>
    <row r="939" spans="12:13">
      <c r="L939" s="316">
        <v>811</v>
      </c>
      <c r="M939" s="1314">
        <v>244</v>
      </c>
    </row>
    <row r="940" spans="12:13">
      <c r="L940" s="316">
        <v>812</v>
      </c>
      <c r="M940" s="1314">
        <v>244</v>
      </c>
    </row>
    <row r="941" spans="12:13">
      <c r="L941" s="316">
        <v>813</v>
      </c>
      <c r="M941" s="1314">
        <v>244</v>
      </c>
    </row>
    <row r="942" spans="12:13">
      <c r="L942" s="316">
        <v>814</v>
      </c>
      <c r="M942" s="1314">
        <v>245</v>
      </c>
    </row>
    <row r="943" spans="12:13">
      <c r="L943" s="316">
        <v>815</v>
      </c>
      <c r="M943" s="1314">
        <v>245</v>
      </c>
    </row>
    <row r="944" spans="12:13">
      <c r="L944" s="316">
        <v>816</v>
      </c>
      <c r="M944" s="1314">
        <v>245</v>
      </c>
    </row>
    <row r="945" spans="12:13">
      <c r="L945" s="316">
        <v>817</v>
      </c>
      <c r="M945" s="1314">
        <v>246</v>
      </c>
    </row>
    <row r="946" spans="12:13">
      <c r="L946" s="316">
        <v>818</v>
      </c>
      <c r="M946" s="1314">
        <v>246</v>
      </c>
    </row>
    <row r="947" spans="12:13">
      <c r="L947" s="316">
        <v>819</v>
      </c>
      <c r="M947" s="1314">
        <v>246</v>
      </c>
    </row>
    <row r="948" spans="12:13">
      <c r="L948" s="316">
        <v>820</v>
      </c>
      <c r="M948" s="1314">
        <v>246</v>
      </c>
    </row>
    <row r="949" spans="12:13">
      <c r="L949" s="316">
        <v>821</v>
      </c>
      <c r="M949" s="1314">
        <v>247</v>
      </c>
    </row>
    <row r="950" spans="12:13">
      <c r="L950" s="316">
        <v>822</v>
      </c>
      <c r="M950" s="1314">
        <v>247</v>
      </c>
    </row>
    <row r="951" spans="12:13">
      <c r="L951" s="316">
        <v>823</v>
      </c>
      <c r="M951" s="1314">
        <v>247</v>
      </c>
    </row>
    <row r="952" spans="12:13">
      <c r="L952" s="316">
        <v>824</v>
      </c>
      <c r="M952" s="1314">
        <v>248</v>
      </c>
    </row>
    <row r="953" spans="12:13">
      <c r="L953" s="316">
        <v>825</v>
      </c>
      <c r="M953" s="1314">
        <v>248</v>
      </c>
    </row>
    <row r="954" spans="12:13">
      <c r="L954" s="316">
        <v>826</v>
      </c>
      <c r="M954" s="1314">
        <v>248</v>
      </c>
    </row>
    <row r="955" spans="12:13">
      <c r="L955" s="316">
        <v>827</v>
      </c>
      <c r="M955" s="1314">
        <v>249</v>
      </c>
    </row>
    <row r="956" spans="12:13">
      <c r="L956" s="316">
        <v>828</v>
      </c>
      <c r="M956" s="1314">
        <v>249</v>
      </c>
    </row>
    <row r="957" spans="12:13">
      <c r="L957" s="316">
        <v>829</v>
      </c>
      <c r="M957" s="1314">
        <v>249</v>
      </c>
    </row>
    <row r="958" spans="12:13">
      <c r="L958" s="316">
        <v>830</v>
      </c>
      <c r="M958" s="1314">
        <v>249</v>
      </c>
    </row>
    <row r="959" spans="12:13">
      <c r="L959" s="316">
        <v>831</v>
      </c>
      <c r="M959" s="1314">
        <v>250</v>
      </c>
    </row>
    <row r="960" spans="12:13">
      <c r="L960" s="316">
        <v>832</v>
      </c>
      <c r="M960" s="1314">
        <v>250</v>
      </c>
    </row>
    <row r="961" spans="12:13">
      <c r="L961" s="316">
        <v>833</v>
      </c>
      <c r="M961" s="1314">
        <v>250</v>
      </c>
    </row>
    <row r="962" spans="12:13">
      <c r="L962" s="316">
        <v>834</v>
      </c>
      <c r="M962" s="1314">
        <v>251</v>
      </c>
    </row>
    <row r="963" spans="12:13">
      <c r="L963" s="316">
        <v>835</v>
      </c>
      <c r="M963" s="1314">
        <v>251</v>
      </c>
    </row>
    <row r="964" spans="12:13">
      <c r="L964" s="316">
        <v>836</v>
      </c>
      <c r="M964" s="1314">
        <v>251</v>
      </c>
    </row>
    <row r="965" spans="12:13">
      <c r="L965" s="316">
        <v>837</v>
      </c>
      <c r="M965" s="1314">
        <v>252</v>
      </c>
    </row>
    <row r="966" spans="12:13">
      <c r="L966" s="316">
        <v>838</v>
      </c>
      <c r="M966" s="1314">
        <v>252</v>
      </c>
    </row>
    <row r="967" spans="12:13">
      <c r="L967" s="316">
        <v>839</v>
      </c>
      <c r="M967" s="1314">
        <v>252</v>
      </c>
    </row>
    <row r="968" spans="12:13">
      <c r="L968" s="316">
        <v>840</v>
      </c>
      <c r="M968" s="1314">
        <v>252</v>
      </c>
    </row>
    <row r="969" spans="12:13">
      <c r="L969" s="316">
        <v>841</v>
      </c>
      <c r="M969" s="1314">
        <v>253</v>
      </c>
    </row>
    <row r="970" spans="12:13">
      <c r="L970" s="316">
        <v>842</v>
      </c>
      <c r="M970" s="1314">
        <v>253</v>
      </c>
    </row>
    <row r="971" spans="12:13">
      <c r="L971" s="316">
        <v>843</v>
      </c>
      <c r="M971" s="1314">
        <v>253</v>
      </c>
    </row>
    <row r="972" spans="12:13">
      <c r="L972" s="316">
        <v>844</v>
      </c>
      <c r="M972" s="1314">
        <v>254</v>
      </c>
    </row>
    <row r="973" spans="12:13">
      <c r="L973" s="316">
        <v>845</v>
      </c>
      <c r="M973" s="1314">
        <v>254</v>
      </c>
    </row>
    <row r="974" spans="12:13">
      <c r="L974" s="316">
        <v>846</v>
      </c>
      <c r="M974" s="1314">
        <v>254</v>
      </c>
    </row>
    <row r="975" spans="12:13">
      <c r="L975" s="316">
        <v>847</v>
      </c>
      <c r="M975" s="1314">
        <v>255</v>
      </c>
    </row>
    <row r="976" spans="12:13">
      <c r="L976" s="316">
        <v>848</v>
      </c>
      <c r="M976" s="1314">
        <v>255</v>
      </c>
    </row>
    <row r="977" spans="12:13">
      <c r="L977" s="316">
        <v>849</v>
      </c>
      <c r="M977" s="1314">
        <v>255</v>
      </c>
    </row>
    <row r="978" spans="12:13">
      <c r="L978" s="316">
        <v>850</v>
      </c>
      <c r="M978" s="1314">
        <v>255</v>
      </c>
    </row>
    <row r="979" spans="12:13">
      <c r="L979" s="316">
        <v>851</v>
      </c>
      <c r="M979" s="1314">
        <v>256</v>
      </c>
    </row>
    <row r="980" spans="12:13">
      <c r="L980" s="316">
        <v>852</v>
      </c>
      <c r="M980" s="1314">
        <v>256</v>
      </c>
    </row>
    <row r="981" spans="12:13">
      <c r="L981" s="316">
        <v>853</v>
      </c>
      <c r="M981" s="1314">
        <v>256</v>
      </c>
    </row>
    <row r="982" spans="12:13">
      <c r="L982" s="316">
        <v>854</v>
      </c>
      <c r="M982" s="1314">
        <v>257</v>
      </c>
    </row>
    <row r="983" spans="12:13">
      <c r="L983" s="316">
        <v>855</v>
      </c>
      <c r="M983" s="1314">
        <v>257</v>
      </c>
    </row>
    <row r="984" spans="12:13">
      <c r="L984" s="316">
        <v>856</v>
      </c>
      <c r="M984" s="1314">
        <v>257</v>
      </c>
    </row>
    <row r="985" spans="12:13">
      <c r="L985" s="316">
        <v>857</v>
      </c>
      <c r="M985" s="1314">
        <v>258</v>
      </c>
    </row>
    <row r="986" spans="12:13">
      <c r="L986" s="316">
        <v>858</v>
      </c>
      <c r="M986" s="1314">
        <v>258</v>
      </c>
    </row>
    <row r="987" spans="12:13">
      <c r="L987" s="316">
        <v>859</v>
      </c>
      <c r="M987" s="1314">
        <v>258</v>
      </c>
    </row>
    <row r="988" spans="12:13">
      <c r="L988" s="316">
        <v>860</v>
      </c>
      <c r="M988" s="1314">
        <v>258</v>
      </c>
    </row>
    <row r="989" spans="12:13">
      <c r="L989" s="316">
        <v>861</v>
      </c>
      <c r="M989" s="1314">
        <v>259</v>
      </c>
    </row>
    <row r="990" spans="12:13">
      <c r="L990" s="316">
        <v>862</v>
      </c>
      <c r="M990" s="1314">
        <v>259</v>
      </c>
    </row>
    <row r="991" spans="12:13">
      <c r="L991" s="316">
        <v>863</v>
      </c>
      <c r="M991" s="1314">
        <v>259</v>
      </c>
    </row>
    <row r="992" spans="12:13">
      <c r="L992" s="316">
        <v>864</v>
      </c>
      <c r="M992" s="1314">
        <v>260</v>
      </c>
    </row>
    <row r="993" spans="12:13">
      <c r="L993" s="316">
        <v>865</v>
      </c>
      <c r="M993" s="1314">
        <v>260</v>
      </c>
    </row>
    <row r="994" spans="12:13">
      <c r="L994" s="316">
        <v>866</v>
      </c>
      <c r="M994" s="1314">
        <v>260</v>
      </c>
    </row>
    <row r="995" spans="12:13">
      <c r="L995" s="316">
        <v>867</v>
      </c>
      <c r="M995" s="1314">
        <v>261</v>
      </c>
    </row>
    <row r="996" spans="12:13">
      <c r="L996" s="316">
        <v>868</v>
      </c>
      <c r="M996" s="1314">
        <v>261</v>
      </c>
    </row>
    <row r="997" spans="12:13">
      <c r="L997" s="316">
        <v>869</v>
      </c>
      <c r="M997" s="1314">
        <v>261</v>
      </c>
    </row>
    <row r="998" spans="12:13">
      <c r="L998" s="316">
        <v>870</v>
      </c>
      <c r="M998" s="1314">
        <v>261</v>
      </c>
    </row>
    <row r="999" spans="12:13">
      <c r="L999" s="316">
        <v>871</v>
      </c>
      <c r="M999" s="1314">
        <v>262</v>
      </c>
    </row>
    <row r="1000" spans="12:13">
      <c r="L1000" s="316">
        <v>872</v>
      </c>
      <c r="M1000" s="1314">
        <v>262</v>
      </c>
    </row>
    <row r="1001" spans="12:13">
      <c r="L1001" s="316">
        <v>873</v>
      </c>
      <c r="M1001" s="1314">
        <v>262</v>
      </c>
    </row>
    <row r="1002" spans="12:13">
      <c r="L1002" s="316">
        <v>874</v>
      </c>
      <c r="M1002" s="1314">
        <v>263</v>
      </c>
    </row>
    <row r="1003" spans="12:13">
      <c r="L1003" s="316">
        <v>875</v>
      </c>
      <c r="M1003" s="1314">
        <v>263</v>
      </c>
    </row>
    <row r="1004" spans="12:13">
      <c r="L1004" s="316">
        <v>876</v>
      </c>
      <c r="M1004" s="1314">
        <v>263</v>
      </c>
    </row>
    <row r="1005" spans="12:13">
      <c r="L1005" s="316">
        <v>877</v>
      </c>
      <c r="M1005" s="1314">
        <v>264</v>
      </c>
    </row>
    <row r="1006" spans="12:13">
      <c r="L1006" s="316">
        <v>878</v>
      </c>
      <c r="M1006" s="1314">
        <v>264</v>
      </c>
    </row>
    <row r="1007" spans="12:13">
      <c r="L1007" s="316">
        <v>879</v>
      </c>
      <c r="M1007" s="1314">
        <v>264</v>
      </c>
    </row>
    <row r="1008" spans="12:13">
      <c r="L1008" s="316">
        <v>880</v>
      </c>
      <c r="M1008" s="1314">
        <v>264</v>
      </c>
    </row>
    <row r="1009" spans="12:13">
      <c r="L1009" s="316">
        <v>881</v>
      </c>
      <c r="M1009" s="1314">
        <v>265</v>
      </c>
    </row>
    <row r="1010" spans="12:13">
      <c r="L1010" s="316">
        <v>882</v>
      </c>
      <c r="M1010" s="1314">
        <v>265</v>
      </c>
    </row>
    <row r="1011" spans="12:13">
      <c r="L1011" s="316">
        <v>883</v>
      </c>
      <c r="M1011" s="1314">
        <v>265</v>
      </c>
    </row>
    <row r="1012" spans="12:13">
      <c r="L1012" s="316">
        <v>884</v>
      </c>
      <c r="M1012" s="1314">
        <v>266</v>
      </c>
    </row>
    <row r="1013" spans="12:13">
      <c r="L1013" s="316">
        <v>885</v>
      </c>
      <c r="M1013" s="1314">
        <v>266</v>
      </c>
    </row>
    <row r="1014" spans="12:13">
      <c r="L1014" s="316">
        <v>886</v>
      </c>
      <c r="M1014" s="1314">
        <v>266</v>
      </c>
    </row>
    <row r="1015" spans="12:13">
      <c r="L1015" s="316">
        <v>887</v>
      </c>
      <c r="M1015" s="1314">
        <v>267</v>
      </c>
    </row>
    <row r="1016" spans="12:13">
      <c r="L1016" s="316">
        <v>888</v>
      </c>
      <c r="M1016" s="1314">
        <v>267</v>
      </c>
    </row>
    <row r="1017" spans="12:13">
      <c r="L1017" s="316">
        <v>889</v>
      </c>
      <c r="M1017" s="1314">
        <v>267</v>
      </c>
    </row>
    <row r="1018" spans="12:13">
      <c r="L1018" s="316">
        <v>890</v>
      </c>
      <c r="M1018" s="1314">
        <v>267</v>
      </c>
    </row>
    <row r="1019" spans="12:13">
      <c r="L1019" s="316">
        <v>891</v>
      </c>
      <c r="M1019" s="1314">
        <v>268</v>
      </c>
    </row>
    <row r="1020" spans="12:13">
      <c r="L1020" s="316">
        <v>892</v>
      </c>
      <c r="M1020" s="1314">
        <v>268</v>
      </c>
    </row>
    <row r="1021" spans="12:13">
      <c r="L1021" s="316">
        <v>893</v>
      </c>
      <c r="M1021" s="1314">
        <v>268</v>
      </c>
    </row>
    <row r="1022" spans="12:13">
      <c r="L1022" s="316">
        <v>894</v>
      </c>
      <c r="M1022" s="1314">
        <v>269</v>
      </c>
    </row>
    <row r="1023" spans="12:13">
      <c r="L1023" s="316">
        <v>895</v>
      </c>
      <c r="M1023" s="1314">
        <v>269</v>
      </c>
    </row>
    <row r="1024" spans="12:13">
      <c r="L1024" s="316">
        <v>896</v>
      </c>
      <c r="M1024" s="1314">
        <v>269</v>
      </c>
    </row>
    <row r="1025" spans="12:13">
      <c r="L1025" s="316">
        <v>897</v>
      </c>
      <c r="M1025" s="1314">
        <v>270</v>
      </c>
    </row>
    <row r="1026" spans="12:13">
      <c r="L1026" s="316">
        <v>898</v>
      </c>
      <c r="M1026" s="1314">
        <v>270</v>
      </c>
    </row>
    <row r="1027" spans="12:13">
      <c r="L1027" s="316">
        <v>899</v>
      </c>
      <c r="M1027" s="1314">
        <v>270</v>
      </c>
    </row>
    <row r="1028" spans="12:13">
      <c r="L1028" s="316">
        <v>900</v>
      </c>
      <c r="M1028" s="1314">
        <v>270</v>
      </c>
    </row>
    <row r="1029" spans="12:13">
      <c r="L1029" s="316">
        <v>901</v>
      </c>
      <c r="M1029" s="1314">
        <v>271</v>
      </c>
    </row>
    <row r="1030" spans="12:13">
      <c r="L1030" s="316">
        <v>902</v>
      </c>
      <c r="M1030" s="1314">
        <v>271</v>
      </c>
    </row>
    <row r="1031" spans="12:13">
      <c r="L1031" s="316">
        <v>903</v>
      </c>
      <c r="M1031" s="1314">
        <v>271</v>
      </c>
    </row>
    <row r="1032" spans="12:13">
      <c r="L1032" s="316">
        <v>904</v>
      </c>
      <c r="M1032" s="1314">
        <v>272</v>
      </c>
    </row>
    <row r="1033" spans="12:13">
      <c r="L1033" s="316">
        <v>905</v>
      </c>
      <c r="M1033" s="1314">
        <v>272</v>
      </c>
    </row>
    <row r="1034" spans="12:13">
      <c r="L1034" s="316">
        <v>906</v>
      </c>
      <c r="M1034" s="1314">
        <v>272</v>
      </c>
    </row>
    <row r="1035" spans="12:13">
      <c r="L1035" s="316">
        <v>907</v>
      </c>
      <c r="M1035" s="1314">
        <v>273</v>
      </c>
    </row>
    <row r="1036" spans="12:13">
      <c r="L1036" s="316">
        <v>908</v>
      </c>
      <c r="M1036" s="1314">
        <v>273</v>
      </c>
    </row>
    <row r="1037" spans="12:13">
      <c r="L1037" s="316">
        <v>909</v>
      </c>
      <c r="M1037" s="1314">
        <v>273</v>
      </c>
    </row>
    <row r="1038" spans="12:13">
      <c r="L1038" s="316">
        <v>910</v>
      </c>
      <c r="M1038" s="1314">
        <v>273</v>
      </c>
    </row>
    <row r="1039" spans="12:13">
      <c r="L1039" s="316">
        <v>911</v>
      </c>
      <c r="M1039" s="1314">
        <v>274</v>
      </c>
    </row>
    <row r="1040" spans="12:13">
      <c r="L1040" s="316">
        <v>912</v>
      </c>
      <c r="M1040" s="1314">
        <v>274</v>
      </c>
    </row>
    <row r="1041" spans="12:13">
      <c r="L1041" s="316">
        <v>913</v>
      </c>
      <c r="M1041" s="1314">
        <v>274</v>
      </c>
    </row>
    <row r="1042" spans="12:13">
      <c r="L1042" s="316">
        <v>914</v>
      </c>
      <c r="M1042" s="1314">
        <v>275</v>
      </c>
    </row>
    <row r="1043" spans="12:13">
      <c r="L1043" s="316">
        <v>915</v>
      </c>
      <c r="M1043" s="1314">
        <v>275</v>
      </c>
    </row>
    <row r="1044" spans="12:13">
      <c r="L1044" s="316">
        <v>916</v>
      </c>
      <c r="M1044" s="1314">
        <v>275</v>
      </c>
    </row>
    <row r="1045" spans="12:13">
      <c r="L1045" s="316">
        <v>917</v>
      </c>
      <c r="M1045" s="1314">
        <v>276</v>
      </c>
    </row>
    <row r="1046" spans="12:13">
      <c r="L1046" s="316">
        <v>918</v>
      </c>
      <c r="M1046" s="1314">
        <v>276</v>
      </c>
    </row>
    <row r="1047" spans="12:13">
      <c r="L1047" s="316">
        <v>919</v>
      </c>
      <c r="M1047" s="1314">
        <v>276</v>
      </c>
    </row>
    <row r="1048" spans="12:13">
      <c r="L1048" s="316">
        <v>920</v>
      </c>
      <c r="M1048" s="1314">
        <v>276</v>
      </c>
    </row>
    <row r="1049" spans="12:13">
      <c r="L1049" s="316">
        <v>921</v>
      </c>
      <c r="M1049" s="1314">
        <v>277</v>
      </c>
    </row>
    <row r="1050" spans="12:13">
      <c r="L1050" s="316">
        <v>922</v>
      </c>
      <c r="M1050" s="1314">
        <v>277</v>
      </c>
    </row>
    <row r="1051" spans="12:13">
      <c r="L1051" s="316">
        <v>923</v>
      </c>
      <c r="M1051" s="1314">
        <v>277</v>
      </c>
    </row>
    <row r="1052" spans="12:13">
      <c r="L1052" s="316">
        <v>924</v>
      </c>
      <c r="M1052" s="1314">
        <v>278</v>
      </c>
    </row>
    <row r="1053" spans="12:13">
      <c r="L1053" s="316">
        <v>925</v>
      </c>
      <c r="M1053" s="1314">
        <v>278</v>
      </c>
    </row>
    <row r="1054" spans="12:13">
      <c r="L1054" s="316">
        <v>926</v>
      </c>
      <c r="M1054" s="1314">
        <v>278</v>
      </c>
    </row>
    <row r="1055" spans="12:13">
      <c r="L1055" s="316">
        <v>927</v>
      </c>
      <c r="M1055" s="1314">
        <v>279</v>
      </c>
    </row>
    <row r="1056" spans="12:13">
      <c r="L1056" s="316">
        <v>928</v>
      </c>
      <c r="M1056" s="1314">
        <v>279</v>
      </c>
    </row>
    <row r="1057" spans="12:13">
      <c r="L1057" s="316">
        <v>929</v>
      </c>
      <c r="M1057" s="1314">
        <v>279</v>
      </c>
    </row>
    <row r="1058" spans="12:13">
      <c r="L1058" s="316">
        <v>930</v>
      </c>
      <c r="M1058" s="1314">
        <v>279</v>
      </c>
    </row>
    <row r="1059" spans="12:13">
      <c r="L1059" s="316">
        <v>931</v>
      </c>
      <c r="M1059" s="1314">
        <v>280</v>
      </c>
    </row>
    <row r="1060" spans="12:13">
      <c r="L1060" s="316">
        <v>932</v>
      </c>
      <c r="M1060" s="1314">
        <v>280</v>
      </c>
    </row>
    <row r="1061" spans="12:13">
      <c r="L1061" s="316">
        <v>933</v>
      </c>
      <c r="M1061" s="1314">
        <v>280</v>
      </c>
    </row>
    <row r="1062" spans="12:13">
      <c r="L1062" s="316">
        <v>934</v>
      </c>
      <c r="M1062" s="1314">
        <v>281</v>
      </c>
    </row>
    <row r="1063" spans="12:13">
      <c r="L1063" s="316">
        <v>935</v>
      </c>
      <c r="M1063" s="1314">
        <v>281</v>
      </c>
    </row>
    <row r="1064" spans="12:13">
      <c r="L1064" s="316">
        <v>936</v>
      </c>
      <c r="M1064" s="1314">
        <v>281</v>
      </c>
    </row>
    <row r="1065" spans="12:13">
      <c r="L1065" s="316">
        <v>937</v>
      </c>
      <c r="M1065" s="1314">
        <v>282</v>
      </c>
    </row>
    <row r="1066" spans="12:13">
      <c r="L1066" s="316">
        <v>938</v>
      </c>
      <c r="M1066" s="1314">
        <v>282</v>
      </c>
    </row>
    <row r="1067" spans="12:13">
      <c r="L1067" s="316">
        <v>939</v>
      </c>
      <c r="M1067" s="1314">
        <v>282</v>
      </c>
    </row>
    <row r="1068" spans="12:13">
      <c r="L1068" s="316">
        <v>940</v>
      </c>
      <c r="M1068" s="1314">
        <v>282</v>
      </c>
    </row>
    <row r="1069" spans="12:13">
      <c r="L1069" s="316">
        <v>941</v>
      </c>
      <c r="M1069" s="1314">
        <v>283</v>
      </c>
    </row>
    <row r="1070" spans="12:13">
      <c r="L1070" s="316">
        <v>942</v>
      </c>
      <c r="M1070" s="1314">
        <v>283</v>
      </c>
    </row>
    <row r="1071" spans="12:13">
      <c r="L1071" s="316">
        <v>943</v>
      </c>
      <c r="M1071" s="1314">
        <v>283</v>
      </c>
    </row>
    <row r="1072" spans="12:13">
      <c r="L1072" s="316">
        <v>944</v>
      </c>
      <c r="M1072" s="1314">
        <v>284</v>
      </c>
    </row>
    <row r="1073" spans="12:13">
      <c r="L1073" s="316">
        <v>945</v>
      </c>
      <c r="M1073" s="1314">
        <v>284</v>
      </c>
    </row>
    <row r="1074" spans="12:13">
      <c r="L1074" s="316">
        <v>946</v>
      </c>
      <c r="M1074" s="1314">
        <v>284</v>
      </c>
    </row>
    <row r="1075" spans="12:13">
      <c r="L1075" s="316">
        <v>947</v>
      </c>
      <c r="M1075" s="1314">
        <v>285</v>
      </c>
    </row>
    <row r="1076" spans="12:13">
      <c r="L1076" s="316">
        <v>948</v>
      </c>
      <c r="M1076" s="1314">
        <v>285</v>
      </c>
    </row>
    <row r="1077" spans="12:13">
      <c r="L1077" s="316">
        <v>949</v>
      </c>
      <c r="M1077" s="1314">
        <v>285</v>
      </c>
    </row>
    <row r="1078" spans="12:13">
      <c r="L1078" s="316">
        <v>950</v>
      </c>
      <c r="M1078" s="1314">
        <v>285</v>
      </c>
    </row>
    <row r="1079" spans="12:13">
      <c r="L1079" s="316">
        <v>951</v>
      </c>
      <c r="M1079" s="1314">
        <v>286</v>
      </c>
    </row>
    <row r="1080" spans="12:13">
      <c r="L1080" s="316">
        <v>952</v>
      </c>
      <c r="M1080" s="1314">
        <v>286</v>
      </c>
    </row>
    <row r="1081" spans="12:13">
      <c r="L1081" s="316">
        <v>953</v>
      </c>
      <c r="M1081" s="1314">
        <v>286</v>
      </c>
    </row>
    <row r="1082" spans="12:13">
      <c r="L1082" s="316">
        <v>954</v>
      </c>
      <c r="M1082" s="1314">
        <v>287</v>
      </c>
    </row>
    <row r="1083" spans="12:13">
      <c r="L1083" s="316">
        <v>955</v>
      </c>
      <c r="M1083" s="1314">
        <v>287</v>
      </c>
    </row>
    <row r="1084" spans="12:13">
      <c r="L1084" s="316">
        <v>956</v>
      </c>
      <c r="M1084" s="1314">
        <v>287</v>
      </c>
    </row>
    <row r="1085" spans="12:13">
      <c r="L1085" s="316">
        <v>957</v>
      </c>
      <c r="M1085" s="1314">
        <v>288</v>
      </c>
    </row>
    <row r="1086" spans="12:13">
      <c r="L1086" s="316">
        <v>958</v>
      </c>
      <c r="M1086" s="1314">
        <v>288</v>
      </c>
    </row>
    <row r="1087" spans="12:13">
      <c r="L1087" s="316">
        <v>959</v>
      </c>
      <c r="M1087" s="1314">
        <v>288</v>
      </c>
    </row>
    <row r="1088" spans="12:13">
      <c r="L1088" s="316">
        <v>960</v>
      </c>
      <c r="M1088" s="1314">
        <v>288</v>
      </c>
    </row>
    <row r="1089" spans="12:13">
      <c r="L1089" s="316">
        <v>961</v>
      </c>
      <c r="M1089" s="1314">
        <v>289</v>
      </c>
    </row>
    <row r="1090" spans="12:13">
      <c r="L1090" s="316">
        <v>962</v>
      </c>
      <c r="M1090" s="1314">
        <v>289</v>
      </c>
    </row>
    <row r="1091" spans="12:13">
      <c r="L1091" s="316">
        <v>963</v>
      </c>
      <c r="M1091" s="1314">
        <v>289</v>
      </c>
    </row>
    <row r="1092" spans="12:13">
      <c r="L1092" s="316">
        <v>964</v>
      </c>
      <c r="M1092" s="1314">
        <v>290</v>
      </c>
    </row>
    <row r="1093" spans="12:13">
      <c r="L1093" s="316">
        <v>965</v>
      </c>
      <c r="M1093" s="1314">
        <v>290</v>
      </c>
    </row>
    <row r="1094" spans="12:13">
      <c r="L1094" s="316">
        <v>966</v>
      </c>
      <c r="M1094" s="1314">
        <v>290</v>
      </c>
    </row>
    <row r="1095" spans="12:13">
      <c r="L1095" s="316">
        <v>967</v>
      </c>
      <c r="M1095" s="1314">
        <v>291</v>
      </c>
    </row>
    <row r="1096" spans="12:13">
      <c r="L1096" s="316">
        <v>968</v>
      </c>
      <c r="M1096" s="1314">
        <v>291</v>
      </c>
    </row>
    <row r="1097" spans="12:13">
      <c r="L1097" s="316">
        <v>969</v>
      </c>
      <c r="M1097" s="1314">
        <v>291</v>
      </c>
    </row>
    <row r="1098" spans="12:13">
      <c r="L1098" s="316">
        <v>970</v>
      </c>
      <c r="M1098" s="1314">
        <v>291</v>
      </c>
    </row>
    <row r="1099" spans="12:13">
      <c r="L1099" s="316">
        <v>971</v>
      </c>
      <c r="M1099" s="1314">
        <v>292</v>
      </c>
    </row>
    <row r="1100" spans="12:13">
      <c r="L1100" s="316">
        <v>972</v>
      </c>
      <c r="M1100" s="1314">
        <v>292</v>
      </c>
    </row>
    <row r="1101" spans="12:13">
      <c r="L1101" s="316">
        <v>973</v>
      </c>
      <c r="M1101" s="1314">
        <v>292</v>
      </c>
    </row>
    <row r="1102" spans="12:13">
      <c r="L1102" s="316">
        <v>974</v>
      </c>
      <c r="M1102" s="1314">
        <v>293</v>
      </c>
    </row>
    <row r="1103" spans="12:13">
      <c r="L1103" s="316">
        <v>975</v>
      </c>
      <c r="M1103" s="1314">
        <v>293</v>
      </c>
    </row>
    <row r="1104" spans="12:13">
      <c r="L1104" s="316">
        <v>976</v>
      </c>
      <c r="M1104" s="1314">
        <v>293</v>
      </c>
    </row>
    <row r="1105" spans="12:13">
      <c r="L1105" s="316">
        <v>977</v>
      </c>
      <c r="M1105" s="1314">
        <v>294</v>
      </c>
    </row>
    <row r="1106" spans="12:13">
      <c r="L1106" s="316">
        <v>978</v>
      </c>
      <c r="M1106" s="1314">
        <v>294</v>
      </c>
    </row>
    <row r="1107" spans="12:13">
      <c r="L1107" s="316">
        <v>979</v>
      </c>
      <c r="M1107" s="1314">
        <v>294</v>
      </c>
    </row>
    <row r="1108" spans="12:13">
      <c r="L1108" s="316">
        <v>980</v>
      </c>
      <c r="M1108" s="1314">
        <v>294</v>
      </c>
    </row>
    <row r="1109" spans="12:13">
      <c r="L1109" s="316">
        <v>981</v>
      </c>
      <c r="M1109" s="1314">
        <v>295</v>
      </c>
    </row>
    <row r="1110" spans="12:13">
      <c r="L1110" s="316">
        <v>982</v>
      </c>
      <c r="M1110" s="1314">
        <v>295</v>
      </c>
    </row>
    <row r="1111" spans="12:13">
      <c r="L1111" s="316">
        <v>983</v>
      </c>
      <c r="M1111" s="1314">
        <v>295</v>
      </c>
    </row>
    <row r="1112" spans="12:13">
      <c r="L1112" s="316">
        <v>984</v>
      </c>
      <c r="M1112" s="1314">
        <v>296</v>
      </c>
    </row>
    <row r="1113" spans="12:13">
      <c r="L1113" s="316">
        <v>985</v>
      </c>
      <c r="M1113" s="1314">
        <v>296</v>
      </c>
    </row>
    <row r="1114" spans="12:13">
      <c r="L1114" s="316">
        <v>986</v>
      </c>
      <c r="M1114" s="1314">
        <v>296</v>
      </c>
    </row>
    <row r="1115" spans="12:13">
      <c r="L1115" s="316">
        <v>987</v>
      </c>
      <c r="M1115" s="1314">
        <v>297</v>
      </c>
    </row>
    <row r="1116" spans="12:13">
      <c r="L1116" s="316">
        <v>988</v>
      </c>
      <c r="M1116" s="1314">
        <v>297</v>
      </c>
    </row>
    <row r="1117" spans="12:13">
      <c r="L1117" s="316">
        <v>989</v>
      </c>
      <c r="M1117" s="1314">
        <v>297</v>
      </c>
    </row>
    <row r="1118" spans="12:13">
      <c r="L1118" s="316">
        <v>990</v>
      </c>
      <c r="M1118" s="1314">
        <v>297</v>
      </c>
    </row>
    <row r="1119" spans="12:13">
      <c r="L1119" s="316">
        <v>991</v>
      </c>
      <c r="M1119" s="1314">
        <v>298</v>
      </c>
    </row>
    <row r="1120" spans="12:13">
      <c r="L1120" s="316">
        <v>992</v>
      </c>
      <c r="M1120" s="1314">
        <v>298</v>
      </c>
    </row>
    <row r="1121" spans="9:17">
      <c r="L1121" s="316">
        <v>993</v>
      </c>
      <c r="M1121" s="1314">
        <v>298</v>
      </c>
    </row>
    <row r="1122" spans="9:17">
      <c r="L1122" s="316">
        <v>994</v>
      </c>
      <c r="M1122" s="1314">
        <v>299</v>
      </c>
    </row>
    <row r="1123" spans="9:17">
      <c r="L1123" s="316">
        <v>995</v>
      </c>
      <c r="M1123" s="1314">
        <v>299</v>
      </c>
    </row>
    <row r="1130" spans="9:17">
      <c r="I1130"/>
      <c r="J1130"/>
      <c r="K1130"/>
      <c r="L1130"/>
      <c r="M1130" s="1151"/>
      <c r="N1130"/>
      <c r="O1130" s="1151"/>
      <c r="P1130"/>
      <c r="Q1130"/>
    </row>
    <row r="1144" spans="1:20" ht="15">
      <c r="A1144" s="1150" t="s">
        <v>1755</v>
      </c>
    </row>
    <row r="1145" spans="1:20" ht="15">
      <c r="A1145" s="1150" t="s">
        <v>1753</v>
      </c>
      <c r="D1145" s="226" t="s">
        <v>1756</v>
      </c>
    </row>
    <row r="1146" spans="1:20">
      <c r="A1146"/>
      <c r="B1146" s="1151"/>
      <c r="C1146"/>
      <c r="D1146"/>
      <c r="E1146"/>
      <c r="F1146"/>
      <c r="G1146"/>
      <c r="H1146"/>
    </row>
    <row r="1147" spans="1:20" ht="15">
      <c r="A1147"/>
      <c r="B1147" s="1750" t="s">
        <v>1757</v>
      </c>
      <c r="C1147" s="2000" t="s">
        <v>1110</v>
      </c>
      <c r="D1147" s="2001"/>
      <c r="E1147" s="2001"/>
      <c r="F1147" s="2001"/>
      <c r="G1147" s="2001"/>
      <c r="H1147" s="2001"/>
      <c r="I1147" s="2001"/>
      <c r="J1147" s="2001"/>
      <c r="K1147" s="2001"/>
      <c r="L1147" s="2002"/>
      <c r="M1147" s="2235" t="s">
        <v>1758</v>
      </c>
      <c r="N1147" s="2236"/>
      <c r="O1147" s="2236"/>
      <c r="P1147" s="2237"/>
      <c r="Q1147" s="1359" t="s">
        <v>1759</v>
      </c>
    </row>
    <row r="1148" spans="1:20">
      <c r="A1148"/>
      <c r="B1148" s="1149" t="s">
        <v>1111</v>
      </c>
      <c r="C1148" s="1149" t="s">
        <v>1760</v>
      </c>
      <c r="D1148" s="1149" t="s">
        <v>1742</v>
      </c>
      <c r="E1148" s="1149" t="s">
        <v>1743</v>
      </c>
      <c r="F1148" s="1149" t="s">
        <v>1761</v>
      </c>
      <c r="G1148" s="1149" t="s">
        <v>1762</v>
      </c>
      <c r="H1148" s="1149" t="s">
        <v>1746</v>
      </c>
      <c r="I1148" s="1149" t="s">
        <v>1747</v>
      </c>
      <c r="J1148" s="1149" t="s">
        <v>1748</v>
      </c>
      <c r="K1148" s="1149" t="s">
        <v>68</v>
      </c>
      <c r="L1148" s="1149" t="s">
        <v>1763</v>
      </c>
      <c r="M1148" s="1149" t="s">
        <v>1764</v>
      </c>
      <c r="N1148" s="1149" t="s">
        <v>1765</v>
      </c>
      <c r="O1148" s="1149" t="s">
        <v>1766</v>
      </c>
      <c r="P1148" s="1149" t="s">
        <v>1767</v>
      </c>
      <c r="Q1148"/>
    </row>
    <row r="1149" spans="1:20" s="1272" customFormat="1" ht="15">
      <c r="A1149" s="1150" t="s">
        <v>1755</v>
      </c>
      <c r="B1149" t="s">
        <v>1768</v>
      </c>
      <c r="C1149" s="1751">
        <v>50</v>
      </c>
      <c r="D1149" t="s">
        <v>1768</v>
      </c>
      <c r="E1149" s="1751">
        <v>70</v>
      </c>
      <c r="F1149" s="1751">
        <v>9</v>
      </c>
      <c r="G1149" s="1751">
        <v>49</v>
      </c>
      <c r="H1149" s="1751">
        <v>19</v>
      </c>
      <c r="I1149" s="1751">
        <v>29</v>
      </c>
      <c r="J1149" s="1751">
        <v>79</v>
      </c>
      <c r="K1149" s="1751">
        <v>45</v>
      </c>
      <c r="L1149" s="1751">
        <v>45</v>
      </c>
      <c r="M1149" s="1751">
        <v>85</v>
      </c>
      <c r="N1149" s="1751">
        <v>300</v>
      </c>
      <c r="O1149"/>
      <c r="P1149"/>
      <c r="Q1149"/>
      <c r="R1149" s="239"/>
      <c r="S1149" s="239"/>
      <c r="T1149" s="239"/>
    </row>
    <row r="1150" spans="1:20" s="1272" customFormat="1">
      <c r="A1150" s="1152" t="s">
        <v>1749</v>
      </c>
      <c r="B1150" s="1752">
        <v>59</v>
      </c>
      <c r="C1150" s="1753">
        <v>10</v>
      </c>
      <c r="D1150" s="1754" t="e">
        <f>1/0</f>
        <v>#DIV/0!</v>
      </c>
      <c r="E1150" s="1755" t="s">
        <v>1769</v>
      </c>
      <c r="F1150" s="1753">
        <v>9</v>
      </c>
      <c r="G1150" s="1753">
        <v>49</v>
      </c>
      <c r="H1150" s="1754" t="e">
        <f t="shared" ref="H1150:N1154" si="87">1/0</f>
        <v>#DIV/0!</v>
      </c>
      <c r="I1150" s="1754" t="e">
        <f t="shared" si="87"/>
        <v>#DIV/0!</v>
      </c>
      <c r="J1150" s="1754" t="e">
        <f t="shared" si="87"/>
        <v>#DIV/0!</v>
      </c>
      <c r="K1150" s="1754" t="e">
        <f t="shared" si="87"/>
        <v>#DIV/0!</v>
      </c>
      <c r="L1150" s="1754" t="e">
        <f t="shared" si="87"/>
        <v>#DIV/0!</v>
      </c>
      <c r="M1150" s="1754" t="e">
        <f t="shared" si="87"/>
        <v>#DIV/0!</v>
      </c>
      <c r="N1150" s="1754" t="e">
        <f t="shared" si="87"/>
        <v>#DIV/0!</v>
      </c>
      <c r="O1150" s="1756" t="s">
        <v>1770</v>
      </c>
      <c r="P1150" s="1757" t="s">
        <v>1770</v>
      </c>
      <c r="Q1150"/>
      <c r="R1150" s="239"/>
      <c r="S1150" s="239"/>
      <c r="T1150" s="239"/>
    </row>
    <row r="1151" spans="1:20" s="1272" customFormat="1" ht="12.75">
      <c r="A1151" s="1773" t="s">
        <v>1750</v>
      </c>
      <c r="B1151" s="1752">
        <v>95</v>
      </c>
      <c r="C1151" s="1754" t="e">
        <f>1/0</f>
        <v>#DIV/0!</v>
      </c>
      <c r="D1151" s="1754" t="e">
        <f>1/0</f>
        <v>#DIV/0!</v>
      </c>
      <c r="E1151" s="316" t="s">
        <v>1769</v>
      </c>
      <c r="F1151" s="1753">
        <v>9</v>
      </c>
      <c r="G1151" s="1753">
        <v>49</v>
      </c>
      <c r="H1151" s="1754" t="e">
        <f t="shared" si="87"/>
        <v>#DIV/0!</v>
      </c>
      <c r="I1151" s="1754" t="e">
        <f t="shared" si="87"/>
        <v>#DIV/0!</v>
      </c>
      <c r="J1151" s="1754" t="e">
        <f t="shared" si="87"/>
        <v>#DIV/0!</v>
      </c>
      <c r="K1151" s="1754" t="e">
        <f t="shared" si="87"/>
        <v>#DIV/0!</v>
      </c>
      <c r="L1151" s="1754" t="e">
        <f t="shared" si="87"/>
        <v>#DIV/0!</v>
      </c>
      <c r="M1151" s="1754" t="e">
        <f t="shared" si="87"/>
        <v>#DIV/0!</v>
      </c>
      <c r="N1151" s="1754" t="e">
        <f t="shared" si="87"/>
        <v>#DIV/0!</v>
      </c>
      <c r="O1151" s="1756" t="s">
        <v>1770</v>
      </c>
      <c r="P1151" s="1757" t="s">
        <v>1770</v>
      </c>
      <c r="Q1151"/>
    </row>
    <row r="1152" spans="1:20" s="1272" customFormat="1" ht="12.75">
      <c r="A1152" s="1152" t="s">
        <v>1751</v>
      </c>
      <c r="B1152" s="1752">
        <v>350</v>
      </c>
      <c r="C1152" s="1754" t="e">
        <f>1/0</f>
        <v>#DIV/0!</v>
      </c>
      <c r="D1152" s="1754" t="e">
        <f>1/0</f>
        <v>#DIV/0!</v>
      </c>
      <c r="E1152" s="316" t="s">
        <v>1769</v>
      </c>
      <c r="F1152" s="1753">
        <v>9</v>
      </c>
      <c r="G1152" s="1753">
        <v>49</v>
      </c>
      <c r="H1152" s="1754" t="e">
        <f t="shared" si="87"/>
        <v>#DIV/0!</v>
      </c>
      <c r="I1152" s="1754" t="e">
        <f t="shared" si="87"/>
        <v>#DIV/0!</v>
      </c>
      <c r="J1152" s="1754" t="e">
        <f t="shared" si="87"/>
        <v>#DIV/0!</v>
      </c>
      <c r="K1152" s="1754" t="e">
        <f t="shared" si="87"/>
        <v>#DIV/0!</v>
      </c>
      <c r="L1152" s="1753">
        <v>45</v>
      </c>
      <c r="M1152" s="1754" t="e">
        <f t="shared" si="87"/>
        <v>#DIV/0!</v>
      </c>
      <c r="N1152" s="1754" t="e">
        <f t="shared" si="87"/>
        <v>#DIV/0!</v>
      </c>
      <c r="O1152" s="1756" t="s">
        <v>1770</v>
      </c>
      <c r="P1152" s="1757" t="s">
        <v>1770</v>
      </c>
      <c r="Q1152"/>
    </row>
    <row r="1153" spans="1:20">
      <c r="A1153" s="1152" t="s">
        <v>1771</v>
      </c>
      <c r="B1153" s="1752">
        <v>549</v>
      </c>
      <c r="C1153" s="1754" t="e">
        <f>1/0</f>
        <v>#DIV/0!</v>
      </c>
      <c r="D1153" s="1754" t="e">
        <f>1/0</f>
        <v>#DIV/0!</v>
      </c>
      <c r="E1153" s="316" t="s">
        <v>1769</v>
      </c>
      <c r="F1153" s="1753">
        <v>9</v>
      </c>
      <c r="G1153" s="1753">
        <v>49</v>
      </c>
      <c r="H1153" s="1754" t="e">
        <f t="shared" si="87"/>
        <v>#DIV/0!</v>
      </c>
      <c r="I1153" s="1754" t="e">
        <f t="shared" si="87"/>
        <v>#DIV/0!</v>
      </c>
      <c r="J1153" s="1754" t="e">
        <f t="shared" si="87"/>
        <v>#DIV/0!</v>
      </c>
      <c r="K1153" s="1754" t="e">
        <f t="shared" si="87"/>
        <v>#DIV/0!</v>
      </c>
      <c r="L1153" s="1753">
        <v>45</v>
      </c>
      <c r="M1153" s="1753">
        <v>85</v>
      </c>
      <c r="N1153" s="1753">
        <v>300</v>
      </c>
      <c r="O1153" s="1756" t="s">
        <v>1770</v>
      </c>
      <c r="P1153" s="1757" t="s">
        <v>1770</v>
      </c>
      <c r="Q1153"/>
      <c r="T1153"/>
    </row>
    <row r="1154" spans="1:20">
      <c r="A1154" s="1152" t="s">
        <v>1772</v>
      </c>
      <c r="B1154" s="1752">
        <v>899</v>
      </c>
      <c r="C1154" s="1754" t="e">
        <f>1/0</f>
        <v>#DIV/0!</v>
      </c>
      <c r="D1154" s="1754" t="e">
        <f>1/0</f>
        <v>#DIV/0!</v>
      </c>
      <c r="E1154" s="316" t="s">
        <v>1769</v>
      </c>
      <c r="F1154" s="1753">
        <v>9</v>
      </c>
      <c r="G1154" s="1753">
        <v>49</v>
      </c>
      <c r="H1154" s="1754" t="e">
        <f t="shared" si="87"/>
        <v>#DIV/0!</v>
      </c>
      <c r="I1154" s="1754" t="e">
        <f t="shared" si="87"/>
        <v>#DIV/0!</v>
      </c>
      <c r="J1154" s="1754" t="e">
        <f t="shared" si="87"/>
        <v>#DIV/0!</v>
      </c>
      <c r="K1154" s="1754" t="e">
        <f t="shared" si="87"/>
        <v>#DIV/0!</v>
      </c>
      <c r="L1154" s="1753">
        <v>45</v>
      </c>
      <c r="M1154" s="1753">
        <v>85</v>
      </c>
      <c r="N1154" s="1753">
        <v>300</v>
      </c>
      <c r="O1154" s="1756" t="s">
        <v>1770</v>
      </c>
      <c r="P1154" s="1757" t="s">
        <v>1770</v>
      </c>
      <c r="Q1154"/>
      <c r="T1154"/>
    </row>
    <row r="1155" spans="1:20" ht="15">
      <c r="A1155" s="1150" t="s">
        <v>1753</v>
      </c>
      <c r="B1155" s="1151"/>
      <c r="C1155"/>
      <c r="D1155"/>
      <c r="E1155"/>
      <c r="F1155"/>
      <c r="G1155"/>
      <c r="H1155"/>
      <c r="I1155"/>
      <c r="J1155"/>
      <c r="K1155" s="1151"/>
      <c r="L1155"/>
      <c r="M1155" s="1151"/>
      <c r="N1155" s="1151"/>
      <c r="O1155" s="1758"/>
      <c r="P1155" s="1758"/>
      <c r="Q1155"/>
      <c r="T1155"/>
    </row>
    <row r="1156" spans="1:20">
      <c r="A1156" s="1152" t="s">
        <v>1773</v>
      </c>
      <c r="B1156" s="1752">
        <v>59</v>
      </c>
      <c r="C1156" s="1753">
        <v>10</v>
      </c>
      <c r="D1156" s="1754" t="e">
        <f>1/0</f>
        <v>#DIV/0!</v>
      </c>
      <c r="E1156" s="1754" t="e">
        <f>1/0</f>
        <v>#DIV/0!</v>
      </c>
      <c r="F1156" s="1753">
        <v>9</v>
      </c>
      <c r="G1156" s="1753">
        <v>49</v>
      </c>
      <c r="H1156" s="1753">
        <v>19</v>
      </c>
      <c r="I1156" s="1753">
        <v>29</v>
      </c>
      <c r="J1156" s="1753">
        <v>79</v>
      </c>
      <c r="K1156" s="1754" t="e">
        <f>1/0</f>
        <v>#DIV/0!</v>
      </c>
      <c r="L1156" s="1754" t="e">
        <f t="shared" ref="L1156:N1159" si="88">1/0</f>
        <v>#DIV/0!</v>
      </c>
      <c r="M1156" s="1754" t="e">
        <f t="shared" si="88"/>
        <v>#DIV/0!</v>
      </c>
      <c r="N1156" s="1754" t="e">
        <f t="shared" si="88"/>
        <v>#DIV/0!</v>
      </c>
      <c r="O1156" s="1756" t="s">
        <v>1770</v>
      </c>
      <c r="P1156" s="1757" t="s">
        <v>1770</v>
      </c>
      <c r="Q1156"/>
      <c r="T1156"/>
    </row>
    <row r="1157" spans="1:20">
      <c r="A1157" s="1152" t="s">
        <v>1749</v>
      </c>
      <c r="B1157" s="1752">
        <v>59</v>
      </c>
      <c r="C1157" s="1753">
        <v>10</v>
      </c>
      <c r="D1157" s="1753">
        <v>10</v>
      </c>
      <c r="E1157" s="1754" t="e">
        <f>1/0</f>
        <v>#DIV/0!</v>
      </c>
      <c r="F1157" s="1753">
        <v>9</v>
      </c>
      <c r="G1157" s="1753">
        <v>49</v>
      </c>
      <c r="H1157" s="1753">
        <v>19</v>
      </c>
      <c r="I1157" s="1753">
        <v>29</v>
      </c>
      <c r="J1157" s="1753">
        <v>79</v>
      </c>
      <c r="K1157" s="1753">
        <v>45</v>
      </c>
      <c r="L1157" s="1754" t="e">
        <f t="shared" si="88"/>
        <v>#DIV/0!</v>
      </c>
      <c r="M1157" s="1754" t="e">
        <f t="shared" si="88"/>
        <v>#DIV/0!</v>
      </c>
      <c r="N1157" s="1754" t="e">
        <f t="shared" si="88"/>
        <v>#DIV/0!</v>
      </c>
      <c r="O1157" s="1756" t="s">
        <v>1770</v>
      </c>
      <c r="P1157" s="1757" t="s">
        <v>1770</v>
      </c>
      <c r="Q1157"/>
      <c r="T1157"/>
    </row>
    <row r="1158" spans="1:20">
      <c r="A1158" s="1773" t="s">
        <v>1750</v>
      </c>
      <c r="B1158" s="1752">
        <v>95</v>
      </c>
      <c r="C1158" s="1754" t="e">
        <f>1/0</f>
        <v>#DIV/0!</v>
      </c>
      <c r="D1158" s="1753">
        <v>20</v>
      </c>
      <c r="E1158" s="1754" t="e">
        <f>1/0</f>
        <v>#DIV/0!</v>
      </c>
      <c r="F1158" s="1753">
        <v>9</v>
      </c>
      <c r="G1158" s="1753">
        <v>49</v>
      </c>
      <c r="H1158" s="1753">
        <v>19</v>
      </c>
      <c r="I1158" s="1753">
        <v>29</v>
      </c>
      <c r="J1158" s="1753">
        <v>79</v>
      </c>
      <c r="K1158" s="1753">
        <v>45</v>
      </c>
      <c r="L1158" s="1754" t="e">
        <f t="shared" si="88"/>
        <v>#DIV/0!</v>
      </c>
      <c r="M1158" s="1754" t="e">
        <f t="shared" si="88"/>
        <v>#DIV/0!</v>
      </c>
      <c r="N1158" s="1754" t="e">
        <f t="shared" si="88"/>
        <v>#DIV/0!</v>
      </c>
      <c r="O1158" s="1756" t="s">
        <v>1770</v>
      </c>
      <c r="P1158" s="1757" t="s">
        <v>1770</v>
      </c>
      <c r="Q1158"/>
      <c r="T1158"/>
    </row>
    <row r="1159" spans="1:20">
      <c r="A1159" s="1152" t="s">
        <v>1751</v>
      </c>
      <c r="B1159" s="1752">
        <v>350</v>
      </c>
      <c r="C1159" s="1754" t="e">
        <f>1/0</f>
        <v>#DIV/0!</v>
      </c>
      <c r="D1159" s="1753">
        <v>20</v>
      </c>
      <c r="E1159" s="1753">
        <v>70</v>
      </c>
      <c r="F1159" s="1753">
        <v>9</v>
      </c>
      <c r="G1159" s="1753">
        <v>49</v>
      </c>
      <c r="H1159" s="1753">
        <v>19</v>
      </c>
      <c r="I1159" s="1753">
        <v>29</v>
      </c>
      <c r="J1159" s="1753">
        <v>79</v>
      </c>
      <c r="K1159" s="1753">
        <v>45</v>
      </c>
      <c r="L1159" s="1753">
        <v>45</v>
      </c>
      <c r="M1159" s="1754" t="e">
        <f t="shared" si="88"/>
        <v>#DIV/0!</v>
      </c>
      <c r="N1159" s="1754" t="e">
        <f t="shared" si="88"/>
        <v>#DIV/0!</v>
      </c>
      <c r="O1159" s="1756" t="s">
        <v>1770</v>
      </c>
      <c r="P1159" s="1757" t="s">
        <v>1770</v>
      </c>
      <c r="Q1159"/>
      <c r="T1159"/>
    </row>
    <row r="1160" spans="1:20">
      <c r="A1160" s="1152" t="s">
        <v>1771</v>
      </c>
      <c r="B1160" s="1752">
        <v>549</v>
      </c>
      <c r="C1160" s="1754" t="e">
        <f>1/0</f>
        <v>#DIV/0!</v>
      </c>
      <c r="D1160" s="1753">
        <v>50</v>
      </c>
      <c r="E1160" s="1753">
        <v>70</v>
      </c>
      <c r="F1160" s="1753">
        <v>9</v>
      </c>
      <c r="G1160" s="1753">
        <v>49</v>
      </c>
      <c r="H1160" s="1753">
        <v>19</v>
      </c>
      <c r="I1160" s="1753">
        <v>29</v>
      </c>
      <c r="J1160" s="1753">
        <v>79</v>
      </c>
      <c r="K1160" s="1753">
        <v>45</v>
      </c>
      <c r="L1160" s="1753">
        <v>45</v>
      </c>
      <c r="M1160" s="1753">
        <v>85</v>
      </c>
      <c r="N1160" s="1753">
        <v>300</v>
      </c>
      <c r="O1160" s="1756" t="s">
        <v>1770</v>
      </c>
      <c r="P1160" s="1757" t="s">
        <v>1770</v>
      </c>
      <c r="Q1160"/>
      <c r="T1160"/>
    </row>
    <row r="1161" spans="1:20">
      <c r="A1161" s="1152" t="s">
        <v>1772</v>
      </c>
      <c r="B1161" s="1752">
        <v>899</v>
      </c>
      <c r="C1161" s="1754" t="e">
        <f>1/0</f>
        <v>#DIV/0!</v>
      </c>
      <c r="D1161" s="1753">
        <v>50</v>
      </c>
      <c r="E1161" s="1753">
        <v>70</v>
      </c>
      <c r="F1161" s="1753">
        <v>9</v>
      </c>
      <c r="G1161" s="1753">
        <v>49</v>
      </c>
      <c r="H1161" s="1753">
        <v>19</v>
      </c>
      <c r="I1161" s="1753">
        <v>29</v>
      </c>
      <c r="J1161" s="1753">
        <v>79</v>
      </c>
      <c r="K1161" s="1753">
        <v>45</v>
      </c>
      <c r="L1161" s="1753">
        <v>45</v>
      </c>
      <c r="M1161" s="1753">
        <v>85</v>
      </c>
      <c r="N1161" s="1753">
        <v>300</v>
      </c>
      <c r="O1161" s="1756" t="s">
        <v>1770</v>
      </c>
      <c r="P1161" s="1757" t="s">
        <v>1770</v>
      </c>
      <c r="Q1161"/>
      <c r="T1161"/>
    </row>
    <row r="1162" spans="1:20">
      <c r="A1162"/>
      <c r="B1162" s="1151"/>
      <c r="C1162"/>
      <c r="D1162"/>
      <c r="E1162"/>
      <c r="F1162"/>
      <c r="G1162"/>
      <c r="H1162"/>
      <c r="I1162"/>
      <c r="J1162"/>
      <c r="K1162"/>
      <c r="L1162"/>
      <c r="M1162" s="1151"/>
      <c r="N1162"/>
      <c r="O1162" s="1151"/>
      <c r="P1162"/>
      <c r="Q1162"/>
      <c r="T1162"/>
    </row>
    <row r="1163" spans="1:20" ht="15.75" thickBot="1">
      <c r="A1163" s="1759" t="s">
        <v>1112</v>
      </c>
      <c r="T1163"/>
    </row>
    <row r="1164" spans="1:20">
      <c r="A1164" s="1760">
        <f>Perfiles_usuario!D213</f>
        <v>0</v>
      </c>
      <c r="B1164" s="1761">
        <f>Perfiles_usuario!F213</f>
        <v>0</v>
      </c>
      <c r="C1164" s="1761">
        <f>Perfiles_usuario!H213</f>
        <v>0</v>
      </c>
      <c r="D1164" s="1761">
        <f>Perfiles_usuario!J213</f>
        <v>0</v>
      </c>
      <c r="E1164" s="1761">
        <f>Perfiles_usuario!L213</f>
        <v>0</v>
      </c>
      <c r="F1164" s="1761">
        <f>Perfiles_usuario!N213</f>
        <v>0</v>
      </c>
      <c r="G1164" s="1761">
        <f>Perfiles_usuario!P213</f>
        <v>0</v>
      </c>
      <c r="H1164" s="1761">
        <f>Perfiles_usuario!R213</f>
        <v>0</v>
      </c>
      <c r="I1164" s="1761">
        <f>Perfiles_usuario!T213</f>
        <v>0</v>
      </c>
      <c r="J1164" s="1761">
        <f>Perfiles_usuario!V213</f>
        <v>0</v>
      </c>
      <c r="K1164" s="1761">
        <f>Perfiles_usuario!X213</f>
        <v>0</v>
      </c>
      <c r="L1164" s="1761">
        <f>Perfiles_usuario!Z213</f>
        <v>0</v>
      </c>
      <c r="M1164" s="1761">
        <f>Perfiles_usuario!AB213</f>
        <v>0</v>
      </c>
      <c r="N1164" s="1762">
        <f>Perfiles_usuario!AD213</f>
        <v>0</v>
      </c>
      <c r="T1164"/>
    </row>
    <row r="1165" spans="1:20">
      <c r="A1165" s="1763">
        <f>Perfiles_usuario!D215</f>
        <v>0</v>
      </c>
      <c r="B1165" s="1764">
        <f>Perfiles_usuario!F215</f>
        <v>0</v>
      </c>
      <c r="C1165" s="1764">
        <f>Perfiles_usuario!H215</f>
        <v>0</v>
      </c>
      <c r="D1165" s="1764">
        <f>Perfiles_usuario!J215</f>
        <v>0</v>
      </c>
      <c r="E1165" s="1764">
        <f>Perfiles_usuario!L215</f>
        <v>0</v>
      </c>
      <c r="F1165" s="1764">
        <f>Perfiles_usuario!N215</f>
        <v>0</v>
      </c>
      <c r="G1165" s="1764">
        <f>Perfiles_usuario!P215</f>
        <v>0</v>
      </c>
      <c r="H1165" s="1764">
        <f>Perfiles_usuario!R215</f>
        <v>0</v>
      </c>
      <c r="I1165" s="1764">
        <f>Perfiles_usuario!T215</f>
        <v>0</v>
      </c>
      <c r="J1165" s="1764">
        <f>Perfiles_usuario!V215</f>
        <v>0</v>
      </c>
      <c r="K1165" s="1764">
        <f>Perfiles_usuario!X215</f>
        <v>0</v>
      </c>
      <c r="L1165" s="1764">
        <f>Perfiles_usuario!Z215</f>
        <v>0</v>
      </c>
      <c r="M1165" s="1764">
        <f>Perfiles_usuario!AB215</f>
        <v>0</v>
      </c>
      <c r="N1165" s="1765">
        <f>Perfiles_usuario!AD215</f>
        <v>0</v>
      </c>
      <c r="T1165"/>
    </row>
    <row r="1166" spans="1:20">
      <c r="A1166" s="1763">
        <f>Perfiles_usuario!D217</f>
        <v>0</v>
      </c>
      <c r="B1166" s="1764">
        <f>Perfiles_usuario!F217</f>
        <v>0</v>
      </c>
      <c r="C1166" s="1764">
        <f>Perfiles_usuario!H217</f>
        <v>0</v>
      </c>
      <c r="D1166" s="1764">
        <f>Perfiles_usuario!J217</f>
        <v>0</v>
      </c>
      <c r="E1166" s="1764">
        <f>Perfiles_usuario!L217</f>
        <v>0</v>
      </c>
      <c r="F1166" s="1764">
        <f>Perfiles_usuario!N217</f>
        <v>0</v>
      </c>
      <c r="G1166" s="1764">
        <f>Perfiles_usuario!P217</f>
        <v>0</v>
      </c>
      <c r="H1166" s="1764">
        <f>Perfiles_usuario!R217</f>
        <v>0</v>
      </c>
      <c r="I1166" s="1764">
        <f>Perfiles_usuario!T217</f>
        <v>0</v>
      </c>
      <c r="J1166" s="1764">
        <f>Perfiles_usuario!V217</f>
        <v>0</v>
      </c>
      <c r="K1166" s="1764">
        <f>Perfiles_usuario!X217</f>
        <v>0</v>
      </c>
      <c r="L1166" s="1764">
        <f>Perfiles_usuario!Z217</f>
        <v>0</v>
      </c>
      <c r="M1166" s="1764">
        <f>Perfiles_usuario!AB217</f>
        <v>0</v>
      </c>
      <c r="N1166" s="1765">
        <f>Perfiles_usuario!AD217</f>
        <v>0</v>
      </c>
      <c r="R1166"/>
      <c r="S1166"/>
      <c r="T1166"/>
    </row>
    <row r="1167" spans="1:20">
      <c r="A1167" s="1763">
        <f>Perfiles_usuario!D219</f>
        <v>0</v>
      </c>
      <c r="B1167" s="1764">
        <f>Perfiles_usuario!F219</f>
        <v>0</v>
      </c>
      <c r="C1167" s="1764">
        <f>Perfiles_usuario!H219</f>
        <v>0</v>
      </c>
      <c r="D1167" s="1764">
        <f>Perfiles_usuario!J219</f>
        <v>0</v>
      </c>
      <c r="E1167" s="1764">
        <f>Perfiles_usuario!L219</f>
        <v>0</v>
      </c>
      <c r="F1167" s="1764">
        <f>Perfiles_usuario!N219</f>
        <v>0</v>
      </c>
      <c r="G1167" s="1764">
        <f>Perfiles_usuario!P219</f>
        <v>0</v>
      </c>
      <c r="H1167" s="1764">
        <f>Perfiles_usuario!R219</f>
        <v>0</v>
      </c>
      <c r="I1167" s="1764">
        <f>Perfiles_usuario!T219</f>
        <v>0</v>
      </c>
      <c r="J1167" s="1764">
        <f>Perfiles_usuario!V219</f>
        <v>0</v>
      </c>
      <c r="K1167" s="1764">
        <f>Perfiles_usuario!X219</f>
        <v>0</v>
      </c>
      <c r="L1167" s="1764">
        <f>Perfiles_usuario!Z219</f>
        <v>0</v>
      </c>
      <c r="M1167" s="1764">
        <f>Perfiles_usuario!AB219</f>
        <v>0</v>
      </c>
      <c r="N1167" s="1765">
        <f>Perfiles_usuario!AD219</f>
        <v>0</v>
      </c>
    </row>
    <row r="1168" spans="1:20">
      <c r="A1168" s="1763">
        <f>Perfiles_usuario!D221</f>
        <v>0</v>
      </c>
      <c r="B1168" s="1764">
        <f>Perfiles_usuario!F221</f>
        <v>0</v>
      </c>
      <c r="C1168" s="1764">
        <f>Perfiles_usuario!H221</f>
        <v>0</v>
      </c>
      <c r="D1168" s="1764">
        <f>Perfiles_usuario!J221</f>
        <v>0</v>
      </c>
      <c r="E1168" s="1764">
        <f>Perfiles_usuario!L221</f>
        <v>0</v>
      </c>
      <c r="F1168" s="1764">
        <f>Perfiles_usuario!N221</f>
        <v>0</v>
      </c>
      <c r="G1168" s="1764">
        <f>Perfiles_usuario!P221</f>
        <v>0</v>
      </c>
      <c r="H1168" s="1764">
        <f>Perfiles_usuario!R221</f>
        <v>0</v>
      </c>
      <c r="I1168" s="1764">
        <f>Perfiles_usuario!T221</f>
        <v>0</v>
      </c>
      <c r="J1168" s="1764">
        <f>Perfiles_usuario!V221</f>
        <v>0</v>
      </c>
      <c r="K1168" s="1764">
        <f>Perfiles_usuario!X221</f>
        <v>0</v>
      </c>
      <c r="L1168" s="1764">
        <f>Perfiles_usuario!Z221</f>
        <v>0</v>
      </c>
      <c r="M1168" s="1764">
        <f>Perfiles_usuario!AB221</f>
        <v>0</v>
      </c>
      <c r="N1168" s="1765">
        <f>Perfiles_usuario!AD221</f>
        <v>0</v>
      </c>
    </row>
    <row r="1169" spans="1:15">
      <c r="A1169" s="1763">
        <f>Perfiles_usuario!D223</f>
        <v>0</v>
      </c>
      <c r="B1169" s="1764">
        <f>Perfiles_usuario!F223</f>
        <v>0</v>
      </c>
      <c r="C1169" s="1764">
        <f>Perfiles_usuario!H223</f>
        <v>0</v>
      </c>
      <c r="D1169" s="1764">
        <f>Perfiles_usuario!J223</f>
        <v>0</v>
      </c>
      <c r="E1169" s="1764">
        <f>Perfiles_usuario!L223</f>
        <v>0</v>
      </c>
      <c r="F1169" s="1764">
        <f>Perfiles_usuario!N223</f>
        <v>0</v>
      </c>
      <c r="G1169" s="1764">
        <f>Perfiles_usuario!P223</f>
        <v>0</v>
      </c>
      <c r="H1169" s="1764">
        <f>Perfiles_usuario!R223</f>
        <v>0</v>
      </c>
      <c r="I1169" s="1764">
        <f>Perfiles_usuario!T223</f>
        <v>0</v>
      </c>
      <c r="J1169" s="1764">
        <f>Perfiles_usuario!V223</f>
        <v>0</v>
      </c>
      <c r="K1169" s="1764">
        <f>Perfiles_usuario!X223</f>
        <v>0</v>
      </c>
      <c r="L1169" s="1764">
        <f>Perfiles_usuario!Z223</f>
        <v>0</v>
      </c>
      <c r="M1169" s="1764">
        <f>Perfiles_usuario!AB223</f>
        <v>0</v>
      </c>
      <c r="N1169" s="1765">
        <f>Perfiles_usuario!AD223</f>
        <v>0</v>
      </c>
    </row>
    <row r="1170" spans="1:15">
      <c r="A1170" s="1763">
        <f>Perfiles_usuario!D225</f>
        <v>0</v>
      </c>
      <c r="B1170" s="1764">
        <f>Perfiles_usuario!F225</f>
        <v>0</v>
      </c>
      <c r="C1170" s="1764">
        <f>Perfiles_usuario!H225</f>
        <v>0</v>
      </c>
      <c r="D1170" s="1764">
        <f>Perfiles_usuario!J225</f>
        <v>0</v>
      </c>
      <c r="E1170" s="1764">
        <f>Perfiles_usuario!L225</f>
        <v>0</v>
      </c>
      <c r="F1170" s="1764">
        <f>Perfiles_usuario!N225</f>
        <v>0</v>
      </c>
      <c r="G1170" s="1764">
        <f>Perfiles_usuario!P225</f>
        <v>0</v>
      </c>
      <c r="H1170" s="1764">
        <f>Perfiles_usuario!R225</f>
        <v>0</v>
      </c>
      <c r="I1170" s="1764">
        <f>Perfiles_usuario!T225</f>
        <v>0</v>
      </c>
      <c r="J1170" s="1764">
        <f>Perfiles_usuario!V225</f>
        <v>0</v>
      </c>
      <c r="K1170" s="1764">
        <f>Perfiles_usuario!X225</f>
        <v>0</v>
      </c>
      <c r="L1170" s="1764">
        <f>Perfiles_usuario!Z225</f>
        <v>0</v>
      </c>
      <c r="M1170" s="1764">
        <f>Perfiles_usuario!AB225</f>
        <v>0</v>
      </c>
      <c r="N1170" s="1765">
        <f>Perfiles_usuario!AD225</f>
        <v>0</v>
      </c>
    </row>
    <row r="1171" spans="1:15">
      <c r="A1171" s="1763">
        <f>Perfiles_usuario!D227</f>
        <v>0</v>
      </c>
      <c r="B1171" s="1764">
        <f>Perfiles_usuario!F227</f>
        <v>0</v>
      </c>
      <c r="C1171" s="1764">
        <f>Perfiles_usuario!H227</f>
        <v>0</v>
      </c>
      <c r="D1171" s="1764">
        <f>Perfiles_usuario!J227</f>
        <v>0</v>
      </c>
      <c r="E1171" s="1764">
        <f>Perfiles_usuario!L227</f>
        <v>0</v>
      </c>
      <c r="F1171" s="1764">
        <f>Perfiles_usuario!N227</f>
        <v>0</v>
      </c>
      <c r="G1171" s="1764">
        <f>Perfiles_usuario!P227</f>
        <v>0</v>
      </c>
      <c r="H1171" s="1764">
        <f>Perfiles_usuario!R227</f>
        <v>0</v>
      </c>
      <c r="I1171" s="1764">
        <f>Perfiles_usuario!T227</f>
        <v>0</v>
      </c>
      <c r="J1171" s="1764">
        <f>Perfiles_usuario!V227</f>
        <v>0</v>
      </c>
      <c r="K1171" s="1764">
        <f>Perfiles_usuario!X227</f>
        <v>0</v>
      </c>
      <c r="L1171" s="1764">
        <f>Perfiles_usuario!Z227</f>
        <v>0</v>
      </c>
      <c r="M1171" s="1764">
        <f>Perfiles_usuario!AB227</f>
        <v>0</v>
      </c>
      <c r="N1171" s="1765">
        <f>Perfiles_usuario!AD227</f>
        <v>0</v>
      </c>
    </row>
    <row r="1172" spans="1:15">
      <c r="A1172" s="1763">
        <f>Perfiles_usuario!D229</f>
        <v>0</v>
      </c>
      <c r="B1172" s="1764">
        <f>Perfiles_usuario!F229</f>
        <v>0</v>
      </c>
      <c r="C1172" s="1764">
        <f>Perfiles_usuario!H229</f>
        <v>0</v>
      </c>
      <c r="D1172" s="1764">
        <f>Perfiles_usuario!J229</f>
        <v>0</v>
      </c>
      <c r="E1172" s="1764">
        <f>Perfiles_usuario!L229</f>
        <v>0</v>
      </c>
      <c r="F1172" s="1764">
        <f>Perfiles_usuario!N229</f>
        <v>0</v>
      </c>
      <c r="G1172" s="1764">
        <f>Perfiles_usuario!P229</f>
        <v>0</v>
      </c>
      <c r="H1172" s="1764">
        <f>Perfiles_usuario!R229</f>
        <v>0</v>
      </c>
      <c r="I1172" s="1764">
        <f>Perfiles_usuario!T229</f>
        <v>0</v>
      </c>
      <c r="J1172" s="1764">
        <f>Perfiles_usuario!V229</f>
        <v>0</v>
      </c>
      <c r="K1172" s="1764">
        <f>Perfiles_usuario!X229</f>
        <v>0</v>
      </c>
      <c r="L1172" s="1764">
        <f>Perfiles_usuario!Z229</f>
        <v>0</v>
      </c>
      <c r="M1172" s="1764">
        <f>Perfiles_usuario!AB229</f>
        <v>0</v>
      </c>
      <c r="N1172" s="1765">
        <f>Perfiles_usuario!AD229</f>
        <v>0</v>
      </c>
    </row>
    <row r="1173" spans="1:15">
      <c r="A1173" s="1763">
        <f>Perfiles_usuario!D231</f>
        <v>0</v>
      </c>
      <c r="B1173" s="1764">
        <f>Perfiles_usuario!F231</f>
        <v>0</v>
      </c>
      <c r="C1173" s="1764">
        <f>Perfiles_usuario!H231</f>
        <v>0</v>
      </c>
      <c r="D1173" s="1764">
        <f>Perfiles_usuario!J231</f>
        <v>0</v>
      </c>
      <c r="E1173" s="1764">
        <f>Perfiles_usuario!L231</f>
        <v>0</v>
      </c>
      <c r="F1173" s="1764">
        <f>Perfiles_usuario!N231</f>
        <v>0</v>
      </c>
      <c r="G1173" s="1764">
        <f>Perfiles_usuario!P231</f>
        <v>0</v>
      </c>
      <c r="H1173" s="1764">
        <f>Perfiles_usuario!R231</f>
        <v>0</v>
      </c>
      <c r="I1173" s="1764">
        <f>Perfiles_usuario!T231</f>
        <v>0</v>
      </c>
      <c r="J1173" s="1764">
        <f>Perfiles_usuario!V231</f>
        <v>0</v>
      </c>
      <c r="K1173" s="1764">
        <f>Perfiles_usuario!X231</f>
        <v>0</v>
      </c>
      <c r="L1173" s="1764">
        <f>Perfiles_usuario!Z231</f>
        <v>0</v>
      </c>
      <c r="M1173" s="1764">
        <f>Perfiles_usuario!AB231</f>
        <v>0</v>
      </c>
      <c r="N1173" s="1765">
        <f>Perfiles_usuario!AD231</f>
        <v>0</v>
      </c>
    </row>
    <row r="1174" spans="1:15" ht="15" thickBot="1">
      <c r="A1174" s="1766">
        <f>Perfiles_usuario!D233</f>
        <v>0</v>
      </c>
      <c r="B1174" s="1767">
        <f>Perfiles_usuario!F233</f>
        <v>0</v>
      </c>
      <c r="C1174" s="1767">
        <f>Perfiles_usuario!H233</f>
        <v>0</v>
      </c>
      <c r="D1174" s="1767">
        <f>Perfiles_usuario!J233</f>
        <v>0</v>
      </c>
      <c r="E1174" s="1767">
        <f>Perfiles_usuario!L233</f>
        <v>0</v>
      </c>
      <c r="F1174" s="1767">
        <f>Perfiles_usuario!N233</f>
        <v>0</v>
      </c>
      <c r="G1174" s="1767">
        <f>Perfiles_usuario!P233</f>
        <v>0</v>
      </c>
      <c r="H1174" s="1767">
        <f>Perfiles_usuario!R233</f>
        <v>0</v>
      </c>
      <c r="I1174" s="1767">
        <f>Perfiles_usuario!T233</f>
        <v>0</v>
      </c>
      <c r="J1174" s="1767">
        <f>Perfiles_usuario!V233</f>
        <v>0</v>
      </c>
      <c r="K1174" s="1767">
        <f>Perfiles_usuario!X233</f>
        <v>0</v>
      </c>
      <c r="L1174" s="1767">
        <f>Perfiles_usuario!Z233</f>
        <v>0</v>
      </c>
      <c r="M1174" s="1767">
        <f>Perfiles_usuario!AB233</f>
        <v>0</v>
      </c>
      <c r="N1174" s="1768">
        <f>Perfiles_usuario!AD233</f>
        <v>0</v>
      </c>
    </row>
    <row r="1176" spans="1:15" ht="15" thickBot="1">
      <c r="A1176" s="226" t="s">
        <v>1113</v>
      </c>
      <c r="O1176" s="226" t="s">
        <v>158</v>
      </c>
    </row>
    <row r="1177" spans="1:15" ht="15">
      <c r="A1177" s="2028">
        <f>Perfiles_usuario!B213</f>
        <v>0</v>
      </c>
      <c r="B1177" s="1769" t="e">
        <f t="shared" ref="B1177:B1187" si="89">IF(A1164=$A$1144,VLOOKUP(B1164,$A$1150:$B$1154,2,FALSE),VLOOKUP(B1164,$A$1156:$B$1161,2,FALSE))</f>
        <v>#N/A</v>
      </c>
      <c r="C1177" s="1769" t="str">
        <f t="shared" ref="C1177:C1187" si="90">IF(C1164="Sí",IF(A1164=$A$1144,VLOOKUP(B1164,$A$1150:$C$1154,3,FALSE),VLOOKUP(B1164,$A$1156:$D$1161,3,FALSE)),"")</f>
        <v/>
      </c>
      <c r="D1177" s="1769" t="str">
        <f t="shared" ref="D1177:D1187" si="91">IF(D1164="Sí",IF(A1164=$A$1144,VLOOKUP(B1164,$A$1150:$D$1154,4,FALSE),VLOOKUP(B1164,$A$1156:$D$1161,4,FALSE)),"")</f>
        <v/>
      </c>
      <c r="E1177" s="1770" t="str">
        <f t="shared" ref="E1177:E1187" si="92">IF(E1164="Sí",IF(A1164=$A$1144,VLOOKUP(B1164,$A$1150:$E$1154,5,FALSE),VLOOKUP(B1164,$A$1156:$E$1161,5,FALSE)),"")</f>
        <v/>
      </c>
      <c r="F1177" s="1769" t="str">
        <f t="shared" ref="F1177:F1187" si="93">IF(F1164="Sí",IF(A1164=$A$1144,VLOOKUP(B1164,$A$1150:$F$1154,6,FALSE),VLOOKUP(B1164,$A$1156:$F$1161,6,FALSE)),"")</f>
        <v/>
      </c>
      <c r="G1177" s="1769" t="str">
        <f t="shared" ref="G1177:G1187" si="94">IF(G1164="Sí",IF(A1164=$A$1144,VLOOKUP(B1164,$A$1150:$G$1154,7,FALSE),VLOOKUP(B1164,$A$1156:$G$1161,7,FALSE)),"")</f>
        <v/>
      </c>
      <c r="H1177" s="1769" t="str">
        <f t="shared" ref="H1177:H1187" si="95">IF(H1164="Sí",IF(A1164=$A$1144,VLOOKUP(B1164,$A$1150:$H$1154,8,FALSE),VLOOKUP(B1164,$A$1156:$H$1161,8,FALSE)),"")</f>
        <v/>
      </c>
      <c r="I1177" s="1769" t="str">
        <f>IF(I1164="Sí",IF(A1164=$A$1144,VLOOKUP(B1164,$A$1150:$I$1154,9,FALSE),VLOOKUP(B1164,$A$1156:$I$1161,9,FALSE)),"")</f>
        <v/>
      </c>
      <c r="J1177" s="1769" t="str">
        <f>IF(J1164="Sí",IF(A1164=$A$1144,VLOOKUP(B1164,$A$1150:$J$1154,10,FALSE),VLOOKUP(B1164,$A$1156:$J$1161,10,FALSE)),"")</f>
        <v/>
      </c>
      <c r="K1177" s="1769" t="str">
        <f>IF(K1164="Sí",IF(A1164=$A$1144,VLOOKUP(B1164,$A$1150:$K$1154,11,FALSE),VLOOKUP(B1164,$A$1156:$K$1161,11,FALSE)),"")</f>
        <v/>
      </c>
      <c r="L1177" s="1769" t="str">
        <f>IF(L1164="Sí",IF(A1164=$A$1144,VLOOKUP(B1164,$A$1150:$L$1154,12,FALSE),VLOOKUP(B1164,$A$1156:$L$1161,12,FALSE)),"")</f>
        <v/>
      </c>
      <c r="M1177" s="1769" t="str">
        <f>IF(M1164="Sí",IF(A1164=$A$1144,VLOOKUP(B1164,$A$1150:$M$1154,13,FALSE),VLOOKUP(B1164,$A$1156:$M$1161,13,FALSE)),"")</f>
        <v/>
      </c>
      <c r="N1177" s="1769" t="str">
        <f>IF(N1164="Sí",IF(A1164=$A$1144,VLOOKUP(B1164,$A$1150:$N$1154,14,FALSE),VLOOKUP(B1164,$A$1156:$N$1161,14,FALSE)),"")</f>
        <v/>
      </c>
      <c r="O1177" s="2025" t="e">
        <f>SUM(B1177:N1177)</f>
        <v>#N/A</v>
      </c>
    </row>
    <row r="1178" spans="1:15" ht="15">
      <c r="A1178" s="2029">
        <f>Perfiles_usuario!B215</f>
        <v>0</v>
      </c>
      <c r="B1178" s="1771" t="e">
        <f t="shared" si="89"/>
        <v>#N/A</v>
      </c>
      <c r="C1178" s="1771" t="str">
        <f t="shared" si="90"/>
        <v/>
      </c>
      <c r="D1178" s="1771" t="str">
        <f t="shared" si="91"/>
        <v/>
      </c>
      <c r="E1178" s="1771" t="str">
        <f t="shared" si="92"/>
        <v/>
      </c>
      <c r="F1178" s="1771" t="str">
        <f t="shared" si="93"/>
        <v/>
      </c>
      <c r="G1178" s="1771" t="str">
        <f t="shared" si="94"/>
        <v/>
      </c>
      <c r="H1178" s="1771" t="str">
        <f t="shared" si="95"/>
        <v/>
      </c>
      <c r="I1178" s="1771" t="str">
        <f t="shared" ref="I1178:I1187" si="96">IF(I1165="Sí",IF(A1165=$A$1144,VLOOKUP(B1165,$A$1150:$I$1154,9,FALSE),VLOOKUP(B1165,$A$1156:$I$1161,9,FALSE)),"")</f>
        <v/>
      </c>
      <c r="J1178" s="1771" t="str">
        <f t="shared" ref="J1178:J1187" si="97">IF(J1165="Sí",IF(A1165=$A$1144,VLOOKUP(B1165,$A$1150:$J$1154,10,FALSE),VLOOKUP(B1165,$A$1156:$J$1161,10,FALSE)),"")</f>
        <v/>
      </c>
      <c r="K1178" s="1771" t="str">
        <f t="shared" ref="K1178:K1187" si="98">IF(K1165="Sí",IF(A1165=$A$1144,VLOOKUP(B1165,$A$1150:$K$1154,11,FALSE),VLOOKUP(B1165,$A$1156:$K$1161,11,FALSE)),"")</f>
        <v/>
      </c>
      <c r="L1178" s="1771" t="str">
        <f t="shared" ref="L1178:L1187" si="99">IF(L1165="Sí",IF(A1165=$A$1144,VLOOKUP(B1165,$A$1150:$L$1154,12,FALSE),VLOOKUP(B1165,$A$1156:$L$1161,12,FALSE)),"")</f>
        <v/>
      </c>
      <c r="M1178" s="1771" t="str">
        <f t="shared" ref="M1178:M1186" si="100">IF(M1165="Sí",IF(A1165=$A$1144,VLOOKUP(B1165,$A$1150:$M$1154,13,FALSE),VLOOKUP(B1165,$A$1156:$M$1161,13,FALSE)),"")</f>
        <v/>
      </c>
      <c r="N1178" s="1771" t="str">
        <f t="shared" ref="N1178:N1187" si="101">IF(N1165="Sí",IF(A1165=$A$1144,VLOOKUP(B1165,$A$1150:$N$1154,14,FALSE),VLOOKUP(B1165,$A$1156:$N$1161,14,FALSE)),"")</f>
        <v/>
      </c>
      <c r="O1178" s="2026" t="e">
        <f t="shared" ref="O1178:O1186" si="102">SUM(B1178:N1178)</f>
        <v>#N/A</v>
      </c>
    </row>
    <row r="1179" spans="1:15" ht="15">
      <c r="A1179" s="2029">
        <f>Perfiles_usuario!B217</f>
        <v>0</v>
      </c>
      <c r="B1179" s="1771" t="e">
        <f t="shared" si="89"/>
        <v>#N/A</v>
      </c>
      <c r="C1179" s="1771" t="str">
        <f t="shared" si="90"/>
        <v/>
      </c>
      <c r="D1179" s="1771" t="str">
        <f t="shared" si="91"/>
        <v/>
      </c>
      <c r="E1179" s="1771" t="str">
        <f t="shared" si="92"/>
        <v/>
      </c>
      <c r="F1179" s="1771" t="str">
        <f t="shared" si="93"/>
        <v/>
      </c>
      <c r="G1179" s="1771" t="str">
        <f t="shared" si="94"/>
        <v/>
      </c>
      <c r="H1179" s="1771" t="str">
        <f t="shared" si="95"/>
        <v/>
      </c>
      <c r="I1179" s="1771" t="str">
        <f t="shared" si="96"/>
        <v/>
      </c>
      <c r="J1179" s="1771" t="str">
        <f t="shared" si="97"/>
        <v/>
      </c>
      <c r="K1179" s="1771" t="str">
        <f t="shared" si="98"/>
        <v/>
      </c>
      <c r="L1179" s="1771" t="str">
        <f t="shared" si="99"/>
        <v/>
      </c>
      <c r="M1179" s="1771" t="str">
        <f t="shared" si="100"/>
        <v/>
      </c>
      <c r="N1179" s="1771" t="str">
        <f t="shared" si="101"/>
        <v/>
      </c>
      <c r="O1179" s="2026" t="e">
        <f t="shared" si="102"/>
        <v>#N/A</v>
      </c>
    </row>
    <row r="1180" spans="1:15" ht="15">
      <c r="A1180" s="2029">
        <f>Perfiles_usuario!B219</f>
        <v>0</v>
      </c>
      <c r="B1180" s="1771" t="e">
        <f t="shared" si="89"/>
        <v>#N/A</v>
      </c>
      <c r="C1180" s="1771" t="str">
        <f t="shared" si="90"/>
        <v/>
      </c>
      <c r="D1180" s="1771" t="str">
        <f t="shared" si="91"/>
        <v/>
      </c>
      <c r="E1180" s="1771" t="str">
        <f t="shared" si="92"/>
        <v/>
      </c>
      <c r="F1180" s="1771" t="str">
        <f t="shared" si="93"/>
        <v/>
      </c>
      <c r="G1180" s="1771" t="str">
        <f t="shared" si="94"/>
        <v/>
      </c>
      <c r="H1180" s="1771" t="str">
        <f t="shared" si="95"/>
        <v/>
      </c>
      <c r="I1180" s="1771" t="str">
        <f t="shared" si="96"/>
        <v/>
      </c>
      <c r="J1180" s="1771" t="str">
        <f t="shared" si="97"/>
        <v/>
      </c>
      <c r="K1180" s="1771" t="str">
        <f t="shared" si="98"/>
        <v/>
      </c>
      <c r="L1180" s="1771" t="str">
        <f t="shared" si="99"/>
        <v/>
      </c>
      <c r="M1180" s="1771" t="str">
        <f t="shared" si="100"/>
        <v/>
      </c>
      <c r="N1180" s="1771" t="str">
        <f t="shared" si="101"/>
        <v/>
      </c>
      <c r="O1180" s="2026" t="e">
        <f t="shared" si="102"/>
        <v>#N/A</v>
      </c>
    </row>
    <row r="1181" spans="1:15" ht="15">
      <c r="A1181" s="2029">
        <f>Perfiles_usuario!B221</f>
        <v>0</v>
      </c>
      <c r="B1181" s="1771" t="e">
        <f t="shared" si="89"/>
        <v>#N/A</v>
      </c>
      <c r="C1181" s="1771" t="str">
        <f t="shared" si="90"/>
        <v/>
      </c>
      <c r="D1181" s="1771" t="str">
        <f t="shared" si="91"/>
        <v/>
      </c>
      <c r="E1181" s="1771" t="str">
        <f t="shared" si="92"/>
        <v/>
      </c>
      <c r="F1181" s="1771" t="str">
        <f t="shared" si="93"/>
        <v/>
      </c>
      <c r="G1181" s="1771" t="str">
        <f t="shared" si="94"/>
        <v/>
      </c>
      <c r="H1181" s="1771" t="str">
        <f t="shared" si="95"/>
        <v/>
      </c>
      <c r="I1181" s="1771" t="str">
        <f t="shared" si="96"/>
        <v/>
      </c>
      <c r="J1181" s="1771" t="str">
        <f t="shared" si="97"/>
        <v/>
      </c>
      <c r="K1181" s="1771" t="str">
        <f t="shared" si="98"/>
        <v/>
      </c>
      <c r="L1181" s="1771" t="str">
        <f t="shared" si="99"/>
        <v/>
      </c>
      <c r="M1181" s="1771" t="str">
        <f t="shared" si="100"/>
        <v/>
      </c>
      <c r="N1181" s="1771" t="str">
        <f t="shared" si="101"/>
        <v/>
      </c>
      <c r="O1181" s="2026" t="e">
        <f t="shared" si="102"/>
        <v>#N/A</v>
      </c>
    </row>
    <row r="1182" spans="1:15" ht="15">
      <c r="A1182" s="2029">
        <f>Perfiles_usuario!B223</f>
        <v>0</v>
      </c>
      <c r="B1182" s="1771" t="e">
        <f t="shared" si="89"/>
        <v>#N/A</v>
      </c>
      <c r="C1182" s="1771" t="str">
        <f t="shared" si="90"/>
        <v/>
      </c>
      <c r="D1182" s="1771" t="str">
        <f t="shared" si="91"/>
        <v/>
      </c>
      <c r="E1182" s="1771" t="str">
        <f t="shared" si="92"/>
        <v/>
      </c>
      <c r="F1182" s="1771" t="str">
        <f t="shared" si="93"/>
        <v/>
      </c>
      <c r="G1182" s="1771" t="str">
        <f t="shared" si="94"/>
        <v/>
      </c>
      <c r="H1182" s="1771" t="str">
        <f t="shared" si="95"/>
        <v/>
      </c>
      <c r="I1182" s="1771" t="str">
        <f t="shared" si="96"/>
        <v/>
      </c>
      <c r="J1182" s="1771" t="str">
        <f t="shared" si="97"/>
        <v/>
      </c>
      <c r="K1182" s="1771" t="str">
        <f t="shared" si="98"/>
        <v/>
      </c>
      <c r="L1182" s="1771" t="str">
        <f t="shared" si="99"/>
        <v/>
      </c>
      <c r="M1182" s="1771" t="str">
        <f t="shared" si="100"/>
        <v/>
      </c>
      <c r="N1182" s="1771" t="str">
        <f t="shared" si="101"/>
        <v/>
      </c>
      <c r="O1182" s="2026" t="e">
        <f t="shared" si="102"/>
        <v>#N/A</v>
      </c>
    </row>
    <row r="1183" spans="1:15" ht="15">
      <c r="A1183" s="2029">
        <f>Perfiles_usuario!B225</f>
        <v>0</v>
      </c>
      <c r="B1183" s="1771" t="e">
        <f t="shared" si="89"/>
        <v>#N/A</v>
      </c>
      <c r="C1183" s="1771" t="str">
        <f t="shared" si="90"/>
        <v/>
      </c>
      <c r="D1183" s="1771" t="str">
        <f t="shared" si="91"/>
        <v/>
      </c>
      <c r="E1183" s="1771" t="str">
        <f t="shared" si="92"/>
        <v/>
      </c>
      <c r="F1183" s="1771" t="str">
        <f t="shared" si="93"/>
        <v/>
      </c>
      <c r="G1183" s="1771" t="str">
        <f t="shared" si="94"/>
        <v/>
      </c>
      <c r="H1183" s="1771" t="str">
        <f t="shared" si="95"/>
        <v/>
      </c>
      <c r="I1183" s="1771" t="str">
        <f t="shared" si="96"/>
        <v/>
      </c>
      <c r="J1183" s="1771" t="str">
        <f t="shared" si="97"/>
        <v/>
      </c>
      <c r="K1183" s="1771" t="str">
        <f t="shared" si="98"/>
        <v/>
      </c>
      <c r="L1183" s="1771" t="str">
        <f t="shared" si="99"/>
        <v/>
      </c>
      <c r="M1183" s="1771" t="str">
        <f t="shared" si="100"/>
        <v/>
      </c>
      <c r="N1183" s="1771" t="str">
        <f t="shared" si="101"/>
        <v/>
      </c>
      <c r="O1183" s="2026" t="e">
        <f t="shared" si="102"/>
        <v>#N/A</v>
      </c>
    </row>
    <row r="1184" spans="1:15" ht="15">
      <c r="A1184" s="2029">
        <f>Perfiles_usuario!B227</f>
        <v>0</v>
      </c>
      <c r="B1184" s="1771" t="e">
        <f t="shared" si="89"/>
        <v>#N/A</v>
      </c>
      <c r="C1184" s="1771" t="str">
        <f t="shared" si="90"/>
        <v/>
      </c>
      <c r="D1184" s="1771" t="str">
        <f t="shared" si="91"/>
        <v/>
      </c>
      <c r="E1184" s="1771" t="str">
        <f t="shared" si="92"/>
        <v/>
      </c>
      <c r="F1184" s="1771" t="str">
        <f t="shared" si="93"/>
        <v/>
      </c>
      <c r="G1184" s="1771" t="str">
        <f t="shared" si="94"/>
        <v/>
      </c>
      <c r="H1184" s="1771" t="str">
        <f t="shared" si="95"/>
        <v/>
      </c>
      <c r="I1184" s="1771" t="str">
        <f t="shared" si="96"/>
        <v/>
      </c>
      <c r="J1184" s="1771" t="str">
        <f t="shared" si="97"/>
        <v/>
      </c>
      <c r="K1184" s="1771" t="str">
        <f t="shared" si="98"/>
        <v/>
      </c>
      <c r="L1184" s="1771" t="str">
        <f t="shared" si="99"/>
        <v/>
      </c>
      <c r="M1184" s="1771" t="str">
        <f t="shared" si="100"/>
        <v/>
      </c>
      <c r="N1184" s="1771" t="str">
        <f t="shared" si="101"/>
        <v/>
      </c>
      <c r="O1184" s="2026" t="e">
        <f t="shared" si="102"/>
        <v>#N/A</v>
      </c>
    </row>
    <row r="1185" spans="1:15" ht="15">
      <c r="A1185" s="2029">
        <f>Perfiles_usuario!B229</f>
        <v>0</v>
      </c>
      <c r="B1185" s="1771" t="e">
        <f t="shared" si="89"/>
        <v>#N/A</v>
      </c>
      <c r="C1185" s="1771" t="str">
        <f t="shared" si="90"/>
        <v/>
      </c>
      <c r="D1185" s="1771" t="str">
        <f t="shared" si="91"/>
        <v/>
      </c>
      <c r="E1185" s="1771" t="str">
        <f t="shared" si="92"/>
        <v/>
      </c>
      <c r="F1185" s="1771" t="str">
        <f t="shared" si="93"/>
        <v/>
      </c>
      <c r="G1185" s="1771" t="str">
        <f t="shared" si="94"/>
        <v/>
      </c>
      <c r="H1185" s="1771" t="str">
        <f t="shared" si="95"/>
        <v/>
      </c>
      <c r="I1185" s="1771" t="str">
        <f t="shared" si="96"/>
        <v/>
      </c>
      <c r="J1185" s="1771" t="str">
        <f t="shared" si="97"/>
        <v/>
      </c>
      <c r="K1185" s="1771" t="str">
        <f t="shared" si="98"/>
        <v/>
      </c>
      <c r="L1185" s="1771" t="str">
        <f t="shared" si="99"/>
        <v/>
      </c>
      <c r="M1185" s="1771" t="str">
        <f t="shared" si="100"/>
        <v/>
      </c>
      <c r="N1185" s="1771" t="str">
        <f t="shared" si="101"/>
        <v/>
      </c>
      <c r="O1185" s="2026" t="e">
        <f t="shared" si="102"/>
        <v>#N/A</v>
      </c>
    </row>
    <row r="1186" spans="1:15" ht="15">
      <c r="A1186" s="2029">
        <f>Perfiles_usuario!B231</f>
        <v>0</v>
      </c>
      <c r="B1186" s="1771" t="e">
        <f t="shared" si="89"/>
        <v>#N/A</v>
      </c>
      <c r="C1186" s="1771" t="str">
        <f t="shared" si="90"/>
        <v/>
      </c>
      <c r="D1186" s="1771" t="str">
        <f t="shared" si="91"/>
        <v/>
      </c>
      <c r="E1186" s="1771" t="str">
        <f t="shared" si="92"/>
        <v/>
      </c>
      <c r="F1186" s="1771" t="str">
        <f t="shared" si="93"/>
        <v/>
      </c>
      <c r="G1186" s="1771" t="str">
        <f t="shared" si="94"/>
        <v/>
      </c>
      <c r="H1186" s="1771" t="str">
        <f t="shared" si="95"/>
        <v/>
      </c>
      <c r="I1186" s="1771" t="str">
        <f t="shared" si="96"/>
        <v/>
      </c>
      <c r="J1186" s="1771" t="str">
        <f t="shared" si="97"/>
        <v/>
      </c>
      <c r="K1186" s="1771" t="str">
        <f t="shared" si="98"/>
        <v/>
      </c>
      <c r="L1186" s="1771" t="str">
        <f t="shared" si="99"/>
        <v/>
      </c>
      <c r="M1186" s="1771" t="str">
        <f t="shared" si="100"/>
        <v/>
      </c>
      <c r="N1186" s="1771" t="str">
        <f t="shared" si="101"/>
        <v/>
      </c>
      <c r="O1186" s="2026" t="e">
        <f t="shared" si="102"/>
        <v>#N/A</v>
      </c>
    </row>
    <row r="1187" spans="1:15" ht="15.75" thickBot="1">
      <c r="A1187" s="2030">
        <f>Perfiles_usuario!B233</f>
        <v>0</v>
      </c>
      <c r="B1187" s="1772" t="e">
        <f t="shared" si="89"/>
        <v>#N/A</v>
      </c>
      <c r="C1187" s="1772" t="str">
        <f t="shared" si="90"/>
        <v/>
      </c>
      <c r="D1187" s="1772" t="str">
        <f t="shared" si="91"/>
        <v/>
      </c>
      <c r="E1187" s="1772" t="str">
        <f t="shared" si="92"/>
        <v/>
      </c>
      <c r="F1187" s="1772" t="str">
        <f t="shared" si="93"/>
        <v/>
      </c>
      <c r="G1187" s="1772" t="str">
        <f t="shared" si="94"/>
        <v/>
      </c>
      <c r="H1187" s="1772" t="str">
        <f t="shared" si="95"/>
        <v/>
      </c>
      <c r="I1187" s="1772" t="str">
        <f t="shared" si="96"/>
        <v/>
      </c>
      <c r="J1187" s="1772" t="str">
        <f t="shared" si="97"/>
        <v/>
      </c>
      <c r="K1187" s="1772" t="str">
        <f t="shared" si="98"/>
        <v/>
      </c>
      <c r="L1187" s="1772" t="str">
        <f t="shared" si="99"/>
        <v/>
      </c>
      <c r="M1187" s="1772" t="str">
        <f>IF(M1174="Sí",IF(A1174=$A$1144,VLOOKUP(B1174,$A$1150:$M$1154,13,FALSE),VLOOKUP(B1174,$A$1156:$M$1161,13,FALSE)),"")</f>
        <v/>
      </c>
      <c r="N1187" s="1772" t="str">
        <f t="shared" si="101"/>
        <v/>
      </c>
      <c r="O1187" s="2027" t="e">
        <f>SUM(B1187:N1187)</f>
        <v>#N/A</v>
      </c>
    </row>
    <row r="1188" spans="1:15">
      <c r="B1188" s="276"/>
      <c r="C1188" s="276"/>
      <c r="D1188" s="276"/>
      <c r="E1188" s="276"/>
      <c r="F1188" s="276"/>
      <c r="G1188" s="239"/>
      <c r="H1188" s="239"/>
      <c r="I1188" s="239"/>
      <c r="J1188" s="239"/>
      <c r="K1188" s="239"/>
      <c r="L1188" s="239"/>
      <c r="M1188" s="239"/>
      <c r="N1188" s="239"/>
    </row>
    <row r="1189" spans="1:15">
      <c r="A1189" s="276"/>
      <c r="B1189" s="276"/>
      <c r="C1189" s="276"/>
      <c r="D1189" s="276"/>
      <c r="E1189" s="276"/>
      <c r="F1189" s="276"/>
      <c r="G1189" s="239"/>
      <c r="H1189" s="239"/>
      <c r="I1189" s="239"/>
      <c r="J1189" s="239"/>
      <c r="K1189" s="239"/>
      <c r="L1189" s="239"/>
      <c r="M1189" s="239"/>
      <c r="N1189" s="239"/>
    </row>
    <row r="1190" spans="1:15">
      <c r="A1190" s="276"/>
      <c r="B1190" s="276"/>
      <c r="C1190" s="276"/>
      <c r="D1190" s="276"/>
      <c r="E1190" s="276"/>
      <c r="F1190" s="276"/>
      <c r="G1190" s="239"/>
      <c r="H1190" s="239"/>
      <c r="I1190" s="239"/>
      <c r="J1190" s="239"/>
      <c r="K1190" s="239"/>
      <c r="L1190" s="239"/>
      <c r="M1190" s="239"/>
      <c r="N1190" s="239"/>
    </row>
    <row r="1191" spans="1:15">
      <c r="A1191" s="276"/>
      <c r="B1191" s="276"/>
      <c r="C1191" s="276"/>
      <c r="D1191" s="276"/>
      <c r="E1191" s="276"/>
      <c r="F1191" s="276"/>
      <c r="G1191" s="239"/>
      <c r="H1191" s="239"/>
      <c r="I1191" s="239"/>
      <c r="J1191" s="239"/>
      <c r="K1191" s="239"/>
      <c r="L1191" s="239"/>
      <c r="M1191" s="239"/>
      <c r="N1191" s="239"/>
    </row>
    <row r="1192" spans="1:15">
      <c r="A1192" s="276"/>
      <c r="B1192" s="276"/>
      <c r="C1192" s="276"/>
      <c r="D1192" s="276"/>
      <c r="E1192" s="276"/>
      <c r="F1192" s="276"/>
      <c r="G1192" s="239"/>
      <c r="H1192" s="239"/>
      <c r="I1192" s="239"/>
      <c r="J1192" s="239"/>
      <c r="K1192" s="239"/>
      <c r="L1192" s="239"/>
      <c r="M1192" s="239"/>
      <c r="N1192" s="239"/>
    </row>
    <row r="1193" spans="1:15">
      <c r="A1193" s="276"/>
      <c r="B1193" s="276"/>
      <c r="C1193" s="276"/>
      <c r="D1193" s="276"/>
      <c r="E1193" s="276"/>
      <c r="F1193" s="276"/>
      <c r="G1193" s="239"/>
      <c r="H1193" s="239"/>
      <c r="I1193" s="239"/>
      <c r="J1193" s="239"/>
      <c r="K1193" s="239"/>
      <c r="L1193" s="239"/>
      <c r="M1193" s="239"/>
      <c r="N1193" s="239"/>
    </row>
    <row r="1194" spans="1:15">
      <c r="A1194" s="276"/>
      <c r="B1194" s="276"/>
      <c r="C1194" s="276"/>
      <c r="D1194" s="276"/>
      <c r="E1194" s="276"/>
      <c r="F1194" s="276"/>
      <c r="G1194" s="239"/>
      <c r="H1194" s="239"/>
      <c r="I1194" s="239"/>
      <c r="J1194" s="239"/>
      <c r="K1194" s="239"/>
      <c r="L1194" s="239"/>
      <c r="M1194" s="239"/>
      <c r="N1194" s="239"/>
    </row>
    <row r="1195" spans="1:15">
      <c r="A1195" s="276"/>
      <c r="B1195" s="276"/>
      <c r="C1195" s="276"/>
      <c r="D1195" s="276"/>
      <c r="E1195" s="276"/>
      <c r="F1195" s="276"/>
      <c r="G1195" s="239"/>
      <c r="H1195" s="239"/>
      <c r="I1195" s="239"/>
      <c r="J1195" s="239"/>
      <c r="K1195" s="239"/>
      <c r="L1195" s="239"/>
      <c r="M1195" s="239"/>
      <c r="N1195" s="239"/>
    </row>
    <row r="1196" spans="1:15">
      <c r="A1196" s="276"/>
      <c r="B1196" s="276"/>
      <c r="C1196" s="276"/>
      <c r="D1196" s="276"/>
      <c r="E1196" s="276"/>
      <c r="F1196" s="276"/>
      <c r="G1196" s="239"/>
      <c r="H1196" s="239"/>
      <c r="I1196" s="239"/>
      <c r="J1196" s="239"/>
      <c r="K1196" s="239"/>
      <c r="L1196" s="239"/>
      <c r="M1196" s="239"/>
      <c r="N1196" s="239"/>
    </row>
    <row r="1197" spans="1:15">
      <c r="A1197" s="276"/>
      <c r="B1197" s="276"/>
      <c r="C1197" s="276"/>
      <c r="D1197" s="276"/>
      <c r="E1197" s="276"/>
      <c r="F1197" s="276"/>
      <c r="G1197" s="239"/>
      <c r="H1197" s="239"/>
      <c r="I1197" s="239"/>
      <c r="J1197" s="239"/>
      <c r="K1197" s="239"/>
      <c r="L1197" s="239"/>
      <c r="M1197" s="239"/>
      <c r="N1197" s="239"/>
    </row>
    <row r="1198" spans="1:15">
      <c r="A1198" s="276"/>
      <c r="B1198" s="276"/>
      <c r="C1198" s="276"/>
      <c r="D1198" s="276"/>
      <c r="E1198" s="276"/>
      <c r="F1198" s="276"/>
      <c r="G1198" s="239"/>
      <c r="H1198" s="239"/>
      <c r="I1198" s="239"/>
      <c r="J1198" s="239"/>
      <c r="K1198" s="239"/>
      <c r="L1198" s="239"/>
      <c r="M1198" s="239"/>
      <c r="N1198" s="239"/>
    </row>
    <row r="1199" spans="1:15">
      <c r="A1199" s="276"/>
      <c r="B1199" s="276"/>
      <c r="C1199" s="276"/>
      <c r="D1199" s="276"/>
      <c r="E1199" s="276"/>
      <c r="F1199" s="276"/>
      <c r="G1199" s="239"/>
      <c r="H1199" s="239"/>
      <c r="I1199" s="239"/>
      <c r="J1199" s="239"/>
      <c r="K1199" s="239"/>
      <c r="L1199" s="239"/>
      <c r="M1199" s="239"/>
      <c r="N1199" s="239"/>
    </row>
    <row r="1200" spans="1:15">
      <c r="A1200" s="276"/>
      <c r="B1200" s="276"/>
      <c r="C1200" s="276"/>
      <c r="D1200" s="276"/>
      <c r="E1200" s="276"/>
      <c r="F1200" s="276"/>
      <c r="G1200" s="239"/>
      <c r="H1200" s="239"/>
      <c r="I1200" s="239"/>
      <c r="J1200" s="239"/>
      <c r="K1200" s="239"/>
      <c r="L1200" s="239"/>
      <c r="M1200" s="239"/>
      <c r="N1200" s="239"/>
    </row>
    <row r="1201" spans="1:14">
      <c r="A1201" s="276"/>
      <c r="B1201" s="276"/>
      <c r="C1201" s="276"/>
      <c r="D1201" s="276"/>
      <c r="E1201" s="276"/>
      <c r="F1201" s="276"/>
      <c r="G1201" s="239"/>
      <c r="H1201" s="239"/>
      <c r="I1201" s="239"/>
      <c r="J1201" s="239"/>
      <c r="K1201" s="239"/>
      <c r="L1201" s="239"/>
      <c r="M1201" s="239"/>
      <c r="N1201" s="239"/>
    </row>
    <row r="1202" spans="1:14">
      <c r="A1202" s="276"/>
      <c r="B1202" s="276"/>
      <c r="C1202" s="276"/>
      <c r="D1202" s="276"/>
      <c r="E1202" s="276"/>
      <c r="F1202" s="276"/>
      <c r="G1202" s="239"/>
      <c r="H1202" s="239"/>
      <c r="I1202" s="239"/>
      <c r="J1202" s="239"/>
      <c r="K1202" s="239"/>
      <c r="L1202" s="239"/>
      <c r="M1202" s="239"/>
      <c r="N1202" s="239"/>
    </row>
    <row r="1203" spans="1:14">
      <c r="A1203" s="276"/>
      <c r="B1203" s="276"/>
      <c r="C1203" s="276"/>
      <c r="D1203" s="276"/>
      <c r="E1203" s="276"/>
      <c r="F1203" s="276"/>
      <c r="G1203" s="239"/>
      <c r="H1203" s="239"/>
      <c r="I1203" s="239"/>
      <c r="J1203" s="239"/>
      <c r="K1203" s="239"/>
      <c r="L1203" s="239"/>
      <c r="M1203" s="239"/>
      <c r="N1203" s="239"/>
    </row>
    <row r="1204" spans="1:14">
      <c r="A1204" s="276"/>
      <c r="B1204" s="276"/>
      <c r="C1204" s="276"/>
      <c r="D1204" s="276"/>
      <c r="E1204" s="276"/>
      <c r="F1204" s="276"/>
      <c r="G1204" s="239"/>
      <c r="H1204" s="239"/>
      <c r="I1204" s="239"/>
      <c r="J1204" s="239"/>
      <c r="K1204" s="239"/>
      <c r="L1204" s="239"/>
      <c r="M1204" s="239"/>
      <c r="N1204" s="239"/>
    </row>
    <row r="1205" spans="1:14">
      <c r="A1205" s="276"/>
      <c r="B1205" s="276"/>
      <c r="C1205" s="276"/>
      <c r="D1205" s="276"/>
      <c r="E1205" s="276"/>
      <c r="F1205" s="276"/>
      <c r="G1205" s="239"/>
      <c r="H1205" s="239"/>
      <c r="I1205" s="239"/>
      <c r="J1205" s="239"/>
      <c r="K1205" s="239"/>
      <c r="L1205" s="239"/>
      <c r="M1205" s="239"/>
      <c r="N1205" s="239"/>
    </row>
    <row r="1206" spans="1:14">
      <c r="A1206" s="276"/>
      <c r="B1206" s="276"/>
      <c r="C1206" s="276"/>
      <c r="D1206" s="276"/>
      <c r="E1206" s="276"/>
      <c r="F1206" s="276"/>
      <c r="G1206" s="239"/>
      <c r="H1206" s="239"/>
      <c r="I1206" s="239"/>
      <c r="J1206" s="239"/>
      <c r="K1206" s="239"/>
      <c r="L1206" s="239"/>
      <c r="M1206" s="239"/>
      <c r="N1206" s="239"/>
    </row>
    <row r="1207" spans="1:14">
      <c r="A1207" s="276"/>
      <c r="B1207" s="276"/>
      <c r="C1207" s="276"/>
      <c r="D1207" s="276"/>
      <c r="E1207" s="276"/>
      <c r="F1207" s="276"/>
      <c r="G1207" s="239"/>
      <c r="H1207" s="239"/>
      <c r="I1207" s="239"/>
      <c r="J1207" s="239"/>
      <c r="K1207" s="239"/>
      <c r="L1207" s="239"/>
      <c r="M1207" s="239"/>
      <c r="N1207" s="239"/>
    </row>
    <row r="1208" spans="1:14">
      <c r="A1208" s="276"/>
      <c r="B1208" s="276"/>
      <c r="C1208" s="276"/>
      <c r="D1208" s="276"/>
      <c r="E1208" s="276"/>
      <c r="F1208" s="276"/>
      <c r="G1208" s="239"/>
      <c r="H1208" s="239"/>
      <c r="I1208" s="239"/>
      <c r="J1208" s="239"/>
      <c r="K1208" s="239"/>
      <c r="L1208" s="239"/>
      <c r="M1208" s="239"/>
      <c r="N1208" s="239"/>
    </row>
    <row r="1209" spans="1:14">
      <c r="A1209" s="276"/>
      <c r="B1209" s="276"/>
      <c r="C1209" s="276"/>
      <c r="D1209" s="276"/>
      <c r="E1209" s="276"/>
      <c r="F1209" s="276"/>
      <c r="G1209" s="239"/>
      <c r="H1209" s="239"/>
      <c r="I1209" s="239"/>
      <c r="J1209" s="239"/>
      <c r="K1209" s="239"/>
      <c r="L1209" s="239"/>
      <c r="M1209" s="239"/>
      <c r="N1209" s="239"/>
    </row>
    <row r="1210" spans="1:14">
      <c r="A1210" s="276"/>
      <c r="B1210" s="276"/>
      <c r="C1210" s="276"/>
      <c r="D1210" s="276"/>
      <c r="E1210" s="276"/>
      <c r="F1210" s="276"/>
      <c r="G1210" s="239"/>
      <c r="H1210" s="239"/>
      <c r="I1210" s="239"/>
      <c r="J1210" s="239"/>
      <c r="K1210" s="239"/>
      <c r="L1210" s="239"/>
      <c r="M1210" s="239"/>
      <c r="N1210" s="239"/>
    </row>
    <row r="1211" spans="1:14">
      <c r="A1211" s="276"/>
      <c r="B1211" s="276"/>
      <c r="C1211" s="276"/>
      <c r="D1211" s="276"/>
      <c r="E1211" s="276"/>
      <c r="F1211" s="276"/>
      <c r="G1211" s="239"/>
      <c r="H1211" s="239"/>
      <c r="I1211" s="1321"/>
      <c r="J1211" s="1321"/>
      <c r="K1211" s="1321"/>
      <c r="L1211" s="1321"/>
      <c r="M1211" s="1321"/>
      <c r="N1211" s="1321"/>
    </row>
    <row r="1212" spans="1:14">
      <c r="A1212" s="276"/>
      <c r="B1212" s="276"/>
      <c r="C1212" s="276"/>
      <c r="D1212" s="276"/>
      <c r="E1212" s="276"/>
      <c r="F1212" s="276"/>
      <c r="G1212" s="239"/>
      <c r="H1212" s="239"/>
      <c r="I1212" s="1321"/>
      <c r="J1212" s="1321"/>
      <c r="K1212" s="1321"/>
      <c r="L1212" s="1321"/>
      <c r="M1212" s="1321"/>
      <c r="N1212" s="1321"/>
    </row>
    <row r="1213" spans="1:14">
      <c r="A1213" s="276"/>
      <c r="B1213" s="276"/>
      <c r="C1213" s="276"/>
      <c r="D1213" s="276"/>
      <c r="E1213" s="276"/>
      <c r="F1213" s="276"/>
      <c r="G1213" s="239"/>
      <c r="H1213" s="239"/>
      <c r="I1213" s="1321"/>
      <c r="J1213" s="1321"/>
      <c r="K1213" s="1321"/>
      <c r="L1213" s="1321"/>
      <c r="M1213" s="1321"/>
      <c r="N1213" s="1321"/>
    </row>
    <row r="1214" spans="1:14">
      <c r="A1214" s="276"/>
      <c r="B1214" s="276"/>
      <c r="C1214" s="276"/>
      <c r="D1214" s="276"/>
      <c r="E1214" s="276"/>
      <c r="F1214" s="276"/>
      <c r="G1214" s="239"/>
      <c r="H1214" s="239"/>
      <c r="I1214" s="1321"/>
      <c r="J1214" s="1321"/>
      <c r="K1214" s="1321"/>
      <c r="L1214" s="1321"/>
      <c r="M1214" s="1321"/>
      <c r="N1214" s="1321"/>
    </row>
    <row r="1215" spans="1:14">
      <c r="A1215" s="276"/>
      <c r="B1215" s="276"/>
      <c r="C1215" s="276"/>
      <c r="D1215" s="276"/>
      <c r="E1215" s="276"/>
      <c r="F1215" s="276"/>
      <c r="G1215" s="239"/>
      <c r="H1215" s="239"/>
      <c r="I1215" s="1321"/>
      <c r="J1215" s="1321"/>
      <c r="K1215" s="1321"/>
      <c r="L1215" s="1321"/>
      <c r="M1215" s="1321"/>
      <c r="N1215" s="1321"/>
    </row>
    <row r="1216" spans="1:14">
      <c r="A1216" s="276"/>
      <c r="B1216" s="276"/>
      <c r="C1216" s="276"/>
      <c r="D1216" s="276"/>
      <c r="E1216" s="276"/>
      <c r="F1216" s="276"/>
      <c r="G1216" s="239"/>
      <c r="H1216" s="239"/>
      <c r="I1216" s="1321"/>
      <c r="J1216" s="1321"/>
      <c r="K1216" s="1321"/>
      <c r="L1216" s="1321"/>
      <c r="M1216" s="1321"/>
      <c r="N1216" s="1321"/>
    </row>
    <row r="1217" spans="1:14">
      <c r="A1217" s="276"/>
      <c r="B1217" s="276"/>
      <c r="C1217" s="276"/>
      <c r="D1217" s="276"/>
      <c r="E1217" s="276"/>
      <c r="F1217" s="276"/>
      <c r="G1217" s="239"/>
      <c r="H1217" s="239"/>
      <c r="I1217" s="1321"/>
      <c r="J1217" s="1321"/>
      <c r="K1217" s="1321"/>
      <c r="L1217" s="1321"/>
      <c r="M1217" s="1321"/>
      <c r="N1217" s="1321"/>
    </row>
    <row r="1218" spans="1:14">
      <c r="A1218" s="276"/>
      <c r="B1218" s="276"/>
      <c r="C1218" s="276"/>
      <c r="D1218" s="276"/>
      <c r="E1218" s="276"/>
      <c r="F1218" s="276"/>
      <c r="G1218" s="239"/>
      <c r="H1218" s="239"/>
      <c r="I1218" s="1321"/>
      <c r="J1218" s="1321"/>
      <c r="K1218" s="1321"/>
      <c r="L1218" s="1321"/>
      <c r="M1218" s="1321"/>
      <c r="N1218" s="1321"/>
    </row>
    <row r="1219" spans="1:14">
      <c r="A1219" s="276"/>
      <c r="B1219" s="276"/>
      <c r="C1219" s="276"/>
      <c r="D1219" s="276"/>
      <c r="E1219" s="276"/>
      <c r="F1219" s="276"/>
      <c r="G1219" s="239"/>
      <c r="H1219" s="239"/>
      <c r="I1219" s="1321"/>
      <c r="J1219" s="1321"/>
      <c r="K1219" s="1321"/>
      <c r="L1219" s="1321"/>
      <c r="M1219" s="1321"/>
      <c r="N1219" s="1321"/>
    </row>
    <row r="1220" spans="1:14">
      <c r="A1220" s="276"/>
      <c r="B1220" s="276"/>
      <c r="C1220" s="276"/>
      <c r="D1220" s="276"/>
      <c r="E1220" s="276"/>
      <c r="F1220" s="276"/>
      <c r="G1220" s="239"/>
      <c r="H1220" s="239"/>
      <c r="I1220" s="1321"/>
      <c r="J1220" s="1321"/>
      <c r="K1220" s="1321"/>
      <c r="L1220" s="1321"/>
      <c r="M1220" s="1321"/>
      <c r="N1220" s="1321"/>
    </row>
    <row r="1221" spans="1:14">
      <c r="A1221" s="276"/>
      <c r="B1221" s="276"/>
      <c r="C1221" s="276"/>
      <c r="D1221" s="276"/>
      <c r="E1221" s="276"/>
      <c r="F1221" s="276"/>
      <c r="G1221" s="239"/>
      <c r="H1221" s="239"/>
      <c r="I1221" s="1321"/>
      <c r="J1221" s="1321"/>
      <c r="K1221" s="1321"/>
      <c r="L1221" s="1321"/>
      <c r="M1221" s="1321"/>
      <c r="N1221" s="1321"/>
    </row>
    <row r="1222" spans="1:14">
      <c r="A1222" s="276"/>
      <c r="B1222" s="276"/>
      <c r="C1222" s="276"/>
      <c r="D1222" s="276"/>
      <c r="E1222" s="276"/>
      <c r="F1222" s="276"/>
      <c r="G1222" s="239"/>
      <c r="H1222" s="239"/>
    </row>
    <row r="1223" spans="1:14">
      <c r="A1223" s="276"/>
      <c r="B1223" s="276"/>
      <c r="C1223" s="276"/>
      <c r="D1223" s="276"/>
      <c r="E1223" s="276"/>
      <c r="F1223" s="276"/>
      <c r="G1223" s="239"/>
      <c r="H1223" s="239"/>
    </row>
    <row r="1224" spans="1:14">
      <c r="A1224" s="239"/>
      <c r="B1224" s="239"/>
      <c r="C1224" s="239"/>
      <c r="D1224" s="239"/>
      <c r="E1224" s="239"/>
      <c r="F1224" s="276"/>
      <c r="G1224" s="239"/>
      <c r="H1224" s="239"/>
    </row>
    <row r="1225" spans="1:14">
      <c r="A1225" s="239"/>
      <c r="B1225" s="239"/>
      <c r="C1225" s="239"/>
      <c r="D1225" s="239"/>
      <c r="E1225" s="239"/>
      <c r="F1225" s="239"/>
      <c r="G1225" s="239"/>
      <c r="H1225" s="239"/>
    </row>
    <row r="1226" spans="1:14" ht="15">
      <c r="A1226" s="1358"/>
      <c r="B1226" s="1358"/>
      <c r="C1226" s="1358"/>
      <c r="D1226" s="1358"/>
      <c r="E1226" s="1358"/>
      <c r="F1226" s="1358"/>
      <c r="G1226" s="239"/>
      <c r="H1226" s="239"/>
    </row>
    <row r="1227" spans="1:14" ht="15">
      <c r="A1227" s="276"/>
      <c r="B1227" s="1321"/>
      <c r="C1227" s="1321"/>
      <c r="D1227" s="1321"/>
      <c r="E1227" s="1321"/>
      <c r="F1227" s="1357"/>
      <c r="G1227" s="1321"/>
      <c r="H1227" s="1321"/>
    </row>
    <row r="1228" spans="1:14" ht="15">
      <c r="A1228" s="276"/>
      <c r="B1228" s="1321"/>
      <c r="C1228" s="1321"/>
      <c r="D1228" s="1321"/>
      <c r="E1228" s="1321"/>
      <c r="F1228" s="1357"/>
      <c r="G1228" s="1321"/>
      <c r="H1228" s="1321"/>
    </row>
    <row r="1229" spans="1:14" ht="15">
      <c r="A1229" s="276"/>
      <c r="B1229" s="1321"/>
      <c r="C1229" s="1321"/>
      <c r="D1229" s="1321"/>
      <c r="E1229" s="1321"/>
      <c r="F1229" s="1357"/>
      <c r="G1229" s="1321"/>
      <c r="H1229" s="1321"/>
    </row>
    <row r="1230" spans="1:14" ht="15">
      <c r="A1230" s="276"/>
      <c r="B1230" s="1321"/>
      <c r="C1230" s="1321"/>
      <c r="D1230" s="1321"/>
      <c r="E1230" s="1321"/>
      <c r="F1230" s="1357"/>
      <c r="G1230" s="1321"/>
      <c r="H1230" s="1321"/>
    </row>
    <row r="1231" spans="1:14" ht="15">
      <c r="A1231" s="276"/>
      <c r="B1231" s="1321"/>
      <c r="C1231" s="1321"/>
      <c r="D1231" s="1321"/>
      <c r="E1231" s="1321"/>
      <c r="F1231" s="1357"/>
      <c r="G1231" s="1321"/>
      <c r="H1231" s="1321"/>
    </row>
    <row r="1232" spans="1:14" ht="15">
      <c r="A1232" s="276"/>
      <c r="B1232" s="1321"/>
      <c r="C1232" s="1321"/>
      <c r="D1232" s="1321"/>
      <c r="E1232" s="1321"/>
      <c r="F1232" s="1357"/>
      <c r="G1232" s="1321"/>
      <c r="H1232" s="1321"/>
    </row>
    <row r="1233" spans="1:8" ht="15">
      <c r="A1233" s="276"/>
      <c r="B1233" s="1321"/>
      <c r="C1233" s="1321"/>
      <c r="D1233" s="1321"/>
      <c r="E1233" s="1321"/>
      <c r="F1233" s="1357"/>
      <c r="G1233" s="1321"/>
      <c r="H1233" s="1321"/>
    </row>
    <row r="1234" spans="1:8" ht="15">
      <c r="A1234" s="276"/>
      <c r="B1234" s="1321"/>
      <c r="C1234" s="1321"/>
      <c r="D1234" s="1321"/>
      <c r="E1234" s="1321"/>
      <c r="F1234" s="1357"/>
      <c r="G1234" s="1321"/>
      <c r="H1234" s="1321"/>
    </row>
    <row r="1235" spans="1:8" ht="15">
      <c r="A1235" s="276"/>
      <c r="B1235" s="1321"/>
      <c r="C1235" s="1321"/>
      <c r="D1235" s="1321"/>
      <c r="E1235" s="1321"/>
      <c r="F1235" s="1357"/>
      <c r="G1235" s="1321"/>
      <c r="H1235" s="1321"/>
    </row>
    <row r="1236" spans="1:8" ht="15">
      <c r="A1236" s="276"/>
      <c r="B1236" s="1321"/>
      <c r="C1236" s="1321"/>
      <c r="D1236" s="1321"/>
      <c r="E1236" s="1321"/>
      <c r="F1236" s="1357"/>
      <c r="G1236" s="1321"/>
      <c r="H1236" s="1321"/>
    </row>
    <row r="1237" spans="1:8" ht="15">
      <c r="A1237" s="276"/>
      <c r="B1237" s="1321"/>
      <c r="C1237" s="1321"/>
      <c r="D1237" s="1321"/>
      <c r="E1237" s="1321"/>
      <c r="F1237" s="1357"/>
      <c r="G1237" s="1321"/>
      <c r="H1237" s="1321"/>
    </row>
    <row r="1238" spans="1:8" ht="15">
      <c r="A1238" s="276"/>
      <c r="B1238" s="1321"/>
      <c r="C1238" s="1321"/>
      <c r="D1238" s="1321"/>
      <c r="E1238" s="1321"/>
      <c r="F1238" s="1357"/>
      <c r="G1238" s="239"/>
      <c r="H1238" s="239"/>
    </row>
    <row r="1239" spans="1:8" ht="15">
      <c r="A1239" s="276"/>
      <c r="B1239" s="1321"/>
      <c r="C1239" s="1321"/>
      <c r="D1239" s="1321"/>
      <c r="E1239" s="1321"/>
      <c r="F1239" s="1357"/>
      <c r="G1239" s="239"/>
      <c r="H1239" s="239"/>
    </row>
    <row r="1240" spans="1:8" ht="15">
      <c r="A1240" s="276"/>
      <c r="B1240" s="1321"/>
      <c r="C1240" s="1321"/>
      <c r="D1240" s="1321"/>
      <c r="E1240" s="1321"/>
      <c r="F1240" s="1357"/>
      <c r="G1240" s="239"/>
      <c r="H1240" s="239"/>
    </row>
    <row r="1241" spans="1:8" ht="15">
      <c r="A1241" s="276"/>
      <c r="B1241" s="1321"/>
      <c r="C1241" s="1321"/>
      <c r="D1241" s="1321"/>
      <c r="E1241" s="1321"/>
      <c r="F1241" s="1357"/>
      <c r="G1241" s="239"/>
      <c r="H1241" s="239"/>
    </row>
    <row r="1242" spans="1:8" ht="15">
      <c r="A1242" s="276"/>
      <c r="B1242" s="1321"/>
      <c r="C1242" s="1321"/>
      <c r="D1242" s="1321"/>
      <c r="E1242" s="1321"/>
      <c r="F1242" s="1357"/>
      <c r="G1242" s="239"/>
      <c r="H1242" s="239"/>
    </row>
    <row r="1243" spans="1:8" ht="15">
      <c r="A1243" s="276"/>
      <c r="B1243" s="1321"/>
      <c r="C1243" s="1321"/>
      <c r="D1243" s="1321"/>
      <c r="E1243" s="1321"/>
      <c r="F1243" s="1357"/>
      <c r="G1243" s="239"/>
      <c r="H1243" s="239"/>
    </row>
    <row r="1244" spans="1:8" ht="15">
      <c r="A1244" s="276"/>
      <c r="B1244" s="1321"/>
      <c r="C1244" s="1321"/>
      <c r="D1244" s="1321"/>
      <c r="E1244" s="1321"/>
      <c r="F1244" s="1357"/>
      <c r="G1244" s="239"/>
      <c r="H1244" s="239"/>
    </row>
    <row r="1245" spans="1:8" ht="15">
      <c r="A1245" s="276"/>
      <c r="B1245" s="1321"/>
      <c r="C1245" s="1321"/>
      <c r="D1245" s="1321"/>
      <c r="E1245" s="1321"/>
      <c r="F1245" s="1357"/>
      <c r="G1245" s="239"/>
      <c r="H1245" s="239"/>
    </row>
    <row r="1246" spans="1:8" ht="15">
      <c r="A1246" s="276"/>
      <c r="B1246" s="1321"/>
      <c r="C1246" s="1321"/>
      <c r="D1246" s="1321"/>
      <c r="E1246" s="1321"/>
      <c r="F1246" s="1357"/>
      <c r="G1246" s="239"/>
      <c r="H1246" s="239"/>
    </row>
    <row r="1247" spans="1:8" ht="15">
      <c r="A1247" s="276"/>
      <c r="B1247" s="1321"/>
      <c r="C1247" s="1321"/>
      <c r="D1247" s="1321"/>
      <c r="E1247" s="1321"/>
      <c r="F1247" s="1357"/>
      <c r="G1247" s="239"/>
      <c r="H1247" s="239"/>
    </row>
    <row r="1248" spans="1:8" ht="15">
      <c r="A1248" s="276"/>
      <c r="B1248" s="1321"/>
      <c r="C1248" s="1321"/>
      <c r="D1248" s="1321"/>
      <c r="E1248" s="1321"/>
      <c r="F1248" s="1357"/>
      <c r="G1248" s="239"/>
      <c r="H1248" s="239"/>
    </row>
    <row r="1249" spans="1:8" ht="15">
      <c r="A1249" s="276"/>
      <c r="B1249" s="1321"/>
      <c r="C1249" s="1321"/>
      <c r="D1249" s="1321"/>
      <c r="E1249" s="1321"/>
      <c r="F1249" s="1357"/>
      <c r="G1249" s="239"/>
      <c r="H1249" s="239"/>
    </row>
    <row r="1250" spans="1:8" ht="15">
      <c r="A1250" s="276"/>
      <c r="B1250" s="1321"/>
      <c r="C1250" s="1321"/>
      <c r="D1250" s="1321"/>
      <c r="E1250" s="1321"/>
      <c r="F1250" s="1357"/>
      <c r="G1250" s="239"/>
      <c r="H1250" s="239"/>
    </row>
    <row r="1251" spans="1:8" ht="15">
      <c r="A1251" s="276"/>
      <c r="B1251" s="1321"/>
      <c r="C1251" s="1321"/>
      <c r="D1251" s="1321"/>
      <c r="E1251" s="1321"/>
      <c r="F1251" s="1357"/>
      <c r="G1251" s="239"/>
      <c r="H1251" s="239"/>
    </row>
    <row r="1252" spans="1:8" ht="15">
      <c r="A1252" s="276"/>
      <c r="B1252" s="1321"/>
      <c r="C1252" s="1321"/>
      <c r="D1252" s="1321"/>
      <c r="E1252" s="1321"/>
      <c r="F1252" s="1357"/>
      <c r="G1252" s="239"/>
      <c r="H1252" s="239"/>
    </row>
    <row r="1253" spans="1:8" ht="15">
      <c r="A1253" s="276"/>
      <c r="B1253" s="1321"/>
      <c r="C1253" s="1321"/>
      <c r="D1253" s="1321"/>
      <c r="E1253" s="1321"/>
      <c r="F1253" s="1357"/>
      <c r="G1253" s="239"/>
      <c r="H1253" s="239"/>
    </row>
    <row r="1254" spans="1:8" ht="15">
      <c r="A1254" s="276"/>
      <c r="B1254" s="1321"/>
      <c r="C1254" s="1321"/>
      <c r="D1254" s="1321"/>
      <c r="E1254" s="1321"/>
      <c r="F1254" s="1357"/>
      <c r="G1254" s="239"/>
      <c r="H1254" s="239"/>
    </row>
    <row r="1255" spans="1:8" ht="15">
      <c r="A1255" s="276"/>
      <c r="B1255" s="1321"/>
      <c r="C1255" s="1321"/>
      <c r="D1255" s="1321"/>
      <c r="E1255" s="1321"/>
      <c r="F1255" s="1357"/>
      <c r="G1255" s="239"/>
      <c r="H1255" s="239"/>
    </row>
    <row r="1256" spans="1:8" ht="15">
      <c r="A1256" s="276"/>
      <c r="B1256" s="1321"/>
      <c r="C1256" s="1321"/>
      <c r="D1256" s="1321"/>
      <c r="E1256" s="1321"/>
      <c r="F1256" s="1357"/>
      <c r="G1256" s="239"/>
      <c r="H1256" s="239"/>
    </row>
    <row r="1257" spans="1:8" ht="15">
      <c r="A1257" s="276"/>
      <c r="B1257" s="1321"/>
      <c r="C1257" s="1321"/>
      <c r="D1257" s="1321"/>
      <c r="E1257" s="1321"/>
      <c r="F1257" s="1357"/>
      <c r="G1257" s="239"/>
      <c r="H1257" s="239"/>
    </row>
    <row r="1258" spans="1:8" ht="15">
      <c r="A1258" s="276"/>
      <c r="B1258" s="1321"/>
      <c r="C1258" s="1321"/>
      <c r="D1258" s="1321"/>
      <c r="E1258" s="1321"/>
      <c r="F1258" s="1357"/>
      <c r="G1258" s="239"/>
      <c r="H1258" s="239"/>
    </row>
    <row r="1259" spans="1:8" ht="15">
      <c r="A1259" s="276"/>
      <c r="B1259" s="1321"/>
      <c r="C1259" s="1321"/>
      <c r="D1259" s="1321"/>
      <c r="E1259" s="1321"/>
      <c r="F1259" s="1357"/>
      <c r="G1259" s="239"/>
      <c r="H1259" s="239"/>
    </row>
    <row r="1260" spans="1:8" ht="15">
      <c r="A1260" s="276"/>
      <c r="B1260" s="1321"/>
      <c r="C1260" s="1321"/>
      <c r="D1260" s="1321"/>
      <c r="E1260" s="1321"/>
      <c r="F1260" s="1357"/>
      <c r="G1260" s="239"/>
      <c r="H1260" s="239"/>
    </row>
    <row r="1261" spans="1:8" ht="15">
      <c r="A1261" s="276"/>
      <c r="B1261" s="1321"/>
      <c r="C1261" s="1321"/>
      <c r="D1261" s="1321"/>
      <c r="E1261" s="1321"/>
      <c r="F1261" s="1357"/>
      <c r="G1261" s="239"/>
      <c r="H1261" s="239"/>
    </row>
    <row r="1262" spans="1:8" ht="15">
      <c r="A1262" s="276"/>
      <c r="B1262" s="1321"/>
      <c r="C1262" s="1321"/>
      <c r="D1262" s="1321"/>
      <c r="E1262" s="1321"/>
      <c r="F1262" s="1357"/>
      <c r="G1262" s="239"/>
      <c r="H1262" s="239"/>
    </row>
    <row r="1263" spans="1:8" ht="15">
      <c r="A1263" s="276"/>
      <c r="B1263" s="1321"/>
      <c r="C1263" s="1321"/>
      <c r="D1263" s="1321"/>
      <c r="E1263" s="1321"/>
      <c r="F1263" s="1357"/>
      <c r="G1263" s="239"/>
      <c r="H1263" s="239"/>
    </row>
    <row r="1264" spans="1:8" ht="15">
      <c r="A1264" s="276"/>
      <c r="B1264" s="1321"/>
      <c r="C1264" s="1321"/>
      <c r="D1264" s="1321"/>
      <c r="E1264" s="1321"/>
      <c r="F1264" s="1357"/>
      <c r="G1264" s="239"/>
      <c r="H1264" s="239"/>
    </row>
    <row r="1265" spans="1:8" ht="15">
      <c r="A1265" s="276"/>
      <c r="B1265" s="1321"/>
      <c r="C1265" s="1321"/>
      <c r="D1265" s="1321"/>
      <c r="E1265" s="1321"/>
      <c r="F1265" s="1357"/>
      <c r="G1265" s="239"/>
      <c r="H1265" s="239"/>
    </row>
    <row r="1266" spans="1:8" ht="15">
      <c r="A1266" s="276"/>
      <c r="B1266" s="1321"/>
      <c r="C1266" s="1321"/>
      <c r="D1266" s="1321"/>
      <c r="E1266" s="1321"/>
      <c r="F1266" s="1357"/>
      <c r="G1266" s="239"/>
      <c r="H1266" s="239"/>
    </row>
    <row r="1267" spans="1:8">
      <c r="A1267" s="239"/>
      <c r="B1267" s="239"/>
      <c r="C1267" s="239"/>
      <c r="D1267" s="239"/>
      <c r="E1267" s="239"/>
      <c r="F1267" s="239"/>
      <c r="G1267" s="239"/>
      <c r="H1267" s="239"/>
    </row>
    <row r="1271" spans="1:8" ht="15">
      <c r="A1271" s="1327" t="s">
        <v>1347</v>
      </c>
      <c r="B1271" s="1328"/>
      <c r="C1271" s="1326"/>
      <c r="D1271" s="1326"/>
      <c r="E1271" s="1326"/>
      <c r="F1271" s="1326"/>
      <c r="G1271" s="1326"/>
    </row>
    <row r="1272" spans="1:8">
      <c r="A1272"/>
      <c r="C1272" s="1322"/>
      <c r="D1272" s="1322"/>
      <c r="E1272" s="1322"/>
      <c r="F1272" s="1322"/>
      <c r="G1272" s="1322"/>
    </row>
    <row r="1273" spans="1:8" ht="15">
      <c r="A1273" s="1150" t="s">
        <v>1348</v>
      </c>
      <c r="B1273" s="1149" t="s">
        <v>1111</v>
      </c>
      <c r="C1273" s="1149" t="s">
        <v>1356</v>
      </c>
      <c r="D1273" s="1149" t="s">
        <v>1357</v>
      </c>
      <c r="E1273" s="1149" t="s">
        <v>1358</v>
      </c>
      <c r="F1273" s="1149" t="s">
        <v>1410</v>
      </c>
      <c r="G1273" s="1321"/>
    </row>
    <row r="1274" spans="1:8">
      <c r="A1274" s="1152" t="str">
        <f t="shared" ref="A1274:B1279" si="103">A124</f>
        <v>CP Centralita ADSL 2-3-4 puestos</v>
      </c>
      <c r="B1274" s="1323">
        <f t="shared" si="103"/>
        <v>50</v>
      </c>
      <c r="C1274" s="1405">
        <v>2</v>
      </c>
      <c r="D1274" s="1405">
        <v>4</v>
      </c>
      <c r="E1274" s="1405">
        <v>3</v>
      </c>
      <c r="F1274" s="1406">
        <v>4</v>
      </c>
      <c r="G1274" s="1321"/>
    </row>
    <row r="1275" spans="1:8">
      <c r="A1275" s="1152" t="str">
        <f t="shared" si="103"/>
        <v>CP Centralita FTTH 2-3-4 puestos</v>
      </c>
      <c r="B1275" s="1323">
        <f t="shared" si="103"/>
        <v>60</v>
      </c>
      <c r="C1275" s="1405">
        <v>2</v>
      </c>
      <c r="D1275" s="1405">
        <v>4</v>
      </c>
      <c r="E1275" s="1405">
        <v>3</v>
      </c>
      <c r="F1275" s="1406">
        <v>4</v>
      </c>
      <c r="G1275" s="1321"/>
    </row>
    <row r="1276" spans="1:8">
      <c r="A1276" s="1152" t="str">
        <f t="shared" si="103"/>
        <v>CP Centralita ADSL 5-6-7 puestos</v>
      </c>
      <c r="B1276" s="1323">
        <f t="shared" si="103"/>
        <v>65</v>
      </c>
      <c r="C1276" s="1405">
        <v>5</v>
      </c>
      <c r="D1276" s="1405">
        <v>7</v>
      </c>
      <c r="E1276" s="1405">
        <v>6</v>
      </c>
      <c r="F1276" s="1406">
        <v>7</v>
      </c>
      <c r="G1276" s="1321"/>
    </row>
    <row r="1277" spans="1:8">
      <c r="A1277" s="1152" t="str">
        <f t="shared" si="103"/>
        <v>CP Centralita FTTH 5-6-7 puestos</v>
      </c>
      <c r="B1277" s="1323">
        <f t="shared" si="103"/>
        <v>70</v>
      </c>
      <c r="C1277" s="1405">
        <v>5</v>
      </c>
      <c r="D1277" s="1405">
        <v>7</v>
      </c>
      <c r="E1277" s="1405">
        <v>6</v>
      </c>
      <c r="F1277" s="1406">
        <v>7</v>
      </c>
      <c r="G1277" s="1321"/>
    </row>
    <row r="1278" spans="1:8">
      <c r="A1278" s="1152" t="str">
        <f t="shared" si="103"/>
        <v>CP Centralita ADSL 8 ó más puestos</v>
      </c>
      <c r="B1278" s="1323">
        <f t="shared" si="103"/>
        <v>80</v>
      </c>
      <c r="C1278" s="1405">
        <v>8</v>
      </c>
      <c r="D1278" s="1405">
        <v>25</v>
      </c>
      <c r="E1278" s="1405">
        <v>10</v>
      </c>
      <c r="F1278" s="1406">
        <v>8</v>
      </c>
      <c r="G1278" s="1321"/>
    </row>
    <row r="1279" spans="1:8">
      <c r="A1279" s="1152" t="str">
        <f t="shared" si="103"/>
        <v>CP Centralita FTTH 8 más puestos</v>
      </c>
      <c r="B1279" s="1323">
        <f t="shared" si="103"/>
        <v>85</v>
      </c>
      <c r="C1279" s="1405">
        <v>8</v>
      </c>
      <c r="D1279" s="1405">
        <v>45</v>
      </c>
      <c r="E1279" s="1405">
        <v>10</v>
      </c>
      <c r="F1279" s="1406">
        <v>15</v>
      </c>
      <c r="G1279" s="1272"/>
    </row>
    <row r="1280" spans="1:8" ht="15">
      <c r="A1280" s="1150" t="s">
        <v>1110</v>
      </c>
      <c r="B1280" s="1149" t="s">
        <v>1111</v>
      </c>
      <c r="C1280" s="1322"/>
      <c r="D1280" s="1321"/>
      <c r="E1280" s="1322"/>
      <c r="F1280" s="1321"/>
      <c r="G1280" s="1321"/>
    </row>
    <row r="1281" spans="1:7">
      <c r="A1281" s="1152" t="s">
        <v>1335</v>
      </c>
      <c r="B1281" s="1356">
        <v>9</v>
      </c>
      <c r="C1281" s="1322"/>
      <c r="D1281" s="1321"/>
      <c r="E1281" s="1322"/>
      <c r="F1281" s="1321"/>
      <c r="G1281" s="1321"/>
    </row>
    <row r="1282" spans="1:7">
      <c r="A1282" s="1152" t="s">
        <v>1336</v>
      </c>
      <c r="B1282" s="1356">
        <v>17</v>
      </c>
      <c r="C1282" s="1322"/>
      <c r="D1282" s="1321"/>
      <c r="E1282" s="1322"/>
      <c r="F1282" s="1321"/>
      <c r="G1282" s="1321"/>
    </row>
    <row r="1283" spans="1:7">
      <c r="A1283" s="1152" t="s">
        <v>1337</v>
      </c>
      <c r="B1283" s="1356">
        <v>26</v>
      </c>
      <c r="C1283" s="1322"/>
      <c r="D1283" s="1321"/>
      <c r="E1283" s="1321"/>
      <c r="F1283" s="1321"/>
      <c r="G1283" s="1321"/>
    </row>
    <row r="1284" spans="1:7">
      <c r="A1284" s="1152" t="s">
        <v>1338</v>
      </c>
      <c r="B1284" s="1356">
        <v>2</v>
      </c>
      <c r="C1284" s="1322"/>
      <c r="D1284" s="1321"/>
      <c r="E1284" s="1321"/>
      <c r="F1284" s="1321"/>
      <c r="G1284" s="1321"/>
    </row>
    <row r="1285" spans="1:7">
      <c r="A1285" s="1152" t="s">
        <v>1339</v>
      </c>
      <c r="B1285" s="1356">
        <v>4</v>
      </c>
      <c r="C1285"/>
      <c r="D1285"/>
      <c r="E1285"/>
      <c r="F1285"/>
      <c r="G1285"/>
    </row>
    <row r="1286" spans="1:7">
      <c r="A1286" s="1152" t="s">
        <v>1340</v>
      </c>
      <c r="B1286" s="1356">
        <v>9</v>
      </c>
    </row>
    <row r="1287" spans="1:7">
      <c r="A1287" s="1152" t="s">
        <v>1341</v>
      </c>
      <c r="B1287" s="1356">
        <v>2.5</v>
      </c>
    </row>
    <row r="1288" spans="1:7">
      <c r="A1288" s="1152" t="s">
        <v>1342</v>
      </c>
      <c r="B1288" s="1356">
        <v>25</v>
      </c>
    </row>
    <row r="1289" spans="1:7">
      <c r="A1289" s="1152" t="s">
        <v>1343</v>
      </c>
      <c r="B1289" s="1356">
        <v>5</v>
      </c>
    </row>
    <row r="1290" spans="1:7">
      <c r="A1290" s="1152" t="s">
        <v>1344</v>
      </c>
      <c r="B1290" s="1356">
        <v>19.989999999999998</v>
      </c>
    </row>
    <row r="1291" spans="1:7">
      <c r="A1291" s="1518" t="s">
        <v>1434</v>
      </c>
      <c r="B1291" s="1323">
        <v>17</v>
      </c>
    </row>
    <row r="1292" spans="1:7">
      <c r="A1292" s="1152" t="s">
        <v>1329</v>
      </c>
      <c r="B1292" s="1323">
        <v>19</v>
      </c>
    </row>
    <row r="1293" spans="1:7">
      <c r="A1293" s="1518" t="s">
        <v>1435</v>
      </c>
      <c r="B1293" s="1323">
        <v>9</v>
      </c>
    </row>
    <row r="1294" spans="1:7">
      <c r="A1294" s="1152" t="s">
        <v>1331</v>
      </c>
      <c r="B1294" s="1323">
        <v>10</v>
      </c>
    </row>
    <row r="1295" spans="1:7">
      <c r="A1295" s="1152" t="s">
        <v>1332</v>
      </c>
      <c r="B1295" s="1323">
        <v>12</v>
      </c>
      <c r="D1295" s="226">
        <f>COUNTIF(A1302:A1316,A1276)</f>
        <v>0</v>
      </c>
    </row>
    <row r="1296" spans="1:7">
      <c r="A1296" s="1152" t="s">
        <v>1333</v>
      </c>
      <c r="B1296" s="1323">
        <v>5</v>
      </c>
    </row>
    <row r="1297" spans="1:22">
      <c r="A1297" s="1152" t="s">
        <v>1334</v>
      </c>
      <c r="B1297" s="1323">
        <v>2.95</v>
      </c>
    </row>
    <row r="1298" spans="1:22">
      <c r="A1298" s="1152" t="s">
        <v>1327</v>
      </c>
      <c r="B1298" s="1323">
        <v>6</v>
      </c>
    </row>
    <row r="1300" spans="1:22" ht="15">
      <c r="A1300" s="1999" t="s">
        <v>1112</v>
      </c>
      <c r="B1300" s="1999"/>
      <c r="C1300" s="1999"/>
      <c r="D1300" s="1999"/>
      <c r="E1300" s="1999"/>
      <c r="F1300" s="1999"/>
      <c r="G1300" s="1999"/>
      <c r="H1300" s="1999"/>
      <c r="I1300" s="1999"/>
      <c r="J1300" s="1999"/>
      <c r="K1300" s="1999"/>
      <c r="L1300" s="1999"/>
      <c r="M1300" s="1999"/>
      <c r="N1300" s="1999"/>
      <c r="O1300" s="1999"/>
      <c r="P1300" s="1999"/>
      <c r="Q1300" s="1999"/>
      <c r="R1300" s="1999"/>
      <c r="S1300" s="1999"/>
      <c r="T1300" s="2230" t="s">
        <v>1359</v>
      </c>
      <c r="U1300" s="2230"/>
      <c r="V1300" s="2230"/>
    </row>
    <row r="1301" spans="1:22" ht="15">
      <c r="A1301" s="1359" t="s">
        <v>1348</v>
      </c>
      <c r="B1301" s="1149" t="s">
        <v>1335</v>
      </c>
      <c r="C1301" s="1149" t="s">
        <v>1336</v>
      </c>
      <c r="D1301" s="1149" t="s">
        <v>1337</v>
      </c>
      <c r="E1301" s="1149" t="s">
        <v>1338</v>
      </c>
      <c r="F1301" s="1149" t="s">
        <v>1339</v>
      </c>
      <c r="G1301" s="1149" t="s">
        <v>1340</v>
      </c>
      <c r="H1301" s="1149" t="s">
        <v>1341</v>
      </c>
      <c r="I1301" s="1149" t="s">
        <v>1342</v>
      </c>
      <c r="J1301" s="1149" t="s">
        <v>1343</v>
      </c>
      <c r="K1301" s="1149" t="s">
        <v>1344</v>
      </c>
      <c r="L1301" s="1149" t="s">
        <v>1328</v>
      </c>
      <c r="M1301" s="1149" t="s">
        <v>1329</v>
      </c>
      <c r="N1301" s="1149" t="s">
        <v>1330</v>
      </c>
      <c r="O1301" s="1149" t="s">
        <v>1331</v>
      </c>
      <c r="P1301" s="1149" t="s">
        <v>1332</v>
      </c>
      <c r="Q1301" s="1149" t="s">
        <v>1333</v>
      </c>
      <c r="R1301" s="1149" t="s">
        <v>1334</v>
      </c>
      <c r="S1301" s="1149" t="s">
        <v>1327</v>
      </c>
      <c r="T1301" s="1149" t="s">
        <v>1356</v>
      </c>
      <c r="U1301" s="1361" t="s">
        <v>1357</v>
      </c>
      <c r="V1301" s="1361" t="s">
        <v>1358</v>
      </c>
    </row>
    <row r="1302" spans="1:22">
      <c r="A1302" s="1324">
        <f>Perfiles_usuario!D177</f>
        <v>0</v>
      </c>
      <c r="B1302" s="1324">
        <f>Perfiles_usuario!F177</f>
        <v>0</v>
      </c>
      <c r="C1302" s="1324">
        <f>Perfiles_usuario!H177</f>
        <v>0</v>
      </c>
      <c r="D1302" s="1324">
        <f>Perfiles_usuario!J177</f>
        <v>0</v>
      </c>
      <c r="E1302" s="1324">
        <f>Perfiles_usuario!L177</f>
        <v>0</v>
      </c>
      <c r="F1302" s="1324">
        <f>Perfiles_usuario!N177</f>
        <v>0</v>
      </c>
      <c r="G1302" s="1324">
        <f>Perfiles_usuario!P177</f>
        <v>0</v>
      </c>
      <c r="H1302" s="1324">
        <f>Perfiles_usuario!R177</f>
        <v>0</v>
      </c>
      <c r="I1302" s="1324">
        <f>Perfiles_usuario!T177</f>
        <v>0</v>
      </c>
      <c r="J1302" s="1324">
        <f>Perfiles_usuario!V177</f>
        <v>0</v>
      </c>
      <c r="K1302" s="1324">
        <f>Perfiles_usuario!X177</f>
        <v>0</v>
      </c>
      <c r="L1302" s="1324">
        <f>Perfiles_usuario!Z177</f>
        <v>0</v>
      </c>
      <c r="M1302" s="1324">
        <f>Perfiles_usuario!AB177</f>
        <v>0</v>
      </c>
      <c r="N1302" s="1324">
        <f>Perfiles_usuario!AD177</f>
        <v>0</v>
      </c>
      <c r="O1302" s="1324">
        <f>Perfiles_usuario!AF177</f>
        <v>0</v>
      </c>
      <c r="P1302" s="1324">
        <f>Perfiles_usuario!AH177</f>
        <v>0</v>
      </c>
      <c r="Q1302" s="1324">
        <f>Perfiles_usuario!AJ177</f>
        <v>0</v>
      </c>
      <c r="R1302" s="1324">
        <f>Perfiles_usuario!AL177</f>
        <v>0</v>
      </c>
      <c r="S1302" s="1324">
        <f>Perfiles_usuario!AN177</f>
        <v>0</v>
      </c>
      <c r="T1302" s="1324">
        <f t="shared" ref="T1302:T1316" si="104">IF(ISERROR(VLOOKUP(A1302,$A$1274:$E$1279,3,FALSE)),0,VLOOKUP(A1302,$A$1274:$E$1279,3,FALSE))</f>
        <v>0</v>
      </c>
      <c r="U1302" s="1324">
        <f t="shared" ref="U1302:U1316" si="105">IF(ISERROR(VLOOKUP(A1302,$A$1274:$E$1279,4,FALSE)),0,VLOOKUP(A1302,$A$1274:$E$1279,4,FALSE))</f>
        <v>0</v>
      </c>
      <c r="V1302" s="1324">
        <f t="shared" ref="V1302:V1316" si="106">IF(ISERROR(VLOOKUP(A1302,$A$1274:$E$1279,5,FALSE)),0,VLOOKUP(A1302,$A$1274:$E$1279,5,FALSE))</f>
        <v>0</v>
      </c>
    </row>
    <row r="1303" spans="1:22">
      <c r="A1303" s="1324">
        <f>Perfiles_usuario!D179</f>
        <v>0</v>
      </c>
      <c r="B1303" s="1324">
        <f>Perfiles_usuario!F179</f>
        <v>0</v>
      </c>
      <c r="C1303" s="1324">
        <f>Perfiles_usuario!H179</f>
        <v>0</v>
      </c>
      <c r="D1303" s="1324">
        <f>Perfiles_usuario!J179</f>
        <v>0</v>
      </c>
      <c r="E1303" s="1324">
        <f>Perfiles_usuario!L179</f>
        <v>0</v>
      </c>
      <c r="F1303" s="1324">
        <f>Perfiles_usuario!N179</f>
        <v>0</v>
      </c>
      <c r="G1303" s="1324">
        <f>Perfiles_usuario!P179</f>
        <v>0</v>
      </c>
      <c r="H1303" s="1324">
        <f>Perfiles_usuario!R179</f>
        <v>0</v>
      </c>
      <c r="I1303" s="1324">
        <f>Perfiles_usuario!T179</f>
        <v>0</v>
      </c>
      <c r="J1303" s="1324">
        <f>Perfiles_usuario!V179</f>
        <v>0</v>
      </c>
      <c r="K1303" s="1324">
        <f>Perfiles_usuario!X179</f>
        <v>0</v>
      </c>
      <c r="L1303" s="1324">
        <f>Perfiles_usuario!Z179</f>
        <v>0</v>
      </c>
      <c r="M1303" s="1324">
        <f>Perfiles_usuario!AB179</f>
        <v>0</v>
      </c>
      <c r="N1303" s="1324">
        <f>Perfiles_usuario!AD179</f>
        <v>0</v>
      </c>
      <c r="O1303" s="1324">
        <f>Perfiles_usuario!AF179</f>
        <v>0</v>
      </c>
      <c r="P1303" s="1324">
        <f>Perfiles_usuario!AH179</f>
        <v>0</v>
      </c>
      <c r="Q1303" s="1324">
        <f>Perfiles_usuario!AJ179</f>
        <v>0</v>
      </c>
      <c r="R1303" s="1324">
        <f>Perfiles_usuario!AL179</f>
        <v>0</v>
      </c>
      <c r="S1303" s="1324">
        <f>Perfiles_usuario!AN179</f>
        <v>0</v>
      </c>
      <c r="T1303" s="1324">
        <f t="shared" si="104"/>
        <v>0</v>
      </c>
      <c r="U1303" s="1324">
        <f t="shared" si="105"/>
        <v>0</v>
      </c>
      <c r="V1303" s="1324">
        <f t="shared" si="106"/>
        <v>0</v>
      </c>
    </row>
    <row r="1304" spans="1:22">
      <c r="A1304" s="1324">
        <f>Perfiles_usuario!D181</f>
        <v>0</v>
      </c>
      <c r="B1304" s="1324">
        <f>Perfiles_usuario!F181</f>
        <v>0</v>
      </c>
      <c r="C1304" s="1324">
        <f>Perfiles_usuario!H181</f>
        <v>0</v>
      </c>
      <c r="D1304" s="1324">
        <f>Perfiles_usuario!J181</f>
        <v>0</v>
      </c>
      <c r="E1304" s="1324">
        <f>Perfiles_usuario!L181</f>
        <v>0</v>
      </c>
      <c r="F1304" s="1324">
        <f>Perfiles_usuario!N181</f>
        <v>0</v>
      </c>
      <c r="G1304" s="1324">
        <f>Perfiles_usuario!P181</f>
        <v>0</v>
      </c>
      <c r="H1304" s="1324">
        <f>Perfiles_usuario!R181</f>
        <v>0</v>
      </c>
      <c r="I1304" s="1324">
        <f>Perfiles_usuario!T181</f>
        <v>0</v>
      </c>
      <c r="J1304" s="1324">
        <f>Perfiles_usuario!V181</f>
        <v>0</v>
      </c>
      <c r="K1304" s="1324">
        <f>Perfiles_usuario!X181</f>
        <v>0</v>
      </c>
      <c r="L1304" s="1324">
        <f>Perfiles_usuario!Z181</f>
        <v>0</v>
      </c>
      <c r="M1304" s="1324">
        <f>Perfiles_usuario!AB181</f>
        <v>0</v>
      </c>
      <c r="N1304" s="1324">
        <f>Perfiles_usuario!AD181</f>
        <v>0</v>
      </c>
      <c r="O1304" s="1324">
        <f>Perfiles_usuario!AF181</f>
        <v>0</v>
      </c>
      <c r="P1304" s="1324">
        <f>Perfiles_usuario!AH181</f>
        <v>0</v>
      </c>
      <c r="Q1304" s="1324">
        <f>Perfiles_usuario!AJ181</f>
        <v>0</v>
      </c>
      <c r="R1304" s="1324">
        <f>Perfiles_usuario!AL181</f>
        <v>0</v>
      </c>
      <c r="S1304" s="1324">
        <f>Perfiles_usuario!AN181</f>
        <v>0</v>
      </c>
      <c r="T1304" s="1324">
        <f t="shared" si="104"/>
        <v>0</v>
      </c>
      <c r="U1304" s="1324">
        <f t="shared" si="105"/>
        <v>0</v>
      </c>
      <c r="V1304" s="1324">
        <f t="shared" si="106"/>
        <v>0</v>
      </c>
    </row>
    <row r="1305" spans="1:22">
      <c r="A1305" s="1324">
        <f>Perfiles_usuario!D183</f>
        <v>0</v>
      </c>
      <c r="B1305" s="1324">
        <f>Perfiles_usuario!F183</f>
        <v>0</v>
      </c>
      <c r="C1305" s="1324">
        <f>Perfiles_usuario!H183</f>
        <v>0</v>
      </c>
      <c r="D1305" s="1324">
        <f>Perfiles_usuario!J183</f>
        <v>0</v>
      </c>
      <c r="E1305" s="1324">
        <f>Perfiles_usuario!L183</f>
        <v>0</v>
      </c>
      <c r="F1305" s="1324">
        <f>Perfiles_usuario!N183</f>
        <v>0</v>
      </c>
      <c r="G1305" s="1324">
        <f>Perfiles_usuario!P183</f>
        <v>0</v>
      </c>
      <c r="H1305" s="1324">
        <f>Perfiles_usuario!R183</f>
        <v>0</v>
      </c>
      <c r="I1305" s="1324">
        <f>Perfiles_usuario!T183</f>
        <v>0</v>
      </c>
      <c r="J1305" s="1324">
        <f>Perfiles_usuario!V183</f>
        <v>0</v>
      </c>
      <c r="K1305" s="1324">
        <f>Perfiles_usuario!X183</f>
        <v>0</v>
      </c>
      <c r="L1305" s="1324">
        <f>Perfiles_usuario!Z183</f>
        <v>0</v>
      </c>
      <c r="M1305" s="1324">
        <f>Perfiles_usuario!AB183</f>
        <v>0</v>
      </c>
      <c r="N1305" s="1324">
        <f>Perfiles_usuario!AD183</f>
        <v>0</v>
      </c>
      <c r="O1305" s="1324">
        <f>Perfiles_usuario!AF183</f>
        <v>0</v>
      </c>
      <c r="P1305" s="1324">
        <f>Perfiles_usuario!AH183</f>
        <v>0</v>
      </c>
      <c r="Q1305" s="1324">
        <f>Perfiles_usuario!AJ183</f>
        <v>0</v>
      </c>
      <c r="R1305" s="1324">
        <f>Perfiles_usuario!AL183</f>
        <v>0</v>
      </c>
      <c r="S1305" s="1324">
        <f>Perfiles_usuario!AN183</f>
        <v>0</v>
      </c>
      <c r="T1305" s="1324">
        <f t="shared" si="104"/>
        <v>0</v>
      </c>
      <c r="U1305" s="1324">
        <f t="shared" si="105"/>
        <v>0</v>
      </c>
      <c r="V1305" s="1324">
        <f t="shared" si="106"/>
        <v>0</v>
      </c>
    </row>
    <row r="1306" spans="1:22">
      <c r="A1306" s="1324">
        <f>Perfiles_usuario!D185</f>
        <v>0</v>
      </c>
      <c r="B1306" s="1324">
        <f>Perfiles_usuario!F185</f>
        <v>0</v>
      </c>
      <c r="C1306" s="1324">
        <f>Perfiles_usuario!H185</f>
        <v>0</v>
      </c>
      <c r="D1306" s="1324">
        <f>Perfiles_usuario!J185</f>
        <v>0</v>
      </c>
      <c r="E1306" s="1324">
        <f>Perfiles_usuario!L185</f>
        <v>0</v>
      </c>
      <c r="F1306" s="1324">
        <f>Perfiles_usuario!N185</f>
        <v>0</v>
      </c>
      <c r="G1306" s="1324">
        <f>Perfiles_usuario!P185</f>
        <v>0</v>
      </c>
      <c r="H1306" s="1324">
        <f>Perfiles_usuario!R185</f>
        <v>0</v>
      </c>
      <c r="I1306" s="1324">
        <f>Perfiles_usuario!T185</f>
        <v>0</v>
      </c>
      <c r="J1306" s="1324">
        <f>Perfiles_usuario!V185</f>
        <v>0</v>
      </c>
      <c r="K1306" s="1324">
        <f>Perfiles_usuario!X185</f>
        <v>0</v>
      </c>
      <c r="L1306" s="1324">
        <f>Perfiles_usuario!Z185</f>
        <v>0</v>
      </c>
      <c r="M1306" s="1324">
        <f>Perfiles_usuario!AB185</f>
        <v>0</v>
      </c>
      <c r="N1306" s="1324">
        <f>Perfiles_usuario!AD185</f>
        <v>0</v>
      </c>
      <c r="O1306" s="1324">
        <f>Perfiles_usuario!AF185</f>
        <v>0</v>
      </c>
      <c r="P1306" s="1324">
        <f>Perfiles_usuario!AH185</f>
        <v>0</v>
      </c>
      <c r="Q1306" s="1324">
        <f>Perfiles_usuario!AJ185</f>
        <v>0</v>
      </c>
      <c r="R1306" s="1324">
        <f>Perfiles_usuario!AL185</f>
        <v>0</v>
      </c>
      <c r="S1306" s="1324">
        <f>Perfiles_usuario!AN185</f>
        <v>0</v>
      </c>
      <c r="T1306" s="1324">
        <f t="shared" si="104"/>
        <v>0</v>
      </c>
      <c r="U1306" s="1324">
        <f t="shared" si="105"/>
        <v>0</v>
      </c>
      <c r="V1306" s="1324">
        <f t="shared" si="106"/>
        <v>0</v>
      </c>
    </row>
    <row r="1307" spans="1:22">
      <c r="A1307" s="1324">
        <f>Perfiles_usuario!D187</f>
        <v>0</v>
      </c>
      <c r="B1307" s="1324">
        <f>Perfiles_usuario!F187</f>
        <v>0</v>
      </c>
      <c r="C1307" s="1324">
        <f>Perfiles_usuario!H187</f>
        <v>0</v>
      </c>
      <c r="D1307" s="1324">
        <f>Perfiles_usuario!J187</f>
        <v>0</v>
      </c>
      <c r="E1307" s="1324">
        <f>Perfiles_usuario!L187</f>
        <v>0</v>
      </c>
      <c r="F1307" s="1324">
        <f>Perfiles_usuario!N187</f>
        <v>0</v>
      </c>
      <c r="G1307" s="1324">
        <f>Perfiles_usuario!P187</f>
        <v>0</v>
      </c>
      <c r="H1307" s="1324">
        <f>Perfiles_usuario!R187</f>
        <v>0</v>
      </c>
      <c r="I1307" s="1324">
        <f>Perfiles_usuario!T187</f>
        <v>0</v>
      </c>
      <c r="J1307" s="1324">
        <f>Perfiles_usuario!V187</f>
        <v>0</v>
      </c>
      <c r="K1307" s="1324">
        <f>Perfiles_usuario!X187</f>
        <v>0</v>
      </c>
      <c r="L1307" s="1324">
        <f>Perfiles_usuario!Z187</f>
        <v>0</v>
      </c>
      <c r="M1307" s="1324">
        <f>Perfiles_usuario!AB187</f>
        <v>0</v>
      </c>
      <c r="N1307" s="1324">
        <f>Perfiles_usuario!AD187</f>
        <v>0</v>
      </c>
      <c r="O1307" s="1324">
        <f>Perfiles_usuario!AF187</f>
        <v>0</v>
      </c>
      <c r="P1307" s="1324">
        <f>Perfiles_usuario!AH187</f>
        <v>0</v>
      </c>
      <c r="Q1307" s="1324">
        <f>Perfiles_usuario!AJ187</f>
        <v>0</v>
      </c>
      <c r="R1307" s="1324">
        <f>Perfiles_usuario!AL187</f>
        <v>0</v>
      </c>
      <c r="S1307" s="1324">
        <f>Perfiles_usuario!AN187</f>
        <v>0</v>
      </c>
      <c r="T1307" s="1324">
        <f t="shared" si="104"/>
        <v>0</v>
      </c>
      <c r="U1307" s="1324">
        <f t="shared" si="105"/>
        <v>0</v>
      </c>
      <c r="V1307" s="1324">
        <f t="shared" si="106"/>
        <v>0</v>
      </c>
    </row>
    <row r="1308" spans="1:22">
      <c r="A1308" s="1324">
        <f>Perfiles_usuario!D189</f>
        <v>0</v>
      </c>
      <c r="B1308" s="1324">
        <f>Perfiles_usuario!F189</f>
        <v>0</v>
      </c>
      <c r="C1308" s="1324">
        <f>Perfiles_usuario!H189</f>
        <v>0</v>
      </c>
      <c r="D1308" s="1324">
        <f>Perfiles_usuario!J189</f>
        <v>0</v>
      </c>
      <c r="E1308" s="1324">
        <f>Perfiles_usuario!L189</f>
        <v>0</v>
      </c>
      <c r="F1308" s="1324">
        <f>Perfiles_usuario!N189</f>
        <v>0</v>
      </c>
      <c r="G1308" s="1324">
        <f>Perfiles_usuario!P189</f>
        <v>0</v>
      </c>
      <c r="H1308" s="1324">
        <f>Perfiles_usuario!R189</f>
        <v>0</v>
      </c>
      <c r="I1308" s="1324">
        <f>Perfiles_usuario!T189</f>
        <v>0</v>
      </c>
      <c r="J1308" s="1324">
        <f>Perfiles_usuario!V189</f>
        <v>0</v>
      </c>
      <c r="K1308" s="1324">
        <f>Perfiles_usuario!X189</f>
        <v>0</v>
      </c>
      <c r="L1308" s="1324">
        <f>Perfiles_usuario!Z189</f>
        <v>0</v>
      </c>
      <c r="M1308" s="1324">
        <f>Perfiles_usuario!AB189</f>
        <v>0</v>
      </c>
      <c r="N1308" s="1324">
        <f>Perfiles_usuario!AD189</f>
        <v>0</v>
      </c>
      <c r="O1308" s="1324">
        <f>Perfiles_usuario!AF189</f>
        <v>0</v>
      </c>
      <c r="P1308" s="1324">
        <f>Perfiles_usuario!AH189</f>
        <v>0</v>
      </c>
      <c r="Q1308" s="1324">
        <f>Perfiles_usuario!AJ189</f>
        <v>0</v>
      </c>
      <c r="R1308" s="1324">
        <f>Perfiles_usuario!AL189</f>
        <v>0</v>
      </c>
      <c r="S1308" s="1324">
        <f>Perfiles_usuario!AN189</f>
        <v>0</v>
      </c>
      <c r="T1308" s="1324">
        <f t="shared" si="104"/>
        <v>0</v>
      </c>
      <c r="U1308" s="1324">
        <f t="shared" si="105"/>
        <v>0</v>
      </c>
      <c r="V1308" s="1324">
        <f t="shared" si="106"/>
        <v>0</v>
      </c>
    </row>
    <row r="1309" spans="1:22">
      <c r="A1309" s="1324">
        <f>Perfiles_usuario!D191</f>
        <v>0</v>
      </c>
      <c r="B1309" s="1324">
        <f>Perfiles_usuario!F191</f>
        <v>0</v>
      </c>
      <c r="C1309" s="1324">
        <f>Perfiles_usuario!H191</f>
        <v>0</v>
      </c>
      <c r="D1309" s="1324">
        <f>Perfiles_usuario!J191</f>
        <v>0</v>
      </c>
      <c r="E1309" s="1324">
        <f>Perfiles_usuario!L191</f>
        <v>0</v>
      </c>
      <c r="F1309" s="1324">
        <f>Perfiles_usuario!N191</f>
        <v>0</v>
      </c>
      <c r="G1309" s="1324">
        <f>Perfiles_usuario!P191</f>
        <v>0</v>
      </c>
      <c r="H1309" s="1324">
        <f>Perfiles_usuario!R191</f>
        <v>0</v>
      </c>
      <c r="I1309" s="1324">
        <f>Perfiles_usuario!T191</f>
        <v>0</v>
      </c>
      <c r="J1309" s="1324">
        <f>Perfiles_usuario!V191</f>
        <v>0</v>
      </c>
      <c r="K1309" s="1324">
        <f>Perfiles_usuario!X191</f>
        <v>0</v>
      </c>
      <c r="L1309" s="1324">
        <f>Perfiles_usuario!Z191</f>
        <v>0</v>
      </c>
      <c r="M1309" s="1324">
        <f>Perfiles_usuario!AB191</f>
        <v>0</v>
      </c>
      <c r="N1309" s="1324">
        <f>Perfiles_usuario!AD191</f>
        <v>0</v>
      </c>
      <c r="O1309" s="1324">
        <f>Perfiles_usuario!AF191</f>
        <v>0</v>
      </c>
      <c r="P1309" s="1324">
        <f>Perfiles_usuario!AH191</f>
        <v>0</v>
      </c>
      <c r="Q1309" s="1324">
        <f>Perfiles_usuario!AJ191</f>
        <v>0</v>
      </c>
      <c r="R1309" s="1324">
        <f>Perfiles_usuario!AL191</f>
        <v>0</v>
      </c>
      <c r="S1309" s="1324">
        <f>Perfiles_usuario!AN191</f>
        <v>0</v>
      </c>
      <c r="T1309" s="1324">
        <f t="shared" si="104"/>
        <v>0</v>
      </c>
      <c r="U1309" s="1324">
        <f t="shared" si="105"/>
        <v>0</v>
      </c>
      <c r="V1309" s="1324">
        <f t="shared" si="106"/>
        <v>0</v>
      </c>
    </row>
    <row r="1310" spans="1:22">
      <c r="A1310" s="1324">
        <f>Perfiles_usuario!D193</f>
        <v>0</v>
      </c>
      <c r="B1310" s="1324">
        <f>Perfiles_usuario!F193</f>
        <v>0</v>
      </c>
      <c r="C1310" s="1324">
        <f>Perfiles_usuario!H193</f>
        <v>0</v>
      </c>
      <c r="D1310" s="1324">
        <f>Perfiles_usuario!J193</f>
        <v>0</v>
      </c>
      <c r="E1310" s="1324">
        <f>Perfiles_usuario!L193</f>
        <v>0</v>
      </c>
      <c r="F1310" s="1324">
        <f>Perfiles_usuario!N193</f>
        <v>0</v>
      </c>
      <c r="G1310" s="1324">
        <f>Perfiles_usuario!P193</f>
        <v>0</v>
      </c>
      <c r="H1310" s="1324">
        <f>Perfiles_usuario!R193</f>
        <v>0</v>
      </c>
      <c r="I1310" s="1324">
        <f>Perfiles_usuario!T193</f>
        <v>0</v>
      </c>
      <c r="J1310" s="1324">
        <f>Perfiles_usuario!V193</f>
        <v>0</v>
      </c>
      <c r="K1310" s="1324">
        <f>Perfiles_usuario!X193</f>
        <v>0</v>
      </c>
      <c r="L1310" s="1324">
        <f>Perfiles_usuario!Z193</f>
        <v>0</v>
      </c>
      <c r="M1310" s="1324">
        <f>Perfiles_usuario!AB193</f>
        <v>0</v>
      </c>
      <c r="N1310" s="1324">
        <f>Perfiles_usuario!AD193</f>
        <v>0</v>
      </c>
      <c r="O1310" s="1324">
        <f>Perfiles_usuario!AF193</f>
        <v>0</v>
      </c>
      <c r="P1310" s="1324">
        <f>Perfiles_usuario!AH193</f>
        <v>0</v>
      </c>
      <c r="Q1310" s="1324">
        <f>Perfiles_usuario!AJ193</f>
        <v>0</v>
      </c>
      <c r="R1310" s="1324">
        <f>Perfiles_usuario!AL193</f>
        <v>0</v>
      </c>
      <c r="S1310" s="1324">
        <f>Perfiles_usuario!AN193</f>
        <v>0</v>
      </c>
      <c r="T1310" s="1324">
        <f t="shared" si="104"/>
        <v>0</v>
      </c>
      <c r="U1310" s="1324">
        <f t="shared" si="105"/>
        <v>0</v>
      </c>
      <c r="V1310" s="1324">
        <f t="shared" si="106"/>
        <v>0</v>
      </c>
    </row>
    <row r="1311" spans="1:22">
      <c r="A1311" s="1324">
        <f>Perfiles_usuario!D195</f>
        <v>0</v>
      </c>
      <c r="B1311" s="1324">
        <f>Perfiles_usuario!F195</f>
        <v>0</v>
      </c>
      <c r="C1311" s="1324">
        <f>Perfiles_usuario!H195</f>
        <v>0</v>
      </c>
      <c r="D1311" s="1324">
        <f>Perfiles_usuario!J195</f>
        <v>0</v>
      </c>
      <c r="E1311" s="1324">
        <f>Perfiles_usuario!L195</f>
        <v>0</v>
      </c>
      <c r="F1311" s="1324">
        <f>Perfiles_usuario!N195</f>
        <v>0</v>
      </c>
      <c r="G1311" s="1324">
        <f>Perfiles_usuario!P195</f>
        <v>0</v>
      </c>
      <c r="H1311" s="1324">
        <f>Perfiles_usuario!R195</f>
        <v>0</v>
      </c>
      <c r="I1311" s="1324">
        <f>Perfiles_usuario!T195</f>
        <v>0</v>
      </c>
      <c r="J1311" s="1324">
        <f>Perfiles_usuario!V195</f>
        <v>0</v>
      </c>
      <c r="K1311" s="1324">
        <f>Perfiles_usuario!X195</f>
        <v>0</v>
      </c>
      <c r="L1311" s="1324">
        <f>Perfiles_usuario!Z195</f>
        <v>0</v>
      </c>
      <c r="M1311" s="1324">
        <f>Perfiles_usuario!AB195</f>
        <v>0</v>
      </c>
      <c r="N1311" s="1324">
        <f>Perfiles_usuario!AD195</f>
        <v>0</v>
      </c>
      <c r="O1311" s="1324">
        <f>Perfiles_usuario!AF195</f>
        <v>0</v>
      </c>
      <c r="P1311" s="1324">
        <f>Perfiles_usuario!AH195</f>
        <v>0</v>
      </c>
      <c r="Q1311" s="1324">
        <f>Perfiles_usuario!AJ195</f>
        <v>0</v>
      </c>
      <c r="R1311" s="1324">
        <f>Perfiles_usuario!AL195</f>
        <v>0</v>
      </c>
      <c r="S1311" s="1324">
        <f>Perfiles_usuario!AN195</f>
        <v>0</v>
      </c>
      <c r="T1311" s="1324">
        <f t="shared" si="104"/>
        <v>0</v>
      </c>
      <c r="U1311" s="1324">
        <f t="shared" si="105"/>
        <v>0</v>
      </c>
      <c r="V1311" s="1324">
        <f t="shared" si="106"/>
        <v>0</v>
      </c>
    </row>
    <row r="1312" spans="1:22">
      <c r="A1312" s="1324">
        <f>Perfiles_usuario!D197</f>
        <v>0</v>
      </c>
      <c r="B1312" s="1324">
        <f>Perfiles_usuario!F197</f>
        <v>0</v>
      </c>
      <c r="C1312" s="1324">
        <f>Perfiles_usuario!H197</f>
        <v>0</v>
      </c>
      <c r="D1312" s="1324">
        <f>Perfiles_usuario!J197</f>
        <v>0</v>
      </c>
      <c r="E1312" s="1324">
        <f>Perfiles_usuario!L197</f>
        <v>0</v>
      </c>
      <c r="F1312" s="1324">
        <f>Perfiles_usuario!N197</f>
        <v>0</v>
      </c>
      <c r="G1312" s="1324">
        <f>Perfiles_usuario!P197</f>
        <v>0</v>
      </c>
      <c r="H1312" s="1324">
        <f>Perfiles_usuario!R197</f>
        <v>0</v>
      </c>
      <c r="I1312" s="1324">
        <f>Perfiles_usuario!T197</f>
        <v>0</v>
      </c>
      <c r="J1312" s="1324">
        <f>Perfiles_usuario!V197</f>
        <v>0</v>
      </c>
      <c r="K1312" s="1324">
        <f>Perfiles_usuario!X197</f>
        <v>0</v>
      </c>
      <c r="L1312" s="1324">
        <f>Perfiles_usuario!Z197</f>
        <v>0</v>
      </c>
      <c r="M1312" s="1324">
        <f>Perfiles_usuario!AB197</f>
        <v>0</v>
      </c>
      <c r="N1312" s="1324">
        <f>Perfiles_usuario!AD197</f>
        <v>0</v>
      </c>
      <c r="O1312" s="1324">
        <f>Perfiles_usuario!AF197</f>
        <v>0</v>
      </c>
      <c r="P1312" s="1324">
        <f>Perfiles_usuario!AH197</f>
        <v>0</v>
      </c>
      <c r="Q1312" s="1324">
        <f>Perfiles_usuario!AJ197</f>
        <v>0</v>
      </c>
      <c r="R1312" s="1324">
        <f>Perfiles_usuario!AL197</f>
        <v>0</v>
      </c>
      <c r="S1312" s="1324">
        <f>Perfiles_usuario!AN197</f>
        <v>0</v>
      </c>
      <c r="T1312" s="1324">
        <f t="shared" si="104"/>
        <v>0</v>
      </c>
      <c r="U1312" s="1324">
        <f t="shared" si="105"/>
        <v>0</v>
      </c>
      <c r="V1312" s="1324">
        <f t="shared" si="106"/>
        <v>0</v>
      </c>
    </row>
    <row r="1313" spans="1:22">
      <c r="A1313" s="1324">
        <f>Perfiles_usuario!D199</f>
        <v>0</v>
      </c>
      <c r="B1313" s="1324">
        <f>Perfiles_usuario!F199</f>
        <v>0</v>
      </c>
      <c r="C1313" s="1324">
        <f>Perfiles_usuario!H199</f>
        <v>0</v>
      </c>
      <c r="D1313" s="1324">
        <f>Perfiles_usuario!J199</f>
        <v>0</v>
      </c>
      <c r="E1313" s="1324">
        <f>Perfiles_usuario!L199</f>
        <v>0</v>
      </c>
      <c r="F1313" s="1324">
        <f>Perfiles_usuario!N199</f>
        <v>0</v>
      </c>
      <c r="G1313" s="1324">
        <f>Perfiles_usuario!P199</f>
        <v>0</v>
      </c>
      <c r="H1313" s="1324">
        <f>Perfiles_usuario!R199</f>
        <v>0</v>
      </c>
      <c r="I1313" s="1324">
        <f>Perfiles_usuario!T199</f>
        <v>0</v>
      </c>
      <c r="J1313" s="1324">
        <f>Perfiles_usuario!V199</f>
        <v>0</v>
      </c>
      <c r="K1313" s="1324">
        <f>Perfiles_usuario!X199</f>
        <v>0</v>
      </c>
      <c r="L1313" s="1324">
        <f>Perfiles_usuario!Z199</f>
        <v>0</v>
      </c>
      <c r="M1313" s="1324">
        <f>Perfiles_usuario!AB199</f>
        <v>0</v>
      </c>
      <c r="N1313" s="1324">
        <f>Perfiles_usuario!AD199</f>
        <v>0</v>
      </c>
      <c r="O1313" s="1324">
        <f>Perfiles_usuario!AF199</f>
        <v>0</v>
      </c>
      <c r="P1313" s="1324">
        <f>Perfiles_usuario!AH199</f>
        <v>0</v>
      </c>
      <c r="Q1313" s="1324">
        <f>Perfiles_usuario!AJ199</f>
        <v>0</v>
      </c>
      <c r="R1313" s="1324">
        <f>Perfiles_usuario!AL199</f>
        <v>0</v>
      </c>
      <c r="S1313" s="1324">
        <f>Perfiles_usuario!AN199</f>
        <v>0</v>
      </c>
      <c r="T1313" s="1324">
        <f t="shared" si="104"/>
        <v>0</v>
      </c>
      <c r="U1313" s="1324">
        <f t="shared" si="105"/>
        <v>0</v>
      </c>
      <c r="V1313" s="1324">
        <f t="shared" si="106"/>
        <v>0</v>
      </c>
    </row>
    <row r="1314" spans="1:22">
      <c r="A1314" s="1324">
        <f>Perfiles_usuario!D201</f>
        <v>0</v>
      </c>
      <c r="B1314" s="1324">
        <f>Perfiles_usuario!F201</f>
        <v>0</v>
      </c>
      <c r="C1314" s="1324">
        <f>Perfiles_usuario!H201</f>
        <v>0</v>
      </c>
      <c r="D1314" s="1324">
        <f>Perfiles_usuario!J201</f>
        <v>0</v>
      </c>
      <c r="E1314" s="1324">
        <f>Perfiles_usuario!L201</f>
        <v>0</v>
      </c>
      <c r="F1314" s="1324">
        <f>Perfiles_usuario!N201</f>
        <v>0</v>
      </c>
      <c r="G1314" s="1324">
        <f>Perfiles_usuario!P201</f>
        <v>0</v>
      </c>
      <c r="H1314" s="1324">
        <f>Perfiles_usuario!R201</f>
        <v>0</v>
      </c>
      <c r="I1314" s="1324">
        <f>Perfiles_usuario!T201</f>
        <v>0</v>
      </c>
      <c r="J1314" s="1324">
        <f>Perfiles_usuario!V201</f>
        <v>0</v>
      </c>
      <c r="K1314" s="1324">
        <f>Perfiles_usuario!X201</f>
        <v>0</v>
      </c>
      <c r="L1314" s="1324">
        <f>Perfiles_usuario!Z201</f>
        <v>0</v>
      </c>
      <c r="M1314" s="1324">
        <f>Perfiles_usuario!AB201</f>
        <v>0</v>
      </c>
      <c r="N1314" s="1324">
        <f>Perfiles_usuario!AD201</f>
        <v>0</v>
      </c>
      <c r="O1314" s="1324">
        <f>Perfiles_usuario!AF201</f>
        <v>0</v>
      </c>
      <c r="P1314" s="1324">
        <f>Perfiles_usuario!AH201</f>
        <v>0</v>
      </c>
      <c r="Q1314" s="1324">
        <f>Perfiles_usuario!AJ201</f>
        <v>0</v>
      </c>
      <c r="R1314" s="1324">
        <f>Perfiles_usuario!AL201</f>
        <v>0</v>
      </c>
      <c r="S1314" s="1324">
        <f>Perfiles_usuario!AN201</f>
        <v>0</v>
      </c>
      <c r="T1314" s="1324">
        <f t="shared" si="104"/>
        <v>0</v>
      </c>
      <c r="U1314" s="1324">
        <f t="shared" si="105"/>
        <v>0</v>
      </c>
      <c r="V1314" s="1324">
        <f t="shared" si="106"/>
        <v>0</v>
      </c>
    </row>
    <row r="1315" spans="1:22">
      <c r="A1315" s="1324">
        <f>Perfiles_usuario!D203</f>
        <v>0</v>
      </c>
      <c r="B1315" s="1324">
        <f>Perfiles_usuario!F203</f>
        <v>0</v>
      </c>
      <c r="C1315" s="1324">
        <f>Perfiles_usuario!H203</f>
        <v>0</v>
      </c>
      <c r="D1315" s="1324">
        <f>Perfiles_usuario!J203</f>
        <v>0</v>
      </c>
      <c r="E1315" s="1324">
        <f>Perfiles_usuario!L203</f>
        <v>0</v>
      </c>
      <c r="F1315" s="1324">
        <f>Perfiles_usuario!N203</f>
        <v>0</v>
      </c>
      <c r="G1315" s="1324">
        <f>Perfiles_usuario!P203</f>
        <v>0</v>
      </c>
      <c r="H1315" s="1324">
        <f>Perfiles_usuario!R203</f>
        <v>0</v>
      </c>
      <c r="I1315" s="1324">
        <f>Perfiles_usuario!T203</f>
        <v>0</v>
      </c>
      <c r="J1315" s="1324">
        <f>Perfiles_usuario!V203</f>
        <v>0</v>
      </c>
      <c r="K1315" s="1324">
        <f>Perfiles_usuario!X203</f>
        <v>0</v>
      </c>
      <c r="L1315" s="1324">
        <f>Perfiles_usuario!Z203</f>
        <v>0</v>
      </c>
      <c r="M1315" s="1324">
        <f>Perfiles_usuario!AB203</f>
        <v>0</v>
      </c>
      <c r="N1315" s="1324">
        <f>Perfiles_usuario!AD203</f>
        <v>0</v>
      </c>
      <c r="O1315" s="1324">
        <f>Perfiles_usuario!AF203</f>
        <v>0</v>
      </c>
      <c r="P1315" s="1324">
        <f>Perfiles_usuario!AH203</f>
        <v>0</v>
      </c>
      <c r="Q1315" s="1324">
        <f>Perfiles_usuario!AJ203</f>
        <v>0</v>
      </c>
      <c r="R1315" s="1324">
        <f>Perfiles_usuario!AL203</f>
        <v>0</v>
      </c>
      <c r="S1315" s="1324">
        <f>Perfiles_usuario!AN203</f>
        <v>0</v>
      </c>
      <c r="T1315" s="1324">
        <f t="shared" si="104"/>
        <v>0</v>
      </c>
      <c r="U1315" s="1324">
        <f t="shared" si="105"/>
        <v>0</v>
      </c>
      <c r="V1315" s="1324">
        <f t="shared" si="106"/>
        <v>0</v>
      </c>
    </row>
    <row r="1316" spans="1:22">
      <c r="A1316" s="1324">
        <f>Perfiles_usuario!D205</f>
        <v>0</v>
      </c>
      <c r="B1316" s="1324">
        <f>Perfiles_usuario!F205</f>
        <v>0</v>
      </c>
      <c r="C1316" s="1324">
        <f>Perfiles_usuario!H205</f>
        <v>0</v>
      </c>
      <c r="D1316" s="1324">
        <f>Perfiles_usuario!J205</f>
        <v>0</v>
      </c>
      <c r="E1316" s="1324">
        <f>Perfiles_usuario!L205</f>
        <v>0</v>
      </c>
      <c r="F1316" s="1324">
        <f>Perfiles_usuario!N205</f>
        <v>0</v>
      </c>
      <c r="G1316" s="1324">
        <f>Perfiles_usuario!P205</f>
        <v>0</v>
      </c>
      <c r="H1316" s="1324">
        <f>Perfiles_usuario!R205</f>
        <v>0</v>
      </c>
      <c r="I1316" s="1324">
        <f>Perfiles_usuario!T205</f>
        <v>0</v>
      </c>
      <c r="J1316" s="1324">
        <f>Perfiles_usuario!V205</f>
        <v>0</v>
      </c>
      <c r="K1316" s="1324">
        <f>Perfiles_usuario!X205</f>
        <v>0</v>
      </c>
      <c r="L1316" s="1324">
        <f>Perfiles_usuario!Z205</f>
        <v>0</v>
      </c>
      <c r="M1316" s="1324">
        <f>Perfiles_usuario!AB205</f>
        <v>0</v>
      </c>
      <c r="N1316" s="1324">
        <f>Perfiles_usuario!AD205</f>
        <v>0</v>
      </c>
      <c r="O1316" s="1324">
        <f>Perfiles_usuario!AF205</f>
        <v>0</v>
      </c>
      <c r="P1316" s="1324">
        <f>Perfiles_usuario!AH205</f>
        <v>0</v>
      </c>
      <c r="Q1316" s="1324">
        <f>Perfiles_usuario!AJ205</f>
        <v>0</v>
      </c>
      <c r="R1316" s="1324">
        <f>Perfiles_usuario!AL205</f>
        <v>0</v>
      </c>
      <c r="S1316" s="1324">
        <f>Perfiles_usuario!AN205</f>
        <v>0</v>
      </c>
      <c r="T1316" s="1324">
        <f t="shared" si="104"/>
        <v>0</v>
      </c>
      <c r="U1316" s="1324">
        <f t="shared" si="105"/>
        <v>0</v>
      </c>
      <c r="V1316" s="1324">
        <f t="shared" si="106"/>
        <v>0</v>
      </c>
    </row>
    <row r="1318" spans="1:22" ht="15">
      <c r="A1318" s="1999" t="s">
        <v>1349</v>
      </c>
      <c r="B1318" s="1999"/>
      <c r="C1318" s="1999"/>
      <c r="D1318" s="1999"/>
      <c r="E1318" s="1999"/>
      <c r="F1318" s="1999"/>
      <c r="G1318" s="1999"/>
      <c r="H1318" s="1999"/>
      <c r="I1318" s="1999"/>
      <c r="J1318" s="1999"/>
      <c r="K1318" s="1999"/>
      <c r="L1318" s="1999"/>
      <c r="M1318" s="1999"/>
      <c r="N1318" s="1999"/>
      <c r="O1318" s="1999"/>
      <c r="P1318" s="1999"/>
      <c r="Q1318" s="1999"/>
      <c r="R1318" s="1999"/>
      <c r="S1318" s="1999"/>
    </row>
    <row r="1319" spans="1:22" ht="15">
      <c r="A1319" s="1359" t="s">
        <v>1348</v>
      </c>
      <c r="B1319" s="1149" t="s">
        <v>1335</v>
      </c>
      <c r="C1319" s="1149" t="s">
        <v>1336</v>
      </c>
      <c r="D1319" s="1149" t="s">
        <v>1337</v>
      </c>
      <c r="E1319" s="1149" t="s">
        <v>1338</v>
      </c>
      <c r="F1319" s="1149" t="s">
        <v>1339</v>
      </c>
      <c r="G1319" s="1149" t="s">
        <v>1340</v>
      </c>
      <c r="H1319" s="1149" t="s">
        <v>1341</v>
      </c>
      <c r="I1319" s="1149" t="s">
        <v>1342</v>
      </c>
      <c r="J1319" s="1149" t="s">
        <v>1343</v>
      </c>
      <c r="K1319" s="1149" t="s">
        <v>1344</v>
      </c>
      <c r="L1319" s="1149" t="s">
        <v>1328</v>
      </c>
      <c r="M1319" s="1149" t="s">
        <v>1329</v>
      </c>
      <c r="N1319" s="1149" t="s">
        <v>1330</v>
      </c>
      <c r="O1319" s="1149" t="s">
        <v>1331</v>
      </c>
      <c r="P1319" s="1149" t="s">
        <v>1332</v>
      </c>
      <c r="Q1319" s="1149" t="s">
        <v>1333</v>
      </c>
      <c r="R1319" s="1149" t="s">
        <v>1334</v>
      </c>
      <c r="S1319" s="1390" t="s">
        <v>1327</v>
      </c>
      <c r="T1319" s="1149" t="s">
        <v>252</v>
      </c>
      <c r="U1319" s="1149" t="s">
        <v>1382</v>
      </c>
      <c r="V1319" s="1402" t="s">
        <v>1410</v>
      </c>
    </row>
    <row r="1320" spans="1:22">
      <c r="A1320" s="1324">
        <f t="shared" ref="A1320:A1334" si="107">IF(ISERROR(VLOOKUP(A1302,$A$1274:$B$1279,2,FALSE)),0,VLOOKUP(A1302,$A$1274:$B$1279,2,FALSE))</f>
        <v>0</v>
      </c>
      <c r="B1320" s="1324">
        <f t="shared" ref="B1320:B1334" si="108">IF(B1302&gt;0,$B$1281*B1302,0)</f>
        <v>0</v>
      </c>
      <c r="C1320" s="1324">
        <f t="shared" ref="C1320:C1334" si="109">IF(C1302&gt;0,$B$1282*C1302,0)</f>
        <v>0</v>
      </c>
      <c r="D1320" s="1324">
        <f t="shared" ref="D1320:D1334" si="110">IF(D1302&gt;0,$B$1283*D1302,0)</f>
        <v>0</v>
      </c>
      <c r="E1320" s="1324">
        <f t="shared" ref="E1320:E1334" si="111">IF(E1302&gt;0,$B$1284*E1302,0)</f>
        <v>0</v>
      </c>
      <c r="F1320" s="1324">
        <f t="shared" ref="F1320:F1334" si="112">IF(F1302&gt;0,$B$1285*F1302,0)</f>
        <v>0</v>
      </c>
      <c r="G1320" s="1324">
        <f t="shared" ref="G1320:G1334" si="113">IF(G1302&gt;0,$B$1286*G1302,0)</f>
        <v>0</v>
      </c>
      <c r="H1320" s="1324">
        <f t="shared" ref="H1320:H1334" si="114">IF((IF(ISERROR(SEARCH("5",A1302)),0,1)+IF(ISERROR(SEARCH("8",A1302)),0,1))&gt;0,0,1)*IF(H1302&gt;0,$B$1287*H1302,0)</f>
        <v>0</v>
      </c>
      <c r="I1320" s="1324">
        <f t="shared" ref="I1320:I1334" si="115">IF(ISERROR(SEARCH("8",A1302)),1,0)*IF(I1302&gt;0,$B$1288*I1302,0)</f>
        <v>0</v>
      </c>
      <c r="J1320" s="1324">
        <f>IF(J1302&gt;0,$B$1289*J1302,0)</f>
        <v>0</v>
      </c>
      <c r="K1320" s="1324">
        <f>IF(K1302&gt;0,$B$1290*K1302,0)</f>
        <v>0</v>
      </c>
      <c r="L1320" s="1324">
        <f>IF(L1302&gt;0,$B$1291*L1302,0)</f>
        <v>0</v>
      </c>
      <c r="M1320" s="1324">
        <f>IF(M1302&gt;0,$B$1292*M1302,0)</f>
        <v>0</v>
      </c>
      <c r="N1320" s="1324">
        <f>IF(N1302&gt;0,$B$1293*N1302,0)</f>
        <v>0</v>
      </c>
      <c r="O1320" s="1324">
        <f>IF(O1302&gt;0,$B$1294*O1302,0)</f>
        <v>0</v>
      </c>
      <c r="P1320" s="1324">
        <f>IF(P1302&gt;0,$B$1295*P1302,0)</f>
        <v>0</v>
      </c>
      <c r="Q1320" s="1324">
        <f>IF(Q1302&gt;0,$B$1296*Q1302,0)</f>
        <v>0</v>
      </c>
      <c r="R1320" s="1324">
        <f>IF(R1302&gt;0,$B$1297*R1302,0)</f>
        <v>0</v>
      </c>
      <c r="S1320" s="1362">
        <f>IF(S1302&gt;0,$B$1298*S1302,0)</f>
        <v>0</v>
      </c>
      <c r="T1320" s="1363">
        <f>SUM(A1320:S1320)</f>
        <v>0</v>
      </c>
      <c r="U1320" s="1324">
        <f t="shared" ref="U1320:U1334" si="116">IF(A1320&gt;0,1,0)</f>
        <v>0</v>
      </c>
      <c r="V1320" s="316">
        <f t="shared" ref="V1320:V1334" si="117">IF(ISERROR(VLOOKUP(A1302,$A$1274:$F$1279,6,FALSE)),0,VLOOKUP(A1302,$A$1274:$F$1279,6,FALSE))</f>
        <v>0</v>
      </c>
    </row>
    <row r="1321" spans="1:22">
      <c r="A1321" s="1324">
        <f t="shared" si="107"/>
        <v>0</v>
      </c>
      <c r="B1321" s="1324">
        <f t="shared" si="108"/>
        <v>0</v>
      </c>
      <c r="C1321" s="1324">
        <f t="shared" si="109"/>
        <v>0</v>
      </c>
      <c r="D1321" s="1324">
        <f t="shared" si="110"/>
        <v>0</v>
      </c>
      <c r="E1321" s="1324">
        <f t="shared" si="111"/>
        <v>0</v>
      </c>
      <c r="F1321" s="1324">
        <f t="shared" si="112"/>
        <v>0</v>
      </c>
      <c r="G1321" s="1324">
        <f t="shared" si="113"/>
        <v>0</v>
      </c>
      <c r="H1321" s="1324">
        <f t="shared" si="114"/>
        <v>0</v>
      </c>
      <c r="I1321" s="1324">
        <f t="shared" si="115"/>
        <v>0</v>
      </c>
      <c r="J1321" s="1324">
        <f t="shared" ref="J1321:J1334" si="118">IF(J1303&gt;0,$B$1289*J1303,0)</f>
        <v>0</v>
      </c>
      <c r="K1321" s="1324">
        <f t="shared" ref="K1321:K1334" si="119">IF(K1303&gt;0,$B$1290*K1303,0)</f>
        <v>0</v>
      </c>
      <c r="L1321" s="1324">
        <f t="shared" ref="L1321:L1334" si="120">IF(L1303&gt;0,$B$1291*L1303,0)</f>
        <v>0</v>
      </c>
      <c r="M1321" s="1324">
        <f t="shared" ref="M1321:M1334" si="121">IF(M1303&gt;0,$B$1292*M1303,0)</f>
        <v>0</v>
      </c>
      <c r="N1321" s="1324">
        <f t="shared" ref="N1321:N1334" si="122">IF(N1303&gt;0,$B$1293*N1303,0)</f>
        <v>0</v>
      </c>
      <c r="O1321" s="1324">
        <f t="shared" ref="O1321:O1334" si="123">IF(O1303&gt;0,$B$1294*O1303,0)</f>
        <v>0</v>
      </c>
      <c r="P1321" s="1324">
        <f t="shared" ref="P1321:P1334" si="124">IF(P1303&gt;0,$B$1295*P1303,0)</f>
        <v>0</v>
      </c>
      <c r="Q1321" s="1324">
        <f t="shared" ref="Q1321:Q1334" si="125">IF(Q1303&gt;0,$B$1296*Q1303,0)</f>
        <v>0</v>
      </c>
      <c r="R1321" s="1324">
        <f t="shared" ref="R1321:R1334" si="126">IF(R1303&gt;0,$B$1297*R1303,0)</f>
        <v>0</v>
      </c>
      <c r="S1321" s="1362">
        <f t="shared" ref="S1321:S1334" si="127">IF(S1303&gt;0,$B$1298*S1303,0)</f>
        <v>0</v>
      </c>
      <c r="T1321" s="1363">
        <f t="shared" ref="T1321:T1334" si="128">SUM(A1321:S1321)</f>
        <v>0</v>
      </c>
      <c r="U1321" s="1324">
        <f t="shared" si="116"/>
        <v>0</v>
      </c>
      <c r="V1321" s="316">
        <f t="shared" si="117"/>
        <v>0</v>
      </c>
    </row>
    <row r="1322" spans="1:22">
      <c r="A1322" s="1324">
        <f t="shared" si="107"/>
        <v>0</v>
      </c>
      <c r="B1322" s="1324">
        <f t="shared" si="108"/>
        <v>0</v>
      </c>
      <c r="C1322" s="1324">
        <f t="shared" si="109"/>
        <v>0</v>
      </c>
      <c r="D1322" s="1324">
        <f t="shared" si="110"/>
        <v>0</v>
      </c>
      <c r="E1322" s="1324">
        <f t="shared" si="111"/>
        <v>0</v>
      </c>
      <c r="F1322" s="1324">
        <f t="shared" si="112"/>
        <v>0</v>
      </c>
      <c r="G1322" s="1324">
        <f t="shared" si="113"/>
        <v>0</v>
      </c>
      <c r="H1322" s="1324">
        <f t="shared" si="114"/>
        <v>0</v>
      </c>
      <c r="I1322" s="1324">
        <f t="shared" si="115"/>
        <v>0</v>
      </c>
      <c r="J1322" s="1324">
        <f t="shared" si="118"/>
        <v>0</v>
      </c>
      <c r="K1322" s="1324">
        <f t="shared" si="119"/>
        <v>0</v>
      </c>
      <c r="L1322" s="1324">
        <f t="shared" si="120"/>
        <v>0</v>
      </c>
      <c r="M1322" s="1324">
        <f t="shared" si="121"/>
        <v>0</v>
      </c>
      <c r="N1322" s="1324">
        <f t="shared" si="122"/>
        <v>0</v>
      </c>
      <c r="O1322" s="1324">
        <f t="shared" si="123"/>
        <v>0</v>
      </c>
      <c r="P1322" s="1324">
        <f t="shared" si="124"/>
        <v>0</v>
      </c>
      <c r="Q1322" s="1324">
        <f t="shared" si="125"/>
        <v>0</v>
      </c>
      <c r="R1322" s="1324">
        <f t="shared" si="126"/>
        <v>0</v>
      </c>
      <c r="S1322" s="1362">
        <f t="shared" si="127"/>
        <v>0</v>
      </c>
      <c r="T1322" s="1363">
        <f t="shared" si="128"/>
        <v>0</v>
      </c>
      <c r="U1322" s="1324">
        <f t="shared" si="116"/>
        <v>0</v>
      </c>
      <c r="V1322" s="316">
        <f t="shared" si="117"/>
        <v>0</v>
      </c>
    </row>
    <row r="1323" spans="1:22">
      <c r="A1323" s="1324">
        <f t="shared" si="107"/>
        <v>0</v>
      </c>
      <c r="B1323" s="1324">
        <f t="shared" si="108"/>
        <v>0</v>
      </c>
      <c r="C1323" s="1324">
        <f t="shared" si="109"/>
        <v>0</v>
      </c>
      <c r="D1323" s="1324">
        <f t="shared" si="110"/>
        <v>0</v>
      </c>
      <c r="E1323" s="1324">
        <f t="shared" si="111"/>
        <v>0</v>
      </c>
      <c r="F1323" s="1324">
        <f t="shared" si="112"/>
        <v>0</v>
      </c>
      <c r="G1323" s="1324">
        <f t="shared" si="113"/>
        <v>0</v>
      </c>
      <c r="H1323" s="1324">
        <f t="shared" si="114"/>
        <v>0</v>
      </c>
      <c r="I1323" s="1324">
        <f t="shared" si="115"/>
        <v>0</v>
      </c>
      <c r="J1323" s="1324">
        <f t="shared" si="118"/>
        <v>0</v>
      </c>
      <c r="K1323" s="1324">
        <f t="shared" si="119"/>
        <v>0</v>
      </c>
      <c r="L1323" s="1324">
        <f t="shared" si="120"/>
        <v>0</v>
      </c>
      <c r="M1323" s="1324">
        <f t="shared" si="121"/>
        <v>0</v>
      </c>
      <c r="N1323" s="1324">
        <f t="shared" si="122"/>
        <v>0</v>
      </c>
      <c r="O1323" s="1324">
        <f t="shared" si="123"/>
        <v>0</v>
      </c>
      <c r="P1323" s="1324">
        <f t="shared" si="124"/>
        <v>0</v>
      </c>
      <c r="Q1323" s="1324">
        <f t="shared" si="125"/>
        <v>0</v>
      </c>
      <c r="R1323" s="1324">
        <f t="shared" si="126"/>
        <v>0</v>
      </c>
      <c r="S1323" s="1362">
        <f t="shared" si="127"/>
        <v>0</v>
      </c>
      <c r="T1323" s="1363">
        <f t="shared" si="128"/>
        <v>0</v>
      </c>
      <c r="U1323" s="1324">
        <f t="shared" si="116"/>
        <v>0</v>
      </c>
      <c r="V1323" s="316">
        <f t="shared" si="117"/>
        <v>0</v>
      </c>
    </row>
    <row r="1324" spans="1:22">
      <c r="A1324" s="1324">
        <f t="shared" si="107"/>
        <v>0</v>
      </c>
      <c r="B1324" s="1324">
        <f t="shared" si="108"/>
        <v>0</v>
      </c>
      <c r="C1324" s="1324">
        <f t="shared" si="109"/>
        <v>0</v>
      </c>
      <c r="D1324" s="1324">
        <f t="shared" si="110"/>
        <v>0</v>
      </c>
      <c r="E1324" s="1324">
        <f t="shared" si="111"/>
        <v>0</v>
      </c>
      <c r="F1324" s="1324">
        <f t="shared" si="112"/>
        <v>0</v>
      </c>
      <c r="G1324" s="1324">
        <f t="shared" si="113"/>
        <v>0</v>
      </c>
      <c r="H1324" s="1324">
        <f t="shared" si="114"/>
        <v>0</v>
      </c>
      <c r="I1324" s="1324">
        <f t="shared" si="115"/>
        <v>0</v>
      </c>
      <c r="J1324" s="1324">
        <f t="shared" si="118"/>
        <v>0</v>
      </c>
      <c r="K1324" s="1324">
        <f t="shared" si="119"/>
        <v>0</v>
      </c>
      <c r="L1324" s="1324">
        <f t="shared" si="120"/>
        <v>0</v>
      </c>
      <c r="M1324" s="1324">
        <f t="shared" si="121"/>
        <v>0</v>
      </c>
      <c r="N1324" s="1324">
        <f t="shared" si="122"/>
        <v>0</v>
      </c>
      <c r="O1324" s="1324">
        <f t="shared" si="123"/>
        <v>0</v>
      </c>
      <c r="P1324" s="1324">
        <f t="shared" si="124"/>
        <v>0</v>
      </c>
      <c r="Q1324" s="1324">
        <f t="shared" si="125"/>
        <v>0</v>
      </c>
      <c r="R1324" s="1324">
        <f t="shared" si="126"/>
        <v>0</v>
      </c>
      <c r="S1324" s="1362">
        <f t="shared" si="127"/>
        <v>0</v>
      </c>
      <c r="T1324" s="1363">
        <f t="shared" si="128"/>
        <v>0</v>
      </c>
      <c r="U1324" s="1324">
        <f t="shared" si="116"/>
        <v>0</v>
      </c>
      <c r="V1324" s="316">
        <f t="shared" si="117"/>
        <v>0</v>
      </c>
    </row>
    <row r="1325" spans="1:22">
      <c r="A1325" s="1324">
        <f t="shared" si="107"/>
        <v>0</v>
      </c>
      <c r="B1325" s="1324">
        <f t="shared" si="108"/>
        <v>0</v>
      </c>
      <c r="C1325" s="1324">
        <f t="shared" si="109"/>
        <v>0</v>
      </c>
      <c r="D1325" s="1324">
        <f t="shared" si="110"/>
        <v>0</v>
      </c>
      <c r="E1325" s="1324">
        <f t="shared" si="111"/>
        <v>0</v>
      </c>
      <c r="F1325" s="1324">
        <f t="shared" si="112"/>
        <v>0</v>
      </c>
      <c r="G1325" s="1324">
        <f t="shared" si="113"/>
        <v>0</v>
      </c>
      <c r="H1325" s="1324">
        <f t="shared" si="114"/>
        <v>0</v>
      </c>
      <c r="I1325" s="1324">
        <f t="shared" si="115"/>
        <v>0</v>
      </c>
      <c r="J1325" s="1324">
        <f t="shared" si="118"/>
        <v>0</v>
      </c>
      <c r="K1325" s="1324">
        <f t="shared" si="119"/>
        <v>0</v>
      </c>
      <c r="L1325" s="1324">
        <f t="shared" si="120"/>
        <v>0</v>
      </c>
      <c r="M1325" s="1324">
        <f t="shared" si="121"/>
        <v>0</v>
      </c>
      <c r="N1325" s="1324">
        <f t="shared" si="122"/>
        <v>0</v>
      </c>
      <c r="O1325" s="1324">
        <f t="shared" si="123"/>
        <v>0</v>
      </c>
      <c r="P1325" s="1324">
        <f t="shared" si="124"/>
        <v>0</v>
      </c>
      <c r="Q1325" s="1324">
        <f t="shared" si="125"/>
        <v>0</v>
      </c>
      <c r="R1325" s="1324">
        <f t="shared" si="126"/>
        <v>0</v>
      </c>
      <c r="S1325" s="1362">
        <f t="shared" si="127"/>
        <v>0</v>
      </c>
      <c r="T1325" s="1363">
        <f t="shared" si="128"/>
        <v>0</v>
      </c>
      <c r="U1325" s="1324">
        <f t="shared" si="116"/>
        <v>0</v>
      </c>
      <c r="V1325" s="316">
        <f t="shared" si="117"/>
        <v>0</v>
      </c>
    </row>
    <row r="1326" spans="1:22">
      <c r="A1326" s="1324">
        <f t="shared" si="107"/>
        <v>0</v>
      </c>
      <c r="B1326" s="1324">
        <f t="shared" si="108"/>
        <v>0</v>
      </c>
      <c r="C1326" s="1324">
        <f t="shared" si="109"/>
        <v>0</v>
      </c>
      <c r="D1326" s="1324">
        <f t="shared" si="110"/>
        <v>0</v>
      </c>
      <c r="E1326" s="1324">
        <f t="shared" si="111"/>
        <v>0</v>
      </c>
      <c r="F1326" s="1324">
        <f t="shared" si="112"/>
        <v>0</v>
      </c>
      <c r="G1326" s="1324">
        <f t="shared" si="113"/>
        <v>0</v>
      </c>
      <c r="H1326" s="1324">
        <f t="shared" si="114"/>
        <v>0</v>
      </c>
      <c r="I1326" s="1324">
        <f t="shared" si="115"/>
        <v>0</v>
      </c>
      <c r="J1326" s="1324">
        <f t="shared" si="118"/>
        <v>0</v>
      </c>
      <c r="K1326" s="1324">
        <f t="shared" si="119"/>
        <v>0</v>
      </c>
      <c r="L1326" s="1324">
        <f t="shared" si="120"/>
        <v>0</v>
      </c>
      <c r="M1326" s="1324">
        <f t="shared" si="121"/>
        <v>0</v>
      </c>
      <c r="N1326" s="1324">
        <f t="shared" si="122"/>
        <v>0</v>
      </c>
      <c r="O1326" s="1324">
        <f t="shared" si="123"/>
        <v>0</v>
      </c>
      <c r="P1326" s="1324">
        <f t="shared" si="124"/>
        <v>0</v>
      </c>
      <c r="Q1326" s="1324">
        <f t="shared" si="125"/>
        <v>0</v>
      </c>
      <c r="R1326" s="1324">
        <f t="shared" si="126"/>
        <v>0</v>
      </c>
      <c r="S1326" s="1362">
        <f t="shared" si="127"/>
        <v>0</v>
      </c>
      <c r="T1326" s="1363">
        <f t="shared" si="128"/>
        <v>0</v>
      </c>
      <c r="U1326" s="1324">
        <f t="shared" si="116"/>
        <v>0</v>
      </c>
      <c r="V1326" s="316">
        <f t="shared" si="117"/>
        <v>0</v>
      </c>
    </row>
    <row r="1327" spans="1:22">
      <c r="A1327" s="1324">
        <f t="shared" si="107"/>
        <v>0</v>
      </c>
      <c r="B1327" s="1324">
        <f t="shared" si="108"/>
        <v>0</v>
      </c>
      <c r="C1327" s="1324">
        <f t="shared" si="109"/>
        <v>0</v>
      </c>
      <c r="D1327" s="1324">
        <f t="shared" si="110"/>
        <v>0</v>
      </c>
      <c r="E1327" s="1324">
        <f t="shared" si="111"/>
        <v>0</v>
      </c>
      <c r="F1327" s="1324">
        <f t="shared" si="112"/>
        <v>0</v>
      </c>
      <c r="G1327" s="1324">
        <f t="shared" si="113"/>
        <v>0</v>
      </c>
      <c r="H1327" s="1324">
        <f t="shared" si="114"/>
        <v>0</v>
      </c>
      <c r="I1327" s="1324">
        <f t="shared" si="115"/>
        <v>0</v>
      </c>
      <c r="J1327" s="1324">
        <f t="shared" si="118"/>
        <v>0</v>
      </c>
      <c r="K1327" s="1324">
        <f t="shared" si="119"/>
        <v>0</v>
      </c>
      <c r="L1327" s="1324">
        <f t="shared" si="120"/>
        <v>0</v>
      </c>
      <c r="M1327" s="1324">
        <f t="shared" si="121"/>
        <v>0</v>
      </c>
      <c r="N1327" s="1324">
        <f t="shared" si="122"/>
        <v>0</v>
      </c>
      <c r="O1327" s="1324">
        <f t="shared" si="123"/>
        <v>0</v>
      </c>
      <c r="P1327" s="1324">
        <f t="shared" si="124"/>
        <v>0</v>
      </c>
      <c r="Q1327" s="1324">
        <f t="shared" si="125"/>
        <v>0</v>
      </c>
      <c r="R1327" s="1324">
        <f t="shared" si="126"/>
        <v>0</v>
      </c>
      <c r="S1327" s="1362">
        <f t="shared" si="127"/>
        <v>0</v>
      </c>
      <c r="T1327" s="1363">
        <f t="shared" si="128"/>
        <v>0</v>
      </c>
      <c r="U1327" s="1324">
        <f t="shared" si="116"/>
        <v>0</v>
      </c>
      <c r="V1327" s="316">
        <f t="shared" si="117"/>
        <v>0</v>
      </c>
    </row>
    <row r="1328" spans="1:22">
      <c r="A1328" s="1324">
        <f t="shared" si="107"/>
        <v>0</v>
      </c>
      <c r="B1328" s="1324">
        <f t="shared" si="108"/>
        <v>0</v>
      </c>
      <c r="C1328" s="1324">
        <f t="shared" si="109"/>
        <v>0</v>
      </c>
      <c r="D1328" s="1324">
        <f t="shared" si="110"/>
        <v>0</v>
      </c>
      <c r="E1328" s="1324">
        <f t="shared" si="111"/>
        <v>0</v>
      </c>
      <c r="F1328" s="1324">
        <f t="shared" si="112"/>
        <v>0</v>
      </c>
      <c r="G1328" s="1324">
        <f t="shared" si="113"/>
        <v>0</v>
      </c>
      <c r="H1328" s="1324">
        <f t="shared" si="114"/>
        <v>0</v>
      </c>
      <c r="I1328" s="1324">
        <f t="shared" si="115"/>
        <v>0</v>
      </c>
      <c r="J1328" s="1324">
        <f t="shared" si="118"/>
        <v>0</v>
      </c>
      <c r="K1328" s="1324">
        <f t="shared" si="119"/>
        <v>0</v>
      </c>
      <c r="L1328" s="1324">
        <f t="shared" si="120"/>
        <v>0</v>
      </c>
      <c r="M1328" s="1324">
        <f t="shared" si="121"/>
        <v>0</v>
      </c>
      <c r="N1328" s="1324">
        <f t="shared" si="122"/>
        <v>0</v>
      </c>
      <c r="O1328" s="1324">
        <f t="shared" si="123"/>
        <v>0</v>
      </c>
      <c r="P1328" s="1324">
        <f t="shared" si="124"/>
        <v>0</v>
      </c>
      <c r="Q1328" s="1324">
        <f t="shared" si="125"/>
        <v>0</v>
      </c>
      <c r="R1328" s="1324">
        <f t="shared" si="126"/>
        <v>0</v>
      </c>
      <c r="S1328" s="1362">
        <f t="shared" si="127"/>
        <v>0</v>
      </c>
      <c r="T1328" s="1363">
        <f t="shared" si="128"/>
        <v>0</v>
      </c>
      <c r="U1328" s="1324">
        <f t="shared" si="116"/>
        <v>0</v>
      </c>
      <c r="V1328" s="316">
        <f t="shared" si="117"/>
        <v>0</v>
      </c>
    </row>
    <row r="1329" spans="1:22">
      <c r="A1329" s="1324">
        <f t="shared" si="107"/>
        <v>0</v>
      </c>
      <c r="B1329" s="1324">
        <f t="shared" si="108"/>
        <v>0</v>
      </c>
      <c r="C1329" s="1324">
        <f t="shared" si="109"/>
        <v>0</v>
      </c>
      <c r="D1329" s="1324">
        <f t="shared" si="110"/>
        <v>0</v>
      </c>
      <c r="E1329" s="1324">
        <f t="shared" si="111"/>
        <v>0</v>
      </c>
      <c r="F1329" s="1324">
        <f t="shared" si="112"/>
        <v>0</v>
      </c>
      <c r="G1329" s="1324">
        <f t="shared" si="113"/>
        <v>0</v>
      </c>
      <c r="H1329" s="1324">
        <f t="shared" si="114"/>
        <v>0</v>
      </c>
      <c r="I1329" s="1324">
        <f t="shared" si="115"/>
        <v>0</v>
      </c>
      <c r="J1329" s="1324">
        <f t="shared" si="118"/>
        <v>0</v>
      </c>
      <c r="K1329" s="1324">
        <f t="shared" si="119"/>
        <v>0</v>
      </c>
      <c r="L1329" s="1324">
        <f t="shared" si="120"/>
        <v>0</v>
      </c>
      <c r="M1329" s="1324">
        <f t="shared" si="121"/>
        <v>0</v>
      </c>
      <c r="N1329" s="1324">
        <f t="shared" si="122"/>
        <v>0</v>
      </c>
      <c r="O1329" s="1324">
        <f t="shared" si="123"/>
        <v>0</v>
      </c>
      <c r="P1329" s="1324">
        <f t="shared" si="124"/>
        <v>0</v>
      </c>
      <c r="Q1329" s="1324">
        <f t="shared" si="125"/>
        <v>0</v>
      </c>
      <c r="R1329" s="1324">
        <f t="shared" si="126"/>
        <v>0</v>
      </c>
      <c r="S1329" s="1362">
        <f t="shared" si="127"/>
        <v>0</v>
      </c>
      <c r="T1329" s="1363">
        <f t="shared" si="128"/>
        <v>0</v>
      </c>
      <c r="U1329" s="1324">
        <f t="shared" si="116"/>
        <v>0</v>
      </c>
      <c r="V1329" s="316">
        <f t="shared" si="117"/>
        <v>0</v>
      </c>
    </row>
    <row r="1330" spans="1:22">
      <c r="A1330" s="1324">
        <f t="shared" si="107"/>
        <v>0</v>
      </c>
      <c r="B1330" s="1324">
        <f t="shared" si="108"/>
        <v>0</v>
      </c>
      <c r="C1330" s="1324">
        <f t="shared" si="109"/>
        <v>0</v>
      </c>
      <c r="D1330" s="1324">
        <f t="shared" si="110"/>
        <v>0</v>
      </c>
      <c r="E1330" s="1324">
        <f t="shared" si="111"/>
        <v>0</v>
      </c>
      <c r="F1330" s="1324">
        <f t="shared" si="112"/>
        <v>0</v>
      </c>
      <c r="G1330" s="1324">
        <f t="shared" si="113"/>
        <v>0</v>
      </c>
      <c r="H1330" s="1324">
        <f t="shared" si="114"/>
        <v>0</v>
      </c>
      <c r="I1330" s="1324">
        <f t="shared" si="115"/>
        <v>0</v>
      </c>
      <c r="J1330" s="1324">
        <f t="shared" si="118"/>
        <v>0</v>
      </c>
      <c r="K1330" s="1324">
        <f t="shared" si="119"/>
        <v>0</v>
      </c>
      <c r="L1330" s="1324">
        <f t="shared" si="120"/>
        <v>0</v>
      </c>
      <c r="M1330" s="1324">
        <f t="shared" si="121"/>
        <v>0</v>
      </c>
      <c r="N1330" s="1324">
        <f t="shared" si="122"/>
        <v>0</v>
      </c>
      <c r="O1330" s="1324">
        <f t="shared" si="123"/>
        <v>0</v>
      </c>
      <c r="P1330" s="1324">
        <f t="shared" si="124"/>
        <v>0</v>
      </c>
      <c r="Q1330" s="1324">
        <f t="shared" si="125"/>
        <v>0</v>
      </c>
      <c r="R1330" s="1324">
        <f t="shared" si="126"/>
        <v>0</v>
      </c>
      <c r="S1330" s="1362">
        <f t="shared" si="127"/>
        <v>0</v>
      </c>
      <c r="T1330" s="1363">
        <f t="shared" si="128"/>
        <v>0</v>
      </c>
      <c r="U1330" s="1324">
        <f t="shared" si="116"/>
        <v>0</v>
      </c>
      <c r="V1330" s="316">
        <f t="shared" si="117"/>
        <v>0</v>
      </c>
    </row>
    <row r="1331" spans="1:22">
      <c r="A1331" s="1324">
        <f t="shared" si="107"/>
        <v>0</v>
      </c>
      <c r="B1331" s="1324">
        <f t="shared" si="108"/>
        <v>0</v>
      </c>
      <c r="C1331" s="1324">
        <f t="shared" si="109"/>
        <v>0</v>
      </c>
      <c r="D1331" s="1324">
        <f t="shared" si="110"/>
        <v>0</v>
      </c>
      <c r="E1331" s="1324">
        <f t="shared" si="111"/>
        <v>0</v>
      </c>
      <c r="F1331" s="1324">
        <f t="shared" si="112"/>
        <v>0</v>
      </c>
      <c r="G1331" s="1324">
        <f t="shared" si="113"/>
        <v>0</v>
      </c>
      <c r="H1331" s="1324">
        <f t="shared" si="114"/>
        <v>0</v>
      </c>
      <c r="I1331" s="1324">
        <f t="shared" si="115"/>
        <v>0</v>
      </c>
      <c r="J1331" s="1324">
        <f t="shared" si="118"/>
        <v>0</v>
      </c>
      <c r="K1331" s="1324">
        <f t="shared" si="119"/>
        <v>0</v>
      </c>
      <c r="L1331" s="1324">
        <f t="shared" si="120"/>
        <v>0</v>
      </c>
      <c r="M1331" s="1324">
        <f t="shared" si="121"/>
        <v>0</v>
      </c>
      <c r="N1331" s="1324">
        <f t="shared" si="122"/>
        <v>0</v>
      </c>
      <c r="O1331" s="1324">
        <f t="shared" si="123"/>
        <v>0</v>
      </c>
      <c r="P1331" s="1324">
        <f t="shared" si="124"/>
        <v>0</v>
      </c>
      <c r="Q1331" s="1324">
        <f t="shared" si="125"/>
        <v>0</v>
      </c>
      <c r="R1331" s="1324">
        <f t="shared" si="126"/>
        <v>0</v>
      </c>
      <c r="S1331" s="1362">
        <f t="shared" si="127"/>
        <v>0</v>
      </c>
      <c r="T1331" s="1363">
        <f t="shared" si="128"/>
        <v>0</v>
      </c>
      <c r="U1331" s="1324">
        <f t="shared" si="116"/>
        <v>0</v>
      </c>
      <c r="V1331" s="316">
        <f t="shared" si="117"/>
        <v>0</v>
      </c>
    </row>
    <row r="1332" spans="1:22">
      <c r="A1332" s="1324">
        <f t="shared" si="107"/>
        <v>0</v>
      </c>
      <c r="B1332" s="1324">
        <f t="shared" si="108"/>
        <v>0</v>
      </c>
      <c r="C1332" s="1324">
        <f t="shared" si="109"/>
        <v>0</v>
      </c>
      <c r="D1332" s="1324">
        <f t="shared" si="110"/>
        <v>0</v>
      </c>
      <c r="E1332" s="1324">
        <f t="shared" si="111"/>
        <v>0</v>
      </c>
      <c r="F1332" s="1324">
        <f t="shared" si="112"/>
        <v>0</v>
      </c>
      <c r="G1332" s="1324">
        <f t="shared" si="113"/>
        <v>0</v>
      </c>
      <c r="H1332" s="1324">
        <f t="shared" si="114"/>
        <v>0</v>
      </c>
      <c r="I1332" s="1324">
        <f t="shared" si="115"/>
        <v>0</v>
      </c>
      <c r="J1332" s="1324">
        <f t="shared" si="118"/>
        <v>0</v>
      </c>
      <c r="K1332" s="1324">
        <f t="shared" si="119"/>
        <v>0</v>
      </c>
      <c r="L1332" s="1324">
        <f t="shared" si="120"/>
        <v>0</v>
      </c>
      <c r="M1332" s="1324">
        <f t="shared" si="121"/>
        <v>0</v>
      </c>
      <c r="N1332" s="1324">
        <f t="shared" si="122"/>
        <v>0</v>
      </c>
      <c r="O1332" s="1324">
        <f t="shared" si="123"/>
        <v>0</v>
      </c>
      <c r="P1332" s="1324">
        <f t="shared" si="124"/>
        <v>0</v>
      </c>
      <c r="Q1332" s="1324">
        <f t="shared" si="125"/>
        <v>0</v>
      </c>
      <c r="R1332" s="1324">
        <f t="shared" si="126"/>
        <v>0</v>
      </c>
      <c r="S1332" s="1362">
        <f t="shared" si="127"/>
        <v>0</v>
      </c>
      <c r="T1332" s="1363">
        <f t="shared" si="128"/>
        <v>0</v>
      </c>
      <c r="U1332" s="1324">
        <f t="shared" si="116"/>
        <v>0</v>
      </c>
      <c r="V1332" s="316">
        <f t="shared" si="117"/>
        <v>0</v>
      </c>
    </row>
    <row r="1333" spans="1:22">
      <c r="A1333" s="1324">
        <f t="shared" si="107"/>
        <v>0</v>
      </c>
      <c r="B1333" s="1324">
        <f t="shared" si="108"/>
        <v>0</v>
      </c>
      <c r="C1333" s="1324">
        <f t="shared" si="109"/>
        <v>0</v>
      </c>
      <c r="D1333" s="1324">
        <f t="shared" si="110"/>
        <v>0</v>
      </c>
      <c r="E1333" s="1324">
        <f t="shared" si="111"/>
        <v>0</v>
      </c>
      <c r="F1333" s="1324">
        <f t="shared" si="112"/>
        <v>0</v>
      </c>
      <c r="G1333" s="1324">
        <f t="shared" si="113"/>
        <v>0</v>
      </c>
      <c r="H1333" s="1324">
        <f t="shared" si="114"/>
        <v>0</v>
      </c>
      <c r="I1333" s="1324">
        <f t="shared" si="115"/>
        <v>0</v>
      </c>
      <c r="J1333" s="1324">
        <f t="shared" si="118"/>
        <v>0</v>
      </c>
      <c r="K1333" s="1324">
        <f t="shared" si="119"/>
        <v>0</v>
      </c>
      <c r="L1333" s="1324">
        <f t="shared" si="120"/>
        <v>0</v>
      </c>
      <c r="M1333" s="1324">
        <f t="shared" si="121"/>
        <v>0</v>
      </c>
      <c r="N1333" s="1324">
        <f t="shared" si="122"/>
        <v>0</v>
      </c>
      <c r="O1333" s="1324">
        <f t="shared" si="123"/>
        <v>0</v>
      </c>
      <c r="P1333" s="1324">
        <f t="shared" si="124"/>
        <v>0</v>
      </c>
      <c r="Q1333" s="1324">
        <f t="shared" si="125"/>
        <v>0</v>
      </c>
      <c r="R1333" s="1324">
        <f t="shared" si="126"/>
        <v>0</v>
      </c>
      <c r="S1333" s="1362">
        <f t="shared" si="127"/>
        <v>0</v>
      </c>
      <c r="T1333" s="1363">
        <f t="shared" si="128"/>
        <v>0</v>
      </c>
      <c r="U1333" s="1324">
        <f t="shared" si="116"/>
        <v>0</v>
      </c>
      <c r="V1333" s="316">
        <f t="shared" si="117"/>
        <v>0</v>
      </c>
    </row>
    <row r="1334" spans="1:22">
      <c r="A1334" s="1324">
        <f t="shared" si="107"/>
        <v>0</v>
      </c>
      <c r="B1334" s="1324">
        <f t="shared" si="108"/>
        <v>0</v>
      </c>
      <c r="C1334" s="1324">
        <f t="shared" si="109"/>
        <v>0</v>
      </c>
      <c r="D1334" s="1324">
        <f t="shared" si="110"/>
        <v>0</v>
      </c>
      <c r="E1334" s="1324">
        <f t="shared" si="111"/>
        <v>0</v>
      </c>
      <c r="F1334" s="1324">
        <f t="shared" si="112"/>
        <v>0</v>
      </c>
      <c r="G1334" s="1324">
        <f t="shared" si="113"/>
        <v>0</v>
      </c>
      <c r="H1334" s="1324">
        <f t="shared" si="114"/>
        <v>0</v>
      </c>
      <c r="I1334" s="1324">
        <f t="shared" si="115"/>
        <v>0</v>
      </c>
      <c r="J1334" s="1324">
        <f t="shared" si="118"/>
        <v>0</v>
      </c>
      <c r="K1334" s="1324">
        <f t="shared" si="119"/>
        <v>0</v>
      </c>
      <c r="L1334" s="1324">
        <f t="shared" si="120"/>
        <v>0</v>
      </c>
      <c r="M1334" s="1324">
        <f t="shared" si="121"/>
        <v>0</v>
      </c>
      <c r="N1334" s="1324">
        <f t="shared" si="122"/>
        <v>0</v>
      </c>
      <c r="O1334" s="1324">
        <f t="shared" si="123"/>
        <v>0</v>
      </c>
      <c r="P1334" s="1324">
        <f t="shared" si="124"/>
        <v>0</v>
      </c>
      <c r="Q1334" s="1324">
        <f t="shared" si="125"/>
        <v>0</v>
      </c>
      <c r="R1334" s="1324">
        <f t="shared" si="126"/>
        <v>0</v>
      </c>
      <c r="S1334" s="1362">
        <f t="shared" si="127"/>
        <v>0</v>
      </c>
      <c r="T1334" s="1363">
        <f t="shared" si="128"/>
        <v>0</v>
      </c>
      <c r="U1334" s="1324">
        <f t="shared" si="116"/>
        <v>0</v>
      </c>
      <c r="V1334" s="316">
        <f t="shared" si="117"/>
        <v>0</v>
      </c>
    </row>
    <row r="1335" spans="1:22">
      <c r="T1335" s="1363">
        <f>SUM(T1320:T1334)</f>
        <v>0</v>
      </c>
      <c r="U1335" s="1391">
        <f>SUM(U1320:U1334)</f>
        <v>0</v>
      </c>
      <c r="V1335" s="1391">
        <f>SUM(V1320:V1334)</f>
        <v>0</v>
      </c>
    </row>
    <row r="1336" spans="1:22">
      <c r="U1336" s="1151" t="s">
        <v>1383</v>
      </c>
      <c r="V1336" s="1404" t="s">
        <v>1410</v>
      </c>
    </row>
    <row r="1338" spans="1:22">
      <c r="T1338" s="1403" t="s">
        <v>1384</v>
      </c>
      <c r="U1338" s="1391">
        <f>SUM(L1302:S1316)</f>
        <v>0</v>
      </c>
    </row>
  </sheetData>
  <sheetProtection algorithmName="SHA-512" hashValue="GbpPYRN74z19fZTIL2zmPiByfarQCIkxg6gQDgZat+sByYIhdEy+phXYRsdRyfo3faHgPEmRVJhUtRUD+sOAJg==" saltValue="+0zveOn3Clm44is5+/tK7g==" spinCount="100000" sheet="1" selectLockedCells="1" selectUnlockedCells="1"/>
  <mergeCells count="20">
    <mergeCell ref="A321:H321"/>
    <mergeCell ref="K67:AC67"/>
    <mergeCell ref="T1300:V1300"/>
    <mergeCell ref="L131:M131"/>
    <mergeCell ref="K103:L103"/>
    <mergeCell ref="T104:V104"/>
    <mergeCell ref="B256:E256"/>
    <mergeCell ref="B266:E266"/>
    <mergeCell ref="O131:BA131"/>
    <mergeCell ref="M1147:P1147"/>
    <mergeCell ref="W32:X32"/>
    <mergeCell ref="Y32:Z32"/>
    <mergeCell ref="T31:Z31"/>
    <mergeCell ref="T41:W41"/>
    <mergeCell ref="T45:W45"/>
    <mergeCell ref="D1:I1"/>
    <mergeCell ref="G2:I2"/>
    <mergeCell ref="I103:J103"/>
    <mergeCell ref="B283:C283"/>
    <mergeCell ref="T32:U32"/>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1" tint="0.249977111117893"/>
  </sheetPr>
  <dimension ref="A1:Z205"/>
  <sheetViews>
    <sheetView showGridLines="0" showOutlineSymbols="0" topLeftCell="I179" zoomScale="66" zoomScaleNormal="66" workbookViewId="0">
      <selection activeCell="E13" sqref="E13"/>
    </sheetView>
  </sheetViews>
  <sheetFormatPr baseColWidth="10" defaultColWidth="11.42578125" defaultRowHeight="12.75"/>
  <cols>
    <col min="1" max="1" width="0.85546875" style="1" customWidth="1"/>
    <col min="2" max="2" width="70.7109375" style="6" customWidth="1"/>
    <col min="3" max="3" width="14.7109375" style="1" customWidth="1"/>
    <col min="4" max="4" width="12.7109375" style="1" customWidth="1"/>
    <col min="5" max="5" width="24.28515625" style="1" customWidth="1"/>
    <col min="6" max="6" width="29.7109375" style="1" customWidth="1"/>
    <col min="7" max="7" width="23.5703125" style="3" customWidth="1"/>
    <col min="8" max="8" width="22.28515625" style="1" customWidth="1"/>
    <col min="9" max="9" width="24.5703125" style="1" customWidth="1"/>
    <col min="10" max="10" width="21.140625" style="1" customWidth="1"/>
    <col min="11" max="11" width="42.42578125" style="1" bestFit="1" customWidth="1"/>
    <col min="12" max="12" width="32" style="1" bestFit="1" customWidth="1"/>
    <col min="13" max="13" width="20.42578125" style="1" customWidth="1"/>
    <col min="14" max="14" width="11.5703125" style="1" bestFit="1" customWidth="1"/>
    <col min="15" max="15" width="7.85546875" style="1" customWidth="1"/>
    <col min="16" max="16" width="28.28515625" style="1" customWidth="1"/>
    <col min="17" max="17" width="21.7109375" style="1" bestFit="1" customWidth="1"/>
    <col min="18" max="18" width="36.28515625" style="1" customWidth="1"/>
    <col min="19" max="19" width="20.7109375" style="1" customWidth="1"/>
    <col min="20" max="20" width="20.140625" style="1" customWidth="1"/>
    <col min="21" max="21" width="25.42578125" style="1" customWidth="1"/>
    <col min="22" max="22" width="19.5703125" style="1" customWidth="1"/>
    <col min="23" max="23" width="16.5703125" style="1" customWidth="1"/>
    <col min="24" max="16384" width="11.42578125" style="1"/>
  </cols>
  <sheetData>
    <row r="1" spans="1:26">
      <c r="B1" s="85"/>
      <c r="C1" s="86"/>
      <c r="D1" s="86"/>
      <c r="E1" s="86"/>
      <c r="F1" s="86"/>
      <c r="G1" s="87"/>
      <c r="H1" s="7"/>
      <c r="I1" s="296" t="s">
        <v>274</v>
      </c>
      <c r="J1" s="297"/>
      <c r="K1" s="298"/>
      <c r="M1" s="79"/>
      <c r="N1" s="79"/>
      <c r="O1" s="79"/>
      <c r="P1" s="79"/>
      <c r="Q1" s="79"/>
      <c r="R1" s="79"/>
    </row>
    <row r="2" spans="1:26">
      <c r="B2" s="85"/>
      <c r="C2" s="88" t="s">
        <v>218</v>
      </c>
      <c r="D2" s="89" t="s">
        <v>335</v>
      </c>
      <c r="E2" s="86"/>
      <c r="F2" s="90"/>
      <c r="G2" s="89"/>
      <c r="H2" s="30"/>
      <c r="I2" s="297" t="s">
        <v>8</v>
      </c>
      <c r="J2" s="297"/>
      <c r="K2" s="299"/>
      <c r="M2" s="86" t="s">
        <v>18</v>
      </c>
      <c r="N2" s="86"/>
      <c r="O2" s="86"/>
      <c r="P2" s="86"/>
      <c r="Q2" s="86"/>
      <c r="R2" s="79"/>
      <c r="T2" s="115"/>
      <c r="U2" s="115"/>
      <c r="V2" s="115"/>
      <c r="W2" s="115"/>
      <c r="X2" s="115"/>
    </row>
    <row r="3" spans="1:26">
      <c r="B3" s="91" t="s">
        <v>217</v>
      </c>
      <c r="C3" s="92">
        <v>0</v>
      </c>
      <c r="D3" s="86"/>
      <c r="E3" s="86"/>
      <c r="F3" s="86"/>
      <c r="G3" s="87"/>
      <c r="H3" s="30"/>
      <c r="I3" s="300" t="s">
        <v>5</v>
      </c>
      <c r="J3" s="300">
        <v>45</v>
      </c>
      <c r="K3" s="297" t="s">
        <v>6</v>
      </c>
      <c r="M3" s="86" t="s">
        <v>19</v>
      </c>
      <c r="N3" s="86"/>
      <c r="O3" s="86"/>
      <c r="P3" s="86"/>
      <c r="Q3" s="86"/>
      <c r="R3" s="80"/>
      <c r="S3" s="7"/>
      <c r="T3" s="115"/>
      <c r="U3" s="115"/>
      <c r="V3" s="115"/>
      <c r="W3" s="115"/>
      <c r="X3" s="115"/>
    </row>
    <row r="4" spans="1:26">
      <c r="B4" s="91" t="s">
        <v>146</v>
      </c>
      <c r="C4" s="92">
        <v>5</v>
      </c>
      <c r="D4" s="86"/>
      <c r="E4" s="86"/>
      <c r="F4" s="86"/>
      <c r="G4" s="87"/>
      <c r="H4" s="30"/>
      <c r="I4" s="301" t="s">
        <v>5</v>
      </c>
      <c r="J4" s="301">
        <v>3</v>
      </c>
      <c r="K4" s="297" t="s">
        <v>7</v>
      </c>
      <c r="M4" s="86" t="s">
        <v>20</v>
      </c>
      <c r="N4" s="86"/>
      <c r="O4" s="86"/>
      <c r="P4" s="104">
        <v>200</v>
      </c>
      <c r="Q4" s="86"/>
      <c r="R4" s="80"/>
      <c r="S4" s="7"/>
      <c r="T4" s="116" t="s">
        <v>400</v>
      </c>
      <c r="U4" s="116" t="s">
        <v>326</v>
      </c>
      <c r="V4" s="116" t="s">
        <v>325</v>
      </c>
      <c r="W4" s="116" t="s">
        <v>203</v>
      </c>
      <c r="X4" s="116" t="s">
        <v>401</v>
      </c>
    </row>
    <row r="5" spans="1:26">
      <c r="B5" s="91" t="s">
        <v>219</v>
      </c>
      <c r="C5" s="92">
        <v>0.15</v>
      </c>
      <c r="D5" s="86"/>
      <c r="E5" s="86"/>
      <c r="F5" s="86"/>
      <c r="G5" s="87"/>
      <c r="H5" s="30"/>
      <c r="I5" s="302" t="s">
        <v>9</v>
      </c>
      <c r="J5" s="300"/>
      <c r="K5" s="297"/>
      <c r="M5" s="86" t="s">
        <v>21</v>
      </c>
      <c r="N5" s="86"/>
      <c r="O5" s="86"/>
      <c r="P5" s="104">
        <v>600</v>
      </c>
      <c r="Q5" s="86"/>
      <c r="R5" s="80"/>
      <c r="S5" s="7"/>
      <c r="T5" s="117" t="s">
        <v>311</v>
      </c>
      <c r="U5" s="114">
        <v>0.19376343719108463</v>
      </c>
      <c r="V5" s="114">
        <v>0</v>
      </c>
      <c r="W5" s="114">
        <v>2.6092026276496847E-2</v>
      </c>
      <c r="X5" s="114">
        <v>0.11406529608984795</v>
      </c>
    </row>
    <row r="6" spans="1:26">
      <c r="B6" s="91" t="s">
        <v>147</v>
      </c>
      <c r="C6" s="92">
        <v>0.15</v>
      </c>
      <c r="D6" s="92">
        <v>5.3699999999999998E-3</v>
      </c>
      <c r="E6" s="86"/>
      <c r="F6" s="86"/>
      <c r="G6" s="87"/>
      <c r="H6" s="30"/>
      <c r="I6" s="297" t="s">
        <v>10</v>
      </c>
      <c r="J6" s="300">
        <f>IF(SUM('Entrada de datos'!O59:O60)=0,0,1+ROUNDDOWN((SUM('Entrada de datos'!#REF!)*AVERAGE('Entrada de datos'!O59:O60)/ITL_roam!J3),0))</f>
        <v>0</v>
      </c>
      <c r="K6" s="297" t="s">
        <v>14</v>
      </c>
      <c r="M6" s="86" t="s">
        <v>22</v>
      </c>
      <c r="N6" s="86"/>
      <c r="O6" s="86"/>
      <c r="P6" s="110">
        <v>0.3</v>
      </c>
      <c r="Q6" s="86"/>
      <c r="R6" s="81"/>
      <c r="S6" s="7"/>
      <c r="T6" s="117" t="s">
        <v>312</v>
      </c>
      <c r="U6" s="114">
        <v>0.78887739359660491</v>
      </c>
      <c r="V6" s="114">
        <v>2.1180974627007389E-2</v>
      </c>
      <c r="W6" s="114">
        <v>0.10555298737621804</v>
      </c>
      <c r="X6" s="114">
        <v>1.8467711393564072</v>
      </c>
    </row>
    <row r="7" spans="1:26">
      <c r="A7" s="23"/>
      <c r="B7" s="91" t="s">
        <v>142</v>
      </c>
      <c r="C7" s="92">
        <v>0.15</v>
      </c>
      <c r="D7" s="92">
        <v>0</v>
      </c>
      <c r="E7" s="93"/>
      <c r="F7" s="86"/>
      <c r="G7" s="94"/>
      <c r="H7" s="7"/>
      <c r="I7" s="297" t="s">
        <v>11</v>
      </c>
      <c r="J7" s="300">
        <v>0</v>
      </c>
      <c r="K7" s="303">
        <f>IF(ITL_roam!J7=0,0,SUM('Entrada de datos'!#REF!)*('Entrada de datos'!O59+'Entrada de datos'!O60)/(ITL_roam!J7*J10))</f>
        <v>0</v>
      </c>
      <c r="M7" s="86" t="s">
        <v>31</v>
      </c>
      <c r="N7" s="86"/>
      <c r="O7" s="86"/>
      <c r="P7" s="87">
        <v>15</v>
      </c>
      <c r="Q7" s="86"/>
      <c r="R7" s="80"/>
      <c r="S7" s="7"/>
      <c r="T7" s="117" t="s">
        <v>327</v>
      </c>
      <c r="U7" s="114">
        <v>1.0342113621727838</v>
      </c>
      <c r="V7" s="114">
        <v>0.13563396823213009</v>
      </c>
      <c r="W7" s="114">
        <v>0.17438141127546189</v>
      </c>
      <c r="X7" s="114">
        <v>2.3924023041963092</v>
      </c>
    </row>
    <row r="8" spans="1:26">
      <c r="A8" s="23"/>
      <c r="B8" s="91" t="s">
        <v>148</v>
      </c>
      <c r="C8" s="92">
        <v>0.15</v>
      </c>
      <c r="D8" s="92">
        <v>1.09E-2</v>
      </c>
      <c r="E8" s="95" t="s">
        <v>398</v>
      </c>
      <c r="F8" s="96"/>
      <c r="G8" s="96"/>
      <c r="H8" s="21"/>
      <c r="I8" s="302" t="s">
        <v>12</v>
      </c>
      <c r="J8" s="300"/>
      <c r="K8" s="297" t="s">
        <v>16</v>
      </c>
      <c r="M8" s="86" t="s">
        <v>23</v>
      </c>
      <c r="N8" s="86"/>
      <c r="O8" s="86"/>
      <c r="P8" s="87" t="s">
        <v>26</v>
      </c>
      <c r="Q8" s="87" t="s">
        <v>25</v>
      </c>
      <c r="R8" s="83"/>
      <c r="S8" s="7"/>
      <c r="T8" s="117" t="s">
        <v>402</v>
      </c>
      <c r="U8" s="114">
        <v>1.3729492925247606</v>
      </c>
      <c r="V8" s="114">
        <v>0.91895261252186655</v>
      </c>
      <c r="W8" s="114">
        <v>0.31340526298385424</v>
      </c>
      <c r="X8" s="114" t="e">
        <v>#DIV/0!</v>
      </c>
    </row>
    <row r="9" spans="1:26">
      <c r="B9" s="91" t="s">
        <v>149</v>
      </c>
      <c r="C9" s="92">
        <v>0.15</v>
      </c>
      <c r="D9" s="92">
        <f>D8</f>
        <v>1.09E-2</v>
      </c>
      <c r="E9" s="97"/>
      <c r="F9" s="97"/>
      <c r="G9" s="97"/>
      <c r="H9" s="20"/>
      <c r="I9" s="297" t="s">
        <v>10</v>
      </c>
      <c r="J9" s="300">
        <f>J4</f>
        <v>3</v>
      </c>
      <c r="K9" s="300">
        <f>IF(K7=0,0,1+ROUNDDOWN(K7/30,0))</f>
        <v>0</v>
      </c>
      <c r="M9" s="86" t="s">
        <v>24</v>
      </c>
      <c r="N9" s="86"/>
      <c r="O9" s="86"/>
      <c r="P9" s="104">
        <f>K15</f>
        <v>0</v>
      </c>
      <c r="Q9" s="87">
        <f>IF(P9&gt;=P4,1,0)</f>
        <v>0</v>
      </c>
      <c r="R9" s="83"/>
      <c r="S9" s="7"/>
      <c r="T9" s="117" t="s">
        <v>403</v>
      </c>
      <c r="U9" s="114">
        <v>0.29545604192073149</v>
      </c>
      <c r="V9" s="114">
        <v>7.9512911725267837E-3</v>
      </c>
      <c r="W9" s="114">
        <v>4.8877864961846894E-2</v>
      </c>
      <c r="X9" s="114">
        <v>0.31627048765901083</v>
      </c>
    </row>
    <row r="10" spans="1:26">
      <c r="A10" s="23"/>
      <c r="B10" s="91" t="s">
        <v>271</v>
      </c>
      <c r="C10" s="92">
        <v>0.15</v>
      </c>
      <c r="D10" s="92">
        <f>0.068</f>
        <v>6.8000000000000005E-2</v>
      </c>
      <c r="E10" s="86"/>
      <c r="F10" s="86"/>
      <c r="G10" s="94"/>
      <c r="I10" s="297" t="s">
        <v>11</v>
      </c>
      <c r="J10" s="300">
        <v>0</v>
      </c>
      <c r="K10" s="297" t="s">
        <v>15</v>
      </c>
      <c r="M10" s="86" t="s">
        <v>29</v>
      </c>
      <c r="N10" s="86"/>
      <c r="O10" s="86"/>
      <c r="P10" s="104" t="e">
        <f>#REF!</f>
        <v>#REF!</v>
      </c>
      <c r="Q10" s="87" t="e">
        <f>IF(P10&gt;=P5,1,0)</f>
        <v>#REF!</v>
      </c>
      <c r="R10" s="83"/>
      <c r="S10" s="7"/>
      <c r="T10" s="118"/>
      <c r="U10" s="118"/>
      <c r="V10" s="118"/>
      <c r="W10" s="118"/>
      <c r="X10" s="115"/>
    </row>
    <row r="11" spans="1:26" ht="13.5" thickBot="1">
      <c r="A11" s="23"/>
      <c r="B11" s="91" t="s">
        <v>150</v>
      </c>
      <c r="C11" s="92">
        <v>0.15</v>
      </c>
      <c r="D11" s="92">
        <v>0</v>
      </c>
      <c r="E11" s="86"/>
      <c r="F11" s="86"/>
      <c r="G11" s="94"/>
      <c r="I11" s="297"/>
      <c r="J11" s="297"/>
      <c r="K11" s="304">
        <v>3</v>
      </c>
      <c r="M11" s="86" t="s">
        <v>27</v>
      </c>
      <c r="N11" s="86"/>
      <c r="O11" s="86"/>
      <c r="P11" s="110" t="e">
        <f>P9/P10</f>
        <v>#REF!</v>
      </c>
      <c r="Q11" s="87" t="e">
        <f>IF(P11&gt;=0.3,1,0)</f>
        <v>#REF!</v>
      </c>
      <c r="R11" s="84"/>
      <c r="S11" s="11" t="s">
        <v>395</v>
      </c>
      <c r="T11" s="11" t="s">
        <v>378</v>
      </c>
      <c r="U11" s="115"/>
      <c r="V11" s="115"/>
      <c r="W11" s="115"/>
      <c r="X11" s="115"/>
    </row>
    <row r="12" spans="1:26" ht="20.25">
      <c r="B12" s="91" t="s">
        <v>151</v>
      </c>
      <c r="C12" s="92">
        <v>0.15</v>
      </c>
      <c r="D12" s="92">
        <v>4.5100000000000001E-3</v>
      </c>
      <c r="E12" s="86"/>
      <c r="F12" s="86"/>
      <c r="G12" s="87"/>
      <c r="I12" s="297"/>
      <c r="J12" s="297"/>
      <c r="K12" s="297" t="s">
        <v>17</v>
      </c>
      <c r="M12" s="86" t="s">
        <v>30</v>
      </c>
      <c r="N12" s="86"/>
      <c r="O12" s="86"/>
      <c r="P12" s="106" t="e">
        <f>G29</f>
        <v>#REF!</v>
      </c>
      <c r="Q12" s="87" t="e">
        <f>IF(P12&gt;=P7,1,0)</f>
        <v>#REF!</v>
      </c>
      <c r="R12" s="187" t="s">
        <v>53</v>
      </c>
      <c r="S12" s="169">
        <v>0.45</v>
      </c>
      <c r="T12" s="169">
        <f>S12</f>
        <v>0.45</v>
      </c>
      <c r="U12" s="43"/>
      <c r="V12" s="43"/>
      <c r="W12" s="43"/>
      <c r="X12" s="43"/>
      <c r="Y12" s="43"/>
      <c r="Z12" s="43"/>
    </row>
    <row r="13" spans="1:26" ht="21" thickBot="1">
      <c r="B13" s="91" t="s">
        <v>221</v>
      </c>
      <c r="C13" s="92">
        <v>0.6</v>
      </c>
      <c r="D13" s="92">
        <v>6.1359999999999998E-2</v>
      </c>
      <c r="E13" s="98" t="s">
        <v>333</v>
      </c>
      <c r="F13" s="98" t="s">
        <v>334</v>
      </c>
      <c r="G13" s="87"/>
      <c r="I13" s="297"/>
      <c r="J13" s="297"/>
      <c r="K13" s="305">
        <f>J7*K9*K11*J10</f>
        <v>0</v>
      </c>
      <c r="M13" s="86" t="s">
        <v>28</v>
      </c>
      <c r="N13" s="79"/>
      <c r="O13" s="79"/>
      <c r="P13" s="82">
        <f>IF(ISERROR(Q9*Q10*Q11*Q12),0,IF(Q9*Q10*Q11*Q12=1,1,0))</f>
        <v>0</v>
      </c>
      <c r="Q13" s="79"/>
      <c r="R13" s="188" t="s">
        <v>54</v>
      </c>
      <c r="S13" s="170">
        <v>0.45</v>
      </c>
      <c r="T13" s="170">
        <f>S13</f>
        <v>0.45</v>
      </c>
      <c r="U13" s="43"/>
      <c r="V13" s="43"/>
      <c r="W13" s="43"/>
      <c r="X13" s="43"/>
      <c r="Y13" s="43"/>
      <c r="Z13" s="43"/>
    </row>
    <row r="14" spans="1:26" ht="20.25">
      <c r="B14" s="91" t="s">
        <v>276</v>
      </c>
      <c r="C14" s="92" t="e">
        <f>'Entrada de datos'!#REF!*ITL_roam!E14+SUM('Entrada de datos'!O64:O65)*ITL_roam!F14</f>
        <v>#REF!</v>
      </c>
      <c r="D14" s="92">
        <v>0.10489999999999999</v>
      </c>
      <c r="E14" s="98">
        <v>0.08</v>
      </c>
      <c r="F14" s="98">
        <v>0.75</v>
      </c>
      <c r="G14" s="87"/>
      <c r="H14" s="289"/>
      <c r="I14" s="295" t="s">
        <v>143</v>
      </c>
      <c r="J14" s="290" t="s">
        <v>223</v>
      </c>
      <c r="K14" s="290" t="s">
        <v>328</v>
      </c>
      <c r="L14" s="291" t="s">
        <v>323</v>
      </c>
      <c r="M14" s="87" t="s">
        <v>324</v>
      </c>
      <c r="R14" s="188" t="s">
        <v>55</v>
      </c>
      <c r="S14" s="170">
        <v>0.1</v>
      </c>
      <c r="T14" s="170">
        <v>0</v>
      </c>
      <c r="U14" s="43"/>
      <c r="V14" s="43"/>
      <c r="W14" s="43"/>
      <c r="X14" s="43"/>
      <c r="Y14" s="43"/>
      <c r="Z14" s="43"/>
    </row>
    <row r="15" spans="1:26" ht="21" thickBot="1">
      <c r="B15" s="91" t="s">
        <v>278</v>
      </c>
      <c r="C15" s="92">
        <v>0.6</v>
      </c>
      <c r="D15" s="92">
        <v>0.3705</v>
      </c>
      <c r="E15" s="86"/>
      <c r="F15" s="86"/>
      <c r="G15" s="99"/>
      <c r="H15" s="292" t="s">
        <v>330</v>
      </c>
      <c r="I15" s="293">
        <f>G41*SUMPRODUCT(M20:M27,V20:V27)+H41*SUMPRODUCT(ITL_roam!N20:N27,W20:W27)</f>
        <v>0</v>
      </c>
      <c r="J15" s="293">
        <f>G42*SUMPRODUCT(J22:J24,'Entrada de datos'!O63:O65)+H42*SUMPRODUCT(K22:K24,'Entrada de datos'!O63:O65)</f>
        <v>0</v>
      </c>
      <c r="K15" s="293">
        <f>G43*SUMPRODUCT(J28:J30,'Entrada de datos'!O63:O65)+H43*SUMPRODUCT(K28:K30,'Entrada de datos'!O63:O65)</f>
        <v>0</v>
      </c>
      <c r="L15" s="294">
        <f>I15+J15+K15</f>
        <v>0</v>
      </c>
      <c r="M15" s="109" t="e">
        <f>IF(G29&gt;0,L15/(G29),0)</f>
        <v>#REF!</v>
      </c>
      <c r="R15" s="378" t="s">
        <v>952</v>
      </c>
      <c r="S15" s="186">
        <f>ITL_roam!$I15*(1-ITL_roam!S12)+ITL_roam!$J15*(1-ITL_roam!S13)+ITL_roam!$K15*(1-ITL_roam!S14)</f>
        <v>0</v>
      </c>
      <c r="T15" s="186">
        <f>ITL_roam!$I15*(1-ITL_roam!T12)+ITL_roam!$J15*(1-ITL_roam!T13)+ITL_roam!$K15*(1-ITL_roam!T14)</f>
        <v>0</v>
      </c>
    </row>
    <row r="16" spans="1:26">
      <c r="B16" s="91" t="s">
        <v>152</v>
      </c>
      <c r="C16" s="92">
        <v>0.9</v>
      </c>
      <c r="D16" s="92">
        <v>0.31900000000000001</v>
      </c>
      <c r="E16" s="86"/>
      <c r="F16" s="86"/>
      <c r="G16" s="100"/>
      <c r="H16" s="15"/>
      <c r="I16" s="376"/>
      <c r="J16" s="11"/>
      <c r="K16" s="11"/>
      <c r="L16" s="11"/>
      <c r="M16" s="11"/>
    </row>
    <row r="17" spans="2:23" ht="13.5" thickBot="1">
      <c r="B17" s="85" t="s">
        <v>350</v>
      </c>
      <c r="C17" s="86"/>
      <c r="D17" s="92">
        <v>0.3306</v>
      </c>
      <c r="E17" s="86"/>
      <c r="F17" s="86"/>
      <c r="G17" s="100"/>
      <c r="H17" s="7"/>
      <c r="I17" s="18"/>
      <c r="J17" s="19"/>
      <c r="K17" s="19"/>
      <c r="L17" s="12"/>
      <c r="M17" s="13"/>
    </row>
    <row r="18" spans="2:23">
      <c r="B18" s="91" t="s">
        <v>153</v>
      </c>
      <c r="C18" s="101">
        <v>20</v>
      </c>
      <c r="D18" s="93"/>
      <c r="E18" s="86"/>
      <c r="F18" s="86"/>
      <c r="G18" s="100"/>
      <c r="H18" s="15"/>
      <c r="I18" s="2244" t="s">
        <v>891</v>
      </c>
      <c r="J18" s="2245"/>
      <c r="K18" s="2246"/>
      <c r="L18" s="2247" t="s">
        <v>74</v>
      </c>
      <c r="M18" s="2245"/>
      <c r="N18" s="2248"/>
      <c r="P18" s="297"/>
      <c r="Q18" s="297"/>
      <c r="R18" s="297"/>
      <c r="S18" s="297"/>
      <c r="T18" s="297"/>
      <c r="U18" s="297"/>
      <c r="V18" s="297"/>
      <c r="W18" s="297"/>
    </row>
    <row r="19" spans="2:23">
      <c r="B19" s="91" t="s">
        <v>154</v>
      </c>
      <c r="C19" s="101">
        <v>3</v>
      </c>
      <c r="D19" s="86"/>
      <c r="E19" s="86"/>
      <c r="F19" s="86"/>
      <c r="G19" s="87"/>
      <c r="H19" s="7"/>
      <c r="L19" s="36" t="s">
        <v>143</v>
      </c>
      <c r="M19" s="16" t="s">
        <v>279</v>
      </c>
      <c r="N19" s="165" t="s">
        <v>313</v>
      </c>
      <c r="P19" s="52" t="s">
        <v>40</v>
      </c>
      <c r="Q19" s="52" t="s">
        <v>39</v>
      </c>
      <c r="R19" s="379" t="s">
        <v>41</v>
      </c>
      <c r="S19" s="379" t="s">
        <v>164</v>
      </c>
      <c r="T19" s="52" t="s">
        <v>42</v>
      </c>
      <c r="U19" s="52" t="s">
        <v>43</v>
      </c>
      <c r="V19" s="52" t="s">
        <v>42</v>
      </c>
      <c r="W19" s="52" t="s">
        <v>43</v>
      </c>
    </row>
    <row r="20" spans="2:23">
      <c r="B20" s="91" t="s">
        <v>224</v>
      </c>
      <c r="C20" s="102">
        <v>1000</v>
      </c>
      <c r="D20" s="86"/>
      <c r="E20" s="86"/>
      <c r="F20" s="86"/>
      <c r="G20" s="7"/>
      <c r="H20" s="7"/>
      <c r="I20"/>
      <c r="J20"/>
      <c r="K20"/>
      <c r="L20" s="393" t="s">
        <v>319</v>
      </c>
      <c r="M20" s="394">
        <v>0.45</v>
      </c>
      <c r="N20" s="395">
        <v>0.48</v>
      </c>
      <c r="O20" s="374">
        <f>N20*(1-$S$12)</f>
        <v>0.26400000000000001</v>
      </c>
      <c r="P20" s="375">
        <f>'Entrada de datos'!$F$52*'Entrada de datos'!$E$48</f>
        <v>0</v>
      </c>
      <c r="Q20" s="375">
        <f>'Entrada de datos'!$F$48*'Entrada de datos'!$F$52</f>
        <v>0</v>
      </c>
      <c r="R20" s="379">
        <v>0</v>
      </c>
      <c r="S20" s="379">
        <v>0</v>
      </c>
      <c r="T20" s="52">
        <f t="shared" ref="T20:U27" si="0">P20+R20</f>
        <v>0</v>
      </c>
      <c r="U20" s="52">
        <f t="shared" si="0"/>
        <v>0</v>
      </c>
      <c r="V20" s="314">
        <f>IF($T$28=0,0,T20/T$28)</f>
        <v>0</v>
      </c>
      <c r="W20" s="314">
        <f>IF($U$28=0,0,U20/$U$28)</f>
        <v>0</v>
      </c>
    </row>
    <row r="21" spans="2:23">
      <c r="E21" s="3"/>
      <c r="F21" s="11"/>
      <c r="G21" s="7"/>
      <c r="H21" s="7"/>
      <c r="I21" s="164" t="s">
        <v>240</v>
      </c>
      <c r="J21" s="16" t="s">
        <v>279</v>
      </c>
      <c r="K21" s="391" t="s">
        <v>313</v>
      </c>
      <c r="L21" s="382" t="s">
        <v>137</v>
      </c>
      <c r="M21" s="379">
        <v>0</v>
      </c>
      <c r="N21" s="399">
        <v>0</v>
      </c>
      <c r="P21" s="52">
        <v>0</v>
      </c>
      <c r="Q21" s="52">
        <v>0</v>
      </c>
      <c r="R21" s="379">
        <v>0</v>
      </c>
      <c r="S21" s="379">
        <v>0</v>
      </c>
      <c r="T21" s="52">
        <f t="shared" si="0"/>
        <v>0</v>
      </c>
      <c r="U21" s="52">
        <f t="shared" si="0"/>
        <v>0</v>
      </c>
      <c r="V21" s="314">
        <f t="shared" ref="V21:W28" si="1">IF($T$28=0,0,T21/T$28)</f>
        <v>0</v>
      </c>
      <c r="W21" s="314">
        <f t="shared" ref="W21:W27" si="2">IF($U$28=0,0,U21/$U$28)</f>
        <v>0</v>
      </c>
    </row>
    <row r="22" spans="2:23">
      <c r="G22" s="7"/>
      <c r="H22" s="7"/>
      <c r="I22" s="377" t="s">
        <v>319</v>
      </c>
      <c r="J22" s="41">
        <v>0</v>
      </c>
      <c r="K22" s="392">
        <v>0</v>
      </c>
      <c r="L22" s="382" t="s">
        <v>363</v>
      </c>
      <c r="M22" s="379">
        <v>0</v>
      </c>
      <c r="N22" s="399">
        <v>0</v>
      </c>
      <c r="P22" s="52">
        <v>0</v>
      </c>
      <c r="Q22" s="52">
        <v>0</v>
      </c>
      <c r="R22" s="379">
        <v>0</v>
      </c>
      <c r="S22" s="379">
        <v>0</v>
      </c>
      <c r="T22" s="52">
        <f t="shared" si="0"/>
        <v>0</v>
      </c>
      <c r="U22" s="52">
        <f t="shared" si="0"/>
        <v>0</v>
      </c>
      <c r="V22" s="314">
        <f t="shared" si="1"/>
        <v>0</v>
      </c>
      <c r="W22" s="314">
        <f t="shared" si="2"/>
        <v>0</v>
      </c>
    </row>
    <row r="23" spans="2:23">
      <c r="G23" s="7"/>
      <c r="H23" s="7"/>
      <c r="I23" s="122" t="s">
        <v>0</v>
      </c>
      <c r="J23" s="41">
        <v>1.5</v>
      </c>
      <c r="K23" s="361">
        <v>1.4</v>
      </c>
      <c r="L23" s="396" t="s">
        <v>318</v>
      </c>
      <c r="M23" s="397">
        <v>0.45</v>
      </c>
      <c r="N23" s="398">
        <v>0.72</v>
      </c>
      <c r="O23" s="1">
        <f>N23*(1-$S$12)</f>
        <v>0.39600000000000002</v>
      </c>
      <c r="P23" s="52">
        <f>'Entrada de datos'!E$48*'Entrada de datos'!$F53</f>
        <v>0</v>
      </c>
      <c r="Q23" s="52">
        <f>'Entrada de datos'!F$48*'Entrada de datos'!$F53</f>
        <v>0</v>
      </c>
      <c r="R23" s="379">
        <v>0</v>
      </c>
      <c r="S23" s="379">
        <v>0</v>
      </c>
      <c r="T23" s="52">
        <f t="shared" si="0"/>
        <v>0</v>
      </c>
      <c r="U23" s="52">
        <f t="shared" si="0"/>
        <v>0</v>
      </c>
      <c r="V23" s="314">
        <f t="shared" si="1"/>
        <v>0</v>
      </c>
      <c r="W23" s="314">
        <f t="shared" si="2"/>
        <v>0</v>
      </c>
    </row>
    <row r="24" spans="2:23">
      <c r="B24" s="24" t="s">
        <v>162</v>
      </c>
      <c r="C24" s="31" t="s">
        <v>335</v>
      </c>
      <c r="D24" s="17"/>
      <c r="E24" s="86"/>
      <c r="F24" s="86"/>
      <c r="G24" s="7"/>
      <c r="H24" s="7"/>
      <c r="I24" s="122" t="s">
        <v>322</v>
      </c>
      <c r="J24" s="41">
        <v>1.5</v>
      </c>
      <c r="K24" s="42">
        <v>2.2000000000000002</v>
      </c>
      <c r="L24" s="40" t="s">
        <v>365</v>
      </c>
      <c r="M24" s="5">
        <v>0.45</v>
      </c>
      <c r="N24" s="166">
        <v>0.78</v>
      </c>
      <c r="O24" s="1">
        <f>N24*(1-$S$12)</f>
        <v>0.42900000000000005</v>
      </c>
      <c r="P24" s="52">
        <f>'Entrada de datos'!E$48*'Entrada de datos'!$F54</f>
        <v>0</v>
      </c>
      <c r="Q24" s="52">
        <f>'Entrada de datos'!F$48*'Entrada de datos'!$F54</f>
        <v>0</v>
      </c>
      <c r="R24" s="379">
        <v>0</v>
      </c>
      <c r="S24" s="379">
        <v>0</v>
      </c>
      <c r="T24" s="52">
        <f t="shared" si="0"/>
        <v>0</v>
      </c>
      <c r="U24" s="52">
        <f t="shared" si="0"/>
        <v>0</v>
      </c>
      <c r="V24" s="314">
        <f t="shared" si="1"/>
        <v>0</v>
      </c>
      <c r="W24" s="314">
        <f t="shared" si="2"/>
        <v>0</v>
      </c>
    </row>
    <row r="25" spans="2:23">
      <c r="B25" s="85" t="s">
        <v>141</v>
      </c>
      <c r="C25" s="113">
        <v>0</v>
      </c>
      <c r="D25" s="8"/>
      <c r="E25" s="86"/>
      <c r="F25" s="86"/>
      <c r="G25" s="87"/>
      <c r="H25" s="86"/>
      <c r="L25" s="37" t="s">
        <v>320</v>
      </c>
      <c r="M25" s="5">
        <v>0.45</v>
      </c>
      <c r="N25" s="166">
        <v>1.1399999999999999</v>
      </c>
      <c r="O25" s="1">
        <f>N25*(1-$S$12)</f>
        <v>0.627</v>
      </c>
      <c r="P25" s="52">
        <f>'Entrada de datos'!E$48*'Entrada de datos'!$F55</f>
        <v>0</v>
      </c>
      <c r="Q25" s="52">
        <f>'Entrada de datos'!F$48*'Entrada de datos'!$F55</f>
        <v>0</v>
      </c>
      <c r="R25" s="379">
        <v>0</v>
      </c>
      <c r="S25" s="379">
        <v>0</v>
      </c>
      <c r="T25" s="52">
        <f t="shared" si="0"/>
        <v>0</v>
      </c>
      <c r="U25" s="52">
        <f t="shared" si="0"/>
        <v>0</v>
      </c>
      <c r="V25" s="314">
        <f t="shared" si="1"/>
        <v>0</v>
      </c>
      <c r="W25" s="314">
        <f t="shared" si="2"/>
        <v>0</v>
      </c>
    </row>
    <row r="26" spans="2:23">
      <c r="B26" s="85" t="s">
        <v>147</v>
      </c>
      <c r="C26" s="113">
        <f>H36*D6</f>
        <v>0</v>
      </c>
      <c r="D26" s="8"/>
      <c r="E26" s="86"/>
      <c r="F26" s="86"/>
      <c r="G26" s="104"/>
      <c r="H26" s="86"/>
      <c r="L26" s="37" t="s">
        <v>321</v>
      </c>
      <c r="M26" s="5">
        <v>0.45</v>
      </c>
      <c r="N26" s="166">
        <v>1.38</v>
      </c>
      <c r="O26" s="1">
        <f>N26*(1-$S$12)</f>
        <v>0.75900000000000001</v>
      </c>
      <c r="P26" s="52">
        <f>'Entrada de datos'!E$48*'Entrada de datos'!$F56</f>
        <v>0</v>
      </c>
      <c r="Q26" s="52">
        <f>'Entrada de datos'!F$48*'Entrada de datos'!$F56</f>
        <v>0</v>
      </c>
      <c r="R26" s="379">
        <v>0</v>
      </c>
      <c r="S26" s="379">
        <v>0</v>
      </c>
      <c r="T26" s="52">
        <f t="shared" si="0"/>
        <v>0</v>
      </c>
      <c r="U26" s="52">
        <f t="shared" si="0"/>
        <v>0</v>
      </c>
      <c r="V26" s="314">
        <f t="shared" si="1"/>
        <v>0</v>
      </c>
      <c r="W26" s="314">
        <f t="shared" si="2"/>
        <v>0</v>
      </c>
    </row>
    <row r="27" spans="2:23">
      <c r="B27" s="85" t="s">
        <v>226</v>
      </c>
      <c r="C27" s="113">
        <v>0</v>
      </c>
      <c r="D27" s="8"/>
      <c r="E27" s="86"/>
      <c r="F27" s="86"/>
      <c r="G27" s="105"/>
      <c r="H27" s="86"/>
      <c r="I27" s="164" t="s">
        <v>314</v>
      </c>
      <c r="J27" s="38" t="s">
        <v>279</v>
      </c>
      <c r="K27" s="39" t="s">
        <v>313</v>
      </c>
      <c r="L27" s="387" t="s">
        <v>322</v>
      </c>
      <c r="M27" s="388">
        <v>0.45</v>
      </c>
      <c r="N27" s="389">
        <v>1.62</v>
      </c>
      <c r="O27" s="1">
        <f>N27*(1-$S$12)</f>
        <v>0.89100000000000013</v>
      </c>
      <c r="P27" s="52">
        <f>'Entrada de datos'!E$48*'Entrada de datos'!$F57</f>
        <v>0</v>
      </c>
      <c r="Q27" s="52">
        <f>'Entrada de datos'!F$48*'Entrada de datos'!$F57</f>
        <v>0</v>
      </c>
      <c r="R27" s="379">
        <v>0</v>
      </c>
      <c r="S27" s="379">
        <v>0</v>
      </c>
      <c r="T27" s="52">
        <f t="shared" si="0"/>
        <v>0</v>
      </c>
      <c r="U27" s="52">
        <f t="shared" si="0"/>
        <v>0</v>
      </c>
      <c r="V27" s="314">
        <f t="shared" si="1"/>
        <v>0</v>
      </c>
      <c r="W27" s="314">
        <f t="shared" si="2"/>
        <v>0</v>
      </c>
    </row>
    <row r="28" spans="2:23">
      <c r="B28" s="85" t="s">
        <v>227</v>
      </c>
      <c r="C28" s="113">
        <f>H38*D8</f>
        <v>0</v>
      </c>
      <c r="D28" s="8"/>
      <c r="E28" s="86"/>
      <c r="F28" s="86"/>
      <c r="G28" s="87"/>
      <c r="H28" s="409"/>
      <c r="I28" s="122" t="s">
        <v>319</v>
      </c>
      <c r="J28" s="45">
        <v>0</v>
      </c>
      <c r="K28" s="410">
        <v>0</v>
      </c>
      <c r="L28" s="382" t="s">
        <v>143</v>
      </c>
      <c r="M28" s="379" t="s">
        <v>279</v>
      </c>
      <c r="N28" s="379" t="s">
        <v>335</v>
      </c>
      <c r="P28" s="52">
        <f t="shared" ref="P28:U28" si="3">SUM(P20:P27)</f>
        <v>0</v>
      </c>
      <c r="Q28" s="52">
        <f t="shared" si="3"/>
        <v>0</v>
      </c>
      <c r="R28" s="379">
        <v>0</v>
      </c>
      <c r="S28" s="379">
        <v>0</v>
      </c>
      <c r="T28" s="52">
        <f t="shared" si="3"/>
        <v>0</v>
      </c>
      <c r="U28" s="52">
        <f t="shared" si="3"/>
        <v>0</v>
      </c>
      <c r="V28" s="314">
        <f t="shared" si="1"/>
        <v>0</v>
      </c>
      <c r="W28" s="314">
        <f t="shared" si="1"/>
        <v>0</v>
      </c>
    </row>
    <row r="29" spans="2:23">
      <c r="B29" s="85" t="s">
        <v>228</v>
      </c>
      <c r="C29" s="113">
        <f>H39*D9</f>
        <v>0</v>
      </c>
      <c r="D29" s="8"/>
      <c r="E29" s="86"/>
      <c r="F29" s="88" t="s">
        <v>44</v>
      </c>
      <c r="G29" s="106" t="e">
        <f>#REF!+SUM(#REF!)</f>
        <v>#REF!</v>
      </c>
      <c r="H29" s="409"/>
      <c r="I29" s="122" t="s">
        <v>0</v>
      </c>
      <c r="J29" s="41">
        <v>1.5</v>
      </c>
      <c r="K29" s="385">
        <v>1.4</v>
      </c>
      <c r="L29" s="382" t="s">
        <v>319</v>
      </c>
      <c r="M29" s="379">
        <v>0</v>
      </c>
      <c r="N29" s="390">
        <v>4.5501005365346452E-2</v>
      </c>
      <c r="P29" s="297"/>
      <c r="Q29" s="297"/>
      <c r="R29" s="297"/>
      <c r="S29" s="297"/>
      <c r="T29" s="297"/>
      <c r="U29" s="297"/>
      <c r="V29" s="297"/>
      <c r="W29" s="297"/>
    </row>
    <row r="30" spans="2:23" ht="13.5" thickBot="1">
      <c r="B30" s="85" t="s">
        <v>229</v>
      </c>
      <c r="C30" s="113">
        <f>H40*D10</f>
        <v>0</v>
      </c>
      <c r="D30" s="8"/>
      <c r="E30" s="86"/>
      <c r="F30" s="86" t="s">
        <v>225</v>
      </c>
      <c r="G30" s="107" t="e">
        <f>C20*G29</f>
        <v>#REF!</v>
      </c>
      <c r="H30" s="409"/>
      <c r="I30" s="380" t="s">
        <v>322</v>
      </c>
      <c r="J30" s="381">
        <v>1.5</v>
      </c>
      <c r="K30" s="386">
        <v>2.6</v>
      </c>
      <c r="L30" s="382" t="s">
        <v>137</v>
      </c>
      <c r="M30" s="379">
        <v>0</v>
      </c>
      <c r="N30" s="390">
        <v>4.4999999999999997E-3</v>
      </c>
      <c r="P30" s="297"/>
      <c r="Q30" s="297"/>
      <c r="R30" s="297"/>
      <c r="S30" s="297"/>
      <c r="T30" s="297"/>
      <c r="U30" s="297"/>
      <c r="V30" s="297"/>
      <c r="W30" s="297"/>
    </row>
    <row r="31" spans="2:23" ht="15.75">
      <c r="B31" s="178" t="s">
        <v>230</v>
      </c>
      <c r="C31" s="179">
        <f>G41*SUMPRODUCT(M29:M36,V20:V27)+H41*SUMPRODUCT(ITL_roam!N29:N36,W20:W27)</f>
        <v>0</v>
      </c>
      <c r="D31" s="9"/>
      <c r="E31" s="86"/>
      <c r="F31" s="85" t="s">
        <v>136</v>
      </c>
      <c r="G31" s="87">
        <f>'Entrada de datos'!E12+'Entrada de datos'!E167</f>
        <v>0</v>
      </c>
      <c r="H31" s="86"/>
      <c r="I31" s="382" t="s">
        <v>240</v>
      </c>
      <c r="J31" s="379" t="s">
        <v>279</v>
      </c>
      <c r="K31" s="379" t="s">
        <v>335</v>
      </c>
      <c r="L31" s="382" t="s">
        <v>363</v>
      </c>
      <c r="M31" s="379">
        <v>0</v>
      </c>
      <c r="N31" s="390">
        <v>7.1000000000000004E-3</v>
      </c>
      <c r="P31" s="297"/>
      <c r="Q31" s="297"/>
      <c r="R31" s="297"/>
      <c r="S31" s="297"/>
      <c r="T31" s="297"/>
      <c r="U31" s="297"/>
      <c r="V31" s="297"/>
      <c r="W31" s="297"/>
    </row>
    <row r="32" spans="2:23" ht="15.75">
      <c r="B32" s="180" t="s">
        <v>223</v>
      </c>
      <c r="C32" s="181">
        <f>G42*SUMPRODUCT(J35:J36,'Entrada de datos'!O64:O65)+H42*SUMPRODUCT(K35:K36,'Entrada de datos'!O64:O65)</f>
        <v>0</v>
      </c>
      <c r="D32" s="9"/>
      <c r="E32" s="86"/>
      <c r="F32" s="86"/>
      <c r="G32" s="87"/>
      <c r="H32" s="86"/>
      <c r="I32" s="382" t="s">
        <v>319</v>
      </c>
      <c r="J32" s="379">
        <v>0</v>
      </c>
      <c r="K32" s="383">
        <f>0+N29</f>
        <v>4.5501005365346452E-2</v>
      </c>
      <c r="L32" s="382" t="s">
        <v>318</v>
      </c>
      <c r="M32" s="379">
        <v>0</v>
      </c>
      <c r="N32" s="390">
        <v>0.10257917839519215</v>
      </c>
      <c r="P32" s="297"/>
      <c r="Q32" s="297"/>
      <c r="R32" s="297"/>
      <c r="S32" s="297"/>
      <c r="T32" s="297"/>
      <c r="U32" s="297"/>
      <c r="V32" s="297"/>
      <c r="W32" s="297"/>
    </row>
    <row r="33" spans="2:24" ht="16.5" thickBot="1">
      <c r="B33" s="182" t="s">
        <v>249</v>
      </c>
      <c r="C33" s="183">
        <f>G43*SUMPRODUCT(J41:J42,'Entrada de datos'!O64:O65)+H43*SUMPRODUCT(K41:K42,'Entrada de datos'!O64:O65)</f>
        <v>0</v>
      </c>
      <c r="D33" s="9"/>
      <c r="E33" s="86"/>
      <c r="F33" s="86"/>
      <c r="G33" s="89" t="s">
        <v>248</v>
      </c>
      <c r="H33" s="89" t="s">
        <v>138</v>
      </c>
      <c r="I33" s="382" t="s">
        <v>137</v>
      </c>
      <c r="J33" s="379">
        <v>0</v>
      </c>
      <c r="K33" s="383">
        <f>0.09+N30</f>
        <v>9.4500000000000001E-2</v>
      </c>
      <c r="L33" s="382" t="s">
        <v>364</v>
      </c>
      <c r="M33" s="379">
        <v>0</v>
      </c>
      <c r="N33" s="390">
        <v>6.8155820592083374E-2</v>
      </c>
      <c r="P33" s="297"/>
      <c r="Q33" s="297"/>
      <c r="R33" s="297"/>
      <c r="S33" s="297"/>
      <c r="T33" s="297"/>
      <c r="U33" s="297"/>
      <c r="V33" s="297"/>
      <c r="W33" s="297"/>
      <c r="X33" s="79"/>
    </row>
    <row r="34" spans="2:24">
      <c r="B34" s="85" t="s">
        <v>231</v>
      </c>
      <c r="C34" s="113">
        <v>0</v>
      </c>
      <c r="D34" s="22"/>
      <c r="E34" s="86"/>
      <c r="F34" s="86" t="s">
        <v>246</v>
      </c>
      <c r="G34" s="94">
        <f>SUM(G35:G44)</f>
        <v>0</v>
      </c>
      <c r="H34" s="94">
        <f>SUM(H35:H44)</f>
        <v>0</v>
      </c>
      <c r="I34" s="382" t="s">
        <v>363</v>
      </c>
      <c r="J34" s="379">
        <v>0</v>
      </c>
      <c r="K34" s="383">
        <f>0.1+N31</f>
        <v>0.1071</v>
      </c>
      <c r="L34" s="382" t="s">
        <v>320</v>
      </c>
      <c r="M34" s="379">
        <v>0</v>
      </c>
      <c r="N34" s="390">
        <v>0.12617603318027196</v>
      </c>
      <c r="P34" s="297"/>
      <c r="Q34" s="297"/>
      <c r="R34" s="297"/>
      <c r="S34" s="297"/>
      <c r="T34" s="297"/>
      <c r="U34" s="297"/>
      <c r="V34" s="297"/>
      <c r="W34" s="297"/>
      <c r="X34" s="79"/>
    </row>
    <row r="35" spans="2:24">
      <c r="B35" s="85"/>
      <c r="C35" s="109"/>
      <c r="D35" s="25"/>
      <c r="E35" s="86"/>
      <c r="F35" s="86" t="s">
        <v>141</v>
      </c>
      <c r="G35" s="94">
        <f>M82</f>
        <v>0</v>
      </c>
      <c r="H35" s="94">
        <f>N82</f>
        <v>0</v>
      </c>
      <c r="I35" s="382" t="s">
        <v>0</v>
      </c>
      <c r="J35" s="379">
        <v>0</v>
      </c>
      <c r="K35" s="383">
        <f>V6+N32</f>
        <v>0.12376015302219953</v>
      </c>
      <c r="L35" s="382" t="s">
        <v>321</v>
      </c>
      <c r="M35" s="379">
        <v>0</v>
      </c>
      <c r="N35" s="390">
        <v>4.5792080119318047E-2</v>
      </c>
      <c r="P35" s="297"/>
      <c r="Q35" s="297"/>
      <c r="R35" s="297"/>
      <c r="S35" s="297"/>
      <c r="T35" s="297"/>
      <c r="U35" s="297"/>
      <c r="V35" s="297"/>
      <c r="W35" s="297"/>
      <c r="X35" s="79"/>
    </row>
    <row r="36" spans="2:24">
      <c r="B36" s="85" t="s">
        <v>232</v>
      </c>
      <c r="C36" s="113">
        <v>0</v>
      </c>
      <c r="D36" s="8"/>
      <c r="E36" s="86"/>
      <c r="F36" s="86" t="s">
        <v>147</v>
      </c>
      <c r="G36" s="94">
        <f t="shared" ref="G36:G44" si="4">M83</f>
        <v>0</v>
      </c>
      <c r="H36" s="94">
        <f t="shared" ref="H36:H44" si="5">N83</f>
        <v>0</v>
      </c>
      <c r="I36" s="382" t="s">
        <v>322</v>
      </c>
      <c r="J36" s="379">
        <v>0</v>
      </c>
      <c r="K36" s="383">
        <f>V7+N36</f>
        <v>0.27215195808933224</v>
      </c>
      <c r="L36" s="382" t="s">
        <v>322</v>
      </c>
      <c r="M36" s="379">
        <v>0</v>
      </c>
      <c r="N36" s="390">
        <v>0.13651798985720218</v>
      </c>
      <c r="P36" s="297"/>
      <c r="Q36" s="297"/>
      <c r="R36" s="297"/>
      <c r="S36" s="297"/>
      <c r="T36" s="297"/>
      <c r="U36" s="297"/>
      <c r="V36" s="297"/>
      <c r="W36" s="297"/>
      <c r="X36" s="79"/>
    </row>
    <row r="37" spans="2:24">
      <c r="B37" s="85" t="s">
        <v>233</v>
      </c>
      <c r="C37" s="113">
        <v>0</v>
      </c>
      <c r="D37" s="8"/>
      <c r="E37" s="86"/>
      <c r="F37" s="86" t="s">
        <v>226</v>
      </c>
      <c r="G37" s="94">
        <f t="shared" si="4"/>
        <v>0</v>
      </c>
      <c r="H37" s="94">
        <f>N84</f>
        <v>0</v>
      </c>
      <c r="I37" s="382" t="s">
        <v>314</v>
      </c>
      <c r="J37" s="379" t="s">
        <v>279</v>
      </c>
      <c r="K37" s="379" t="s">
        <v>335</v>
      </c>
      <c r="L37" s="2"/>
      <c r="M37" s="2"/>
      <c r="N37" s="121"/>
      <c r="P37" s="297"/>
      <c r="Q37" s="297"/>
      <c r="R37" s="297"/>
      <c r="S37" s="297" t="s">
        <v>416</v>
      </c>
      <c r="T37" s="297"/>
      <c r="U37" s="297"/>
      <c r="V37" s="297"/>
      <c r="W37" s="297"/>
      <c r="X37" s="79"/>
    </row>
    <row r="38" spans="2:24" ht="13.5" thickBot="1">
      <c r="B38" s="85" t="s">
        <v>234</v>
      </c>
      <c r="C38" s="113">
        <v>0</v>
      </c>
      <c r="D38" s="8"/>
      <c r="E38" s="86"/>
      <c r="F38" s="86" t="s">
        <v>227</v>
      </c>
      <c r="G38" s="94">
        <f t="shared" si="4"/>
        <v>0</v>
      </c>
      <c r="H38" s="94">
        <f t="shared" si="5"/>
        <v>0</v>
      </c>
      <c r="I38" s="382" t="s">
        <v>319</v>
      </c>
      <c r="J38" s="379">
        <v>0</v>
      </c>
      <c r="K38" s="384">
        <v>0.1</v>
      </c>
      <c r="L38" s="407" t="s">
        <v>2</v>
      </c>
      <c r="M38" s="407"/>
      <c r="N38" s="408"/>
      <c r="P38" s="297" t="s">
        <v>367</v>
      </c>
      <c r="Q38" s="297"/>
      <c r="R38" s="296" t="s">
        <v>372</v>
      </c>
      <c r="S38" s="296"/>
      <c r="T38" s="297"/>
      <c r="U38" s="296" t="s">
        <v>378</v>
      </c>
      <c r="V38" s="296"/>
      <c r="W38" s="297"/>
      <c r="X38" s="79"/>
    </row>
    <row r="39" spans="2:24">
      <c r="B39" s="85" t="s">
        <v>235</v>
      </c>
      <c r="C39" s="113">
        <v>0</v>
      </c>
      <c r="D39" s="8"/>
      <c r="E39" s="86"/>
      <c r="F39" s="86" t="s">
        <v>228</v>
      </c>
      <c r="G39" s="94">
        <f t="shared" si="4"/>
        <v>0</v>
      </c>
      <c r="H39" s="94">
        <f t="shared" si="5"/>
        <v>0</v>
      </c>
      <c r="I39" s="382" t="s">
        <v>137</v>
      </c>
      <c r="J39" s="379">
        <v>0</v>
      </c>
      <c r="K39" s="384">
        <v>0.09</v>
      </c>
      <c r="L39" s="400" t="s">
        <v>319</v>
      </c>
      <c r="M39" s="401">
        <v>0.45</v>
      </c>
      <c r="N39" s="402">
        <v>0.48</v>
      </c>
      <c r="P39" s="297" t="s">
        <v>368</v>
      </c>
      <c r="Q39" s="300">
        <v>0</v>
      </c>
      <c r="R39" s="297" t="s">
        <v>371</v>
      </c>
      <c r="S39" s="300">
        <f>Calculos_cuotas!A65</f>
        <v>0</v>
      </c>
      <c r="T39" s="297"/>
      <c r="U39" s="297" t="s">
        <v>371</v>
      </c>
      <c r="V39" s="300" t="e">
        <f>#REF!</f>
        <v>#REF!</v>
      </c>
      <c r="W39" s="297"/>
      <c r="X39" s="79"/>
    </row>
    <row r="40" spans="2:24" ht="13.5" thickBot="1">
      <c r="B40" s="85" t="s">
        <v>278</v>
      </c>
      <c r="C40" s="113">
        <v>0</v>
      </c>
      <c r="D40" s="9"/>
      <c r="E40" s="86"/>
      <c r="F40" s="86" t="s">
        <v>266</v>
      </c>
      <c r="G40" s="94">
        <f t="shared" si="4"/>
        <v>0</v>
      </c>
      <c r="H40" s="94">
        <f t="shared" si="5"/>
        <v>0</v>
      </c>
      <c r="I40" s="382" t="s">
        <v>363</v>
      </c>
      <c r="J40" s="379">
        <v>0</v>
      </c>
      <c r="K40" s="384">
        <v>0.28999999999999998</v>
      </c>
      <c r="L40" s="403" t="s">
        <v>137</v>
      </c>
      <c r="M40" s="404">
        <v>0.45</v>
      </c>
      <c r="N40" s="402">
        <v>0.78</v>
      </c>
      <c r="P40" s="297" t="s">
        <v>369</v>
      </c>
      <c r="Q40" s="306">
        <v>0</v>
      </c>
      <c r="R40" s="297" t="s">
        <v>373</v>
      </c>
      <c r="S40" s="303">
        <f>S39*Q45</f>
        <v>0</v>
      </c>
      <c r="T40" s="297"/>
      <c r="U40" s="297" t="s">
        <v>373</v>
      </c>
      <c r="V40" s="303" t="e">
        <f>V39*Q45</f>
        <v>#REF!</v>
      </c>
      <c r="W40" s="297"/>
      <c r="X40" s="79"/>
    </row>
    <row r="41" spans="2:24" ht="18.75" thickBot="1">
      <c r="B41" s="85" t="s">
        <v>152</v>
      </c>
      <c r="C41" s="113">
        <v>0</v>
      </c>
      <c r="D41" s="8"/>
      <c r="F41" s="171" t="s">
        <v>230</v>
      </c>
      <c r="G41" s="172">
        <f>'Entrada de datos'!E48</f>
        <v>0</v>
      </c>
      <c r="H41" s="172">
        <f>'Entrada de datos'!F48</f>
        <v>0</v>
      </c>
      <c r="I41" s="382" t="s">
        <v>0</v>
      </c>
      <c r="J41" s="379">
        <v>0</v>
      </c>
      <c r="K41" s="384">
        <f>U6</f>
        <v>0.78887739359660491</v>
      </c>
      <c r="L41" s="405" t="s">
        <v>363</v>
      </c>
      <c r="M41" s="406">
        <v>0.45</v>
      </c>
      <c r="N41" s="402">
        <v>1.62</v>
      </c>
      <c r="P41" s="297" t="s">
        <v>370</v>
      </c>
      <c r="Q41" s="303">
        <v>0</v>
      </c>
      <c r="R41" s="297" t="s">
        <v>374</v>
      </c>
      <c r="S41" s="303">
        <f>IF(S40&gt;=(Q39+Q42),0,Q39+Q42-S40)</f>
        <v>0</v>
      </c>
      <c r="T41" s="297"/>
      <c r="U41" s="297" t="s">
        <v>374</v>
      </c>
      <c r="V41" s="303" t="e">
        <f>IF(V40&gt;=(Q39+Q42),0,Q39+Q42-V40)</f>
        <v>#REF!</v>
      </c>
      <c r="W41" s="297"/>
      <c r="X41" s="79"/>
    </row>
    <row r="42" spans="2:24" ht="18.75" thickBot="1">
      <c r="B42" s="184" t="s">
        <v>158</v>
      </c>
      <c r="C42" s="185">
        <f>SUM(C25:C34)+SUM(C36:C41)</f>
        <v>0</v>
      </c>
      <c r="D42" s="26"/>
      <c r="F42" s="173" t="s">
        <v>223</v>
      </c>
      <c r="G42" s="174">
        <f>'Entrada de datos'!N60</f>
        <v>0</v>
      </c>
      <c r="H42" s="174">
        <f>'Entrada de datos'!O60</f>
        <v>0</v>
      </c>
      <c r="I42" s="382" t="s">
        <v>322</v>
      </c>
      <c r="J42" s="379">
        <v>0</v>
      </c>
      <c r="K42" s="384">
        <f>U7</f>
        <v>1.0342113621727838</v>
      </c>
      <c r="L42" s="167"/>
      <c r="M42" s="167"/>
      <c r="N42" s="168"/>
      <c r="P42" s="297" t="s">
        <v>379</v>
      </c>
      <c r="Q42" s="300">
        <f>'Entrada de datos'!F194*SUM('Entrada de datos'!E201:E203)</f>
        <v>0</v>
      </c>
      <c r="R42" s="297"/>
      <c r="S42" s="297"/>
      <c r="T42" s="297"/>
      <c r="U42" s="297"/>
      <c r="V42" s="297"/>
      <c r="W42" s="297"/>
      <c r="X42" s="79"/>
    </row>
    <row r="43" spans="2:24" ht="18.75" thickBot="1">
      <c r="B43" s="85"/>
      <c r="C43" s="108"/>
      <c r="D43" s="108"/>
      <c r="E43" s="14"/>
      <c r="F43" s="175" t="s">
        <v>249</v>
      </c>
      <c r="G43" s="176">
        <f>'Entrada de datos'!N59</f>
        <v>0</v>
      </c>
      <c r="H43" s="177">
        <f>'Entrada de datos'!O59</f>
        <v>0</v>
      </c>
      <c r="I43" s="162" t="s">
        <v>3</v>
      </c>
      <c r="J43" s="162"/>
      <c r="K43" s="163"/>
      <c r="L43" s="161" t="s">
        <v>4</v>
      </c>
      <c r="M43" s="162"/>
      <c r="N43" s="163"/>
      <c r="P43" s="297" t="s">
        <v>380</v>
      </c>
      <c r="Q43" s="306">
        <f>'Entrada de datos'!E196</f>
        <v>0</v>
      </c>
      <c r="R43" s="297" t="s">
        <v>375</v>
      </c>
      <c r="S43" s="297"/>
      <c r="T43" s="297"/>
      <c r="U43" s="297" t="s">
        <v>375</v>
      </c>
      <c r="V43" s="297"/>
      <c r="W43" s="297"/>
      <c r="X43" s="79"/>
    </row>
    <row r="44" spans="2:24">
      <c r="B44" s="85"/>
      <c r="C44" s="109"/>
      <c r="D44" s="109"/>
      <c r="E44" s="35"/>
      <c r="F44" s="86" t="s">
        <v>231</v>
      </c>
      <c r="G44" s="94">
        <f t="shared" si="4"/>
        <v>0</v>
      </c>
      <c r="H44" s="94">
        <f t="shared" si="5"/>
        <v>0</v>
      </c>
      <c r="I44" s="150" t="s">
        <v>319</v>
      </c>
      <c r="J44" s="151">
        <v>0</v>
      </c>
      <c r="K44" s="152">
        <v>0</v>
      </c>
      <c r="L44" s="153" t="s">
        <v>319</v>
      </c>
      <c r="M44" s="151">
        <v>0</v>
      </c>
      <c r="N44" s="154">
        <v>0</v>
      </c>
      <c r="P44" s="297" t="s">
        <v>381</v>
      </c>
      <c r="Q44" s="303">
        <f>IF(Q43&gt;0,Q42/Q43,0)</f>
        <v>0</v>
      </c>
      <c r="R44" s="297"/>
      <c r="S44" s="300" t="s">
        <v>377</v>
      </c>
      <c r="T44" s="300" t="s">
        <v>376</v>
      </c>
      <c r="U44" s="297"/>
      <c r="V44" s="300" t="s">
        <v>377</v>
      </c>
      <c r="W44" s="300" t="s">
        <v>376</v>
      </c>
      <c r="X44" s="79"/>
    </row>
    <row r="45" spans="2:24">
      <c r="B45" s="85"/>
      <c r="C45" s="109"/>
      <c r="D45" s="109"/>
      <c r="E45" s="35"/>
      <c r="F45" s="86"/>
      <c r="G45" s="111">
        <f>IF(SUM(H35:H40)=0,0,H35/SUM(H35:H40))</f>
        <v>0</v>
      </c>
      <c r="H45" s="86" t="s">
        <v>113</v>
      </c>
      <c r="I45" s="122" t="s">
        <v>137</v>
      </c>
      <c r="J45" s="45">
        <v>0</v>
      </c>
      <c r="K45" s="44">
        <v>7.0000000000000007E-2</v>
      </c>
      <c r="L45" s="37" t="s">
        <v>137</v>
      </c>
      <c r="M45" s="45">
        <v>0.12</v>
      </c>
      <c r="N45" s="155">
        <v>0.24</v>
      </c>
      <c r="P45" s="297" t="s">
        <v>38</v>
      </c>
      <c r="Q45" s="303">
        <f>Q41+Q44</f>
        <v>0</v>
      </c>
      <c r="R45" s="297" t="str">
        <f>L39</f>
        <v>UE y Europa Occidental</v>
      </c>
      <c r="S45" s="303">
        <f>IF(U20=0,0,T45*T20/U20)</f>
        <v>0</v>
      </c>
      <c r="T45" s="303">
        <f>IF(SUM(W20:W22)=0,0,S41*W20/(SUM($W$20:$W$22)))</f>
        <v>0</v>
      </c>
      <c r="U45" s="297" t="str">
        <f>R45</f>
        <v>UE y Europa Occidental</v>
      </c>
      <c r="V45" s="303">
        <f>IF(U20=0,0,W45*T20/U20)</f>
        <v>0</v>
      </c>
      <c r="W45" s="303">
        <f>IF(SUM(W20:W22)=0,0,V41*W20/(SUM($W$20:$W$22)))</f>
        <v>0</v>
      </c>
      <c r="X45" s="79"/>
    </row>
    <row r="46" spans="2:24" ht="13.5" thickBot="1">
      <c r="B46" s="85"/>
      <c r="C46" s="109"/>
      <c r="D46" s="109"/>
      <c r="E46" s="35"/>
      <c r="F46" s="86"/>
      <c r="G46" s="112">
        <v>0.3</v>
      </c>
      <c r="H46" s="86" t="s">
        <v>114</v>
      </c>
      <c r="I46" s="156" t="s">
        <v>363</v>
      </c>
      <c r="J46" s="157">
        <v>1.5</v>
      </c>
      <c r="K46" s="158">
        <v>2.2000000000000002</v>
      </c>
      <c r="L46" s="159" t="s">
        <v>363</v>
      </c>
      <c r="M46" s="157">
        <v>1.5</v>
      </c>
      <c r="N46" s="160">
        <v>2.6</v>
      </c>
      <c r="P46" s="297"/>
      <c r="Q46" s="297"/>
      <c r="R46" s="297" t="str">
        <f>L40</f>
        <v>Estados Unidos</v>
      </c>
      <c r="S46" s="303">
        <f>IF(U21=0,0,T46*T21/U21)</f>
        <v>0</v>
      </c>
      <c r="T46" s="303">
        <f>IF(SUM(W20:W22)=0,0,S41*W21/(SUM($W$20:$W$22)))</f>
        <v>0</v>
      </c>
      <c r="U46" s="297" t="str">
        <f>R46</f>
        <v>Estados Unidos</v>
      </c>
      <c r="V46" s="303">
        <f>IF(U21=0,0,W46*T21/U21)</f>
        <v>0</v>
      </c>
      <c r="W46" s="303">
        <f>IF(SUM(W20:W22)=0,0,V41*W21/(SUM($W$20:$W$22)))</f>
        <v>0</v>
      </c>
      <c r="X46" s="79"/>
    </row>
    <row r="47" spans="2:24">
      <c r="B47" s="85"/>
      <c r="C47" s="109"/>
      <c r="D47" s="96"/>
      <c r="E47" s="32"/>
      <c r="F47" s="96"/>
      <c r="G47" s="115" t="s">
        <v>115</v>
      </c>
      <c r="H47" s="115"/>
      <c r="I47" s="148"/>
      <c r="J47" s="115"/>
      <c r="K47" s="115"/>
      <c r="L47" s="115"/>
      <c r="M47" s="115"/>
      <c r="N47" s="115"/>
      <c r="O47" s="115"/>
      <c r="P47" s="307" t="s">
        <v>382</v>
      </c>
      <c r="Q47" s="308" t="e">
        <f>IF((#REF!-Q48)&lt;0,0,(#REF!-Q48))</f>
        <v>#REF!</v>
      </c>
      <c r="R47" s="297" t="str">
        <f>L41</f>
        <v>China</v>
      </c>
      <c r="S47" s="303">
        <f>IF(U22=0,0,T47*T22/U22)</f>
        <v>0</v>
      </c>
      <c r="T47" s="303">
        <f>IF(SUM(W20:W22)=0,0,S41*W22/(SUM($W$20:$W$22)))</f>
        <v>0</v>
      </c>
      <c r="U47" s="297" t="str">
        <f>R47</f>
        <v>China</v>
      </c>
      <c r="V47" s="303">
        <f>IF(U22=0,0,W47*T22/U22)</f>
        <v>0</v>
      </c>
      <c r="W47" s="303">
        <f>IF(SUM(W20:W22)=0,0,V41*W22/(SUM($W$20:$W$22)))</f>
        <v>0</v>
      </c>
      <c r="X47" s="79"/>
    </row>
    <row r="48" spans="2:24">
      <c r="B48" s="85" t="s">
        <v>352</v>
      </c>
      <c r="C48" s="103">
        <f>D8</f>
        <v>1.09E-2</v>
      </c>
      <c r="D48" s="97"/>
      <c r="E48" s="33"/>
      <c r="F48" s="97"/>
      <c r="G48" s="115" t="s">
        <v>116</v>
      </c>
      <c r="H48" s="115"/>
      <c r="I48" s="149"/>
      <c r="J48" s="119" t="s">
        <v>273</v>
      </c>
      <c r="K48" s="53">
        <f>K44*(1-$S$13)</f>
        <v>0</v>
      </c>
      <c r="L48" s="115"/>
      <c r="M48" s="53">
        <f>M44*(1-$S$14)</f>
        <v>0</v>
      </c>
      <c r="N48" s="53">
        <f>N44*(1-$S$14)</f>
        <v>0</v>
      </c>
      <c r="O48" s="115"/>
      <c r="P48" s="307" t="s">
        <v>34</v>
      </c>
      <c r="Q48" s="308" t="e">
        <f>IF(SUM(#REF!,#REF!)&gt;#REF!,#REF!,SUM(#REF!,#REF!))</f>
        <v>#REF!</v>
      </c>
      <c r="R48" s="297"/>
      <c r="S48" s="297"/>
      <c r="T48" s="297"/>
      <c r="U48" s="297"/>
      <c r="V48" s="297"/>
      <c r="W48" s="297"/>
      <c r="X48" s="79"/>
    </row>
    <row r="49" spans="2:24">
      <c r="B49" s="85" t="s">
        <v>336</v>
      </c>
      <c r="C49" s="110">
        <v>0.7</v>
      </c>
      <c r="D49" s="86"/>
      <c r="E49" s="7"/>
      <c r="F49" s="7"/>
      <c r="G49" s="118"/>
      <c r="H49" s="115"/>
      <c r="I49" s="115"/>
      <c r="J49" s="115"/>
      <c r="K49" s="118"/>
      <c r="L49" s="118" t="s">
        <v>267</v>
      </c>
      <c r="M49" s="118" t="s">
        <v>268</v>
      </c>
      <c r="N49" s="118" t="s">
        <v>269</v>
      </c>
      <c r="O49" s="118"/>
      <c r="P49" s="307" t="s">
        <v>32</v>
      </c>
      <c r="Q49" s="309" t="e">
        <f>#REF!</f>
        <v>#REF!</v>
      </c>
      <c r="R49" s="2238" t="s">
        <v>445</v>
      </c>
      <c r="S49" s="2238"/>
      <c r="T49" s="310">
        <f>SUMPRODUCT(M39:M41,S45:S47)+SUMPRODUCT(N39:N41,T45:T47)</f>
        <v>0</v>
      </c>
      <c r="U49" s="2238" t="s">
        <v>445</v>
      </c>
      <c r="V49" s="2238"/>
      <c r="W49" s="311">
        <f>SUMPRODUCT(M39:M41,V45:V47)+SUMPRODUCT(N39:N41,W45:W47)</f>
        <v>0</v>
      </c>
      <c r="X49" s="79"/>
    </row>
    <row r="50" spans="2:24">
      <c r="B50" s="85" t="s">
        <v>340</v>
      </c>
      <c r="C50" s="105" t="e">
        <f>SUM(H38:H40)/H34</f>
        <v>#DIV/0!</v>
      </c>
      <c r="D50" s="109"/>
      <c r="E50" s="34"/>
      <c r="F50" s="7"/>
      <c r="G50" s="126"/>
      <c r="H50" s="126"/>
      <c r="I50" s="115"/>
      <c r="J50" s="115" t="s">
        <v>261</v>
      </c>
      <c r="K50" s="127">
        <v>0.09</v>
      </c>
      <c r="L50" s="127">
        <f>K50/($K$54-$K$52)</f>
        <v>0.23684210526315788</v>
      </c>
      <c r="M50" s="127">
        <f>K50/($K$54-$K$53)</f>
        <v>0.20454545454545456</v>
      </c>
      <c r="N50" s="118"/>
      <c r="O50" s="118"/>
      <c r="P50" s="307" t="s">
        <v>33</v>
      </c>
      <c r="Q50" s="309" t="e">
        <f>(Q47*Q41+Q48*Q45+Q49*Q44)/SUM(Q47:Q49)</f>
        <v>#REF!</v>
      </c>
      <c r="R50" s="297"/>
      <c r="S50" s="297"/>
      <c r="T50" s="297"/>
      <c r="U50" s="297"/>
      <c r="V50" s="297"/>
      <c r="W50" s="297"/>
      <c r="X50" s="79"/>
    </row>
    <row r="51" spans="2:24" s="115" customFormat="1" hidden="1">
      <c r="B51" s="123" t="s">
        <v>341</v>
      </c>
      <c r="C51" s="124" t="e">
        <f>C49*C50</f>
        <v>#DIV/0!</v>
      </c>
      <c r="D51" s="125"/>
      <c r="E51" s="125"/>
      <c r="G51" s="126"/>
      <c r="H51" s="126"/>
      <c r="J51" s="115" t="s">
        <v>142</v>
      </c>
      <c r="K51" s="127">
        <v>0.12</v>
      </c>
      <c r="L51" s="127">
        <f>K51/($K$54-$K$52)</f>
        <v>0.31578947368421051</v>
      </c>
      <c r="M51" s="127">
        <f>K51/($K$54-$K$53)</f>
        <v>0.27272727272727276</v>
      </c>
      <c r="N51" s="127">
        <f>K51/($K$51+$K$52)</f>
        <v>0.34285714285714286</v>
      </c>
      <c r="O51" s="118"/>
      <c r="P51" s="297" t="s">
        <v>35</v>
      </c>
      <c r="Q51" s="297"/>
      <c r="R51" s="297"/>
      <c r="S51" s="297"/>
      <c r="T51" s="297"/>
      <c r="U51" s="297"/>
      <c r="V51" s="297"/>
      <c r="W51" s="297"/>
    </row>
    <row r="52" spans="2:24" s="115" customFormat="1" hidden="1">
      <c r="B52" s="123" t="s">
        <v>337</v>
      </c>
      <c r="C52" s="128">
        <f>$C$48*$C$49*SUM($H$38:$H$40)</f>
        <v>0</v>
      </c>
      <c r="D52" s="124" t="e">
        <f>C52/(D42-C42)</f>
        <v>#DIV/0!</v>
      </c>
      <c r="E52" s="125"/>
      <c r="G52" s="126"/>
      <c r="H52" s="126"/>
      <c r="J52" s="115" t="s">
        <v>149</v>
      </c>
      <c r="K52" s="127">
        <v>0.23</v>
      </c>
      <c r="L52" s="127"/>
      <c r="M52" s="127">
        <f>K52/($K$54-$K$53)</f>
        <v>0.52272727272727282</v>
      </c>
      <c r="N52" s="127">
        <f>K52/($K$51+$K$52)</f>
        <v>0.65714285714285725</v>
      </c>
      <c r="O52" s="118"/>
      <c r="P52" s="297" t="s">
        <v>36</v>
      </c>
      <c r="Q52" s="297"/>
      <c r="R52" s="297"/>
      <c r="S52" s="297"/>
      <c r="T52" s="297"/>
      <c r="U52" s="297"/>
      <c r="V52" s="297"/>
      <c r="W52" s="297"/>
    </row>
    <row r="53" spans="2:24" s="115" customFormat="1" hidden="1">
      <c r="B53" s="123" t="s">
        <v>351</v>
      </c>
      <c r="C53" s="125" t="e">
        <f>C52/G29</f>
        <v>#REF!</v>
      </c>
      <c r="D53" s="125" t="e">
        <f>C52/G29</f>
        <v>#REF!</v>
      </c>
      <c r="E53" s="124" t="e">
        <f>D53/D55</f>
        <v>#REF!</v>
      </c>
      <c r="G53" s="126"/>
      <c r="H53" s="126"/>
      <c r="J53" s="115" t="s">
        <v>148</v>
      </c>
      <c r="K53" s="127">
        <v>0.17</v>
      </c>
      <c r="L53" s="127">
        <f>K53/($K$54-$K$52)</f>
        <v>0.44736842105263158</v>
      </c>
      <c r="M53" s="118"/>
      <c r="N53" s="118"/>
      <c r="O53" s="118"/>
      <c r="P53" s="297" t="s">
        <v>37</v>
      </c>
      <c r="Q53" s="297"/>
      <c r="R53" s="297"/>
      <c r="S53" s="297"/>
      <c r="T53" s="297"/>
      <c r="U53" s="297"/>
      <c r="V53" s="297"/>
      <c r="W53" s="297"/>
    </row>
    <row r="54" spans="2:24" s="115" customFormat="1" hidden="1">
      <c r="B54" s="123"/>
      <c r="G54" s="118"/>
      <c r="K54" s="127">
        <f>SUM(K50:K53)</f>
        <v>0.61</v>
      </c>
      <c r="L54" s="127">
        <f>SUM(L50:L53)</f>
        <v>1</v>
      </c>
      <c r="M54" s="127">
        <f>SUM(M50:M53)</f>
        <v>1</v>
      </c>
      <c r="N54" s="127">
        <f>SUM(N50:N53)</f>
        <v>1</v>
      </c>
      <c r="O54" s="118"/>
      <c r="P54" s="297"/>
      <c r="Q54" s="297"/>
      <c r="R54" s="297"/>
      <c r="S54" s="297"/>
      <c r="T54" s="297"/>
      <c r="U54" s="297"/>
      <c r="V54" s="297"/>
      <c r="W54" s="297"/>
    </row>
    <row r="55" spans="2:24" s="115" customFormat="1" hidden="1">
      <c r="B55" s="123"/>
      <c r="D55" s="125"/>
      <c r="E55" s="129"/>
      <c r="F55" s="115" t="s">
        <v>247</v>
      </c>
      <c r="G55" s="127">
        <f>G27</f>
        <v>0</v>
      </c>
      <c r="K55" s="118"/>
      <c r="P55" s="297"/>
      <c r="Q55" s="297"/>
      <c r="R55" s="297"/>
      <c r="S55" s="297"/>
      <c r="T55" s="297"/>
      <c r="U55" s="297"/>
      <c r="V55" s="297"/>
      <c r="W55" s="297"/>
    </row>
    <row r="56" spans="2:24" s="115" customFormat="1" hidden="1">
      <c r="B56" s="123"/>
      <c r="C56" s="125" t="s">
        <v>61</v>
      </c>
      <c r="D56" s="129"/>
      <c r="G56" s="118"/>
      <c r="J56" s="130" t="s">
        <v>245</v>
      </c>
      <c r="K56" s="118"/>
      <c r="L56" s="119" t="s">
        <v>272</v>
      </c>
      <c r="P56" s="297"/>
      <c r="Q56" s="297"/>
      <c r="R56" s="297"/>
      <c r="S56" s="297"/>
      <c r="T56" s="297"/>
      <c r="U56" s="297"/>
      <c r="V56" s="297"/>
      <c r="W56" s="297"/>
    </row>
    <row r="57" spans="2:24" s="115" customFormat="1" hidden="1">
      <c r="B57" s="130"/>
      <c r="C57" s="131" t="s">
        <v>56</v>
      </c>
      <c r="D57" s="131" t="s">
        <v>57</v>
      </c>
      <c r="E57" s="131" t="s">
        <v>58</v>
      </c>
      <c r="G57" s="118"/>
      <c r="J57" s="123" t="s">
        <v>141</v>
      </c>
      <c r="K57" s="132" t="e">
        <f>HLOOKUP('Entrada de datos'!$E$12,#REF!,2,TRUE)</f>
        <v>#REF!</v>
      </c>
      <c r="L57" s="118" t="s">
        <v>141</v>
      </c>
      <c r="M57" s="127">
        <f>IF('Entrada de datos'!E12=0,0,'Entrada de datos'!Q28*0.7)</f>
        <v>0</v>
      </c>
      <c r="N57" s="118"/>
      <c r="P57" s="297"/>
      <c r="Q57" s="297"/>
      <c r="R57" s="297"/>
      <c r="S57" s="297"/>
      <c r="T57" s="297"/>
      <c r="U57" s="297"/>
      <c r="V57" s="297"/>
      <c r="W57" s="297"/>
    </row>
    <row r="58" spans="2:24" s="115" customFormat="1" hidden="1">
      <c r="B58" s="123" t="s">
        <v>59</v>
      </c>
      <c r="C58" s="133">
        <v>6.7299999999999999E-2</v>
      </c>
      <c r="D58" s="128">
        <v>0.36</v>
      </c>
      <c r="E58" s="118">
        <v>0.42</v>
      </c>
      <c r="F58" s="115" t="s">
        <v>315</v>
      </c>
      <c r="G58" s="120">
        <f>SUM('Entrada de datos'!H93:H94)</f>
        <v>0</v>
      </c>
      <c r="J58" s="123" t="s">
        <v>147</v>
      </c>
      <c r="K58" s="132" t="e">
        <f>HLOOKUP('Entrada de datos'!$E$12,#REF!,3,TRUE)</f>
        <v>#REF!</v>
      </c>
      <c r="L58" s="118" t="s">
        <v>149</v>
      </c>
      <c r="M58" s="127">
        <f>(1-$M$57)*N58</f>
        <v>0.44230769230769229</v>
      </c>
      <c r="N58" s="127">
        <f>K52/(SUM($K$51:$K$53))</f>
        <v>0.44230769230769229</v>
      </c>
      <c r="P58" s="297"/>
      <c r="Q58" s="297"/>
      <c r="R58" s="297"/>
      <c r="S58" s="297"/>
      <c r="T58" s="297"/>
      <c r="U58" s="297"/>
      <c r="V58" s="297"/>
      <c r="W58" s="297"/>
    </row>
    <row r="59" spans="2:24" s="115" customFormat="1" hidden="1">
      <c r="B59" s="123" t="s">
        <v>60</v>
      </c>
      <c r="C59" s="133">
        <v>2.29E-2</v>
      </c>
      <c r="D59" s="128">
        <v>0.36</v>
      </c>
      <c r="E59" s="118">
        <v>0.42</v>
      </c>
      <c r="G59" s="120"/>
      <c r="H59" s="134"/>
      <c r="J59" s="123" t="s">
        <v>142</v>
      </c>
      <c r="K59" s="132" t="e">
        <f>HLOOKUP('Entrada de datos'!$E$12,#REF!,4,TRUE)</f>
        <v>#REF!</v>
      </c>
      <c r="L59" s="118" t="s">
        <v>148</v>
      </c>
      <c r="M59" s="127">
        <f>(1-$M$57)*N59</f>
        <v>0.32692307692307693</v>
      </c>
      <c r="N59" s="127">
        <f>K53/(SUM($K$51:$K$53))</f>
        <v>0.32692307692307693</v>
      </c>
      <c r="P59" s="297"/>
      <c r="Q59" s="297"/>
      <c r="R59" s="297"/>
      <c r="S59" s="297"/>
      <c r="T59" s="297"/>
      <c r="U59" s="297"/>
      <c r="V59" s="297"/>
      <c r="W59" s="297"/>
    </row>
    <row r="60" spans="2:24" s="115" customFormat="1" hidden="1">
      <c r="B60" s="123"/>
      <c r="C60" s="128"/>
      <c r="D60" s="124">
        <v>0.5</v>
      </c>
      <c r="E60" s="135">
        <f>E58/C58</f>
        <v>6.2407132243684993</v>
      </c>
      <c r="F60" s="115" t="s">
        <v>236</v>
      </c>
      <c r="G60" s="120">
        <f>G58*M58</f>
        <v>0</v>
      </c>
      <c r="H60" s="134"/>
      <c r="J60" s="123" t="s">
        <v>148</v>
      </c>
      <c r="K60" s="132" t="e">
        <f>HLOOKUP('Entrada de datos'!$E$12,#REF!,5,TRUE)</f>
        <v>#REF!</v>
      </c>
      <c r="L60" s="118" t="s">
        <v>142</v>
      </c>
      <c r="M60" s="127">
        <f>(1-$M$57)*N60</f>
        <v>0.23076923076923075</v>
      </c>
      <c r="N60" s="127">
        <f>K51/(SUM($K$51:$K$53))</f>
        <v>0.23076923076923075</v>
      </c>
      <c r="P60" s="297"/>
      <c r="Q60" s="297"/>
      <c r="R60" s="297"/>
      <c r="S60" s="297"/>
      <c r="T60" s="297"/>
      <c r="U60" s="297"/>
      <c r="V60" s="297"/>
      <c r="W60" s="297"/>
    </row>
    <row r="61" spans="2:24" s="115" customFormat="1" hidden="1">
      <c r="B61" s="123"/>
      <c r="C61" s="128"/>
      <c r="D61" s="124">
        <v>0.5</v>
      </c>
      <c r="E61" s="135">
        <f>E59/C59</f>
        <v>18.34061135371179</v>
      </c>
      <c r="F61" s="115" t="s">
        <v>237</v>
      </c>
      <c r="G61" s="120">
        <f>G58*M59</f>
        <v>0</v>
      </c>
      <c r="J61" s="123" t="s">
        <v>149</v>
      </c>
      <c r="K61" s="132" t="e">
        <f>HLOOKUP('Entrada de datos'!$E$12,#REF!,6,TRUE)</f>
        <v>#REF!</v>
      </c>
      <c r="L61" s="118" t="s">
        <v>222</v>
      </c>
      <c r="M61" s="127">
        <f>(1-$M$57)*N61</f>
        <v>0</v>
      </c>
      <c r="N61" s="127">
        <f>1-SUM(N58:N60)</f>
        <v>0</v>
      </c>
      <c r="P61" s="297"/>
      <c r="Q61" s="297"/>
      <c r="R61" s="297"/>
      <c r="S61" s="297"/>
      <c r="T61" s="297"/>
      <c r="U61" s="297"/>
      <c r="V61" s="297"/>
      <c r="W61" s="297"/>
    </row>
    <row r="62" spans="2:24" s="115" customFormat="1" hidden="1">
      <c r="B62" s="130"/>
      <c r="C62" s="136"/>
      <c r="D62" s="136"/>
      <c r="E62" s="135">
        <f>SUMPRODUCT(D60:D61,E60:E61)</f>
        <v>12.290662289040144</v>
      </c>
      <c r="F62" s="115" t="s">
        <v>238</v>
      </c>
      <c r="G62" s="120">
        <f>G58*(M57+M60)</f>
        <v>0</v>
      </c>
      <c r="J62" s="123" t="s">
        <v>243</v>
      </c>
      <c r="K62" s="132" t="e">
        <f>HLOOKUP('Entrada de datos'!$E$12,#REF!,7,TRUE)</f>
        <v>#REF!</v>
      </c>
      <c r="P62" s="297"/>
      <c r="Q62" s="297"/>
      <c r="R62" s="297"/>
      <c r="S62" s="297"/>
      <c r="T62" s="297"/>
      <c r="U62" s="297"/>
      <c r="V62" s="297"/>
      <c r="W62" s="297"/>
    </row>
    <row r="63" spans="2:24" s="115" customFormat="1" hidden="1">
      <c r="F63" s="115" t="s">
        <v>239</v>
      </c>
      <c r="G63" s="120">
        <f>G58*M61</f>
        <v>0</v>
      </c>
      <c r="J63" s="123" t="s">
        <v>143</v>
      </c>
      <c r="K63" s="132" t="e">
        <f>HLOOKUP('Entrada de datos'!$E$12,#REF!,8,TRUE)</f>
        <v>#REF!</v>
      </c>
      <c r="P63" s="297"/>
      <c r="Q63" s="297"/>
      <c r="R63" s="297"/>
      <c r="S63" s="297"/>
      <c r="T63" s="297"/>
      <c r="U63" s="297"/>
      <c r="V63" s="297"/>
      <c r="W63" s="297"/>
    </row>
    <row r="64" spans="2:24" s="115" customFormat="1" hidden="1">
      <c r="C64" s="119"/>
      <c r="G64" s="118"/>
      <c r="J64" s="123" t="s">
        <v>206</v>
      </c>
      <c r="K64" s="132" t="e">
        <f>HLOOKUP('Entrada de datos'!$E$12,#REF!,9,TRUE)</f>
        <v>#REF!</v>
      </c>
      <c r="P64" s="297"/>
      <c r="Q64" s="297"/>
      <c r="R64" s="297"/>
      <c r="S64" s="297"/>
      <c r="T64" s="297"/>
      <c r="U64" s="297"/>
      <c r="V64" s="297"/>
      <c r="W64" s="297"/>
    </row>
    <row r="65" spans="1:23" s="115" customFormat="1" hidden="1">
      <c r="B65" s="130"/>
      <c r="F65" s="123" t="s">
        <v>447</v>
      </c>
      <c r="G65" s="125" t="e">
        <f>IF(G29=0,0,(C5*SUM(G37:G40)+C6*(H36-J83)+C6*(G36-I83)+MAX(J94,J95)*5+C7*H37+C8*H38+C9*H39+C10*H40+C11*G58)/(G29))</f>
        <v>#REF!</v>
      </c>
      <c r="J65" s="123" t="s">
        <v>244</v>
      </c>
      <c r="K65" s="132" t="e">
        <f>HLOOKUP('Entrada de datos'!$E$12,#REF!,10,TRUE)</f>
        <v>#REF!</v>
      </c>
      <c r="P65" s="297"/>
      <c r="Q65" s="297"/>
      <c r="R65" s="297"/>
      <c r="S65" s="297"/>
      <c r="T65" s="297"/>
      <c r="U65" s="297"/>
      <c r="V65" s="297"/>
      <c r="W65" s="297"/>
    </row>
    <row r="66" spans="1:23" s="115" customFormat="1" hidden="1">
      <c r="B66" s="119"/>
      <c r="C66" s="137"/>
      <c r="D66" s="137"/>
      <c r="E66" s="118"/>
      <c r="F66" s="123" t="s">
        <v>448</v>
      </c>
      <c r="G66" s="125" t="e">
        <f>IF(G65=0,0,G65+C4)</f>
        <v>#REF!</v>
      </c>
      <c r="P66" s="297"/>
      <c r="Q66" s="297"/>
      <c r="R66" s="297"/>
      <c r="S66" s="297"/>
      <c r="T66" s="297"/>
      <c r="U66" s="297"/>
      <c r="V66" s="297"/>
      <c r="W66" s="297"/>
    </row>
    <row r="67" spans="1:23" s="115" customFormat="1" hidden="1">
      <c r="B67" s="119"/>
      <c r="C67" s="137"/>
      <c r="D67" s="137"/>
      <c r="E67" s="118"/>
      <c r="G67" s="118"/>
      <c r="P67" s="297"/>
      <c r="Q67" s="297"/>
      <c r="R67" s="297"/>
      <c r="S67" s="297"/>
      <c r="T67" s="297"/>
      <c r="U67" s="297"/>
      <c r="V67" s="297"/>
      <c r="W67" s="297"/>
    </row>
    <row r="68" spans="1:23" s="115" customFormat="1" hidden="1">
      <c r="B68" s="119"/>
      <c r="C68" s="137"/>
      <c r="D68" s="137"/>
      <c r="E68" s="118"/>
      <c r="F68" s="138" t="s">
        <v>329</v>
      </c>
      <c r="G68" s="138" t="e">
        <f>IF(G29&lt;40,"Cliente de valor medio",IF(G29&gt;=81,"Cliente de valor alto","Cliente de valor medio-alto"))</f>
        <v>#REF!</v>
      </c>
      <c r="H68" s="138"/>
      <c r="K68" s="115" t="s">
        <v>359</v>
      </c>
      <c r="M68" s="115" t="s">
        <v>360</v>
      </c>
      <c r="P68" s="297"/>
      <c r="Q68" s="297"/>
      <c r="R68" s="297"/>
      <c r="S68" s="297"/>
      <c r="T68" s="297"/>
      <c r="U68" s="297"/>
      <c r="V68" s="297"/>
      <c r="W68" s="297"/>
    </row>
    <row r="69" spans="1:23" s="115" customFormat="1" hidden="1">
      <c r="B69" s="119"/>
      <c r="C69" s="137"/>
      <c r="D69" s="137"/>
      <c r="E69" s="118"/>
      <c r="G69" s="126" t="e">
        <f>SUM(H36:H39)/G29</f>
        <v>#REF!</v>
      </c>
      <c r="P69" s="297"/>
      <c r="Q69" s="297"/>
      <c r="R69" s="297"/>
      <c r="S69" s="297"/>
      <c r="T69" s="297"/>
      <c r="U69" s="297"/>
      <c r="V69" s="297"/>
      <c r="W69" s="297"/>
    </row>
    <row r="70" spans="1:23" s="115" customFormat="1" hidden="1">
      <c r="F70" s="115" t="s">
        <v>112</v>
      </c>
      <c r="G70" s="126" t="e">
        <f>IF(G45&gt;G46,SUM(H36:H40)/G29/H71,SUM(H35:H40)/G29)</f>
        <v>#REF!</v>
      </c>
      <c r="H70" s="115" t="s">
        <v>141</v>
      </c>
      <c r="K70" s="123" t="s">
        <v>353</v>
      </c>
      <c r="L70" s="138">
        <v>1.05</v>
      </c>
      <c r="M70" s="139">
        <v>0.1</v>
      </c>
      <c r="P70" s="297"/>
      <c r="Q70" s="297"/>
      <c r="R70" s="297"/>
      <c r="S70" s="297"/>
      <c r="T70" s="297"/>
      <c r="U70" s="297"/>
      <c r="V70" s="297"/>
      <c r="W70" s="297"/>
    </row>
    <row r="71" spans="1:23" s="115" customFormat="1" hidden="1">
      <c r="G71" s="118"/>
      <c r="H71" s="140">
        <f>1-G46</f>
        <v>0.7</v>
      </c>
      <c r="K71" s="123" t="s">
        <v>356</v>
      </c>
      <c r="L71" s="138">
        <v>0</v>
      </c>
      <c r="M71" s="139">
        <f>1-M70</f>
        <v>0.9</v>
      </c>
      <c r="N71" s="115">
        <f>SUMPRODUCT(L70:L71,M70:M71)</f>
        <v>0.10500000000000001</v>
      </c>
      <c r="P71" s="297"/>
      <c r="Q71" s="297"/>
      <c r="R71" s="297"/>
      <c r="S71" s="297"/>
      <c r="T71" s="297"/>
      <c r="U71" s="297"/>
      <c r="V71" s="297"/>
      <c r="W71" s="297"/>
    </row>
    <row r="72" spans="1:23" s="115" customFormat="1" hidden="1">
      <c r="G72" s="141"/>
      <c r="H72" s="142">
        <f>SUM(H35:H40)</f>
        <v>0</v>
      </c>
      <c r="I72" s="141"/>
      <c r="K72" s="123" t="s">
        <v>354</v>
      </c>
      <c r="L72" s="138">
        <v>1.05</v>
      </c>
      <c r="M72" s="139">
        <v>0.1</v>
      </c>
      <c r="P72" s="297"/>
      <c r="Q72" s="297"/>
      <c r="R72" s="297"/>
      <c r="S72" s="297"/>
      <c r="T72" s="297"/>
      <c r="U72" s="297"/>
      <c r="V72" s="297"/>
      <c r="W72" s="297"/>
    </row>
    <row r="73" spans="1:23" s="115" customFormat="1" hidden="1">
      <c r="E73" s="115" t="s">
        <v>362</v>
      </c>
      <c r="G73" s="124"/>
      <c r="H73" s="142" t="e">
        <f>H72/G29</f>
        <v>#REF!</v>
      </c>
      <c r="I73" s="126"/>
      <c r="K73" s="123" t="s">
        <v>357</v>
      </c>
      <c r="L73" s="138">
        <v>0</v>
      </c>
      <c r="M73" s="139">
        <f>1-M72</f>
        <v>0.9</v>
      </c>
      <c r="N73" s="115">
        <f>SUMPRODUCT(L72:L73,M72:M73)</f>
        <v>0.10500000000000001</v>
      </c>
      <c r="P73" s="297"/>
      <c r="Q73" s="297"/>
      <c r="R73" s="297"/>
      <c r="S73" s="297"/>
      <c r="T73" s="297"/>
      <c r="U73" s="297"/>
      <c r="V73" s="297"/>
      <c r="W73" s="297"/>
    </row>
    <row r="74" spans="1:23" s="115" customFormat="1" hidden="1">
      <c r="G74" s="124"/>
      <c r="H74" s="124"/>
      <c r="I74" s="126"/>
      <c r="K74" s="123" t="s">
        <v>355</v>
      </c>
      <c r="L74" s="138">
        <v>1.05</v>
      </c>
      <c r="M74" s="139">
        <v>0.1</v>
      </c>
      <c r="P74" s="297"/>
      <c r="Q74" s="297"/>
      <c r="R74" s="297"/>
      <c r="S74" s="297"/>
      <c r="T74" s="297"/>
      <c r="U74" s="297"/>
      <c r="V74" s="297"/>
      <c r="W74" s="297"/>
    </row>
    <row r="75" spans="1:23" s="115" customFormat="1" hidden="1">
      <c r="B75" s="123"/>
      <c r="C75" s="127"/>
      <c r="G75" s="118"/>
      <c r="J75" s="141"/>
      <c r="K75" s="123" t="s">
        <v>358</v>
      </c>
      <c r="L75" s="138">
        <v>0</v>
      </c>
      <c r="M75" s="139">
        <f>1-M74</f>
        <v>0.9</v>
      </c>
      <c r="N75" s="115">
        <f>SUMPRODUCT(L74:L75,M74:M75)</f>
        <v>0.10500000000000001</v>
      </c>
      <c r="P75" s="297"/>
      <c r="Q75" s="297"/>
      <c r="R75" s="297"/>
      <c r="S75" s="297"/>
      <c r="T75" s="297"/>
      <c r="U75" s="297"/>
      <c r="V75" s="297"/>
      <c r="W75" s="297"/>
    </row>
    <row r="76" spans="1:23" s="115" customFormat="1" hidden="1">
      <c r="B76" s="123"/>
      <c r="G76" s="118"/>
      <c r="J76" s="126"/>
      <c r="M76" s="123" t="s">
        <v>361</v>
      </c>
      <c r="N76" s="115" t="e">
        <f>IF(#REF!=0,0,(#REF!+#REF!)*ITL_roam!N71+#REF!*ITL_roam!N73+#REF!*ITL_roam!N75)</f>
        <v>#REF!</v>
      </c>
      <c r="P76" s="297"/>
      <c r="Q76" s="297"/>
      <c r="R76" s="297"/>
      <c r="S76" s="297"/>
      <c r="T76" s="297"/>
      <c r="U76" s="297"/>
      <c r="V76" s="297"/>
      <c r="W76" s="297"/>
    </row>
    <row r="77" spans="1:23" s="115" customFormat="1" hidden="1">
      <c r="B77" s="123"/>
      <c r="C77" s="143"/>
      <c r="G77" s="118"/>
      <c r="P77" s="297"/>
      <c r="Q77" s="297"/>
      <c r="R77" s="297"/>
      <c r="S77" s="297"/>
      <c r="T77" s="297"/>
      <c r="U77" s="297"/>
      <c r="V77" s="297"/>
      <c r="W77" s="297"/>
    </row>
    <row r="78" spans="1:23" s="115" customFormat="1" hidden="1">
      <c r="A78" s="115" t="s">
        <v>76</v>
      </c>
      <c r="B78" s="123"/>
      <c r="C78" s="115" t="s">
        <v>80</v>
      </c>
      <c r="G78" s="118"/>
      <c r="P78" s="297"/>
      <c r="Q78" s="297"/>
      <c r="R78" s="297"/>
      <c r="S78" s="297"/>
      <c r="T78" s="297"/>
      <c r="U78" s="297"/>
      <c r="V78" s="297"/>
      <c r="W78" s="297"/>
    </row>
    <row r="79" spans="1:23" s="115" customFormat="1" hidden="1">
      <c r="B79" s="123"/>
      <c r="C79" s="115" t="s">
        <v>77</v>
      </c>
      <c r="G79" s="118"/>
      <c r="P79" s="297"/>
      <c r="Q79" s="297"/>
      <c r="R79" s="297"/>
      <c r="S79" s="297"/>
      <c r="T79" s="297"/>
      <c r="U79" s="297"/>
      <c r="V79" s="297"/>
      <c r="W79" s="297"/>
    </row>
    <row r="80" spans="1:23" s="115" customFormat="1" hidden="1">
      <c r="B80" s="123"/>
      <c r="C80" s="2241" t="s">
        <v>78</v>
      </c>
      <c r="D80" s="2241"/>
      <c r="E80" s="2241" t="s">
        <v>79</v>
      </c>
      <c r="F80" s="2241"/>
      <c r="G80" s="2240" t="s">
        <v>135</v>
      </c>
      <c r="H80" s="2240"/>
      <c r="I80" s="2240"/>
      <c r="J80" s="2240"/>
      <c r="K80" s="115" t="s">
        <v>105</v>
      </c>
      <c r="M80" s="115" t="s">
        <v>104</v>
      </c>
      <c r="P80" s="297" t="s">
        <v>107</v>
      </c>
      <c r="Q80" s="297"/>
      <c r="R80" s="297"/>
      <c r="S80" s="297" t="s">
        <v>67</v>
      </c>
      <c r="T80" s="297"/>
      <c r="U80" s="297"/>
      <c r="V80" s="297"/>
      <c r="W80" s="297"/>
    </row>
    <row r="81" spans="2:23" s="115" customFormat="1" hidden="1">
      <c r="B81" s="123"/>
      <c r="C81" s="144" t="s">
        <v>248</v>
      </c>
      <c r="D81" s="115" t="s">
        <v>138</v>
      </c>
      <c r="E81" s="144" t="s">
        <v>248</v>
      </c>
      <c r="F81" s="115" t="s">
        <v>138</v>
      </c>
      <c r="G81" s="144" t="s">
        <v>92</v>
      </c>
      <c r="H81" s="115" t="s">
        <v>93</v>
      </c>
      <c r="I81" s="115" t="s">
        <v>97</v>
      </c>
      <c r="J81" s="115" t="s">
        <v>98</v>
      </c>
      <c r="K81" s="144" t="s">
        <v>248</v>
      </c>
      <c r="L81" s="115" t="s">
        <v>138</v>
      </c>
      <c r="M81" s="145" t="s">
        <v>248</v>
      </c>
      <c r="N81" s="118" t="s">
        <v>138</v>
      </c>
      <c r="P81" s="312" t="s">
        <v>248</v>
      </c>
      <c r="Q81" s="300" t="s">
        <v>138</v>
      </c>
      <c r="R81" s="297"/>
      <c r="S81" s="300" t="s">
        <v>68</v>
      </c>
      <c r="T81" s="298" t="s">
        <v>69</v>
      </c>
      <c r="U81" s="297"/>
      <c r="V81" s="297"/>
      <c r="W81" s="297"/>
    </row>
    <row r="82" spans="2:23" s="115" customFormat="1" hidden="1">
      <c r="B82" s="115" t="s">
        <v>141</v>
      </c>
      <c r="C82" s="143">
        <f>IF($C$106&gt;1,'Entrada de datos'!G28,$C$106*'Entrada de datos'!G28)</f>
        <v>0</v>
      </c>
      <c r="D82" s="143">
        <f>IF($C$106&gt;1,'Entrada de datos'!H28,$C$106*'Entrada de datos'!H28)</f>
        <v>0</v>
      </c>
      <c r="E82" s="146">
        <v>0</v>
      </c>
      <c r="F82" s="146">
        <v>0</v>
      </c>
      <c r="G82" s="118">
        <v>0</v>
      </c>
      <c r="H82" s="118">
        <v>0</v>
      </c>
      <c r="I82" s="118">
        <v>0</v>
      </c>
      <c r="J82" s="118">
        <v>0</v>
      </c>
      <c r="K82" s="118">
        <v>0</v>
      </c>
      <c r="L82" s="118">
        <v>0</v>
      </c>
      <c r="M82" s="126">
        <f>C82+E82+I82+K82</f>
        <v>0</v>
      </c>
      <c r="N82" s="126">
        <f>D82+F82+J82+L82</f>
        <v>0</v>
      </c>
      <c r="P82" s="306">
        <f>G35</f>
        <v>0</v>
      </c>
      <c r="Q82" s="306">
        <f>H35</f>
        <v>0</v>
      </c>
      <c r="R82" s="297"/>
      <c r="S82" s="313">
        <f>(D82+F82)*'Entrada de datos'!T28*(((1-'Entrada de datos'!$E$106)*'Entrada de datos'!$E$107/18)+(18-'Entrada de datos'!$E$107)/18)</f>
        <v>0</v>
      </c>
      <c r="T82" s="313">
        <v>0</v>
      </c>
      <c r="U82" s="297"/>
      <c r="V82" s="297"/>
      <c r="W82" s="297"/>
    </row>
    <row r="83" spans="2:23" s="115" customFormat="1" hidden="1">
      <c r="B83" s="115" t="s">
        <v>147</v>
      </c>
      <c r="C83" s="143">
        <f>IF($C$106&gt;1,'Entrada de datos'!G29,$C$106*'Entrada de datos'!G29)-IF('Entrada de datos'!$N$10="Sí",IF($C$106&gt;1,'Entrada de datos'!G29,$C$106*'Entrada de datos'!G29)*'Entrada de datos'!$N$14,0)</f>
        <v>0</v>
      </c>
      <c r="D83" s="143">
        <f>IF($C$106&gt;1,'Entrada de datos'!H29,$C$106*'Entrada de datos'!H29)-IF('Entrada de datos'!$N$10="Sí",IF($C$106&gt;1,'Entrada de datos'!H29,$C$106*'Entrada de datos'!H29)*'Entrada de datos'!$N$14,0)</f>
        <v>0</v>
      </c>
      <c r="E83" s="146">
        <v>0</v>
      </c>
      <c r="F83" s="146">
        <v>0</v>
      </c>
      <c r="G83" s="126">
        <v>0</v>
      </c>
      <c r="H83" s="126">
        <v>0</v>
      </c>
      <c r="I83" s="126">
        <v>0</v>
      </c>
      <c r="J83" s="126">
        <v>0</v>
      </c>
      <c r="K83" s="126">
        <v>0</v>
      </c>
      <c r="L83" s="126">
        <v>0</v>
      </c>
      <c r="M83" s="126">
        <f t="shared" ref="M83:M92" si="6">C83+E83+I83+K83</f>
        <v>0</v>
      </c>
      <c r="N83" s="126">
        <f t="shared" ref="N83:N92" si="7">D83+F83+J83+L83</f>
        <v>0</v>
      </c>
      <c r="P83" s="306">
        <f t="shared" ref="P83:Q91" si="8">G36</f>
        <v>0</v>
      </c>
      <c r="Q83" s="306">
        <f t="shared" si="8"/>
        <v>0</v>
      </c>
      <c r="R83" s="297"/>
      <c r="S83" s="313">
        <f>(D83+F83)*'Entrada de datos'!T29*(((1-'Entrada de datos'!$E$106)*'Entrada de datos'!$E$107/18)+(18-'Entrada de datos'!$E$107)/18)</f>
        <v>0</v>
      </c>
      <c r="T83" s="313">
        <f>'Entrada de datos'!K187+IF('Entrada de datos'!$N$10="Sí",'Entrada de datos'!H29*'Entrada de datos'!$N$14*'Entrada de datos'!T29*(((1-'Entrada de datos'!$E$106)*'Entrada de datos'!$E$107/18)+(18-'Entrada de datos'!$E$107)/18),0)</f>
        <v>0</v>
      </c>
      <c r="U83" s="297"/>
      <c r="V83" s="297"/>
      <c r="W83" s="297"/>
    </row>
    <row r="84" spans="2:23" s="115" customFormat="1" hidden="1">
      <c r="B84" s="115" t="s">
        <v>226</v>
      </c>
      <c r="C84" s="143">
        <f>IF($C$106&gt;1,'Entrada de datos'!G31,$C$106*'Entrada de datos'!G31)</f>
        <v>0</v>
      </c>
      <c r="D84" s="143">
        <f>IF($C$106&gt;1,'Entrada de datos'!H31,$C$106*'Entrada de datos'!H31)</f>
        <v>0</v>
      </c>
      <c r="E84" s="146">
        <v>0</v>
      </c>
      <c r="F84" s="146">
        <v>0</v>
      </c>
      <c r="G84" s="120">
        <v>0</v>
      </c>
      <c r="H84" s="120">
        <v>0</v>
      </c>
      <c r="I84" s="120">
        <v>0</v>
      </c>
      <c r="J84" s="120">
        <v>0</v>
      </c>
      <c r="K84" s="120">
        <v>0</v>
      </c>
      <c r="L84" s="120">
        <v>0</v>
      </c>
      <c r="M84" s="126">
        <f t="shared" si="6"/>
        <v>0</v>
      </c>
      <c r="N84" s="126">
        <f t="shared" si="7"/>
        <v>0</v>
      </c>
      <c r="P84" s="306">
        <f t="shared" si="8"/>
        <v>0</v>
      </c>
      <c r="Q84" s="306">
        <f t="shared" si="8"/>
        <v>0</v>
      </c>
      <c r="R84" s="297"/>
      <c r="S84" s="313">
        <f>(D84+F84)*'Entrada de datos'!T31*(((1-'Entrada de datos'!$E$106)*'Entrada de datos'!$E$107/18)+(18-'Entrada de datos'!$E$107)/18)</f>
        <v>0</v>
      </c>
      <c r="T84" s="313">
        <f>IF('Entrada de datos'!$F$188=0,0,(J84+L84)*'Entrada de datos'!$K$188/'Entrada de datos'!$F$188)</f>
        <v>0</v>
      </c>
      <c r="U84" s="297"/>
      <c r="V84" s="297"/>
      <c r="W84" s="297"/>
    </row>
    <row r="85" spans="2:23" s="115" customFormat="1" hidden="1">
      <c r="B85" s="115" t="s">
        <v>227</v>
      </c>
      <c r="C85" s="143">
        <f>IF($C$106&gt;1,'Entrada de datos'!G32,$C$106*'Entrada de datos'!G32)</f>
        <v>0</v>
      </c>
      <c r="D85" s="143">
        <f>IF($C$106&gt;1,'Entrada de datos'!H32,$C$106*'Entrada de datos'!H32)</f>
        <v>0</v>
      </c>
      <c r="E85" s="146">
        <v>0</v>
      </c>
      <c r="F85" s="146">
        <v>0</v>
      </c>
      <c r="G85" s="120">
        <v>0</v>
      </c>
      <c r="H85" s="120">
        <v>0</v>
      </c>
      <c r="I85" s="120">
        <v>0</v>
      </c>
      <c r="J85" s="120">
        <v>0</v>
      </c>
      <c r="K85" s="120">
        <v>0</v>
      </c>
      <c r="L85" s="120">
        <v>0</v>
      </c>
      <c r="M85" s="126">
        <f t="shared" si="6"/>
        <v>0</v>
      </c>
      <c r="N85" s="126">
        <f t="shared" si="7"/>
        <v>0</v>
      </c>
      <c r="P85" s="306">
        <f t="shared" si="8"/>
        <v>0</v>
      </c>
      <c r="Q85" s="306">
        <f t="shared" si="8"/>
        <v>0</v>
      </c>
      <c r="R85" s="297"/>
      <c r="S85" s="313">
        <f>(D85+F85)*'Entrada de datos'!T32*(((1-'Entrada de datos'!$E$106)*'Entrada de datos'!$E$107/18)+(18-'Entrada de datos'!$E$107)/18)</f>
        <v>0</v>
      </c>
      <c r="T85" s="313">
        <f>IF('Entrada de datos'!$F$188=0,0,(J85+L85)*'Entrada de datos'!$K$188/'Entrada de datos'!$F$188)</f>
        <v>0</v>
      </c>
      <c r="U85" s="297"/>
      <c r="V85" s="297"/>
      <c r="W85" s="297"/>
    </row>
    <row r="86" spans="2:23" s="115" customFormat="1" hidden="1">
      <c r="B86" s="115" t="s">
        <v>228</v>
      </c>
      <c r="C86" s="143">
        <f>IF($C$106&gt;1,'Entrada de datos'!G33,$C$106*'Entrada de datos'!G33)</f>
        <v>0</v>
      </c>
      <c r="D86" s="143">
        <f>IF($C$106&gt;1,'Entrada de datos'!H33,$C$106*'Entrada de datos'!H33)</f>
        <v>0</v>
      </c>
      <c r="E86" s="146">
        <v>0</v>
      </c>
      <c r="F86" s="146">
        <v>0</v>
      </c>
      <c r="G86" s="120">
        <v>0</v>
      </c>
      <c r="H86" s="120">
        <v>0</v>
      </c>
      <c r="I86" s="120">
        <v>0</v>
      </c>
      <c r="J86" s="120">
        <v>0</v>
      </c>
      <c r="K86" s="120">
        <v>0</v>
      </c>
      <c r="L86" s="120">
        <v>0</v>
      </c>
      <c r="M86" s="126">
        <f t="shared" si="6"/>
        <v>0</v>
      </c>
      <c r="N86" s="126">
        <f t="shared" si="7"/>
        <v>0</v>
      </c>
      <c r="P86" s="306">
        <f t="shared" si="8"/>
        <v>0</v>
      </c>
      <c r="Q86" s="306">
        <f t="shared" si="8"/>
        <v>0</v>
      </c>
      <c r="R86" s="297"/>
      <c r="S86" s="313">
        <f>(D86+F86)*'Entrada de datos'!T33*(((1-'Entrada de datos'!$E$106)*'Entrada de datos'!$E$107/18)+(18-'Entrada de datos'!$E$107)/18)</f>
        <v>0</v>
      </c>
      <c r="T86" s="313">
        <f>IF('Entrada de datos'!$F$188=0,0,(J86+L86)*'Entrada de datos'!$K$188/'Entrada de datos'!$F$188)</f>
        <v>0</v>
      </c>
      <c r="U86" s="297"/>
      <c r="V86" s="297"/>
      <c r="W86" s="297"/>
    </row>
    <row r="87" spans="2:23" s="115" customFormat="1" hidden="1">
      <c r="B87" s="115" t="s">
        <v>266</v>
      </c>
      <c r="C87" s="143">
        <f>IF($C$106&gt;1,'Entrada de datos'!G34,$C$106*'Entrada de datos'!G34)</f>
        <v>0</v>
      </c>
      <c r="D87" s="143">
        <f>IF($C$106&gt;1,'Entrada de datos'!H34,$C$106*'Entrada de datos'!H34)</f>
        <v>0</v>
      </c>
      <c r="E87" s="146">
        <v>0</v>
      </c>
      <c r="F87" s="146">
        <v>0</v>
      </c>
      <c r="G87" s="120">
        <v>0</v>
      </c>
      <c r="H87" s="120">
        <v>0</v>
      </c>
      <c r="I87" s="120">
        <v>0</v>
      </c>
      <c r="J87" s="120">
        <v>0</v>
      </c>
      <c r="K87" s="120">
        <v>0</v>
      </c>
      <c r="L87" s="120">
        <v>0</v>
      </c>
      <c r="M87" s="126">
        <f t="shared" si="6"/>
        <v>0</v>
      </c>
      <c r="N87" s="126">
        <f t="shared" si="7"/>
        <v>0</v>
      </c>
      <c r="P87" s="306">
        <f t="shared" si="8"/>
        <v>0</v>
      </c>
      <c r="Q87" s="306">
        <f t="shared" si="8"/>
        <v>0</v>
      </c>
      <c r="R87" s="297"/>
      <c r="S87" s="313">
        <f>(D87+F87)*'Entrada de datos'!T34*(((1-'Entrada de datos'!$E$106)*'Entrada de datos'!$E$107/18)+(18-'Entrada de datos'!$E$107)/18)</f>
        <v>0</v>
      </c>
      <c r="T87" s="313">
        <f>IF('Entrada de datos'!$F$188=0,0,(J87+L87)*'Entrada de datos'!$K$188/'Entrada de datos'!$F$188)</f>
        <v>0</v>
      </c>
      <c r="U87" s="297"/>
      <c r="V87" s="297"/>
      <c r="W87" s="297"/>
    </row>
    <row r="88" spans="2:23" s="115" customFormat="1" hidden="1">
      <c r="B88" s="115" t="s">
        <v>230</v>
      </c>
      <c r="C88" s="143">
        <f>IF($C$106&gt;1,'Entrada de datos'!E48,$C$106*'Entrada de datos'!E48)</f>
        <v>0</v>
      </c>
      <c r="D88" s="143">
        <f>IF($C$106&gt;1,'Entrada de datos'!F48,$C$106*'Entrada de datos'!F48)</f>
        <v>0</v>
      </c>
      <c r="E88" s="146">
        <v>0</v>
      </c>
      <c r="F88" s="146">
        <v>0</v>
      </c>
      <c r="G88" s="126">
        <v>0</v>
      </c>
      <c r="H88" s="126">
        <v>0</v>
      </c>
      <c r="I88" s="126">
        <v>0</v>
      </c>
      <c r="J88" s="126">
        <v>0</v>
      </c>
      <c r="K88" s="126">
        <v>0</v>
      </c>
      <c r="L88" s="126">
        <v>0</v>
      </c>
      <c r="M88" s="126">
        <f t="shared" si="6"/>
        <v>0</v>
      </c>
      <c r="N88" s="126">
        <f t="shared" si="7"/>
        <v>0</v>
      </c>
      <c r="P88" s="306">
        <f t="shared" si="8"/>
        <v>0</v>
      </c>
      <c r="Q88" s="306">
        <f t="shared" si="8"/>
        <v>0</v>
      </c>
      <c r="R88" s="297"/>
      <c r="S88" s="313">
        <f>(D88+F88)*'Entrada de datos'!T58*(((1-'Entrada de datos'!$E$106)*'Entrada de datos'!$E$107/18)+(18-'Entrada de datos'!$E$107)/18)</f>
        <v>0</v>
      </c>
      <c r="T88" s="313">
        <f>'Entrada de datos'!K194</f>
        <v>0</v>
      </c>
      <c r="U88" s="297"/>
      <c r="V88" s="297"/>
      <c r="W88" s="297"/>
    </row>
    <row r="89" spans="2:23" s="115" customFormat="1" hidden="1">
      <c r="B89" s="115" t="s">
        <v>223</v>
      </c>
      <c r="C89" s="143">
        <f>IF($C$106&gt;1,'Entrada de datos'!N60,$C$106*'Entrada de datos'!N60)</f>
        <v>0</v>
      </c>
      <c r="D89" s="143">
        <f>IF($C$106&gt;1,'Entrada de datos'!O60,$C$106*'Entrada de datos'!O60)</f>
        <v>0</v>
      </c>
      <c r="E89" s="146">
        <v>0</v>
      </c>
      <c r="F89" s="146">
        <v>0</v>
      </c>
      <c r="G89" s="118">
        <v>0</v>
      </c>
      <c r="H89" s="118">
        <v>0</v>
      </c>
      <c r="I89" s="118">
        <v>0</v>
      </c>
      <c r="J89" s="118">
        <v>0</v>
      </c>
      <c r="K89" s="118">
        <v>0</v>
      </c>
      <c r="L89" s="118">
        <v>0</v>
      </c>
      <c r="M89" s="126">
        <f t="shared" si="6"/>
        <v>0</v>
      </c>
      <c r="N89" s="126">
        <f t="shared" si="7"/>
        <v>0</v>
      </c>
      <c r="P89" s="306">
        <f t="shared" si="8"/>
        <v>0</v>
      </c>
      <c r="Q89" s="306">
        <f t="shared" si="8"/>
        <v>0</v>
      </c>
      <c r="R89" s="297"/>
      <c r="S89" s="313">
        <f>(D89+F89)*'Entrada de datos'!T74*(((1-'Entrada de datos'!$E$106)*'Entrada de datos'!$E$107/18)+(18-'Entrada de datos'!$E$107)/18)</f>
        <v>0</v>
      </c>
      <c r="T89" s="313">
        <v>0</v>
      </c>
      <c r="U89" s="297"/>
      <c r="V89" s="297"/>
      <c r="W89" s="297"/>
    </row>
    <row r="90" spans="2:23" s="115" customFormat="1" hidden="1">
      <c r="B90" s="115" t="s">
        <v>249</v>
      </c>
      <c r="C90" s="143">
        <f>IF($C$106&gt;1,'Entrada de datos'!N59,$C$106*'Entrada de datos'!N59)</f>
        <v>0</v>
      </c>
      <c r="D90" s="143">
        <f>IF($C$106&gt;1,'Entrada de datos'!O59,$C$106*'Entrada de datos'!O59)</f>
        <v>0</v>
      </c>
      <c r="E90" s="146">
        <v>0</v>
      </c>
      <c r="F90" s="146">
        <v>0</v>
      </c>
      <c r="G90" s="118">
        <v>0</v>
      </c>
      <c r="H90" s="118">
        <v>0</v>
      </c>
      <c r="I90" s="118">
        <v>0</v>
      </c>
      <c r="J90" s="118">
        <v>0</v>
      </c>
      <c r="K90" s="118">
        <v>0</v>
      </c>
      <c r="L90" s="118">
        <v>0</v>
      </c>
      <c r="M90" s="126">
        <f t="shared" si="6"/>
        <v>0</v>
      </c>
      <c r="N90" s="126">
        <f t="shared" si="7"/>
        <v>0</v>
      </c>
      <c r="P90" s="306">
        <f t="shared" si="8"/>
        <v>0</v>
      </c>
      <c r="Q90" s="306">
        <f t="shared" si="8"/>
        <v>0</v>
      </c>
      <c r="R90" s="297"/>
      <c r="S90" s="313">
        <f>(D90+F90)*'Entrada de datos'!T73*(((1-'Entrada de datos'!$E$106)*'Entrada de datos'!$E$107/18)+(18-'Entrada de datos'!$E$107)/18)</f>
        <v>0</v>
      </c>
      <c r="T90" s="313">
        <v>0</v>
      </c>
      <c r="U90" s="297"/>
      <c r="V90" s="297"/>
      <c r="W90" s="297"/>
    </row>
    <row r="91" spans="2:23" s="115" customFormat="1" hidden="1">
      <c r="B91" s="115" t="s">
        <v>231</v>
      </c>
      <c r="C91" s="143">
        <f>IF($C$106&gt;1,'Entrada de datos'!G35,$C$106*'Entrada de datos'!G35)</f>
        <v>0</v>
      </c>
      <c r="D91" s="143">
        <f>IF($C$106&gt;1,'Entrada de datos'!H35,$C$106*'Entrada de datos'!H35)</f>
        <v>0</v>
      </c>
      <c r="E91" s="146">
        <v>0</v>
      </c>
      <c r="F91" s="146">
        <v>0</v>
      </c>
      <c r="G91" s="126">
        <v>0</v>
      </c>
      <c r="H91" s="126">
        <v>0</v>
      </c>
      <c r="I91" s="126">
        <v>0</v>
      </c>
      <c r="J91" s="126">
        <v>0</v>
      </c>
      <c r="K91" s="126">
        <v>0</v>
      </c>
      <c r="L91" s="126">
        <v>0</v>
      </c>
      <c r="M91" s="126">
        <f t="shared" si="6"/>
        <v>0</v>
      </c>
      <c r="N91" s="126">
        <f t="shared" si="7"/>
        <v>0</v>
      </c>
      <c r="P91" s="306">
        <f t="shared" si="8"/>
        <v>0</v>
      </c>
      <c r="Q91" s="306">
        <f t="shared" si="8"/>
        <v>0</v>
      </c>
      <c r="R91" s="297"/>
      <c r="S91" s="313">
        <f>(D91+F91)*'Entrada de datos'!T35*(((1-'Entrada de datos'!$E$106)*'Entrada de datos'!$E$107/18)+(18-'Entrada de datos'!$E$107)/18)</f>
        <v>0</v>
      </c>
      <c r="T91" s="313">
        <f>'Entrada de datos'!K189</f>
        <v>0</v>
      </c>
      <c r="U91" s="297"/>
      <c r="V91" s="297"/>
      <c r="W91" s="297"/>
    </row>
    <row r="92" spans="2:23" s="115" customFormat="1" hidden="1">
      <c r="B92" s="123"/>
      <c r="C92" s="143">
        <f>SUM(C82:C91)</f>
        <v>0</v>
      </c>
      <c r="D92" s="143">
        <f>SUM(D82:D91)</f>
        <v>0</v>
      </c>
      <c r="E92" s="146">
        <v>0</v>
      </c>
      <c r="F92" s="146">
        <v>0</v>
      </c>
      <c r="G92" s="120">
        <v>0</v>
      </c>
      <c r="H92" s="120">
        <v>0</v>
      </c>
      <c r="I92" s="120">
        <v>0</v>
      </c>
      <c r="J92" s="120">
        <v>0</v>
      </c>
      <c r="K92" s="120">
        <v>0</v>
      </c>
      <c r="L92" s="120">
        <v>0</v>
      </c>
      <c r="M92" s="126">
        <f t="shared" si="6"/>
        <v>0</v>
      </c>
      <c r="N92" s="126">
        <f t="shared" si="7"/>
        <v>0</v>
      </c>
      <c r="P92" s="306">
        <f>SUM(P82:P91)</f>
        <v>0</v>
      </c>
      <c r="Q92" s="306">
        <f>SUM(Q82:Q91)</f>
        <v>0</v>
      </c>
      <c r="R92" s="297"/>
      <c r="S92" s="297"/>
      <c r="T92" s="297"/>
      <c r="U92" s="297"/>
      <c r="V92" s="297"/>
      <c r="W92" s="297"/>
    </row>
    <row r="93" spans="2:23" s="115" customFormat="1" hidden="1">
      <c r="B93" s="123"/>
      <c r="C93" s="123" t="s">
        <v>88</v>
      </c>
      <c r="D93" s="123" t="e">
        <f>#REF!</f>
        <v>#REF!</v>
      </c>
      <c r="E93" s="115" t="s">
        <v>91</v>
      </c>
      <c r="F93" s="115" t="e">
        <f>#REF!</f>
        <v>#REF!</v>
      </c>
      <c r="G93" s="118" t="s">
        <v>94</v>
      </c>
      <c r="H93" s="118">
        <f>'Entrada de datos'!E167+IF('Entrada de datos'!$N$10="Sí",'Entrada de datos'!N12,0)</f>
        <v>0</v>
      </c>
      <c r="I93" s="118" t="s">
        <v>96</v>
      </c>
      <c r="J93" s="118" t="e">
        <f>#REF!</f>
        <v>#REF!</v>
      </c>
      <c r="M93" s="115" t="s">
        <v>106</v>
      </c>
      <c r="N93" s="118" t="e">
        <f>J93+F93+D93</f>
        <v>#REF!</v>
      </c>
      <c r="P93" s="297"/>
      <c r="Q93" s="297"/>
      <c r="R93" s="297"/>
      <c r="S93" s="297"/>
      <c r="T93" s="297"/>
      <c r="U93" s="297"/>
      <c r="V93" s="297"/>
      <c r="W93" s="297"/>
    </row>
    <row r="94" spans="2:23" s="115" customFormat="1" hidden="1">
      <c r="B94" s="123"/>
      <c r="C94" s="115" t="s">
        <v>89</v>
      </c>
      <c r="D94" s="115" t="e">
        <f>IF(D93=0,0,D92/D93)</f>
        <v>#REF!</v>
      </c>
      <c r="E94" s="115" t="s">
        <v>90</v>
      </c>
      <c r="F94" s="146" t="e">
        <f>D94*E103</f>
        <v>#REF!</v>
      </c>
      <c r="G94" s="2240" t="s">
        <v>95</v>
      </c>
      <c r="H94" s="2240"/>
      <c r="I94" s="118" t="s">
        <v>133</v>
      </c>
      <c r="J94" s="118" t="e">
        <f>#REF!</f>
        <v>#REF!</v>
      </c>
      <c r="P94" s="297"/>
      <c r="Q94" s="297"/>
      <c r="R94" s="297"/>
      <c r="S94" s="297"/>
      <c r="T94" s="297"/>
      <c r="U94" s="297"/>
      <c r="V94" s="297"/>
      <c r="W94" s="297"/>
    </row>
    <row r="95" spans="2:23" s="115" customFormat="1" hidden="1">
      <c r="B95" s="123"/>
      <c r="G95" s="118">
        <f>IF($H$93=0,0,G82/$H$93)</f>
        <v>0</v>
      </c>
      <c r="H95" s="118">
        <f>IF($H$93=0,0,H82/$H$93)</f>
        <v>0</v>
      </c>
      <c r="I95" s="118" t="s">
        <v>134</v>
      </c>
      <c r="J95" s="118" t="e">
        <f>#REF!</f>
        <v>#REF!</v>
      </c>
      <c r="P95" s="297"/>
      <c r="Q95" s="297"/>
      <c r="R95" s="297"/>
      <c r="S95" s="297"/>
      <c r="T95" s="297"/>
      <c r="U95" s="297"/>
      <c r="V95" s="297"/>
      <c r="W95" s="297"/>
    </row>
    <row r="96" spans="2:23" s="115" customFormat="1" ht="23.25" hidden="1" customHeight="1">
      <c r="B96" s="123"/>
      <c r="G96" s="120">
        <f t="shared" ref="G96:H104" si="9">IF($H$93=0,0,G83/$H$93)</f>
        <v>0</v>
      </c>
      <c r="H96" s="120">
        <f t="shared" si="9"/>
        <v>0</v>
      </c>
      <c r="I96" s="2239" t="s">
        <v>108</v>
      </c>
      <c r="J96" s="2239"/>
      <c r="K96" s="2239"/>
      <c r="L96" s="2239"/>
      <c r="P96" s="297"/>
      <c r="Q96" s="297"/>
      <c r="R96" s="297"/>
      <c r="S96" s="297"/>
      <c r="T96" s="297"/>
      <c r="U96" s="297"/>
      <c r="V96" s="297"/>
      <c r="W96" s="297"/>
    </row>
    <row r="97" spans="2:23" s="115" customFormat="1" ht="16.5" hidden="1" customHeight="1">
      <c r="B97" s="123"/>
      <c r="D97" s="123" t="s">
        <v>81</v>
      </c>
      <c r="E97" s="147">
        <v>43</v>
      </c>
      <c r="G97" s="120">
        <f t="shared" si="9"/>
        <v>0</v>
      </c>
      <c r="H97" s="120">
        <f t="shared" si="9"/>
        <v>0</v>
      </c>
      <c r="I97" s="2239"/>
      <c r="J97" s="2239"/>
      <c r="K97" s="2239"/>
      <c r="L97" s="2239"/>
      <c r="P97" s="297"/>
      <c r="Q97" s="297"/>
      <c r="R97" s="297"/>
      <c r="S97" s="297"/>
      <c r="T97" s="297"/>
      <c r="U97" s="297"/>
      <c r="V97" s="297"/>
      <c r="W97" s="297"/>
    </row>
    <row r="98" spans="2:23" s="115" customFormat="1" hidden="1">
      <c r="B98" s="123"/>
      <c r="D98" s="123" t="s">
        <v>82</v>
      </c>
      <c r="E98" s="147">
        <v>39</v>
      </c>
      <c r="G98" s="120">
        <f t="shared" si="9"/>
        <v>0</v>
      </c>
      <c r="H98" s="120">
        <f t="shared" si="9"/>
        <v>0</v>
      </c>
      <c r="I98" s="115" t="s">
        <v>99</v>
      </c>
      <c r="P98" s="297"/>
      <c r="Q98" s="297"/>
      <c r="R98" s="297"/>
      <c r="S98" s="297"/>
      <c r="T98" s="297"/>
      <c r="U98" s="297"/>
      <c r="V98" s="297"/>
      <c r="W98" s="297"/>
    </row>
    <row r="99" spans="2:23" s="115" customFormat="1" hidden="1">
      <c r="B99" s="123"/>
      <c r="D99" s="123" t="s">
        <v>83</v>
      </c>
      <c r="E99" s="127">
        <v>0.85</v>
      </c>
      <c r="G99" s="120">
        <f t="shared" si="9"/>
        <v>0</v>
      </c>
      <c r="H99" s="120">
        <f t="shared" si="9"/>
        <v>0</v>
      </c>
      <c r="I99" s="115" t="s">
        <v>65</v>
      </c>
      <c r="P99" s="297"/>
      <c r="Q99" s="297"/>
      <c r="R99" s="297"/>
      <c r="S99" s="297"/>
      <c r="T99" s="297"/>
      <c r="U99" s="297"/>
      <c r="V99" s="297"/>
      <c r="W99" s="297"/>
    </row>
    <row r="100" spans="2:23" s="115" customFormat="1" hidden="1">
      <c r="B100" s="123"/>
      <c r="D100" s="123" t="s">
        <v>84</v>
      </c>
      <c r="E100" s="127">
        <f>1-E99</f>
        <v>0.15000000000000002</v>
      </c>
      <c r="G100" s="120">
        <f t="shared" si="9"/>
        <v>0</v>
      </c>
      <c r="H100" s="120">
        <f t="shared" si="9"/>
        <v>0</v>
      </c>
      <c r="I100" s="115" t="s">
        <v>100</v>
      </c>
      <c r="P100" s="297"/>
      <c r="Q100" s="297"/>
      <c r="R100" s="297"/>
      <c r="S100" s="297"/>
      <c r="T100" s="297"/>
      <c r="U100" s="297"/>
      <c r="V100" s="297"/>
      <c r="W100" s="297"/>
    </row>
    <row r="101" spans="2:23" s="115" customFormat="1" hidden="1">
      <c r="B101" s="123"/>
      <c r="D101" s="123" t="s">
        <v>85</v>
      </c>
      <c r="E101" s="147">
        <f>(E98-E97*E99)/E100</f>
        <v>16.33333333333335</v>
      </c>
      <c r="G101" s="120">
        <f t="shared" si="9"/>
        <v>0</v>
      </c>
      <c r="H101" s="120">
        <f t="shared" si="9"/>
        <v>0</v>
      </c>
      <c r="I101" s="115" t="s">
        <v>66</v>
      </c>
      <c r="P101" s="297"/>
      <c r="Q101" s="297"/>
      <c r="R101" s="297"/>
      <c r="S101" s="297"/>
      <c r="T101" s="297"/>
      <c r="U101" s="297"/>
      <c r="V101" s="297"/>
      <c r="W101" s="297"/>
    </row>
    <row r="102" spans="2:23" s="115" customFormat="1" hidden="1">
      <c r="B102" s="123"/>
      <c r="D102" s="123" t="s">
        <v>86</v>
      </c>
      <c r="E102" s="127">
        <f>E101/E97</f>
        <v>0.37984496124031047</v>
      </c>
      <c r="G102" s="118">
        <f t="shared" si="9"/>
        <v>0</v>
      </c>
      <c r="H102" s="118">
        <f t="shared" si="9"/>
        <v>0</v>
      </c>
      <c r="I102" s="115" t="s">
        <v>101</v>
      </c>
      <c r="P102" s="297"/>
      <c r="Q102" s="297"/>
      <c r="R102" s="297"/>
      <c r="S102" s="297"/>
      <c r="T102" s="297"/>
      <c r="U102" s="297"/>
      <c r="V102" s="297"/>
      <c r="W102" s="297"/>
    </row>
    <row r="103" spans="2:23" s="115" customFormat="1" hidden="1">
      <c r="B103" s="123"/>
      <c r="D103" s="115" t="s">
        <v>87</v>
      </c>
      <c r="E103" s="127">
        <f>E102</f>
        <v>0.37984496124031047</v>
      </c>
      <c r="G103" s="118">
        <f t="shared" si="9"/>
        <v>0</v>
      </c>
      <c r="H103" s="118">
        <f t="shared" si="9"/>
        <v>0</v>
      </c>
      <c r="I103" s="115" t="s">
        <v>102</v>
      </c>
      <c r="P103" s="297"/>
      <c r="Q103" s="297"/>
      <c r="R103" s="297"/>
      <c r="S103" s="297"/>
      <c r="T103" s="297"/>
      <c r="U103" s="297"/>
      <c r="V103" s="297"/>
      <c r="W103" s="297"/>
    </row>
    <row r="104" spans="2:23" s="115" customFormat="1" hidden="1">
      <c r="B104" s="123"/>
      <c r="G104" s="118">
        <f t="shared" si="9"/>
        <v>0</v>
      </c>
      <c r="H104" s="118">
        <f t="shared" si="9"/>
        <v>0</v>
      </c>
      <c r="I104" s="115" t="s">
        <v>103</v>
      </c>
      <c r="P104" s="297"/>
      <c r="Q104" s="297"/>
      <c r="R104" s="297"/>
      <c r="S104" s="297"/>
      <c r="T104" s="297"/>
      <c r="U104" s="297"/>
      <c r="V104" s="297"/>
      <c r="W104" s="297"/>
    </row>
    <row r="105" spans="2:23" s="115" customFormat="1" hidden="1">
      <c r="B105" s="123"/>
      <c r="G105" s="118"/>
      <c r="H105" s="118"/>
      <c r="P105" s="297"/>
      <c r="Q105" s="297"/>
      <c r="R105" s="297"/>
      <c r="S105" s="297"/>
      <c r="T105" s="297"/>
      <c r="U105" s="297"/>
      <c r="V105" s="297"/>
      <c r="W105" s="297"/>
    </row>
    <row r="106" spans="2:23" s="115" customFormat="1" hidden="1">
      <c r="B106" s="123" t="s">
        <v>117</v>
      </c>
      <c r="C106" s="119">
        <f>IF('Entrada de datos'!E12=0,1,#REF!/'Entrada de datos'!E12)</f>
        <v>1</v>
      </c>
      <c r="D106" s="115" t="s">
        <v>163</v>
      </c>
      <c r="G106" s="118"/>
      <c r="P106" s="297"/>
      <c r="Q106" s="297"/>
      <c r="R106" s="297"/>
      <c r="S106" s="297"/>
      <c r="T106" s="297"/>
      <c r="U106" s="297"/>
      <c r="V106" s="297"/>
      <c r="W106" s="297"/>
    </row>
    <row r="107" spans="2:23" s="115" customFormat="1" hidden="1">
      <c r="B107" s="123" t="s">
        <v>118</v>
      </c>
      <c r="G107" s="118"/>
      <c r="P107" s="297"/>
      <c r="Q107" s="297"/>
      <c r="R107" s="297"/>
      <c r="S107" s="297"/>
      <c r="T107" s="297"/>
      <c r="U107" s="297"/>
      <c r="V107" s="297"/>
      <c r="W107" s="297"/>
    </row>
    <row r="108" spans="2:23" s="115" customFormat="1" hidden="1">
      <c r="B108" s="123"/>
      <c r="G108" s="118"/>
      <c r="P108" s="297"/>
      <c r="Q108" s="297"/>
      <c r="R108" s="297"/>
      <c r="S108" s="297"/>
      <c r="T108" s="297"/>
      <c r="U108" s="297"/>
      <c r="V108" s="297"/>
      <c r="W108" s="297"/>
    </row>
    <row r="109" spans="2:23" s="115" customFormat="1" hidden="1">
      <c r="B109" s="123"/>
      <c r="G109" s="118"/>
      <c r="P109" s="297"/>
      <c r="Q109" s="297"/>
      <c r="R109" s="297"/>
      <c r="S109" s="297"/>
      <c r="T109" s="297"/>
      <c r="U109" s="297"/>
      <c r="V109" s="297"/>
      <c r="W109" s="297"/>
    </row>
    <row r="110" spans="2:23" s="115" customFormat="1" hidden="1">
      <c r="B110" s="123"/>
      <c r="G110" s="118"/>
      <c r="P110" s="297"/>
      <c r="Q110" s="297"/>
      <c r="R110" s="297"/>
      <c r="S110" s="297"/>
      <c r="T110" s="297"/>
      <c r="U110" s="297"/>
      <c r="V110" s="297"/>
      <c r="W110" s="297"/>
    </row>
    <row r="111" spans="2:23" s="115" customFormat="1" hidden="1">
      <c r="B111" s="123"/>
      <c r="G111" s="118"/>
      <c r="P111" s="297"/>
      <c r="Q111" s="297"/>
      <c r="R111" s="297"/>
      <c r="S111" s="297"/>
      <c r="T111" s="297"/>
      <c r="U111" s="297"/>
      <c r="V111" s="297"/>
      <c r="W111" s="297"/>
    </row>
    <row r="112" spans="2:23" s="115" customFormat="1" hidden="1">
      <c r="B112" s="123"/>
      <c r="G112" s="118"/>
      <c r="P112" s="297"/>
      <c r="Q112" s="297"/>
      <c r="R112" s="297"/>
      <c r="S112" s="297"/>
      <c r="T112" s="297"/>
      <c r="U112" s="297"/>
      <c r="V112" s="297"/>
      <c r="W112" s="297"/>
    </row>
    <row r="113" spans="2:23" s="115" customFormat="1" hidden="1">
      <c r="B113" s="123"/>
      <c r="G113" s="118"/>
      <c r="P113" s="297"/>
      <c r="Q113" s="297"/>
      <c r="R113" s="297"/>
      <c r="S113" s="297"/>
      <c r="T113" s="297"/>
      <c r="U113" s="297"/>
      <c r="V113" s="297"/>
      <c r="W113" s="297"/>
    </row>
    <row r="114" spans="2:23" s="115" customFormat="1" hidden="1">
      <c r="B114" s="123"/>
      <c r="G114" s="118"/>
      <c r="P114" s="297"/>
      <c r="Q114" s="297"/>
      <c r="R114" s="297"/>
      <c r="S114" s="297"/>
      <c r="T114" s="297"/>
      <c r="U114" s="297"/>
      <c r="V114" s="297"/>
      <c r="W114" s="297"/>
    </row>
    <row r="115" spans="2:23" s="115" customFormat="1" hidden="1">
      <c r="B115" s="123"/>
      <c r="G115" s="118"/>
      <c r="P115" s="297"/>
      <c r="Q115" s="297"/>
      <c r="R115" s="297"/>
      <c r="S115" s="297"/>
      <c r="T115" s="297"/>
      <c r="U115" s="297"/>
      <c r="V115" s="297"/>
      <c r="W115" s="297"/>
    </row>
    <row r="116" spans="2:23" s="115" customFormat="1" hidden="1">
      <c r="B116" s="123"/>
      <c r="G116" s="118"/>
      <c r="P116" s="297"/>
      <c r="Q116" s="297"/>
      <c r="R116" s="297"/>
      <c r="S116" s="297"/>
      <c r="T116" s="297"/>
      <c r="U116" s="297"/>
      <c r="V116" s="297"/>
      <c r="W116" s="297"/>
    </row>
    <row r="117" spans="2:23" s="115" customFormat="1" hidden="1">
      <c r="B117" s="123"/>
      <c r="G117" s="118"/>
      <c r="P117" s="297"/>
      <c r="Q117" s="297"/>
      <c r="R117" s="297"/>
      <c r="S117" s="297"/>
      <c r="T117" s="297"/>
      <c r="U117" s="297"/>
      <c r="V117" s="297"/>
      <c r="W117" s="297"/>
    </row>
    <row r="118" spans="2:23" s="115" customFormat="1" hidden="1">
      <c r="B118" s="123"/>
      <c r="G118" s="118"/>
      <c r="P118" s="297"/>
      <c r="Q118" s="297"/>
      <c r="R118" s="297"/>
      <c r="S118" s="297"/>
      <c r="T118" s="297"/>
      <c r="U118" s="297"/>
      <c r="V118" s="297"/>
      <c r="W118" s="297"/>
    </row>
    <row r="119" spans="2:23" s="115" customFormat="1" hidden="1">
      <c r="B119" s="123"/>
      <c r="G119" s="118"/>
      <c r="P119" s="297"/>
      <c r="Q119" s="297"/>
      <c r="R119" s="297"/>
      <c r="S119" s="297"/>
      <c r="T119" s="297"/>
      <c r="U119" s="297"/>
      <c r="V119" s="297"/>
      <c r="W119" s="297"/>
    </row>
    <row r="120" spans="2:23" s="115" customFormat="1" hidden="1">
      <c r="B120" s="123"/>
      <c r="G120" s="118"/>
      <c r="P120" s="297"/>
      <c r="Q120" s="297"/>
      <c r="R120" s="297"/>
      <c r="S120" s="297"/>
      <c r="T120" s="297"/>
      <c r="U120" s="297"/>
      <c r="V120" s="297"/>
      <c r="W120" s="297"/>
    </row>
    <row r="121" spans="2:23" s="115" customFormat="1" hidden="1">
      <c r="B121" s="123"/>
      <c r="G121" s="118"/>
      <c r="P121" s="297"/>
      <c r="Q121" s="297"/>
      <c r="R121" s="297"/>
      <c r="S121" s="297"/>
      <c r="T121" s="297"/>
      <c r="U121" s="297"/>
      <c r="V121" s="297"/>
      <c r="W121" s="297"/>
    </row>
    <row r="122" spans="2:23" s="115" customFormat="1" hidden="1">
      <c r="B122" s="123"/>
      <c r="G122" s="118"/>
      <c r="P122" s="297"/>
      <c r="Q122" s="297"/>
      <c r="R122" s="297"/>
      <c r="S122" s="297"/>
      <c r="T122" s="297"/>
      <c r="U122" s="297"/>
      <c r="V122" s="297"/>
      <c r="W122" s="297"/>
    </row>
    <row r="123" spans="2:23" s="115" customFormat="1" hidden="1">
      <c r="B123" s="123"/>
      <c r="G123" s="118"/>
      <c r="P123" s="297"/>
      <c r="Q123" s="297"/>
      <c r="R123" s="297"/>
      <c r="S123" s="297"/>
      <c r="T123" s="297"/>
      <c r="U123" s="297"/>
      <c r="V123" s="297"/>
      <c r="W123" s="297"/>
    </row>
    <row r="124" spans="2:23" s="115" customFormat="1" hidden="1">
      <c r="B124" s="123"/>
      <c r="G124" s="118"/>
      <c r="P124" s="297"/>
      <c r="Q124" s="297"/>
      <c r="R124" s="297"/>
      <c r="S124" s="297"/>
      <c r="T124" s="297"/>
      <c r="U124" s="297"/>
      <c r="V124" s="297"/>
      <c r="W124" s="297"/>
    </row>
    <row r="125" spans="2:23" s="115" customFormat="1" hidden="1">
      <c r="B125" s="123"/>
      <c r="G125" s="118"/>
      <c r="P125" s="297"/>
      <c r="Q125" s="297"/>
      <c r="R125" s="297"/>
      <c r="S125" s="297"/>
      <c r="T125" s="297"/>
      <c r="U125" s="297"/>
      <c r="V125" s="297"/>
      <c r="W125" s="297"/>
    </row>
    <row r="126" spans="2:23" s="115" customFormat="1" hidden="1">
      <c r="B126" s="123"/>
      <c r="G126" s="118"/>
      <c r="P126" s="297"/>
      <c r="Q126" s="297"/>
      <c r="R126" s="297"/>
      <c r="S126" s="297"/>
      <c r="T126" s="297"/>
      <c r="U126" s="297"/>
      <c r="V126" s="297"/>
      <c r="W126" s="297"/>
    </row>
    <row r="127" spans="2:23" s="115" customFormat="1" hidden="1">
      <c r="B127" s="123"/>
      <c r="G127" s="118"/>
      <c r="P127" s="297"/>
      <c r="Q127" s="297"/>
      <c r="R127" s="297"/>
      <c r="S127" s="297"/>
      <c r="T127" s="297"/>
      <c r="U127" s="297"/>
      <c r="V127" s="297"/>
      <c r="W127" s="297"/>
    </row>
    <row r="128" spans="2:23" s="115" customFormat="1" hidden="1">
      <c r="B128" s="123"/>
      <c r="G128" s="118"/>
      <c r="P128" s="297"/>
      <c r="Q128" s="297"/>
      <c r="R128" s="297"/>
      <c r="S128" s="297"/>
      <c r="T128" s="297"/>
      <c r="U128" s="297"/>
      <c r="V128" s="297"/>
      <c r="W128" s="297"/>
    </row>
    <row r="129" spans="2:23" s="115" customFormat="1" hidden="1">
      <c r="B129" s="123"/>
      <c r="G129" s="118"/>
      <c r="P129" s="297"/>
      <c r="Q129" s="297"/>
      <c r="R129" s="297"/>
      <c r="S129" s="297"/>
      <c r="T129" s="297"/>
      <c r="U129" s="297"/>
      <c r="V129" s="297"/>
      <c r="W129" s="297"/>
    </row>
    <row r="130" spans="2:23" s="115" customFormat="1" hidden="1">
      <c r="B130" s="123"/>
      <c r="G130" s="118"/>
      <c r="P130" s="297"/>
      <c r="Q130" s="297"/>
      <c r="R130" s="297"/>
      <c r="S130" s="297"/>
      <c r="T130" s="297"/>
      <c r="U130" s="297"/>
      <c r="V130" s="297"/>
      <c r="W130" s="297"/>
    </row>
    <row r="131" spans="2:23" s="115" customFormat="1" hidden="1">
      <c r="B131" s="123"/>
      <c r="G131" s="118"/>
      <c r="P131" s="297"/>
      <c r="Q131" s="297"/>
      <c r="R131" s="297"/>
      <c r="S131" s="297"/>
      <c r="T131" s="297"/>
      <c r="U131" s="297"/>
      <c r="V131" s="297"/>
      <c r="W131" s="297"/>
    </row>
    <row r="132" spans="2:23" s="115" customFormat="1" hidden="1">
      <c r="B132" s="123"/>
      <c r="G132" s="118"/>
      <c r="P132" s="297"/>
      <c r="Q132" s="297"/>
      <c r="R132" s="297"/>
      <c r="S132" s="297"/>
      <c r="T132" s="297"/>
      <c r="U132" s="297"/>
      <c r="V132" s="297"/>
      <c r="W132" s="297"/>
    </row>
    <row r="133" spans="2:23" s="115" customFormat="1" hidden="1">
      <c r="B133" s="123"/>
      <c r="G133" s="118"/>
      <c r="P133" s="297"/>
      <c r="Q133" s="297"/>
      <c r="R133" s="297"/>
      <c r="S133" s="297"/>
      <c r="T133" s="297"/>
      <c r="U133" s="297"/>
      <c r="V133" s="297"/>
      <c r="W133" s="297"/>
    </row>
    <row r="134" spans="2:23" s="115" customFormat="1" hidden="1">
      <c r="B134" s="123"/>
      <c r="G134" s="118"/>
      <c r="P134" s="297"/>
      <c r="Q134" s="297"/>
      <c r="R134" s="297"/>
      <c r="S134" s="297"/>
      <c r="T134" s="297"/>
      <c r="U134" s="297"/>
      <c r="V134" s="297"/>
      <c r="W134" s="297"/>
    </row>
    <row r="135" spans="2:23" s="115" customFormat="1" hidden="1">
      <c r="B135" s="123"/>
      <c r="G135" s="118"/>
      <c r="P135" s="297"/>
      <c r="Q135" s="297"/>
      <c r="R135" s="297"/>
      <c r="S135" s="297"/>
      <c r="T135" s="297"/>
      <c r="U135" s="297"/>
      <c r="V135" s="297"/>
      <c r="W135" s="297"/>
    </row>
    <row r="136" spans="2:23" s="115" customFormat="1" hidden="1">
      <c r="B136" s="123"/>
      <c r="G136" s="118"/>
      <c r="P136" s="297"/>
      <c r="Q136" s="297"/>
      <c r="R136" s="297"/>
      <c r="S136" s="297"/>
      <c r="T136" s="297"/>
      <c r="U136" s="297"/>
      <c r="V136" s="297"/>
      <c r="W136" s="297"/>
    </row>
    <row r="137" spans="2:23" s="115" customFormat="1" hidden="1">
      <c r="B137" s="123"/>
      <c r="G137" s="118"/>
      <c r="P137" s="297"/>
      <c r="Q137" s="297"/>
      <c r="R137" s="297"/>
      <c r="S137" s="297"/>
      <c r="T137" s="297"/>
      <c r="U137" s="297"/>
      <c r="V137" s="297"/>
      <c r="W137" s="297"/>
    </row>
    <row r="138" spans="2:23" s="115" customFormat="1" hidden="1">
      <c r="B138" s="123"/>
      <c r="G138" s="118"/>
      <c r="P138" s="297"/>
      <c r="Q138" s="297"/>
      <c r="R138" s="297"/>
      <c r="S138" s="297"/>
      <c r="T138" s="297"/>
      <c r="U138" s="297"/>
      <c r="V138" s="297"/>
      <c r="W138" s="297"/>
    </row>
    <row r="139" spans="2:23" s="115" customFormat="1" hidden="1">
      <c r="B139" s="123"/>
      <c r="G139" s="118"/>
      <c r="P139" s="297"/>
      <c r="Q139" s="297"/>
      <c r="R139" s="297"/>
      <c r="S139" s="297"/>
      <c r="T139" s="297"/>
      <c r="U139" s="297"/>
      <c r="V139" s="297"/>
      <c r="W139" s="297"/>
    </row>
    <row r="140" spans="2:23" s="115" customFormat="1" hidden="1">
      <c r="B140" s="123"/>
      <c r="G140" s="118"/>
      <c r="P140" s="297"/>
      <c r="Q140" s="297"/>
      <c r="R140" s="297"/>
      <c r="S140" s="297"/>
      <c r="T140" s="297"/>
      <c r="U140" s="297"/>
      <c r="V140" s="297"/>
      <c r="W140" s="297"/>
    </row>
    <row r="141" spans="2:23" s="115" customFormat="1" hidden="1">
      <c r="B141" s="123"/>
      <c r="G141" s="118"/>
      <c r="P141" s="297"/>
      <c r="Q141" s="297"/>
      <c r="R141" s="297"/>
      <c r="S141" s="297"/>
      <c r="T141" s="297"/>
      <c r="U141" s="297"/>
      <c r="V141" s="297"/>
      <c r="W141" s="297"/>
    </row>
    <row r="142" spans="2:23" s="115" customFormat="1" hidden="1">
      <c r="B142" s="123"/>
      <c r="G142" s="118"/>
      <c r="P142" s="297"/>
      <c r="Q142" s="297"/>
      <c r="R142" s="297"/>
      <c r="S142" s="297"/>
      <c r="T142" s="297"/>
      <c r="U142" s="297"/>
      <c r="V142" s="297"/>
      <c r="W142" s="297"/>
    </row>
    <row r="143" spans="2:23" s="115" customFormat="1" hidden="1">
      <c r="B143" s="123"/>
      <c r="G143" s="118"/>
      <c r="P143" s="297"/>
      <c r="Q143" s="297"/>
      <c r="R143" s="297"/>
      <c r="S143" s="297"/>
      <c r="T143" s="297"/>
      <c r="U143" s="297"/>
      <c r="V143" s="297"/>
      <c r="W143" s="297"/>
    </row>
    <row r="144" spans="2:23" s="115" customFormat="1" hidden="1">
      <c r="B144" s="123"/>
      <c r="G144" s="118"/>
      <c r="P144" s="297"/>
      <c r="Q144" s="297"/>
      <c r="R144" s="297"/>
      <c r="S144" s="297"/>
      <c r="T144" s="297"/>
      <c r="U144" s="297"/>
      <c r="V144" s="297"/>
      <c r="W144" s="297"/>
    </row>
    <row r="145" spans="2:23" s="115" customFormat="1" hidden="1">
      <c r="B145" s="123"/>
      <c r="G145" s="118"/>
      <c r="P145" s="297"/>
      <c r="Q145" s="297"/>
      <c r="R145" s="297"/>
      <c r="S145" s="297"/>
      <c r="T145" s="297"/>
      <c r="U145" s="297"/>
      <c r="V145" s="297"/>
      <c r="W145" s="297"/>
    </row>
    <row r="146" spans="2:23" s="115" customFormat="1" hidden="1">
      <c r="B146" s="123"/>
      <c r="G146" s="118"/>
      <c r="P146" s="297"/>
      <c r="Q146" s="297"/>
      <c r="R146" s="297"/>
      <c r="S146" s="297"/>
      <c r="T146" s="297"/>
      <c r="U146" s="297"/>
      <c r="V146" s="297"/>
      <c r="W146" s="297"/>
    </row>
    <row r="147" spans="2:23" s="115" customFormat="1" hidden="1">
      <c r="B147" s="123"/>
      <c r="G147" s="118"/>
      <c r="P147" s="297"/>
      <c r="Q147" s="297"/>
      <c r="R147" s="297"/>
      <c r="S147" s="297"/>
      <c r="T147" s="297"/>
      <c r="U147" s="297"/>
      <c r="V147" s="297"/>
      <c r="W147" s="297"/>
    </row>
    <row r="148" spans="2:23" s="115" customFormat="1" hidden="1">
      <c r="B148" s="123"/>
      <c r="G148" s="118"/>
      <c r="P148" s="297"/>
      <c r="Q148" s="297"/>
      <c r="R148" s="297"/>
      <c r="S148" s="297"/>
      <c r="T148" s="297"/>
      <c r="U148" s="297"/>
      <c r="V148" s="297"/>
      <c r="W148" s="297"/>
    </row>
    <row r="149" spans="2:23" s="115" customFormat="1" hidden="1">
      <c r="B149" s="123"/>
      <c r="G149" s="118"/>
      <c r="P149" s="297"/>
      <c r="Q149" s="297"/>
      <c r="R149" s="297"/>
      <c r="S149" s="297"/>
      <c r="T149" s="297"/>
      <c r="U149" s="297"/>
      <c r="V149" s="297"/>
      <c r="W149" s="297"/>
    </row>
    <row r="150" spans="2:23" s="115" customFormat="1" hidden="1">
      <c r="B150" s="123"/>
      <c r="G150" s="118"/>
      <c r="P150" s="297"/>
      <c r="Q150" s="297"/>
      <c r="R150" s="297"/>
      <c r="S150" s="297"/>
      <c r="T150" s="297"/>
      <c r="U150" s="297"/>
      <c r="V150" s="297"/>
      <c r="W150" s="297"/>
    </row>
    <row r="151" spans="2:23" s="115" customFormat="1" hidden="1">
      <c r="B151" s="123"/>
      <c r="G151" s="118"/>
      <c r="P151" s="297"/>
      <c r="Q151" s="297"/>
      <c r="R151" s="297"/>
      <c r="S151" s="297"/>
      <c r="T151" s="297"/>
      <c r="U151" s="297"/>
      <c r="V151" s="297"/>
      <c r="W151" s="297"/>
    </row>
    <row r="152" spans="2:23" s="115" customFormat="1" hidden="1">
      <c r="B152" s="123"/>
      <c r="G152" s="118"/>
      <c r="P152" s="297"/>
      <c r="Q152" s="297"/>
      <c r="R152" s="297"/>
      <c r="S152" s="297"/>
      <c r="T152" s="297"/>
      <c r="U152" s="297"/>
      <c r="V152" s="297"/>
      <c r="W152" s="297"/>
    </row>
    <row r="153" spans="2:23" s="115" customFormat="1" hidden="1">
      <c r="B153" s="123"/>
      <c r="G153" s="118"/>
      <c r="P153" s="297"/>
      <c r="Q153" s="297"/>
      <c r="R153" s="297"/>
      <c r="S153" s="297"/>
      <c r="T153" s="297"/>
      <c r="U153" s="297"/>
      <c r="V153" s="297"/>
      <c r="W153" s="297"/>
    </row>
    <row r="154" spans="2:23" s="115" customFormat="1" hidden="1">
      <c r="B154" s="123"/>
      <c r="G154" s="118"/>
      <c r="P154" s="297"/>
      <c r="Q154" s="297"/>
      <c r="R154" s="297"/>
      <c r="S154" s="297"/>
      <c r="T154" s="297"/>
      <c r="U154" s="297"/>
      <c r="V154" s="297"/>
      <c r="W154" s="297"/>
    </row>
    <row r="155" spans="2:23" s="115" customFormat="1" hidden="1">
      <c r="B155" s="123"/>
      <c r="G155" s="118"/>
      <c r="P155" s="297"/>
      <c r="Q155" s="297"/>
      <c r="R155" s="297"/>
      <c r="S155" s="297"/>
      <c r="T155" s="297"/>
      <c r="U155" s="297"/>
      <c r="V155" s="297"/>
      <c r="W155" s="297"/>
    </row>
    <row r="156" spans="2:23" s="115" customFormat="1" hidden="1">
      <c r="B156" s="123"/>
      <c r="G156" s="118"/>
      <c r="P156" s="297"/>
      <c r="Q156" s="297"/>
      <c r="R156" s="297"/>
      <c r="S156" s="297"/>
      <c r="T156" s="297"/>
      <c r="U156" s="297"/>
      <c r="V156" s="297"/>
      <c r="W156" s="297"/>
    </row>
    <row r="157" spans="2:23" s="115" customFormat="1" hidden="1">
      <c r="B157" s="123"/>
      <c r="G157" s="118"/>
      <c r="P157" s="297"/>
      <c r="Q157" s="297"/>
      <c r="R157" s="297"/>
      <c r="S157" s="297"/>
      <c r="T157" s="297"/>
      <c r="U157" s="297"/>
      <c r="V157" s="297"/>
      <c r="W157" s="297"/>
    </row>
    <row r="158" spans="2:23" s="115" customFormat="1" hidden="1">
      <c r="B158" s="123"/>
      <c r="G158" s="118"/>
      <c r="P158" s="297"/>
      <c r="Q158" s="297"/>
      <c r="R158" s="297"/>
      <c r="S158" s="297"/>
      <c r="T158" s="297"/>
      <c r="U158" s="297"/>
      <c r="V158" s="297"/>
      <c r="W158" s="297"/>
    </row>
    <row r="159" spans="2:23" s="115" customFormat="1" hidden="1">
      <c r="B159" s="123"/>
      <c r="G159" s="118"/>
      <c r="P159" s="297"/>
      <c r="Q159" s="297"/>
      <c r="R159" s="297"/>
      <c r="S159" s="297"/>
      <c r="T159" s="297"/>
      <c r="U159" s="297"/>
      <c r="V159" s="297"/>
      <c r="W159" s="297"/>
    </row>
    <row r="160" spans="2:23" s="115" customFormat="1" hidden="1">
      <c r="B160" s="123"/>
      <c r="G160" s="118"/>
      <c r="P160" s="297"/>
      <c r="Q160" s="297"/>
      <c r="R160" s="297"/>
      <c r="S160" s="297"/>
      <c r="T160" s="297"/>
      <c r="U160" s="297"/>
      <c r="V160" s="297"/>
      <c r="W160" s="297"/>
    </row>
    <row r="161" spans="2:23" s="115" customFormat="1" hidden="1">
      <c r="B161" s="123"/>
      <c r="G161" s="118"/>
      <c r="P161" s="297"/>
      <c r="Q161" s="297"/>
      <c r="R161" s="297"/>
      <c r="S161" s="297"/>
      <c r="T161" s="297"/>
      <c r="U161" s="297"/>
      <c r="V161" s="297"/>
      <c r="W161" s="297"/>
    </row>
    <row r="162" spans="2:23" s="115" customFormat="1" hidden="1">
      <c r="B162" s="123"/>
      <c r="G162" s="118"/>
      <c r="P162" s="297"/>
      <c r="Q162" s="297"/>
      <c r="R162" s="297"/>
      <c r="S162" s="297"/>
      <c r="T162" s="297"/>
      <c r="U162" s="297"/>
      <c r="V162" s="297"/>
      <c r="W162" s="297"/>
    </row>
    <row r="163" spans="2:23" s="115" customFormat="1" hidden="1">
      <c r="B163" s="123"/>
      <c r="G163" s="118"/>
      <c r="P163" s="297"/>
      <c r="Q163" s="297"/>
      <c r="R163" s="297"/>
      <c r="S163" s="297"/>
      <c r="T163" s="297"/>
      <c r="U163" s="297"/>
      <c r="V163" s="297"/>
      <c r="W163" s="297"/>
    </row>
    <row r="164" spans="2:23" s="115" customFormat="1" hidden="1">
      <c r="B164" s="123"/>
      <c r="G164" s="118"/>
      <c r="P164" s="297"/>
      <c r="Q164" s="297"/>
      <c r="R164" s="297"/>
      <c r="S164" s="297"/>
      <c r="T164" s="297"/>
      <c r="U164" s="297"/>
      <c r="V164" s="297"/>
      <c r="W164" s="297"/>
    </row>
    <row r="165" spans="2:23" s="115" customFormat="1" hidden="1">
      <c r="B165" s="123"/>
      <c r="G165" s="118"/>
      <c r="P165" s="297"/>
      <c r="Q165" s="297"/>
      <c r="R165" s="297"/>
      <c r="S165" s="297"/>
      <c r="T165" s="297"/>
      <c r="U165" s="297"/>
      <c r="V165" s="297"/>
      <c r="W165" s="297"/>
    </row>
    <row r="166" spans="2:23" s="115" customFormat="1" hidden="1">
      <c r="B166" s="123"/>
      <c r="G166" s="118"/>
      <c r="P166" s="297"/>
      <c r="Q166" s="297"/>
      <c r="R166" s="297"/>
      <c r="S166" s="297"/>
      <c r="T166" s="297"/>
      <c r="U166" s="297"/>
      <c r="V166" s="297"/>
      <c r="W166" s="297"/>
    </row>
    <row r="167" spans="2:23" s="115" customFormat="1" hidden="1">
      <c r="B167" s="123"/>
      <c r="G167" s="118"/>
      <c r="P167" s="297"/>
      <c r="Q167" s="297"/>
      <c r="R167" s="297"/>
      <c r="S167" s="297"/>
      <c r="T167" s="297"/>
      <c r="U167" s="297"/>
      <c r="V167" s="297"/>
      <c r="W167" s="297"/>
    </row>
    <row r="168" spans="2:23" s="115" customFormat="1" hidden="1">
      <c r="B168" s="123"/>
      <c r="G168" s="118"/>
      <c r="P168" s="297"/>
      <c r="Q168" s="297"/>
      <c r="R168" s="297"/>
      <c r="S168" s="297"/>
      <c r="T168" s="297"/>
      <c r="U168" s="297"/>
      <c r="V168" s="297"/>
      <c r="W168" s="297"/>
    </row>
    <row r="169" spans="2:23" s="115" customFormat="1" hidden="1">
      <c r="B169" s="123"/>
      <c r="G169" s="118"/>
      <c r="P169" s="297"/>
      <c r="Q169" s="297"/>
      <c r="R169" s="297"/>
      <c r="S169" s="297"/>
      <c r="T169" s="297"/>
      <c r="U169" s="297"/>
      <c r="V169" s="297"/>
      <c r="W169" s="297"/>
    </row>
    <row r="170" spans="2:23" s="115" customFormat="1" hidden="1">
      <c r="B170" s="123"/>
      <c r="G170" s="118"/>
      <c r="P170" s="297"/>
      <c r="Q170" s="297"/>
      <c r="R170" s="297"/>
      <c r="S170" s="297"/>
      <c r="T170" s="297"/>
      <c r="U170" s="297"/>
      <c r="V170" s="297"/>
      <c r="W170" s="297"/>
    </row>
    <row r="171" spans="2:23" s="115" customFormat="1" hidden="1">
      <c r="B171" s="123"/>
      <c r="G171" s="118"/>
      <c r="P171" s="297"/>
      <c r="Q171" s="297"/>
      <c r="R171" s="297"/>
      <c r="S171" s="297"/>
      <c r="T171" s="297"/>
      <c r="U171" s="297"/>
      <c r="V171" s="297"/>
      <c r="W171" s="297"/>
    </row>
    <row r="172" spans="2:23" s="115" customFormat="1" hidden="1">
      <c r="B172" s="123"/>
      <c r="G172" s="118"/>
      <c r="P172" s="297"/>
      <c r="Q172" s="297"/>
      <c r="R172" s="297"/>
      <c r="S172" s="297"/>
      <c r="T172" s="297"/>
      <c r="U172" s="297"/>
      <c r="V172" s="297"/>
      <c r="W172" s="297"/>
    </row>
    <row r="173" spans="2:23" s="115" customFormat="1" hidden="1">
      <c r="B173" s="123"/>
      <c r="G173" s="118"/>
      <c r="P173" s="297"/>
      <c r="Q173" s="297"/>
      <c r="R173" s="297"/>
      <c r="S173" s="297"/>
      <c r="T173" s="297"/>
      <c r="U173" s="297"/>
      <c r="V173" s="297"/>
      <c r="W173" s="297"/>
    </row>
    <row r="174" spans="2:23" s="115" customFormat="1" hidden="1">
      <c r="B174" s="123"/>
      <c r="G174" s="118"/>
      <c r="P174" s="297"/>
      <c r="Q174" s="297"/>
      <c r="R174" s="297"/>
      <c r="S174" s="297"/>
      <c r="T174" s="297"/>
      <c r="U174" s="297"/>
      <c r="V174" s="297"/>
      <c r="W174" s="297"/>
    </row>
    <row r="175" spans="2:23" s="115" customFormat="1" hidden="1">
      <c r="B175" s="123"/>
      <c r="G175" s="118"/>
      <c r="P175" s="297"/>
      <c r="Q175" s="297"/>
      <c r="R175" s="297"/>
      <c r="S175" s="297"/>
      <c r="T175" s="297"/>
      <c r="U175" s="297"/>
      <c r="V175" s="297"/>
      <c r="W175" s="297"/>
    </row>
    <row r="176" spans="2:23" s="115" customFormat="1" hidden="1">
      <c r="B176" s="123"/>
      <c r="G176" s="118"/>
      <c r="P176" s="297"/>
      <c r="Q176" s="297"/>
      <c r="R176" s="297"/>
      <c r="S176" s="297"/>
      <c r="T176" s="297"/>
      <c r="U176" s="297"/>
      <c r="V176" s="297"/>
      <c r="W176" s="297"/>
    </row>
    <row r="177" spans="2:24" s="115" customFormat="1" hidden="1">
      <c r="B177" s="123"/>
      <c r="G177" s="118"/>
      <c r="P177" s="297"/>
      <c r="Q177" s="297"/>
      <c r="R177" s="297"/>
      <c r="S177" s="297"/>
      <c r="T177" s="297"/>
      <c r="U177" s="297"/>
      <c r="V177" s="297"/>
      <c r="W177" s="297"/>
    </row>
    <row r="178" spans="2:24" s="115" customFormat="1" hidden="1">
      <c r="B178" s="123"/>
      <c r="G178" s="118"/>
      <c r="P178" s="297"/>
      <c r="Q178" s="297"/>
      <c r="R178" s="297"/>
      <c r="S178" s="297"/>
      <c r="T178" s="297"/>
      <c r="U178" s="297"/>
      <c r="V178" s="297"/>
      <c r="W178" s="297"/>
    </row>
    <row r="179" spans="2:24">
      <c r="B179" s="85"/>
      <c r="C179" s="86"/>
      <c r="D179" s="86"/>
      <c r="G179" s="118"/>
      <c r="H179" s="115"/>
      <c r="I179" s="115"/>
      <c r="J179" s="115"/>
      <c r="K179" s="115"/>
      <c r="L179" s="115"/>
      <c r="M179" s="115"/>
      <c r="N179" s="115"/>
      <c r="O179" s="115"/>
      <c r="P179" s="297"/>
      <c r="Q179" s="297"/>
      <c r="R179" s="297"/>
      <c r="S179" s="297"/>
      <c r="T179" s="297"/>
      <c r="U179" s="297"/>
      <c r="V179" s="297"/>
      <c r="W179" s="297"/>
      <c r="X179" s="79"/>
    </row>
    <row r="180" spans="2:24">
      <c r="B180" s="85"/>
      <c r="C180" s="86"/>
      <c r="D180" s="86"/>
      <c r="U180" s="115"/>
      <c r="V180" s="115"/>
      <c r="W180" s="115"/>
      <c r="X180" s="79"/>
    </row>
    <row r="181" spans="2:24">
      <c r="H181"/>
      <c r="I181"/>
      <c r="J181"/>
      <c r="K181"/>
      <c r="L181"/>
      <c r="U181" s="115"/>
      <c r="V181" s="115"/>
      <c r="W181" s="115"/>
    </row>
    <row r="182" spans="2:24">
      <c r="H182"/>
      <c r="I182"/>
      <c r="J182"/>
      <c r="K182"/>
      <c r="L182"/>
      <c r="U182" s="115"/>
      <c r="V182" s="115"/>
      <c r="W182" s="115"/>
    </row>
    <row r="183" spans="2:24">
      <c r="H183"/>
      <c r="I183"/>
      <c r="J183"/>
      <c r="K183"/>
      <c r="L183"/>
    </row>
    <row r="184" spans="2:24">
      <c r="H184"/>
      <c r="I184"/>
      <c r="J184"/>
      <c r="K184"/>
      <c r="L184"/>
    </row>
    <row r="185" spans="2:24">
      <c r="H185"/>
      <c r="I185"/>
      <c r="J185"/>
      <c r="K185"/>
      <c r="L185"/>
    </row>
    <row r="188" spans="2:24">
      <c r="I188" s="2243"/>
      <c r="J188" s="2243"/>
      <c r="K188" s="2243"/>
    </row>
    <row r="189" spans="2:24" ht="25.5">
      <c r="I189" s="362" t="s">
        <v>898</v>
      </c>
      <c r="J189" s="29">
        <f>'Entrada de datos'!L48</f>
        <v>0</v>
      </c>
      <c r="K189" s="363">
        <v>30</v>
      </c>
      <c r="L189" s="365">
        <f>K189*J189</f>
        <v>0</v>
      </c>
    </row>
    <row r="190" spans="2:24">
      <c r="I190" s="411" t="s">
        <v>897</v>
      </c>
      <c r="J190" s="412"/>
      <c r="K190" s="413">
        <v>3</v>
      </c>
      <c r="L190" s="414">
        <f t="shared" ref="L190:L195" si="10">K190*J190</f>
        <v>0</v>
      </c>
    </row>
    <row r="191" spans="2:24" ht="25.5">
      <c r="I191" s="362" t="s">
        <v>899</v>
      </c>
      <c r="J191" s="29">
        <f>'Entrada de datos'!O48</f>
        <v>0</v>
      </c>
      <c r="K191" s="363">
        <v>10</v>
      </c>
      <c r="L191" s="365">
        <f t="shared" si="10"/>
        <v>0</v>
      </c>
    </row>
    <row r="192" spans="2:24" ht="38.25">
      <c r="I192" s="362" t="s">
        <v>900</v>
      </c>
      <c r="J192" s="29">
        <f>'Entrada de datos'!O50</f>
        <v>0</v>
      </c>
      <c r="K192" s="363">
        <v>1</v>
      </c>
      <c r="L192" s="365">
        <f t="shared" si="10"/>
        <v>0</v>
      </c>
    </row>
    <row r="193" spans="9:13" ht="38.25">
      <c r="I193" s="362" t="s">
        <v>901</v>
      </c>
      <c r="J193" s="29">
        <f>'Entrada de datos'!O51</f>
        <v>0</v>
      </c>
      <c r="K193" s="363">
        <v>4.5</v>
      </c>
      <c r="L193" s="365">
        <f t="shared" si="10"/>
        <v>0</v>
      </c>
    </row>
    <row r="194" spans="9:13" ht="38.25">
      <c r="I194" s="362" t="s">
        <v>902</v>
      </c>
      <c r="J194" s="29">
        <f>'Entrada de datos'!O52</f>
        <v>0</v>
      </c>
      <c r="K194" s="363">
        <v>8</v>
      </c>
      <c r="L194" s="365">
        <f t="shared" si="10"/>
        <v>0</v>
      </c>
    </row>
    <row r="195" spans="9:13" ht="38.25">
      <c r="I195" s="362" t="s">
        <v>903</v>
      </c>
      <c r="J195" s="29">
        <f>'Entrada de datos'!O53</f>
        <v>0</v>
      </c>
      <c r="K195" s="363">
        <v>30</v>
      </c>
      <c r="L195" s="365">
        <f t="shared" si="10"/>
        <v>0</v>
      </c>
    </row>
    <row r="196" spans="9:13">
      <c r="I196" s="364" t="s">
        <v>909</v>
      </c>
      <c r="J196" s="368">
        <f>SUM(J192:J195)</f>
        <v>0</v>
      </c>
      <c r="K196" s="364"/>
      <c r="L196" s="371">
        <f>L189+L191</f>
        <v>0</v>
      </c>
      <c r="M196" s="364" t="s">
        <v>910</v>
      </c>
    </row>
    <row r="197" spans="9:13" ht="13.5" thickBot="1">
      <c r="I197" s="364" t="s">
        <v>765</v>
      </c>
      <c r="J197" s="369">
        <f>IF(J196&lt;10,0%,IF(J196&lt;30,2%,IF(J196&lt;50,5%,10%)))</f>
        <v>0</v>
      </c>
      <c r="L197" s="370">
        <f>SUM(L192:L195)*(1-J197)</f>
        <v>0</v>
      </c>
      <c r="M197" s="364" t="s">
        <v>911</v>
      </c>
    </row>
    <row r="198" spans="9:13" ht="13.5" thickBot="1">
      <c r="L198" s="372">
        <f>L196+L197</f>
        <v>0</v>
      </c>
      <c r="M198" s="364" t="s">
        <v>940</v>
      </c>
    </row>
    <row r="199" spans="9:13" ht="50.45" customHeight="1">
      <c r="I199" s="2242" t="s">
        <v>905</v>
      </c>
      <c r="J199" s="2242"/>
      <c r="L199" s="364" t="s">
        <v>941</v>
      </c>
    </row>
    <row r="200" spans="9:13" ht="13.15" customHeight="1">
      <c r="I200" s="366" t="s">
        <v>906</v>
      </c>
      <c r="J200" s="367">
        <v>0.02</v>
      </c>
      <c r="L200" s="364" t="s">
        <v>942</v>
      </c>
    </row>
    <row r="201" spans="9:13">
      <c r="I201" s="366" t="s">
        <v>907</v>
      </c>
      <c r="J201" s="367">
        <v>0.05</v>
      </c>
      <c r="L201" s="364" t="s">
        <v>943</v>
      </c>
    </row>
    <row r="202" spans="9:13">
      <c r="I202" s="366" t="s">
        <v>908</v>
      </c>
      <c r="J202" s="367">
        <v>0.1</v>
      </c>
    </row>
    <row r="203" spans="9:13">
      <c r="M203" s="364" t="s">
        <v>944</v>
      </c>
    </row>
    <row r="204" spans="9:13" ht="13.5" thickBot="1">
      <c r="L204" s="373">
        <f>L196</f>
        <v>0</v>
      </c>
      <c r="M204" s="364" t="s">
        <v>945</v>
      </c>
    </row>
    <row r="205" spans="9:13" ht="13.5" thickBot="1">
      <c r="L205" s="372">
        <f>L203+L204</f>
        <v>0</v>
      </c>
      <c r="M205" s="364" t="s">
        <v>946</v>
      </c>
    </row>
  </sheetData>
  <sheetProtection algorithmName="SHA-512" hashValue="W/BqRySSiSnxMst4ovj84PXRKiuxcu9bW5ekBnz0n2NUH0h5bWUIsNMsYqhpfWPDtUE72l1oezOhjpMpZjoE7g==" saltValue="iG1j/yb6DGlkf7xq7Bm+mg==" spinCount="100000" sheet="1" selectLockedCells="1" selectUnlockedCells="1"/>
  <mergeCells count="11">
    <mergeCell ref="I199:J199"/>
    <mergeCell ref="I188:K188"/>
    <mergeCell ref="I18:K18"/>
    <mergeCell ref="L18:N18"/>
    <mergeCell ref="R49:S49"/>
    <mergeCell ref="U49:V49"/>
    <mergeCell ref="I96:L97"/>
    <mergeCell ref="G94:H94"/>
    <mergeCell ref="G80:J80"/>
    <mergeCell ref="C80:D80"/>
    <mergeCell ref="E80:F80"/>
  </mergeCells>
  <phoneticPr fontId="6" type="noConversion"/>
  <pageMargins left="0.75" right="0.75" top="1" bottom="1" header="0" footer="0"/>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pageSetUpPr fitToPage="1"/>
  </sheetPr>
  <dimension ref="A1:XFD915"/>
  <sheetViews>
    <sheetView showGridLines="0" showOutlineSymbols="0" view="pageBreakPreview" topLeftCell="A898" zoomScale="98" zoomScaleNormal="50" zoomScaleSheetLayoutView="98" zoomScalePageLayoutView="25" workbookViewId="0">
      <selection activeCell="B900" sqref="B900:U900"/>
    </sheetView>
  </sheetViews>
  <sheetFormatPr baseColWidth="10" defaultColWidth="11.42578125" defaultRowHeight="12.75"/>
  <cols>
    <col min="1" max="1" width="7.140625" style="422" customWidth="1"/>
    <col min="2" max="2" width="17.140625" style="422" customWidth="1"/>
    <col min="3" max="3" width="18.7109375" style="422" customWidth="1"/>
    <col min="4" max="4" width="13.5703125" style="422" customWidth="1"/>
    <col min="5" max="5" width="15.5703125" style="422" customWidth="1"/>
    <col min="6" max="6" width="15.140625" style="422" customWidth="1"/>
    <col min="7" max="7" width="16" style="422" customWidth="1"/>
    <col min="8" max="8" width="18.28515625" style="422" bestFit="1" customWidth="1"/>
    <col min="9" max="9" width="15.7109375" style="422" customWidth="1"/>
    <col min="10" max="10" width="15.5703125" style="422" bestFit="1" customWidth="1"/>
    <col min="11" max="11" width="14.28515625" style="422" customWidth="1"/>
    <col min="12" max="12" width="17.5703125" style="422" customWidth="1"/>
    <col min="13" max="13" width="19" style="422" customWidth="1"/>
    <col min="14" max="14" width="17.85546875" style="422" customWidth="1"/>
    <col min="15" max="15" width="16.7109375" style="422" customWidth="1"/>
    <col min="16" max="16" width="18.140625" style="422" customWidth="1"/>
    <col min="17" max="17" width="17.85546875" style="422" customWidth="1"/>
    <col min="18" max="18" width="24" style="422" customWidth="1"/>
    <col min="19" max="19" width="17.7109375" style="422" customWidth="1"/>
    <col min="20" max="20" width="21.8554687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268" t="s">
        <v>667</v>
      </c>
      <c r="C8" s="2268"/>
      <c r="D8" s="2268"/>
      <c r="E8" s="2268"/>
      <c r="F8" s="2268"/>
      <c r="G8" s="2268"/>
      <c r="H8" s="2268"/>
      <c r="I8" s="2268"/>
      <c r="J8" s="2268"/>
      <c r="K8" s="2268"/>
      <c r="L8" s="2268"/>
      <c r="M8" s="2268"/>
      <c r="N8" s="2268"/>
      <c r="O8" s="2268"/>
      <c r="P8" s="2268"/>
      <c r="Q8" s="2268"/>
      <c r="R8" s="2268"/>
      <c r="S8" s="2268"/>
      <c r="T8" s="2268"/>
      <c r="U8" s="2268"/>
    </row>
    <row r="9" spans="1:21" s="416" customFormat="1" ht="34.5">
      <c r="A9" s="415"/>
      <c r="B9" s="2268" t="s">
        <v>696</v>
      </c>
      <c r="C9" s="2268"/>
      <c r="D9" s="2268"/>
      <c r="E9" s="2268"/>
      <c r="F9" s="2268"/>
      <c r="G9" s="2268"/>
      <c r="H9" s="2268"/>
      <c r="I9" s="2268"/>
      <c r="J9" s="2268"/>
      <c r="K9" s="2268"/>
      <c r="L9" s="2268"/>
      <c r="M9" s="2268"/>
      <c r="N9" s="2268"/>
      <c r="O9" s="2268"/>
      <c r="P9" s="2268"/>
      <c r="Q9" s="2268"/>
      <c r="R9" s="2268"/>
      <c r="S9" s="2268"/>
      <c r="T9" s="2268"/>
      <c r="U9" s="2268"/>
    </row>
    <row r="10" spans="1:21" s="416" customFormat="1" ht="34.5">
      <c r="A10" s="415"/>
      <c r="B10" s="2268"/>
      <c r="C10" s="2268"/>
      <c r="D10" s="2268"/>
      <c r="E10" s="2268"/>
      <c r="F10" s="2268"/>
      <c r="G10" s="2268"/>
      <c r="H10" s="2268"/>
      <c r="I10" s="2268"/>
      <c r="J10" s="2268"/>
      <c r="K10" s="2268"/>
      <c r="L10" s="2268"/>
      <c r="M10" s="2268"/>
      <c r="N10" s="2268"/>
      <c r="O10" s="2268"/>
      <c r="P10" s="2268"/>
      <c r="Q10" s="2268"/>
      <c r="R10" s="2268"/>
      <c r="S10" s="2268"/>
      <c r="T10" s="2268"/>
      <c r="U10" s="2268"/>
    </row>
    <row r="11" spans="1:21" s="416" customFormat="1" ht="34.5">
      <c r="A11" s="415"/>
      <c r="B11" s="2414" t="str">
        <f>'Seleccion de oferta'!E9</f>
        <v>INMOBILIARIA SERVIGESTION</v>
      </c>
      <c r="C11" s="2414"/>
      <c r="D11" s="2414"/>
      <c r="E11" s="2414"/>
      <c r="F11" s="2414"/>
      <c r="G11" s="2414"/>
      <c r="H11" s="2414"/>
      <c r="I11" s="2414"/>
      <c r="J11" s="2414"/>
      <c r="K11" s="2414"/>
      <c r="L11" s="2414"/>
      <c r="M11" s="2414"/>
      <c r="N11" s="2414"/>
      <c r="O11" s="2414"/>
      <c r="P11" s="2414"/>
      <c r="Q11" s="2414"/>
      <c r="R11" s="2414"/>
      <c r="S11" s="2414"/>
      <c r="T11" s="2414"/>
      <c r="U11" s="2414"/>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15" t="str">
        <f>'Seleccion de oferta'!E11</f>
        <v>B11412343</v>
      </c>
      <c r="F16" s="2415"/>
      <c r="G16" s="2415"/>
      <c r="H16" s="2415"/>
      <c r="I16" s="2415"/>
    </row>
    <row r="17" spans="1:22" s="416" customFormat="1" ht="25.9" customHeight="1">
      <c r="A17" s="415"/>
      <c r="B17" s="417" t="s">
        <v>187</v>
      </c>
      <c r="C17" s="418"/>
      <c r="D17" s="419"/>
      <c r="E17" s="2415" t="str">
        <f>'Seleccion de oferta'!E13</f>
        <v>PLAZA ESPAÑA Nº1, EDIFICIO ESPAÑA PLANTA 1º OFICINA 2</v>
      </c>
      <c r="F17" s="2415"/>
      <c r="G17" s="2415"/>
      <c r="H17" s="2415"/>
      <c r="I17" s="2415"/>
    </row>
    <row r="18" spans="1:22" s="416" customFormat="1" ht="25.9" customHeight="1">
      <c r="A18" s="415"/>
      <c r="B18" s="417" t="s">
        <v>646</v>
      </c>
      <c r="C18" s="418"/>
      <c r="D18" s="419"/>
      <c r="E18" s="2415" t="str">
        <f>'Seleccion de oferta'!E15</f>
        <v>CHICLANA</v>
      </c>
      <c r="F18" s="2415"/>
      <c r="G18" s="2415"/>
      <c r="H18" s="2415"/>
      <c r="I18" s="2415"/>
    </row>
    <row r="19" spans="1:22" ht="25.9" customHeight="1">
      <c r="A19" s="420"/>
      <c r="B19" s="417" t="s">
        <v>647</v>
      </c>
      <c r="C19" s="421"/>
      <c r="D19" s="421"/>
      <c r="E19" s="2415" t="str">
        <f>'Seleccion de oferta'!E17</f>
        <v>CADIZ</v>
      </c>
      <c r="F19" s="2415"/>
      <c r="G19" s="2415"/>
      <c r="H19" s="2415"/>
      <c r="I19" s="2415"/>
      <c r="V19" s="420"/>
    </row>
    <row r="20" spans="1:22" ht="25.9" customHeight="1">
      <c r="A20" s="420"/>
      <c r="B20" s="417" t="s">
        <v>644</v>
      </c>
      <c r="C20" s="423"/>
      <c r="D20" s="421"/>
      <c r="E20" s="2415" t="str">
        <f>'Seleccion de oferta'!E19</f>
        <v>MANUEL</v>
      </c>
      <c r="F20" s="2415"/>
      <c r="G20" s="2415"/>
      <c r="H20" s="2415"/>
      <c r="I20" s="2415"/>
      <c r="J20" s="424"/>
      <c r="K20" s="424"/>
      <c r="L20" s="424"/>
      <c r="M20" s="424"/>
      <c r="N20" s="424"/>
      <c r="O20" s="424"/>
      <c r="P20" s="424"/>
      <c r="Q20" s="424"/>
      <c r="R20" s="424"/>
      <c r="S20" s="424"/>
      <c r="T20" s="424"/>
      <c r="U20" s="424"/>
      <c r="V20" s="420"/>
    </row>
    <row r="21" spans="1:22" ht="25.9" customHeight="1">
      <c r="A21" s="420"/>
      <c r="B21" s="425" t="s">
        <v>645</v>
      </c>
      <c r="C21" s="426"/>
      <c r="D21" s="421"/>
      <c r="E21" s="2415">
        <f>'Seleccion de oferta'!E21</f>
        <v>956535624</v>
      </c>
      <c r="F21" s="2415"/>
      <c r="G21" s="2415"/>
      <c r="H21" s="2415"/>
      <c r="I21" s="2415"/>
      <c r="J21" s="427"/>
      <c r="K21" s="427"/>
      <c r="L21" s="427"/>
      <c r="M21" s="427"/>
      <c r="N21" s="427"/>
      <c r="O21" s="427"/>
      <c r="P21" s="427"/>
      <c r="Q21" s="427"/>
      <c r="R21" s="427"/>
      <c r="S21" s="427"/>
      <c r="T21" s="427"/>
      <c r="U21" s="427"/>
      <c r="V21" s="420"/>
    </row>
    <row r="22" spans="1:22" ht="25.9" customHeight="1">
      <c r="A22" s="420"/>
      <c r="B22" s="425" t="s">
        <v>1168</v>
      </c>
      <c r="C22" s="426"/>
      <c r="D22" s="421"/>
      <c r="E22" s="2439" t="str">
        <f>'Seleccion de oferta'!E23</f>
        <v>Movistar</v>
      </c>
      <c r="F22" s="2415"/>
      <c r="G22" s="2415"/>
      <c r="H22" s="2415"/>
      <c r="I22" s="2415"/>
      <c r="J22" s="757"/>
      <c r="K22" s="757"/>
      <c r="L22" s="757"/>
      <c r="M22" s="757"/>
      <c r="N22" s="757"/>
      <c r="O22" s="757"/>
      <c r="P22" s="757"/>
      <c r="Q22" s="757"/>
      <c r="R22" s="757"/>
      <c r="S22" s="757"/>
      <c r="T22" s="757"/>
      <c r="U22" s="757"/>
      <c r="V22" s="420"/>
    </row>
    <row r="23" spans="1:22" ht="25.9" customHeight="1">
      <c r="A23" s="420"/>
      <c r="B23" s="425" t="s">
        <v>1169</v>
      </c>
      <c r="C23" s="426"/>
      <c r="D23" s="421"/>
      <c r="E23" s="2439" t="str">
        <f>'Seleccion de oferta'!E25</f>
        <v>Movistar</v>
      </c>
      <c r="F23" s="2415"/>
      <c r="G23" s="2415"/>
      <c r="H23" s="2415"/>
      <c r="I23" s="2415"/>
      <c r="J23" s="1188"/>
      <c r="K23" s="1188"/>
      <c r="L23" s="1188"/>
      <c r="M23" s="1188"/>
      <c r="N23" s="1188"/>
      <c r="O23" s="1188"/>
      <c r="P23" s="1188"/>
      <c r="Q23" s="1188"/>
      <c r="R23" s="1188"/>
      <c r="S23" s="1188"/>
      <c r="T23" s="1188"/>
      <c r="U23" s="1188"/>
      <c r="V23" s="420"/>
    </row>
    <row r="24" spans="1:22" ht="60" customHeight="1">
      <c r="A24" s="420"/>
      <c r="C24" s="428"/>
      <c r="D24" s="428"/>
      <c r="E24" s="428"/>
      <c r="F24" s="428"/>
      <c r="G24" s="428"/>
      <c r="H24" s="428"/>
      <c r="I24" s="428"/>
      <c r="J24" s="428"/>
      <c r="K24" s="428"/>
      <c r="L24" s="428"/>
      <c r="M24" s="428"/>
      <c r="N24" s="428"/>
      <c r="O24" s="428"/>
      <c r="P24" s="428"/>
      <c r="Q24" s="428"/>
      <c r="R24" s="428"/>
      <c r="S24" s="428"/>
      <c r="T24" s="428"/>
      <c r="U24" s="428"/>
      <c r="V24" s="420"/>
    </row>
    <row r="25" spans="1:22" ht="25.9" customHeight="1">
      <c r="A25" s="420"/>
      <c r="B25" s="417" t="s">
        <v>649</v>
      </c>
      <c r="C25" s="418"/>
      <c r="D25" s="419"/>
      <c r="E25" s="2415" t="str">
        <f>'Seleccion de oferta'!E30:G30</f>
        <v>JOSE LUIS PARRA</v>
      </c>
      <c r="F25" s="2415"/>
      <c r="G25" s="2415"/>
      <c r="H25" s="2415"/>
      <c r="I25" s="2415"/>
      <c r="J25" s="428"/>
      <c r="V25" s="420"/>
    </row>
    <row r="26" spans="1:22" ht="25.9" customHeight="1">
      <c r="A26" s="429"/>
      <c r="B26" s="417" t="s">
        <v>645</v>
      </c>
      <c r="C26" s="418"/>
      <c r="D26" s="419"/>
      <c r="E26" s="2439">
        <f>'Seleccion de oferta'!E34</f>
        <v>630836774</v>
      </c>
      <c r="F26" s="2415"/>
      <c r="G26" s="2415"/>
      <c r="H26" s="2415"/>
      <c r="I26" s="2415"/>
      <c r="J26" s="428"/>
      <c r="V26" s="429"/>
    </row>
    <row r="27" spans="1:22" s="416" customFormat="1" ht="23.25">
      <c r="A27" s="415"/>
      <c r="B27" s="417" t="s">
        <v>650</v>
      </c>
      <c r="C27" s="418"/>
      <c r="D27" s="419"/>
      <c r="E27" s="2415" t="str">
        <f>'Seleccion de oferta'!E42:G42</f>
        <v>GRUPO PROMOVIL</v>
      </c>
      <c r="F27" s="2415"/>
      <c r="G27" s="2415"/>
      <c r="H27" s="2415"/>
      <c r="I27" s="2415"/>
      <c r="J27" s="428"/>
    </row>
    <row r="28" spans="1:22" s="416" customFormat="1" ht="23.25">
      <c r="A28" s="415"/>
      <c r="B28" s="417"/>
      <c r="C28" s="418"/>
      <c r="D28" s="419"/>
      <c r="E28" s="765"/>
      <c r="F28" s="765"/>
      <c r="G28" s="765"/>
      <c r="H28" s="765"/>
      <c r="I28" s="765"/>
      <c r="J28" s="428"/>
    </row>
    <row r="29" spans="1:22" s="416" customFormat="1" ht="23.25">
      <c r="A29" s="415"/>
      <c r="B29" s="417"/>
      <c r="C29" s="418"/>
      <c r="D29" s="419"/>
      <c r="E29" s="765"/>
      <c r="F29" s="765"/>
      <c r="G29" s="765"/>
      <c r="H29" s="765"/>
      <c r="I29" s="765"/>
      <c r="J29" s="428"/>
    </row>
    <row r="30" spans="1:22" s="416" customFormat="1" ht="23.25">
      <c r="A30" s="415"/>
      <c r="B30" s="417"/>
      <c r="C30" s="418"/>
      <c r="D30" s="419"/>
      <c r="E30" s="765"/>
      <c r="F30" s="765"/>
      <c r="G30" s="765"/>
      <c r="H30" s="765"/>
      <c r="I30" s="765"/>
      <c r="J30" s="428"/>
    </row>
    <row r="31" spans="1:22" s="416" customFormat="1" ht="25.9" customHeight="1">
      <c r="A31" s="415"/>
      <c r="B31" s="417"/>
      <c r="C31" s="422"/>
      <c r="D31" s="2404"/>
      <c r="E31" s="2404"/>
      <c r="F31" s="2404"/>
      <c r="G31" s="2404"/>
      <c r="H31" s="2404"/>
      <c r="I31" s="2404"/>
      <c r="J31" s="428"/>
    </row>
    <row r="32" spans="1:22" s="416" customFormat="1" ht="25.9" customHeight="1">
      <c r="A32" s="415"/>
      <c r="B32" s="417" t="s">
        <v>669</v>
      </c>
      <c r="C32" s="424"/>
      <c r="D32" s="430"/>
      <c r="E32" s="2417">
        <f>'Seleccion de oferta'!E50</f>
        <v>43006</v>
      </c>
      <c r="F32" s="2417"/>
      <c r="G32" s="2417"/>
      <c r="H32" s="2417"/>
      <c r="I32" s="2417"/>
      <c r="J32" s="428"/>
    </row>
    <row r="33" spans="1:21" s="416" customFormat="1" ht="25.9" customHeight="1">
      <c r="A33" s="415"/>
      <c r="B33" s="417" t="s">
        <v>670</v>
      </c>
      <c r="C33" s="427"/>
      <c r="D33" s="431"/>
      <c r="E33" s="2417">
        <f>'Seleccion de oferta'!E52</f>
        <v>43008</v>
      </c>
      <c r="F33" s="2417"/>
      <c r="G33" s="2417"/>
      <c r="H33" s="2417"/>
      <c r="I33" s="2417"/>
      <c r="J33" s="428"/>
    </row>
    <row r="34" spans="1:21" s="416" customFormat="1" ht="25.9" customHeight="1">
      <c r="A34" s="415"/>
      <c r="B34" s="417"/>
      <c r="C34" s="757"/>
      <c r="D34" s="431"/>
      <c r="E34" s="763"/>
      <c r="F34" s="763"/>
      <c r="G34" s="763"/>
      <c r="H34" s="763"/>
      <c r="I34" s="763"/>
      <c r="J34" s="428"/>
    </row>
    <row r="35" spans="1:21" s="416" customFormat="1" ht="25.9" customHeight="1">
      <c r="A35" s="415"/>
      <c r="B35" s="417"/>
      <c r="C35" s="757"/>
      <c r="D35" s="431"/>
      <c r="E35" s="763"/>
      <c r="F35" s="763"/>
      <c r="G35" s="763"/>
      <c r="H35" s="763"/>
      <c r="I35" s="763"/>
      <c r="J35" s="428"/>
    </row>
    <row r="36" spans="1:21" s="416" customFormat="1" ht="25.9" customHeight="1">
      <c r="A36" s="415"/>
      <c r="B36" s="417"/>
      <c r="C36" s="757"/>
      <c r="D36" s="431"/>
      <c r="E36" s="763"/>
      <c r="F36" s="763"/>
      <c r="G36" s="763"/>
      <c r="H36" s="763"/>
      <c r="I36" s="763"/>
      <c r="J36" s="428"/>
    </row>
    <row r="37" spans="1:21" s="416" customFormat="1" ht="25.9" customHeight="1">
      <c r="A37" s="415"/>
      <c r="B37" s="417"/>
      <c r="C37" s="757"/>
      <c r="D37" s="431"/>
      <c r="E37" s="763"/>
      <c r="F37" s="763"/>
      <c r="G37" s="763"/>
      <c r="H37" s="763"/>
      <c r="I37" s="763"/>
      <c r="J37" s="428"/>
    </row>
    <row r="38" spans="1:21" s="416" customFormat="1" ht="25.9" customHeight="1">
      <c r="A38" s="415"/>
      <c r="B38" s="417"/>
      <c r="C38" s="757"/>
      <c r="D38" s="431"/>
      <c r="E38" s="763"/>
      <c r="F38" s="763"/>
      <c r="G38" s="763"/>
      <c r="H38" s="763"/>
      <c r="I38" s="763"/>
      <c r="J38" s="428"/>
    </row>
    <row r="39" spans="1:21" s="416" customFormat="1" ht="25.9" customHeight="1">
      <c r="A39" s="415"/>
      <c r="B39" s="417" t="s">
        <v>692</v>
      </c>
      <c r="C39" s="427"/>
      <c r="D39" s="431"/>
      <c r="E39" s="432" t="str">
        <f>CONCATENATE("ILF5_90FCORCP_",MID(E16,1,4),MID(E19,1,2),MID(E27,1,2),E32)</f>
        <v>ILF5_90FCORCP_B114CAGR43006</v>
      </c>
      <c r="F39" s="432"/>
      <c r="G39" s="432"/>
      <c r="H39" s="432"/>
      <c r="I39" s="432"/>
      <c r="J39" s="428"/>
    </row>
    <row r="40" spans="1:21" s="416" customFormat="1" ht="24" customHeight="1">
      <c r="A40" s="415"/>
      <c r="B40" s="417"/>
      <c r="C40" s="427"/>
      <c r="D40" s="433"/>
      <c r="E40" s="434"/>
      <c r="F40" s="434"/>
      <c r="G40" s="434"/>
      <c r="H40" s="434"/>
      <c r="I40" s="434"/>
      <c r="J40" s="428"/>
    </row>
    <row r="41" spans="1:21" s="416" customFormat="1" ht="25.9" customHeight="1">
      <c r="A41" s="415"/>
      <c r="B41" s="2405" t="s">
        <v>684</v>
      </c>
      <c r="C41" s="2405"/>
      <c r="D41" s="2405"/>
      <c r="E41" s="2405"/>
      <c r="F41" s="2405"/>
      <c r="G41" s="2405"/>
      <c r="H41" s="2405"/>
      <c r="I41" s="2405"/>
      <c r="J41" s="428"/>
    </row>
    <row r="42" spans="1:21" s="416" customFormat="1" ht="25.9" customHeight="1">
      <c r="A42" s="415"/>
      <c r="B42" s="2405"/>
      <c r="C42" s="2405"/>
      <c r="D42" s="2405"/>
      <c r="E42" s="2405"/>
      <c r="F42" s="2405"/>
      <c r="G42" s="2405"/>
      <c r="H42" s="2405"/>
      <c r="I42" s="2405"/>
      <c r="J42" s="428"/>
    </row>
    <row r="43" spans="1:21" s="416" customFormat="1" ht="25.9" customHeight="1">
      <c r="A43" s="415"/>
      <c r="B43" s="2405"/>
      <c r="C43" s="2405"/>
      <c r="D43" s="2405"/>
      <c r="E43" s="2405"/>
      <c r="F43" s="2405"/>
      <c r="G43" s="2405"/>
      <c r="H43" s="2405"/>
      <c r="I43" s="2405"/>
    </row>
    <row r="44" spans="1:21" s="416" customFormat="1" ht="25.9" customHeight="1">
      <c r="A44" s="415"/>
      <c r="B44" s="2405"/>
      <c r="C44" s="2405"/>
      <c r="D44" s="2405"/>
      <c r="E44" s="2405"/>
      <c r="F44" s="2405"/>
      <c r="G44" s="2405"/>
      <c r="H44" s="2405"/>
      <c r="I44" s="2405"/>
      <c r="J44" s="435"/>
      <c r="K44" s="435"/>
      <c r="L44" s="435"/>
      <c r="M44" s="435"/>
      <c r="N44" s="435"/>
      <c r="O44" s="435"/>
      <c r="P44" s="435"/>
      <c r="Q44" s="435"/>
      <c r="R44" s="435"/>
      <c r="S44" s="435"/>
      <c r="T44" s="435"/>
      <c r="U44" s="435"/>
    </row>
    <row r="45" spans="1:21" s="416" customFormat="1" ht="23.25">
      <c r="B45" s="2405"/>
      <c r="C45" s="2405"/>
      <c r="D45" s="2405"/>
      <c r="E45" s="2405"/>
      <c r="F45" s="2405"/>
      <c r="G45" s="2405"/>
      <c r="H45" s="2405"/>
      <c r="I45" s="2405"/>
      <c r="J45" s="428"/>
      <c r="K45" s="428"/>
      <c r="L45" s="428"/>
      <c r="M45" s="428"/>
      <c r="N45" s="428"/>
      <c r="O45" s="428"/>
      <c r="P45" s="428"/>
      <c r="Q45" s="428"/>
      <c r="R45" s="428"/>
      <c r="S45" s="428"/>
      <c r="T45" s="428"/>
      <c r="U45" s="428"/>
    </row>
    <row r="46" spans="1:21" s="416" customFormat="1">
      <c r="B46" s="2405"/>
      <c r="C46" s="2405"/>
      <c r="D46" s="2405"/>
      <c r="E46" s="2405"/>
      <c r="F46" s="2405"/>
      <c r="G46" s="2405"/>
      <c r="H46" s="2405"/>
      <c r="I46" s="2405"/>
    </row>
    <row r="47" spans="1:21" s="416" customFormat="1">
      <c r="B47" s="2405"/>
      <c r="C47" s="2405"/>
      <c r="D47" s="2405"/>
      <c r="E47" s="2405"/>
      <c r="F47" s="2405"/>
      <c r="G47" s="2405"/>
      <c r="H47" s="2405"/>
      <c r="I47" s="2405"/>
    </row>
    <row r="48" spans="1:21" s="416" customFormat="1">
      <c r="B48" s="2405"/>
      <c r="C48" s="2405"/>
      <c r="D48" s="2405"/>
      <c r="E48" s="2405"/>
      <c r="F48" s="2405"/>
      <c r="G48" s="2405"/>
      <c r="H48" s="2405"/>
      <c r="I48" s="2405"/>
    </row>
    <row r="49" spans="1:22" s="416" customFormat="1">
      <c r="B49" s="2405"/>
      <c r="C49" s="2405"/>
      <c r="D49" s="2405"/>
      <c r="E49" s="2405"/>
      <c r="F49" s="2405"/>
      <c r="G49" s="2405"/>
      <c r="H49" s="2405"/>
      <c r="I49" s="2405"/>
    </row>
    <row r="50" spans="1:22" s="416" customFormat="1">
      <c r="B50" s="2405"/>
      <c r="C50" s="2405"/>
      <c r="D50" s="2405"/>
      <c r="E50" s="2405"/>
      <c r="F50" s="2405"/>
      <c r="G50" s="2405"/>
      <c r="H50" s="2405"/>
      <c r="I50" s="2405"/>
    </row>
    <row r="51" spans="1:22" s="416" customFormat="1">
      <c r="B51" s="2405"/>
      <c r="C51" s="2405"/>
      <c r="D51" s="2405"/>
      <c r="E51" s="2405"/>
      <c r="F51" s="2405"/>
      <c r="G51" s="2405"/>
      <c r="H51" s="2405"/>
      <c r="I51" s="2405"/>
    </row>
    <row r="52" spans="1:22" s="416" customFormat="1"/>
    <row r="53" spans="1:22" s="416" customFormat="1"/>
    <row r="54" spans="1:22" s="416" customFormat="1"/>
    <row r="55" spans="1:22" s="416" customFormat="1"/>
    <row r="56" spans="1:22" s="416" customFormat="1"/>
    <row r="57" spans="1:22" s="416" customFormat="1"/>
    <row r="58" spans="1:22" s="416" customFormat="1"/>
    <row r="59" spans="1:22" s="416" customFormat="1"/>
    <row r="60" spans="1:22" s="416" customFormat="1"/>
    <row r="61" spans="1:22" s="416" customFormat="1"/>
    <row r="62" spans="1:22" s="416" customFormat="1"/>
    <row r="63" spans="1:22">
      <c r="A63" s="420"/>
      <c r="B63" s="420"/>
      <c r="C63" s="420"/>
      <c r="D63" s="420"/>
      <c r="E63" s="420"/>
      <c r="F63" s="420"/>
      <c r="G63" s="420"/>
      <c r="H63" s="436" t="s">
        <v>690</v>
      </c>
      <c r="I63" s="420"/>
      <c r="K63" s="420"/>
      <c r="L63" s="437" t="str">
        <f>$B$11</f>
        <v>INMOBILIARIA SERVIGESTION</v>
      </c>
      <c r="M63" s="420"/>
      <c r="N63" s="420"/>
      <c r="O63" s="420"/>
      <c r="P63" s="420"/>
      <c r="Q63" s="420"/>
      <c r="R63" s="420"/>
      <c r="S63" s="420"/>
      <c r="T63" s="420"/>
      <c r="U63" s="420"/>
      <c r="V63" s="420"/>
    </row>
    <row r="64" spans="1:22" ht="34.5">
      <c r="A64" s="420"/>
      <c r="B64" s="2268" t="s">
        <v>461</v>
      </c>
      <c r="C64" s="2268"/>
      <c r="D64" s="2268"/>
      <c r="E64" s="2268"/>
      <c r="F64" s="2268"/>
      <c r="G64" s="2268"/>
      <c r="H64" s="2268"/>
      <c r="I64" s="2268"/>
      <c r="J64" s="2268"/>
      <c r="K64" s="2268"/>
      <c r="L64" s="2268"/>
      <c r="M64" s="2268"/>
      <c r="N64" s="2268"/>
      <c r="O64" s="2268"/>
      <c r="P64" s="2268"/>
      <c r="Q64" s="2268"/>
      <c r="R64" s="2268"/>
      <c r="S64" s="2268"/>
      <c r="T64" s="2268"/>
      <c r="U64" s="2268"/>
      <c r="V64" s="420"/>
    </row>
    <row r="65" spans="1:22" ht="22.9" customHeight="1">
      <c r="A65" s="420"/>
      <c r="B65" s="2269" t="s">
        <v>885</v>
      </c>
      <c r="C65" s="2269"/>
      <c r="D65" s="2269"/>
      <c r="E65" s="2269"/>
      <c r="F65" s="2269"/>
      <c r="G65" s="2269"/>
      <c r="H65" s="2269"/>
      <c r="I65" s="2269"/>
      <c r="J65" s="2269"/>
      <c r="K65" s="2269"/>
      <c r="L65" s="2269"/>
      <c r="M65" s="2269"/>
      <c r="N65" s="2269"/>
      <c r="O65" s="2269"/>
      <c r="P65" s="2269"/>
      <c r="Q65" s="2269"/>
      <c r="R65" s="2269"/>
      <c r="S65" s="2269"/>
      <c r="T65" s="2269"/>
      <c r="U65" s="2269"/>
      <c r="V65" s="420"/>
    </row>
    <row r="66" spans="1:22" ht="16.149999999999999" customHeight="1">
      <c r="A66" s="420"/>
      <c r="B66" s="427"/>
      <c r="C66" s="427"/>
      <c r="D66" s="427"/>
      <c r="E66" s="427"/>
      <c r="F66" s="427"/>
      <c r="G66" s="427"/>
      <c r="H66" s="427"/>
      <c r="I66" s="427"/>
      <c r="J66" s="427"/>
      <c r="K66" s="427"/>
      <c r="L66" s="427"/>
      <c r="M66" s="427"/>
      <c r="N66" s="427"/>
      <c r="O66" s="427"/>
      <c r="Q66" s="427"/>
      <c r="R66" s="427"/>
      <c r="S66" s="427"/>
      <c r="T66" s="427"/>
      <c r="U66" s="427"/>
      <c r="V66" s="420"/>
    </row>
    <row r="67" spans="1:22" ht="18.399999999999999" customHeight="1">
      <c r="A67" s="429"/>
      <c r="B67" s="2251"/>
      <c r="C67" s="2251"/>
      <c r="D67" s="2251"/>
      <c r="E67" s="2251"/>
      <c r="F67" s="2251"/>
      <c r="G67" s="2251"/>
      <c r="H67" s="2251"/>
      <c r="I67" s="2251"/>
      <c r="J67" s="2251"/>
      <c r="K67" s="2251"/>
      <c r="L67" s="2251"/>
      <c r="M67" s="2251"/>
      <c r="N67" s="2251"/>
      <c r="O67" s="2251"/>
      <c r="P67" s="2251"/>
      <c r="Q67" s="2251"/>
      <c r="R67" s="2251"/>
      <c r="S67" s="2251"/>
      <c r="T67" s="2251"/>
      <c r="U67" s="2251"/>
      <c r="V67" s="429"/>
    </row>
    <row r="68" spans="1:22" ht="23.25">
      <c r="A68" s="420"/>
      <c r="B68" s="427"/>
      <c r="C68" s="427"/>
      <c r="D68" s="427"/>
      <c r="E68" s="427"/>
      <c r="F68" s="427"/>
      <c r="G68" s="427"/>
      <c r="H68" s="427"/>
      <c r="I68" s="427"/>
      <c r="J68" s="427"/>
      <c r="K68" s="427"/>
      <c r="L68" s="427"/>
      <c r="M68" s="427"/>
      <c r="N68" s="427"/>
      <c r="O68" s="427"/>
      <c r="P68" s="427"/>
      <c r="Q68" s="427"/>
      <c r="R68" s="427"/>
      <c r="S68" s="427"/>
      <c r="T68" s="427"/>
      <c r="U68" s="427"/>
      <c r="V68" s="420"/>
    </row>
    <row r="69" spans="1:22" ht="23.25" customHeight="1">
      <c r="A69" s="420"/>
      <c r="B69" s="2325" t="s">
        <v>886</v>
      </c>
      <c r="C69" s="2326"/>
      <c r="D69" s="2326"/>
      <c r="E69" s="2326"/>
      <c r="F69" s="2326"/>
      <c r="G69" s="2326"/>
      <c r="H69" s="2326"/>
      <c r="I69" s="2326"/>
      <c r="J69" s="2326"/>
      <c r="K69" s="2326"/>
      <c r="L69" s="438"/>
      <c r="M69" s="438"/>
      <c r="N69" s="438"/>
      <c r="O69" s="438"/>
      <c r="P69" s="438"/>
      <c r="Q69" s="438"/>
      <c r="R69" s="438"/>
      <c r="S69" s="438"/>
      <c r="T69" s="438"/>
      <c r="U69" s="439"/>
      <c r="V69" s="420"/>
    </row>
    <row r="70" spans="1:22" ht="23.25" customHeight="1">
      <c r="A70" s="420"/>
      <c r="B70" s="2297" t="s">
        <v>887</v>
      </c>
      <c r="C70" s="2288"/>
      <c r="D70" s="2288"/>
      <c r="E70" s="2288"/>
      <c r="F70" s="2288"/>
      <c r="G70" s="2288"/>
      <c r="H70" s="2288"/>
      <c r="I70" s="2288"/>
      <c r="J70" s="2288"/>
      <c r="K70" s="2288"/>
      <c r="L70" s="2288"/>
      <c r="M70" s="2288"/>
      <c r="N70" s="2288"/>
      <c r="O70" s="2288"/>
      <c r="P70" s="2288"/>
      <c r="Q70" s="2288"/>
      <c r="R70" s="2288"/>
      <c r="S70" s="2288"/>
      <c r="T70" s="2288"/>
      <c r="U70" s="2298"/>
      <c r="V70" s="420"/>
    </row>
    <row r="71" spans="1:22" ht="63" customHeight="1">
      <c r="A71" s="420"/>
      <c r="B71" s="440"/>
      <c r="C71" s="441"/>
      <c r="D71" s="2437" t="s">
        <v>889</v>
      </c>
      <c r="E71" s="2437"/>
      <c r="F71" s="2437"/>
      <c r="G71" s="2437"/>
      <c r="H71" s="2437"/>
      <c r="I71" s="441"/>
      <c r="J71" s="2437" t="s">
        <v>888</v>
      </c>
      <c r="K71" s="2437"/>
      <c r="L71" s="2437"/>
      <c r="M71" s="2437"/>
      <c r="N71" s="2437"/>
      <c r="O71" s="441"/>
      <c r="P71" s="2437" t="s">
        <v>890</v>
      </c>
      <c r="Q71" s="2437"/>
      <c r="R71" s="2437"/>
      <c r="S71" s="2437"/>
      <c r="T71" s="2437"/>
      <c r="U71" s="442"/>
      <c r="V71" s="420"/>
    </row>
    <row r="72" spans="1:22" s="416" customFormat="1" ht="13.15" customHeight="1">
      <c r="A72" s="415"/>
      <c r="B72" s="443"/>
      <c r="C72" s="444"/>
      <c r="D72" s="2436" t="s">
        <v>962</v>
      </c>
      <c r="E72" s="2436"/>
      <c r="F72" s="2436"/>
      <c r="G72" s="2436"/>
      <c r="H72" s="2436"/>
      <c r="I72" s="444"/>
      <c r="J72" s="2436" t="s">
        <v>963</v>
      </c>
      <c r="K72" s="2436"/>
      <c r="L72" s="2436"/>
      <c r="M72" s="2436"/>
      <c r="N72" s="2436"/>
      <c r="O72" s="444"/>
      <c r="P72" s="2436" t="s">
        <v>964</v>
      </c>
      <c r="Q72" s="2436"/>
      <c r="R72" s="2436"/>
      <c r="S72" s="2436"/>
      <c r="T72" s="2436"/>
      <c r="U72" s="445"/>
    </row>
    <row r="73" spans="1:22" s="416" customFormat="1" ht="13.15" customHeight="1">
      <c r="A73" s="415"/>
      <c r="B73" s="443"/>
      <c r="C73" s="444"/>
      <c r="D73" s="2436"/>
      <c r="E73" s="2436"/>
      <c r="F73" s="2436"/>
      <c r="G73" s="2436"/>
      <c r="H73" s="2436"/>
      <c r="I73" s="444"/>
      <c r="J73" s="2436"/>
      <c r="K73" s="2436"/>
      <c r="L73" s="2436"/>
      <c r="M73" s="2436"/>
      <c r="N73" s="2436"/>
      <c r="O73" s="444"/>
      <c r="P73" s="2436"/>
      <c r="Q73" s="2436"/>
      <c r="R73" s="2436"/>
      <c r="S73" s="2436"/>
      <c r="T73" s="2436"/>
      <c r="U73" s="445"/>
    </row>
    <row r="74" spans="1:22" s="416" customFormat="1" ht="13.15" customHeight="1">
      <c r="A74" s="415"/>
      <c r="B74" s="443"/>
      <c r="C74" s="444"/>
      <c r="D74" s="2436"/>
      <c r="E74" s="2436"/>
      <c r="F74" s="2436"/>
      <c r="G74" s="2436"/>
      <c r="H74" s="2436"/>
      <c r="I74" s="444"/>
      <c r="J74" s="2436"/>
      <c r="K74" s="2436"/>
      <c r="L74" s="2436"/>
      <c r="M74" s="2436"/>
      <c r="N74" s="2436"/>
      <c r="O74" s="444"/>
      <c r="P74" s="2436"/>
      <c r="Q74" s="2436"/>
      <c r="R74" s="2436"/>
      <c r="S74" s="2436"/>
      <c r="T74" s="2436"/>
      <c r="U74" s="445"/>
    </row>
    <row r="75" spans="1:22" s="416" customFormat="1" ht="25.9" customHeight="1">
      <c r="A75" s="415"/>
      <c r="B75" s="446"/>
      <c r="C75" s="444"/>
      <c r="D75" s="2436"/>
      <c r="E75" s="2436"/>
      <c r="F75" s="2436"/>
      <c r="G75" s="2436"/>
      <c r="H75" s="2436"/>
      <c r="I75" s="444"/>
      <c r="J75" s="2436"/>
      <c r="K75" s="2436"/>
      <c r="L75" s="2436"/>
      <c r="M75" s="2436"/>
      <c r="N75" s="2436"/>
      <c r="O75" s="444"/>
      <c r="P75" s="2436"/>
      <c r="Q75" s="2436"/>
      <c r="R75" s="2436"/>
      <c r="S75" s="2436"/>
      <c r="T75" s="2436"/>
      <c r="U75" s="445"/>
    </row>
    <row r="76" spans="1:22" s="416" customFormat="1" ht="25.9" customHeight="1">
      <c r="A76" s="415"/>
      <c r="B76" s="447"/>
      <c r="C76" s="448"/>
      <c r="D76" s="2436"/>
      <c r="E76" s="2436"/>
      <c r="F76" s="2436"/>
      <c r="G76" s="2436"/>
      <c r="H76" s="2436"/>
      <c r="I76" s="449"/>
      <c r="J76" s="2436"/>
      <c r="K76" s="2436"/>
      <c r="L76" s="2436"/>
      <c r="M76" s="2436"/>
      <c r="N76" s="2436"/>
      <c r="O76" s="444"/>
      <c r="P76" s="2436"/>
      <c r="Q76" s="2436"/>
      <c r="R76" s="2436"/>
      <c r="S76" s="2436"/>
      <c r="T76" s="2436"/>
      <c r="U76" s="445"/>
    </row>
    <row r="77" spans="1:22" s="416" customFormat="1" ht="25.9" customHeight="1">
      <c r="A77" s="415"/>
      <c r="B77" s="447"/>
      <c r="C77" s="448"/>
      <c r="D77" s="2436"/>
      <c r="E77" s="2436"/>
      <c r="F77" s="2436"/>
      <c r="G77" s="2436"/>
      <c r="H77" s="2436"/>
      <c r="I77" s="449"/>
      <c r="J77" s="2436"/>
      <c r="K77" s="2436"/>
      <c r="L77" s="2436"/>
      <c r="M77" s="2436"/>
      <c r="N77" s="2436"/>
      <c r="O77" s="444"/>
      <c r="P77" s="2436"/>
      <c r="Q77" s="2436"/>
      <c r="R77" s="2436"/>
      <c r="S77" s="2436"/>
      <c r="T77" s="2436"/>
      <c r="U77" s="445"/>
    </row>
    <row r="78" spans="1:22" s="416" customFormat="1" ht="25.9" customHeight="1">
      <c r="A78" s="415"/>
      <c r="B78" s="447"/>
      <c r="C78" s="448"/>
      <c r="D78" s="2436"/>
      <c r="E78" s="2436"/>
      <c r="F78" s="2436"/>
      <c r="G78" s="2436"/>
      <c r="H78" s="2436"/>
      <c r="I78" s="449"/>
      <c r="J78" s="2436"/>
      <c r="K78" s="2436"/>
      <c r="L78" s="2436"/>
      <c r="M78" s="2436"/>
      <c r="N78" s="2436"/>
      <c r="O78" s="444"/>
      <c r="P78" s="2436"/>
      <c r="Q78" s="2436"/>
      <c r="R78" s="2436"/>
      <c r="S78" s="2436"/>
      <c r="T78" s="2436"/>
      <c r="U78" s="445"/>
    </row>
    <row r="79" spans="1:22" ht="25.9" customHeight="1">
      <c r="A79" s="420"/>
      <c r="B79" s="447"/>
      <c r="C79" s="450"/>
      <c r="D79" s="2436"/>
      <c r="E79" s="2436"/>
      <c r="F79" s="2436"/>
      <c r="G79" s="2436"/>
      <c r="H79" s="2436"/>
      <c r="I79" s="449"/>
      <c r="J79" s="2436"/>
      <c r="K79" s="2436"/>
      <c r="L79" s="2436"/>
      <c r="M79" s="2436"/>
      <c r="N79" s="2436"/>
      <c r="O79" s="441"/>
      <c r="P79" s="2436"/>
      <c r="Q79" s="2436"/>
      <c r="R79" s="2436"/>
      <c r="S79" s="2436"/>
      <c r="T79" s="2436"/>
      <c r="U79" s="451"/>
      <c r="V79" s="420"/>
    </row>
    <row r="80" spans="1:22" ht="25.9" customHeight="1">
      <c r="A80" s="420"/>
      <c r="B80" s="447"/>
      <c r="C80" s="452"/>
      <c r="D80" s="2436"/>
      <c r="E80" s="2436"/>
      <c r="F80" s="2436"/>
      <c r="G80" s="2436"/>
      <c r="H80" s="2436"/>
      <c r="I80" s="449"/>
      <c r="J80" s="2436"/>
      <c r="K80" s="2436"/>
      <c r="L80" s="2436"/>
      <c r="M80" s="2436"/>
      <c r="N80" s="2436"/>
      <c r="O80" s="453"/>
      <c r="P80" s="2436"/>
      <c r="Q80" s="2436"/>
      <c r="R80" s="2436"/>
      <c r="S80" s="2436"/>
      <c r="T80" s="2436"/>
      <c r="U80" s="454"/>
      <c r="V80" s="420"/>
    </row>
    <row r="81" spans="1:22" ht="25.9" customHeight="1">
      <c r="A81" s="420"/>
      <c r="B81" s="455"/>
      <c r="C81" s="456"/>
      <c r="D81" s="457"/>
      <c r="E81" s="458"/>
      <c r="F81" s="458"/>
      <c r="G81" s="458"/>
      <c r="H81" s="458"/>
      <c r="I81" s="458"/>
      <c r="J81" s="459"/>
      <c r="K81" s="459"/>
      <c r="L81" s="459"/>
      <c r="M81" s="459"/>
      <c r="N81" s="459"/>
      <c r="O81" s="459"/>
      <c r="P81" s="459"/>
      <c r="Q81" s="459"/>
      <c r="R81" s="459"/>
      <c r="S81" s="459"/>
      <c r="T81" s="459"/>
      <c r="U81" s="460"/>
      <c r="V81" s="420"/>
    </row>
    <row r="82" spans="1:22" ht="21" customHeight="1">
      <c r="A82" s="420"/>
      <c r="C82" s="428"/>
      <c r="D82" s="428"/>
      <c r="E82" s="428"/>
      <c r="F82" s="428"/>
      <c r="G82" s="428"/>
      <c r="H82" s="428"/>
      <c r="I82" s="428"/>
      <c r="J82" s="428"/>
      <c r="K82" s="428"/>
      <c r="L82" s="428"/>
      <c r="M82" s="428"/>
      <c r="N82" s="428"/>
      <c r="O82" s="428"/>
      <c r="P82" s="428"/>
      <c r="Q82" s="428"/>
      <c r="R82" s="428"/>
      <c r="S82" s="428"/>
      <c r="T82" s="428"/>
      <c r="U82" s="428"/>
      <c r="V82" s="420"/>
    </row>
    <row r="83" spans="1:22" ht="23.25" customHeight="1">
      <c r="A83" s="420"/>
      <c r="B83" s="2325" t="s">
        <v>913</v>
      </c>
      <c r="C83" s="2326"/>
      <c r="D83" s="2326"/>
      <c r="E83" s="2326"/>
      <c r="F83" s="2326"/>
      <c r="G83" s="2326"/>
      <c r="H83" s="2326"/>
      <c r="I83" s="2326"/>
      <c r="J83" s="2326"/>
      <c r="K83" s="2326"/>
      <c r="L83" s="438"/>
      <c r="M83" s="438"/>
      <c r="N83" s="438"/>
      <c r="O83" s="438"/>
      <c r="P83" s="438"/>
      <c r="Q83" s="438"/>
      <c r="R83" s="438"/>
      <c r="S83" s="438"/>
      <c r="T83" s="438"/>
      <c r="U83" s="439"/>
      <c r="V83" s="420"/>
    </row>
    <row r="84" spans="1:22" ht="23.25" customHeight="1">
      <c r="A84" s="420"/>
      <c r="B84" s="2297" t="s">
        <v>914</v>
      </c>
      <c r="C84" s="2288"/>
      <c r="D84" s="2288"/>
      <c r="E84" s="2288"/>
      <c r="F84" s="2288"/>
      <c r="G84" s="2288"/>
      <c r="H84" s="2288"/>
      <c r="I84" s="2288"/>
      <c r="J84" s="2288"/>
      <c r="K84" s="2288"/>
      <c r="L84" s="2288"/>
      <c r="M84" s="2288"/>
      <c r="N84" s="2288"/>
      <c r="O84" s="2288"/>
      <c r="P84" s="2288"/>
      <c r="Q84" s="2288"/>
      <c r="R84" s="2288"/>
      <c r="S84" s="2288"/>
      <c r="T84" s="2288"/>
      <c r="U84" s="2298"/>
      <c r="V84" s="420"/>
    </row>
    <row r="85" spans="1:22" ht="63" customHeight="1">
      <c r="A85" s="420"/>
      <c r="B85" s="440"/>
      <c r="C85" s="441"/>
      <c r="D85" s="2437" t="s">
        <v>915</v>
      </c>
      <c r="E85" s="2437"/>
      <c r="F85" s="2437"/>
      <c r="G85" s="2437"/>
      <c r="H85" s="2437"/>
      <c r="I85" s="441"/>
      <c r="J85" s="2437" t="s">
        <v>924</v>
      </c>
      <c r="K85" s="2437"/>
      <c r="L85" s="2437"/>
      <c r="M85" s="2437"/>
      <c r="N85" s="2437"/>
      <c r="O85" s="441"/>
      <c r="P85" s="2437" t="s">
        <v>916</v>
      </c>
      <c r="Q85" s="2437"/>
      <c r="R85" s="2437"/>
      <c r="S85" s="2437"/>
      <c r="T85" s="2437"/>
      <c r="U85" s="442"/>
      <c r="V85" s="420"/>
    </row>
    <row r="86" spans="1:22" s="416" customFormat="1" ht="13.15" customHeight="1">
      <c r="A86" s="415"/>
      <c r="B86" s="443"/>
      <c r="C86" s="444"/>
      <c r="D86" s="2436" t="s">
        <v>965</v>
      </c>
      <c r="E86" s="2436"/>
      <c r="F86" s="2436"/>
      <c r="G86" s="2436"/>
      <c r="H86" s="2436"/>
      <c r="I86" s="444"/>
      <c r="J86" s="2436" t="s">
        <v>966</v>
      </c>
      <c r="K86" s="2436"/>
      <c r="L86" s="2436"/>
      <c r="M86" s="2436"/>
      <c r="N86" s="2436"/>
      <c r="O86" s="444"/>
      <c r="P86" s="2436" t="s">
        <v>967</v>
      </c>
      <c r="Q86" s="2436"/>
      <c r="R86" s="2436"/>
      <c r="S86" s="2436"/>
      <c r="T86" s="2436"/>
      <c r="U86" s="445"/>
    </row>
    <row r="87" spans="1:22" s="416" customFormat="1" ht="13.15" customHeight="1">
      <c r="A87" s="415"/>
      <c r="B87" s="443"/>
      <c r="C87" s="444"/>
      <c r="D87" s="2436"/>
      <c r="E87" s="2436"/>
      <c r="F87" s="2436"/>
      <c r="G87" s="2436"/>
      <c r="H87" s="2436"/>
      <c r="I87" s="444"/>
      <c r="J87" s="2436"/>
      <c r="K87" s="2436"/>
      <c r="L87" s="2436"/>
      <c r="M87" s="2436"/>
      <c r="N87" s="2436"/>
      <c r="O87" s="444"/>
      <c r="P87" s="2436"/>
      <c r="Q87" s="2436"/>
      <c r="R87" s="2436"/>
      <c r="S87" s="2436"/>
      <c r="T87" s="2436"/>
      <c r="U87" s="445"/>
    </row>
    <row r="88" spans="1:22" s="416" customFormat="1" ht="13.15" customHeight="1">
      <c r="A88" s="415"/>
      <c r="B88" s="443"/>
      <c r="C88" s="444"/>
      <c r="D88" s="2436"/>
      <c r="E88" s="2436"/>
      <c r="F88" s="2436"/>
      <c r="G88" s="2436"/>
      <c r="H88" s="2436"/>
      <c r="I88" s="444"/>
      <c r="J88" s="2436"/>
      <c r="K88" s="2436"/>
      <c r="L88" s="2436"/>
      <c r="M88" s="2436"/>
      <c r="N88" s="2436"/>
      <c r="O88" s="444"/>
      <c r="P88" s="2436"/>
      <c r="Q88" s="2436"/>
      <c r="R88" s="2436"/>
      <c r="S88" s="2436"/>
      <c r="T88" s="2436"/>
      <c r="U88" s="445"/>
    </row>
    <row r="89" spans="1:22" s="416" customFormat="1" ht="25.9" customHeight="1">
      <c r="A89" s="415"/>
      <c r="B89" s="446"/>
      <c r="C89" s="444"/>
      <c r="D89" s="2436"/>
      <c r="E89" s="2436"/>
      <c r="F89" s="2436"/>
      <c r="G89" s="2436"/>
      <c r="H89" s="2436"/>
      <c r="I89" s="444"/>
      <c r="J89" s="2436"/>
      <c r="K89" s="2436"/>
      <c r="L89" s="2436"/>
      <c r="M89" s="2436"/>
      <c r="N89" s="2436"/>
      <c r="O89" s="444"/>
      <c r="P89" s="2436"/>
      <c r="Q89" s="2436"/>
      <c r="R89" s="2436"/>
      <c r="S89" s="2436"/>
      <c r="T89" s="2436"/>
      <c r="U89" s="445"/>
    </row>
    <row r="90" spans="1:22" s="416" customFormat="1" ht="25.9" customHeight="1">
      <c r="A90" s="415"/>
      <c r="B90" s="447"/>
      <c r="C90" s="448"/>
      <c r="D90" s="2436"/>
      <c r="E90" s="2436"/>
      <c r="F90" s="2436"/>
      <c r="G90" s="2436"/>
      <c r="H90" s="2436"/>
      <c r="I90" s="449"/>
      <c r="J90" s="2436"/>
      <c r="K90" s="2436"/>
      <c r="L90" s="2436"/>
      <c r="M90" s="2436"/>
      <c r="N90" s="2436"/>
      <c r="O90" s="444"/>
      <c r="P90" s="2436"/>
      <c r="Q90" s="2436"/>
      <c r="R90" s="2436"/>
      <c r="S90" s="2436"/>
      <c r="T90" s="2436"/>
      <c r="U90" s="445"/>
    </row>
    <row r="91" spans="1:22" s="416" customFormat="1" ht="25.9" customHeight="1">
      <c r="A91" s="415"/>
      <c r="B91" s="461"/>
      <c r="C91" s="462"/>
      <c r="D91" s="2436"/>
      <c r="E91" s="2436"/>
      <c r="F91" s="2436"/>
      <c r="G91" s="2436"/>
      <c r="H91" s="2436"/>
      <c r="I91" s="462"/>
      <c r="J91" s="2436"/>
      <c r="K91" s="2436"/>
      <c r="L91" s="2436"/>
      <c r="M91" s="2436"/>
      <c r="N91" s="2436"/>
      <c r="O91" s="444"/>
      <c r="P91" s="2436"/>
      <c r="Q91" s="2436"/>
      <c r="R91" s="2436"/>
      <c r="S91" s="2436"/>
      <c r="T91" s="2436"/>
      <c r="U91" s="445"/>
    </row>
    <row r="92" spans="1:22" s="416" customFormat="1" ht="25.9" customHeight="1">
      <c r="A92" s="415"/>
      <c r="B92" s="461"/>
      <c r="C92" s="462"/>
      <c r="D92" s="2436"/>
      <c r="E92" s="2436"/>
      <c r="F92" s="2436"/>
      <c r="G92" s="2436"/>
      <c r="H92" s="2436"/>
      <c r="I92" s="462"/>
      <c r="J92" s="2436"/>
      <c r="K92" s="2436"/>
      <c r="L92" s="2436"/>
      <c r="M92" s="2436"/>
      <c r="N92" s="2436"/>
      <c r="O92" s="444"/>
      <c r="P92" s="2436"/>
      <c r="Q92" s="2436"/>
      <c r="R92" s="2436"/>
      <c r="S92" s="2436"/>
      <c r="T92" s="2436"/>
      <c r="U92" s="445"/>
    </row>
    <row r="93" spans="1:22" ht="25.9" customHeight="1">
      <c r="A93" s="420"/>
      <c r="B93" s="461"/>
      <c r="C93" s="462"/>
      <c r="D93" s="2436"/>
      <c r="E93" s="2436"/>
      <c r="F93" s="2436"/>
      <c r="G93" s="2436"/>
      <c r="H93" s="2436"/>
      <c r="I93" s="462"/>
      <c r="J93" s="2436"/>
      <c r="K93" s="2436"/>
      <c r="L93" s="2436"/>
      <c r="M93" s="2436"/>
      <c r="N93" s="2436"/>
      <c r="O93" s="441"/>
      <c r="P93" s="2436"/>
      <c r="Q93" s="2436"/>
      <c r="R93" s="2436"/>
      <c r="S93" s="2436"/>
      <c r="T93" s="2436"/>
      <c r="U93" s="451"/>
      <c r="V93" s="420"/>
    </row>
    <row r="94" spans="1:22" ht="13.9" customHeight="1">
      <c r="A94" s="420"/>
      <c r="B94" s="461"/>
      <c r="C94" s="462"/>
      <c r="D94" s="2436"/>
      <c r="E94" s="2436"/>
      <c r="F94" s="2436"/>
      <c r="G94" s="2436"/>
      <c r="H94" s="2436"/>
      <c r="I94" s="462"/>
      <c r="J94" s="2436"/>
      <c r="K94" s="2436"/>
      <c r="L94" s="2436"/>
      <c r="M94" s="2436"/>
      <c r="N94" s="2436"/>
      <c r="O94" s="453"/>
      <c r="P94" s="2436"/>
      <c r="Q94" s="2436"/>
      <c r="R94" s="2436"/>
      <c r="S94" s="2436"/>
      <c r="T94" s="2436"/>
      <c r="U94" s="454"/>
      <c r="V94" s="420"/>
    </row>
    <row r="95" spans="1:22" ht="25.9" customHeight="1">
      <c r="A95" s="420"/>
      <c r="B95" s="463"/>
      <c r="C95" s="464"/>
      <c r="D95" s="464"/>
      <c r="E95" s="464"/>
      <c r="F95" s="464"/>
      <c r="G95" s="464"/>
      <c r="H95" s="464"/>
      <c r="I95" s="464"/>
      <c r="J95" s="459"/>
      <c r="K95" s="459"/>
      <c r="L95" s="459"/>
      <c r="M95" s="459"/>
      <c r="N95" s="459"/>
      <c r="O95" s="459"/>
      <c r="P95" s="459"/>
      <c r="Q95" s="459"/>
      <c r="R95" s="459"/>
      <c r="S95" s="459"/>
      <c r="T95" s="459"/>
      <c r="U95" s="460"/>
      <c r="V95" s="420"/>
    </row>
    <row r="96" spans="1:22" ht="33" customHeight="1">
      <c r="A96" s="420"/>
      <c r="B96" s="465"/>
      <c r="C96" s="465"/>
      <c r="D96" s="465"/>
      <c r="E96" s="465"/>
      <c r="F96" s="465"/>
      <c r="G96" s="465"/>
      <c r="H96" s="465"/>
      <c r="I96" s="465"/>
      <c r="J96" s="428"/>
      <c r="K96" s="428"/>
      <c r="L96" s="428"/>
      <c r="M96" s="428"/>
      <c r="N96" s="428"/>
      <c r="O96" s="428"/>
      <c r="P96" s="428"/>
      <c r="Q96" s="428"/>
      <c r="R96" s="428"/>
      <c r="S96" s="428"/>
      <c r="T96" s="428"/>
      <c r="U96" s="428"/>
      <c r="V96" s="420"/>
    </row>
    <row r="97" spans="1:22" ht="23.25" customHeight="1">
      <c r="A97" s="420"/>
      <c r="B97" s="2325" t="s">
        <v>917</v>
      </c>
      <c r="C97" s="2326"/>
      <c r="D97" s="2326"/>
      <c r="E97" s="2326"/>
      <c r="F97" s="2326"/>
      <c r="G97" s="2326"/>
      <c r="H97" s="2326"/>
      <c r="I97" s="2326"/>
      <c r="J97" s="2326"/>
      <c r="K97" s="2326"/>
      <c r="L97" s="438"/>
      <c r="M97" s="438"/>
      <c r="N97" s="438"/>
      <c r="O97" s="438"/>
      <c r="P97" s="438"/>
      <c r="Q97" s="438"/>
      <c r="R97" s="438"/>
      <c r="S97" s="438"/>
      <c r="T97" s="438"/>
      <c r="U97" s="439"/>
      <c r="V97" s="420"/>
    </row>
    <row r="98" spans="1:22" ht="23.25" customHeight="1">
      <c r="A98" s="420"/>
      <c r="B98" s="2297" t="s">
        <v>918</v>
      </c>
      <c r="C98" s="2288"/>
      <c r="D98" s="2288"/>
      <c r="E98" s="2288"/>
      <c r="F98" s="2288"/>
      <c r="G98" s="2288"/>
      <c r="H98" s="2288"/>
      <c r="I98" s="2288"/>
      <c r="J98" s="2288"/>
      <c r="K98" s="2288"/>
      <c r="L98" s="2288"/>
      <c r="M98" s="2288"/>
      <c r="N98" s="2288"/>
      <c r="O98" s="2288"/>
      <c r="P98" s="2288"/>
      <c r="Q98" s="2288"/>
      <c r="R98" s="2288"/>
      <c r="S98" s="2288"/>
      <c r="T98" s="2288"/>
      <c r="U98" s="2298"/>
      <c r="V98" s="420"/>
    </row>
    <row r="99" spans="1:22" ht="33" customHeight="1">
      <c r="A99" s="420"/>
      <c r="B99" s="2297" t="s">
        <v>919</v>
      </c>
      <c r="C99" s="2288"/>
      <c r="D99" s="2288"/>
      <c r="E99" s="2288"/>
      <c r="F99" s="2288"/>
      <c r="G99" s="2288"/>
      <c r="H99" s="2288"/>
      <c r="I99" s="2288"/>
      <c r="J99" s="2288"/>
      <c r="K99" s="2288"/>
      <c r="L99" s="2288"/>
      <c r="M99" s="2288"/>
      <c r="N99" s="2288"/>
      <c r="O99" s="2288"/>
      <c r="P99" s="2288"/>
      <c r="Q99" s="2288"/>
      <c r="R99" s="2288"/>
      <c r="S99" s="2288"/>
      <c r="T99" s="2288"/>
      <c r="U99" s="2298"/>
      <c r="V99" s="420"/>
    </row>
    <row r="100" spans="1:22" ht="39" customHeight="1">
      <c r="A100" s="420"/>
      <c r="B100" s="466"/>
      <c r="C100" s="441"/>
      <c r="D100" s="2437" t="s">
        <v>920</v>
      </c>
      <c r="E100" s="2437"/>
      <c r="F100" s="2437"/>
      <c r="G100" s="2437"/>
      <c r="H100" s="2437"/>
      <c r="I100" s="441"/>
      <c r="J100" s="2437" t="s">
        <v>921</v>
      </c>
      <c r="K100" s="2437"/>
      <c r="L100" s="2437"/>
      <c r="M100" s="2437"/>
      <c r="N100" s="2437"/>
      <c r="O100" s="441"/>
      <c r="P100" s="2437" t="s">
        <v>922</v>
      </c>
      <c r="Q100" s="2437"/>
      <c r="R100" s="2437"/>
      <c r="S100" s="2437"/>
      <c r="T100" s="2437"/>
      <c r="U100" s="451"/>
      <c r="V100" s="420"/>
    </row>
    <row r="101" spans="1:22" s="416" customFormat="1" ht="13.15" customHeight="1">
      <c r="A101" s="415"/>
      <c r="B101" s="443"/>
      <c r="C101" s="444"/>
      <c r="D101" s="2436" t="s">
        <v>968</v>
      </c>
      <c r="E101" s="2436"/>
      <c r="F101" s="2436"/>
      <c r="G101" s="2436"/>
      <c r="H101" s="2436"/>
      <c r="I101" s="444"/>
      <c r="J101" s="2436" t="s">
        <v>969</v>
      </c>
      <c r="K101" s="2436"/>
      <c r="L101" s="2436"/>
      <c r="M101" s="2436"/>
      <c r="N101" s="2436"/>
      <c r="O101" s="444"/>
      <c r="P101" s="2438" t="s">
        <v>1004</v>
      </c>
      <c r="Q101" s="2438"/>
      <c r="R101" s="2438"/>
      <c r="S101" s="2438"/>
      <c r="T101" s="2438"/>
      <c r="U101" s="445"/>
    </row>
    <row r="102" spans="1:22" s="416" customFormat="1" ht="13.15" customHeight="1">
      <c r="A102" s="415"/>
      <c r="B102" s="443"/>
      <c r="C102" s="444"/>
      <c r="D102" s="2436"/>
      <c r="E102" s="2436"/>
      <c r="F102" s="2436"/>
      <c r="G102" s="2436"/>
      <c r="H102" s="2436"/>
      <c r="I102" s="444"/>
      <c r="J102" s="2436"/>
      <c r="K102" s="2436"/>
      <c r="L102" s="2436"/>
      <c r="M102" s="2436"/>
      <c r="N102" s="2436"/>
      <c r="O102" s="444"/>
      <c r="P102" s="2438"/>
      <c r="Q102" s="2438"/>
      <c r="R102" s="2438"/>
      <c r="S102" s="2438"/>
      <c r="T102" s="2438"/>
      <c r="U102" s="445"/>
    </row>
    <row r="103" spans="1:22" s="416" customFormat="1" ht="13.15" customHeight="1">
      <c r="A103" s="415"/>
      <c r="B103" s="443"/>
      <c r="C103" s="444"/>
      <c r="D103" s="2436"/>
      <c r="E103" s="2436"/>
      <c r="F103" s="2436"/>
      <c r="G103" s="2436"/>
      <c r="H103" s="2436"/>
      <c r="I103" s="444"/>
      <c r="J103" s="2436"/>
      <c r="K103" s="2436"/>
      <c r="L103" s="2436"/>
      <c r="M103" s="2436"/>
      <c r="N103" s="2436"/>
      <c r="O103" s="444"/>
      <c r="P103" s="2438"/>
      <c r="Q103" s="2438"/>
      <c r="R103" s="2438"/>
      <c r="S103" s="2438"/>
      <c r="T103" s="2438"/>
      <c r="U103" s="445"/>
    </row>
    <row r="104" spans="1:22" s="416" customFormat="1" ht="25.9" customHeight="1">
      <c r="A104" s="415"/>
      <c r="B104" s="446"/>
      <c r="C104" s="444"/>
      <c r="D104" s="2436"/>
      <c r="E104" s="2436"/>
      <c r="F104" s="2436"/>
      <c r="G104" s="2436"/>
      <c r="H104" s="2436"/>
      <c r="I104" s="444"/>
      <c r="J104" s="2436"/>
      <c r="K104" s="2436"/>
      <c r="L104" s="2436"/>
      <c r="M104" s="2436"/>
      <c r="N104" s="2436"/>
      <c r="O104" s="444"/>
      <c r="P104" s="2438"/>
      <c r="Q104" s="2438"/>
      <c r="R104" s="2438"/>
      <c r="S104" s="2438"/>
      <c r="T104" s="2438"/>
      <c r="U104" s="445"/>
    </row>
    <row r="105" spans="1:22" s="416" customFormat="1" ht="25.9" customHeight="1">
      <c r="A105" s="415"/>
      <c r="B105" s="447"/>
      <c r="C105" s="448"/>
      <c r="D105" s="2436"/>
      <c r="E105" s="2436"/>
      <c r="F105" s="2436"/>
      <c r="G105" s="2436"/>
      <c r="H105" s="2436"/>
      <c r="I105" s="449"/>
      <c r="J105" s="2436"/>
      <c r="K105" s="2436"/>
      <c r="L105" s="2436"/>
      <c r="M105" s="2436"/>
      <c r="N105" s="2436"/>
      <c r="O105" s="444"/>
      <c r="P105" s="2438"/>
      <c r="Q105" s="2438"/>
      <c r="R105" s="2438"/>
      <c r="S105" s="2438"/>
      <c r="T105" s="2438"/>
      <c r="U105" s="445"/>
    </row>
    <row r="106" spans="1:22" s="416" customFormat="1" ht="25.9" customHeight="1">
      <c r="A106" s="415"/>
      <c r="B106" s="461"/>
      <c r="C106" s="462"/>
      <c r="D106" s="2436"/>
      <c r="E106" s="2436"/>
      <c r="F106" s="2436"/>
      <c r="G106" s="2436"/>
      <c r="H106" s="2436"/>
      <c r="I106" s="462"/>
      <c r="J106" s="2436"/>
      <c r="K106" s="2436"/>
      <c r="L106" s="2436"/>
      <c r="M106" s="2436"/>
      <c r="N106" s="2436"/>
      <c r="O106" s="444"/>
      <c r="P106" s="2438"/>
      <c r="Q106" s="2438"/>
      <c r="R106" s="2438"/>
      <c r="S106" s="2438"/>
      <c r="T106" s="2438"/>
      <c r="U106" s="445"/>
    </row>
    <row r="107" spans="1:22" s="416" customFormat="1" ht="25.9" customHeight="1">
      <c r="A107" s="415"/>
      <c r="B107" s="461"/>
      <c r="C107" s="462"/>
      <c r="D107" s="2436"/>
      <c r="E107" s="2436"/>
      <c r="F107" s="2436"/>
      <c r="G107" s="2436"/>
      <c r="H107" s="2436"/>
      <c r="I107" s="462"/>
      <c r="J107" s="2436"/>
      <c r="K107" s="2436"/>
      <c r="L107" s="2436"/>
      <c r="M107" s="2436"/>
      <c r="N107" s="2436"/>
      <c r="O107" s="444"/>
      <c r="P107" s="2438"/>
      <c r="Q107" s="2438"/>
      <c r="R107" s="2438"/>
      <c r="S107" s="2438"/>
      <c r="T107" s="2438"/>
      <c r="U107" s="445"/>
    </row>
    <row r="108" spans="1:22" ht="25.9" customHeight="1">
      <c r="A108" s="420"/>
      <c r="B108" s="461"/>
      <c r="C108" s="462"/>
      <c r="D108" s="2436"/>
      <c r="E108" s="2436"/>
      <c r="F108" s="2436"/>
      <c r="G108" s="2436"/>
      <c r="H108" s="2436"/>
      <c r="I108" s="462"/>
      <c r="J108" s="2436"/>
      <c r="K108" s="2436"/>
      <c r="L108" s="2436"/>
      <c r="M108" s="2436"/>
      <c r="N108" s="2436"/>
      <c r="O108" s="441"/>
      <c r="P108" s="2438"/>
      <c r="Q108" s="2438"/>
      <c r="R108" s="2438"/>
      <c r="S108" s="2438"/>
      <c r="T108" s="2438"/>
      <c r="U108" s="451"/>
      <c r="V108" s="420"/>
    </row>
    <row r="109" spans="1:22" ht="25.9" customHeight="1">
      <c r="A109" s="420"/>
      <c r="B109" s="461"/>
      <c r="C109" s="462"/>
      <c r="D109" s="2436"/>
      <c r="E109" s="2436"/>
      <c r="F109" s="2436"/>
      <c r="G109" s="2436"/>
      <c r="H109" s="2436"/>
      <c r="I109" s="462"/>
      <c r="J109" s="2436"/>
      <c r="K109" s="2436"/>
      <c r="L109" s="2436"/>
      <c r="M109" s="2436"/>
      <c r="N109" s="2436"/>
      <c r="O109" s="453"/>
      <c r="P109" s="2438"/>
      <c r="Q109" s="2438"/>
      <c r="R109" s="2438"/>
      <c r="S109" s="2438"/>
      <c r="T109" s="2438"/>
      <c r="U109" s="454"/>
      <c r="V109" s="420"/>
    </row>
    <row r="110" spans="1:22" s="429" customFormat="1" ht="25.9" customHeight="1">
      <c r="A110" s="420"/>
      <c r="B110" s="461"/>
      <c r="C110" s="462"/>
      <c r="D110" s="467"/>
      <c r="E110" s="467"/>
      <c r="F110" s="467"/>
      <c r="G110" s="467"/>
      <c r="H110" s="467"/>
      <c r="I110" s="462"/>
      <c r="J110" s="467"/>
      <c r="K110" s="467"/>
      <c r="L110" s="467"/>
      <c r="M110" s="467"/>
      <c r="N110" s="467"/>
      <c r="O110" s="453"/>
      <c r="P110" s="2416" t="s">
        <v>923</v>
      </c>
      <c r="Q110" s="2416"/>
      <c r="R110" s="2416"/>
      <c r="S110" s="2416"/>
      <c r="T110" s="2416"/>
      <c r="U110" s="454"/>
      <c r="V110" s="420"/>
    </row>
    <row r="111" spans="1:22" s="429" customFormat="1" ht="25.9" customHeight="1">
      <c r="A111" s="420"/>
      <c r="B111" s="461"/>
      <c r="C111" s="462"/>
      <c r="D111" s="467"/>
      <c r="E111" s="467"/>
      <c r="F111" s="467"/>
      <c r="G111" s="467"/>
      <c r="H111" s="467"/>
      <c r="I111" s="462"/>
      <c r="J111" s="467"/>
      <c r="K111" s="467"/>
      <c r="L111" s="467"/>
      <c r="M111" s="467"/>
      <c r="N111" s="467"/>
      <c r="O111" s="453"/>
      <c r="P111" s="2416" t="s">
        <v>1005</v>
      </c>
      <c r="Q111" s="2416"/>
      <c r="R111" s="2416"/>
      <c r="S111" s="2416"/>
      <c r="T111" s="2416"/>
      <c r="U111" s="454"/>
      <c r="V111" s="420"/>
    </row>
    <row r="112" spans="1:22" ht="33" customHeight="1">
      <c r="A112" s="420"/>
      <c r="B112" s="2297" t="s">
        <v>971</v>
      </c>
      <c r="C112" s="2288"/>
      <c r="D112" s="2288"/>
      <c r="E112" s="2288"/>
      <c r="F112" s="2288"/>
      <c r="G112" s="2288"/>
      <c r="H112" s="2288"/>
      <c r="I112" s="2288"/>
      <c r="J112" s="2288"/>
      <c r="K112" s="2288"/>
      <c r="L112" s="2288"/>
      <c r="M112" s="2288"/>
      <c r="N112" s="2288"/>
      <c r="O112" s="2288"/>
      <c r="P112" s="2288"/>
      <c r="Q112" s="2288"/>
      <c r="R112" s="2288"/>
      <c r="S112" s="2288"/>
      <c r="T112" s="2288"/>
      <c r="U112" s="2298"/>
      <c r="V112" s="420"/>
    </row>
    <row r="113" spans="1:22" ht="33" customHeight="1">
      <c r="A113" s="420"/>
      <c r="B113" s="440"/>
      <c r="C113" s="468"/>
      <c r="D113" s="468"/>
      <c r="E113" s="468"/>
      <c r="F113" s="468"/>
      <c r="G113" s="468"/>
      <c r="H113" s="2423" t="s">
        <v>972</v>
      </c>
      <c r="I113" s="2424"/>
      <c r="J113" s="2423" t="s">
        <v>973</v>
      </c>
      <c r="K113" s="2424"/>
      <c r="L113" s="2423" t="s">
        <v>974</v>
      </c>
      <c r="M113" s="2424"/>
      <c r="N113" s="2423" t="s">
        <v>975</v>
      </c>
      <c r="O113" s="2424"/>
      <c r="P113" s="468"/>
      <c r="Q113" s="468"/>
      <c r="R113" s="468"/>
      <c r="S113" s="468"/>
      <c r="T113" s="468"/>
      <c r="U113" s="469"/>
      <c r="V113" s="420"/>
    </row>
    <row r="114" spans="1:22" ht="33" customHeight="1">
      <c r="A114" s="420"/>
      <c r="B114" s="440"/>
      <c r="C114" s="468"/>
      <c r="D114" s="468"/>
      <c r="E114" s="468"/>
      <c r="F114" s="468"/>
      <c r="G114" s="468"/>
      <c r="H114" s="2425"/>
      <c r="I114" s="2426"/>
      <c r="J114" s="2425"/>
      <c r="K114" s="2426"/>
      <c r="L114" s="2425"/>
      <c r="M114" s="2426"/>
      <c r="N114" s="2425"/>
      <c r="O114" s="2426"/>
      <c r="P114" s="468"/>
      <c r="Q114" s="468"/>
      <c r="R114" s="468"/>
      <c r="S114" s="468"/>
      <c r="T114" s="468"/>
      <c r="U114" s="469"/>
      <c r="V114" s="420"/>
    </row>
    <row r="115" spans="1:22" s="470" customFormat="1" ht="33" customHeight="1">
      <c r="B115" s="471"/>
      <c r="C115" s="472"/>
      <c r="D115" s="472"/>
      <c r="E115" s="472"/>
      <c r="F115" s="472"/>
      <c r="G115" s="472"/>
      <c r="H115" s="472"/>
      <c r="I115" s="472"/>
      <c r="J115" s="472"/>
      <c r="K115" s="472"/>
      <c r="L115" s="472"/>
      <c r="M115" s="472"/>
      <c r="N115" s="472"/>
      <c r="O115" s="472"/>
      <c r="P115" s="472"/>
      <c r="Q115" s="472"/>
      <c r="R115" s="472"/>
      <c r="S115" s="472"/>
      <c r="T115" s="472"/>
      <c r="U115" s="473"/>
    </row>
    <row r="116" spans="1:22" ht="23.25">
      <c r="A116" s="420"/>
      <c r="B116" s="474" t="s">
        <v>664</v>
      </c>
      <c r="C116" s="475"/>
      <c r="D116" s="475"/>
      <c r="E116" s="475"/>
      <c r="F116" s="475"/>
      <c r="G116" s="475"/>
      <c r="H116" s="475"/>
      <c r="I116" s="475"/>
      <c r="J116" s="475"/>
      <c r="K116" s="475"/>
      <c r="L116" s="475"/>
      <c r="M116" s="475"/>
      <c r="N116" s="475"/>
      <c r="O116" s="475"/>
      <c r="P116" s="475"/>
      <c r="Q116" s="475"/>
      <c r="R116" s="475"/>
      <c r="S116" s="475"/>
      <c r="T116" s="475"/>
      <c r="U116" s="475"/>
      <c r="V116" s="420"/>
    </row>
    <row r="117" spans="1:22" ht="23.25">
      <c r="A117" s="420"/>
      <c r="B117" s="475"/>
      <c r="C117" s="475"/>
      <c r="D117" s="475"/>
      <c r="E117" s="475"/>
      <c r="F117" s="475"/>
      <c r="G117" s="475"/>
      <c r="H117" s="475"/>
      <c r="I117" s="475"/>
      <c r="J117" s="475"/>
      <c r="K117" s="475"/>
      <c r="L117" s="475"/>
      <c r="M117" s="476" t="s">
        <v>1798</v>
      </c>
      <c r="N117" s="475"/>
      <c r="O117" s="475"/>
      <c r="P117" s="475"/>
      <c r="Q117" s="475"/>
      <c r="R117" s="477" t="s">
        <v>692</v>
      </c>
      <c r="S117" s="478" t="str">
        <f>$E$39</f>
        <v>ILF5_90FCORCP_B114CAGR43006</v>
      </c>
      <c r="T117" s="475"/>
      <c r="U117" s="475"/>
      <c r="V117" s="420"/>
    </row>
    <row r="119" spans="1:22" s="416" customFormat="1"/>
    <row r="120" spans="1:22">
      <c r="A120" s="420"/>
      <c r="B120" s="420"/>
      <c r="C120" s="420"/>
      <c r="D120" s="420"/>
      <c r="E120" s="420"/>
      <c r="F120" s="420"/>
      <c r="G120" s="420"/>
      <c r="H120" s="436" t="s">
        <v>690</v>
      </c>
      <c r="I120" s="420"/>
      <c r="K120" s="420"/>
      <c r="L120" s="437" t="str">
        <f>$B$11</f>
        <v>INMOBILIARIA SERVIGESTION</v>
      </c>
      <c r="M120" s="420"/>
      <c r="N120" s="420"/>
      <c r="O120" s="420"/>
      <c r="P120" s="420"/>
      <c r="Q120" s="420"/>
      <c r="R120" s="420"/>
      <c r="S120" s="420"/>
      <c r="T120" s="420"/>
      <c r="U120" s="420"/>
      <c r="V120" s="420"/>
    </row>
    <row r="121" spans="1:22" ht="34.5">
      <c r="A121" s="420"/>
      <c r="B121" s="2268" t="s">
        <v>461</v>
      </c>
      <c r="C121" s="2268"/>
      <c r="D121" s="2268"/>
      <c r="E121" s="2268"/>
      <c r="F121" s="2268"/>
      <c r="G121" s="2268"/>
      <c r="H121" s="2268"/>
      <c r="I121" s="2268"/>
      <c r="J121" s="2268"/>
      <c r="K121" s="2268"/>
      <c r="L121" s="2268"/>
      <c r="M121" s="2268"/>
      <c r="N121" s="2268"/>
      <c r="O121" s="2268"/>
      <c r="P121" s="2268"/>
      <c r="Q121" s="2268"/>
      <c r="R121" s="2268"/>
      <c r="S121" s="2268"/>
      <c r="T121" s="2268"/>
      <c r="U121" s="2268"/>
      <c r="V121" s="420"/>
    </row>
    <row r="122" spans="1:22" ht="22.9" customHeight="1">
      <c r="A122" s="420"/>
      <c r="B122" s="2269" t="s">
        <v>741</v>
      </c>
      <c r="C122" s="2269"/>
      <c r="D122" s="2269"/>
      <c r="E122" s="2269"/>
      <c r="F122" s="2269"/>
      <c r="G122" s="2269"/>
      <c r="H122" s="2269"/>
      <c r="I122" s="2269"/>
      <c r="J122" s="2269"/>
      <c r="K122" s="2269"/>
      <c r="L122" s="2269"/>
      <c r="M122" s="2269"/>
      <c r="N122" s="2269"/>
      <c r="O122" s="2269"/>
      <c r="P122" s="2269"/>
      <c r="Q122" s="2269"/>
      <c r="R122" s="2269"/>
      <c r="S122" s="2269"/>
      <c r="T122" s="2269"/>
      <c r="U122" s="2269"/>
      <c r="V122" s="420"/>
    </row>
    <row r="123" spans="1:22" ht="16.149999999999999" customHeight="1">
      <c r="A123" s="420"/>
      <c r="B123" s="427"/>
      <c r="C123" s="427"/>
      <c r="D123" s="427"/>
      <c r="E123" s="427"/>
      <c r="F123" s="427"/>
      <c r="G123" s="427"/>
      <c r="H123" s="427"/>
      <c r="I123" s="427"/>
      <c r="J123" s="427"/>
      <c r="K123" s="427"/>
      <c r="L123" s="427"/>
      <c r="M123" s="427"/>
      <c r="N123" s="427"/>
      <c r="O123" s="427"/>
      <c r="Q123" s="427"/>
      <c r="R123" s="427"/>
      <c r="S123" s="427"/>
      <c r="T123" s="427"/>
      <c r="U123" s="427"/>
      <c r="V123" s="420"/>
    </row>
    <row r="124" spans="1:22" ht="18.399999999999999" customHeight="1">
      <c r="A124" s="429"/>
      <c r="B124" s="2251"/>
      <c r="C124" s="2251"/>
      <c r="D124" s="2251"/>
      <c r="E124" s="2251"/>
      <c r="F124" s="2251"/>
      <c r="G124" s="2251"/>
      <c r="H124" s="2251"/>
      <c r="I124" s="2251"/>
      <c r="J124" s="2251"/>
      <c r="K124" s="2251"/>
      <c r="L124" s="2251"/>
      <c r="M124" s="2251"/>
      <c r="N124" s="2251"/>
      <c r="O124" s="2251"/>
      <c r="P124" s="2251"/>
      <c r="Q124" s="2251"/>
      <c r="R124" s="2251"/>
      <c r="S124" s="2251"/>
      <c r="T124" s="2251"/>
      <c r="U124" s="2251"/>
      <c r="V124" s="429"/>
    </row>
    <row r="125" spans="1:22" ht="23.25">
      <c r="A125" s="420"/>
      <c r="B125" s="427"/>
      <c r="C125" s="427"/>
      <c r="D125" s="427"/>
      <c r="E125" s="427"/>
      <c r="F125" s="427"/>
      <c r="G125" s="427"/>
      <c r="H125" s="427"/>
      <c r="I125" s="427"/>
      <c r="J125" s="427"/>
      <c r="K125" s="427"/>
      <c r="L125" s="427"/>
      <c r="M125" s="427"/>
      <c r="N125" s="427"/>
      <c r="O125" s="427"/>
      <c r="P125" s="427"/>
      <c r="Q125" s="427"/>
      <c r="R125" s="427"/>
      <c r="S125" s="427"/>
      <c r="T125" s="427"/>
      <c r="U125" s="427"/>
      <c r="V125" s="420"/>
    </row>
    <row r="126" spans="1:22" ht="23.25" customHeight="1">
      <c r="A126" s="420"/>
      <c r="B126" s="2325" t="s">
        <v>743</v>
      </c>
      <c r="C126" s="2326"/>
      <c r="D126" s="2326"/>
      <c r="E126" s="2326"/>
      <c r="F126" s="2326"/>
      <c r="G126" s="2326"/>
      <c r="H126" s="2326"/>
      <c r="I126" s="2326"/>
      <c r="J126" s="2326"/>
      <c r="K126" s="2326"/>
      <c r="L126" s="438"/>
      <c r="M126" s="438"/>
      <c r="N126" s="438"/>
      <c r="O126" s="438"/>
      <c r="P126" s="438"/>
      <c r="Q126" s="438"/>
      <c r="R126" s="438"/>
      <c r="S126" s="438"/>
      <c r="T126" s="438"/>
      <c r="U126" s="439"/>
      <c r="V126" s="420"/>
    </row>
    <row r="127" spans="1:22" ht="23.25" customHeight="1">
      <c r="A127" s="420"/>
      <c r="B127" s="2297" t="s">
        <v>742</v>
      </c>
      <c r="C127" s="2288"/>
      <c r="D127" s="2288"/>
      <c r="E127" s="2288"/>
      <c r="F127" s="2288"/>
      <c r="G127" s="2288"/>
      <c r="H127" s="2288"/>
      <c r="I127" s="2288"/>
      <c r="J127" s="2288"/>
      <c r="K127" s="2288"/>
      <c r="L127" s="2288"/>
      <c r="M127" s="2288"/>
      <c r="N127" s="2288"/>
      <c r="O127" s="2288"/>
      <c r="P127" s="2288"/>
      <c r="Q127" s="2288"/>
      <c r="R127" s="2288"/>
      <c r="S127" s="2288"/>
      <c r="T127" s="2288"/>
      <c r="U127" s="2298"/>
      <c r="V127" s="420"/>
    </row>
    <row r="128" spans="1:22" ht="36" customHeight="1">
      <c r="A128" s="420"/>
      <c r="B128" s="1176"/>
      <c r="C128" s="2288" t="s">
        <v>1381</v>
      </c>
      <c r="D128" s="2288"/>
      <c r="E128" s="2288"/>
      <c r="F128" s="2288"/>
      <c r="G128" s="2288"/>
      <c r="H128" s="2288"/>
      <c r="I128" s="2288"/>
      <c r="J128" s="2288"/>
      <c r="K128" s="2288"/>
      <c r="L128" s="2288"/>
      <c r="M128" s="2288"/>
      <c r="N128" s="2288"/>
      <c r="O128" s="2288"/>
      <c r="P128" s="2288"/>
      <c r="Q128" s="2288"/>
      <c r="R128" s="2288"/>
      <c r="S128" s="2288"/>
      <c r="T128" s="1177"/>
      <c r="U128" s="1178"/>
      <c r="V128" s="420"/>
    </row>
    <row r="129" spans="1:22" ht="45" customHeight="1">
      <c r="A129" s="420"/>
      <c r="B129" s="440"/>
      <c r="C129" s="2288" t="s">
        <v>1109</v>
      </c>
      <c r="D129" s="2288"/>
      <c r="E129" s="2288"/>
      <c r="F129" s="2288"/>
      <c r="G129" s="2288"/>
      <c r="H129" s="2288"/>
      <c r="I129" s="2288"/>
      <c r="J129" s="2288"/>
      <c r="K129" s="2288"/>
      <c r="L129" s="2288"/>
      <c r="M129" s="2288"/>
      <c r="N129" s="2288"/>
      <c r="O129" s="2288"/>
      <c r="P129" s="2288"/>
      <c r="Q129" s="2288"/>
      <c r="R129" s="2288"/>
      <c r="S129" s="2288"/>
      <c r="T129" s="2288"/>
      <c r="U129" s="442"/>
      <c r="V129" s="420"/>
    </row>
    <row r="130" spans="1:22" ht="36" customHeight="1">
      <c r="A130" s="420"/>
      <c r="B130" s="440"/>
      <c r="C130" s="2288" t="s">
        <v>1055</v>
      </c>
      <c r="D130" s="2288"/>
      <c r="E130" s="2288"/>
      <c r="F130" s="2288"/>
      <c r="G130" s="2288"/>
      <c r="H130" s="2288"/>
      <c r="I130" s="2288"/>
      <c r="J130" s="2288"/>
      <c r="K130" s="2288"/>
      <c r="L130" s="2288"/>
      <c r="M130" s="2288"/>
      <c r="N130" s="2288"/>
      <c r="O130" s="2288"/>
      <c r="P130" s="2288"/>
      <c r="Q130" s="2288"/>
      <c r="R130" s="2288"/>
      <c r="S130" s="2288"/>
      <c r="T130" s="479"/>
      <c r="U130" s="442"/>
      <c r="V130" s="420"/>
    </row>
    <row r="131" spans="1:22" ht="36" customHeight="1">
      <c r="A131" s="420"/>
      <c r="B131" s="1176"/>
      <c r="C131" s="2288" t="s">
        <v>1139</v>
      </c>
      <c r="D131" s="2288"/>
      <c r="E131" s="2288"/>
      <c r="F131" s="2288"/>
      <c r="G131" s="2288"/>
      <c r="H131" s="2288"/>
      <c r="I131" s="2288"/>
      <c r="J131" s="2288"/>
      <c r="K131" s="2288"/>
      <c r="L131" s="2288"/>
      <c r="M131" s="2288"/>
      <c r="N131" s="2288"/>
      <c r="O131" s="2288"/>
      <c r="P131" s="2288"/>
      <c r="Q131" s="2288"/>
      <c r="R131" s="2288"/>
      <c r="S131" s="2288"/>
      <c r="T131" s="480"/>
      <c r="U131" s="442"/>
      <c r="V131" s="420"/>
    </row>
    <row r="132" spans="1:22" ht="36" customHeight="1">
      <c r="A132" s="420"/>
      <c r="B132" s="440"/>
      <c r="C132" s="2288" t="s">
        <v>1056</v>
      </c>
      <c r="D132" s="2288"/>
      <c r="E132" s="2288"/>
      <c r="F132" s="2288"/>
      <c r="G132" s="2288"/>
      <c r="H132" s="2288"/>
      <c r="I132" s="2288"/>
      <c r="J132" s="2288"/>
      <c r="K132" s="2288"/>
      <c r="L132" s="2288"/>
      <c r="M132" s="2288"/>
      <c r="N132" s="2288"/>
      <c r="O132" s="2288"/>
      <c r="P132" s="2288"/>
      <c r="Q132" s="2288"/>
      <c r="R132" s="2288"/>
      <c r="S132" s="2288"/>
      <c r="T132" s="475"/>
      <c r="U132" s="442"/>
      <c r="V132" s="420"/>
    </row>
    <row r="133" spans="1:22" ht="23.25" customHeight="1" thickBot="1">
      <c r="A133" s="420"/>
      <c r="B133" s="440"/>
      <c r="C133" s="2288"/>
      <c r="D133" s="2288"/>
      <c r="E133" s="2288"/>
      <c r="F133" s="2288"/>
      <c r="G133" s="2288"/>
      <c r="H133" s="2288"/>
      <c r="I133" s="2288"/>
      <c r="J133" s="2288"/>
      <c r="K133" s="2288"/>
      <c r="L133" s="2288"/>
      <c r="M133" s="2288"/>
      <c r="N133" s="2288"/>
      <c r="O133" s="2288"/>
      <c r="P133" s="2288"/>
      <c r="Q133" s="2288"/>
      <c r="R133" s="2288"/>
      <c r="S133" s="2288"/>
      <c r="T133" s="475"/>
      <c r="U133" s="442"/>
      <c r="V133" s="420"/>
    </row>
    <row r="134" spans="1:22" ht="44.25" customHeight="1" thickBot="1">
      <c r="A134" s="420"/>
      <c r="B134" s="2431" t="s">
        <v>744</v>
      </c>
      <c r="C134" s="2428"/>
      <c r="D134" s="2428"/>
      <c r="E134" s="2428"/>
      <c r="F134" s="2428"/>
      <c r="G134" s="2432"/>
      <c r="H134" s="2429" t="s">
        <v>743</v>
      </c>
      <c r="I134" s="2430"/>
      <c r="J134" s="2430"/>
      <c r="K134" s="481">
        <f>Calculos_cuotas!O5</f>
        <v>201</v>
      </c>
      <c r="L134" s="482"/>
      <c r="M134" s="2427" t="s">
        <v>747</v>
      </c>
      <c r="N134" s="2428"/>
      <c r="O134" s="468"/>
      <c r="P134" s="468"/>
      <c r="Q134" s="468"/>
      <c r="R134" s="468"/>
      <c r="S134" s="468"/>
      <c r="T134" s="468"/>
      <c r="U134" s="469"/>
      <c r="V134" s="420"/>
    </row>
    <row r="135" spans="1:22" ht="12.75" customHeight="1">
      <c r="A135" s="420"/>
      <c r="B135" s="2297"/>
      <c r="C135" s="2288"/>
      <c r="D135" s="2288"/>
      <c r="E135" s="2288"/>
      <c r="F135" s="2288"/>
      <c r="G135" s="2288"/>
      <c r="H135" s="2288"/>
      <c r="I135" s="2288"/>
      <c r="J135" s="2288"/>
      <c r="K135" s="2288"/>
      <c r="L135" s="2288"/>
      <c r="M135" s="2288"/>
      <c r="N135" s="2288"/>
      <c r="O135" s="2288"/>
      <c r="P135" s="2288"/>
      <c r="Q135" s="2288"/>
      <c r="R135" s="2288"/>
      <c r="S135" s="2288"/>
      <c r="T135" s="2288"/>
      <c r="U135" s="442"/>
      <c r="V135" s="420"/>
    </row>
    <row r="136" spans="1:22" ht="28.5" customHeight="1">
      <c r="A136" s="420"/>
      <c r="B136" s="440"/>
      <c r="C136" s="483" t="s">
        <v>751</v>
      </c>
      <c r="O136" s="484"/>
      <c r="P136" s="484"/>
      <c r="Q136" s="484"/>
      <c r="R136" s="484"/>
      <c r="S136" s="484"/>
      <c r="T136" s="484"/>
      <c r="U136" s="442"/>
      <c r="V136" s="420"/>
    </row>
    <row r="137" spans="1:22" ht="69" customHeight="1">
      <c r="A137" s="420"/>
      <c r="B137" s="440"/>
      <c r="C137" s="2413" t="str">
        <f>CONCATENATE((Calculos_cuotas!F3+Calculos_cuotas!F4)," líneas móviles con tarifas planas de voz y datos en ",SUM(Calculos_cuotas!V137:Z137)," de ellas, que incluyen un total de ",Calculos_cuotas!P2," minutos y una capacidad de ",Calculos_cuotas!Q2," GB de datos al mes con velocidad 4G en ",SUM(Calculos_cuotas!V137:Y137), " de las líneas.")</f>
        <v>5 líneas móviles con tarifas planas de voz y datos en 4 de ellas, que incluyen un total de 24000 minutos y una capacidad de 12,5 GB de datos al mes con velocidad 4G en 4 de las líneas.</v>
      </c>
      <c r="D137" s="2413"/>
      <c r="E137" s="2413"/>
      <c r="F137" s="2413"/>
      <c r="G137" s="2413"/>
      <c r="H137" s="2413"/>
      <c r="I137" s="2413"/>
      <c r="J137" s="2413"/>
      <c r="K137" s="2413"/>
      <c r="L137" s="2413"/>
      <c r="M137" s="2413"/>
      <c r="N137" s="2413"/>
      <c r="O137" s="484"/>
      <c r="P137" s="484"/>
      <c r="Q137" s="484"/>
      <c r="R137" s="484"/>
      <c r="S137" s="484"/>
      <c r="T137" s="479"/>
      <c r="U137" s="442"/>
      <c r="V137" s="420"/>
    </row>
    <row r="138" spans="1:22" ht="19.5" customHeight="1">
      <c r="A138" s="420"/>
      <c r="B138" s="440"/>
      <c r="O138" s="484"/>
      <c r="P138" s="484"/>
      <c r="Q138" s="484"/>
      <c r="R138" s="484"/>
      <c r="S138" s="484"/>
      <c r="T138" s="480"/>
      <c r="U138" s="442"/>
      <c r="V138" s="420"/>
    </row>
    <row r="139" spans="1:22" ht="36" customHeight="1">
      <c r="A139" s="420"/>
      <c r="B139" s="440"/>
      <c r="C139" s="483" t="s">
        <v>752</v>
      </c>
      <c r="O139" s="484"/>
      <c r="P139" s="484"/>
      <c r="Q139" s="484"/>
      <c r="R139" s="484"/>
      <c r="S139" s="484"/>
      <c r="T139" s="475"/>
      <c r="U139" s="442"/>
      <c r="V139" s="420"/>
    </row>
    <row r="140" spans="1:22" ht="52.5" customHeight="1">
      <c r="A140" s="420"/>
      <c r="B140" s="485"/>
      <c r="C140" s="2413" t="str">
        <f>CONCATENATE("Productos de telefonía fija e Internet para ",Calculos_cuotas!R2,IF(Calculos_cuotas!R2=1," sede"," sedes")," de su empresa, con un total de ",Calculos_cuotas!S2," líneas fijas de voz y",IF(OR(Calculos_cuotas!U1335&gt;0,SUM(Calculos_cuotas!Z99:AC99)&gt;0)," funcionalidades de centralita, ", " "),IF(Calculos_cuotas!T2&gt;0,Calculos_cuotas!T2," "),IF(Calculos_cuotas!T2&gt;0," puestos fijos, y ",""),"fibra hasta 500Mbps o Internet ADSL máxima velocidad.")</f>
        <v>Productos de telefonía fija e Internet para 1 sede de su empresa, con un total de 2 líneas fijas de voz y  fibra hasta 500Mbps o Internet ADSL máxima velocidad.</v>
      </c>
      <c r="D140" s="2413"/>
      <c r="E140" s="2413"/>
      <c r="F140" s="2413"/>
      <c r="G140" s="2413"/>
      <c r="H140" s="2413"/>
      <c r="I140" s="2413"/>
      <c r="J140" s="2413"/>
      <c r="K140" s="2413"/>
      <c r="L140" s="2413"/>
      <c r="M140" s="2413"/>
      <c r="N140" s="2413"/>
      <c r="O140" s="475"/>
      <c r="P140" s="475"/>
      <c r="Q140" s="475"/>
      <c r="R140" s="475"/>
      <c r="S140" s="475"/>
      <c r="T140" s="475"/>
      <c r="U140" s="442"/>
      <c r="V140" s="420"/>
    </row>
    <row r="141" spans="1:22" ht="23.25">
      <c r="A141" s="420"/>
      <c r="B141" s="485"/>
      <c r="C141" s="475"/>
      <c r="D141" s="475"/>
      <c r="E141" s="475"/>
      <c r="F141" s="475"/>
      <c r="G141" s="475"/>
      <c r="H141" s="475"/>
      <c r="I141" s="475"/>
      <c r="J141" s="475"/>
      <c r="K141" s="475"/>
      <c r="L141" s="475"/>
      <c r="M141" s="475"/>
      <c r="N141" s="475"/>
      <c r="O141" s="475"/>
      <c r="P141" s="475"/>
      <c r="Q141" s="475"/>
      <c r="R141" s="475"/>
      <c r="S141" s="475"/>
      <c r="T141" s="475"/>
      <c r="U141" s="442"/>
      <c r="V141" s="420"/>
    </row>
    <row r="142" spans="1:22" ht="26.25">
      <c r="A142" s="420"/>
      <c r="B142" s="485"/>
      <c r="C142" s="483" t="str">
        <f>IF(Perfiles_usuario!D274&lt;&gt;0,"Servicios digitales","")</f>
        <v/>
      </c>
      <c r="D142" s="475"/>
      <c r="E142" s="475"/>
      <c r="F142" s="475"/>
      <c r="G142" s="475"/>
      <c r="H142" s="475"/>
      <c r="I142" s="475"/>
      <c r="J142" s="475"/>
      <c r="K142" s="475"/>
      <c r="L142" s="475"/>
      <c r="M142" s="475"/>
      <c r="N142" s="475"/>
      <c r="O142" s="475"/>
      <c r="P142" s="475"/>
      <c r="Q142" s="475"/>
      <c r="R142" s="475"/>
      <c r="S142" s="475"/>
      <c r="T142" s="475"/>
      <c r="U142" s="442"/>
      <c r="V142" s="420"/>
    </row>
    <row r="143" spans="1:22" ht="22.9" customHeight="1">
      <c r="A143" s="420"/>
      <c r="B143" s="485"/>
      <c r="C143" s="2413" t="str">
        <f>IF(Perfiles_usuario!D274&lt;&gt;0,CONCATENATE(Calculos_cuotas!C300," licencias de servicios digitales para mejorar la productividad de su empresa."),"")</f>
        <v/>
      </c>
      <c r="D143" s="2413"/>
      <c r="E143" s="2413"/>
      <c r="F143" s="2413"/>
      <c r="G143" s="2413"/>
      <c r="H143" s="2413"/>
      <c r="I143" s="2413"/>
      <c r="J143" s="2413"/>
      <c r="K143" s="2413"/>
      <c r="L143" s="2413"/>
      <c r="M143" s="2413"/>
      <c r="N143" s="2413"/>
      <c r="O143" s="475"/>
      <c r="P143" s="475"/>
      <c r="Q143" s="475"/>
      <c r="R143" s="475"/>
      <c r="S143" s="475"/>
      <c r="T143" s="475"/>
      <c r="U143" s="442"/>
      <c r="V143" s="420"/>
    </row>
    <row r="144" spans="1:22" ht="25.5">
      <c r="A144" s="420"/>
      <c r="B144" s="485"/>
      <c r="C144" s="2413"/>
      <c r="D144" s="2413"/>
      <c r="E144" s="2413"/>
      <c r="F144" s="2413"/>
      <c r="G144" s="2413"/>
      <c r="H144" s="2413"/>
      <c r="I144" s="2413"/>
      <c r="J144" s="2413"/>
      <c r="K144" s="2413"/>
      <c r="L144" s="2413"/>
      <c r="M144" s="2413"/>
      <c r="N144" s="2413"/>
      <c r="O144" s="475"/>
      <c r="P144" s="475"/>
      <c r="Q144" s="475"/>
      <c r="R144" s="475"/>
      <c r="S144" s="475"/>
      <c r="T144" s="475"/>
      <c r="U144" s="442"/>
      <c r="V144" s="420"/>
    </row>
    <row r="145" spans="1:22" ht="25.5">
      <c r="A145" s="420"/>
      <c r="B145" s="485"/>
      <c r="C145" s="2413"/>
      <c r="D145" s="2413"/>
      <c r="E145" s="2413"/>
      <c r="F145" s="2413"/>
      <c r="G145" s="2413"/>
      <c r="H145" s="2413"/>
      <c r="I145" s="2413"/>
      <c r="J145" s="2413"/>
      <c r="K145" s="2413"/>
      <c r="L145" s="2413"/>
      <c r="M145" s="2413"/>
      <c r="N145" s="2413"/>
      <c r="O145" s="475"/>
      <c r="P145" s="475"/>
      <c r="Q145" s="475"/>
      <c r="R145" s="475"/>
      <c r="S145" s="475"/>
      <c r="T145" s="475"/>
      <c r="U145" s="442"/>
      <c r="V145" s="420"/>
    </row>
    <row r="146" spans="1:22" ht="23.25">
      <c r="A146" s="420"/>
      <c r="B146" s="485"/>
      <c r="C146" s="475"/>
      <c r="D146" s="475"/>
      <c r="E146" s="475"/>
      <c r="F146" s="475"/>
      <c r="G146" s="475"/>
      <c r="H146" s="475"/>
      <c r="I146" s="475"/>
      <c r="J146" s="475"/>
      <c r="K146" s="475"/>
      <c r="L146" s="475"/>
      <c r="M146" s="475"/>
      <c r="N146" s="475"/>
      <c r="O146" s="475"/>
      <c r="P146" s="475"/>
      <c r="Q146" s="475"/>
      <c r="R146" s="475"/>
      <c r="S146" s="475"/>
      <c r="T146" s="475"/>
      <c r="U146" s="442"/>
      <c r="V146" s="420"/>
    </row>
    <row r="147" spans="1:22" ht="23.25">
      <c r="A147" s="420"/>
      <c r="B147" s="485"/>
      <c r="C147" s="475"/>
      <c r="D147" s="475"/>
      <c r="E147" s="475"/>
      <c r="F147" s="475"/>
      <c r="G147" s="475"/>
      <c r="H147" s="475"/>
      <c r="I147" s="475"/>
      <c r="J147" s="475"/>
      <c r="K147" s="475"/>
      <c r="L147" s="475"/>
      <c r="M147" s="475"/>
      <c r="N147" s="475"/>
      <c r="O147" s="475"/>
      <c r="P147" s="475"/>
      <c r="Q147" s="475"/>
      <c r="R147" s="475"/>
      <c r="S147" s="475"/>
      <c r="T147" s="475"/>
      <c r="U147" s="442"/>
      <c r="V147" s="420"/>
    </row>
    <row r="148" spans="1:22" ht="23.25">
      <c r="A148" s="420"/>
      <c r="B148" s="485"/>
      <c r="C148" s="475"/>
      <c r="D148" s="475"/>
      <c r="E148" s="475"/>
      <c r="F148" s="475"/>
      <c r="G148" s="475"/>
      <c r="H148" s="475"/>
      <c r="I148" s="475"/>
      <c r="J148" s="475"/>
      <c r="K148" s="475"/>
      <c r="L148" s="475"/>
      <c r="M148" s="475"/>
      <c r="N148" s="475"/>
      <c r="O148" s="475"/>
      <c r="P148" s="475"/>
      <c r="Q148" s="475"/>
      <c r="R148" s="475"/>
      <c r="S148" s="475"/>
      <c r="T148" s="475"/>
      <c r="U148" s="442"/>
      <c r="V148" s="420"/>
    </row>
    <row r="149" spans="1:22" ht="70.5" customHeight="1">
      <c r="A149" s="420"/>
      <c r="B149" s="485"/>
      <c r="C149" s="2346" t="s">
        <v>1361</v>
      </c>
      <c r="D149" s="2346"/>
      <c r="E149" s="2346"/>
      <c r="F149" s="2346"/>
      <c r="G149" s="2346"/>
      <c r="H149" s="2346"/>
      <c r="I149" s="2346"/>
      <c r="J149" s="2346"/>
      <c r="K149" s="2346"/>
      <c r="L149" s="2346"/>
      <c r="M149" s="2346"/>
      <c r="N149" s="2346"/>
      <c r="O149" s="2346"/>
      <c r="P149" s="2346"/>
      <c r="Q149" s="2346"/>
      <c r="R149" s="2346"/>
      <c r="S149" s="2346"/>
      <c r="T149" s="2346"/>
      <c r="U149" s="442"/>
      <c r="V149" s="420"/>
    </row>
    <row r="150" spans="1:22" ht="17.25" customHeight="1">
      <c r="A150" s="420"/>
      <c r="B150" s="485"/>
      <c r="C150" s="475"/>
      <c r="D150" s="475"/>
      <c r="E150" s="475"/>
      <c r="F150" s="475"/>
      <c r="G150" s="475"/>
      <c r="H150" s="475"/>
      <c r="I150" s="475"/>
      <c r="J150" s="475"/>
      <c r="K150" s="475"/>
      <c r="L150" s="475"/>
      <c r="M150" s="475"/>
      <c r="N150" s="475"/>
      <c r="O150" s="475"/>
      <c r="P150" s="475"/>
      <c r="Q150" s="475"/>
      <c r="R150" s="475"/>
      <c r="S150" s="475"/>
      <c r="T150" s="475"/>
      <c r="U150" s="442"/>
      <c r="V150" s="420"/>
    </row>
    <row r="151" spans="1:22" ht="45.75" customHeight="1">
      <c r="A151" s="420"/>
      <c r="B151" s="485"/>
      <c r="C151" s="2346" t="s">
        <v>1144</v>
      </c>
      <c r="D151" s="2346"/>
      <c r="E151" s="2346"/>
      <c r="F151" s="2346"/>
      <c r="G151" s="2346"/>
      <c r="H151" s="2346"/>
      <c r="I151" s="2346"/>
      <c r="J151" s="2346"/>
      <c r="K151" s="2346"/>
      <c r="L151" s="2346"/>
      <c r="M151" s="2346"/>
      <c r="N151" s="2346"/>
      <c r="O151" s="2346"/>
      <c r="P151" s="2346"/>
      <c r="Q151" s="2346"/>
      <c r="R151" s="2346"/>
      <c r="S151" s="2346"/>
      <c r="T151" s="2346"/>
      <c r="U151" s="442"/>
      <c r="V151" s="420"/>
    </row>
    <row r="152" spans="1:22" ht="45.75" customHeight="1">
      <c r="A152" s="420"/>
      <c r="B152" s="485"/>
      <c r="C152" s="486"/>
      <c r="D152" s="486"/>
      <c r="E152" s="486"/>
      <c r="F152" s="486"/>
      <c r="G152" s="486"/>
      <c r="H152" s="486"/>
      <c r="I152" s="486"/>
      <c r="J152" s="486"/>
      <c r="K152" s="486"/>
      <c r="L152" s="486"/>
      <c r="M152" s="486"/>
      <c r="N152" s="486"/>
      <c r="O152" s="486"/>
      <c r="P152" s="486"/>
      <c r="Q152" s="486"/>
      <c r="R152" s="486"/>
      <c r="S152" s="486"/>
      <c r="T152" s="486"/>
      <c r="U152" s="442"/>
      <c r="V152" s="420"/>
    </row>
    <row r="153" spans="1:22" ht="45.75" customHeight="1">
      <c r="A153" s="420"/>
      <c r="B153" s="485"/>
      <c r="C153" s="486"/>
      <c r="D153" s="486"/>
      <c r="E153" s="486"/>
      <c r="F153" s="486"/>
      <c r="G153" s="486"/>
      <c r="H153" s="486"/>
      <c r="I153" s="486"/>
      <c r="J153" s="486"/>
      <c r="K153" s="486"/>
      <c r="L153" s="486"/>
      <c r="M153" s="486"/>
      <c r="N153" s="486"/>
      <c r="O153" s="486"/>
      <c r="P153" s="486"/>
      <c r="Q153" s="486"/>
      <c r="R153" s="486"/>
      <c r="S153" s="486"/>
      <c r="T153" s="486"/>
      <c r="U153" s="442"/>
      <c r="V153" s="420"/>
    </row>
    <row r="154" spans="1:22" ht="45.75" customHeight="1">
      <c r="A154" s="420"/>
      <c r="B154" s="485"/>
      <c r="C154" s="486"/>
      <c r="D154" s="486"/>
      <c r="E154" s="486"/>
      <c r="F154" s="486"/>
      <c r="G154" s="486"/>
      <c r="H154" s="486"/>
      <c r="I154" s="486"/>
      <c r="J154" s="486"/>
      <c r="K154" s="486"/>
      <c r="L154" s="486"/>
      <c r="M154" s="486"/>
      <c r="N154" s="486"/>
      <c r="O154" s="486"/>
      <c r="P154" s="486"/>
      <c r="Q154" s="486"/>
      <c r="R154" s="486"/>
      <c r="S154" s="486"/>
      <c r="T154" s="486"/>
      <c r="U154" s="442"/>
      <c r="V154" s="420"/>
    </row>
    <row r="155" spans="1:22" ht="23.25">
      <c r="A155" s="420"/>
      <c r="B155" s="485"/>
      <c r="C155" s="475"/>
      <c r="D155" s="475"/>
      <c r="E155" s="475"/>
      <c r="F155" s="475"/>
      <c r="G155" s="475"/>
      <c r="H155" s="475"/>
      <c r="I155" s="475"/>
      <c r="J155" s="475"/>
      <c r="K155" s="475"/>
      <c r="L155" s="475"/>
      <c r="M155" s="475"/>
      <c r="N155" s="475"/>
      <c r="O155" s="475"/>
      <c r="P155" s="475"/>
      <c r="Q155" s="475"/>
      <c r="R155" s="475"/>
      <c r="S155" s="475"/>
      <c r="T155" s="475"/>
      <c r="U155" s="442"/>
      <c r="V155" s="420"/>
    </row>
    <row r="156" spans="1:22" ht="23.25">
      <c r="A156" s="420"/>
      <c r="B156" s="487"/>
      <c r="C156" s="459"/>
      <c r="D156" s="459"/>
      <c r="E156" s="459"/>
      <c r="F156" s="459"/>
      <c r="G156" s="459"/>
      <c r="H156" s="459"/>
      <c r="I156" s="459"/>
      <c r="J156" s="459"/>
      <c r="K156" s="459"/>
      <c r="L156" s="459"/>
      <c r="M156" s="459"/>
      <c r="N156" s="459"/>
      <c r="O156" s="459"/>
      <c r="P156" s="459"/>
      <c r="Q156" s="459"/>
      <c r="R156" s="459"/>
      <c r="S156" s="459"/>
      <c r="T156" s="459"/>
      <c r="U156" s="460"/>
      <c r="V156" s="420"/>
    </row>
    <row r="157" spans="1:22" ht="23.25">
      <c r="A157" s="420"/>
      <c r="B157" s="474" t="s">
        <v>664</v>
      </c>
      <c r="C157" s="475"/>
      <c r="D157" s="475"/>
      <c r="E157" s="475"/>
      <c r="F157" s="475"/>
      <c r="G157" s="475"/>
      <c r="H157" s="475"/>
      <c r="I157" s="475"/>
      <c r="J157" s="475"/>
      <c r="K157" s="475"/>
      <c r="L157" s="475"/>
      <c r="M157" s="475"/>
      <c r="N157" s="475"/>
      <c r="O157" s="475"/>
      <c r="P157" s="475"/>
      <c r="Q157" s="475"/>
      <c r="R157" s="475"/>
      <c r="S157" s="475"/>
      <c r="T157" s="475"/>
      <c r="U157" s="475"/>
      <c r="V157" s="420"/>
    </row>
    <row r="158" spans="1:22" ht="23.25">
      <c r="A158" s="420"/>
      <c r="B158" s="475"/>
      <c r="C158" s="475"/>
      <c r="D158" s="475"/>
      <c r="E158" s="475"/>
      <c r="F158" s="475"/>
      <c r="G158" s="475"/>
      <c r="H158" s="475"/>
      <c r="I158" s="475"/>
      <c r="J158" s="475"/>
      <c r="K158" s="475"/>
      <c r="L158" s="475"/>
      <c r="M158" s="475"/>
      <c r="N158" s="475"/>
      <c r="O158" s="475"/>
      <c r="P158" s="475"/>
      <c r="Q158" s="475"/>
      <c r="R158" s="475"/>
      <c r="S158" s="475"/>
      <c r="T158" s="475"/>
      <c r="U158" s="475"/>
      <c r="V158" s="420"/>
    </row>
    <row r="159" spans="1:22" ht="23.25">
      <c r="A159" s="420"/>
      <c r="B159" s="475"/>
      <c r="C159" s="475"/>
      <c r="D159" s="475"/>
      <c r="E159" s="475"/>
      <c r="F159" s="475"/>
      <c r="G159" s="475"/>
      <c r="H159" s="475"/>
      <c r="I159" s="475"/>
      <c r="J159" s="475"/>
      <c r="K159" s="475"/>
      <c r="L159" s="475"/>
      <c r="M159" s="475"/>
      <c r="N159" s="475"/>
      <c r="O159" s="475"/>
      <c r="P159" s="475"/>
      <c r="Q159" s="475"/>
      <c r="R159" s="475"/>
      <c r="S159" s="475"/>
      <c r="T159" s="475"/>
      <c r="U159" s="475"/>
      <c r="V159" s="420"/>
    </row>
    <row r="160" spans="1:22" ht="23.25">
      <c r="A160" s="420"/>
      <c r="C160" s="475"/>
      <c r="D160" s="475"/>
      <c r="E160" s="475"/>
      <c r="F160" s="475"/>
      <c r="G160" s="475"/>
      <c r="H160" s="475"/>
      <c r="I160" s="475"/>
      <c r="J160" s="475"/>
      <c r="K160" s="475"/>
      <c r="L160" s="475"/>
      <c r="M160" s="475"/>
      <c r="N160" s="475"/>
      <c r="O160" s="475"/>
      <c r="P160" s="475"/>
      <c r="Q160" s="475"/>
      <c r="R160" s="475"/>
      <c r="S160" s="475"/>
      <c r="T160" s="475"/>
      <c r="U160" s="475"/>
      <c r="V160" s="420"/>
    </row>
    <row r="161" spans="1:22" ht="23.25">
      <c r="A161" s="420"/>
      <c r="B161" s="475"/>
      <c r="C161" s="475"/>
      <c r="D161" s="475"/>
      <c r="E161" s="475"/>
      <c r="F161" s="475"/>
      <c r="G161" s="475"/>
      <c r="H161" s="475"/>
      <c r="I161" s="475"/>
      <c r="J161" s="475"/>
      <c r="K161" s="475"/>
      <c r="L161" s="475"/>
      <c r="M161" s="476" t="s">
        <v>1799</v>
      </c>
      <c r="N161" s="475"/>
      <c r="O161" s="475"/>
      <c r="P161" s="475"/>
      <c r="Q161" s="475"/>
      <c r="R161" s="477" t="s">
        <v>692</v>
      </c>
      <c r="S161" s="478" t="str">
        <f>$E$39</f>
        <v>ILF5_90FCORCP_B114CAGR43006</v>
      </c>
      <c r="T161" s="475"/>
      <c r="U161" s="475"/>
      <c r="V161" s="420"/>
    </row>
    <row r="162" spans="1:22" ht="23.25">
      <c r="A162" s="420"/>
      <c r="B162" s="475"/>
      <c r="C162" s="475"/>
      <c r="D162" s="475"/>
      <c r="E162" s="475"/>
      <c r="F162" s="475"/>
      <c r="G162" s="475"/>
      <c r="H162" s="475"/>
      <c r="I162" s="475"/>
      <c r="J162" s="475"/>
      <c r="K162" s="475"/>
      <c r="L162" s="475"/>
      <c r="M162" s="475"/>
      <c r="N162" s="475"/>
      <c r="O162" s="475"/>
      <c r="P162" s="475"/>
      <c r="Q162" s="475"/>
      <c r="R162" s="475"/>
      <c r="S162" s="475"/>
      <c r="T162" s="475"/>
      <c r="U162" s="475"/>
      <c r="V162" s="420"/>
    </row>
    <row r="163" spans="1:22">
      <c r="A163" s="420"/>
      <c r="B163" s="420"/>
      <c r="C163" s="420"/>
      <c r="D163" s="420"/>
      <c r="E163" s="420"/>
      <c r="F163" s="420"/>
      <c r="G163" s="420"/>
      <c r="H163" s="436" t="s">
        <v>690</v>
      </c>
      <c r="I163" s="420"/>
      <c r="K163" s="420"/>
      <c r="L163" s="437" t="str">
        <f>$B$11</f>
        <v>INMOBILIARIA SERVIGESTION</v>
      </c>
      <c r="M163" s="420"/>
      <c r="N163" s="420"/>
      <c r="O163" s="420"/>
      <c r="P163" s="420"/>
      <c r="Q163" s="420"/>
      <c r="R163" s="420"/>
      <c r="S163" s="420"/>
      <c r="T163" s="420"/>
      <c r="U163" s="420"/>
      <c r="V163" s="420"/>
    </row>
    <row r="164" spans="1:22" ht="34.5">
      <c r="A164" s="420"/>
      <c r="B164" s="2268" t="s">
        <v>461</v>
      </c>
      <c r="C164" s="2268"/>
      <c r="D164" s="2268"/>
      <c r="E164" s="2268"/>
      <c r="F164" s="2268"/>
      <c r="G164" s="2268"/>
      <c r="H164" s="2268"/>
      <c r="I164" s="2268"/>
      <c r="J164" s="2268"/>
      <c r="K164" s="2268"/>
      <c r="L164" s="2268"/>
      <c r="M164" s="2268"/>
      <c r="N164" s="2268"/>
      <c r="O164" s="2268"/>
      <c r="P164" s="2268"/>
      <c r="Q164" s="2268"/>
      <c r="R164" s="2268"/>
      <c r="S164" s="2268"/>
      <c r="T164" s="2268"/>
      <c r="U164" s="2268"/>
      <c r="V164" s="420"/>
    </row>
    <row r="165" spans="1:22" ht="22.9" customHeight="1">
      <c r="A165" s="420"/>
      <c r="B165" s="2269" t="s">
        <v>1084</v>
      </c>
      <c r="C165" s="2269"/>
      <c r="D165" s="2269"/>
      <c r="E165" s="2269"/>
      <c r="F165" s="2269"/>
      <c r="G165" s="2269"/>
      <c r="H165" s="2269"/>
      <c r="I165" s="2269"/>
      <c r="J165" s="2269"/>
      <c r="K165" s="2269"/>
      <c r="L165" s="2269"/>
      <c r="M165" s="2269"/>
      <c r="N165" s="2269"/>
      <c r="O165" s="2269"/>
      <c r="P165" s="2269"/>
      <c r="Q165" s="2269"/>
      <c r="R165" s="2269"/>
      <c r="S165" s="2269"/>
      <c r="T165" s="2269"/>
      <c r="U165" s="2269"/>
      <c r="V165" s="420"/>
    </row>
    <row r="166" spans="1:22" ht="16.149999999999999" customHeight="1">
      <c r="A166" s="420"/>
      <c r="B166" s="459"/>
      <c r="C166" s="459"/>
      <c r="D166" s="459"/>
      <c r="E166" s="459"/>
      <c r="F166" s="459"/>
      <c r="G166" s="459"/>
      <c r="H166" s="459"/>
      <c r="I166" s="459"/>
      <c r="J166" s="459"/>
      <c r="K166" s="459"/>
      <c r="L166" s="459"/>
      <c r="M166" s="459"/>
      <c r="N166" s="459"/>
      <c r="O166" s="459"/>
      <c r="P166" s="488"/>
      <c r="Q166" s="459"/>
      <c r="R166" s="459"/>
      <c r="S166" s="459"/>
      <c r="T166" s="459"/>
      <c r="U166" s="459"/>
      <c r="V166" s="420"/>
    </row>
    <row r="167" spans="1:22" ht="102" customHeight="1">
      <c r="A167" s="489"/>
      <c r="B167" s="2444" t="s">
        <v>1908</v>
      </c>
      <c r="C167" s="2445"/>
      <c r="D167" s="2445"/>
      <c r="E167" s="2445"/>
      <c r="F167" s="2445"/>
      <c r="G167" s="2445"/>
      <c r="H167" s="2445"/>
      <c r="I167" s="2445"/>
      <c r="J167" s="2445"/>
      <c r="K167" s="2445"/>
      <c r="L167" s="2445"/>
      <c r="M167" s="2445"/>
      <c r="N167" s="2445"/>
      <c r="O167" s="2445"/>
      <c r="P167" s="2445"/>
      <c r="Q167" s="2445"/>
      <c r="R167" s="2445"/>
      <c r="S167" s="2445"/>
      <c r="T167" s="2445"/>
      <c r="U167" s="2446"/>
      <c r="V167" s="490"/>
    </row>
    <row r="168" spans="1:22" ht="13.9" customHeight="1">
      <c r="A168" s="489"/>
      <c r="B168" s="1860"/>
      <c r="C168" s="1860"/>
      <c r="D168" s="1860"/>
      <c r="E168" s="1860"/>
      <c r="F168" s="1860"/>
      <c r="G168" s="1860"/>
      <c r="H168" s="1860"/>
      <c r="I168" s="1860"/>
      <c r="J168" s="1860"/>
      <c r="K168" s="1860"/>
      <c r="L168" s="1860"/>
      <c r="M168" s="1860"/>
      <c r="N168" s="1860"/>
      <c r="O168" s="1860"/>
      <c r="P168" s="1860"/>
      <c r="Q168" s="1860"/>
      <c r="R168" s="1860"/>
      <c r="S168" s="1860"/>
      <c r="T168" s="1860"/>
      <c r="U168" s="1860"/>
      <c r="V168" s="490"/>
    </row>
    <row r="169" spans="1:22" ht="36.75" customHeight="1">
      <c r="A169" s="489"/>
      <c r="B169" s="1860"/>
      <c r="C169" s="2443" t="s">
        <v>784</v>
      </c>
      <c r="D169" s="2443"/>
      <c r="E169" s="2443"/>
      <c r="F169" s="2443"/>
      <c r="G169" s="2443"/>
      <c r="H169" s="2443"/>
      <c r="I169" s="2443"/>
      <c r="J169" s="2443"/>
      <c r="K169" s="2443"/>
      <c r="L169" s="2443"/>
      <c r="M169" s="2443"/>
      <c r="N169" s="2443"/>
      <c r="O169" s="2443"/>
      <c r="P169" s="2443"/>
      <c r="Q169" s="2443"/>
      <c r="R169" s="2443"/>
      <c r="S169" s="2443"/>
      <c r="T169" s="2443"/>
      <c r="U169" s="1860"/>
      <c r="V169" s="490"/>
    </row>
    <row r="170" spans="1:22" ht="22.15" customHeight="1">
      <c r="A170" s="451"/>
      <c r="B170" s="1861"/>
      <c r="C170" s="1861"/>
      <c r="D170" s="1861"/>
      <c r="E170" s="1861"/>
      <c r="F170" s="1861"/>
      <c r="G170" s="1861"/>
      <c r="H170" s="1861"/>
      <c r="I170" s="1861"/>
      <c r="J170" s="1861"/>
      <c r="K170" s="1861"/>
      <c r="L170" s="2400"/>
      <c r="M170" s="2400"/>
      <c r="N170" s="2400"/>
      <c r="O170" s="2400"/>
      <c r="P170" s="2400"/>
      <c r="Q170" s="2400"/>
      <c r="R170" s="2400"/>
      <c r="S170" s="2400"/>
      <c r="T170" s="1861"/>
      <c r="U170" s="1863"/>
      <c r="V170" s="493"/>
    </row>
    <row r="171" spans="1:22" ht="23.25">
      <c r="B171" s="1864"/>
      <c r="C171" s="2401" t="s">
        <v>1083</v>
      </c>
      <c r="D171" s="2401"/>
      <c r="E171" s="2401"/>
      <c r="F171" s="2401"/>
      <c r="G171" s="2401"/>
      <c r="H171" s="2401"/>
      <c r="I171" s="2401"/>
      <c r="J171" s="2401"/>
      <c r="K171" s="2401"/>
      <c r="L171" s="1865"/>
      <c r="M171" s="2447" t="s">
        <v>1988</v>
      </c>
      <c r="N171" s="2448"/>
      <c r="O171" s="2448"/>
      <c r="P171" s="2448"/>
      <c r="Q171" s="2448"/>
      <c r="R171" s="2448"/>
      <c r="S171" s="2448"/>
      <c r="T171" s="2449"/>
      <c r="U171" s="1866"/>
      <c r="V171" s="441"/>
    </row>
    <row r="172" spans="1:22" ht="89.25" customHeight="1">
      <c r="B172" s="495" t="s">
        <v>362</v>
      </c>
      <c r="C172" s="2396" t="s">
        <v>1909</v>
      </c>
      <c r="D172" s="2397"/>
      <c r="E172" s="2397"/>
      <c r="F172" s="2397"/>
      <c r="G172" s="2397"/>
      <c r="H172" s="2397"/>
      <c r="I172" s="2397"/>
      <c r="J172" s="2397"/>
      <c r="K172" s="2398"/>
      <c r="L172" s="1867"/>
      <c r="M172" s="2396" t="s">
        <v>1989</v>
      </c>
      <c r="N172" s="2397"/>
      <c r="O172" s="2397"/>
      <c r="P172" s="2397"/>
      <c r="Q172" s="2397"/>
      <c r="R172" s="2397"/>
      <c r="S172" s="2397"/>
      <c r="T172" s="2398"/>
      <c r="U172" s="1866"/>
      <c r="V172" s="441"/>
    </row>
    <row r="173" spans="1:22" ht="26.25">
      <c r="A173" s="441"/>
      <c r="B173" s="1868"/>
      <c r="C173" s="2327" t="s">
        <v>783</v>
      </c>
      <c r="D173" s="2327"/>
      <c r="E173" s="2327"/>
      <c r="F173" s="2327"/>
      <c r="G173" s="2327"/>
      <c r="H173" s="1869">
        <v>24</v>
      </c>
      <c r="I173" s="1870"/>
      <c r="J173" s="1870"/>
      <c r="K173" s="1870"/>
      <c r="L173" s="1871"/>
      <c r="M173" s="1872" t="s">
        <v>783</v>
      </c>
      <c r="N173" s="1873"/>
      <c r="O173" s="1874"/>
      <c r="P173" s="1874"/>
      <c r="Q173" s="1874"/>
      <c r="R173" s="1869">
        <v>32</v>
      </c>
      <c r="S173" s="1875"/>
      <c r="T173" s="1875"/>
      <c r="U173" s="1876"/>
    </row>
    <row r="174" spans="1:22" ht="10.9" customHeight="1">
      <c r="A174" s="441"/>
      <c r="B174" s="1877"/>
      <c r="C174" s="501"/>
      <c r="D174" s="501"/>
      <c r="E174" s="501"/>
      <c r="F174" s="501"/>
      <c r="G174" s="501"/>
      <c r="H174" s="501"/>
      <c r="I174" s="501"/>
      <c r="J174" s="501"/>
      <c r="K174" s="501"/>
      <c r="L174" s="501"/>
      <c r="M174" s="501"/>
      <c r="N174" s="501"/>
      <c r="O174" s="501"/>
      <c r="P174" s="501"/>
      <c r="Q174" s="501"/>
      <c r="R174" s="501"/>
      <c r="S174" s="501"/>
      <c r="T174" s="501"/>
      <c r="U174" s="502"/>
    </row>
    <row r="175" spans="1:22" ht="15.6" customHeight="1">
      <c r="A175" s="441"/>
      <c r="B175" s="495"/>
      <c r="C175" s="501"/>
      <c r="D175" s="501"/>
      <c r="E175" s="501"/>
      <c r="F175" s="501"/>
      <c r="G175" s="501"/>
      <c r="H175" s="501"/>
      <c r="I175" s="501"/>
      <c r="J175" s="501"/>
      <c r="K175" s="501"/>
      <c r="L175" s="501"/>
      <c r="M175" s="501"/>
      <c r="N175" s="501"/>
      <c r="O175" s="1871"/>
      <c r="P175" s="1878"/>
      <c r="Q175" s="501"/>
      <c r="R175" s="501"/>
      <c r="S175" s="501"/>
      <c r="T175" s="501"/>
      <c r="U175" s="502"/>
    </row>
    <row r="176" spans="1:22" s="429" customFormat="1" ht="99.75" customHeight="1">
      <c r="A176" s="504"/>
      <c r="B176" s="1879"/>
      <c r="C176" s="2443" t="s">
        <v>786</v>
      </c>
      <c r="D176" s="2443"/>
      <c r="E176" s="2443"/>
      <c r="F176" s="2443"/>
      <c r="G176" s="2443"/>
      <c r="H176" s="2443"/>
      <c r="I176" s="2443"/>
      <c r="J176" s="2443"/>
      <c r="K176" s="2443"/>
      <c r="L176" s="2443"/>
      <c r="M176" s="2443"/>
      <c r="N176" s="2443"/>
      <c r="O176" s="2443"/>
      <c r="P176" s="2443"/>
      <c r="Q176" s="2443"/>
      <c r="R176" s="2443"/>
      <c r="S176" s="2443"/>
      <c r="T176" s="2443"/>
      <c r="U176" s="505"/>
    </row>
    <row r="177" spans="1:23" s="429" customFormat="1" ht="20.25" customHeight="1">
      <c r="A177" s="504"/>
      <c r="B177" s="1879"/>
      <c r="C177" s="1861"/>
      <c r="D177" s="1861"/>
      <c r="E177" s="1861"/>
      <c r="F177" s="1861"/>
      <c r="G177" s="1861"/>
      <c r="H177" s="1861"/>
      <c r="I177" s="1861"/>
      <c r="J177" s="1861"/>
      <c r="K177" s="1861"/>
      <c r="L177" s="2400"/>
      <c r="M177" s="2400"/>
      <c r="N177" s="2400"/>
      <c r="O177" s="2400"/>
      <c r="P177" s="2400"/>
      <c r="Q177" s="2400"/>
      <c r="R177" s="2400"/>
      <c r="S177" s="2400"/>
      <c r="T177" s="1861"/>
      <c r="U177" s="505"/>
      <c r="V177" s="504"/>
    </row>
    <row r="178" spans="1:23" s="429" customFormat="1" ht="24" customHeight="1">
      <c r="B178" s="1880"/>
      <c r="C178" s="2401" t="s">
        <v>1986</v>
      </c>
      <c r="D178" s="2401"/>
      <c r="E178" s="2401"/>
      <c r="F178" s="2401"/>
      <c r="G178" s="2401"/>
      <c r="H178" s="2401"/>
      <c r="I178" s="2401"/>
      <c r="J178" s="2401"/>
      <c r="K178" s="2401"/>
      <c r="L178" s="1881"/>
      <c r="M178" s="2401" t="s">
        <v>1984</v>
      </c>
      <c r="N178" s="2401"/>
      <c r="O178" s="2401"/>
      <c r="P178" s="2401"/>
      <c r="Q178" s="2401"/>
      <c r="R178" s="2401"/>
      <c r="S178" s="2401"/>
      <c r="T178" s="2401"/>
      <c r="U178" s="505"/>
    </row>
    <row r="179" spans="1:23" s="429" customFormat="1" ht="166.5" customHeight="1">
      <c r="B179" s="1882"/>
      <c r="C179" s="2396" t="s">
        <v>1987</v>
      </c>
      <c r="D179" s="2402"/>
      <c r="E179" s="2402"/>
      <c r="F179" s="2402"/>
      <c r="G179" s="2402"/>
      <c r="H179" s="2402"/>
      <c r="I179" s="2402"/>
      <c r="J179" s="2402"/>
      <c r="K179" s="2403"/>
      <c r="L179" s="507"/>
      <c r="M179" s="2396" t="s">
        <v>1985</v>
      </c>
      <c r="N179" s="2402"/>
      <c r="O179" s="2402"/>
      <c r="P179" s="2402"/>
      <c r="Q179" s="2402"/>
      <c r="R179" s="2402"/>
      <c r="S179" s="2402"/>
      <c r="T179" s="2403"/>
      <c r="U179" s="505"/>
      <c r="V179" s="490"/>
      <c r="W179" s="504"/>
    </row>
    <row r="180" spans="1:23" s="429" customFormat="1" ht="27" customHeight="1">
      <c r="B180" s="1883"/>
      <c r="C180" s="2327" t="s">
        <v>783</v>
      </c>
      <c r="D180" s="2327"/>
      <c r="E180" s="2327"/>
      <c r="F180" s="2327"/>
      <c r="G180" s="2327"/>
      <c r="H180" s="1884">
        <v>53</v>
      </c>
      <c r="I180" s="1869"/>
      <c r="J180" s="1869"/>
      <c r="K180" s="1869"/>
      <c r="L180" s="1885"/>
      <c r="M180" s="2327" t="s">
        <v>783</v>
      </c>
      <c r="N180" s="2327"/>
      <c r="O180" s="2327"/>
      <c r="P180" s="2327"/>
      <c r="Q180" s="2327"/>
      <c r="R180" s="1884">
        <v>73</v>
      </c>
      <c r="S180" s="1869"/>
      <c r="T180" s="1869"/>
      <c r="U180" s="505"/>
      <c r="V180" s="490"/>
      <c r="W180" s="504"/>
    </row>
    <row r="181" spans="1:23" s="429" customFormat="1" ht="3.75" customHeight="1">
      <c r="B181" s="509"/>
      <c r="C181" s="1886"/>
      <c r="D181" s="1886"/>
      <c r="E181" s="510"/>
      <c r="F181" s="510"/>
      <c r="G181" s="510"/>
      <c r="H181" s="510"/>
      <c r="I181" s="510"/>
      <c r="J181" s="510"/>
      <c r="K181" s="510"/>
      <c r="L181" s="510"/>
      <c r="M181" s="510"/>
      <c r="N181" s="510"/>
      <c r="O181" s="1860"/>
      <c r="P181" s="1860"/>
      <c r="Q181" s="510"/>
      <c r="R181" s="510"/>
      <c r="S181" s="510"/>
      <c r="T181" s="510"/>
      <c r="U181" s="505"/>
      <c r="V181" s="504"/>
    </row>
    <row r="182" spans="1:23" s="429" customFormat="1" ht="66" customHeight="1">
      <c r="B182" s="1879"/>
      <c r="C182" s="2450" t="s">
        <v>1910</v>
      </c>
      <c r="D182" s="2450"/>
      <c r="E182" s="2450"/>
      <c r="F182" s="2450"/>
      <c r="G182" s="2450"/>
      <c r="H182" s="2450"/>
      <c r="I182" s="2450"/>
      <c r="J182" s="2450"/>
      <c r="K182" s="2450"/>
      <c r="L182" s="2450"/>
      <c r="M182" s="2450"/>
      <c r="N182" s="2450"/>
      <c r="O182" s="2450"/>
      <c r="P182" s="2450"/>
      <c r="Q182" s="2450"/>
      <c r="R182" s="2450"/>
      <c r="S182" s="2450"/>
      <c r="T182" s="2450"/>
      <c r="U182" s="505"/>
    </row>
    <row r="183" spans="1:23" s="429" customFormat="1" ht="52.5" customHeight="1">
      <c r="B183" s="1880"/>
      <c r="C183" s="2328" t="s">
        <v>976</v>
      </c>
      <c r="D183" s="2328"/>
      <c r="E183" s="2328"/>
      <c r="F183" s="2328"/>
      <c r="G183" s="2328"/>
      <c r="H183" s="2328"/>
      <c r="I183" s="2328"/>
      <c r="J183" s="2328"/>
      <c r="K183" s="2328"/>
      <c r="L183" s="2328"/>
      <c r="M183" s="2328"/>
      <c r="N183" s="2328"/>
      <c r="O183" s="2328"/>
      <c r="P183" s="2328"/>
      <c r="Q183" s="2328"/>
      <c r="R183" s="2328"/>
      <c r="S183" s="2328"/>
      <c r="T183" s="2328"/>
      <c r="U183" s="1888"/>
    </row>
    <row r="184" spans="1:23" s="429" customFormat="1" ht="6.75" hidden="1" customHeight="1">
      <c r="B184" s="506"/>
      <c r="C184" s="504"/>
      <c r="D184" s="512"/>
      <c r="E184" s="513"/>
      <c r="F184" s="513"/>
      <c r="G184" s="513"/>
      <c r="H184" s="513"/>
      <c r="I184" s="513"/>
      <c r="J184" s="514"/>
      <c r="K184" s="513"/>
      <c r="L184" s="513"/>
      <c r="M184" s="513"/>
      <c r="N184" s="512"/>
      <c r="O184" s="513"/>
      <c r="P184" s="512"/>
      <c r="Q184" s="504"/>
      <c r="R184" s="513"/>
      <c r="S184" s="514"/>
      <c r="T184" s="514"/>
      <c r="U184" s="511"/>
    </row>
    <row r="185" spans="1:23" ht="6.75" customHeight="1">
      <c r="B185" s="515"/>
      <c r="C185" s="488"/>
      <c r="D185" s="516"/>
      <c r="E185" s="517"/>
      <c r="F185" s="517"/>
      <c r="G185" s="517"/>
      <c r="H185" s="517"/>
      <c r="I185" s="517"/>
      <c r="J185" s="518"/>
      <c r="K185" s="517"/>
      <c r="L185" s="517"/>
      <c r="M185" s="517"/>
      <c r="N185" s="516"/>
      <c r="O185" s="517"/>
      <c r="P185" s="516"/>
      <c r="Q185" s="488"/>
      <c r="R185" s="517"/>
      <c r="S185" s="518"/>
      <c r="T185" s="518"/>
      <c r="U185" s="519"/>
    </row>
    <row r="186" spans="1:23" ht="17.45" customHeight="1">
      <c r="B186" s="520" t="s">
        <v>871</v>
      </c>
      <c r="C186" s="521"/>
      <c r="D186" s="521"/>
      <c r="E186" s="521"/>
      <c r="F186" s="521"/>
      <c r="G186" s="521"/>
      <c r="H186" s="521"/>
      <c r="I186" s="521"/>
      <c r="J186" s="521"/>
      <c r="K186" s="521"/>
      <c r="L186" s="521"/>
      <c r="M186" s="521"/>
      <c r="N186" s="521"/>
      <c r="O186" s="479"/>
      <c r="P186" s="479"/>
      <c r="Q186" s="521"/>
      <c r="R186" s="521"/>
      <c r="S186" s="521"/>
      <c r="T186" s="521"/>
      <c r="U186" s="521"/>
      <c r="V186" s="441"/>
    </row>
    <row r="187" spans="1:23" ht="19.149999999999999" customHeight="1">
      <c r="B187" s="522"/>
      <c r="C187" s="522"/>
      <c r="D187" s="522"/>
      <c r="E187" s="522"/>
      <c r="F187" s="522"/>
      <c r="G187" s="522"/>
      <c r="H187" s="522"/>
      <c r="I187" s="499"/>
      <c r="J187" s="523"/>
      <c r="K187" s="499"/>
      <c r="L187" s="499"/>
      <c r="M187" s="499"/>
      <c r="N187" s="524"/>
      <c r="O187" s="499"/>
      <c r="P187" s="524"/>
      <c r="Q187" s="441"/>
      <c r="R187" s="499"/>
      <c r="S187" s="523"/>
      <c r="T187" s="523"/>
      <c r="U187" s="499"/>
    </row>
    <row r="188" spans="1:23" ht="24.75" customHeight="1">
      <c r="B188" s="2269" t="s">
        <v>1073</v>
      </c>
      <c r="C188" s="2269"/>
      <c r="D188" s="2269"/>
      <c r="E188" s="2269"/>
      <c r="F188" s="2269"/>
      <c r="G188" s="2269"/>
      <c r="H188" s="2269"/>
      <c r="I188" s="2269"/>
      <c r="J188" s="2269"/>
      <c r="K188" s="2269"/>
      <c r="L188" s="2269"/>
      <c r="M188" s="2269"/>
      <c r="N188" s="2269"/>
      <c r="O188" s="2269"/>
      <c r="P188" s="2269"/>
      <c r="Q188" s="2269"/>
      <c r="R188" s="2269"/>
      <c r="S188" s="2269"/>
      <c r="T188" s="2269"/>
      <c r="U188" s="2269"/>
      <c r="V188" s="441"/>
    </row>
    <row r="189" spans="1:23" ht="6.6" customHeight="1">
      <c r="B189" s="520"/>
      <c r="C189" s="521"/>
      <c r="D189" s="521"/>
      <c r="E189" s="521"/>
      <c r="F189" s="521"/>
      <c r="G189" s="521"/>
      <c r="H189" s="521"/>
      <c r="I189" s="521"/>
      <c r="J189" s="521"/>
      <c r="K189" s="521"/>
      <c r="L189" s="521"/>
      <c r="M189" s="521"/>
      <c r="N189" s="521"/>
      <c r="O189" s="479"/>
      <c r="P189" s="479"/>
      <c r="Q189" s="521"/>
      <c r="R189" s="521"/>
      <c r="S189" s="521"/>
      <c r="T189" s="521"/>
      <c r="U189" s="521"/>
      <c r="V189" s="441"/>
    </row>
    <row r="190" spans="1:23" ht="17.45" customHeight="1">
      <c r="B190" s="912"/>
      <c r="C190" s="913"/>
      <c r="D190" s="913"/>
      <c r="E190" s="913"/>
      <c r="F190" s="913"/>
      <c r="G190" s="913"/>
      <c r="H190" s="913"/>
      <c r="I190" s="913"/>
      <c r="J190" s="913"/>
      <c r="K190" s="913"/>
      <c r="L190" s="913"/>
      <c r="M190" s="913"/>
      <c r="N190" s="913"/>
      <c r="O190" s="914"/>
      <c r="P190" s="914"/>
      <c r="Q190" s="913"/>
      <c r="R190" s="913"/>
      <c r="S190" s="913"/>
      <c r="T190" s="913"/>
      <c r="U190" s="915"/>
      <c r="V190" s="441"/>
    </row>
    <row r="191" spans="1:23" ht="3.75" customHeight="1">
      <c r="B191" s="916"/>
      <c r="C191" s="513"/>
      <c r="D191" s="513"/>
      <c r="E191" s="513"/>
      <c r="F191" s="513"/>
      <c r="G191" s="513"/>
      <c r="H191" s="513"/>
      <c r="I191" s="513"/>
      <c r="J191" s="513"/>
      <c r="K191" s="513"/>
      <c r="L191" s="513"/>
      <c r="M191" s="513"/>
      <c r="N191" s="513"/>
      <c r="O191" s="479"/>
      <c r="P191" s="479"/>
      <c r="Q191" s="513"/>
      <c r="R191" s="513"/>
      <c r="S191" s="513"/>
      <c r="T191" s="513"/>
      <c r="U191" s="511"/>
      <c r="V191" s="441"/>
    </row>
    <row r="192" spans="1:23" ht="17.45" customHeight="1">
      <c r="B192" s="916"/>
      <c r="C192" s="2332" t="s">
        <v>1075</v>
      </c>
      <c r="D192" s="2332"/>
      <c r="E192" s="2332"/>
      <c r="F192" s="2332"/>
      <c r="G192" s="2332"/>
      <c r="H192" s="2332"/>
      <c r="I192" s="2332"/>
      <c r="J192" s="2332"/>
      <c r="K192" s="2332"/>
      <c r="L192" s="2332"/>
      <c r="M192" s="2332"/>
      <c r="N192" s="2332"/>
      <c r="O192" s="2332"/>
      <c r="P192" s="2332"/>
      <c r="Q192" s="2332"/>
      <c r="R192" s="2332"/>
      <c r="S192" s="2332"/>
      <c r="T192" s="2332"/>
      <c r="U192" s="511"/>
      <c r="V192" s="441"/>
    </row>
    <row r="193" spans="1:22" ht="17.45" customHeight="1">
      <c r="B193" s="916"/>
      <c r="C193" s="2332"/>
      <c r="D193" s="2332"/>
      <c r="E193" s="2332"/>
      <c r="F193" s="2332"/>
      <c r="G193" s="2332"/>
      <c r="H193" s="2332"/>
      <c r="I193" s="2332"/>
      <c r="J193" s="2332"/>
      <c r="K193" s="2332"/>
      <c r="L193" s="2332"/>
      <c r="M193" s="2332"/>
      <c r="N193" s="2332"/>
      <c r="O193" s="2332"/>
      <c r="P193" s="2332"/>
      <c r="Q193" s="2332"/>
      <c r="R193" s="2332"/>
      <c r="S193" s="2332"/>
      <c r="T193" s="2332"/>
      <c r="U193" s="511"/>
      <c r="V193" s="441"/>
    </row>
    <row r="194" spans="1:22" ht="42.75" customHeight="1">
      <c r="B194" s="916"/>
      <c r="C194" s="2332"/>
      <c r="D194" s="2332"/>
      <c r="E194" s="2332"/>
      <c r="F194" s="2332"/>
      <c r="G194" s="2332"/>
      <c r="H194" s="2332"/>
      <c r="I194" s="2332"/>
      <c r="J194" s="2332"/>
      <c r="K194" s="2332"/>
      <c r="L194" s="2332"/>
      <c r="M194" s="2332"/>
      <c r="N194" s="2332"/>
      <c r="O194" s="2332"/>
      <c r="P194" s="2332"/>
      <c r="Q194" s="2332"/>
      <c r="R194" s="2332"/>
      <c r="S194" s="2332"/>
      <c r="T194" s="2332"/>
      <c r="U194" s="511"/>
      <c r="V194" s="441"/>
    </row>
    <row r="195" spans="1:22" ht="23.25" customHeight="1">
      <c r="B195" s="916"/>
      <c r="C195" s="2332" t="s">
        <v>1074</v>
      </c>
      <c r="D195" s="2332"/>
      <c r="E195" s="2332"/>
      <c r="F195" s="2332"/>
      <c r="G195" s="2332"/>
      <c r="H195" s="2332"/>
      <c r="I195" s="2332"/>
      <c r="J195" s="2332"/>
      <c r="K195" s="2332"/>
      <c r="L195" s="2332"/>
      <c r="M195" s="2332"/>
      <c r="N195" s="2332"/>
      <c r="O195" s="2332"/>
      <c r="P195" s="2332"/>
      <c r="Q195" s="2332"/>
      <c r="R195" s="2332"/>
      <c r="S195" s="2332"/>
      <c r="T195" s="2332"/>
      <c r="U195" s="511"/>
      <c r="V195" s="441"/>
    </row>
    <row r="196" spans="1:22" ht="17.45" customHeight="1">
      <c r="B196" s="917"/>
      <c r="C196" s="918"/>
      <c r="D196" s="918"/>
      <c r="E196" s="918"/>
      <c r="F196" s="918"/>
      <c r="G196" s="918"/>
      <c r="H196" s="918"/>
      <c r="I196" s="918"/>
      <c r="J196" s="918"/>
      <c r="K196" s="918"/>
      <c r="L196" s="918"/>
      <c r="M196" s="918"/>
      <c r="N196" s="918"/>
      <c r="O196" s="919"/>
      <c r="P196" s="919"/>
      <c r="Q196" s="918"/>
      <c r="R196" s="918"/>
      <c r="S196" s="918"/>
      <c r="T196" s="918"/>
      <c r="U196" s="920"/>
      <c r="V196" s="441"/>
    </row>
    <row r="197" spans="1:22" ht="17.45" customHeight="1">
      <c r="B197" s="1977"/>
      <c r="C197" s="513"/>
      <c r="D197" s="513"/>
      <c r="E197" s="513"/>
      <c r="F197" s="513"/>
      <c r="G197" s="513"/>
      <c r="H197" s="513"/>
      <c r="I197" s="513"/>
      <c r="J197" s="513"/>
      <c r="K197" s="513"/>
      <c r="L197" s="513"/>
      <c r="M197" s="513"/>
      <c r="N197" s="513"/>
      <c r="O197" s="479"/>
      <c r="P197" s="479"/>
      <c r="Q197" s="513"/>
      <c r="R197" s="513"/>
      <c r="S197" s="513"/>
      <c r="T197" s="513"/>
      <c r="U197" s="513"/>
      <c r="V197" s="441"/>
    </row>
    <row r="198" spans="1:22" ht="24.75" customHeight="1">
      <c r="B198" s="2269" t="s">
        <v>1950</v>
      </c>
      <c r="C198" s="2269"/>
      <c r="D198" s="2269"/>
      <c r="E198" s="2269"/>
      <c r="F198" s="2269"/>
      <c r="G198" s="2269"/>
      <c r="H198" s="2269"/>
      <c r="I198" s="2269"/>
      <c r="J198" s="2269"/>
      <c r="K198" s="2269"/>
      <c r="L198" s="2269"/>
      <c r="M198" s="2269"/>
      <c r="N198" s="2269"/>
      <c r="O198" s="2269"/>
      <c r="P198" s="2269"/>
      <c r="Q198" s="2269"/>
      <c r="R198" s="2269"/>
      <c r="S198" s="2269"/>
      <c r="T198" s="2269"/>
      <c r="U198" s="2269"/>
      <c r="V198" s="441"/>
    </row>
    <row r="199" spans="1:22" ht="5.25" customHeight="1">
      <c r="B199" s="1850"/>
      <c r="C199" s="1850"/>
      <c r="D199" s="1850"/>
      <c r="E199" s="1850"/>
      <c r="F199" s="1850"/>
      <c r="G199" s="1850"/>
      <c r="H199" s="1850"/>
      <c r="I199" s="1850"/>
      <c r="J199" s="1850"/>
      <c r="K199" s="1850"/>
      <c r="L199" s="1850"/>
      <c r="M199" s="1850"/>
      <c r="N199" s="1850"/>
      <c r="O199" s="1850"/>
      <c r="P199" s="1850"/>
      <c r="Q199" s="1850"/>
      <c r="R199" s="1850"/>
      <c r="S199" s="1850"/>
      <c r="T199" s="1850"/>
      <c r="U199" s="1850"/>
      <c r="V199" s="441"/>
    </row>
    <row r="200" spans="1:22" ht="17.45" customHeight="1">
      <c r="B200" s="912"/>
      <c r="C200" s="913"/>
      <c r="D200" s="913"/>
      <c r="E200" s="913"/>
      <c r="F200" s="913"/>
      <c r="G200" s="913"/>
      <c r="H200" s="913"/>
      <c r="I200" s="913"/>
      <c r="J200" s="913"/>
      <c r="K200" s="913"/>
      <c r="L200" s="913"/>
      <c r="M200" s="913"/>
      <c r="N200" s="913"/>
      <c r="O200" s="914"/>
      <c r="P200" s="914"/>
      <c r="Q200" s="913"/>
      <c r="R200" s="913"/>
      <c r="S200" s="913"/>
      <c r="T200" s="913"/>
      <c r="U200" s="915"/>
      <c r="V200" s="441"/>
    </row>
    <row r="201" spans="1:22" ht="17.45" customHeight="1">
      <c r="B201" s="916"/>
      <c r="C201" s="2346" t="s">
        <v>1951</v>
      </c>
      <c r="D201" s="2346"/>
      <c r="E201" s="2346"/>
      <c r="F201" s="2346"/>
      <c r="G201" s="2346"/>
      <c r="H201" s="2346"/>
      <c r="I201" s="2346"/>
      <c r="J201" s="2346"/>
      <c r="K201" s="2346"/>
      <c r="L201" s="2346"/>
      <c r="M201" s="2346"/>
      <c r="N201" s="2346"/>
      <c r="O201" s="2346"/>
      <c r="P201" s="2346"/>
      <c r="Q201" s="2346"/>
      <c r="R201" s="2346"/>
      <c r="S201" s="2346"/>
      <c r="T201" s="2346"/>
      <c r="U201" s="511"/>
      <c r="V201" s="441"/>
    </row>
    <row r="202" spans="1:22" ht="17.45" customHeight="1">
      <c r="B202" s="916"/>
      <c r="C202" s="2346"/>
      <c r="D202" s="2346"/>
      <c r="E202" s="2346"/>
      <c r="F202" s="2346"/>
      <c r="G202" s="2346"/>
      <c r="H202" s="2346"/>
      <c r="I202" s="2346"/>
      <c r="J202" s="2346"/>
      <c r="K202" s="2346"/>
      <c r="L202" s="2346"/>
      <c r="M202" s="2346"/>
      <c r="N202" s="2346"/>
      <c r="O202" s="2346"/>
      <c r="P202" s="2346"/>
      <c r="Q202" s="2346"/>
      <c r="R202" s="2346"/>
      <c r="S202" s="2346"/>
      <c r="T202" s="2346"/>
      <c r="U202" s="511"/>
      <c r="V202" s="441"/>
    </row>
    <row r="203" spans="1:22" ht="17.45" customHeight="1">
      <c r="B203" s="916"/>
      <c r="C203" s="2346"/>
      <c r="D203" s="2346"/>
      <c r="E203" s="2346"/>
      <c r="F203" s="2346"/>
      <c r="G203" s="2346"/>
      <c r="H203" s="2346"/>
      <c r="I203" s="2346"/>
      <c r="J203" s="2346"/>
      <c r="K203" s="2346"/>
      <c r="L203" s="2346"/>
      <c r="M203" s="2346"/>
      <c r="N203" s="2346"/>
      <c r="O203" s="2346"/>
      <c r="P203" s="2346"/>
      <c r="Q203" s="2346"/>
      <c r="R203" s="2346"/>
      <c r="S203" s="2346"/>
      <c r="T203" s="2346"/>
      <c r="U203" s="511"/>
      <c r="V203" s="441"/>
    </row>
    <row r="204" spans="1:22" ht="6.75" customHeight="1">
      <c r="A204" s="420"/>
      <c r="B204" s="2333"/>
      <c r="C204" s="2334"/>
      <c r="D204" s="2334"/>
      <c r="E204" s="2334"/>
      <c r="F204" s="2334"/>
      <c r="G204" s="2334"/>
      <c r="H204" s="2334"/>
      <c r="I204" s="2334"/>
      <c r="J204" s="2334"/>
      <c r="K204" s="2334"/>
      <c r="L204" s="1978"/>
      <c r="M204" s="1978"/>
      <c r="N204" s="1978"/>
      <c r="O204" s="1978"/>
      <c r="P204" s="1978"/>
      <c r="Q204" s="1978"/>
      <c r="R204" s="1978"/>
      <c r="S204" s="1978"/>
      <c r="T204" s="1978"/>
      <c r="U204" s="1979"/>
      <c r="V204" s="420"/>
    </row>
    <row r="205" spans="1:22" ht="23.25">
      <c r="A205" s="420"/>
      <c r="B205" s="525" t="s">
        <v>699</v>
      </c>
      <c r="C205" s="1854"/>
      <c r="D205" s="1854"/>
      <c r="E205" s="1854"/>
      <c r="F205" s="1854"/>
      <c r="G205" s="1854"/>
      <c r="H205" s="1854"/>
      <c r="I205" s="1854"/>
      <c r="J205" s="1854"/>
      <c r="K205" s="1854"/>
      <c r="L205" s="1854"/>
      <c r="M205" s="1854"/>
      <c r="N205" s="1854"/>
      <c r="O205" s="1854"/>
      <c r="P205" s="1854"/>
      <c r="Q205" s="1854"/>
      <c r="R205" s="1854"/>
      <c r="S205" s="1854"/>
      <c r="T205" s="1854"/>
      <c r="U205" s="1854"/>
      <c r="V205" s="420"/>
    </row>
    <row r="206" spans="1:22" ht="19.149999999999999" customHeight="1">
      <c r="I206" s="522"/>
      <c r="J206" s="522"/>
      <c r="K206" s="522"/>
      <c r="L206" s="522"/>
      <c r="M206" s="522"/>
      <c r="N206" s="526"/>
      <c r="O206" s="527"/>
      <c r="P206" s="528"/>
      <c r="Q206" s="529"/>
      <c r="R206" s="522"/>
      <c r="S206" s="522"/>
      <c r="T206" s="522"/>
      <c r="U206" s="522"/>
    </row>
    <row r="207" spans="1:22" ht="15.75">
      <c r="A207" s="420"/>
      <c r="B207" s="420"/>
      <c r="C207" s="420"/>
      <c r="D207" s="420"/>
      <c r="E207" s="420"/>
      <c r="F207" s="420"/>
      <c r="G207" s="420"/>
      <c r="H207" s="420"/>
      <c r="I207" s="420"/>
      <c r="J207" s="420"/>
      <c r="K207" s="420"/>
      <c r="L207" s="420"/>
      <c r="M207" s="476" t="s">
        <v>1800</v>
      </c>
      <c r="N207" s="420"/>
      <c r="O207" s="420"/>
      <c r="P207" s="420"/>
      <c r="Q207" s="420"/>
      <c r="R207" s="477" t="s">
        <v>692</v>
      </c>
      <c r="S207" s="478" t="str">
        <f>$E$39</f>
        <v>ILF5_90FCORCP_B114CAGR43006</v>
      </c>
      <c r="T207" s="420"/>
      <c r="U207" s="420"/>
      <c r="V207" s="420"/>
    </row>
    <row r="208" spans="1:22">
      <c r="A208" s="420"/>
      <c r="B208" s="420"/>
      <c r="C208" s="420"/>
      <c r="D208" s="420"/>
      <c r="E208" s="420"/>
      <c r="F208" s="420"/>
      <c r="G208" s="420"/>
      <c r="H208" s="420"/>
      <c r="I208" s="420"/>
      <c r="J208" s="420"/>
      <c r="K208" s="420"/>
      <c r="L208" s="420"/>
      <c r="M208" s="420"/>
      <c r="N208" s="420"/>
      <c r="O208" s="420"/>
      <c r="P208" s="420"/>
      <c r="Q208" s="420"/>
      <c r="R208" s="420"/>
      <c r="S208" s="420"/>
      <c r="T208" s="420"/>
      <c r="U208" s="420"/>
      <c r="V208" s="420"/>
    </row>
    <row r="210" spans="1:22">
      <c r="A210" s="420"/>
      <c r="B210" s="420"/>
      <c r="C210" s="420"/>
      <c r="D210" s="420"/>
      <c r="E210" s="420"/>
      <c r="F210" s="420"/>
      <c r="G210" s="420"/>
      <c r="H210" s="436" t="s">
        <v>690</v>
      </c>
      <c r="I210" s="420"/>
      <c r="K210" s="420"/>
      <c r="L210" s="437" t="str">
        <f>$B$11</f>
        <v>INMOBILIARIA SERVIGESTION</v>
      </c>
      <c r="M210" s="420"/>
      <c r="N210" s="420"/>
      <c r="O210" s="420"/>
      <c r="P210" s="420"/>
      <c r="Q210" s="420"/>
      <c r="R210" s="420"/>
      <c r="S210" s="420"/>
      <c r="T210" s="420"/>
      <c r="U210" s="420"/>
      <c r="V210" s="420"/>
    </row>
    <row r="211" spans="1:22">
      <c r="A211" s="420"/>
      <c r="B211" s="420"/>
      <c r="C211" s="420"/>
      <c r="D211" s="420"/>
      <c r="E211" s="420"/>
      <c r="F211" s="420"/>
      <c r="G211" s="420"/>
      <c r="H211" s="420"/>
      <c r="I211" s="420"/>
      <c r="J211" s="420"/>
      <c r="K211" s="420"/>
      <c r="L211" s="420"/>
      <c r="M211" s="420"/>
      <c r="N211" s="420"/>
      <c r="O211" s="420"/>
      <c r="P211" s="420"/>
      <c r="Q211" s="420"/>
      <c r="R211" s="420"/>
      <c r="S211" s="420"/>
      <c r="T211" s="420"/>
      <c r="U211" s="420"/>
      <c r="V211" s="420"/>
    </row>
    <row r="212" spans="1:22" ht="34.5">
      <c r="A212" s="420"/>
      <c r="B212" s="2268" t="s">
        <v>461</v>
      </c>
      <c r="C212" s="2268"/>
      <c r="D212" s="2268"/>
      <c r="E212" s="2268"/>
      <c r="F212" s="2268"/>
      <c r="G212" s="2268"/>
      <c r="H212" s="2268"/>
      <c r="I212" s="2268"/>
      <c r="J212" s="2268"/>
      <c r="K212" s="2268"/>
      <c r="L212" s="2268"/>
      <c r="M212" s="2268"/>
      <c r="N212" s="2268"/>
      <c r="O212" s="2268"/>
      <c r="P212" s="2268"/>
      <c r="Q212" s="2268"/>
      <c r="R212" s="2268"/>
      <c r="S212" s="2268"/>
      <c r="T212" s="2268"/>
      <c r="U212" s="2268"/>
      <c r="V212" s="420"/>
    </row>
    <row r="213" spans="1:22" ht="25.5" customHeight="1">
      <c r="A213" s="420"/>
      <c r="B213" s="2269" t="s">
        <v>788</v>
      </c>
      <c r="C213" s="2269"/>
      <c r="D213" s="2269"/>
      <c r="E213" s="2269"/>
      <c r="F213" s="2269"/>
      <c r="G213" s="2269"/>
      <c r="H213" s="2269"/>
      <c r="I213" s="2269"/>
      <c r="J213" s="2269"/>
      <c r="K213" s="2269"/>
      <c r="L213" s="2269"/>
      <c r="M213" s="2269"/>
      <c r="N213" s="2269"/>
      <c r="O213" s="2269"/>
      <c r="P213" s="2269"/>
      <c r="Q213" s="2269"/>
      <c r="R213" s="2269"/>
      <c r="S213" s="2269"/>
      <c r="T213" s="2269"/>
      <c r="U213" s="2269"/>
      <c r="V213" s="420"/>
    </row>
    <row r="214" spans="1:22" ht="16.149999999999999" customHeight="1">
      <c r="A214" s="420"/>
      <c r="B214" s="1849"/>
      <c r="C214" s="1849"/>
      <c r="D214" s="1849"/>
      <c r="E214" s="1849"/>
      <c r="F214" s="1849"/>
      <c r="G214" s="1849"/>
      <c r="H214" s="1849"/>
      <c r="I214" s="1849"/>
      <c r="J214" s="1849"/>
      <c r="K214" s="1849"/>
      <c r="L214" s="1849"/>
      <c r="M214" s="1849"/>
      <c r="N214" s="1849"/>
      <c r="O214" s="1849"/>
      <c r="P214" s="1849"/>
      <c r="Q214" s="1849"/>
      <c r="R214" s="1849"/>
      <c r="S214" s="1849"/>
      <c r="T214" s="1849"/>
      <c r="U214" s="1849"/>
      <c r="V214" s="420"/>
    </row>
    <row r="215" spans="1:22" ht="39.75" customHeight="1">
      <c r="A215" s="420"/>
      <c r="B215" s="2251" t="s">
        <v>789</v>
      </c>
      <c r="C215" s="2251"/>
      <c r="D215" s="2251"/>
      <c r="E215" s="2251"/>
      <c r="F215" s="2251"/>
      <c r="G215" s="2251"/>
      <c r="H215" s="2251"/>
      <c r="I215" s="2251"/>
      <c r="J215" s="2251"/>
      <c r="K215" s="2251"/>
      <c r="L215" s="2251"/>
      <c r="M215" s="2251"/>
      <c r="N215" s="2251"/>
      <c r="O215" s="2251"/>
      <c r="P215" s="2251"/>
      <c r="Q215" s="2251"/>
      <c r="R215" s="2251"/>
      <c r="S215" s="2251"/>
      <c r="T215" s="2251"/>
      <c r="U215" s="2251"/>
      <c r="V215" s="420"/>
    </row>
    <row r="216" spans="1:22" ht="22.15" customHeight="1">
      <c r="A216" s="441"/>
      <c r="B216" s="2348" t="s">
        <v>791</v>
      </c>
      <c r="C216" s="2349"/>
      <c r="D216" s="2349"/>
      <c r="E216" s="2349"/>
      <c r="F216" s="2349"/>
      <c r="G216" s="2349"/>
      <c r="H216" s="2349"/>
      <c r="I216" s="2349"/>
      <c r="J216" s="2349"/>
      <c r="K216" s="2349"/>
      <c r="L216" s="2349"/>
      <c r="M216" s="2349"/>
      <c r="N216" s="2349"/>
      <c r="O216" s="2349"/>
      <c r="P216" s="2349"/>
      <c r="Q216" s="2349"/>
      <c r="R216" s="2349"/>
      <c r="S216" s="2349"/>
      <c r="T216" s="2349"/>
      <c r="U216" s="2350"/>
    </row>
    <row r="217" spans="1:22" ht="48" customHeight="1">
      <c r="B217" s="2329" t="s">
        <v>1911</v>
      </c>
      <c r="C217" s="2330"/>
      <c r="D217" s="2330"/>
      <c r="E217" s="2330"/>
      <c r="F217" s="2330"/>
      <c r="G217" s="2330"/>
      <c r="H217" s="2330"/>
      <c r="I217" s="2330"/>
      <c r="J217" s="2330"/>
      <c r="K217" s="2330"/>
      <c r="L217" s="2330"/>
      <c r="M217" s="2330"/>
      <c r="N217" s="2330"/>
      <c r="O217" s="2330"/>
      <c r="P217" s="2330"/>
      <c r="Q217" s="2330"/>
      <c r="R217" s="2330"/>
      <c r="S217" s="2330"/>
      <c r="T217" s="2330"/>
      <c r="U217" s="2331"/>
      <c r="V217" s="441"/>
    </row>
    <row r="218" spans="1:22">
      <c r="B218" s="1889"/>
      <c r="C218" s="1890"/>
      <c r="D218" s="1890"/>
      <c r="E218" s="1890"/>
      <c r="F218" s="1890"/>
      <c r="G218" s="1890"/>
      <c r="H218" s="1890"/>
      <c r="I218" s="1890"/>
      <c r="J218" s="1890"/>
      <c r="K218" s="1890"/>
      <c r="L218" s="1890"/>
      <c r="M218" s="1890"/>
      <c r="N218" s="1890"/>
      <c r="O218" s="1890"/>
      <c r="P218" s="1890"/>
      <c r="Q218" s="1890"/>
      <c r="R218" s="1890"/>
      <c r="S218" s="1890"/>
      <c r="T218" s="1890"/>
      <c r="U218" s="1891"/>
      <c r="V218" s="441"/>
    </row>
    <row r="219" spans="1:22" ht="23.25">
      <c r="A219" s="441"/>
      <c r="B219" s="1892"/>
      <c r="C219" s="1893"/>
      <c r="D219" s="1894"/>
      <c r="E219" s="1895" t="s">
        <v>469</v>
      </c>
      <c r="F219" s="1896" t="s">
        <v>470</v>
      </c>
      <c r="G219" s="1897"/>
      <c r="H219" s="1897"/>
      <c r="I219" s="1897"/>
      <c r="J219" s="1898"/>
      <c r="K219" s="1894"/>
      <c r="L219" s="1894"/>
      <c r="M219" s="1895" t="s">
        <v>471</v>
      </c>
      <c r="N219" s="1899">
        <v>0</v>
      </c>
      <c r="O219" s="1898"/>
      <c r="P219" s="1865"/>
      <c r="Q219" s="1900" t="s">
        <v>472</v>
      </c>
      <c r="R219" s="1901" t="s">
        <v>790</v>
      </c>
      <c r="S219" s="1898"/>
      <c r="T219" s="1898"/>
      <c r="U219" s="1902"/>
    </row>
    <row r="220" spans="1:22" ht="23.25">
      <c r="A220" s="441"/>
      <c r="B220" s="1892"/>
      <c r="C220" s="1893"/>
      <c r="D220" s="1894"/>
      <c r="E220" s="1895"/>
      <c r="F220" s="1896"/>
      <c r="G220" s="1897"/>
      <c r="H220" s="1897"/>
      <c r="I220" s="1897"/>
      <c r="J220" s="1898"/>
      <c r="K220" s="1894"/>
      <c r="L220" s="1894"/>
      <c r="M220" s="1895"/>
      <c r="N220" s="1899"/>
      <c r="O220" s="1898"/>
      <c r="P220" s="1865"/>
      <c r="Q220" s="1900"/>
      <c r="R220" s="1901" t="s">
        <v>1912</v>
      </c>
      <c r="S220" s="1898"/>
      <c r="T220" s="1898"/>
      <c r="U220" s="1902"/>
    </row>
    <row r="221" spans="1:22" ht="20.25">
      <c r="A221" s="441"/>
      <c r="B221" s="1903"/>
      <c r="C221" s="1904"/>
      <c r="D221" s="1905"/>
      <c r="E221" s="1906"/>
      <c r="F221" s="1906"/>
      <c r="G221" s="1906"/>
      <c r="H221" s="1906"/>
      <c r="I221" s="1906"/>
      <c r="J221" s="1907"/>
      <c r="K221" s="1908"/>
      <c r="L221" s="1909"/>
      <c r="M221" s="1909"/>
      <c r="N221" s="1910"/>
      <c r="O221" s="1907"/>
      <c r="P221" s="1911"/>
      <c r="Q221" s="1912"/>
      <c r="R221" s="1913"/>
      <c r="S221" s="1907"/>
      <c r="T221" s="1907"/>
      <c r="U221" s="1914"/>
    </row>
    <row r="222" spans="1:22">
      <c r="B222" s="1865"/>
      <c r="C222" s="1865"/>
      <c r="D222" s="1865"/>
      <c r="E222" s="1865"/>
      <c r="F222" s="1865"/>
      <c r="G222" s="1865"/>
      <c r="H222" s="1865"/>
      <c r="I222" s="1865"/>
      <c r="J222" s="1865"/>
      <c r="K222" s="1865"/>
      <c r="L222" s="1865"/>
      <c r="M222" s="1865"/>
      <c r="N222" s="1865"/>
      <c r="O222" s="1865"/>
      <c r="P222" s="1865"/>
      <c r="Q222" s="1865"/>
      <c r="R222" s="1865"/>
      <c r="S222" s="1865"/>
      <c r="T222" s="1865"/>
      <c r="U222" s="1865"/>
    </row>
    <row r="223" spans="1:22">
      <c r="B223" s="1865"/>
      <c r="C223" s="1865"/>
      <c r="D223" s="1865"/>
      <c r="E223" s="1865"/>
      <c r="F223" s="1865"/>
      <c r="G223" s="1865"/>
      <c r="H223" s="1865"/>
      <c r="I223" s="1865"/>
      <c r="J223" s="1865"/>
      <c r="K223" s="1865"/>
      <c r="L223" s="1865"/>
      <c r="M223" s="1865"/>
      <c r="N223" s="1865"/>
      <c r="O223" s="1865"/>
      <c r="P223" s="1865"/>
      <c r="Q223" s="1865"/>
      <c r="R223" s="1865"/>
      <c r="S223" s="1865"/>
      <c r="T223" s="1865"/>
      <c r="U223" s="1865"/>
    </row>
    <row r="224" spans="1:22" s="521" customFormat="1" ht="28.5" customHeight="1">
      <c r="B224" s="2328" t="s">
        <v>977</v>
      </c>
      <c r="C224" s="2328"/>
      <c r="D224" s="2328"/>
      <c r="E224" s="2328"/>
      <c r="F224" s="2328"/>
      <c r="G224" s="2328"/>
      <c r="H224" s="2328"/>
      <c r="I224" s="2328"/>
      <c r="J224" s="2328"/>
      <c r="K224" s="2328"/>
      <c r="L224" s="2328"/>
      <c r="M224" s="2328"/>
      <c r="N224" s="2328"/>
      <c r="O224" s="2328"/>
      <c r="P224" s="2328"/>
      <c r="Q224" s="2328"/>
      <c r="R224" s="2328"/>
      <c r="S224" s="2328"/>
      <c r="T224" s="2328"/>
      <c r="U224" s="2328"/>
    </row>
    <row r="225" spans="1:22" s="521" customFormat="1" ht="8.4499999999999993" customHeight="1">
      <c r="B225" s="1860"/>
      <c r="C225" s="1860"/>
      <c r="D225" s="1860"/>
      <c r="E225" s="1860"/>
      <c r="F225" s="1860"/>
      <c r="G225" s="1860"/>
      <c r="H225" s="1860"/>
      <c r="I225" s="1860"/>
      <c r="J225" s="1860"/>
      <c r="K225" s="1860"/>
      <c r="L225" s="1860"/>
      <c r="M225" s="1860"/>
      <c r="N225" s="1860"/>
      <c r="O225" s="1860"/>
      <c r="P225" s="1860"/>
      <c r="Q225" s="1860"/>
      <c r="R225" s="1860"/>
      <c r="S225" s="1860"/>
      <c r="T225" s="1860"/>
      <c r="U225" s="1860"/>
    </row>
    <row r="226" spans="1:22" ht="22.15" customHeight="1">
      <c r="A226" s="441"/>
      <c r="B226" s="2342" t="s">
        <v>1913</v>
      </c>
      <c r="C226" s="2343"/>
      <c r="D226" s="2343"/>
      <c r="E226" s="2343"/>
      <c r="F226" s="2343"/>
      <c r="G226" s="2343"/>
      <c r="H226" s="2343"/>
      <c r="I226" s="2343"/>
      <c r="J226" s="2343"/>
      <c r="K226" s="2343"/>
      <c r="L226" s="2343"/>
      <c r="M226" s="2343"/>
      <c r="N226" s="2343"/>
      <c r="O226" s="2343"/>
      <c r="P226" s="2343"/>
      <c r="Q226" s="2343"/>
      <c r="R226" s="2343"/>
      <c r="S226" s="2343"/>
      <c r="T226" s="2343"/>
      <c r="U226" s="2344"/>
    </row>
    <row r="227" spans="1:22" ht="54.6" customHeight="1">
      <c r="B227" s="2336" t="s">
        <v>1914</v>
      </c>
      <c r="C227" s="2337"/>
      <c r="D227" s="2337"/>
      <c r="E227" s="2337"/>
      <c r="F227" s="2337"/>
      <c r="G227" s="2337"/>
      <c r="H227" s="2337"/>
      <c r="I227" s="2337"/>
      <c r="J227" s="2337"/>
      <c r="K227" s="2337"/>
      <c r="L227" s="2337"/>
      <c r="M227" s="2337"/>
      <c r="N227" s="2337"/>
      <c r="O227" s="2337"/>
      <c r="P227" s="2337"/>
      <c r="Q227" s="2337"/>
      <c r="R227" s="2337"/>
      <c r="S227" s="2337"/>
      <c r="T227" s="2337"/>
      <c r="U227" s="2338"/>
      <c r="V227" s="441"/>
    </row>
    <row r="228" spans="1:22">
      <c r="B228" s="1864"/>
      <c r="C228" s="1865"/>
      <c r="D228" s="1865"/>
      <c r="E228" s="1865"/>
      <c r="F228" s="1865"/>
      <c r="G228" s="1865"/>
      <c r="H228" s="1865"/>
      <c r="I228" s="1865"/>
      <c r="J228" s="1865"/>
      <c r="K228" s="1865"/>
      <c r="L228" s="1865"/>
      <c r="M228" s="1865"/>
      <c r="N228" s="1865"/>
      <c r="O228" s="1865"/>
      <c r="P228" s="1865"/>
      <c r="Q228" s="1865"/>
      <c r="R228" s="1865"/>
      <c r="S228" s="1865"/>
      <c r="T228" s="1865"/>
      <c r="U228" s="1915"/>
      <c r="V228" s="441"/>
    </row>
    <row r="229" spans="1:22" ht="23.25">
      <c r="A229" s="441"/>
      <c r="B229" s="1864"/>
      <c r="C229" s="1865"/>
      <c r="D229" s="1865"/>
      <c r="E229" s="1895" t="s">
        <v>474</v>
      </c>
      <c r="F229" s="1916" t="s">
        <v>475</v>
      </c>
      <c r="G229" s="1917"/>
      <c r="H229" s="1865"/>
      <c r="I229" s="1916"/>
      <c r="J229" s="1916"/>
      <c r="K229" s="1918"/>
      <c r="L229" s="1894"/>
      <c r="M229" s="1895" t="s">
        <v>476</v>
      </c>
      <c r="N229" s="1919">
        <v>7.0000000000000007E-2</v>
      </c>
      <c r="O229" s="1865"/>
      <c r="P229" s="1865"/>
      <c r="Q229" s="1920" t="s">
        <v>472</v>
      </c>
      <c r="R229" s="1921" t="s">
        <v>473</v>
      </c>
      <c r="S229" s="1865"/>
      <c r="T229" s="1865"/>
      <c r="U229" s="1915"/>
    </row>
    <row r="230" spans="1:22" ht="10.9" customHeight="1">
      <c r="A230" s="441"/>
      <c r="B230" s="1922"/>
      <c r="C230" s="1923"/>
      <c r="D230" s="1924"/>
      <c r="E230" s="1924"/>
      <c r="F230" s="1924"/>
      <c r="G230" s="1924"/>
      <c r="H230" s="1924"/>
      <c r="I230" s="1924"/>
      <c r="J230" s="1924"/>
      <c r="K230" s="1924"/>
      <c r="L230" s="1924"/>
      <c r="M230" s="1924"/>
      <c r="N230" s="1871"/>
      <c r="O230" s="1918"/>
      <c r="P230" s="1894"/>
      <c r="Q230" s="1894"/>
      <c r="R230" s="1925"/>
      <c r="S230" s="1918"/>
      <c r="T230" s="1918"/>
      <c r="U230" s="1926"/>
    </row>
    <row r="231" spans="1:22" ht="23.25" customHeight="1">
      <c r="A231" s="441"/>
      <c r="B231" s="2329" t="s">
        <v>681</v>
      </c>
      <c r="C231" s="2330"/>
      <c r="D231" s="2330"/>
      <c r="E231" s="2330"/>
      <c r="F231" s="2330"/>
      <c r="G231" s="2330"/>
      <c r="H231" s="2330"/>
      <c r="I231" s="2330"/>
      <c r="J231" s="2330"/>
      <c r="K231" s="2330"/>
      <c r="L231" s="2330"/>
      <c r="M231" s="2330"/>
      <c r="N231" s="2330"/>
      <c r="O231" s="2330"/>
      <c r="P231" s="2330"/>
      <c r="Q231" s="2330"/>
      <c r="R231" s="2330"/>
      <c r="S231" s="2330"/>
      <c r="T231" s="2330"/>
      <c r="U231" s="2331"/>
    </row>
    <row r="232" spans="1:22" ht="27" customHeight="1">
      <c r="A232" s="441"/>
      <c r="B232" s="2329" t="s">
        <v>477</v>
      </c>
      <c r="C232" s="2330"/>
      <c r="D232" s="2330"/>
      <c r="E232" s="2330"/>
      <c r="F232" s="2330"/>
      <c r="G232" s="2330"/>
      <c r="H232" s="2330"/>
      <c r="I232" s="2330"/>
      <c r="J232" s="2330"/>
      <c r="K232" s="2330"/>
      <c r="L232" s="2330"/>
      <c r="M232" s="2330"/>
      <c r="N232" s="2330"/>
      <c r="O232" s="2330"/>
      <c r="P232" s="2330"/>
      <c r="Q232" s="2330"/>
      <c r="R232" s="2330"/>
      <c r="S232" s="2330"/>
      <c r="T232" s="2330"/>
      <c r="U232" s="2331"/>
    </row>
    <row r="233" spans="1:22" ht="27" customHeight="1">
      <c r="A233" s="441"/>
      <c r="B233" s="1927"/>
      <c r="C233" s="1928"/>
      <c r="D233" s="1928"/>
      <c r="E233" s="1928"/>
      <c r="F233" s="1928"/>
      <c r="G233" s="1928"/>
      <c r="H233" s="1928"/>
      <c r="I233" s="1928"/>
      <c r="J233" s="1928"/>
      <c r="K233" s="1928"/>
      <c r="L233" s="1928"/>
      <c r="M233" s="1928"/>
      <c r="N233" s="1928"/>
      <c r="O233" s="1928"/>
      <c r="P233" s="1928"/>
      <c r="Q233" s="1928"/>
      <c r="R233" s="1928"/>
      <c r="S233" s="1928"/>
      <c r="T233" s="1928"/>
      <c r="U233" s="1929"/>
    </row>
    <row r="234" spans="1:22" ht="21" customHeight="1">
      <c r="A234" s="441"/>
      <c r="B234" s="1930"/>
      <c r="C234" s="1930"/>
      <c r="D234" s="1930"/>
      <c r="E234" s="1930"/>
      <c r="F234" s="1930"/>
      <c r="G234" s="1930"/>
      <c r="H234" s="1930"/>
      <c r="I234" s="1930"/>
      <c r="J234" s="1930"/>
      <c r="K234" s="1930"/>
      <c r="L234" s="1930"/>
      <c r="M234" s="1930"/>
      <c r="N234" s="1930"/>
      <c r="O234" s="1930"/>
      <c r="P234" s="1930"/>
      <c r="Q234" s="1930"/>
      <c r="R234" s="1930"/>
      <c r="S234" s="1930"/>
      <c r="T234" s="1930"/>
      <c r="U234" s="1930"/>
    </row>
    <row r="235" spans="1:22" ht="19.149999999999999" customHeight="1">
      <c r="B235" s="2342" t="s">
        <v>1915</v>
      </c>
      <c r="C235" s="2343"/>
      <c r="D235" s="2343"/>
      <c r="E235" s="2343"/>
      <c r="F235" s="2343"/>
      <c r="G235" s="2343"/>
      <c r="H235" s="2343"/>
      <c r="I235" s="2343"/>
      <c r="J235" s="2343"/>
      <c r="K235" s="2343"/>
      <c r="L235" s="2343"/>
      <c r="M235" s="2343"/>
      <c r="N235" s="2343"/>
      <c r="O235" s="2343"/>
      <c r="P235" s="2343"/>
      <c r="Q235" s="2343"/>
      <c r="R235" s="2343"/>
      <c r="S235" s="2343"/>
      <c r="T235" s="2343"/>
      <c r="U235" s="2344"/>
    </row>
    <row r="236" spans="1:22" ht="24.75" customHeight="1">
      <c r="B236" s="2336" t="s">
        <v>1916</v>
      </c>
      <c r="C236" s="2337"/>
      <c r="D236" s="2337"/>
      <c r="E236" s="2337"/>
      <c r="F236" s="2337"/>
      <c r="G236" s="2337"/>
      <c r="H236" s="2337"/>
      <c r="I236" s="2337"/>
      <c r="J236" s="2337"/>
      <c r="K236" s="2337"/>
      <c r="L236" s="2337"/>
      <c r="M236" s="2337"/>
      <c r="N236" s="2337"/>
      <c r="O236" s="2337"/>
      <c r="P236" s="2337"/>
      <c r="Q236" s="2337"/>
      <c r="R236" s="2337"/>
      <c r="S236" s="2337"/>
      <c r="T236" s="2337"/>
      <c r="U236" s="2338"/>
      <c r="V236" s="441"/>
    </row>
    <row r="237" spans="1:22">
      <c r="B237" s="1864"/>
      <c r="C237" s="1865"/>
      <c r="D237" s="1865"/>
      <c r="E237" s="1865"/>
      <c r="F237" s="1865"/>
      <c r="G237" s="1865"/>
      <c r="H237" s="1865"/>
      <c r="I237" s="1865"/>
      <c r="J237" s="1865"/>
      <c r="K237" s="1865"/>
      <c r="L237" s="1865"/>
      <c r="M237" s="1865"/>
      <c r="N237" s="1865"/>
      <c r="O237" s="1865"/>
      <c r="P237" s="1865"/>
      <c r="Q237" s="1865"/>
      <c r="R237" s="1865"/>
      <c r="S237" s="1865"/>
      <c r="T237" s="1865"/>
      <c r="U237" s="1915"/>
      <c r="V237" s="441"/>
    </row>
    <row r="238" spans="1:22" ht="23.25">
      <c r="B238" s="1864"/>
      <c r="C238" s="1865"/>
      <c r="D238" s="1923"/>
      <c r="E238" s="1895" t="s">
        <v>478</v>
      </c>
      <c r="F238" s="1896" t="s">
        <v>479</v>
      </c>
      <c r="G238" s="1865"/>
      <c r="H238" s="1865"/>
      <c r="I238" s="1865"/>
      <c r="J238" s="1865"/>
      <c r="K238" s="1865"/>
      <c r="L238" s="1865"/>
      <c r="M238" s="1865"/>
      <c r="N238" s="1865"/>
      <c r="O238" s="1865"/>
      <c r="P238" s="1865"/>
      <c r="Q238" s="1900" t="s">
        <v>472</v>
      </c>
      <c r="R238" s="1896" t="s">
        <v>480</v>
      </c>
      <c r="S238" s="1865"/>
      <c r="T238" s="1865"/>
      <c r="U238" s="1915"/>
      <c r="V238" s="441"/>
    </row>
    <row r="239" spans="1:22">
      <c r="B239" s="1864"/>
      <c r="C239" s="1865"/>
      <c r="D239" s="1865"/>
      <c r="E239" s="1865"/>
      <c r="F239" s="1865"/>
      <c r="G239" s="1865"/>
      <c r="H239" s="1865"/>
      <c r="I239" s="1865"/>
      <c r="J239" s="1865"/>
      <c r="K239" s="1865"/>
      <c r="L239" s="1865"/>
      <c r="M239" s="1865"/>
      <c r="N239" s="1865"/>
      <c r="O239" s="1865"/>
      <c r="P239" s="1865"/>
      <c r="Q239" s="1865"/>
      <c r="R239" s="1865"/>
      <c r="S239" s="1865"/>
      <c r="T239" s="1865"/>
      <c r="U239" s="1915"/>
      <c r="V239" s="441"/>
    </row>
    <row r="240" spans="1:22" ht="20.25" customHeight="1">
      <c r="B240" s="2339" t="s">
        <v>481</v>
      </c>
      <c r="C240" s="2340"/>
      <c r="D240" s="2340"/>
      <c r="E240" s="2340"/>
      <c r="F240" s="2340"/>
      <c r="G240" s="2340"/>
      <c r="H240" s="2340"/>
      <c r="I240" s="2340"/>
      <c r="J240" s="2340"/>
      <c r="K240" s="2340"/>
      <c r="L240" s="2340"/>
      <c r="M240" s="2340"/>
      <c r="N240" s="2340"/>
      <c r="O240" s="2340"/>
      <c r="P240" s="2340"/>
      <c r="Q240" s="2340"/>
      <c r="R240" s="2340"/>
      <c r="S240" s="2340"/>
      <c r="T240" s="2340"/>
      <c r="U240" s="2341"/>
      <c r="V240" s="441"/>
    </row>
    <row r="241" spans="1:22" ht="18">
      <c r="B241" s="1931"/>
      <c r="C241" s="1913"/>
      <c r="D241" s="1907"/>
      <c r="E241" s="1907"/>
      <c r="F241" s="1907"/>
      <c r="G241" s="1906"/>
      <c r="H241" s="1906"/>
      <c r="I241" s="1906"/>
      <c r="J241" s="1906"/>
      <c r="K241" s="1906"/>
      <c r="L241" s="1906"/>
      <c r="M241" s="1906"/>
      <c r="N241" s="1909"/>
      <c r="O241" s="1908"/>
      <c r="P241" s="1907"/>
      <c r="Q241" s="1907"/>
      <c r="R241" s="1932"/>
      <c r="S241" s="1908"/>
      <c r="T241" s="1908"/>
      <c r="U241" s="1933"/>
      <c r="V241" s="441"/>
    </row>
    <row r="242" spans="1:22" ht="23.25">
      <c r="A242" s="441"/>
      <c r="B242" s="486"/>
      <c r="C242" s="486"/>
      <c r="D242" s="486"/>
      <c r="E242" s="486"/>
      <c r="F242" s="486"/>
      <c r="G242" s="486"/>
      <c r="H242" s="486"/>
      <c r="I242" s="486"/>
      <c r="J242" s="486"/>
      <c r="K242" s="486"/>
      <c r="L242" s="486"/>
      <c r="M242" s="486"/>
      <c r="N242" s="486"/>
      <c r="O242" s="486"/>
      <c r="P242" s="486"/>
      <c r="Q242" s="486"/>
      <c r="R242" s="486"/>
      <c r="S242" s="486"/>
      <c r="T242" s="486"/>
      <c r="U242" s="486"/>
    </row>
    <row r="243" spans="1:22" ht="23.25" customHeight="1">
      <c r="B243" s="2342" t="s">
        <v>1917</v>
      </c>
      <c r="C243" s="2343"/>
      <c r="D243" s="2343"/>
      <c r="E243" s="2343"/>
      <c r="F243" s="2343"/>
      <c r="G243" s="2343"/>
      <c r="H243" s="2343"/>
      <c r="I243" s="2343"/>
      <c r="J243" s="2343"/>
      <c r="K243" s="2343"/>
      <c r="L243" s="2343"/>
      <c r="M243" s="2343"/>
      <c r="N243" s="2343"/>
      <c r="O243" s="2343"/>
      <c r="P243" s="2343"/>
      <c r="Q243" s="2343"/>
      <c r="R243" s="2343"/>
      <c r="S243" s="2343"/>
      <c r="T243" s="2343"/>
      <c r="U243" s="2344"/>
      <c r="V243" s="441"/>
    </row>
    <row r="244" spans="1:22" ht="23.25" customHeight="1">
      <c r="B244" s="2336" t="s">
        <v>1918</v>
      </c>
      <c r="C244" s="2337"/>
      <c r="D244" s="2337"/>
      <c r="E244" s="2337"/>
      <c r="F244" s="2337"/>
      <c r="G244" s="2337"/>
      <c r="H244" s="2337"/>
      <c r="I244" s="2337"/>
      <c r="J244" s="2337"/>
      <c r="K244" s="2337"/>
      <c r="L244" s="2337"/>
      <c r="M244" s="2337"/>
      <c r="N244" s="2337"/>
      <c r="O244" s="2337"/>
      <c r="P244" s="2337"/>
      <c r="Q244" s="2337"/>
      <c r="R244" s="2337"/>
      <c r="S244" s="2337"/>
      <c r="T244" s="2337"/>
      <c r="U244" s="2338"/>
      <c r="V244" s="441"/>
    </row>
    <row r="245" spans="1:22">
      <c r="B245" s="1864"/>
      <c r="C245" s="1865"/>
      <c r="D245" s="1865"/>
      <c r="E245" s="1865"/>
      <c r="F245" s="1865"/>
      <c r="G245" s="1865"/>
      <c r="H245" s="1865"/>
      <c r="I245" s="1865"/>
      <c r="J245" s="1865"/>
      <c r="K245" s="1865"/>
      <c r="L245" s="1865"/>
      <c r="M245" s="1865"/>
      <c r="N245" s="1865"/>
      <c r="O245" s="1865"/>
      <c r="P245" s="1865"/>
      <c r="Q245" s="1865"/>
      <c r="R245" s="1865"/>
      <c r="S245" s="1865"/>
      <c r="T245" s="1865"/>
      <c r="U245" s="1915"/>
    </row>
    <row r="246" spans="1:22" ht="23.25">
      <c r="B246" s="1864"/>
      <c r="C246" s="1934"/>
      <c r="D246" s="1923"/>
      <c r="E246" s="1935" t="s">
        <v>482</v>
      </c>
      <c r="F246" s="1917" t="s">
        <v>883</v>
      </c>
      <c r="G246" s="1865"/>
      <c r="H246" s="1923"/>
      <c r="I246" s="563"/>
      <c r="J246" s="1923"/>
      <c r="K246" s="1923"/>
      <c r="L246" s="564"/>
      <c r="M246" s="1924"/>
      <c r="N246" s="1894"/>
      <c r="O246" s="1925"/>
      <c r="P246" s="1865"/>
      <c r="Q246" s="1920" t="s">
        <v>472</v>
      </c>
      <c r="R246" s="1921" t="s">
        <v>473</v>
      </c>
      <c r="S246" s="1865"/>
      <c r="T246" s="1865"/>
      <c r="U246" s="1915"/>
    </row>
    <row r="247" spans="1:22" ht="23.25">
      <c r="B247" s="1931"/>
      <c r="C247" s="1913"/>
      <c r="D247" s="1904"/>
      <c r="E247" s="1936"/>
      <c r="F247" s="1937"/>
      <c r="G247" s="1907"/>
      <c r="H247" s="1904"/>
      <c r="I247" s="567"/>
      <c r="J247" s="1904"/>
      <c r="K247" s="1904"/>
      <c r="L247" s="568"/>
      <c r="M247" s="1906"/>
      <c r="N247" s="1909"/>
      <c r="O247" s="1932"/>
      <c r="P247" s="1938"/>
      <c r="Q247" s="1939"/>
      <c r="R247" s="1913"/>
      <c r="S247" s="1907"/>
      <c r="T247" s="1907"/>
      <c r="U247" s="1914"/>
    </row>
    <row r="248" spans="1:22" ht="20.25">
      <c r="B248" s="441"/>
      <c r="C248" s="561"/>
      <c r="D248" s="552"/>
      <c r="E248" s="552"/>
      <c r="F248" s="545"/>
      <c r="G248" s="441"/>
      <c r="H248" s="553"/>
      <c r="I248" s="553"/>
      <c r="J248" s="553"/>
      <c r="K248" s="571"/>
      <c r="L248" s="553"/>
      <c r="M248" s="553"/>
      <c r="N248" s="548"/>
      <c r="O248" s="554"/>
      <c r="P248" s="572"/>
      <c r="Q248" s="573"/>
      <c r="R248" s="561"/>
      <c r="S248" s="441"/>
      <c r="T248" s="441"/>
      <c r="U248" s="441"/>
    </row>
    <row r="249" spans="1:22" ht="23.25">
      <c r="A249" s="441"/>
      <c r="B249" s="2304" t="s">
        <v>483</v>
      </c>
      <c r="C249" s="2305"/>
      <c r="D249" s="2305"/>
      <c r="E249" s="2305"/>
      <c r="F249" s="2305"/>
      <c r="G249" s="2305"/>
      <c r="H249" s="2305"/>
      <c r="I249" s="2305"/>
      <c r="J249" s="2305"/>
      <c r="K249" s="2305"/>
      <c r="L249" s="2305"/>
      <c r="M249" s="2305"/>
      <c r="N249" s="2305"/>
      <c r="O249" s="2305"/>
      <c r="P249" s="2305"/>
      <c r="Q249" s="2305"/>
      <c r="R249" s="2305"/>
      <c r="S249" s="2305"/>
      <c r="T249" s="2305"/>
      <c r="U249" s="2386"/>
    </row>
    <row r="250" spans="1:22" ht="23.25">
      <c r="A250" s="441"/>
      <c r="B250" s="2345" t="s">
        <v>484</v>
      </c>
      <c r="C250" s="2346"/>
      <c r="D250" s="2346"/>
      <c r="E250" s="2346"/>
      <c r="F250" s="2346"/>
      <c r="G250" s="2346"/>
      <c r="H250" s="2346"/>
      <c r="I250" s="2346"/>
      <c r="J250" s="2346"/>
      <c r="K250" s="2346"/>
      <c r="L250" s="2346"/>
      <c r="M250" s="2346"/>
      <c r="N250" s="2346"/>
      <c r="O250" s="2346"/>
      <c r="P250" s="2346"/>
      <c r="Q250" s="2346"/>
      <c r="R250" s="2346"/>
      <c r="S250" s="2346"/>
      <c r="T250" s="2346"/>
      <c r="U250" s="2347"/>
    </row>
    <row r="251" spans="1:22" ht="23.25">
      <c r="A251" s="441"/>
      <c r="B251" s="574"/>
      <c r="C251" s="486"/>
      <c r="D251" s="486"/>
      <c r="E251" s="486"/>
      <c r="F251" s="486"/>
      <c r="G251" s="486"/>
      <c r="H251" s="486"/>
      <c r="I251" s="486"/>
      <c r="J251" s="486"/>
      <c r="K251" s="486"/>
      <c r="L251" s="486"/>
      <c r="M251" s="486"/>
      <c r="N251" s="486"/>
      <c r="O251" s="486"/>
      <c r="P251" s="486"/>
      <c r="Q251" s="486"/>
      <c r="R251" s="486"/>
      <c r="S251" s="486"/>
      <c r="T251" s="486"/>
      <c r="U251" s="575"/>
    </row>
    <row r="252" spans="1:22" ht="23.25">
      <c r="A252" s="441"/>
      <c r="B252" s="574"/>
      <c r="C252" s="576" t="s">
        <v>485</v>
      </c>
      <c r="D252" s="441"/>
      <c r="F252" s="577">
        <v>5</v>
      </c>
      <c r="G252" s="546"/>
      <c r="H252" s="441"/>
      <c r="I252" s="545"/>
      <c r="J252" s="545"/>
      <c r="K252" s="547"/>
      <c r="L252" s="576" t="s">
        <v>486</v>
      </c>
      <c r="Q252" s="577" t="s">
        <v>487</v>
      </c>
      <c r="R252" s="545"/>
      <c r="S252" s="545"/>
      <c r="T252" s="545"/>
      <c r="U252" s="451"/>
    </row>
    <row r="253" spans="1:22" ht="23.25">
      <c r="A253" s="441"/>
      <c r="B253" s="574"/>
      <c r="C253" s="486"/>
      <c r="D253" s="441"/>
      <c r="E253" s="531"/>
      <c r="F253" s="577"/>
      <c r="G253" s="546"/>
      <c r="H253" s="441"/>
      <c r="I253" s="545"/>
      <c r="J253" s="545"/>
      <c r="K253" s="547"/>
      <c r="L253" s="486"/>
      <c r="M253" s="441"/>
      <c r="N253" s="531"/>
      <c r="P253" s="546"/>
      <c r="Q253" s="577" t="s">
        <v>488</v>
      </c>
      <c r="R253" s="545"/>
      <c r="S253" s="545"/>
      <c r="T253" s="545"/>
      <c r="U253" s="451"/>
    </row>
    <row r="254" spans="1:22" ht="63.6" customHeight="1">
      <c r="A254" s="441"/>
      <c r="B254" s="578"/>
      <c r="C254" s="2378" t="s">
        <v>489</v>
      </c>
      <c r="D254" s="2378"/>
      <c r="E254" s="2378"/>
      <c r="F254" s="2378"/>
      <c r="G254" s="2378"/>
      <c r="H254" s="2378"/>
      <c r="I254" s="2378"/>
      <c r="J254" s="2378"/>
      <c r="K254" s="579"/>
      <c r="L254" s="2378" t="s">
        <v>490</v>
      </c>
      <c r="M254" s="2378"/>
      <c r="N254" s="2378"/>
      <c r="O254" s="2378"/>
      <c r="P254" s="2378"/>
      <c r="Q254" s="2378"/>
      <c r="R254" s="2378"/>
      <c r="S254" s="2378"/>
      <c r="T254" s="2378"/>
      <c r="U254" s="575"/>
    </row>
    <row r="255" spans="1:22" s="522" customFormat="1" ht="100.15" customHeight="1">
      <c r="B255" s="578"/>
      <c r="C255" s="2378" t="s">
        <v>682</v>
      </c>
      <c r="D255" s="2378"/>
      <c r="E255" s="2378"/>
      <c r="F255" s="2378"/>
      <c r="G255" s="2378"/>
      <c r="H255" s="2378"/>
      <c r="I255" s="2378"/>
      <c r="J255" s="2378"/>
      <c r="K255" s="2378"/>
      <c r="L255" s="2378"/>
      <c r="M255" s="2378"/>
      <c r="N255" s="2378"/>
      <c r="O255" s="2378"/>
      <c r="P255" s="2378"/>
      <c r="Q255" s="2378"/>
      <c r="R255" s="2378"/>
      <c r="S255" s="2378"/>
      <c r="T255" s="2378"/>
      <c r="U255" s="580"/>
    </row>
    <row r="256" spans="1:22" ht="22.9" customHeight="1">
      <c r="A256" s="441"/>
      <c r="B256" s="581"/>
      <c r="C256" s="488"/>
      <c r="D256" s="582"/>
      <c r="E256" s="582"/>
      <c r="F256" s="582"/>
      <c r="G256" s="543"/>
      <c r="H256" s="543"/>
      <c r="I256" s="543"/>
      <c r="J256" s="543"/>
      <c r="K256" s="543"/>
      <c r="L256" s="543"/>
      <c r="M256" s="543"/>
      <c r="N256" s="543"/>
      <c r="O256" s="543"/>
      <c r="P256" s="543"/>
      <c r="Q256" s="543"/>
      <c r="R256" s="543"/>
      <c r="S256" s="543"/>
      <c r="T256" s="543"/>
      <c r="U256" s="557"/>
    </row>
    <row r="257" spans="1:22" ht="23.25">
      <c r="A257" s="441"/>
      <c r="B257" s="520"/>
      <c r="C257" s="583"/>
      <c r="D257" s="583"/>
      <c r="E257" s="583"/>
      <c r="F257" s="583"/>
      <c r="G257" s="561"/>
      <c r="H257" s="561"/>
      <c r="I257" s="561"/>
      <c r="J257" s="561"/>
      <c r="K257" s="561"/>
      <c r="L257" s="561"/>
      <c r="M257" s="561"/>
      <c r="N257" s="561"/>
      <c r="O257" s="561"/>
      <c r="P257" s="561"/>
      <c r="Q257" s="561"/>
      <c r="R257" s="561"/>
      <c r="S257" s="561"/>
      <c r="T257" s="561"/>
      <c r="U257" s="486"/>
    </row>
    <row r="258" spans="1:22" ht="20.25" customHeight="1">
      <c r="B258" s="522"/>
      <c r="C258" s="584"/>
      <c r="D258" s="584"/>
      <c r="E258" s="584"/>
      <c r="F258" s="584"/>
      <c r="G258" s="522"/>
      <c r="H258" s="522"/>
      <c r="I258" s="522"/>
      <c r="J258" s="522"/>
      <c r="K258" s="522"/>
      <c r="L258" s="522"/>
      <c r="M258" s="476" t="s">
        <v>1801</v>
      </c>
      <c r="N258" s="522"/>
      <c r="O258" s="522"/>
      <c r="P258" s="522"/>
      <c r="Q258" s="522"/>
      <c r="R258" s="477" t="s">
        <v>692</v>
      </c>
      <c r="S258" s="478" t="str">
        <f>$E$39</f>
        <v>ILF5_90FCORCP_B114CAGR43006</v>
      </c>
      <c r="T258" s="522"/>
    </row>
    <row r="259" spans="1:22" ht="16.899999999999999" customHeight="1">
      <c r="B259" s="522"/>
      <c r="C259" s="585"/>
      <c r="D259" s="584"/>
      <c r="E259" s="584"/>
      <c r="F259" s="584"/>
      <c r="G259" s="586"/>
      <c r="H259" s="586"/>
      <c r="I259" s="586"/>
      <c r="J259" s="586"/>
      <c r="K259" s="587"/>
      <c r="L259" s="587"/>
      <c r="M259" s="587"/>
      <c r="N259" s="587"/>
      <c r="O259" s="587"/>
      <c r="P259" s="587"/>
      <c r="Q259" s="561"/>
      <c r="R259" s="561"/>
      <c r="S259" s="441"/>
      <c r="T259" s="441"/>
      <c r="U259" s="588"/>
      <c r="V259" s="441"/>
    </row>
    <row r="260" spans="1:22">
      <c r="A260" s="420"/>
      <c r="B260" s="420"/>
      <c r="C260" s="420"/>
      <c r="D260" s="420"/>
      <c r="E260" s="420"/>
      <c r="F260" s="420"/>
      <c r="G260" s="420"/>
      <c r="H260" s="436" t="s">
        <v>690</v>
      </c>
      <c r="I260" s="420"/>
      <c r="K260" s="420"/>
      <c r="L260" s="437" t="str">
        <f>$B$11</f>
        <v>INMOBILIARIA SERVIGESTION</v>
      </c>
      <c r="M260" s="420"/>
      <c r="N260" s="420"/>
      <c r="O260" s="420"/>
      <c r="P260" s="420"/>
      <c r="Q260" s="420"/>
      <c r="R260" s="420"/>
      <c r="S260" s="420"/>
      <c r="T260" s="420"/>
      <c r="U260" s="420"/>
      <c r="V260" s="420"/>
    </row>
    <row r="261" spans="1:22" ht="34.5">
      <c r="A261" s="420"/>
      <c r="B261" s="2268" t="s">
        <v>461</v>
      </c>
      <c r="C261" s="2268"/>
      <c r="D261" s="2268"/>
      <c r="E261" s="2268"/>
      <c r="F261" s="2268"/>
      <c r="G261" s="2268"/>
      <c r="H261" s="2268"/>
      <c r="I261" s="2268"/>
      <c r="J261" s="2268"/>
      <c r="K261" s="2268"/>
      <c r="L261" s="2268"/>
      <c r="M261" s="2268"/>
      <c r="N261" s="2268"/>
      <c r="O261" s="2268"/>
      <c r="P261" s="2268"/>
      <c r="Q261" s="2268"/>
      <c r="R261" s="2268"/>
      <c r="S261" s="2268"/>
      <c r="T261" s="2268"/>
      <c r="U261" s="2268"/>
      <c r="V261" s="420"/>
    </row>
    <row r="262" spans="1:22" ht="22.9" customHeight="1">
      <c r="A262" s="420"/>
      <c r="B262" s="2269" t="s">
        <v>700</v>
      </c>
      <c r="C262" s="2269"/>
      <c r="D262" s="2269"/>
      <c r="E262" s="2269"/>
      <c r="F262" s="2269"/>
      <c r="G262" s="2269"/>
      <c r="H262" s="2269"/>
      <c r="I262" s="2269"/>
      <c r="J262" s="2269"/>
      <c r="K262" s="2269"/>
      <c r="L262" s="2269"/>
      <c r="M262" s="2269"/>
      <c r="N262" s="2269"/>
      <c r="O262" s="2269"/>
      <c r="P262" s="2269"/>
      <c r="Q262" s="2269"/>
      <c r="R262" s="2269"/>
      <c r="S262" s="2269"/>
      <c r="T262" s="2269"/>
      <c r="U262" s="2269"/>
      <c r="V262" s="420"/>
    </row>
    <row r="263" spans="1:22" ht="16.149999999999999" customHeight="1">
      <c r="A263" s="420"/>
      <c r="B263" s="427"/>
      <c r="C263" s="427"/>
      <c r="D263" s="427"/>
      <c r="E263" s="427"/>
      <c r="F263" s="427"/>
      <c r="G263" s="427"/>
      <c r="H263" s="427"/>
      <c r="I263" s="427"/>
      <c r="J263" s="427"/>
      <c r="K263" s="427"/>
      <c r="L263" s="427"/>
      <c r="M263" s="427"/>
      <c r="N263" s="427"/>
      <c r="O263" s="427"/>
      <c r="Q263" s="427"/>
      <c r="R263" s="427"/>
      <c r="S263" s="427"/>
      <c r="T263" s="427"/>
      <c r="U263" s="427"/>
      <c r="V263" s="420"/>
    </row>
    <row r="264" spans="1:22" ht="16.149999999999999" customHeight="1">
      <c r="A264" s="420"/>
      <c r="B264" s="459"/>
      <c r="C264" s="459"/>
      <c r="D264" s="459"/>
      <c r="E264" s="459"/>
      <c r="F264" s="459"/>
      <c r="G264" s="459"/>
      <c r="H264" s="459"/>
      <c r="I264" s="459"/>
      <c r="J264" s="459"/>
      <c r="K264" s="459"/>
      <c r="L264" s="459"/>
      <c r="M264" s="459"/>
      <c r="N264" s="459"/>
      <c r="O264" s="459"/>
      <c r="P264" s="488"/>
      <c r="Q264" s="459"/>
      <c r="R264" s="459"/>
      <c r="S264" s="459"/>
      <c r="T264" s="459"/>
      <c r="U264" s="459"/>
      <c r="V264" s="420"/>
    </row>
    <row r="265" spans="1:22" ht="26.25">
      <c r="A265" s="504"/>
      <c r="B265" s="2387" t="s">
        <v>893</v>
      </c>
      <c r="C265" s="2388"/>
      <c r="D265" s="2388"/>
      <c r="E265" s="2388"/>
      <c r="F265" s="2388"/>
      <c r="G265" s="2388"/>
      <c r="H265" s="2388"/>
      <c r="I265" s="2388"/>
      <c r="J265" s="2388"/>
      <c r="K265" s="2388"/>
      <c r="L265" s="2388"/>
      <c r="M265" s="2388"/>
      <c r="N265" s="2388"/>
      <c r="O265" s="2388"/>
      <c r="P265" s="2388"/>
      <c r="Q265" s="2388"/>
      <c r="R265" s="2388"/>
      <c r="S265" s="2388"/>
      <c r="T265" s="2388"/>
      <c r="U265" s="2389"/>
      <c r="V265" s="504"/>
    </row>
    <row r="266" spans="1:22" ht="88.5" customHeight="1">
      <c r="A266" s="504"/>
      <c r="B266" s="2366" t="s">
        <v>1990</v>
      </c>
      <c r="C266" s="2367"/>
      <c r="D266" s="2367"/>
      <c r="E266" s="2367"/>
      <c r="F266" s="2367"/>
      <c r="G266" s="2367"/>
      <c r="H266" s="2367"/>
      <c r="I266" s="2367"/>
      <c r="J266" s="2367"/>
      <c r="K266" s="2367"/>
      <c r="L266" s="2367"/>
      <c r="M266" s="2367"/>
      <c r="N266" s="2367"/>
      <c r="O266" s="2367"/>
      <c r="P266" s="2367"/>
      <c r="Q266" s="2367"/>
      <c r="R266" s="2367"/>
      <c r="S266" s="2367"/>
      <c r="T266" s="2367"/>
      <c r="U266" s="2368"/>
      <c r="V266" s="504"/>
    </row>
    <row r="267" spans="1:22" ht="13.9" customHeight="1">
      <c r="A267" s="504"/>
      <c r="B267" s="440"/>
      <c r="C267" s="468"/>
      <c r="D267" s="468"/>
      <c r="E267" s="468"/>
      <c r="F267" s="468"/>
      <c r="G267" s="468"/>
      <c r="H267" s="468"/>
      <c r="I267" s="468"/>
      <c r="J267" s="468"/>
      <c r="K267" s="468"/>
      <c r="L267" s="468"/>
      <c r="M267" s="468"/>
      <c r="N267" s="468"/>
      <c r="O267" s="468"/>
      <c r="P267" s="468"/>
      <c r="Q267" s="468"/>
      <c r="R267" s="468"/>
      <c r="S267" s="468"/>
      <c r="T267" s="468"/>
      <c r="U267" s="469"/>
      <c r="V267" s="504"/>
    </row>
    <row r="268" spans="1:22" ht="36.75" customHeight="1">
      <c r="A268" s="504"/>
      <c r="B268" s="440"/>
      <c r="C268" s="2390" t="s">
        <v>956</v>
      </c>
      <c r="D268" s="2390"/>
      <c r="E268" s="2390"/>
      <c r="F268" s="2390"/>
      <c r="G268" s="2390"/>
      <c r="H268" s="2390"/>
      <c r="I268" s="2390"/>
      <c r="J268" s="2390"/>
      <c r="K268" s="2390"/>
      <c r="L268" s="2390"/>
      <c r="M268" s="2390"/>
      <c r="N268" s="2390"/>
      <c r="O268" s="2390"/>
      <c r="P268" s="2390"/>
      <c r="Q268" s="2390"/>
      <c r="R268" s="2390"/>
      <c r="S268" s="2390"/>
      <c r="T268" s="2390"/>
      <c r="U268" s="469"/>
      <c r="V268" s="504"/>
    </row>
    <row r="269" spans="1:22" ht="22.15" customHeight="1">
      <c r="A269" s="441"/>
      <c r="B269" s="508"/>
      <c r="C269" s="491"/>
      <c r="D269" s="491"/>
      <c r="E269" s="491"/>
      <c r="F269" s="491"/>
      <c r="G269" s="491"/>
      <c r="H269" s="491"/>
      <c r="I269" s="491"/>
      <c r="J269" s="491"/>
      <c r="K269" s="491"/>
      <c r="L269" s="2365"/>
      <c r="M269" s="2365"/>
      <c r="N269" s="2365"/>
      <c r="O269" s="2365"/>
      <c r="P269" s="2365"/>
      <c r="Q269" s="2365"/>
      <c r="R269" s="2365"/>
      <c r="S269" s="2365"/>
      <c r="T269" s="491"/>
      <c r="U269" s="589"/>
      <c r="V269" s="492"/>
    </row>
    <row r="270" spans="1:22" ht="23.25">
      <c r="B270" s="466"/>
      <c r="C270" s="2335" t="s">
        <v>933</v>
      </c>
      <c r="D270" s="2335"/>
      <c r="E270" s="2335"/>
      <c r="F270" s="2335"/>
      <c r="G270" s="2335"/>
      <c r="H270" s="2335"/>
      <c r="I270" s="2335"/>
      <c r="J270" s="2335"/>
      <c r="K270" s="2335"/>
      <c r="L270" s="441"/>
      <c r="M270" s="2375" t="s">
        <v>910</v>
      </c>
      <c r="N270" s="2376"/>
      <c r="O270" s="2376"/>
      <c r="P270" s="2376"/>
      <c r="Q270" s="2376"/>
      <c r="R270" s="2376"/>
      <c r="S270" s="2376"/>
      <c r="T270" s="2377"/>
      <c r="U270" s="494"/>
      <c r="V270" s="441"/>
    </row>
    <row r="271" spans="1:22" ht="137.44999999999999" customHeight="1">
      <c r="B271" s="495" t="s">
        <v>362</v>
      </c>
      <c r="C271" s="2396" t="s">
        <v>935</v>
      </c>
      <c r="D271" s="2397"/>
      <c r="E271" s="2397"/>
      <c r="F271" s="2397"/>
      <c r="G271" s="2397"/>
      <c r="H271" s="2397"/>
      <c r="I271" s="2397"/>
      <c r="J271" s="2397"/>
      <c r="K271" s="2398"/>
      <c r="L271" s="441"/>
      <c r="M271" s="2396" t="s">
        <v>937</v>
      </c>
      <c r="N271" s="2397"/>
      <c r="O271" s="2397"/>
      <c r="P271" s="2397"/>
      <c r="Q271" s="2397"/>
      <c r="R271" s="2397"/>
      <c r="S271" s="2397"/>
      <c r="T271" s="2398"/>
      <c r="U271" s="494"/>
      <c r="V271" s="441"/>
    </row>
    <row r="272" spans="1:22" ht="26.25">
      <c r="A272" s="441"/>
      <c r="B272" s="496"/>
      <c r="C272" s="2399" t="s">
        <v>934</v>
      </c>
      <c r="D272" s="2399"/>
      <c r="E272" s="2399"/>
      <c r="F272" s="2399"/>
      <c r="G272" s="2399"/>
      <c r="H272" s="497">
        <v>30</v>
      </c>
      <c r="I272" s="498"/>
      <c r="J272" s="498"/>
      <c r="K272" s="498"/>
      <c r="L272" s="499"/>
      <c r="M272" s="2399" t="s">
        <v>934</v>
      </c>
      <c r="N272" s="2399"/>
      <c r="O272" s="2399"/>
      <c r="P272" s="2399"/>
      <c r="Q272" s="2399"/>
      <c r="R272" s="497">
        <v>10</v>
      </c>
      <c r="S272" s="498"/>
      <c r="T272" s="498"/>
      <c r="U272" s="590"/>
    </row>
    <row r="273" spans="1:22" ht="16.149999999999999" customHeight="1">
      <c r="A273" s="420"/>
      <c r="B273" s="485"/>
      <c r="C273" s="475"/>
      <c r="D273" s="475"/>
      <c r="E273" s="475"/>
      <c r="F273" s="475"/>
      <c r="G273" s="475"/>
      <c r="H273" s="475"/>
      <c r="I273" s="475"/>
      <c r="J273" s="475"/>
      <c r="K273" s="475"/>
      <c r="L273" s="475"/>
      <c r="M273" s="475"/>
      <c r="N273" s="475"/>
      <c r="O273" s="475"/>
      <c r="P273" s="441"/>
      <c r="Q273" s="475"/>
      <c r="R273" s="475"/>
      <c r="S273" s="475"/>
      <c r="T273" s="475"/>
      <c r="U273" s="442"/>
      <c r="V273" s="420"/>
    </row>
    <row r="274" spans="1:22" ht="22.15" customHeight="1">
      <c r="A274" s="420"/>
      <c r="B274" s="485"/>
      <c r="C274" s="441"/>
      <c r="D274" s="441"/>
      <c r="E274" s="2406" t="s">
        <v>936</v>
      </c>
      <c r="F274" s="2406"/>
      <c r="G274" s="2406"/>
      <c r="H274" s="2406"/>
      <c r="I274" s="2406"/>
      <c r="J274" s="2406"/>
      <c r="K274" s="2406"/>
      <c r="L274" s="2406"/>
      <c r="M274" s="2406"/>
      <c r="N274" s="2406"/>
      <c r="O274" s="2406"/>
      <c r="P274" s="2406"/>
      <c r="Q274" s="2406"/>
      <c r="R274" s="2406"/>
      <c r="S274" s="2406"/>
      <c r="T274" s="475"/>
      <c r="U274" s="442"/>
      <c r="V274" s="420"/>
    </row>
    <row r="275" spans="1:22" ht="16.149999999999999" customHeight="1">
      <c r="A275" s="420"/>
      <c r="B275" s="485"/>
      <c r="C275" s="441"/>
      <c r="D275" s="441"/>
      <c r="E275" s="591" t="s">
        <v>525</v>
      </c>
      <c r="F275" s="592" t="s">
        <v>543</v>
      </c>
      <c r="G275" s="593" t="s">
        <v>550</v>
      </c>
      <c r="H275" s="593" t="s">
        <v>558</v>
      </c>
      <c r="I275" s="593" t="s">
        <v>580</v>
      </c>
      <c r="J275" s="593" t="s">
        <v>613</v>
      </c>
      <c r="K275" s="593" t="s">
        <v>549</v>
      </c>
      <c r="L275" s="593" t="s">
        <v>622</v>
      </c>
      <c r="M275" s="593" t="s">
        <v>624</v>
      </c>
      <c r="N275" s="593" t="s">
        <v>628</v>
      </c>
      <c r="O275" s="593" t="s">
        <v>928</v>
      </c>
      <c r="P275" s="593" t="s">
        <v>588</v>
      </c>
      <c r="Q275" s="593" t="s">
        <v>930</v>
      </c>
      <c r="R275" s="593" t="s">
        <v>596</v>
      </c>
      <c r="S275" s="594" t="s">
        <v>638</v>
      </c>
      <c r="T275" s="475"/>
      <c r="U275" s="442"/>
      <c r="V275" s="420"/>
    </row>
    <row r="276" spans="1:22">
      <c r="B276" s="466"/>
      <c r="C276" s="592"/>
      <c r="D276" s="592"/>
      <c r="E276" s="591" t="s">
        <v>520</v>
      </c>
      <c r="F276" s="593" t="s">
        <v>548</v>
      </c>
      <c r="G276" s="593" t="s">
        <v>554</v>
      </c>
      <c r="H276" s="593" t="s">
        <v>575</v>
      </c>
      <c r="I276" s="593" t="s">
        <v>595</v>
      </c>
      <c r="J276" s="593" t="s">
        <v>926</v>
      </c>
      <c r="K276" s="593" t="s">
        <v>559</v>
      </c>
      <c r="L276" s="593" t="s">
        <v>567</v>
      </c>
      <c r="M276" s="593" t="s">
        <v>927</v>
      </c>
      <c r="N276" s="593" t="s">
        <v>630</v>
      </c>
      <c r="O276" s="593" t="s">
        <v>929</v>
      </c>
      <c r="P276" s="593" t="s">
        <v>581</v>
      </c>
      <c r="Q276" s="593" t="s">
        <v>586</v>
      </c>
      <c r="R276" s="595" t="s">
        <v>600</v>
      </c>
      <c r="S276" s="596"/>
      <c r="T276" s="597"/>
      <c r="U276" s="451"/>
    </row>
    <row r="277" spans="1:22" ht="7.15" customHeight="1">
      <c r="B277" s="466"/>
      <c r="C277" s="441"/>
      <c r="D277" s="441"/>
      <c r="E277" s="598"/>
      <c r="F277" s="598"/>
      <c r="G277" s="598"/>
      <c r="H277" s="598"/>
      <c r="I277" s="598"/>
      <c r="J277" s="598"/>
      <c r="K277" s="598"/>
      <c r="L277" s="598"/>
      <c r="M277" s="598"/>
      <c r="N277" s="598"/>
      <c r="O277" s="598"/>
      <c r="P277" s="598"/>
      <c r="Q277" s="598"/>
      <c r="R277" s="598"/>
      <c r="S277" s="441"/>
      <c r="T277" s="441"/>
      <c r="U277" s="451"/>
    </row>
    <row r="278" spans="1:22" ht="16.149999999999999" customHeight="1">
      <c r="A278" s="420"/>
      <c r="B278" s="487"/>
      <c r="C278" s="459"/>
      <c r="D278" s="459"/>
      <c r="E278" s="459"/>
      <c r="F278" s="459"/>
      <c r="G278" s="459"/>
      <c r="H278" s="459"/>
      <c r="I278" s="459"/>
      <c r="J278" s="459"/>
      <c r="K278" s="459"/>
      <c r="L278" s="459"/>
      <c r="M278" s="459"/>
      <c r="N278" s="459"/>
      <c r="O278" s="459"/>
      <c r="P278" s="488"/>
      <c r="Q278" s="459"/>
      <c r="R278" s="459"/>
      <c r="S278" s="459"/>
      <c r="T278" s="459"/>
      <c r="U278" s="460"/>
      <c r="V278" s="420"/>
    </row>
    <row r="279" spans="1:22" ht="16.149999999999999" customHeight="1">
      <c r="A279" s="420"/>
      <c r="B279" s="427"/>
      <c r="C279" s="427"/>
      <c r="D279" s="427"/>
      <c r="E279" s="427"/>
      <c r="F279" s="427"/>
      <c r="G279" s="427"/>
      <c r="H279" s="427"/>
      <c r="I279" s="427"/>
      <c r="J279" s="427"/>
      <c r="K279" s="427"/>
      <c r="L279" s="427"/>
      <c r="M279" s="427"/>
      <c r="N279" s="427"/>
      <c r="O279" s="427"/>
      <c r="Q279" s="427"/>
      <c r="R279" s="427"/>
      <c r="S279" s="427"/>
      <c r="T279" s="427"/>
      <c r="U279" s="427"/>
      <c r="V279" s="420"/>
    </row>
    <row r="280" spans="1:22" ht="50.25" customHeight="1">
      <c r="A280" s="429"/>
      <c r="B280" s="2251" t="s">
        <v>792</v>
      </c>
      <c r="C280" s="2251"/>
      <c r="D280" s="2251"/>
      <c r="E280" s="2251"/>
      <c r="F280" s="2251"/>
      <c r="G280" s="2251"/>
      <c r="H280" s="2251"/>
      <c r="I280" s="2251"/>
      <c r="J280" s="2251"/>
      <c r="K280" s="2251"/>
      <c r="L280" s="2251"/>
      <c r="M280" s="2251"/>
      <c r="N280" s="2251"/>
      <c r="O280" s="2251"/>
      <c r="P280" s="2251"/>
      <c r="Q280" s="2251"/>
      <c r="R280" s="2251"/>
      <c r="S280" s="2251"/>
      <c r="T280" s="2251"/>
      <c r="U280" s="2251"/>
      <c r="V280" s="429"/>
    </row>
    <row r="281" spans="1:22" ht="16.149999999999999" customHeight="1">
      <c r="A281" s="420"/>
      <c r="B281" s="427"/>
      <c r="C281" s="427"/>
      <c r="D281" s="427"/>
      <c r="E281" s="427"/>
      <c r="F281" s="427"/>
      <c r="G281" s="427"/>
      <c r="H281" s="427"/>
      <c r="I281" s="427"/>
      <c r="J281" s="427"/>
      <c r="K281" s="427"/>
      <c r="L281" s="427"/>
      <c r="M281" s="427"/>
      <c r="N281" s="427"/>
      <c r="O281" s="427"/>
      <c r="P281" s="427"/>
      <c r="Q281" s="427"/>
      <c r="R281" s="427"/>
      <c r="S281" s="427"/>
      <c r="T281" s="427"/>
      <c r="U281" s="427"/>
      <c r="V281" s="420"/>
    </row>
    <row r="282" spans="1:22" ht="22.9" customHeight="1">
      <c r="B282" s="600"/>
      <c r="C282" s="601"/>
      <c r="D282" s="601"/>
      <c r="E282" s="601"/>
      <c r="F282" s="601"/>
      <c r="G282" s="601"/>
      <c r="H282" s="601"/>
      <c r="I282" s="601"/>
      <c r="J282" s="601"/>
      <c r="K282" s="601"/>
      <c r="L282" s="601"/>
      <c r="M282" s="601"/>
      <c r="N282" s="601"/>
      <c r="O282" s="601"/>
      <c r="P282" s="601"/>
      <c r="Q282" s="601"/>
      <c r="R282" s="601"/>
      <c r="S282" s="601"/>
      <c r="T282" s="602"/>
      <c r="U282" s="603"/>
      <c r="V282" s="441"/>
    </row>
    <row r="283" spans="1:22" ht="16.149999999999999" customHeight="1">
      <c r="A283" s="420"/>
      <c r="B283" s="485"/>
      <c r="C283" s="441"/>
      <c r="D283" s="441"/>
      <c r="E283" s="441"/>
      <c r="F283" s="441"/>
      <c r="G283" s="441"/>
      <c r="H283" s="441"/>
      <c r="I283" s="441"/>
      <c r="J283" s="441"/>
      <c r="K283" s="475"/>
      <c r="L283" s="475"/>
      <c r="M283" s="604"/>
      <c r="N283" s="605"/>
      <c r="O283" s="605"/>
      <c r="P283" s="606"/>
      <c r="Q283" s="607"/>
      <c r="R283" s="475"/>
      <c r="S283" s="475"/>
      <c r="T283" s="475"/>
      <c r="U283" s="442"/>
      <c r="V283" s="420"/>
    </row>
    <row r="284" spans="1:22" ht="46.9" customHeight="1">
      <c r="A284" s="420"/>
      <c r="B284" s="466"/>
      <c r="C284" s="2412" t="s">
        <v>492</v>
      </c>
      <c r="D284" s="2412"/>
      <c r="E284" s="2412"/>
      <c r="F284" s="2412"/>
      <c r="G284" s="2412"/>
      <c r="H284" s="2412"/>
      <c r="I284" s="2412"/>
      <c r="J284" s="2412"/>
      <c r="K284" s="491"/>
      <c r="L284" s="2392" t="s">
        <v>493</v>
      </c>
      <c r="M284" s="2393"/>
      <c r="N284" s="2393"/>
      <c r="O284" s="2393"/>
      <c r="P284" s="2393"/>
      <c r="Q284" s="2393"/>
      <c r="R284" s="2393"/>
      <c r="S284" s="2393"/>
      <c r="T284" s="2393"/>
      <c r="U284" s="2394"/>
      <c r="V284" s="420"/>
    </row>
    <row r="285" spans="1:22" ht="30" customHeight="1">
      <c r="A285" s="420"/>
      <c r="B285" s="485"/>
      <c r="C285" s="608"/>
      <c r="D285" s="608"/>
      <c r="E285" s="608"/>
      <c r="F285" s="608"/>
      <c r="G285" s="608"/>
      <c r="H285" s="608"/>
      <c r="I285" s="608"/>
      <c r="J285" s="608"/>
      <c r="K285" s="475"/>
      <c r="L285" s="475"/>
      <c r="M285" s="609"/>
      <c r="N285" s="609"/>
      <c r="O285" s="609"/>
      <c r="P285" s="609"/>
      <c r="Q285" s="609"/>
      <c r="R285" s="609"/>
      <c r="S285" s="609"/>
      <c r="T285" s="609"/>
      <c r="U285" s="442"/>
      <c r="V285" s="420"/>
    </row>
    <row r="286" spans="1:22" ht="22.15" customHeight="1">
      <c r="A286" s="420"/>
      <c r="B286" s="485"/>
      <c r="C286" s="2411" t="s">
        <v>494</v>
      </c>
      <c r="D286" s="2411"/>
      <c r="E286" s="2411"/>
      <c r="F286" s="2411"/>
      <c r="G286" s="2411"/>
      <c r="H286" s="2411"/>
      <c r="I286" s="2411"/>
      <c r="J286" s="561"/>
      <c r="K286" s="475"/>
      <c r="L286" s="2308" t="s">
        <v>495</v>
      </c>
      <c r="M286" s="2308"/>
      <c r="N286" s="2308"/>
      <c r="O286" s="2308"/>
      <c r="P286" s="610"/>
      <c r="Q286" s="2308" t="s">
        <v>501</v>
      </c>
      <c r="R286" s="2308"/>
      <c r="S286" s="2308"/>
      <c r="T286" s="2308"/>
      <c r="U286" s="2385"/>
      <c r="V286" s="420"/>
    </row>
    <row r="287" spans="1:22" ht="16.5" customHeight="1">
      <c r="A287" s="420"/>
      <c r="B287" s="485"/>
      <c r="C287" s="611"/>
      <c r="D287" s="611"/>
      <c r="E287" s="611"/>
      <c r="F287" s="611"/>
      <c r="G287" s="611"/>
      <c r="H287" s="611"/>
      <c r="I287" s="611"/>
      <c r="J287" s="561"/>
      <c r="K287" s="475"/>
      <c r="L287" s="475"/>
      <c r="M287" s="611"/>
      <c r="N287" s="611"/>
      <c r="O287" s="611"/>
      <c r="P287" s="611"/>
      <c r="Q287" s="611"/>
      <c r="R287" s="611"/>
      <c r="S287" s="611"/>
      <c r="T287" s="611"/>
      <c r="U287" s="442"/>
      <c r="V287" s="420"/>
    </row>
    <row r="288" spans="1:22" ht="27" customHeight="1">
      <c r="A288" s="420"/>
      <c r="B288" s="485"/>
      <c r="C288" s="548"/>
      <c r="D288" s="612"/>
      <c r="E288" s="613" t="s">
        <v>311</v>
      </c>
      <c r="F288" s="613" t="s">
        <v>312</v>
      </c>
      <c r="G288" s="613" t="s">
        <v>327</v>
      </c>
      <c r="H288" s="613" t="s">
        <v>496</v>
      </c>
      <c r="I288" s="613" t="s">
        <v>497</v>
      </c>
      <c r="J288" s="613" t="s">
        <v>498</v>
      </c>
      <c r="K288" s="475"/>
      <c r="L288" s="1940"/>
      <c r="M288" s="1941" t="s">
        <v>1919</v>
      </c>
      <c r="N288" s="1942" t="s">
        <v>312</v>
      </c>
      <c r="O288" s="1942" t="s">
        <v>327</v>
      </c>
      <c r="P288" s="1865"/>
      <c r="Q288" s="1894"/>
      <c r="R288" s="1894"/>
      <c r="S288" s="2351" t="s">
        <v>502</v>
      </c>
      <c r="T288" s="2352"/>
      <c r="U288" s="2353"/>
      <c r="V288" s="475"/>
    </row>
    <row r="289" spans="1:30" ht="25.5" customHeight="1">
      <c r="A289" s="420"/>
      <c r="B289" s="485"/>
      <c r="C289" s="2407" t="s">
        <v>499</v>
      </c>
      <c r="D289" s="2407"/>
      <c r="E289" s="614">
        <f t="shared" ref="E289:J289" si="0">0.45*(1-0.45)</f>
        <v>0.24750000000000003</v>
      </c>
      <c r="F289" s="614">
        <f t="shared" si="0"/>
        <v>0.24750000000000003</v>
      </c>
      <c r="G289" s="614">
        <f t="shared" si="0"/>
        <v>0.24750000000000003</v>
      </c>
      <c r="H289" s="614">
        <f t="shared" si="0"/>
        <v>0.24750000000000003</v>
      </c>
      <c r="I289" s="614">
        <f t="shared" si="0"/>
        <v>0.24750000000000003</v>
      </c>
      <c r="J289" s="614">
        <f t="shared" si="0"/>
        <v>0.24750000000000003</v>
      </c>
      <c r="K289" s="475"/>
      <c r="L289" s="1943" t="s">
        <v>938</v>
      </c>
      <c r="M289" s="1985">
        <v>0</v>
      </c>
      <c r="N289" s="614">
        <v>0.82499999999999996</v>
      </c>
      <c r="O289" s="614">
        <f>N289</f>
        <v>0.82499999999999996</v>
      </c>
      <c r="P289" s="1865"/>
      <c r="Q289" s="1944"/>
      <c r="R289" s="1944"/>
      <c r="S289" s="1941" t="s">
        <v>1919</v>
      </c>
      <c r="T289" s="1942" t="s">
        <v>312</v>
      </c>
      <c r="U289" s="1942" t="s">
        <v>327</v>
      </c>
      <c r="V289" s="475"/>
    </row>
    <row r="290" spans="1:30" ht="25.5" customHeight="1">
      <c r="A290" s="420"/>
      <c r="B290" s="485"/>
      <c r="C290" s="2407" t="s">
        <v>500</v>
      </c>
      <c r="D290" s="2407"/>
      <c r="E290" s="616">
        <v>0.26400000000000001</v>
      </c>
      <c r="F290" s="616">
        <v>0.39600000000000002</v>
      </c>
      <c r="G290" s="616">
        <v>0.42899999999999999</v>
      </c>
      <c r="H290" s="616">
        <v>0.627</v>
      </c>
      <c r="I290" s="616">
        <v>0.75900000000000001</v>
      </c>
      <c r="J290" s="616">
        <v>0.89100000000000001</v>
      </c>
      <c r="K290" s="475"/>
      <c r="L290" s="1943" t="s">
        <v>939</v>
      </c>
      <c r="M290" s="1984" t="s">
        <v>1920</v>
      </c>
      <c r="N290" s="1946">
        <v>0.77</v>
      </c>
      <c r="O290" s="1946">
        <v>1.21</v>
      </c>
      <c r="P290" s="1865"/>
      <c r="Q290" s="2354" t="s">
        <v>503</v>
      </c>
      <c r="R290" s="2354"/>
      <c r="S290" s="1947" t="s">
        <v>1921</v>
      </c>
      <c r="T290" s="1948">
        <v>1.5</v>
      </c>
      <c r="U290" s="1948">
        <v>1.5</v>
      </c>
      <c r="V290" s="475"/>
    </row>
    <row r="291" spans="1:30" ht="18" customHeight="1">
      <c r="A291" s="420"/>
      <c r="B291" s="485"/>
      <c r="C291" s="548"/>
      <c r="D291" s="548"/>
      <c r="E291" s="548"/>
      <c r="F291" s="548"/>
      <c r="G291" s="548"/>
      <c r="H291" s="548"/>
      <c r="I291" s="548"/>
      <c r="J291" s="548"/>
      <c r="K291" s="475"/>
      <c r="L291" s="1940"/>
      <c r="M291" s="1865"/>
      <c r="N291" s="1865"/>
      <c r="O291" s="1865"/>
      <c r="P291" s="1865"/>
      <c r="Q291" s="2355" t="s">
        <v>506</v>
      </c>
      <c r="R291" s="1941" t="s">
        <v>1919</v>
      </c>
      <c r="S291" s="1947" t="s">
        <v>1921</v>
      </c>
      <c r="T291" s="1948">
        <v>1.4</v>
      </c>
      <c r="U291" s="1948">
        <v>2.6</v>
      </c>
      <c r="V291" s="475"/>
    </row>
    <row r="292" spans="1:30" ht="22.15" customHeight="1">
      <c r="A292" s="420"/>
      <c r="B292" s="485"/>
      <c r="C292" s="441"/>
      <c r="D292" s="441"/>
      <c r="E292" s="617"/>
      <c r="F292" s="617"/>
      <c r="G292" s="617"/>
      <c r="H292" s="617"/>
      <c r="I292" s="617"/>
      <c r="J292" s="617"/>
      <c r="K292" s="475"/>
      <c r="L292" s="1940"/>
      <c r="M292" s="1867"/>
      <c r="N292" s="1867"/>
      <c r="O292" s="1867"/>
      <c r="P292" s="1949"/>
      <c r="Q292" s="2355"/>
      <c r="R292" s="1950" t="s">
        <v>312</v>
      </c>
      <c r="S292" s="1947">
        <v>1.26</v>
      </c>
      <c r="T292" s="1948">
        <v>1.4</v>
      </c>
      <c r="U292" s="1948">
        <v>2.6</v>
      </c>
      <c r="V292" s="475"/>
    </row>
    <row r="293" spans="1:30" ht="16.149999999999999" customHeight="1">
      <c r="A293" s="420"/>
      <c r="B293" s="485"/>
      <c r="C293" s="441"/>
      <c r="D293" s="441"/>
      <c r="E293" s="617"/>
      <c r="F293" s="617"/>
      <c r="G293" s="617"/>
      <c r="H293" s="617"/>
      <c r="I293" s="617"/>
      <c r="J293" s="617"/>
      <c r="K293" s="475"/>
      <c r="L293" s="1940"/>
      <c r="M293" s="1867"/>
      <c r="N293" s="1867"/>
      <c r="O293" s="1867"/>
      <c r="P293" s="1865"/>
      <c r="Q293" s="2355"/>
      <c r="R293" s="1950" t="s">
        <v>327</v>
      </c>
      <c r="S293" s="1947">
        <v>2.3400000000000003</v>
      </c>
      <c r="T293" s="1948">
        <v>2.6</v>
      </c>
      <c r="U293" s="1948">
        <v>2.6</v>
      </c>
      <c r="V293" s="475"/>
    </row>
    <row r="294" spans="1:30" ht="24" customHeight="1">
      <c r="A294" s="420"/>
      <c r="B294" s="485"/>
      <c r="C294" s="441"/>
      <c r="D294" s="441"/>
      <c r="E294" s="441"/>
      <c r="F294" s="441"/>
      <c r="G294" s="441"/>
      <c r="H294" s="441"/>
      <c r="I294" s="441"/>
      <c r="J294" s="441"/>
      <c r="K294" s="475"/>
      <c r="L294" s="475"/>
      <c r="M294" s="441"/>
      <c r="N294" s="441"/>
      <c r="O294" s="441"/>
      <c r="P294" s="441"/>
      <c r="Q294" s="441"/>
      <c r="R294" s="618"/>
      <c r="S294" s="441"/>
      <c r="T294" s="441"/>
      <c r="U294" s="442"/>
      <c r="V294" s="420"/>
    </row>
    <row r="295" spans="1:30" ht="22.15" customHeight="1">
      <c r="A295" s="420"/>
      <c r="B295" s="485"/>
      <c r="C295" s="2411" t="s">
        <v>234</v>
      </c>
      <c r="D295" s="2411"/>
      <c r="E295" s="2411"/>
      <c r="F295" s="2411"/>
      <c r="G295" s="2411"/>
      <c r="H295" s="2411"/>
      <c r="I295" s="2411"/>
      <c r="J295" s="548"/>
      <c r="K295" s="475"/>
      <c r="L295" s="2308" t="s">
        <v>510</v>
      </c>
      <c r="M295" s="2308"/>
      <c r="N295" s="2308"/>
      <c r="O295" s="2308"/>
      <c r="P295" s="610"/>
      <c r="Q295" s="2308" t="s">
        <v>507</v>
      </c>
      <c r="R295" s="2308"/>
      <c r="S295" s="2308"/>
      <c r="T295" s="2308"/>
      <c r="U295" s="2385"/>
      <c r="V295" s="420"/>
    </row>
    <row r="296" spans="1:30" ht="17.45" customHeight="1">
      <c r="A296" s="420"/>
      <c r="B296" s="485"/>
      <c r="C296" s="619"/>
      <c r="D296" s="619"/>
      <c r="E296" s="619"/>
      <c r="F296" s="619"/>
      <c r="G296" s="619"/>
      <c r="H296" s="619"/>
      <c r="I296" s="619"/>
      <c r="J296" s="548"/>
      <c r="K296" s="475"/>
      <c r="L296" s="2308"/>
      <c r="M296" s="2308"/>
      <c r="N296" s="2308"/>
      <c r="O296" s="2308"/>
      <c r="P296" s="441"/>
      <c r="Q296" s="441"/>
      <c r="R296" s="611"/>
      <c r="S296" s="611"/>
      <c r="T296" s="611"/>
      <c r="U296" s="442"/>
      <c r="V296" s="420"/>
    </row>
    <row r="297" spans="1:30" s="625" customFormat="1" ht="24" customHeight="1">
      <c r="A297" s="620"/>
      <c r="B297" s="508"/>
      <c r="C297" s="468"/>
      <c r="D297" s="619"/>
      <c r="E297" s="621" t="s">
        <v>504</v>
      </c>
      <c r="F297" s="622" t="s">
        <v>505</v>
      </c>
      <c r="G297" s="546"/>
      <c r="H297" s="619"/>
      <c r="I297" s="545"/>
      <c r="J297" s="623"/>
      <c r="K297" s="491"/>
      <c r="L297" s="2308"/>
      <c r="M297" s="2308"/>
      <c r="N297" s="2308"/>
      <c r="O297" s="2308"/>
      <c r="P297" s="624"/>
      <c r="Q297" s="1951"/>
      <c r="R297" s="1952"/>
      <c r="S297" s="2408" t="s">
        <v>508</v>
      </c>
      <c r="T297" s="2409"/>
      <c r="U297" s="2410"/>
      <c r="V297" s="620"/>
    </row>
    <row r="298" spans="1:30" s="625" customFormat="1" ht="24" customHeight="1">
      <c r="A298" s="620"/>
      <c r="B298" s="508"/>
      <c r="C298" s="441"/>
      <c r="D298" s="441"/>
      <c r="E298" s="441"/>
      <c r="F298" s="441"/>
      <c r="G298" s="441"/>
      <c r="H298" s="441"/>
      <c r="I298" s="441"/>
      <c r="J298" s="623"/>
      <c r="K298" s="491"/>
      <c r="L298" s="2308"/>
      <c r="M298" s="2308"/>
      <c r="N298" s="2308"/>
      <c r="O298" s="2308"/>
      <c r="P298" s="624"/>
      <c r="Q298" s="1951"/>
      <c r="R298" s="1953"/>
      <c r="S298" s="1941" t="s">
        <v>1919</v>
      </c>
      <c r="T298" s="1954" t="s">
        <v>312</v>
      </c>
      <c r="U298" s="1954" t="s">
        <v>327</v>
      </c>
      <c r="V298" s="620"/>
      <c r="Z298" s="2505"/>
      <c r="AA298" s="2505"/>
      <c r="AB298" s="2505"/>
      <c r="AC298" s="2505"/>
      <c r="AD298" s="2505"/>
    </row>
    <row r="299" spans="1:30" s="625" customFormat="1" ht="24" customHeight="1">
      <c r="A299" s="620"/>
      <c r="B299" s="508"/>
      <c r="C299" s="623"/>
      <c r="D299" s="623"/>
      <c r="E299" s="623"/>
      <c r="F299" s="623"/>
      <c r="G299" s="623"/>
      <c r="H299" s="623"/>
      <c r="I299" s="623"/>
      <c r="J299" s="623"/>
      <c r="K299" s="491"/>
      <c r="L299" s="491"/>
      <c r="M299" s="624"/>
      <c r="N299" s="624"/>
      <c r="O299" s="624"/>
      <c r="P299" s="624"/>
      <c r="Q299" s="2506" t="s">
        <v>509</v>
      </c>
      <c r="R299" s="1941" t="s">
        <v>1919</v>
      </c>
      <c r="S299" s="1947" t="s">
        <v>1921</v>
      </c>
      <c r="T299" s="1948">
        <v>1</v>
      </c>
      <c r="U299" s="1948">
        <v>1</v>
      </c>
      <c r="V299" s="620"/>
      <c r="Z299" s="2505"/>
      <c r="AA299" s="2505"/>
      <c r="AB299" s="626"/>
      <c r="AC299" s="626"/>
      <c r="AD299" s="626"/>
    </row>
    <row r="300" spans="1:30" s="625" customFormat="1" ht="24" customHeight="1">
      <c r="A300" s="620"/>
      <c r="B300" s="508"/>
      <c r="C300" s="623"/>
      <c r="D300" s="623"/>
      <c r="E300" s="623"/>
      <c r="F300" s="623"/>
      <c r="G300" s="623"/>
      <c r="H300" s="623"/>
      <c r="I300" s="623"/>
      <c r="J300" s="623"/>
      <c r="K300" s="491"/>
      <c r="L300" s="491"/>
      <c r="M300" s="624"/>
      <c r="N300" s="624"/>
      <c r="O300" s="624"/>
      <c r="P300" s="624"/>
      <c r="Q300" s="2506"/>
      <c r="R300" s="1954" t="s">
        <v>312</v>
      </c>
      <c r="S300" s="1948">
        <v>1</v>
      </c>
      <c r="T300" s="1948">
        <v>1</v>
      </c>
      <c r="U300" s="1948">
        <v>1</v>
      </c>
      <c r="V300" s="620"/>
      <c r="Z300" s="2505"/>
      <c r="AA300" s="626"/>
      <c r="AB300" s="627"/>
      <c r="AC300" s="627"/>
      <c r="AD300" s="627"/>
    </row>
    <row r="301" spans="1:30" s="625" customFormat="1" ht="24" customHeight="1">
      <c r="A301" s="620"/>
      <c r="B301" s="508"/>
      <c r="C301" s="623"/>
      <c r="D301" s="623"/>
      <c r="E301" s="623"/>
      <c r="F301" s="623"/>
      <c r="G301" s="623"/>
      <c r="H301" s="623"/>
      <c r="I301" s="623"/>
      <c r="J301" s="623"/>
      <c r="K301" s="491"/>
      <c r="L301" s="491"/>
      <c r="M301" s="624"/>
      <c r="N301" s="624"/>
      <c r="O301" s="624"/>
      <c r="P301" s="624"/>
      <c r="Q301" s="2506"/>
      <c r="R301" s="1954" t="s">
        <v>327</v>
      </c>
      <c r="S301" s="1948">
        <v>1</v>
      </c>
      <c r="T301" s="1948">
        <v>1</v>
      </c>
      <c r="U301" s="1948">
        <v>1</v>
      </c>
      <c r="V301" s="620"/>
      <c r="Z301" s="2505"/>
      <c r="AA301" s="626"/>
      <c r="AB301" s="627"/>
      <c r="AC301" s="627"/>
      <c r="AD301" s="627"/>
    </row>
    <row r="302" spans="1:30" ht="16.149999999999999" customHeight="1">
      <c r="A302" s="420"/>
      <c r="B302" s="485"/>
      <c r="C302" s="548"/>
      <c r="D302" s="623"/>
      <c r="E302" s="623"/>
      <c r="F302" s="623"/>
      <c r="G302" s="623"/>
      <c r="H302" s="623"/>
      <c r="I302" s="623"/>
      <c r="J302" s="623"/>
      <c r="K302" s="623"/>
      <c r="L302" s="623"/>
      <c r="M302" s="628"/>
      <c r="N302" s="561"/>
      <c r="O302" s="561"/>
      <c r="P302" s="561"/>
      <c r="Q302" s="561"/>
      <c r="R302" s="561"/>
      <c r="S302" s="561"/>
      <c r="T302" s="561"/>
      <c r="U302" s="442"/>
      <c r="V302" s="420"/>
      <c r="Z302" s="2505"/>
      <c r="AA302" s="626"/>
      <c r="AB302" s="627"/>
      <c r="AC302" s="627"/>
      <c r="AD302" s="627"/>
    </row>
    <row r="303" spans="1:30" ht="16.149999999999999" customHeight="1">
      <c r="A303" s="420"/>
      <c r="B303" s="485"/>
      <c r="C303" s="548"/>
      <c r="D303" s="623"/>
      <c r="E303" s="623"/>
      <c r="F303" s="623"/>
      <c r="G303" s="623"/>
      <c r="H303" s="623"/>
      <c r="I303" s="623"/>
      <c r="J303" s="623"/>
      <c r="K303" s="623"/>
      <c r="L303" s="623"/>
      <c r="M303" s="628"/>
      <c r="N303" s="561"/>
      <c r="O303" s="561"/>
      <c r="P303" s="561"/>
      <c r="Q303" s="561"/>
      <c r="R303" s="561"/>
      <c r="S303" s="561"/>
      <c r="T303" s="561"/>
      <c r="U303" s="442"/>
      <c r="V303" s="420"/>
      <c r="Z303" s="626"/>
      <c r="AA303" s="626"/>
      <c r="AB303" s="627"/>
      <c r="AC303" s="627"/>
      <c r="AD303" s="627"/>
    </row>
    <row r="304" spans="1:30" ht="16.149999999999999" customHeight="1">
      <c r="A304" s="420"/>
      <c r="B304" s="485"/>
      <c r="C304" s="548"/>
      <c r="D304" s="623"/>
      <c r="E304" s="623"/>
      <c r="F304" s="623"/>
      <c r="G304" s="623"/>
      <c r="H304" s="623"/>
      <c r="I304" s="623"/>
      <c r="J304" s="623"/>
      <c r="K304" s="623"/>
      <c r="P304" s="561"/>
      <c r="Q304" s="561"/>
      <c r="R304" s="561"/>
      <c r="S304" s="561"/>
      <c r="T304" s="561"/>
      <c r="U304" s="442"/>
      <c r="V304" s="420"/>
      <c r="Z304" s="626"/>
      <c r="AA304" s="626"/>
      <c r="AB304" s="627"/>
      <c r="AC304" s="627"/>
      <c r="AD304" s="627"/>
    </row>
    <row r="305" spans="1:30" ht="22.15" customHeight="1">
      <c r="A305" s="420"/>
      <c r="B305" s="485"/>
      <c r="C305" s="548"/>
      <c r="D305" s="623"/>
      <c r="E305" s="623"/>
      <c r="F305" s="623"/>
      <c r="G305" s="623"/>
      <c r="H305" s="623"/>
      <c r="I305" s="623"/>
      <c r="J305" s="623"/>
      <c r="K305" s="623"/>
      <c r="L305" s="2308" t="s">
        <v>986</v>
      </c>
      <c r="M305" s="2308"/>
      <c r="N305" s="2308"/>
      <c r="O305" s="2308"/>
      <c r="P305" s="561"/>
      <c r="Q305" s="2308" t="s">
        <v>987</v>
      </c>
      <c r="R305" s="2308"/>
      <c r="S305" s="2308"/>
      <c r="T305" s="2308"/>
      <c r="U305" s="442"/>
      <c r="V305" s="420"/>
      <c r="Z305" s="626"/>
      <c r="AA305" s="626"/>
      <c r="AB305" s="627"/>
      <c r="AC305" s="627"/>
      <c r="AD305" s="627"/>
    </row>
    <row r="306" spans="1:30" ht="23.25">
      <c r="A306" s="420"/>
      <c r="B306" s="485"/>
      <c r="C306" s="548"/>
      <c r="D306" s="623"/>
      <c r="E306" s="623"/>
      <c r="F306" s="623"/>
      <c r="G306" s="623"/>
      <c r="H306" s="623"/>
      <c r="I306" s="623"/>
      <c r="J306" s="623"/>
      <c r="K306" s="623"/>
      <c r="L306" s="2308"/>
      <c r="M306" s="2308"/>
      <c r="N306" s="2308"/>
      <c r="O306" s="2308"/>
      <c r="P306" s="561"/>
      <c r="Q306" s="2308"/>
      <c r="R306" s="2308"/>
      <c r="S306" s="2308"/>
      <c r="T306" s="2308"/>
      <c r="U306" s="599"/>
      <c r="V306" s="420"/>
      <c r="Z306" s="626"/>
      <c r="AA306" s="626"/>
      <c r="AB306" s="627"/>
      <c r="AC306" s="627"/>
      <c r="AD306" s="627"/>
    </row>
    <row r="307" spans="1:30" ht="54">
      <c r="A307" s="420"/>
      <c r="B307" s="485"/>
      <c r="C307" s="548"/>
      <c r="D307" s="623"/>
      <c r="E307" s="623"/>
      <c r="F307" s="623"/>
      <c r="G307" s="623"/>
      <c r="H307" s="623"/>
      <c r="I307" s="623"/>
      <c r="J307" s="623"/>
      <c r="K307" s="623"/>
      <c r="L307" s="1867"/>
      <c r="M307" s="1867"/>
      <c r="N307" s="1867"/>
      <c r="O307" s="1867"/>
      <c r="P307" s="1865"/>
      <c r="Q307" s="1951"/>
      <c r="R307" s="1865"/>
      <c r="S307" s="1986" t="s">
        <v>1922</v>
      </c>
      <c r="T307" s="1986" t="s">
        <v>1962</v>
      </c>
      <c r="U307" s="1976"/>
      <c r="Z307" s="626"/>
      <c r="AA307" s="626"/>
      <c r="AB307" s="627"/>
      <c r="AC307" s="627"/>
      <c r="AD307" s="627"/>
    </row>
    <row r="308" spans="1:30" ht="27" customHeight="1">
      <c r="A308" s="420"/>
      <c r="B308" s="485"/>
      <c r="C308" s="548"/>
      <c r="D308" s="623"/>
      <c r="E308" s="623"/>
      <c r="F308" s="623"/>
      <c r="G308" s="623"/>
      <c r="H308" s="623"/>
      <c r="I308" s="623"/>
      <c r="J308" s="623"/>
      <c r="K308" s="623"/>
      <c r="L308" s="1956"/>
      <c r="M308" s="1941" t="s">
        <v>1919</v>
      </c>
      <c r="N308" s="1942" t="s">
        <v>312</v>
      </c>
      <c r="O308" s="1942" t="s">
        <v>327</v>
      </c>
      <c r="P308" s="1934"/>
      <c r="Q308" s="2356" t="s">
        <v>960</v>
      </c>
      <c r="R308" s="2357"/>
      <c r="S308" s="2360">
        <v>1</v>
      </c>
      <c r="T308" s="2360">
        <v>8</v>
      </c>
      <c r="U308" s="599"/>
      <c r="Z308" s="626"/>
      <c r="AA308" s="626"/>
      <c r="AB308" s="627"/>
      <c r="AC308" s="627"/>
      <c r="AD308" s="627"/>
    </row>
    <row r="309" spans="1:30" ht="25.5" customHeight="1">
      <c r="A309" s="420"/>
      <c r="B309" s="485"/>
      <c r="C309" s="548"/>
      <c r="D309" s="623"/>
      <c r="E309" s="623"/>
      <c r="F309" s="623"/>
      <c r="G309" s="623"/>
      <c r="H309" s="623"/>
      <c r="I309" s="623"/>
      <c r="J309" s="623"/>
      <c r="K309" s="441"/>
      <c r="L309" s="1957" t="s">
        <v>988</v>
      </c>
      <c r="M309" s="1947" t="s">
        <v>1921</v>
      </c>
      <c r="N309" s="2362" t="s">
        <v>957</v>
      </c>
      <c r="O309" s="2363"/>
      <c r="P309" s="1958"/>
      <c r="Q309" s="2358"/>
      <c r="R309" s="2359"/>
      <c r="S309" s="2361"/>
      <c r="T309" s="2361"/>
      <c r="U309" s="599"/>
      <c r="Z309" s="626"/>
      <c r="AA309" s="626"/>
      <c r="AB309" s="627"/>
      <c r="AC309" s="627"/>
      <c r="AD309" s="627"/>
    </row>
    <row r="310" spans="1:30" ht="16.149999999999999" customHeight="1">
      <c r="A310" s="420"/>
      <c r="B310" s="485"/>
      <c r="C310" s="548"/>
      <c r="D310" s="623"/>
      <c r="E310" s="623"/>
      <c r="F310" s="623"/>
      <c r="G310" s="623"/>
      <c r="H310" s="623"/>
      <c r="I310" s="623"/>
      <c r="J310" s="623"/>
      <c r="K310" s="441"/>
      <c r="L310" s="1867"/>
      <c r="M310" s="1959"/>
      <c r="N310" s="1959"/>
      <c r="O310" s="1959"/>
      <c r="P310" s="1959"/>
      <c r="Q310" s="2379" t="s">
        <v>961</v>
      </c>
      <c r="R310" s="2380"/>
      <c r="S310" s="2383">
        <v>4.5</v>
      </c>
      <c r="T310" s="2360">
        <v>30</v>
      </c>
      <c r="U310" s="1960"/>
      <c r="Z310" s="626"/>
      <c r="AA310" s="626"/>
      <c r="AB310" s="627"/>
      <c r="AC310" s="627"/>
      <c r="AD310" s="627"/>
    </row>
    <row r="311" spans="1:30" ht="16.149999999999999" customHeight="1">
      <c r="A311" s="420"/>
      <c r="B311" s="485"/>
      <c r="C311" s="548"/>
      <c r="D311" s="623"/>
      <c r="E311" s="623"/>
      <c r="F311" s="623"/>
      <c r="G311" s="623"/>
      <c r="H311" s="623"/>
      <c r="I311" s="623"/>
      <c r="J311" s="623"/>
      <c r="K311" s="441"/>
      <c r="L311" s="1961"/>
      <c r="M311" s="1961"/>
      <c r="N311" s="1961"/>
      <c r="O311" s="1961"/>
      <c r="P311" s="1959"/>
      <c r="Q311" s="2381"/>
      <c r="R311" s="2382"/>
      <c r="S311" s="2384"/>
      <c r="T311" s="2361"/>
      <c r="U311" s="1960"/>
      <c r="Z311" s="626"/>
      <c r="AA311" s="626"/>
      <c r="AB311" s="627"/>
      <c r="AC311" s="627"/>
      <c r="AD311" s="627"/>
    </row>
    <row r="312" spans="1:30" ht="16.149999999999999" customHeight="1">
      <c r="A312" s="420"/>
      <c r="B312" s="485"/>
      <c r="C312" s="548"/>
      <c r="D312" s="623"/>
      <c r="E312" s="623"/>
      <c r="F312" s="623"/>
      <c r="G312" s="623"/>
      <c r="H312" s="623"/>
      <c r="I312" s="623"/>
      <c r="J312" s="623"/>
      <c r="K312" s="441"/>
      <c r="L312" s="739"/>
      <c r="M312" s="739"/>
      <c r="N312" s="739"/>
      <c r="O312" s="739"/>
      <c r="P312" s="630"/>
      <c r="Q312" s="632"/>
      <c r="R312" s="632"/>
      <c r="S312" s="630"/>
      <c r="T312" s="630"/>
      <c r="U312" s="631"/>
      <c r="V312" s="420"/>
      <c r="Z312" s="626"/>
      <c r="AA312" s="626"/>
      <c r="AB312" s="627"/>
      <c r="AC312" s="627"/>
      <c r="AD312" s="627"/>
    </row>
    <row r="313" spans="1:30" ht="16.149999999999999" customHeight="1">
      <c r="A313" s="420"/>
      <c r="B313" s="485"/>
      <c r="C313" s="548"/>
      <c r="D313" s="623"/>
      <c r="E313" s="623"/>
      <c r="F313" s="623"/>
      <c r="G313" s="623"/>
      <c r="H313" s="623"/>
      <c r="I313" s="623"/>
      <c r="J313" s="623"/>
      <c r="K313" s="623"/>
      <c r="L313" s="739"/>
      <c r="M313" s="739"/>
      <c r="N313" s="739"/>
      <c r="O313" s="739"/>
      <c r="P313" s="561"/>
      <c r="Q313" s="504"/>
      <c r="R313" s="504"/>
      <c r="S313" s="561"/>
      <c r="T313" s="561"/>
      <c r="U313" s="442"/>
      <c r="V313" s="420"/>
      <c r="Z313" s="626"/>
      <c r="AA313" s="626"/>
      <c r="AB313" s="627"/>
      <c r="AC313" s="627"/>
      <c r="AD313" s="627"/>
    </row>
    <row r="314" spans="1:30" ht="18.399999999999999" customHeight="1">
      <c r="A314" s="429"/>
      <c r="B314" s="633"/>
      <c r="C314" s="634"/>
      <c r="D314" s="634"/>
      <c r="E314" s="634"/>
      <c r="F314" s="634"/>
      <c r="G314" s="634"/>
      <c r="H314" s="634"/>
      <c r="I314" s="634"/>
      <c r="J314" s="634"/>
      <c r="K314" s="634"/>
      <c r="L314" s="561"/>
      <c r="M314" s="441"/>
      <c r="N314" s="634"/>
      <c r="O314" s="634"/>
      <c r="P314" s="634"/>
      <c r="Q314" s="634"/>
      <c r="R314" s="634"/>
      <c r="S314" s="634"/>
      <c r="T314" s="635"/>
      <c r="U314" s="636"/>
      <c r="V314" s="429"/>
    </row>
    <row r="315" spans="1:30" ht="8.4499999999999993" customHeight="1">
      <c r="A315" s="429"/>
      <c r="B315" s="637"/>
      <c r="C315" s="635"/>
      <c r="D315" s="635"/>
      <c r="E315" s="635"/>
      <c r="F315" s="635"/>
      <c r="G315" s="635"/>
      <c r="H315" s="635"/>
      <c r="I315" s="635"/>
      <c r="J315" s="635"/>
      <c r="K315" s="635"/>
      <c r="L315" s="635"/>
      <c r="M315" s="635"/>
      <c r="N315" s="635"/>
      <c r="O315" s="635"/>
      <c r="P315" s="635"/>
      <c r="Q315" s="635"/>
      <c r="R315" s="635"/>
      <c r="S315" s="635"/>
      <c r="T315" s="635"/>
      <c r="U315" s="638"/>
      <c r="V315" s="429"/>
    </row>
    <row r="316" spans="1:30" ht="8.4499999999999993" customHeight="1">
      <c r="A316" s="429"/>
      <c r="B316" s="639"/>
      <c r="C316" s="640"/>
      <c r="D316" s="640"/>
      <c r="E316" s="640"/>
      <c r="F316" s="640"/>
      <c r="G316" s="640"/>
      <c r="H316" s="640"/>
      <c r="I316" s="640"/>
      <c r="J316" s="640"/>
      <c r="K316" s="640"/>
      <c r="L316" s="640"/>
      <c r="M316" s="640"/>
      <c r="N316" s="640"/>
      <c r="O316" s="2507"/>
      <c r="P316" s="2507"/>
      <c r="Q316" s="641"/>
      <c r="R316" s="641"/>
      <c r="S316" s="641"/>
      <c r="T316" s="641"/>
      <c r="U316" s="642"/>
      <c r="V316" s="429"/>
      <c r="AB316" s="643"/>
      <c r="AC316" s="643"/>
      <c r="AD316" s="643"/>
    </row>
    <row r="317" spans="1:30" ht="19.149999999999999" customHeight="1">
      <c r="B317" s="520" t="s">
        <v>699</v>
      </c>
      <c r="C317" s="644"/>
      <c r="D317" s="644"/>
      <c r="E317" s="644"/>
      <c r="F317" s="644"/>
      <c r="G317" s="644"/>
      <c r="H317" s="644"/>
      <c r="I317" s="644"/>
      <c r="J317" s="644"/>
      <c r="K317" s="644"/>
      <c r="L317" s="644"/>
      <c r="M317" s="644"/>
      <c r="N317" s="644"/>
      <c r="O317" s="645"/>
      <c r="P317" s="645"/>
      <c r="Q317" s="645"/>
      <c r="R317" s="645"/>
      <c r="S317" s="645"/>
      <c r="T317" s="645"/>
      <c r="U317" s="644"/>
    </row>
    <row r="318" spans="1:30" ht="16.899999999999999" customHeight="1">
      <c r="B318" s="522"/>
      <c r="C318" s="585"/>
      <c r="D318" s="584"/>
      <c r="E318" s="584"/>
      <c r="F318" s="584"/>
      <c r="G318" s="586"/>
      <c r="H318" s="586"/>
      <c r="I318" s="586"/>
      <c r="J318" s="586"/>
      <c r="K318" s="587"/>
      <c r="L318" s="587"/>
      <c r="M318" s="476" t="s">
        <v>1802</v>
      </c>
      <c r="N318" s="587"/>
      <c r="O318" s="587"/>
      <c r="P318" s="587"/>
      <c r="Q318" s="561"/>
      <c r="R318" s="477" t="s">
        <v>692</v>
      </c>
      <c r="S318" s="478" t="str">
        <f>$E$39</f>
        <v>ILF5_90FCORCP_B114CAGR43006</v>
      </c>
      <c r="T318" s="441"/>
      <c r="U318" s="588"/>
      <c r="V318" s="441"/>
    </row>
    <row r="319" spans="1:30" ht="16.899999999999999" customHeight="1">
      <c r="B319" s="522"/>
      <c r="C319" s="585"/>
      <c r="D319" s="584"/>
      <c r="E319" s="584"/>
      <c r="F319" s="584"/>
      <c r="G319" s="586"/>
      <c r="H319" s="586"/>
      <c r="I319" s="586"/>
      <c r="J319" s="586"/>
      <c r="K319" s="587"/>
      <c r="L319" s="587"/>
      <c r="M319" s="587"/>
      <c r="N319" s="587"/>
      <c r="O319" s="587"/>
      <c r="P319" s="587"/>
      <c r="Q319" s="561"/>
      <c r="R319" s="561"/>
      <c r="S319" s="441"/>
      <c r="T319" s="441"/>
      <c r="U319" s="588"/>
      <c r="V319" s="441"/>
    </row>
    <row r="320" spans="1:30">
      <c r="H320" s="436" t="s">
        <v>691</v>
      </c>
      <c r="I320" s="420"/>
      <c r="K320" s="420"/>
      <c r="L320" s="437" t="str">
        <f>$B$11</f>
        <v>INMOBILIARIA SERVIGESTION</v>
      </c>
    </row>
    <row r="321" spans="2:21" ht="30">
      <c r="B321" s="2395" t="s">
        <v>461</v>
      </c>
      <c r="C321" s="2395"/>
      <c r="D321" s="2395"/>
      <c r="E321" s="2395"/>
      <c r="F321" s="2395"/>
      <c r="G321" s="2395"/>
      <c r="H321" s="2395"/>
      <c r="I321" s="2395"/>
      <c r="J321" s="2395"/>
      <c r="K321" s="2395"/>
      <c r="L321" s="2395"/>
      <c r="M321" s="2395"/>
      <c r="N321" s="2395"/>
      <c r="O321" s="2395"/>
      <c r="P321" s="2395"/>
      <c r="Q321" s="2395"/>
      <c r="R321" s="2395"/>
      <c r="S321" s="2395"/>
      <c r="T321" s="2395"/>
      <c r="U321" s="2395"/>
    </row>
    <row r="322" spans="2:21" ht="22.9" customHeight="1">
      <c r="B322" s="2269" t="s">
        <v>793</v>
      </c>
      <c r="C322" s="2269"/>
      <c r="D322" s="2269"/>
      <c r="E322" s="2269"/>
      <c r="F322" s="2269"/>
      <c r="G322" s="2269"/>
      <c r="H322" s="2269"/>
      <c r="I322" s="2269"/>
      <c r="J322" s="2269"/>
      <c r="K322" s="2269"/>
      <c r="L322" s="2269"/>
      <c r="M322" s="2269"/>
      <c r="N322" s="2269"/>
      <c r="O322" s="2269"/>
      <c r="P322" s="2269"/>
      <c r="Q322" s="2269"/>
      <c r="R322" s="2269"/>
      <c r="S322" s="2269"/>
      <c r="T322" s="2269"/>
      <c r="U322" s="2269"/>
    </row>
    <row r="325" spans="2:21" ht="23.25">
      <c r="C325" s="2456" t="s">
        <v>1923</v>
      </c>
      <c r="D325" s="2456"/>
      <c r="E325" s="2456"/>
      <c r="F325" s="2456"/>
      <c r="G325" s="2456"/>
      <c r="H325" s="2456"/>
      <c r="I325" s="2456"/>
      <c r="J325" s="2456"/>
      <c r="K325" s="2456"/>
      <c r="L325" s="2456"/>
      <c r="M325" s="2456"/>
      <c r="N325" s="2456"/>
      <c r="O325" s="2456"/>
      <c r="P325" s="2456"/>
      <c r="Q325" s="2456"/>
      <c r="R325" s="1137"/>
      <c r="S325" s="470"/>
    </row>
    <row r="326" spans="2:21" ht="15">
      <c r="C326" s="1962" t="s">
        <v>516</v>
      </c>
      <c r="D326" s="1963" t="s">
        <v>539</v>
      </c>
      <c r="E326" s="1964" t="s">
        <v>546</v>
      </c>
      <c r="F326" s="1964" t="s">
        <v>551</v>
      </c>
      <c r="G326" s="1964" t="s">
        <v>561</v>
      </c>
      <c r="H326" s="1964" t="s">
        <v>577</v>
      </c>
      <c r="I326" s="1964" t="s">
        <v>582</v>
      </c>
      <c r="J326" s="1964" t="s">
        <v>601</v>
      </c>
      <c r="K326" s="1964" t="s">
        <v>662</v>
      </c>
      <c r="L326" s="1964" t="s">
        <v>611</v>
      </c>
      <c r="M326" s="1964" t="s">
        <v>620</v>
      </c>
      <c r="N326" s="1964" t="s">
        <v>627</v>
      </c>
      <c r="O326" s="1964" t="s">
        <v>633</v>
      </c>
      <c r="P326" s="1964" t="s">
        <v>663</v>
      </c>
      <c r="Q326" s="1965" t="s">
        <v>640</v>
      </c>
      <c r="R326" s="1136"/>
      <c r="S326" s="647"/>
    </row>
    <row r="327" spans="2:21" ht="15">
      <c r="C327" s="1962" t="s">
        <v>522</v>
      </c>
      <c r="D327" s="1963" t="s">
        <v>363</v>
      </c>
      <c r="E327" s="1964" t="s">
        <v>541</v>
      </c>
      <c r="F327" s="1964" t="s">
        <v>661</v>
      </c>
      <c r="G327" s="1964" t="s">
        <v>566</v>
      </c>
      <c r="H327" s="1964" t="s">
        <v>590</v>
      </c>
      <c r="I327" s="1964" t="s">
        <v>587</v>
      </c>
      <c r="J327" s="1964" t="s">
        <v>604</v>
      </c>
      <c r="K327" s="1964" t="s">
        <v>571</v>
      </c>
      <c r="L327" s="1964" t="s">
        <v>614</v>
      </c>
      <c r="M327" s="1964" t="s">
        <v>623</v>
      </c>
      <c r="N327" s="1867" t="s">
        <v>629</v>
      </c>
      <c r="O327" s="1964" t="s">
        <v>635</v>
      </c>
      <c r="P327" s="1964" t="s">
        <v>583</v>
      </c>
      <c r="Q327" s="1965" t="s">
        <v>641</v>
      </c>
      <c r="R327" s="1136"/>
      <c r="S327" s="647"/>
    </row>
    <row r="328" spans="2:21" ht="15">
      <c r="C328" s="1962" t="s">
        <v>529</v>
      </c>
      <c r="D328" s="1963" t="s">
        <v>534</v>
      </c>
      <c r="E328" s="1964" t="s">
        <v>545</v>
      </c>
      <c r="F328" s="1964" t="s">
        <v>556</v>
      </c>
      <c r="G328" s="1964" t="s">
        <v>572</v>
      </c>
      <c r="H328" s="1964" t="s">
        <v>603</v>
      </c>
      <c r="I328" s="1964" t="s">
        <v>597</v>
      </c>
      <c r="J328" s="1964" t="s">
        <v>552</v>
      </c>
      <c r="K328" s="1964" t="s">
        <v>565</v>
      </c>
      <c r="L328" s="1964" t="s">
        <v>617</v>
      </c>
      <c r="M328" s="1964" t="s">
        <v>619</v>
      </c>
      <c r="N328" s="1964" t="s">
        <v>631</v>
      </c>
      <c r="O328" s="1964" t="s">
        <v>1924</v>
      </c>
      <c r="P328" s="1964" t="s">
        <v>639</v>
      </c>
      <c r="Q328" s="1965" t="s">
        <v>642</v>
      </c>
      <c r="R328" s="595"/>
      <c r="S328" s="647"/>
    </row>
    <row r="329" spans="2:21">
      <c r="C329" s="598"/>
      <c r="D329" s="598"/>
      <c r="E329" s="598"/>
      <c r="F329" s="598"/>
      <c r="G329" s="598"/>
      <c r="H329" s="598"/>
      <c r="I329" s="598"/>
      <c r="J329" s="598"/>
      <c r="K329" s="598"/>
      <c r="L329" s="598"/>
      <c r="M329" s="598"/>
      <c r="N329" s="598"/>
      <c r="O329" s="598"/>
      <c r="P329" s="598"/>
      <c r="Q329" s="598"/>
      <c r="R329" s="441"/>
    </row>
    <row r="330" spans="2:21" ht="23.25">
      <c r="C330" s="2457" t="s">
        <v>925</v>
      </c>
      <c r="D330" s="2457"/>
      <c r="E330" s="2457"/>
      <c r="F330" s="2457"/>
      <c r="G330" s="2457"/>
      <c r="H330" s="2457"/>
      <c r="I330" s="2457"/>
      <c r="J330" s="2457"/>
      <c r="K330" s="2457"/>
      <c r="L330" s="2457"/>
      <c r="M330" s="2457"/>
      <c r="N330" s="2457"/>
      <c r="O330" s="2457"/>
      <c r="P330" s="2457"/>
      <c r="Q330" s="2457"/>
      <c r="R330" s="1137"/>
      <c r="S330" s="470"/>
    </row>
    <row r="331" spans="2:21" ht="15">
      <c r="C331" s="591" t="s">
        <v>525</v>
      </c>
      <c r="D331" s="592" t="s">
        <v>543</v>
      </c>
      <c r="E331" s="646" t="s">
        <v>550</v>
      </c>
      <c r="F331" s="646" t="s">
        <v>558</v>
      </c>
      <c r="G331" s="646" t="s">
        <v>580</v>
      </c>
      <c r="H331" s="646" t="s">
        <v>613</v>
      </c>
      <c r="I331" s="646" t="s">
        <v>549</v>
      </c>
      <c r="J331" s="646" t="s">
        <v>622</v>
      </c>
      <c r="K331" s="646" t="s">
        <v>624</v>
      </c>
      <c r="L331" s="646" t="s">
        <v>628</v>
      </c>
      <c r="M331" s="646" t="s">
        <v>928</v>
      </c>
      <c r="N331" s="646" t="s">
        <v>588</v>
      </c>
      <c r="O331" s="646" t="s">
        <v>930</v>
      </c>
      <c r="P331" s="646" t="s">
        <v>596</v>
      </c>
      <c r="Q331" s="593" t="s">
        <v>638</v>
      </c>
      <c r="R331" s="1136"/>
      <c r="S331" s="647"/>
    </row>
    <row r="332" spans="2:21" ht="15">
      <c r="C332" s="591" t="s">
        <v>520</v>
      </c>
      <c r="D332" s="592" t="s">
        <v>548</v>
      </c>
      <c r="E332" s="646" t="s">
        <v>554</v>
      </c>
      <c r="F332" s="646" t="s">
        <v>575</v>
      </c>
      <c r="G332" s="646" t="s">
        <v>595</v>
      </c>
      <c r="H332" s="646" t="s">
        <v>926</v>
      </c>
      <c r="I332" s="646" t="s">
        <v>559</v>
      </c>
      <c r="J332" s="646" t="s">
        <v>567</v>
      </c>
      <c r="K332" s="646" t="s">
        <v>927</v>
      </c>
      <c r="L332" s="646" t="s">
        <v>630</v>
      </c>
      <c r="M332" s="646" t="s">
        <v>929</v>
      </c>
      <c r="N332" s="646" t="s">
        <v>581</v>
      </c>
      <c r="O332" s="646" t="s">
        <v>586</v>
      </c>
      <c r="P332" s="646" t="s">
        <v>600</v>
      </c>
      <c r="Q332" s="646"/>
      <c r="R332" s="1136"/>
      <c r="S332" s="647"/>
    </row>
    <row r="333" spans="2:21">
      <c r="C333" s="598"/>
      <c r="D333" s="598"/>
      <c r="E333" s="598"/>
      <c r="F333" s="598"/>
      <c r="G333" s="598"/>
      <c r="H333" s="598"/>
      <c r="I333" s="598"/>
      <c r="J333" s="598"/>
      <c r="K333" s="598"/>
      <c r="L333" s="598"/>
      <c r="M333" s="598"/>
      <c r="N333" s="598"/>
      <c r="O333" s="598"/>
      <c r="P333" s="598"/>
      <c r="Q333" s="598"/>
      <c r="R333" s="441"/>
    </row>
    <row r="334" spans="2:21">
      <c r="C334" s="598"/>
      <c r="D334" s="598"/>
      <c r="E334" s="598"/>
      <c r="F334" s="598"/>
      <c r="G334" s="598"/>
      <c r="H334" s="598"/>
      <c r="I334" s="598"/>
      <c r="J334" s="598"/>
      <c r="K334" s="598"/>
      <c r="L334" s="598"/>
      <c r="M334" s="598"/>
      <c r="N334" s="598"/>
      <c r="O334" s="598"/>
      <c r="P334" s="598"/>
      <c r="Q334" s="598"/>
      <c r="R334" s="598"/>
    </row>
    <row r="335" spans="2:21">
      <c r="C335" s="441"/>
      <c r="D335" s="441"/>
      <c r="E335" s="441"/>
      <c r="F335" s="441"/>
      <c r="G335" s="441"/>
      <c r="H335" s="441"/>
      <c r="I335" s="441"/>
      <c r="J335" s="441"/>
      <c r="K335" s="441"/>
      <c r="L335" s="441"/>
      <c r="M335" s="441"/>
      <c r="N335" s="441"/>
      <c r="O335" s="441"/>
      <c r="P335" s="441"/>
      <c r="Q335" s="441"/>
      <c r="R335" s="441"/>
    </row>
    <row r="336" spans="2:21" ht="50.45" customHeight="1">
      <c r="C336" s="2364" t="s">
        <v>794</v>
      </c>
      <c r="D336" s="2364"/>
      <c r="E336" s="2364"/>
      <c r="F336" s="2364"/>
      <c r="G336" s="2364"/>
      <c r="H336" s="2364"/>
      <c r="I336" s="2364"/>
      <c r="J336" s="2364"/>
      <c r="K336" s="2364"/>
      <c r="L336" s="2364"/>
      <c r="M336" s="2364"/>
      <c r="O336" s="2364" t="s">
        <v>794</v>
      </c>
      <c r="P336" s="2364"/>
      <c r="Q336" s="2364"/>
      <c r="R336" s="2364"/>
      <c r="S336" s="2364"/>
    </row>
    <row r="337" spans="3:21" ht="60" customHeight="1">
      <c r="C337" s="2433" t="s">
        <v>931</v>
      </c>
      <c r="D337" s="2434"/>
      <c r="E337" s="2434"/>
      <c r="F337" s="2434"/>
      <c r="G337" s="2434"/>
      <c r="H337" s="2434"/>
      <c r="I337" s="2434"/>
      <c r="J337" s="2434"/>
      <c r="K337" s="2434"/>
      <c r="L337" s="2434"/>
      <c r="M337" s="2435"/>
      <c r="O337" s="2391" t="s">
        <v>932</v>
      </c>
      <c r="P337" s="2391"/>
      <c r="Q337" s="2391"/>
      <c r="R337" s="2391"/>
      <c r="S337" s="2391"/>
      <c r="T337" s="470"/>
      <c r="U337" s="470"/>
    </row>
    <row r="338" spans="3:21" ht="22.9" customHeight="1">
      <c r="C338" s="2374" t="s">
        <v>311</v>
      </c>
      <c r="D338" s="2374"/>
      <c r="E338" s="2374" t="s">
        <v>312</v>
      </c>
      <c r="F338" s="2374"/>
      <c r="G338" s="2374" t="s">
        <v>327</v>
      </c>
      <c r="H338" s="2374"/>
      <c r="I338" s="2374" t="s">
        <v>496</v>
      </c>
      <c r="J338" s="2374"/>
      <c r="K338" s="2374" t="s">
        <v>515</v>
      </c>
      <c r="L338" s="2374"/>
      <c r="M338" s="648" t="s">
        <v>498</v>
      </c>
      <c r="O338" s="2369" t="s">
        <v>1919</v>
      </c>
      <c r="P338" s="2369"/>
      <c r="Q338" s="2369" t="s">
        <v>312</v>
      </c>
      <c r="R338" s="2369"/>
      <c r="S338" s="1840" t="s">
        <v>327</v>
      </c>
      <c r="T338" s="470"/>
      <c r="U338" s="470"/>
    </row>
    <row r="339" spans="3:21">
      <c r="C339" s="649"/>
      <c r="D339" s="650"/>
      <c r="E339" s="649"/>
      <c r="F339" s="650"/>
      <c r="G339" s="649"/>
      <c r="H339" s="650"/>
      <c r="I339" s="649"/>
      <c r="J339" s="650"/>
      <c r="K339" s="649"/>
      <c r="L339" s="650"/>
      <c r="M339" s="651"/>
      <c r="O339" s="1966"/>
      <c r="P339" s="1967"/>
      <c r="Q339" s="1966"/>
      <c r="R339" s="1967"/>
      <c r="S339" s="651"/>
      <c r="T339" s="522"/>
    </row>
    <row r="340" spans="3:21" ht="15">
      <c r="C340" s="2314" t="s">
        <v>516</v>
      </c>
      <c r="D340" s="2313"/>
      <c r="E340" s="2312" t="s">
        <v>517</v>
      </c>
      <c r="F340" s="2313"/>
      <c r="G340" s="2312" t="s">
        <v>518</v>
      </c>
      <c r="H340" s="2313"/>
      <c r="I340" s="2312" t="s">
        <v>519</v>
      </c>
      <c r="J340" s="2313"/>
      <c r="K340" s="2312" t="s">
        <v>520</v>
      </c>
      <c r="L340" s="2313"/>
      <c r="M340" s="652" t="s">
        <v>521</v>
      </c>
      <c r="N340" s="441"/>
      <c r="O340" s="2370" t="s">
        <v>516</v>
      </c>
      <c r="P340" s="2371"/>
      <c r="Q340" s="2372" t="s">
        <v>517</v>
      </c>
      <c r="R340" s="2373"/>
      <c r="S340" s="653" t="s">
        <v>521</v>
      </c>
      <c r="T340" s="647"/>
    </row>
    <row r="341" spans="3:21" ht="15">
      <c r="C341" s="2314" t="s">
        <v>522</v>
      </c>
      <c r="D341" s="2313"/>
      <c r="E341" s="2312" t="s">
        <v>523</v>
      </c>
      <c r="F341" s="2313"/>
      <c r="G341" s="2312" t="s">
        <v>524</v>
      </c>
      <c r="H341" s="2313"/>
      <c r="I341" s="2312" t="s">
        <v>525</v>
      </c>
      <c r="J341" s="2313"/>
      <c r="K341" s="2312" t="s">
        <v>526</v>
      </c>
      <c r="L341" s="2313" t="s">
        <v>362</v>
      </c>
      <c r="M341" s="652" t="s">
        <v>527</v>
      </c>
      <c r="N341" s="441"/>
      <c r="O341" s="2370" t="s">
        <v>522</v>
      </c>
      <c r="P341" s="2371"/>
      <c r="Q341" s="2372" t="s">
        <v>528</v>
      </c>
      <c r="R341" s="2373"/>
      <c r="S341" s="653" t="s">
        <v>527</v>
      </c>
      <c r="T341" s="647"/>
    </row>
    <row r="342" spans="3:21" ht="15">
      <c r="C342" s="2314" t="s">
        <v>529</v>
      </c>
      <c r="D342" s="2313"/>
      <c r="E342" s="2312" t="s">
        <v>530</v>
      </c>
      <c r="F342" s="2313"/>
      <c r="G342" s="2312" t="s">
        <v>531</v>
      </c>
      <c r="H342" s="2313"/>
      <c r="I342" s="2312" t="s">
        <v>532</v>
      </c>
      <c r="J342" s="2313"/>
      <c r="K342" s="2312" t="s">
        <v>533</v>
      </c>
      <c r="L342" s="2313" t="s">
        <v>362</v>
      </c>
      <c r="M342" s="652"/>
      <c r="N342" s="441"/>
      <c r="O342" s="2370" t="s">
        <v>529</v>
      </c>
      <c r="P342" s="2371"/>
      <c r="Q342" s="2372" t="s">
        <v>1925</v>
      </c>
      <c r="R342" s="2373"/>
      <c r="S342" s="653" t="s">
        <v>362</v>
      </c>
      <c r="T342" s="647"/>
    </row>
    <row r="343" spans="3:21" ht="15">
      <c r="C343" s="2314" t="s">
        <v>534</v>
      </c>
      <c r="D343" s="2313"/>
      <c r="E343" s="2312" t="s">
        <v>535</v>
      </c>
      <c r="F343" s="2313"/>
      <c r="G343" s="2312" t="s">
        <v>536</v>
      </c>
      <c r="H343" s="2313"/>
      <c r="I343" s="2312" t="s">
        <v>537</v>
      </c>
      <c r="J343" s="2313"/>
      <c r="K343" s="2312" t="s">
        <v>538</v>
      </c>
      <c r="L343" s="2313" t="s">
        <v>362</v>
      </c>
      <c r="M343" s="652"/>
      <c r="N343" s="441"/>
      <c r="O343" s="2370" t="s">
        <v>539</v>
      </c>
      <c r="P343" s="2371"/>
      <c r="Q343" s="2372" t="s">
        <v>540</v>
      </c>
      <c r="R343" s="2373"/>
      <c r="S343" s="653" t="s">
        <v>362</v>
      </c>
      <c r="T343" s="647"/>
    </row>
    <row r="344" spans="3:21" ht="15">
      <c r="C344" s="2314" t="s">
        <v>541</v>
      </c>
      <c r="D344" s="2313"/>
      <c r="E344" s="2312" t="s">
        <v>539</v>
      </c>
      <c r="F344" s="2313"/>
      <c r="G344" s="2312" t="s">
        <v>542</v>
      </c>
      <c r="H344" s="2313"/>
      <c r="I344" s="2312" t="s">
        <v>543</v>
      </c>
      <c r="J344" s="2313"/>
      <c r="K344" s="2312" t="s">
        <v>544</v>
      </c>
      <c r="L344" s="2313" t="s">
        <v>362</v>
      </c>
      <c r="M344" s="652"/>
      <c r="N344" s="441"/>
      <c r="O344" s="2370" t="s">
        <v>546</v>
      </c>
      <c r="P344" s="2371"/>
      <c r="Q344" s="2372" t="s">
        <v>535</v>
      </c>
      <c r="R344" s="2373"/>
      <c r="S344" s="653" t="s">
        <v>362</v>
      </c>
      <c r="T344" s="647"/>
    </row>
    <row r="345" spans="3:21" ht="15">
      <c r="C345" s="2314" t="s">
        <v>545</v>
      </c>
      <c r="D345" s="2313"/>
      <c r="E345" s="2312" t="s">
        <v>546</v>
      </c>
      <c r="F345" s="2313"/>
      <c r="G345" s="2312" t="s">
        <v>547</v>
      </c>
      <c r="H345" s="2313"/>
      <c r="I345" s="2312" t="s">
        <v>548</v>
      </c>
      <c r="J345" s="2313"/>
      <c r="K345" s="2312" t="s">
        <v>549</v>
      </c>
      <c r="L345" s="2313" t="s">
        <v>362</v>
      </c>
      <c r="M345" s="652"/>
      <c r="N345" s="441"/>
      <c r="O345" s="2370" t="s">
        <v>534</v>
      </c>
      <c r="P345" s="2371"/>
      <c r="Q345" s="2372" t="s">
        <v>550</v>
      </c>
      <c r="R345" s="2373"/>
      <c r="S345" s="653" t="s">
        <v>362</v>
      </c>
      <c r="T345" s="647"/>
    </row>
    <row r="346" spans="3:21" ht="15.6" customHeight="1">
      <c r="C346" s="2314" t="s">
        <v>551</v>
      </c>
      <c r="D346" s="2313"/>
      <c r="E346" s="2312" t="s">
        <v>552</v>
      </c>
      <c r="F346" s="2313"/>
      <c r="G346" s="2312" t="s">
        <v>553</v>
      </c>
      <c r="H346" s="2313"/>
      <c r="I346" s="2312" t="s">
        <v>554</v>
      </c>
      <c r="J346" s="2313"/>
      <c r="K346" s="2312" t="s">
        <v>555</v>
      </c>
      <c r="L346" s="2313" t="s">
        <v>362</v>
      </c>
      <c r="M346" s="652"/>
      <c r="N346" s="441"/>
      <c r="O346" s="2370" t="s">
        <v>541</v>
      </c>
      <c r="P346" s="2371"/>
      <c r="Q346" s="2372" t="s">
        <v>137</v>
      </c>
      <c r="R346" s="2373"/>
      <c r="S346" s="653" t="s">
        <v>362</v>
      </c>
      <c r="T346" s="647"/>
    </row>
    <row r="347" spans="3:21" ht="15.6" customHeight="1">
      <c r="C347" s="2314" t="s">
        <v>556</v>
      </c>
      <c r="D347" s="2313"/>
      <c r="E347" s="2312" t="s">
        <v>557</v>
      </c>
      <c r="F347" s="2313"/>
      <c r="G347" s="2312" t="s">
        <v>550</v>
      </c>
      <c r="H347" s="2313"/>
      <c r="I347" s="2312" t="s">
        <v>558</v>
      </c>
      <c r="J347" s="2313"/>
      <c r="K347" s="2312" t="s">
        <v>559</v>
      </c>
      <c r="L347" s="2313" t="s">
        <v>362</v>
      </c>
      <c r="M347" s="652"/>
      <c r="N347" s="441"/>
      <c r="O347" s="2370" t="s">
        <v>556</v>
      </c>
      <c r="P347" s="2371"/>
      <c r="Q347" s="2372" t="s">
        <v>552</v>
      </c>
      <c r="R347" s="2373"/>
      <c r="S347" s="653" t="s">
        <v>362</v>
      </c>
      <c r="T347" s="647"/>
    </row>
    <row r="348" spans="3:21" ht="15.6" customHeight="1">
      <c r="C348" s="2314" t="s">
        <v>561</v>
      </c>
      <c r="D348" s="2313"/>
      <c r="E348" s="2312" t="s">
        <v>562</v>
      </c>
      <c r="F348" s="2313"/>
      <c r="G348" s="2312" t="s">
        <v>137</v>
      </c>
      <c r="H348" s="2313"/>
      <c r="I348" s="2312" t="s">
        <v>563</v>
      </c>
      <c r="J348" s="2313"/>
      <c r="K348" s="2312" t="s">
        <v>564</v>
      </c>
      <c r="L348" s="2313" t="s">
        <v>362</v>
      </c>
      <c r="M348" s="652"/>
      <c r="N348" s="441"/>
      <c r="O348" s="2370" t="s">
        <v>545</v>
      </c>
      <c r="P348" s="2371"/>
      <c r="Q348" s="2372" t="s">
        <v>560</v>
      </c>
      <c r="R348" s="2373"/>
      <c r="S348" s="653" t="s">
        <v>362</v>
      </c>
      <c r="T348" s="647"/>
    </row>
    <row r="349" spans="3:21" ht="15.6" customHeight="1">
      <c r="C349" s="2314" t="s">
        <v>566</v>
      </c>
      <c r="D349" s="2313"/>
      <c r="E349" s="2312" t="s">
        <v>567</v>
      </c>
      <c r="F349" s="2313"/>
      <c r="G349" s="2312" t="s">
        <v>568</v>
      </c>
      <c r="H349" s="2313"/>
      <c r="I349" s="2312" t="s">
        <v>569</v>
      </c>
      <c r="J349" s="2313"/>
      <c r="K349" s="2312" t="s">
        <v>570</v>
      </c>
      <c r="L349" s="2313" t="s">
        <v>362</v>
      </c>
      <c r="M349" s="652"/>
      <c r="N349" s="441"/>
      <c r="O349" s="2370" t="s">
        <v>551</v>
      </c>
      <c r="P349" s="2371"/>
      <c r="Q349" s="2372" t="s">
        <v>565</v>
      </c>
      <c r="R349" s="2373"/>
      <c r="S349" s="653" t="s">
        <v>362</v>
      </c>
      <c r="T349" s="647"/>
    </row>
    <row r="350" spans="3:21" ht="15.6" customHeight="1">
      <c r="C350" s="2314" t="s">
        <v>572</v>
      </c>
      <c r="D350" s="2313"/>
      <c r="E350" s="2312" t="s">
        <v>573</v>
      </c>
      <c r="F350" s="2313"/>
      <c r="G350" s="2312" t="s">
        <v>574</v>
      </c>
      <c r="H350" s="2313"/>
      <c r="I350" s="2312" t="s">
        <v>575</v>
      </c>
      <c r="J350" s="2313"/>
      <c r="K350" s="2312" t="s">
        <v>576</v>
      </c>
      <c r="L350" s="2313" t="s">
        <v>362</v>
      </c>
      <c r="M350" s="652"/>
      <c r="N350" s="441"/>
      <c r="O350" s="2317" t="s">
        <v>1926</v>
      </c>
      <c r="P350" s="2318"/>
      <c r="Q350" s="2372" t="s">
        <v>571</v>
      </c>
      <c r="R350" s="2373"/>
      <c r="S350" s="653" t="s">
        <v>362</v>
      </c>
      <c r="T350" s="647"/>
    </row>
    <row r="351" spans="3:21" ht="15">
      <c r="C351" s="2314" t="s">
        <v>577</v>
      </c>
      <c r="D351" s="2313"/>
      <c r="E351" s="2312" t="s">
        <v>578</v>
      </c>
      <c r="F351" s="2313"/>
      <c r="G351" s="2312" t="s">
        <v>579</v>
      </c>
      <c r="H351" s="2313"/>
      <c r="I351" s="2312" t="s">
        <v>580</v>
      </c>
      <c r="J351" s="2313"/>
      <c r="K351" s="2312" t="s">
        <v>581</v>
      </c>
      <c r="L351" s="2313" t="s">
        <v>362</v>
      </c>
      <c r="M351" s="652"/>
      <c r="N351" s="441"/>
      <c r="O351" s="2319"/>
      <c r="P351" s="2320"/>
      <c r="Q351" s="2372" t="s">
        <v>562</v>
      </c>
      <c r="R351" s="2373"/>
      <c r="S351" s="653" t="s">
        <v>362</v>
      </c>
      <c r="T351" s="647"/>
    </row>
    <row r="352" spans="3:21" ht="15.6" customHeight="1">
      <c r="C352" s="2314" t="s">
        <v>582</v>
      </c>
      <c r="D352" s="2313"/>
      <c r="E352" s="2312" t="s">
        <v>583</v>
      </c>
      <c r="F352" s="2313"/>
      <c r="G352" s="2312" t="s">
        <v>584</v>
      </c>
      <c r="H352" s="2313"/>
      <c r="I352" s="2312" t="s">
        <v>585</v>
      </c>
      <c r="J352" s="2313"/>
      <c r="K352" s="2312" t="s">
        <v>586</v>
      </c>
      <c r="L352" s="2313" t="s">
        <v>362</v>
      </c>
      <c r="M352" s="652"/>
      <c r="N352" s="441"/>
      <c r="O352" s="2317" t="s">
        <v>1927</v>
      </c>
      <c r="P352" s="2551"/>
      <c r="Q352" s="2372" t="s">
        <v>567</v>
      </c>
      <c r="R352" s="2373"/>
      <c r="S352" s="653" t="s">
        <v>362</v>
      </c>
      <c r="T352" s="647"/>
    </row>
    <row r="353" spans="3:20" ht="15" customHeight="1">
      <c r="C353" s="2314" t="s">
        <v>587</v>
      </c>
      <c r="D353" s="2313"/>
      <c r="E353" s="2312" t="s">
        <v>588</v>
      </c>
      <c r="F353" s="2313"/>
      <c r="G353" s="2312" t="s">
        <v>589</v>
      </c>
      <c r="H353" s="2313"/>
      <c r="I353" s="2312" t="s">
        <v>590</v>
      </c>
      <c r="J353" s="2313"/>
      <c r="K353" s="2312" t="s">
        <v>591</v>
      </c>
      <c r="L353" s="2313" t="s">
        <v>362</v>
      </c>
      <c r="M353" s="652"/>
      <c r="N353" s="441"/>
      <c r="O353" s="2552"/>
      <c r="P353" s="2551"/>
      <c r="Q353" s="2372" t="s">
        <v>625</v>
      </c>
      <c r="R353" s="2373"/>
      <c r="S353" s="653" t="s">
        <v>362</v>
      </c>
      <c r="T353" s="647"/>
    </row>
    <row r="354" spans="3:20" ht="15">
      <c r="C354" s="2314" t="s">
        <v>571</v>
      </c>
      <c r="D354" s="2313"/>
      <c r="E354" s="2312" t="s">
        <v>593</v>
      </c>
      <c r="F354" s="2313"/>
      <c r="G354" s="2312" t="s">
        <v>594</v>
      </c>
      <c r="H354" s="2313"/>
      <c r="I354" s="2312" t="s">
        <v>595</v>
      </c>
      <c r="J354" s="2313"/>
      <c r="K354" s="654" t="s">
        <v>362</v>
      </c>
      <c r="L354" s="655" t="s">
        <v>362</v>
      </c>
      <c r="M354" s="652"/>
      <c r="N354" s="441"/>
      <c r="O354" s="2552"/>
      <c r="P354" s="2551"/>
      <c r="Q354" s="2372" t="s">
        <v>578</v>
      </c>
      <c r="R354" s="2373"/>
      <c r="S354" s="653" t="s">
        <v>362</v>
      </c>
      <c r="T354" s="647"/>
    </row>
    <row r="355" spans="3:20" ht="15.6" customHeight="1">
      <c r="C355" s="2314" t="s">
        <v>597</v>
      </c>
      <c r="D355" s="2313"/>
      <c r="E355" s="2312" t="s">
        <v>592</v>
      </c>
      <c r="F355" s="2313"/>
      <c r="G355" s="2312" t="s">
        <v>598</v>
      </c>
      <c r="H355" s="2313"/>
      <c r="I355" s="2312" t="s">
        <v>599</v>
      </c>
      <c r="J355" s="2313"/>
      <c r="K355" s="654" t="s">
        <v>362</v>
      </c>
      <c r="L355" s="655" t="s">
        <v>362</v>
      </c>
      <c r="M355" s="652"/>
      <c r="N355" s="441"/>
      <c r="O355" s="2370" t="s">
        <v>577</v>
      </c>
      <c r="P355" s="2371"/>
      <c r="Q355" s="2372" t="s">
        <v>592</v>
      </c>
      <c r="R355" s="2373"/>
      <c r="S355" s="653" t="s">
        <v>362</v>
      </c>
      <c r="T355" s="647"/>
    </row>
    <row r="356" spans="3:20" ht="15.6" customHeight="1">
      <c r="C356" s="2314" t="s">
        <v>601</v>
      </c>
      <c r="D356" s="2313"/>
      <c r="E356" s="2312" t="s">
        <v>596</v>
      </c>
      <c r="F356" s="2313"/>
      <c r="G356" s="2312" t="s">
        <v>602</v>
      </c>
      <c r="H356" s="2313"/>
      <c r="I356" s="2312" t="s">
        <v>603</v>
      </c>
      <c r="J356" s="2313"/>
      <c r="K356" s="654" t="s">
        <v>362</v>
      </c>
      <c r="L356" s="655" t="s">
        <v>362</v>
      </c>
      <c r="M356" s="652"/>
      <c r="N356" s="441"/>
      <c r="O356" s="2370" t="s">
        <v>587</v>
      </c>
      <c r="P356" s="2371"/>
      <c r="Q356" s="2372" t="s">
        <v>641</v>
      </c>
      <c r="R356" s="2373"/>
      <c r="S356" s="653" t="s">
        <v>362</v>
      </c>
      <c r="T356" s="647"/>
    </row>
    <row r="357" spans="3:20" ht="15.6" customHeight="1">
      <c r="C357" s="2314" t="s">
        <v>604</v>
      </c>
      <c r="D357" s="2313"/>
      <c r="E357" s="2312" t="s">
        <v>600</v>
      </c>
      <c r="F357" s="2313"/>
      <c r="G357" s="2312" t="s">
        <v>605</v>
      </c>
      <c r="H357" s="2313"/>
      <c r="I357" s="2312" t="s">
        <v>606</v>
      </c>
      <c r="J357" s="2313"/>
      <c r="K357" s="654" t="s">
        <v>362</v>
      </c>
      <c r="L357" s="655" t="s">
        <v>362</v>
      </c>
      <c r="M357" s="652"/>
      <c r="N357" s="441"/>
      <c r="O357" s="2370" t="s">
        <v>597</v>
      </c>
      <c r="P357" s="2371"/>
      <c r="Q357" s="2372" t="s">
        <v>596</v>
      </c>
      <c r="R357" s="2373"/>
      <c r="S357" s="653" t="s">
        <v>362</v>
      </c>
      <c r="T357" s="647"/>
    </row>
    <row r="358" spans="3:20" ht="15">
      <c r="C358" s="2314" t="s">
        <v>607</v>
      </c>
      <c r="D358" s="2313"/>
      <c r="E358" s="2312" t="s">
        <v>608</v>
      </c>
      <c r="F358" s="2313"/>
      <c r="G358" s="2312" t="s">
        <v>609</v>
      </c>
      <c r="H358" s="2313"/>
      <c r="I358" s="2312" t="s">
        <v>610</v>
      </c>
      <c r="J358" s="2313"/>
      <c r="K358" s="654" t="s">
        <v>362</v>
      </c>
      <c r="L358" s="655" t="s">
        <v>362</v>
      </c>
      <c r="M358" s="652"/>
      <c r="N358" s="441"/>
      <c r="O358" s="2370" t="s">
        <v>601</v>
      </c>
      <c r="P358" s="2371"/>
      <c r="Q358" s="2372" t="s">
        <v>600</v>
      </c>
      <c r="R358" s="2373"/>
      <c r="S358" s="653" t="s">
        <v>362</v>
      </c>
      <c r="T358" s="647"/>
    </row>
    <row r="359" spans="3:20" ht="15">
      <c r="C359" s="2314" t="s">
        <v>611</v>
      </c>
      <c r="D359" s="2313"/>
      <c r="E359" s="578"/>
      <c r="F359" s="580"/>
      <c r="G359" s="2312" t="s">
        <v>612</v>
      </c>
      <c r="H359" s="2313"/>
      <c r="I359" s="2312" t="s">
        <v>613</v>
      </c>
      <c r="J359" s="2313"/>
      <c r="K359" s="654" t="s">
        <v>362</v>
      </c>
      <c r="L359" s="655" t="s">
        <v>362</v>
      </c>
      <c r="M359" s="652"/>
      <c r="N359" s="441"/>
      <c r="O359" s="2370" t="s">
        <v>604</v>
      </c>
      <c r="P359" s="2371"/>
      <c r="Q359" s="1968"/>
      <c r="R359" s="1969"/>
      <c r="S359" s="653" t="s">
        <v>362</v>
      </c>
      <c r="T359" s="647"/>
    </row>
    <row r="360" spans="3:20" ht="15">
      <c r="C360" s="2314" t="s">
        <v>614</v>
      </c>
      <c r="D360" s="2313"/>
      <c r="E360" s="578"/>
      <c r="F360" s="580"/>
      <c r="G360" s="2312" t="s">
        <v>615</v>
      </c>
      <c r="H360" s="2313"/>
      <c r="I360" s="2312" t="s">
        <v>616</v>
      </c>
      <c r="J360" s="2313"/>
      <c r="K360" s="654" t="s">
        <v>362</v>
      </c>
      <c r="L360" s="655" t="s">
        <v>362</v>
      </c>
      <c r="M360" s="652"/>
      <c r="N360" s="441"/>
      <c r="O360" s="2370" t="s">
        <v>611</v>
      </c>
      <c r="P360" s="2371"/>
      <c r="Q360" s="1968"/>
      <c r="R360" s="1969"/>
      <c r="S360" s="653" t="s">
        <v>362</v>
      </c>
      <c r="T360" s="647"/>
    </row>
    <row r="361" spans="3:20" ht="15">
      <c r="C361" s="2314" t="s">
        <v>617</v>
      </c>
      <c r="D361" s="2313"/>
      <c r="E361" s="578"/>
      <c r="F361" s="580"/>
      <c r="G361" s="2312" t="s">
        <v>618</v>
      </c>
      <c r="H361" s="2313"/>
      <c r="I361" s="2312" t="s">
        <v>619</v>
      </c>
      <c r="J361" s="2313"/>
      <c r="K361" s="654" t="s">
        <v>362</v>
      </c>
      <c r="L361" s="655" t="s">
        <v>362</v>
      </c>
      <c r="M361" s="652"/>
      <c r="N361" s="441"/>
      <c r="O361" s="2370" t="s">
        <v>614</v>
      </c>
      <c r="P361" s="2371"/>
      <c r="Q361" s="1968"/>
      <c r="R361" s="1980"/>
      <c r="S361" s="653" t="s">
        <v>362</v>
      </c>
      <c r="T361" s="647"/>
    </row>
    <row r="362" spans="3:20" ht="15" customHeight="1">
      <c r="C362" s="2314" t="s">
        <v>620</v>
      </c>
      <c r="D362" s="2313"/>
      <c r="E362" s="578"/>
      <c r="F362" s="580"/>
      <c r="G362" s="2312" t="s">
        <v>621</v>
      </c>
      <c r="H362" s="2313"/>
      <c r="I362" s="2312" t="s">
        <v>622</v>
      </c>
      <c r="J362" s="2313"/>
      <c r="K362" s="654" t="s">
        <v>362</v>
      </c>
      <c r="L362" s="655" t="s">
        <v>362</v>
      </c>
      <c r="M362" s="652"/>
      <c r="N362" s="441"/>
      <c r="O362" s="2370" t="s">
        <v>617</v>
      </c>
      <c r="P362" s="2371"/>
      <c r="Q362" s="1968"/>
      <c r="R362" s="1980"/>
      <c r="S362" s="653" t="s">
        <v>362</v>
      </c>
      <c r="T362" s="647"/>
    </row>
    <row r="363" spans="3:20" ht="15" customHeight="1">
      <c r="C363" s="2314" t="s">
        <v>623</v>
      </c>
      <c r="D363" s="2313"/>
      <c r="E363" s="578"/>
      <c r="F363" s="580"/>
      <c r="G363" s="2312"/>
      <c r="H363" s="2313"/>
      <c r="I363" s="2312" t="s">
        <v>624</v>
      </c>
      <c r="J363" s="2313"/>
      <c r="K363" s="654" t="s">
        <v>362</v>
      </c>
      <c r="L363" s="655" t="s">
        <v>362</v>
      </c>
      <c r="M363" s="652"/>
      <c r="N363" s="441"/>
      <c r="O363" s="2370" t="s">
        <v>620</v>
      </c>
      <c r="P363" s="2371"/>
      <c r="Q363" s="1968"/>
      <c r="R363" s="1980"/>
      <c r="S363" s="653" t="s">
        <v>362</v>
      </c>
      <c r="T363" s="647"/>
    </row>
    <row r="364" spans="3:20" ht="15.6" customHeight="1">
      <c r="C364" s="2314" t="s">
        <v>625</v>
      </c>
      <c r="D364" s="2313"/>
      <c r="E364" s="578"/>
      <c r="F364" s="580"/>
      <c r="G364" s="2312"/>
      <c r="H364" s="2313"/>
      <c r="I364" s="2312" t="s">
        <v>626</v>
      </c>
      <c r="J364" s="2313"/>
      <c r="K364" s="654" t="s">
        <v>362</v>
      </c>
      <c r="L364" s="655" t="s">
        <v>362</v>
      </c>
      <c r="M364" s="652"/>
      <c r="N364" s="441"/>
      <c r="O364" s="2370" t="s">
        <v>623</v>
      </c>
      <c r="P364" s="2371"/>
      <c r="Q364" s="1968"/>
      <c r="S364" s="653"/>
      <c r="T364" s="647"/>
    </row>
    <row r="365" spans="3:20" ht="15">
      <c r="C365" s="2314" t="s">
        <v>627</v>
      </c>
      <c r="D365" s="2313"/>
      <c r="E365" s="578"/>
      <c r="F365" s="580"/>
      <c r="G365" s="2312"/>
      <c r="H365" s="2313"/>
      <c r="I365" s="2312" t="s">
        <v>628</v>
      </c>
      <c r="J365" s="2313"/>
      <c r="K365" s="654" t="s">
        <v>362</v>
      </c>
      <c r="L365" s="655" t="s">
        <v>362</v>
      </c>
      <c r="M365" s="652"/>
      <c r="N365" s="441"/>
      <c r="O365" s="2370" t="s">
        <v>627</v>
      </c>
      <c r="P365" s="2371"/>
      <c r="Q365" s="1968"/>
      <c r="S365" s="653"/>
      <c r="T365" s="647"/>
    </row>
    <row r="366" spans="3:20" ht="15.6" customHeight="1">
      <c r="C366" s="2314" t="s">
        <v>629</v>
      </c>
      <c r="D366" s="2313"/>
      <c r="E366" s="578"/>
      <c r="F366" s="580"/>
      <c r="G366" s="2312"/>
      <c r="H366" s="2313"/>
      <c r="I366" s="2312" t="s">
        <v>630</v>
      </c>
      <c r="J366" s="2313"/>
      <c r="K366" s="654" t="s">
        <v>362</v>
      </c>
      <c r="L366" s="655" t="s">
        <v>362</v>
      </c>
      <c r="M366" s="652"/>
      <c r="N366" s="441"/>
      <c r="O366" s="2370" t="s">
        <v>629</v>
      </c>
      <c r="P366" s="2371"/>
      <c r="Q366" s="1968"/>
      <c r="S366" s="653"/>
      <c r="T366" s="647"/>
    </row>
    <row r="367" spans="3:20" ht="15.6" customHeight="1">
      <c r="C367" s="2314" t="s">
        <v>631</v>
      </c>
      <c r="D367" s="2313"/>
      <c r="E367" s="578"/>
      <c r="F367" s="580"/>
      <c r="G367" s="2312"/>
      <c r="H367" s="2313"/>
      <c r="I367" s="2312" t="s">
        <v>632</v>
      </c>
      <c r="J367" s="2313"/>
      <c r="K367" s="654" t="s">
        <v>362</v>
      </c>
      <c r="L367" s="655" t="s">
        <v>362</v>
      </c>
      <c r="M367" s="652"/>
      <c r="N367" s="441"/>
      <c r="O367" s="2370" t="s">
        <v>631</v>
      </c>
      <c r="P367" s="2371"/>
      <c r="Q367" s="1968"/>
      <c r="S367" s="653"/>
      <c r="T367" s="647"/>
    </row>
    <row r="368" spans="3:20" ht="15.6" customHeight="1">
      <c r="C368" s="2314" t="s">
        <v>633</v>
      </c>
      <c r="D368" s="2313"/>
      <c r="E368" s="578"/>
      <c r="F368" s="580"/>
      <c r="G368" s="2312"/>
      <c r="H368" s="2313"/>
      <c r="I368" s="2312" t="s">
        <v>634</v>
      </c>
      <c r="J368" s="2313"/>
      <c r="K368" s="654" t="s">
        <v>362</v>
      </c>
      <c r="L368" s="655" t="s">
        <v>362</v>
      </c>
      <c r="M368" s="652"/>
      <c r="N368" s="441"/>
      <c r="O368" s="2317" t="s">
        <v>1928</v>
      </c>
      <c r="P368" s="2318"/>
      <c r="Q368" s="1968"/>
      <c r="S368" s="653"/>
      <c r="T368" s="647"/>
    </row>
    <row r="369" spans="3:20" ht="15">
      <c r="C369" s="2314" t="s">
        <v>635</v>
      </c>
      <c r="D369" s="2313"/>
      <c r="E369" s="578"/>
      <c r="F369" s="580"/>
      <c r="G369" s="2312"/>
      <c r="H369" s="2313"/>
      <c r="I369" s="2312" t="s">
        <v>636</v>
      </c>
      <c r="J369" s="2313"/>
      <c r="K369" s="654" t="s">
        <v>362</v>
      </c>
      <c r="L369" s="655" t="s">
        <v>362</v>
      </c>
      <c r="M369" s="652"/>
      <c r="N369" s="441"/>
      <c r="O369" s="2319"/>
      <c r="P369" s="2320"/>
      <c r="Q369" s="1968"/>
      <c r="S369" s="653"/>
      <c r="T369" s="647"/>
    </row>
    <row r="370" spans="3:20" ht="15">
      <c r="C370" s="2314" t="s">
        <v>637</v>
      </c>
      <c r="D370" s="2313"/>
      <c r="E370" s="578"/>
      <c r="F370" s="580"/>
      <c r="G370" s="2312"/>
      <c r="H370" s="2313"/>
      <c r="I370" s="2312" t="s">
        <v>638</v>
      </c>
      <c r="J370" s="2313"/>
      <c r="K370" s="654" t="s">
        <v>362</v>
      </c>
      <c r="L370" s="655" t="s">
        <v>362</v>
      </c>
      <c r="M370" s="652"/>
      <c r="N370" s="441"/>
      <c r="O370" s="2370" t="s">
        <v>1929</v>
      </c>
      <c r="P370" s="2371"/>
      <c r="Q370" s="1968"/>
      <c r="S370" s="653"/>
      <c r="T370" s="647"/>
    </row>
    <row r="371" spans="3:20" ht="15">
      <c r="C371" s="2314" t="s">
        <v>639</v>
      </c>
      <c r="D371" s="2313"/>
      <c r="E371" s="578"/>
      <c r="F371" s="580"/>
      <c r="G371" s="2312"/>
      <c r="H371" s="2313"/>
      <c r="I371" s="654" t="s">
        <v>362</v>
      </c>
      <c r="J371" s="655"/>
      <c r="K371" s="654" t="s">
        <v>362</v>
      </c>
      <c r="L371" s="655" t="s">
        <v>362</v>
      </c>
      <c r="M371" s="652"/>
      <c r="N371" s="441"/>
      <c r="O371" s="2370" t="s">
        <v>637</v>
      </c>
      <c r="P371" s="2371"/>
      <c r="Q371" s="1968"/>
      <c r="S371" s="653"/>
      <c r="T371" s="647"/>
    </row>
    <row r="372" spans="3:20" ht="15" customHeight="1">
      <c r="C372" s="2314" t="s">
        <v>640</v>
      </c>
      <c r="D372" s="2313"/>
      <c r="E372" s="578"/>
      <c r="F372" s="580"/>
      <c r="G372" s="2312"/>
      <c r="H372" s="2313"/>
      <c r="I372" s="654" t="s">
        <v>362</v>
      </c>
      <c r="J372" s="655"/>
      <c r="K372" s="654" t="s">
        <v>362</v>
      </c>
      <c r="L372" s="655" t="s">
        <v>362</v>
      </c>
      <c r="M372" s="652"/>
      <c r="N372" s="441"/>
      <c r="O372" s="2370" t="s">
        <v>583</v>
      </c>
      <c r="P372" s="2371"/>
      <c r="Q372" s="1968"/>
      <c r="S372" s="653"/>
      <c r="T372" s="647"/>
    </row>
    <row r="373" spans="3:20" ht="15.6" customHeight="1">
      <c r="C373" s="2314" t="s">
        <v>641</v>
      </c>
      <c r="D373" s="2313"/>
      <c r="E373" s="578"/>
      <c r="F373" s="580"/>
      <c r="G373" s="2312"/>
      <c r="H373" s="2313"/>
      <c r="I373" s="654" t="s">
        <v>362</v>
      </c>
      <c r="J373" s="655"/>
      <c r="K373" s="654" t="s">
        <v>362</v>
      </c>
      <c r="L373" s="657" t="s">
        <v>362</v>
      </c>
      <c r="M373" s="652"/>
      <c r="N373" s="441"/>
      <c r="O373" s="2370" t="s">
        <v>640</v>
      </c>
      <c r="P373" s="2371"/>
      <c r="Q373" s="1968"/>
      <c r="S373" s="653"/>
      <c r="T373" s="647"/>
    </row>
    <row r="374" spans="3:20" ht="15.6" customHeight="1">
      <c r="C374" s="2314" t="s">
        <v>642</v>
      </c>
      <c r="D374" s="2313"/>
      <c r="E374" s="578"/>
      <c r="F374" s="580"/>
      <c r="G374" s="2312"/>
      <c r="H374" s="2313"/>
      <c r="I374" s="654" t="s">
        <v>362</v>
      </c>
      <c r="J374" s="655"/>
      <c r="K374" s="654" t="s">
        <v>362</v>
      </c>
      <c r="L374" s="655" t="s">
        <v>362</v>
      </c>
      <c r="M374" s="652"/>
      <c r="N374" s="441"/>
      <c r="O374" s="2372"/>
      <c r="P374" s="2373"/>
      <c r="Q374" s="1968"/>
      <c r="S374" s="653"/>
      <c r="T374" s="647"/>
    </row>
    <row r="375" spans="3:20" ht="15.6" customHeight="1">
      <c r="C375" s="2314"/>
      <c r="D375" s="2313"/>
      <c r="E375" s="578"/>
      <c r="F375" s="580"/>
      <c r="G375" s="2312"/>
      <c r="H375" s="2313"/>
      <c r="I375" s="654" t="s">
        <v>362</v>
      </c>
      <c r="J375" s="655"/>
      <c r="K375" s="654" t="s">
        <v>362</v>
      </c>
      <c r="L375" s="655"/>
      <c r="M375" s="652"/>
      <c r="N375" s="441"/>
      <c r="O375" s="2372"/>
      <c r="P375" s="2373"/>
      <c r="Q375" s="1968"/>
      <c r="S375" s="653"/>
      <c r="T375" s="647"/>
    </row>
    <row r="376" spans="3:20" ht="15">
      <c r="C376" s="2314"/>
      <c r="D376" s="2313"/>
      <c r="E376" s="578"/>
      <c r="F376" s="580"/>
      <c r="G376" s="2312"/>
      <c r="H376" s="2313"/>
      <c r="I376" s="656"/>
      <c r="J376" s="655"/>
      <c r="K376" s="656"/>
      <c r="L376" s="655"/>
      <c r="M376" s="652"/>
      <c r="N376" s="441"/>
      <c r="O376" s="2372"/>
      <c r="P376" s="2373"/>
      <c r="Q376" s="1968"/>
      <c r="S376" s="653"/>
      <c r="T376" s="647"/>
    </row>
    <row r="377" spans="3:20" ht="15.6" customHeight="1">
      <c r="C377" s="2315" t="s">
        <v>859</v>
      </c>
      <c r="D377" s="2316"/>
      <c r="E377" s="578"/>
      <c r="F377" s="580"/>
      <c r="G377" s="2312"/>
      <c r="H377" s="2313"/>
      <c r="I377" s="656"/>
      <c r="J377" s="655"/>
      <c r="K377" s="656"/>
      <c r="L377" s="655"/>
      <c r="M377" s="652"/>
      <c r="N377" s="441"/>
      <c r="O377" s="2372"/>
      <c r="P377" s="2373"/>
      <c r="Q377" s="1968"/>
      <c r="R377" s="1980"/>
      <c r="S377" s="653" t="s">
        <v>362</v>
      </c>
      <c r="T377" s="647"/>
    </row>
    <row r="378" spans="3:20" ht="15">
      <c r="C378" s="2315" t="s">
        <v>643</v>
      </c>
      <c r="D378" s="2316"/>
      <c r="E378" s="578"/>
      <c r="F378" s="580"/>
      <c r="G378" s="2312"/>
      <c r="H378" s="2313"/>
      <c r="I378" s="656"/>
      <c r="J378" s="655"/>
      <c r="K378" s="656"/>
      <c r="L378" s="655"/>
      <c r="M378" s="652"/>
      <c r="N378" s="441"/>
      <c r="O378" s="2372"/>
      <c r="P378" s="2373"/>
      <c r="Q378" s="1968"/>
      <c r="R378" s="1980"/>
      <c r="S378" s="653" t="s">
        <v>362</v>
      </c>
      <c r="T378" s="647"/>
    </row>
    <row r="379" spans="3:20" ht="15">
      <c r="C379" s="2315"/>
      <c r="D379" s="2316"/>
      <c r="E379" s="578"/>
      <c r="F379" s="580"/>
      <c r="G379" s="2312"/>
      <c r="H379" s="2313"/>
      <c r="I379" s="658"/>
      <c r="J379" s="655"/>
      <c r="K379" s="659"/>
      <c r="L379" s="655"/>
      <c r="M379" s="652"/>
      <c r="N379" s="441"/>
      <c r="O379" s="2372"/>
      <c r="P379" s="2373"/>
      <c r="Q379" s="1970"/>
      <c r="R379" s="1969"/>
      <c r="S379" s="653" t="s">
        <v>362</v>
      </c>
      <c r="T379" s="647"/>
    </row>
    <row r="380" spans="3:20" ht="15">
      <c r="C380" s="2323"/>
      <c r="D380" s="2324"/>
      <c r="E380" s="581"/>
      <c r="F380" s="660"/>
      <c r="G380" s="2321"/>
      <c r="H380" s="2322"/>
      <c r="I380" s="661"/>
      <c r="J380" s="662"/>
      <c r="K380" s="663"/>
      <c r="L380" s="662"/>
      <c r="M380" s="664"/>
      <c r="N380" s="441"/>
      <c r="O380" s="2553"/>
      <c r="P380" s="2554"/>
      <c r="Q380" s="1971"/>
      <c r="R380" s="1972"/>
      <c r="S380" s="665" t="s">
        <v>362</v>
      </c>
      <c r="T380" s="647"/>
    </row>
    <row r="381" spans="3:20" ht="15">
      <c r="C381" s="441"/>
      <c r="D381" s="441"/>
      <c r="E381" s="441"/>
      <c r="F381" s="441"/>
      <c r="G381" s="441"/>
      <c r="H381" s="441"/>
      <c r="I381" s="441"/>
      <c r="J381" s="441"/>
      <c r="K381" s="441"/>
      <c r="L381" s="441"/>
      <c r="M381" s="441"/>
      <c r="N381" s="666"/>
      <c r="O381" s="441"/>
      <c r="P381" s="441"/>
      <c r="Q381" s="441"/>
      <c r="R381" s="441"/>
      <c r="S381" s="441"/>
    </row>
    <row r="382" spans="3:20" ht="15">
      <c r="C382" s="441"/>
      <c r="D382" s="441"/>
      <c r="E382" s="441"/>
      <c r="F382" s="441"/>
      <c r="G382" s="441"/>
      <c r="H382" s="441"/>
      <c r="I382" s="441"/>
      <c r="J382" s="441"/>
      <c r="K382" s="441"/>
      <c r="L382" s="441"/>
      <c r="M382" s="441"/>
      <c r="N382" s="666"/>
      <c r="O382" s="441"/>
      <c r="P382" s="441"/>
      <c r="Q382" s="441"/>
      <c r="R382" s="441"/>
      <c r="S382" s="441"/>
    </row>
    <row r="383" spans="3:20" ht="15">
      <c r="C383" s="441"/>
      <c r="D383" s="441"/>
      <c r="E383" s="441"/>
      <c r="F383" s="441"/>
      <c r="G383" s="441"/>
      <c r="H383" s="441"/>
      <c r="I383" s="441"/>
      <c r="J383" s="441"/>
      <c r="K383" s="441"/>
      <c r="L383" s="441"/>
      <c r="M383" s="441"/>
      <c r="N383" s="666"/>
      <c r="O383" s="441"/>
      <c r="P383" s="441"/>
      <c r="Q383" s="441"/>
      <c r="R383" s="441"/>
      <c r="S383" s="441"/>
    </row>
    <row r="384" spans="3:20" ht="15">
      <c r="C384" s="441"/>
      <c r="D384" s="441"/>
      <c r="E384" s="441"/>
      <c r="F384" s="441"/>
      <c r="G384" s="441"/>
      <c r="H384" s="441"/>
      <c r="I384" s="441"/>
      <c r="J384" s="441"/>
      <c r="K384" s="441"/>
      <c r="L384" s="441"/>
      <c r="M384" s="441"/>
      <c r="N384" s="666"/>
      <c r="O384" s="441"/>
      <c r="P384" s="441"/>
      <c r="Q384" s="441"/>
      <c r="R384" s="441"/>
      <c r="S384" s="441"/>
    </row>
    <row r="385" spans="1:22" ht="15">
      <c r="C385" s="441"/>
      <c r="D385" s="441"/>
      <c r="E385" s="441"/>
      <c r="F385" s="441"/>
      <c r="G385" s="441"/>
      <c r="H385" s="441"/>
      <c r="I385" s="441"/>
      <c r="J385" s="441"/>
      <c r="K385" s="441"/>
      <c r="L385" s="441"/>
      <c r="M385" s="441"/>
      <c r="N385" s="666"/>
      <c r="O385" s="441"/>
      <c r="P385" s="441"/>
      <c r="Q385" s="441"/>
      <c r="R385" s="441"/>
      <c r="S385" s="441"/>
    </row>
    <row r="388" spans="1:22" ht="19.149999999999999" customHeight="1">
      <c r="B388" s="522"/>
      <c r="C388" s="585"/>
      <c r="D388" s="584"/>
      <c r="E388" s="584"/>
      <c r="F388" s="584"/>
      <c r="G388" s="586"/>
      <c r="H388" s="586"/>
      <c r="I388" s="586"/>
      <c r="J388" s="586"/>
      <c r="K388" s="587"/>
      <c r="L388" s="587"/>
      <c r="M388" s="587"/>
      <c r="N388" s="587"/>
      <c r="O388" s="587"/>
      <c r="P388" s="587"/>
      <c r="Q388" s="561"/>
      <c r="R388" s="561"/>
      <c r="S388" s="441"/>
      <c r="T388" s="441"/>
      <c r="U388" s="588"/>
      <c r="V388" s="441"/>
    </row>
    <row r="390" spans="1:22" ht="15.75">
      <c r="M390" s="476" t="s">
        <v>1803</v>
      </c>
      <c r="R390" s="477" t="s">
        <v>692</v>
      </c>
      <c r="S390" s="478" t="str">
        <f>$E$39</f>
        <v>ILF5_90FCORCP_B114CAGR43006</v>
      </c>
    </row>
    <row r="393" spans="1:22">
      <c r="A393" s="420"/>
      <c r="B393" s="420"/>
      <c r="C393" s="420"/>
      <c r="D393" s="420"/>
      <c r="E393" s="420"/>
      <c r="F393" s="420"/>
      <c r="G393" s="420"/>
      <c r="H393" s="436" t="s">
        <v>690</v>
      </c>
      <c r="I393" s="420"/>
      <c r="K393" s="420"/>
      <c r="L393" s="437" t="str">
        <f>$B$11</f>
        <v>INMOBILIARIA SERVIGESTION</v>
      </c>
      <c r="M393" s="420"/>
      <c r="N393" s="420"/>
      <c r="O393" s="420"/>
      <c r="P393" s="420"/>
      <c r="Q393" s="420"/>
      <c r="R393" s="420"/>
      <c r="S393" s="420"/>
      <c r="T393" s="420"/>
      <c r="U393" s="420"/>
      <c r="V393" s="420"/>
    </row>
    <row r="394" spans="1:22" ht="34.5">
      <c r="A394" s="420"/>
      <c r="B394" s="2268" t="s">
        <v>461</v>
      </c>
      <c r="C394" s="2268"/>
      <c r="D394" s="2268"/>
      <c r="E394" s="2268"/>
      <c r="F394" s="2268"/>
      <c r="G394" s="2268"/>
      <c r="H394" s="2268"/>
      <c r="I394" s="2268"/>
      <c r="J394" s="2268"/>
      <c r="K394" s="2268"/>
      <c r="L394" s="2268"/>
      <c r="M394" s="2268"/>
      <c r="N394" s="2268"/>
      <c r="O394" s="2268"/>
      <c r="P394" s="2268"/>
      <c r="Q394" s="2268"/>
      <c r="R394" s="2268"/>
      <c r="S394" s="2268"/>
      <c r="T394" s="2268"/>
      <c r="U394" s="2268"/>
      <c r="V394" s="420"/>
    </row>
    <row r="395" spans="1:22" ht="22.9" customHeight="1">
      <c r="A395" s="420"/>
      <c r="B395" s="2269" t="s">
        <v>787</v>
      </c>
      <c r="C395" s="2269"/>
      <c r="D395" s="2269"/>
      <c r="E395" s="2269"/>
      <c r="F395" s="2269"/>
      <c r="G395" s="2269"/>
      <c r="H395" s="2269"/>
      <c r="I395" s="2269"/>
      <c r="J395" s="2269"/>
      <c r="K395" s="2269"/>
      <c r="L395" s="2269"/>
      <c r="M395" s="2269"/>
      <c r="N395" s="2269"/>
      <c r="O395" s="2269"/>
      <c r="P395" s="2269"/>
      <c r="Q395" s="2269"/>
      <c r="R395" s="2269"/>
      <c r="S395" s="2269"/>
      <c r="T395" s="2269"/>
      <c r="U395" s="2269"/>
      <c r="V395" s="420"/>
    </row>
    <row r="396" spans="1:22" ht="16.149999999999999" customHeight="1">
      <c r="A396" s="420"/>
      <c r="B396" s="427"/>
      <c r="C396" s="427"/>
      <c r="D396" s="427"/>
      <c r="E396" s="427"/>
      <c r="F396" s="427"/>
      <c r="G396" s="427"/>
      <c r="H396" s="427"/>
      <c r="I396" s="427"/>
      <c r="J396" s="427"/>
      <c r="K396" s="427"/>
      <c r="L396" s="427"/>
      <c r="M396" s="427"/>
      <c r="N396" s="427"/>
      <c r="O396" s="427"/>
      <c r="Q396" s="427"/>
      <c r="R396" s="427"/>
      <c r="S396" s="427"/>
      <c r="T396" s="427"/>
      <c r="U396" s="427"/>
      <c r="V396" s="420"/>
    </row>
    <row r="397" spans="1:22" ht="18.399999999999999" customHeight="1">
      <c r="A397" s="429"/>
      <c r="B397" s="2251" t="s">
        <v>698</v>
      </c>
      <c r="C397" s="2251"/>
      <c r="D397" s="2251"/>
      <c r="E397" s="2251"/>
      <c r="F397" s="2251"/>
      <c r="G397" s="2251"/>
      <c r="H397" s="2251"/>
      <c r="I397" s="2251"/>
      <c r="J397" s="2251"/>
      <c r="K397" s="2251"/>
      <c r="L397" s="2251"/>
      <c r="M397" s="2251"/>
      <c r="N397" s="2251"/>
      <c r="O397" s="2251"/>
      <c r="P397" s="2251"/>
      <c r="Q397" s="2251"/>
      <c r="R397" s="2251"/>
      <c r="S397" s="2251"/>
      <c r="T397" s="2251"/>
      <c r="U397" s="2251"/>
      <c r="V397" s="429"/>
    </row>
    <row r="398" spans="1:22" ht="23.25">
      <c r="A398" s="420"/>
      <c r="B398" s="427"/>
      <c r="C398" s="427"/>
      <c r="D398" s="427"/>
      <c r="E398" s="427"/>
      <c r="F398" s="427"/>
      <c r="G398" s="427"/>
      <c r="H398" s="427"/>
      <c r="I398" s="427"/>
      <c r="J398" s="427"/>
      <c r="K398" s="427"/>
      <c r="L398" s="427"/>
      <c r="M398" s="427"/>
      <c r="N398" s="427"/>
      <c r="O398" s="427"/>
      <c r="P398" s="427"/>
      <c r="Q398" s="427"/>
      <c r="R398" s="427"/>
      <c r="S398" s="427"/>
      <c r="T398" s="427"/>
      <c r="U398" s="427"/>
      <c r="V398" s="420"/>
    </row>
    <row r="399" spans="1:22" ht="23.25" customHeight="1">
      <c r="A399" s="420"/>
      <c r="B399" s="2325" t="s">
        <v>512</v>
      </c>
      <c r="C399" s="2326"/>
      <c r="D399" s="2326"/>
      <c r="E399" s="2326"/>
      <c r="F399" s="2326"/>
      <c r="G399" s="2326"/>
      <c r="H399" s="2326"/>
      <c r="I399" s="2326"/>
      <c r="J399" s="2326"/>
      <c r="K399" s="2326"/>
      <c r="L399" s="438"/>
      <c r="M399" s="438"/>
      <c r="N399" s="438"/>
      <c r="O399" s="438"/>
      <c r="P399" s="438"/>
      <c r="Q399" s="438"/>
      <c r="R399" s="438"/>
      <c r="S399" s="438"/>
      <c r="T399" s="438"/>
      <c r="U399" s="439"/>
      <c r="V399" s="420"/>
    </row>
    <row r="400" spans="1:22" ht="23.25" customHeight="1">
      <c r="A400" s="420"/>
      <c r="B400" s="2297" t="s">
        <v>697</v>
      </c>
      <c r="C400" s="2288"/>
      <c r="D400" s="2288"/>
      <c r="E400" s="2288"/>
      <c r="F400" s="2288"/>
      <c r="G400" s="2288"/>
      <c r="H400" s="2288"/>
      <c r="I400" s="2288"/>
      <c r="J400" s="2288"/>
      <c r="K400" s="2288"/>
      <c r="L400" s="2288"/>
      <c r="M400" s="2288"/>
      <c r="N400" s="2288"/>
      <c r="O400" s="2288"/>
      <c r="P400" s="2288"/>
      <c r="Q400" s="2288"/>
      <c r="R400" s="2288"/>
      <c r="S400" s="2288"/>
      <c r="T400" s="2288"/>
      <c r="U400" s="2298"/>
      <c r="V400" s="420"/>
    </row>
    <row r="401" spans="1:22" ht="36.75" customHeight="1">
      <c r="A401" s="420"/>
      <c r="B401" s="440"/>
      <c r="C401" s="2288" t="s">
        <v>1050</v>
      </c>
      <c r="D401" s="2288"/>
      <c r="E401" s="2288"/>
      <c r="F401" s="2288"/>
      <c r="G401" s="2288"/>
      <c r="H401" s="2288"/>
      <c r="I401" s="2288"/>
      <c r="J401" s="2288"/>
      <c r="K401" s="2288"/>
      <c r="L401" s="2288"/>
      <c r="M401" s="2288"/>
      <c r="N401" s="2288"/>
      <c r="O401" s="2288"/>
      <c r="P401" s="2288"/>
      <c r="Q401" s="2288"/>
      <c r="R401" s="2288"/>
      <c r="S401" s="2288"/>
      <c r="T401" s="2288"/>
      <c r="U401" s="442"/>
      <c r="V401" s="420"/>
    </row>
    <row r="402" spans="1:22" ht="22.9" customHeight="1">
      <c r="A402" s="420"/>
      <c r="B402" s="440"/>
      <c r="C402" s="2288" t="s">
        <v>1051</v>
      </c>
      <c r="D402" s="2288"/>
      <c r="E402" s="2288"/>
      <c r="F402" s="2288"/>
      <c r="G402" s="2288"/>
      <c r="H402" s="2288"/>
      <c r="I402" s="2288"/>
      <c r="J402" s="2288"/>
      <c r="K402" s="2288"/>
      <c r="L402" s="2288"/>
      <c r="M402" s="2288"/>
      <c r="N402" s="2288"/>
      <c r="O402" s="2288"/>
      <c r="P402" s="2288"/>
      <c r="Q402" s="2288"/>
      <c r="R402" s="2288"/>
      <c r="S402" s="2288"/>
      <c r="T402" s="479"/>
      <c r="U402" s="442"/>
      <c r="V402" s="420"/>
    </row>
    <row r="403" spans="1:22" ht="23.25" customHeight="1">
      <c r="A403" s="420"/>
      <c r="B403" s="440"/>
      <c r="C403" s="2288" t="s">
        <v>1052</v>
      </c>
      <c r="D403" s="2288"/>
      <c r="E403" s="2288"/>
      <c r="F403" s="2288"/>
      <c r="G403" s="2288"/>
      <c r="H403" s="2288"/>
      <c r="I403" s="2288"/>
      <c r="J403" s="2288"/>
      <c r="K403" s="2288"/>
      <c r="L403" s="2288"/>
      <c r="M403" s="2288"/>
      <c r="N403" s="2288"/>
      <c r="O403" s="2288"/>
      <c r="P403" s="2288"/>
      <c r="Q403" s="2288"/>
      <c r="R403" s="2288"/>
      <c r="S403" s="2288"/>
      <c r="T403" s="480"/>
      <c r="U403" s="442"/>
      <c r="V403" s="420"/>
    </row>
    <row r="404" spans="1:22" ht="23.25" customHeight="1">
      <c r="A404" s="420"/>
      <c r="B404" s="440"/>
      <c r="C404" s="2288" t="s">
        <v>1053</v>
      </c>
      <c r="D404" s="2288"/>
      <c r="E404" s="2288"/>
      <c r="F404" s="2288"/>
      <c r="G404" s="2288"/>
      <c r="H404" s="2288"/>
      <c r="I404" s="2288"/>
      <c r="J404" s="2288"/>
      <c r="K404" s="2288"/>
      <c r="L404" s="2288"/>
      <c r="M404" s="2288"/>
      <c r="N404" s="2288"/>
      <c r="O404" s="2288"/>
      <c r="P404" s="2288"/>
      <c r="Q404" s="2288"/>
      <c r="R404" s="2288"/>
      <c r="S404" s="2288"/>
      <c r="T404" s="475"/>
      <c r="U404" s="442"/>
      <c r="V404" s="420"/>
    </row>
    <row r="405" spans="1:22" ht="23.25" customHeight="1">
      <c r="A405" s="420"/>
      <c r="B405" s="440"/>
      <c r="C405" s="2288" t="s">
        <v>1054</v>
      </c>
      <c r="D405" s="2288"/>
      <c r="E405" s="2288"/>
      <c r="F405" s="2288"/>
      <c r="G405" s="2288"/>
      <c r="H405" s="2288"/>
      <c r="I405" s="2288"/>
      <c r="J405" s="2288"/>
      <c r="K405" s="2288"/>
      <c r="L405" s="2288"/>
      <c r="M405" s="2288"/>
      <c r="N405" s="2288"/>
      <c r="O405" s="2288"/>
      <c r="P405" s="2288"/>
      <c r="Q405" s="2288"/>
      <c r="R405" s="2288"/>
      <c r="S405" s="2288"/>
      <c r="T405" s="475"/>
      <c r="U405" s="442"/>
      <c r="V405" s="420"/>
    </row>
    <row r="406" spans="1:22" ht="23.25">
      <c r="A406" s="420"/>
      <c r="B406" s="440"/>
      <c r="C406" s="667"/>
      <c r="D406" s="668"/>
      <c r="E406" s="668"/>
      <c r="F406" s="668"/>
      <c r="G406" s="668"/>
      <c r="H406" s="668"/>
      <c r="I406" s="668"/>
      <c r="J406" s="668"/>
      <c r="K406" s="668"/>
      <c r="L406" s="441"/>
      <c r="M406" s="475"/>
      <c r="N406" s="475"/>
      <c r="O406" s="475"/>
      <c r="P406" s="475"/>
      <c r="Q406" s="475"/>
      <c r="R406" s="475"/>
      <c r="S406" s="475"/>
      <c r="T406" s="475"/>
      <c r="U406" s="442"/>
      <c r="V406" s="420"/>
    </row>
    <row r="407" spans="1:22" ht="55.9" customHeight="1">
      <c r="A407" s="420"/>
      <c r="B407" s="2297" t="s">
        <v>978</v>
      </c>
      <c r="C407" s="2288"/>
      <c r="D407" s="2288"/>
      <c r="E407" s="2288"/>
      <c r="F407" s="2288"/>
      <c r="G407" s="2288"/>
      <c r="H407" s="2288"/>
      <c r="I407" s="2288"/>
      <c r="J407" s="2288"/>
      <c r="K407" s="2288"/>
      <c r="L407" s="2288"/>
      <c r="M407" s="2288"/>
      <c r="N407" s="2288"/>
      <c r="O407" s="2288"/>
      <c r="P407" s="2288"/>
      <c r="Q407" s="2288"/>
      <c r="R407" s="2288"/>
      <c r="S407" s="2288"/>
      <c r="T407" s="2288"/>
      <c r="U407" s="442"/>
      <c r="V407" s="420"/>
    </row>
    <row r="408" spans="1:22" ht="55.9" customHeight="1">
      <c r="A408" s="420"/>
      <c r="B408" s="440"/>
      <c r="C408" s="468"/>
      <c r="D408" s="468"/>
      <c r="E408" s="468"/>
      <c r="F408" s="468"/>
      <c r="G408" s="468"/>
      <c r="H408" s="468"/>
      <c r="I408" s="468"/>
      <c r="J408" s="468"/>
      <c r="K408" s="468"/>
      <c r="L408" s="468"/>
      <c r="M408" s="468"/>
      <c r="N408" s="468"/>
      <c r="O408" s="468"/>
      <c r="P408" s="468"/>
      <c r="Q408" s="468"/>
      <c r="R408" s="468"/>
      <c r="S408" s="468"/>
      <c r="T408" s="468"/>
      <c r="U408" s="442"/>
      <c r="V408" s="420"/>
    </row>
    <row r="409" spans="1:22" ht="55.9" customHeight="1">
      <c r="A409" s="420"/>
      <c r="B409" s="440"/>
      <c r="C409" s="468"/>
      <c r="D409" s="468"/>
      <c r="E409" s="468"/>
      <c r="F409" s="468"/>
      <c r="G409" s="468"/>
      <c r="H409" s="468"/>
      <c r="I409" s="468"/>
      <c r="J409" s="468"/>
      <c r="K409" s="468"/>
      <c r="L409" s="468"/>
      <c r="M409" s="468"/>
      <c r="N409" s="468"/>
      <c r="O409" s="468"/>
      <c r="P409" s="468"/>
      <c r="Q409" s="468"/>
      <c r="R409" s="468"/>
      <c r="S409" s="468"/>
      <c r="T409" s="468"/>
      <c r="U409" s="442"/>
      <c r="V409" s="420"/>
    </row>
    <row r="410" spans="1:22" ht="55.9" customHeight="1">
      <c r="A410" s="420"/>
      <c r="B410" s="440"/>
      <c r="C410" s="468"/>
      <c r="D410" s="468"/>
      <c r="E410" s="468"/>
      <c r="F410" s="468"/>
      <c r="G410" s="468"/>
      <c r="H410" s="468"/>
      <c r="I410" s="468"/>
      <c r="J410" s="468"/>
      <c r="K410" s="468"/>
      <c r="L410" s="468"/>
      <c r="M410" s="468"/>
      <c r="N410" s="468"/>
      <c r="O410" s="468"/>
      <c r="P410" s="468"/>
      <c r="Q410" s="468"/>
      <c r="R410" s="468"/>
      <c r="S410" s="468"/>
      <c r="T410" s="468"/>
      <c r="U410" s="442"/>
      <c r="V410" s="420"/>
    </row>
    <row r="411" spans="1:22" ht="55.9" customHeight="1">
      <c r="A411" s="420"/>
      <c r="B411" s="440"/>
      <c r="C411" s="468"/>
      <c r="D411" s="468"/>
      <c r="E411" s="468"/>
      <c r="F411" s="468"/>
      <c r="G411" s="468"/>
      <c r="H411" s="468"/>
      <c r="I411" s="468"/>
      <c r="J411" s="468"/>
      <c r="K411" s="468"/>
      <c r="L411" s="468"/>
      <c r="M411" s="468"/>
      <c r="N411" s="468"/>
      <c r="O411" s="468"/>
      <c r="P411" s="468"/>
      <c r="Q411" s="468"/>
      <c r="R411" s="468"/>
      <c r="S411" s="468"/>
      <c r="T411" s="468"/>
      <c r="U411" s="442"/>
      <c r="V411" s="420"/>
    </row>
    <row r="412" spans="1:22" ht="23.25">
      <c r="A412" s="420"/>
      <c r="B412" s="485"/>
      <c r="C412" s="475"/>
      <c r="D412" s="475"/>
      <c r="E412" s="475"/>
      <c r="F412" s="475"/>
      <c r="G412" s="475"/>
      <c r="H412" s="475"/>
      <c r="I412" s="475"/>
      <c r="J412" s="475"/>
      <c r="K412" s="475"/>
      <c r="L412" s="475"/>
      <c r="M412" s="475"/>
      <c r="N412" s="475"/>
      <c r="O412" s="475"/>
      <c r="P412" s="475"/>
      <c r="Q412" s="475"/>
      <c r="R412" s="475"/>
      <c r="S412" s="475"/>
      <c r="T412" s="475"/>
      <c r="U412" s="442"/>
      <c r="V412" s="420"/>
    </row>
    <row r="413" spans="1:22" ht="23.25">
      <c r="A413" s="420"/>
      <c r="B413" s="485"/>
      <c r="C413" s="475"/>
      <c r="D413" s="475"/>
      <c r="E413" s="475"/>
      <c r="F413" s="475"/>
      <c r="G413" s="475"/>
      <c r="H413" s="475"/>
      <c r="I413" s="475"/>
      <c r="J413" s="475"/>
      <c r="K413" s="475"/>
      <c r="L413" s="475"/>
      <c r="M413" s="475"/>
      <c r="N413" s="475"/>
      <c r="O413" s="475"/>
      <c r="P413" s="475"/>
      <c r="Q413" s="475"/>
      <c r="R413" s="475"/>
      <c r="S413" s="475"/>
      <c r="T413" s="475"/>
      <c r="U413" s="442"/>
      <c r="V413" s="420"/>
    </row>
    <row r="414" spans="1:22" ht="23.25">
      <c r="A414" s="420"/>
      <c r="B414" s="485"/>
      <c r="C414" s="475"/>
      <c r="D414" s="475"/>
      <c r="E414" s="475"/>
      <c r="F414" s="475"/>
      <c r="G414" s="475"/>
      <c r="H414" s="475"/>
      <c r="I414" s="475"/>
      <c r="J414" s="475"/>
      <c r="K414" s="475"/>
      <c r="L414" s="475"/>
      <c r="M414" s="475"/>
      <c r="N414" s="475"/>
      <c r="O414" s="475"/>
      <c r="P414" s="475"/>
      <c r="Q414" s="475"/>
      <c r="R414" s="475"/>
      <c r="S414" s="475"/>
      <c r="T414" s="475"/>
      <c r="U414" s="442"/>
      <c r="V414" s="420"/>
    </row>
    <row r="415" spans="1:22" ht="23.25">
      <c r="A415" s="420"/>
      <c r="B415" s="485"/>
      <c r="C415" s="475"/>
      <c r="D415" s="475"/>
      <c r="E415" s="475"/>
      <c r="F415" s="475"/>
      <c r="G415" s="475"/>
      <c r="H415" s="475"/>
      <c r="I415" s="475"/>
      <c r="J415" s="475"/>
      <c r="K415" s="475"/>
      <c r="L415" s="475"/>
      <c r="M415" s="475"/>
      <c r="N415" s="475"/>
      <c r="O415" s="475"/>
      <c r="P415" s="475"/>
      <c r="Q415" s="475"/>
      <c r="R415" s="475"/>
      <c r="S415" s="475"/>
      <c r="T415" s="475"/>
      <c r="U415" s="442"/>
      <c r="V415" s="420"/>
    </row>
    <row r="416" spans="1:22" ht="23.25">
      <c r="A416" s="420"/>
      <c r="B416" s="485"/>
      <c r="C416" s="475"/>
      <c r="D416" s="475"/>
      <c r="E416" s="475"/>
      <c r="F416" s="475"/>
      <c r="G416" s="475"/>
      <c r="H416" s="475"/>
      <c r="I416" s="475"/>
      <c r="J416" s="475"/>
      <c r="K416" s="475"/>
      <c r="L416" s="475"/>
      <c r="M416" s="475"/>
      <c r="N416" s="475"/>
      <c r="O416" s="475"/>
      <c r="P416" s="475"/>
      <c r="Q416" s="475"/>
      <c r="R416" s="475"/>
      <c r="S416" s="475"/>
      <c r="T416" s="475"/>
      <c r="U416" s="442"/>
      <c r="V416" s="420"/>
    </row>
    <row r="417" spans="1:22" ht="23.25">
      <c r="A417" s="420"/>
      <c r="B417" s="485"/>
      <c r="C417" s="475"/>
      <c r="D417" s="475"/>
      <c r="E417" s="475"/>
      <c r="F417" s="475"/>
      <c r="G417" s="475"/>
      <c r="H417" s="475"/>
      <c r="I417" s="475"/>
      <c r="J417" s="475"/>
      <c r="K417" s="475"/>
      <c r="L417" s="475"/>
      <c r="M417" s="475"/>
      <c r="N417" s="475"/>
      <c r="O417" s="475"/>
      <c r="P417" s="475"/>
      <c r="Q417" s="475"/>
      <c r="R417" s="475"/>
      <c r="S417" s="475"/>
      <c r="T417" s="475"/>
      <c r="U417" s="442"/>
      <c r="V417" s="420"/>
    </row>
    <row r="418" spans="1:22" ht="23.25">
      <c r="A418" s="420"/>
      <c r="B418" s="485"/>
      <c r="C418" s="475"/>
      <c r="D418" s="475"/>
      <c r="E418" s="475"/>
      <c r="F418" s="475"/>
      <c r="G418" s="475"/>
      <c r="H418" s="475"/>
      <c r="I418" s="475"/>
      <c r="J418" s="475"/>
      <c r="K418" s="475"/>
      <c r="L418" s="475"/>
      <c r="M418" s="475"/>
      <c r="N418" s="475"/>
      <c r="O418" s="475"/>
      <c r="P418" s="475"/>
      <c r="Q418" s="475"/>
      <c r="R418" s="475"/>
      <c r="S418" s="475"/>
      <c r="T418" s="475"/>
      <c r="U418" s="442"/>
      <c r="V418" s="420"/>
    </row>
    <row r="419" spans="1:22" ht="23.25">
      <c r="A419" s="420"/>
      <c r="B419" s="485"/>
      <c r="C419" s="475"/>
      <c r="D419" s="475"/>
      <c r="E419" s="475"/>
      <c r="F419" s="475"/>
      <c r="G419" s="475"/>
      <c r="H419" s="475"/>
      <c r="I419" s="475"/>
      <c r="J419" s="475"/>
      <c r="K419" s="475"/>
      <c r="L419" s="475"/>
      <c r="M419" s="475"/>
      <c r="N419" s="475"/>
      <c r="O419" s="475"/>
      <c r="P419" s="475"/>
      <c r="Q419" s="475"/>
      <c r="R419" s="475"/>
      <c r="S419" s="475"/>
      <c r="T419" s="475"/>
      <c r="U419" s="442"/>
      <c r="V419" s="420"/>
    </row>
    <row r="420" spans="1:22" ht="23.25">
      <c r="A420" s="420"/>
      <c r="B420" s="485"/>
      <c r="C420" s="475"/>
      <c r="D420" s="475"/>
      <c r="E420" s="475"/>
      <c r="F420" s="475"/>
      <c r="G420" s="475"/>
      <c r="H420" s="475"/>
      <c r="I420" s="475"/>
      <c r="J420" s="475"/>
      <c r="K420" s="475"/>
      <c r="L420" s="475"/>
      <c r="M420" s="475"/>
      <c r="N420" s="475"/>
      <c r="O420" s="475"/>
      <c r="P420" s="475"/>
      <c r="Q420" s="475"/>
      <c r="R420" s="475"/>
      <c r="S420" s="475"/>
      <c r="T420" s="475"/>
      <c r="U420" s="442"/>
      <c r="V420" s="420"/>
    </row>
    <row r="421" spans="1:22" ht="23.25">
      <c r="A421" s="420"/>
      <c r="B421" s="485"/>
      <c r="C421" s="475"/>
      <c r="D421" s="475"/>
      <c r="E421" s="475"/>
      <c r="F421" s="475"/>
      <c r="G421" s="475"/>
      <c r="H421" s="475"/>
      <c r="I421" s="475"/>
      <c r="J421" s="475"/>
      <c r="K421" s="475"/>
      <c r="L421" s="475"/>
      <c r="M421" s="475"/>
      <c r="N421" s="475"/>
      <c r="O421" s="475"/>
      <c r="P421" s="475"/>
      <c r="Q421" s="475"/>
      <c r="R421" s="475"/>
      <c r="S421" s="475"/>
      <c r="T421" s="475"/>
      <c r="U421" s="442"/>
      <c r="V421" s="420"/>
    </row>
    <row r="422" spans="1:22" ht="23.25">
      <c r="A422" s="420"/>
      <c r="B422" s="485"/>
      <c r="C422" s="475"/>
      <c r="D422" s="475"/>
      <c r="E422" s="475"/>
      <c r="F422" s="475"/>
      <c r="G422" s="475"/>
      <c r="H422" s="475"/>
      <c r="I422" s="475"/>
      <c r="J422" s="475"/>
      <c r="K422" s="475"/>
      <c r="L422" s="475"/>
      <c r="M422" s="475"/>
      <c r="N422" s="475"/>
      <c r="O422" s="475"/>
      <c r="P422" s="475"/>
      <c r="Q422" s="475"/>
      <c r="R422" s="475"/>
      <c r="S422" s="475"/>
      <c r="T422" s="475"/>
      <c r="U422" s="442"/>
      <c r="V422" s="420"/>
    </row>
    <row r="423" spans="1:22" ht="23.25">
      <c r="A423" s="420"/>
      <c r="B423" s="485"/>
      <c r="C423" s="475"/>
      <c r="D423" s="475"/>
      <c r="E423" s="475"/>
      <c r="F423" s="475"/>
      <c r="G423" s="475"/>
      <c r="H423" s="475"/>
      <c r="I423" s="475"/>
      <c r="J423" s="475"/>
      <c r="K423" s="475"/>
      <c r="L423" s="475"/>
      <c r="M423" s="475"/>
      <c r="N423" s="475"/>
      <c r="O423" s="475"/>
      <c r="P423" s="475"/>
      <c r="Q423" s="475"/>
      <c r="R423" s="475"/>
      <c r="S423" s="475"/>
      <c r="T423" s="475"/>
      <c r="U423" s="442"/>
      <c r="V423" s="420"/>
    </row>
    <row r="424" spans="1:22" ht="23.25">
      <c r="A424" s="420"/>
      <c r="B424" s="485"/>
      <c r="C424" s="475"/>
      <c r="D424" s="475"/>
      <c r="E424" s="475"/>
      <c r="F424" s="475"/>
      <c r="G424" s="475"/>
      <c r="H424" s="475"/>
      <c r="I424" s="475"/>
      <c r="J424" s="475"/>
      <c r="K424" s="475"/>
      <c r="L424" s="475"/>
      <c r="M424" s="475"/>
      <c r="N424" s="475"/>
      <c r="O424" s="475"/>
      <c r="P424" s="475"/>
      <c r="Q424" s="475"/>
      <c r="R424" s="475"/>
      <c r="S424" s="475"/>
      <c r="T424" s="475"/>
      <c r="U424" s="442"/>
      <c r="V424" s="420"/>
    </row>
    <row r="425" spans="1:22" ht="23.25">
      <c r="A425" s="420"/>
      <c r="B425" s="485"/>
      <c r="C425" s="475"/>
      <c r="D425" s="475"/>
      <c r="E425" s="475"/>
      <c r="F425" s="475"/>
      <c r="G425" s="475"/>
      <c r="H425" s="475"/>
      <c r="I425" s="475"/>
      <c r="J425" s="475"/>
      <c r="K425" s="475"/>
      <c r="L425" s="475"/>
      <c r="M425" s="475"/>
      <c r="N425" s="475"/>
      <c r="O425" s="475"/>
      <c r="P425" s="475"/>
      <c r="Q425" s="475"/>
      <c r="R425" s="475"/>
      <c r="S425" s="475"/>
      <c r="T425" s="475"/>
      <c r="U425" s="442"/>
      <c r="V425" s="420"/>
    </row>
    <row r="426" spans="1:22" ht="23.25">
      <c r="A426" s="420"/>
      <c r="B426" s="485"/>
      <c r="C426" s="475"/>
      <c r="D426" s="475"/>
      <c r="E426" s="475"/>
      <c r="F426" s="475"/>
      <c r="G426" s="475"/>
      <c r="H426" s="475"/>
      <c r="I426" s="475"/>
      <c r="J426" s="475"/>
      <c r="K426" s="475"/>
      <c r="L426" s="475"/>
      <c r="M426" s="475"/>
      <c r="N426" s="475"/>
      <c r="O426" s="475"/>
      <c r="P426" s="475"/>
      <c r="Q426" s="475"/>
      <c r="R426" s="475"/>
      <c r="S426" s="475"/>
      <c r="T426" s="475"/>
      <c r="U426" s="442"/>
      <c r="V426" s="420"/>
    </row>
    <row r="427" spans="1:22" ht="23.25">
      <c r="A427" s="420"/>
      <c r="B427" s="485"/>
      <c r="C427" s="475"/>
      <c r="D427" s="475"/>
      <c r="E427" s="475"/>
      <c r="F427" s="475"/>
      <c r="G427" s="475"/>
      <c r="H427" s="475"/>
      <c r="I427" s="475"/>
      <c r="J427" s="475"/>
      <c r="K427" s="475"/>
      <c r="L427" s="475"/>
      <c r="M427" s="475"/>
      <c r="N427" s="475"/>
      <c r="O427" s="475"/>
      <c r="P427" s="475"/>
      <c r="Q427" s="475"/>
      <c r="R427" s="475"/>
      <c r="S427" s="475"/>
      <c r="T427" s="475"/>
      <c r="U427" s="442"/>
      <c r="V427" s="420"/>
    </row>
    <row r="428" spans="1:22" ht="23.25">
      <c r="A428" s="420"/>
      <c r="B428" s="485"/>
      <c r="C428" s="475"/>
      <c r="D428" s="475"/>
      <c r="E428" s="475"/>
      <c r="F428" s="475"/>
      <c r="G428" s="475"/>
      <c r="H428" s="475"/>
      <c r="I428" s="475"/>
      <c r="J428" s="475"/>
      <c r="K428" s="475"/>
      <c r="L428" s="475"/>
      <c r="M428" s="475"/>
      <c r="N428" s="475"/>
      <c r="O428" s="475"/>
      <c r="P428" s="475"/>
      <c r="Q428" s="475"/>
      <c r="R428" s="475"/>
      <c r="S428" s="475"/>
      <c r="T428" s="475"/>
      <c r="U428" s="442"/>
      <c r="V428" s="420"/>
    </row>
    <row r="429" spans="1:22" ht="23.25">
      <c r="A429" s="420"/>
      <c r="B429" s="487"/>
      <c r="C429" s="459"/>
      <c r="D429" s="459"/>
      <c r="E429" s="459"/>
      <c r="F429" s="459"/>
      <c r="G429" s="459"/>
      <c r="H429" s="459"/>
      <c r="I429" s="459"/>
      <c r="J429" s="459"/>
      <c r="K429" s="459"/>
      <c r="L429" s="459"/>
      <c r="M429" s="459"/>
      <c r="N429" s="459"/>
      <c r="O429" s="459"/>
      <c r="P429" s="459"/>
      <c r="Q429" s="459"/>
      <c r="R429" s="459"/>
      <c r="S429" s="459"/>
      <c r="T429" s="459"/>
      <c r="U429" s="460"/>
      <c r="V429" s="420"/>
    </row>
    <row r="430" spans="1:22" ht="23.25">
      <c r="A430" s="420"/>
      <c r="B430" s="474" t="s">
        <v>664</v>
      </c>
      <c r="C430" s="475"/>
      <c r="D430" s="475"/>
      <c r="E430" s="475"/>
      <c r="F430" s="475"/>
      <c r="G430" s="475"/>
      <c r="H430" s="475"/>
      <c r="I430" s="475"/>
      <c r="J430" s="475"/>
      <c r="K430" s="475"/>
      <c r="L430" s="475"/>
      <c r="M430" s="475"/>
      <c r="N430" s="475"/>
      <c r="O430" s="475"/>
      <c r="P430" s="475"/>
      <c r="Q430" s="475"/>
      <c r="R430" s="475"/>
      <c r="S430" s="475"/>
      <c r="T430" s="475"/>
      <c r="U430" s="475"/>
      <c r="V430" s="420"/>
    </row>
    <row r="431" spans="1:22" ht="23.25">
      <c r="A431" s="420"/>
      <c r="B431" s="475"/>
      <c r="C431" s="475"/>
      <c r="D431" s="475"/>
      <c r="E431" s="475"/>
      <c r="F431" s="475"/>
      <c r="G431" s="475"/>
      <c r="H431" s="475"/>
      <c r="I431" s="475"/>
      <c r="J431" s="475"/>
      <c r="K431" s="475"/>
      <c r="L431" s="475"/>
      <c r="M431" s="475"/>
      <c r="N431" s="475"/>
      <c r="O431" s="475"/>
      <c r="P431" s="475"/>
      <c r="Q431" s="475"/>
      <c r="R431" s="475"/>
      <c r="S431" s="475"/>
      <c r="T431" s="475"/>
      <c r="U431" s="475"/>
      <c r="V431" s="420"/>
    </row>
    <row r="432" spans="1:22" ht="23.25">
      <c r="A432" s="420"/>
      <c r="B432" s="475"/>
      <c r="C432" s="475"/>
      <c r="D432" s="475"/>
      <c r="E432" s="475"/>
      <c r="F432" s="475"/>
      <c r="G432" s="475"/>
      <c r="H432" s="475"/>
      <c r="I432" s="475"/>
      <c r="J432" s="475"/>
      <c r="K432" s="475"/>
      <c r="L432" s="475"/>
      <c r="M432" s="475"/>
      <c r="N432" s="475"/>
      <c r="O432" s="475"/>
      <c r="P432" s="475"/>
      <c r="Q432" s="475"/>
      <c r="R432" s="475"/>
      <c r="S432" s="475"/>
      <c r="T432" s="475"/>
      <c r="U432" s="475"/>
      <c r="V432" s="420"/>
    </row>
    <row r="433" spans="1:22" ht="23.25">
      <c r="A433" s="420"/>
      <c r="C433" s="475"/>
      <c r="D433" s="475"/>
      <c r="E433" s="475"/>
      <c r="F433" s="475"/>
      <c r="G433" s="475"/>
      <c r="H433" s="475"/>
      <c r="I433" s="475"/>
      <c r="J433" s="475"/>
      <c r="K433" s="475"/>
      <c r="L433" s="475"/>
      <c r="M433" s="475"/>
      <c r="N433" s="475"/>
      <c r="O433" s="475"/>
      <c r="P433" s="475"/>
      <c r="Q433" s="475"/>
      <c r="R433" s="475"/>
      <c r="S433" s="475"/>
      <c r="T433" s="475"/>
      <c r="U433" s="475"/>
      <c r="V433" s="420"/>
    </row>
    <row r="434" spans="1:22" ht="23.25">
      <c r="A434" s="420"/>
      <c r="B434" s="475"/>
      <c r="C434" s="475"/>
      <c r="D434" s="475"/>
      <c r="E434" s="475"/>
      <c r="F434" s="475"/>
      <c r="G434" s="475"/>
      <c r="H434" s="475"/>
      <c r="I434" s="475"/>
      <c r="J434" s="475"/>
      <c r="K434" s="475"/>
      <c r="L434" s="475"/>
      <c r="M434" s="476" t="s">
        <v>1804</v>
      </c>
      <c r="N434" s="475"/>
      <c r="O434" s="475"/>
      <c r="P434" s="475"/>
      <c r="Q434" s="475"/>
      <c r="R434" s="477" t="s">
        <v>692</v>
      </c>
      <c r="S434" s="478" t="str">
        <f>$E$39</f>
        <v>ILF5_90FCORCP_B114CAGR43006</v>
      </c>
      <c r="T434" s="475"/>
      <c r="U434" s="475"/>
      <c r="V434" s="420"/>
    </row>
    <row r="435" spans="1:22" ht="23.25">
      <c r="A435" s="420"/>
      <c r="B435" s="475"/>
      <c r="C435" s="475"/>
      <c r="D435" s="475"/>
      <c r="E435" s="475"/>
      <c r="F435" s="475"/>
      <c r="G435" s="475"/>
      <c r="H435" s="475"/>
      <c r="I435" s="475"/>
      <c r="J435" s="475"/>
      <c r="K435" s="475"/>
      <c r="L435" s="475"/>
      <c r="M435" s="475"/>
      <c r="N435" s="475"/>
      <c r="O435" s="475"/>
      <c r="P435" s="475"/>
      <c r="Q435" s="475"/>
      <c r="R435" s="475"/>
      <c r="S435" s="475"/>
      <c r="T435" s="475"/>
      <c r="U435" s="475"/>
      <c r="V435" s="420"/>
    </row>
    <row r="436" spans="1:22" ht="10.9" customHeight="1">
      <c r="A436" s="420"/>
      <c r="B436" s="475"/>
      <c r="C436" s="475"/>
      <c r="D436" s="475"/>
      <c r="E436" s="475"/>
      <c r="F436" s="475"/>
      <c r="G436" s="475"/>
      <c r="H436" s="475"/>
      <c r="I436" s="475"/>
      <c r="J436" s="475"/>
      <c r="K436" s="475"/>
      <c r="L436" s="475"/>
      <c r="M436" s="475"/>
      <c r="N436" s="475"/>
      <c r="O436" s="475"/>
      <c r="P436" s="475"/>
      <c r="Q436" s="475"/>
      <c r="R436" s="475"/>
      <c r="S436" s="475"/>
      <c r="T436" s="475"/>
      <c r="U436" s="475"/>
      <c r="V436" s="420"/>
    </row>
    <row r="437" spans="1:22">
      <c r="A437" s="420"/>
      <c r="B437" s="420"/>
      <c r="C437" s="420"/>
      <c r="D437" s="420"/>
      <c r="E437" s="420"/>
      <c r="F437" s="420"/>
      <c r="G437" s="420"/>
      <c r="H437" s="436" t="s">
        <v>690</v>
      </c>
      <c r="I437" s="420"/>
      <c r="K437" s="420"/>
      <c r="L437" s="437" t="str">
        <f>$B$11</f>
        <v>INMOBILIARIA SERVIGESTION</v>
      </c>
      <c r="M437" s="420"/>
      <c r="N437" s="420"/>
      <c r="O437" s="420"/>
      <c r="P437" s="420"/>
      <c r="Q437" s="420"/>
      <c r="R437" s="420"/>
      <c r="S437" s="420"/>
      <c r="T437" s="420"/>
      <c r="U437" s="420"/>
      <c r="V437" s="420"/>
    </row>
    <row r="438" spans="1:22" ht="34.5">
      <c r="A438" s="420"/>
      <c r="B438" s="2268" t="s">
        <v>461</v>
      </c>
      <c r="C438" s="2268"/>
      <c r="D438" s="2268"/>
      <c r="E438" s="2268"/>
      <c r="F438" s="2268"/>
      <c r="G438" s="2268"/>
      <c r="H438" s="2268"/>
      <c r="I438" s="2268"/>
      <c r="J438" s="2268"/>
      <c r="K438" s="2268"/>
      <c r="L438" s="2268"/>
      <c r="M438" s="2268"/>
      <c r="N438" s="2268"/>
      <c r="O438" s="2268"/>
      <c r="P438" s="2268"/>
      <c r="Q438" s="2268"/>
      <c r="R438" s="2268"/>
      <c r="S438" s="2268"/>
      <c r="T438" s="2268"/>
      <c r="U438" s="2268"/>
      <c r="V438" s="420"/>
    </row>
    <row r="439" spans="1:22" ht="22.9" customHeight="1">
      <c r="A439" s="420"/>
      <c r="B439" s="2269" t="s">
        <v>795</v>
      </c>
      <c r="C439" s="2269"/>
      <c r="D439" s="2269"/>
      <c r="E439" s="2269"/>
      <c r="F439" s="2269"/>
      <c r="G439" s="2269"/>
      <c r="H439" s="2269"/>
      <c r="I439" s="2269"/>
      <c r="J439" s="2269"/>
      <c r="K439" s="2269"/>
      <c r="L439" s="2269"/>
      <c r="M439" s="2269"/>
      <c r="N439" s="2269"/>
      <c r="O439" s="2269"/>
      <c r="P439" s="2269"/>
      <c r="Q439" s="2269"/>
      <c r="R439" s="2269"/>
      <c r="S439" s="2269"/>
      <c r="T439" s="2269"/>
      <c r="U439" s="2269"/>
      <c r="V439" s="420"/>
    </row>
    <row r="440" spans="1:22" ht="14.25" customHeight="1">
      <c r="A440" s="420"/>
      <c r="B440" s="427"/>
      <c r="C440" s="427"/>
      <c r="D440" s="427"/>
      <c r="E440" s="427"/>
      <c r="F440" s="427"/>
      <c r="G440" s="427"/>
      <c r="H440" s="427"/>
      <c r="I440" s="427"/>
      <c r="J440" s="427"/>
      <c r="K440" s="427"/>
      <c r="L440" s="427"/>
      <c r="M440" s="427"/>
      <c r="N440" s="427"/>
      <c r="O440" s="427"/>
      <c r="Q440" s="427"/>
      <c r="R440" s="427"/>
      <c r="S440" s="427"/>
      <c r="T440" s="427"/>
      <c r="U440" s="427"/>
      <c r="V440" s="420"/>
    </row>
    <row r="441" spans="1:22" ht="147" customHeight="1">
      <c r="A441" s="420"/>
      <c r="B441" s="2251" t="s">
        <v>1897</v>
      </c>
      <c r="C441" s="2251"/>
      <c r="D441" s="2251"/>
      <c r="E441" s="2251"/>
      <c r="F441" s="2251"/>
      <c r="G441" s="2251"/>
      <c r="H441" s="2251"/>
      <c r="I441" s="2251"/>
      <c r="J441" s="2251"/>
      <c r="K441" s="2251"/>
      <c r="L441" s="2251"/>
      <c r="M441" s="2251"/>
      <c r="N441" s="2251"/>
      <c r="O441" s="2251"/>
      <c r="P441" s="2251"/>
      <c r="Q441" s="2251"/>
      <c r="R441" s="2251"/>
      <c r="S441" s="2251"/>
      <c r="T441" s="2251"/>
      <c r="U441" s="2251"/>
      <c r="V441" s="420"/>
    </row>
    <row r="442" spans="1:22" ht="23.25" customHeight="1">
      <c r="A442" s="420"/>
      <c r="B442" s="2325" t="s">
        <v>339</v>
      </c>
      <c r="C442" s="2326"/>
      <c r="D442" s="2326"/>
      <c r="E442" s="2326"/>
      <c r="F442" s="669" t="s">
        <v>666</v>
      </c>
      <c r="G442" s="438"/>
      <c r="H442" s="438"/>
      <c r="I442" s="438"/>
      <c r="J442" s="438"/>
      <c r="K442" s="438"/>
      <c r="L442" s="438"/>
      <c r="M442" s="438"/>
      <c r="N442" s="438"/>
      <c r="O442" s="438"/>
      <c r="P442" s="438"/>
      <c r="Q442" s="438"/>
      <c r="R442" s="438"/>
      <c r="S442" s="438"/>
      <c r="T442" s="438"/>
      <c r="U442" s="439"/>
      <c r="V442" s="420"/>
    </row>
    <row r="443" spans="1:22" ht="40.9" customHeight="1">
      <c r="A443" s="420"/>
      <c r="B443" s="2297" t="s">
        <v>665</v>
      </c>
      <c r="C443" s="2288"/>
      <c r="D443" s="2288"/>
      <c r="E443" s="2288"/>
      <c r="F443" s="2288"/>
      <c r="G443" s="2288"/>
      <c r="H443" s="2288"/>
      <c r="I443" s="2288"/>
      <c r="J443" s="2288"/>
      <c r="K443" s="2288"/>
      <c r="L443" s="2288"/>
      <c r="M443" s="2288"/>
      <c r="N443" s="2288"/>
      <c r="O443" s="2288"/>
      <c r="P443" s="2288"/>
      <c r="Q443" s="2288"/>
      <c r="R443" s="2288"/>
      <c r="S443" s="2288"/>
      <c r="T443" s="2288"/>
      <c r="U443" s="2298"/>
      <c r="V443" s="420"/>
    </row>
    <row r="444" spans="1:22" ht="23.25" customHeight="1">
      <c r="A444" s="420"/>
      <c r="B444" s="440"/>
      <c r="C444" s="2288" t="s">
        <v>1058</v>
      </c>
      <c r="D444" s="2288"/>
      <c r="E444" s="2288"/>
      <c r="F444" s="2288"/>
      <c r="G444" s="2288"/>
      <c r="H444" s="2288"/>
      <c r="I444" s="2288"/>
      <c r="J444" s="2288"/>
      <c r="K444" s="2288"/>
      <c r="L444" s="2288"/>
      <c r="M444" s="2288"/>
      <c r="N444" s="2288"/>
      <c r="O444" s="2288"/>
      <c r="P444" s="2288"/>
      <c r="Q444" s="2288"/>
      <c r="R444" s="2288"/>
      <c r="S444" s="2288"/>
      <c r="T444" s="468"/>
      <c r="U444" s="469"/>
      <c r="V444" s="420"/>
    </row>
    <row r="445" spans="1:22" ht="23.25" customHeight="1">
      <c r="A445" s="420"/>
      <c r="B445" s="440"/>
      <c r="C445" s="2288" t="s">
        <v>1059</v>
      </c>
      <c r="D445" s="2288"/>
      <c r="E445" s="2288"/>
      <c r="F445" s="2288"/>
      <c r="G445" s="2288"/>
      <c r="H445" s="2288"/>
      <c r="I445" s="2288"/>
      <c r="J445" s="2288"/>
      <c r="K445" s="2288"/>
      <c r="L445" s="2288"/>
      <c r="M445" s="2288"/>
      <c r="N445" s="2288"/>
      <c r="O445" s="2288"/>
      <c r="P445" s="2288"/>
      <c r="Q445" s="2288"/>
      <c r="R445" s="2288"/>
      <c r="S445" s="2288"/>
      <c r="T445" s="468"/>
      <c r="U445" s="469"/>
      <c r="V445" s="420"/>
    </row>
    <row r="446" spans="1:22" ht="23.25" customHeight="1">
      <c r="A446" s="420"/>
      <c r="B446" s="440"/>
      <c r="C446" s="2288" t="s">
        <v>1060</v>
      </c>
      <c r="D446" s="2288"/>
      <c r="E446" s="2288"/>
      <c r="F446" s="2288"/>
      <c r="G446" s="2288"/>
      <c r="H446" s="2288"/>
      <c r="I446" s="2288"/>
      <c r="J446" s="2288"/>
      <c r="K446" s="2288"/>
      <c r="L446" s="2288"/>
      <c r="M446" s="2288"/>
      <c r="N446" s="2288"/>
      <c r="O446" s="2288"/>
      <c r="P446" s="2288"/>
      <c r="Q446" s="2288"/>
      <c r="R446" s="2288"/>
      <c r="S446" s="2288"/>
      <c r="T446" s="468"/>
      <c r="U446" s="469"/>
      <c r="V446" s="420"/>
    </row>
    <row r="447" spans="1:22" ht="23.25" customHeight="1">
      <c r="A447" s="420"/>
      <c r="B447" s="440"/>
      <c r="C447" s="2288" t="s">
        <v>1061</v>
      </c>
      <c r="D447" s="2288"/>
      <c r="E447" s="2288"/>
      <c r="F447" s="2288"/>
      <c r="G447" s="2288"/>
      <c r="H447" s="2288"/>
      <c r="I447" s="2288"/>
      <c r="J447" s="2288"/>
      <c r="K447" s="2288"/>
      <c r="L447" s="2288"/>
      <c r="M447" s="2288"/>
      <c r="N447" s="2288"/>
      <c r="O447" s="2288"/>
      <c r="P447" s="2288"/>
      <c r="Q447" s="2288"/>
      <c r="R447" s="2288"/>
      <c r="S447" s="2288"/>
      <c r="T447" s="468"/>
      <c r="U447" s="469"/>
      <c r="V447" s="420"/>
    </row>
    <row r="448" spans="1:22" ht="12" customHeight="1">
      <c r="A448" s="420"/>
      <c r="B448" s="487"/>
      <c r="C448" s="459"/>
      <c r="D448" s="459"/>
      <c r="E448" s="459"/>
      <c r="F448" s="459"/>
      <c r="G448" s="459"/>
      <c r="H448" s="459"/>
      <c r="I448" s="459"/>
      <c r="J448" s="459"/>
      <c r="K448" s="459"/>
      <c r="L448" s="459"/>
      <c r="M448" s="459"/>
      <c r="N448" s="459"/>
      <c r="O448" s="459"/>
      <c r="P448" s="459"/>
      <c r="Q448" s="459"/>
      <c r="R448" s="459"/>
      <c r="S448" s="459"/>
      <c r="T448" s="459"/>
      <c r="U448" s="460"/>
      <c r="V448" s="420"/>
    </row>
    <row r="449" spans="1:22" ht="23.25">
      <c r="A449" s="420"/>
      <c r="B449" s="474" t="s">
        <v>699</v>
      </c>
      <c r="C449" s="427"/>
      <c r="D449" s="427"/>
      <c r="E449" s="427"/>
      <c r="F449" s="427"/>
      <c r="G449" s="427"/>
      <c r="H449" s="427"/>
      <c r="I449" s="427"/>
      <c r="J449" s="427"/>
      <c r="K449" s="427"/>
      <c r="L449" s="427"/>
      <c r="M449" s="427"/>
      <c r="N449" s="427"/>
      <c r="O449" s="427"/>
      <c r="P449" s="427"/>
      <c r="Q449" s="427"/>
      <c r="R449" s="427"/>
      <c r="S449" s="427"/>
      <c r="T449" s="427"/>
      <c r="U449" s="427"/>
      <c r="V449" s="420"/>
    </row>
    <row r="450" spans="1:22" ht="7.5" customHeight="1">
      <c r="A450" s="420"/>
      <c r="B450" s="474"/>
      <c r="C450" s="427"/>
      <c r="D450" s="427"/>
      <c r="E450" s="427"/>
      <c r="F450" s="427"/>
      <c r="G450" s="427"/>
      <c r="H450" s="427"/>
      <c r="I450" s="427"/>
      <c r="J450" s="427"/>
      <c r="K450" s="427"/>
      <c r="L450" s="427"/>
      <c r="M450" s="427"/>
      <c r="N450" s="427"/>
      <c r="O450" s="427"/>
      <c r="P450" s="427"/>
      <c r="Q450" s="427"/>
      <c r="R450" s="427"/>
      <c r="S450" s="427"/>
      <c r="T450" s="427"/>
      <c r="U450" s="427"/>
      <c r="V450" s="420"/>
    </row>
    <row r="451" spans="1:22" ht="23.25">
      <c r="A451" s="420"/>
      <c r="B451" s="2325" t="s">
        <v>701</v>
      </c>
      <c r="C451" s="2326"/>
      <c r="D451" s="2326"/>
      <c r="E451" s="2326"/>
      <c r="F451" s="2326"/>
      <c r="G451" s="2326"/>
      <c r="H451" s="2326"/>
      <c r="I451" s="2326"/>
      <c r="J451" s="2326"/>
      <c r="K451" s="2326"/>
      <c r="L451" s="438"/>
      <c r="M451" s="438"/>
      <c r="N451" s="438"/>
      <c r="O451" s="438"/>
      <c r="P451" s="438"/>
      <c r="Q451" s="438"/>
      <c r="R451" s="438"/>
      <c r="S451" s="438"/>
      <c r="T451" s="438"/>
      <c r="U451" s="439"/>
      <c r="V451" s="420"/>
    </row>
    <row r="452" spans="1:22" ht="47.25" customHeight="1">
      <c r="A452" s="420"/>
      <c r="B452" s="2297" t="s">
        <v>702</v>
      </c>
      <c r="C452" s="2288"/>
      <c r="D452" s="2288"/>
      <c r="E452" s="2288"/>
      <c r="F452" s="2288"/>
      <c r="G452" s="2288"/>
      <c r="H452" s="2288"/>
      <c r="I452" s="2288"/>
      <c r="J452" s="2288"/>
      <c r="K452" s="2288"/>
      <c r="L452" s="2288"/>
      <c r="M452" s="2288"/>
      <c r="N452" s="2288"/>
      <c r="O452" s="2288"/>
      <c r="P452" s="2288"/>
      <c r="Q452" s="2288"/>
      <c r="R452" s="2288"/>
      <c r="S452" s="2288"/>
      <c r="T452" s="2288"/>
      <c r="U452" s="2298"/>
      <c r="V452" s="420"/>
    </row>
    <row r="453" spans="1:22" ht="23.25">
      <c r="A453" s="420"/>
      <c r="B453" s="440"/>
      <c r="C453" s="2288" t="s">
        <v>1062</v>
      </c>
      <c r="D453" s="2288"/>
      <c r="E453" s="2288"/>
      <c r="F453" s="2288"/>
      <c r="G453" s="2288"/>
      <c r="H453" s="2288"/>
      <c r="I453" s="2288"/>
      <c r="J453" s="2288"/>
      <c r="K453" s="2288"/>
      <c r="L453" s="2288"/>
      <c r="M453" s="2288"/>
      <c r="N453" s="2288"/>
      <c r="O453" s="2288"/>
      <c r="P453" s="2288"/>
      <c r="Q453" s="2288"/>
      <c r="R453" s="2288"/>
      <c r="S453" s="2288"/>
      <c r="T453" s="468"/>
      <c r="U453" s="469"/>
      <c r="V453" s="420"/>
    </row>
    <row r="454" spans="1:22" ht="23.25">
      <c r="A454" s="420"/>
      <c r="B454" s="440"/>
      <c r="C454" s="2288" t="s">
        <v>1063</v>
      </c>
      <c r="D454" s="2288"/>
      <c r="E454" s="2288"/>
      <c r="F454" s="2288"/>
      <c r="G454" s="2288"/>
      <c r="H454" s="2288"/>
      <c r="I454" s="2288"/>
      <c r="J454" s="2288"/>
      <c r="K454" s="2288"/>
      <c r="L454" s="2288"/>
      <c r="M454" s="2288"/>
      <c r="N454" s="2288"/>
      <c r="O454" s="2288"/>
      <c r="P454" s="2288"/>
      <c r="Q454" s="2288"/>
      <c r="R454" s="2288"/>
      <c r="S454" s="2288"/>
      <c r="T454" s="468"/>
      <c r="U454" s="469"/>
      <c r="V454" s="420"/>
    </row>
    <row r="455" spans="1:22" ht="23.25">
      <c r="A455" s="420"/>
      <c r="B455" s="440"/>
      <c r="C455" s="2288" t="s">
        <v>1064</v>
      </c>
      <c r="D455" s="2288"/>
      <c r="E455" s="2288"/>
      <c r="F455" s="2288"/>
      <c r="G455" s="2288"/>
      <c r="H455" s="2288"/>
      <c r="I455" s="2288"/>
      <c r="J455" s="2288"/>
      <c r="K455" s="2288"/>
      <c r="L455" s="2288"/>
      <c r="M455" s="2288"/>
      <c r="N455" s="2288"/>
      <c r="O455" s="2288"/>
      <c r="P455" s="2288"/>
      <c r="Q455" s="2288"/>
      <c r="R455" s="2288"/>
      <c r="S455" s="2288"/>
      <c r="T455" s="468"/>
      <c r="U455" s="469"/>
      <c r="V455" s="420"/>
    </row>
    <row r="456" spans="1:22" ht="23.25">
      <c r="A456" s="420"/>
      <c r="B456" s="440"/>
      <c r="C456" s="2288" t="s">
        <v>1065</v>
      </c>
      <c r="D456" s="2288"/>
      <c r="E456" s="2288"/>
      <c r="F456" s="2288"/>
      <c r="G456" s="2288"/>
      <c r="H456" s="2288"/>
      <c r="I456" s="2288"/>
      <c r="J456" s="2288"/>
      <c r="K456" s="2288"/>
      <c r="L456" s="2288"/>
      <c r="M456" s="2288"/>
      <c r="N456" s="2288"/>
      <c r="O456" s="2288"/>
      <c r="P456" s="2288"/>
      <c r="Q456" s="2288"/>
      <c r="R456" s="2288"/>
      <c r="S456" s="2288"/>
      <c r="T456" s="468"/>
      <c r="U456" s="469"/>
      <c r="V456" s="420"/>
    </row>
    <row r="457" spans="1:22" ht="23.25">
      <c r="A457" s="420"/>
      <c r="B457" s="440"/>
      <c r="C457" s="2288" t="s">
        <v>1057</v>
      </c>
      <c r="D457" s="2288"/>
      <c r="E457" s="2288"/>
      <c r="F457" s="2288"/>
      <c r="G457" s="2288"/>
      <c r="H457" s="2288"/>
      <c r="I457" s="2288"/>
      <c r="J457" s="2288"/>
      <c r="K457" s="2288"/>
      <c r="L457" s="2288"/>
      <c r="M457" s="2288"/>
      <c r="N457" s="2288"/>
      <c r="O457" s="2288"/>
      <c r="P457" s="2288"/>
      <c r="Q457" s="2288"/>
      <c r="R457" s="2288"/>
      <c r="S457" s="2288"/>
      <c r="T457" s="468"/>
      <c r="U457" s="469"/>
      <c r="V457" s="420"/>
    </row>
    <row r="458" spans="1:22" ht="38.25" customHeight="1">
      <c r="A458" s="420"/>
      <c r="B458" s="2297" t="s">
        <v>703</v>
      </c>
      <c r="C458" s="2288"/>
      <c r="D458" s="2288"/>
      <c r="E458" s="2288"/>
      <c r="F458" s="2288"/>
      <c r="G458" s="2288"/>
      <c r="H458" s="2288"/>
      <c r="I458" s="2288"/>
      <c r="J458" s="2288"/>
      <c r="K458" s="2288"/>
      <c r="L458" s="2288"/>
      <c r="M458" s="2288"/>
      <c r="N458" s="2288"/>
      <c r="O458" s="2288"/>
      <c r="P458" s="2288"/>
      <c r="Q458" s="2288"/>
      <c r="R458" s="2288"/>
      <c r="S458" s="2288"/>
      <c r="T458" s="2288"/>
      <c r="U458" s="2298"/>
      <c r="V458" s="420"/>
    </row>
    <row r="459" spans="1:22" ht="23.25" customHeight="1">
      <c r="A459" s="420"/>
      <c r="B459" s="440"/>
      <c r="C459" s="2418" t="s">
        <v>979</v>
      </c>
      <c r="D459" s="2418"/>
      <c r="E459" s="2418"/>
      <c r="F459" s="2418"/>
      <c r="G459" s="2418"/>
      <c r="H459" s="2418"/>
      <c r="I459" s="670"/>
      <c r="J459" s="2418" t="s">
        <v>980</v>
      </c>
      <c r="K459" s="2418"/>
      <c r="L459" s="2418"/>
      <c r="M459" s="2418"/>
      <c r="N459" s="2418"/>
      <c r="O459" s="2418"/>
      <c r="P459" s="479"/>
      <c r="Q459" s="2549" t="s">
        <v>981</v>
      </c>
      <c r="R459" s="2549"/>
      <c r="S459" s="2549"/>
      <c r="T459" s="2549"/>
      <c r="U459" s="2550"/>
      <c r="V459" s="420"/>
    </row>
    <row r="460" spans="1:22" ht="105" customHeight="1">
      <c r="A460" s="420"/>
      <c r="B460" s="485"/>
      <c r="C460" s="2419" t="s">
        <v>707</v>
      </c>
      <c r="D460" s="2419"/>
      <c r="E460" s="2419"/>
      <c r="F460" s="2419"/>
      <c r="G460" s="2419"/>
      <c r="H460" s="2419"/>
      <c r="I460" s="475"/>
      <c r="J460" s="2419" t="s">
        <v>704</v>
      </c>
      <c r="K460" s="2419"/>
      <c r="L460" s="2419"/>
      <c r="M460" s="2419"/>
      <c r="N460" s="2419"/>
      <c r="O460" s="2419"/>
      <c r="P460" s="475"/>
      <c r="Q460" s="2419" t="s">
        <v>705</v>
      </c>
      <c r="R460" s="2419"/>
      <c r="S460" s="2419"/>
      <c r="T460" s="2419"/>
      <c r="U460" s="2420"/>
      <c r="V460" s="420"/>
    </row>
    <row r="461" spans="1:22" ht="59.25" customHeight="1">
      <c r="A461" s="420"/>
      <c r="B461" s="2297" t="s">
        <v>706</v>
      </c>
      <c r="C461" s="2288"/>
      <c r="D461" s="2288"/>
      <c r="E461" s="2288"/>
      <c r="F461" s="2288"/>
      <c r="G461" s="2288"/>
      <c r="H461" s="2288"/>
      <c r="I461" s="2288"/>
      <c r="J461" s="2288"/>
      <c r="K461" s="2288"/>
      <c r="L461" s="2288"/>
      <c r="M461" s="2288"/>
      <c r="N461" s="2288"/>
      <c r="O461" s="2288"/>
      <c r="P461" s="2288"/>
      <c r="Q461" s="2288"/>
      <c r="R461" s="2288"/>
      <c r="S461" s="2288"/>
      <c r="T461" s="2288"/>
      <c r="U461" s="2298"/>
      <c r="V461" s="420"/>
    </row>
    <row r="462" spans="1:22" ht="23.25">
      <c r="A462" s="420"/>
      <c r="B462" s="675"/>
      <c r="C462" s="475"/>
      <c r="D462" s="475"/>
      <c r="E462" s="475"/>
      <c r="F462" s="475"/>
      <c r="G462" s="475"/>
      <c r="H462" s="475"/>
      <c r="I462" s="475"/>
      <c r="J462" s="475"/>
      <c r="K462" s="475"/>
      <c r="L462" s="475"/>
      <c r="M462" s="475"/>
      <c r="N462" s="475"/>
      <c r="O462" s="475"/>
      <c r="P462" s="475"/>
      <c r="Q462" s="475"/>
      <c r="R462" s="475"/>
      <c r="S462" s="475"/>
      <c r="T462" s="475"/>
      <c r="U462" s="442"/>
      <c r="V462" s="420"/>
    </row>
    <row r="463" spans="1:22" ht="23.25">
      <c r="A463" s="420"/>
      <c r="B463" s="675"/>
      <c r="C463" s="475"/>
      <c r="D463" s="475"/>
      <c r="E463" s="475"/>
      <c r="F463" s="475"/>
      <c r="G463" s="475"/>
      <c r="H463" s="475"/>
      <c r="I463" s="475"/>
      <c r="J463" s="475"/>
      <c r="K463" s="475"/>
      <c r="L463" s="475"/>
      <c r="M463" s="475"/>
      <c r="N463" s="475"/>
      <c r="O463" s="475"/>
      <c r="P463" s="475"/>
      <c r="Q463" s="475"/>
      <c r="R463" s="475"/>
      <c r="S463" s="475"/>
      <c r="T463" s="475"/>
      <c r="U463" s="442"/>
      <c r="V463" s="420"/>
    </row>
    <row r="464" spans="1:22" ht="23.25">
      <c r="A464" s="420"/>
      <c r="B464" s="675"/>
      <c r="C464" s="475"/>
      <c r="D464" s="475"/>
      <c r="E464" s="475"/>
      <c r="F464" s="475"/>
      <c r="G464" s="475"/>
      <c r="H464" s="475"/>
      <c r="I464" s="475"/>
      <c r="J464" s="475"/>
      <c r="K464" s="475"/>
      <c r="L464" s="475"/>
      <c r="M464" s="475"/>
      <c r="N464" s="475"/>
      <c r="O464" s="475"/>
      <c r="P464" s="475"/>
      <c r="Q464" s="475"/>
      <c r="R464" s="475"/>
      <c r="S464" s="475"/>
      <c r="T464" s="475"/>
      <c r="U464" s="442"/>
      <c r="V464" s="420"/>
    </row>
    <row r="465" spans="1:22" ht="23.25">
      <c r="A465" s="420"/>
      <c r="B465" s="675"/>
      <c r="C465" s="475"/>
      <c r="D465" s="475"/>
      <c r="E465" s="475"/>
      <c r="F465" s="475"/>
      <c r="G465" s="475"/>
      <c r="H465" s="475"/>
      <c r="I465" s="475"/>
      <c r="J465" s="475"/>
      <c r="K465" s="475"/>
      <c r="L465" s="475"/>
      <c r="M465" s="475"/>
      <c r="N465" s="475"/>
      <c r="O465" s="475"/>
      <c r="P465" s="475"/>
      <c r="Q465" s="475"/>
      <c r="R465" s="475"/>
      <c r="S465" s="475"/>
      <c r="T465" s="475"/>
      <c r="U465" s="442"/>
      <c r="V465" s="420"/>
    </row>
    <row r="466" spans="1:22" ht="23.25">
      <c r="A466" s="420"/>
      <c r="B466" s="675"/>
      <c r="C466" s="475"/>
      <c r="D466" s="475"/>
      <c r="E466" s="475"/>
      <c r="F466" s="475"/>
      <c r="G466" s="475"/>
      <c r="H466" s="475"/>
      <c r="I466" s="475"/>
      <c r="J466" s="475"/>
      <c r="K466" s="475"/>
      <c r="L466" s="475"/>
      <c r="M466" s="475"/>
      <c r="N466" s="475"/>
      <c r="O466" s="475"/>
      <c r="P466" s="475"/>
      <c r="Q466" s="475"/>
      <c r="R466" s="475"/>
      <c r="S466" s="475"/>
      <c r="T466" s="475"/>
      <c r="U466" s="442"/>
      <c r="V466" s="420"/>
    </row>
    <row r="467" spans="1:22" ht="23.25">
      <c r="A467" s="420"/>
      <c r="B467" s="675"/>
      <c r="C467" s="475"/>
      <c r="D467" s="475"/>
      <c r="E467" s="475"/>
      <c r="F467" s="475"/>
      <c r="G467" s="475"/>
      <c r="H467" s="475"/>
      <c r="I467" s="475"/>
      <c r="J467" s="475"/>
      <c r="K467" s="475"/>
      <c r="L467" s="475"/>
      <c r="M467" s="475"/>
      <c r="N467" s="475"/>
      <c r="O467" s="475"/>
      <c r="P467" s="475"/>
      <c r="Q467" s="475"/>
      <c r="R467" s="475"/>
      <c r="S467" s="475"/>
      <c r="T467" s="475"/>
      <c r="U467" s="442"/>
      <c r="V467" s="420"/>
    </row>
    <row r="468" spans="1:22" ht="23.25">
      <c r="A468" s="420"/>
      <c r="B468" s="675"/>
      <c r="C468" s="475"/>
      <c r="D468" s="475"/>
      <c r="E468" s="475"/>
      <c r="F468" s="475"/>
      <c r="G468" s="475"/>
      <c r="H468" s="475"/>
      <c r="I468" s="475"/>
      <c r="J468" s="475"/>
      <c r="K468" s="475"/>
      <c r="L468" s="475"/>
      <c r="M468" s="475"/>
      <c r="N468" s="475"/>
      <c r="O468" s="475"/>
      <c r="P468" s="475"/>
      <c r="Q468" s="475"/>
      <c r="R468" s="475"/>
      <c r="S468" s="475"/>
      <c r="T468" s="475"/>
      <c r="U468" s="442"/>
      <c r="V468" s="420"/>
    </row>
    <row r="469" spans="1:22" ht="23.25">
      <c r="A469" s="420"/>
      <c r="B469" s="675"/>
      <c r="C469" s="475"/>
      <c r="D469" s="475"/>
      <c r="E469" s="475"/>
      <c r="F469" s="475"/>
      <c r="G469" s="475"/>
      <c r="H469" s="475"/>
      <c r="I469" s="475"/>
      <c r="J469" s="475"/>
      <c r="K469" s="475"/>
      <c r="L469" s="475"/>
      <c r="M469" s="475"/>
      <c r="N469" s="475"/>
      <c r="O469" s="475"/>
      <c r="P469" s="475"/>
      <c r="Q469" s="475"/>
      <c r="R469" s="475"/>
      <c r="S469" s="475"/>
      <c r="T469" s="475"/>
      <c r="U469" s="442"/>
      <c r="V469" s="420"/>
    </row>
    <row r="470" spans="1:22" ht="23.25">
      <c r="A470" s="420"/>
      <c r="B470" s="675"/>
      <c r="C470" s="475"/>
      <c r="D470" s="475"/>
      <c r="E470" s="475"/>
      <c r="F470" s="475"/>
      <c r="G470" s="475"/>
      <c r="H470" s="475"/>
      <c r="I470" s="475"/>
      <c r="J470" s="475"/>
      <c r="K470" s="475"/>
      <c r="L470" s="475"/>
      <c r="M470" s="475"/>
      <c r="N470" s="475"/>
      <c r="O470" s="475"/>
      <c r="P470" s="475"/>
      <c r="Q470" s="475"/>
      <c r="R470" s="475"/>
      <c r="S470" s="475"/>
      <c r="T470" s="475"/>
      <c r="U470" s="442"/>
      <c r="V470" s="420"/>
    </row>
    <row r="471" spans="1:22" ht="23.25">
      <c r="A471" s="420"/>
      <c r="B471" s="675"/>
      <c r="C471" s="475"/>
      <c r="D471" s="475"/>
      <c r="E471" s="475"/>
      <c r="F471" s="475"/>
      <c r="G471" s="475"/>
      <c r="H471" s="475"/>
      <c r="I471" s="475"/>
      <c r="J471" s="475"/>
      <c r="K471" s="475"/>
      <c r="L471" s="475"/>
      <c r="M471" s="475"/>
      <c r="N471" s="475"/>
      <c r="O471" s="475"/>
      <c r="P471" s="475"/>
      <c r="Q471" s="475"/>
      <c r="R471" s="475"/>
      <c r="S471" s="475"/>
      <c r="T471" s="475"/>
      <c r="U471" s="442"/>
      <c r="V471" s="420"/>
    </row>
    <row r="472" spans="1:22" ht="23.25">
      <c r="A472" s="420"/>
      <c r="B472" s="675"/>
      <c r="C472" s="475"/>
      <c r="D472" s="475"/>
      <c r="E472" s="475"/>
      <c r="F472" s="475"/>
      <c r="G472" s="475"/>
      <c r="H472" s="475"/>
      <c r="I472" s="475"/>
      <c r="J472" s="475"/>
      <c r="K472" s="475"/>
      <c r="L472" s="475"/>
      <c r="M472" s="475"/>
      <c r="N472" s="475"/>
      <c r="O472" s="475"/>
      <c r="P472" s="475"/>
      <c r="Q472" s="475"/>
      <c r="R472" s="475"/>
      <c r="S472" s="475"/>
      <c r="T472" s="475"/>
      <c r="U472" s="442"/>
      <c r="V472" s="420"/>
    </row>
    <row r="473" spans="1:22" ht="23.25">
      <c r="A473" s="420"/>
      <c r="B473" s="675"/>
      <c r="C473" s="475"/>
      <c r="D473" s="475"/>
      <c r="E473" s="475"/>
      <c r="F473" s="475"/>
      <c r="G473" s="475"/>
      <c r="H473" s="475"/>
      <c r="I473" s="475"/>
      <c r="J473" s="475"/>
      <c r="K473" s="475"/>
      <c r="L473" s="475"/>
      <c r="M473" s="475"/>
      <c r="N473" s="475"/>
      <c r="O473" s="475"/>
      <c r="P473" s="475"/>
      <c r="Q473" s="475"/>
      <c r="R473" s="475"/>
      <c r="S473" s="475"/>
      <c r="T473" s="475"/>
      <c r="U473" s="442"/>
      <c r="V473" s="420"/>
    </row>
    <row r="474" spans="1:22" ht="23.25">
      <c r="A474" s="420"/>
      <c r="B474" s="675"/>
      <c r="C474" s="475"/>
      <c r="D474" s="475"/>
      <c r="E474" s="475"/>
      <c r="F474" s="475"/>
      <c r="G474" s="475"/>
      <c r="H474" s="475"/>
      <c r="I474" s="475"/>
      <c r="J474" s="475"/>
      <c r="K474" s="475"/>
      <c r="L474" s="475"/>
      <c r="M474" s="475"/>
      <c r="N474" s="475"/>
      <c r="O474" s="475"/>
      <c r="P474" s="475"/>
      <c r="Q474" s="475"/>
      <c r="R474" s="475"/>
      <c r="S474" s="475"/>
      <c r="T474" s="475"/>
      <c r="U474" s="442"/>
      <c r="V474" s="420"/>
    </row>
    <row r="475" spans="1:22" ht="23.25">
      <c r="A475" s="420"/>
      <c r="B475" s="675"/>
      <c r="C475" s="475"/>
      <c r="D475" s="475"/>
      <c r="E475" s="475"/>
      <c r="F475" s="475"/>
      <c r="G475" s="475"/>
      <c r="H475" s="475"/>
      <c r="I475" s="475"/>
      <c r="J475" s="475"/>
      <c r="K475" s="475"/>
      <c r="L475" s="475"/>
      <c r="M475" s="475"/>
      <c r="N475" s="475"/>
      <c r="O475" s="475"/>
      <c r="P475" s="475"/>
      <c r="Q475" s="475"/>
      <c r="R475" s="475"/>
      <c r="S475" s="475"/>
      <c r="T475" s="475"/>
      <c r="U475" s="442"/>
      <c r="V475" s="420"/>
    </row>
    <row r="476" spans="1:22" ht="23.25">
      <c r="A476" s="420"/>
      <c r="B476" s="675"/>
      <c r="C476" s="475"/>
      <c r="D476" s="475"/>
      <c r="E476" s="475"/>
      <c r="F476" s="475"/>
      <c r="G476" s="475"/>
      <c r="H476" s="475"/>
      <c r="I476" s="475"/>
      <c r="J476" s="475"/>
      <c r="K476" s="475"/>
      <c r="L476" s="475"/>
      <c r="M476" s="475"/>
      <c r="N476" s="475"/>
      <c r="O476" s="475"/>
      <c r="P476" s="475"/>
      <c r="Q476" s="475"/>
      <c r="R476" s="475"/>
      <c r="S476" s="475"/>
      <c r="T476" s="475"/>
      <c r="U476" s="442"/>
      <c r="V476" s="420"/>
    </row>
    <row r="477" spans="1:22" ht="23.25">
      <c r="A477" s="420"/>
      <c r="B477" s="675"/>
      <c r="C477" s="475"/>
      <c r="D477" s="475"/>
      <c r="E477" s="475"/>
      <c r="F477" s="475"/>
      <c r="G477" s="475"/>
      <c r="H477" s="475"/>
      <c r="I477" s="475"/>
      <c r="J477" s="475"/>
      <c r="K477" s="475"/>
      <c r="L477" s="475"/>
      <c r="M477" s="475"/>
      <c r="N477" s="475"/>
      <c r="O477" s="475"/>
      <c r="P477" s="475"/>
      <c r="Q477" s="475"/>
      <c r="R477" s="475"/>
      <c r="S477" s="475"/>
      <c r="T477" s="475"/>
      <c r="U477" s="442"/>
      <c r="V477" s="420"/>
    </row>
    <row r="478" spans="1:22" ht="23.25">
      <c r="A478" s="420"/>
      <c r="B478" s="676"/>
      <c r="C478" s="459"/>
      <c r="D478" s="459"/>
      <c r="E478" s="459"/>
      <c r="F478" s="459"/>
      <c r="G478" s="459"/>
      <c r="H478" s="459"/>
      <c r="I478" s="459"/>
      <c r="J478" s="459"/>
      <c r="K478" s="459"/>
      <c r="L478" s="459"/>
      <c r="M478" s="459"/>
      <c r="N478" s="459"/>
      <c r="O478" s="459"/>
      <c r="P478" s="459"/>
      <c r="Q478" s="459"/>
      <c r="R478" s="459"/>
      <c r="S478" s="459"/>
      <c r="T478" s="459"/>
      <c r="U478" s="460"/>
      <c r="V478" s="420"/>
    </row>
    <row r="479" spans="1:22" ht="23.25">
      <c r="A479" s="420"/>
      <c r="B479" s="677" t="s">
        <v>699</v>
      </c>
      <c r="C479" s="427"/>
      <c r="D479" s="427"/>
      <c r="E479" s="427"/>
      <c r="F479" s="427"/>
      <c r="G479" s="427"/>
      <c r="H479" s="427"/>
      <c r="I479" s="427"/>
      <c r="J479" s="427"/>
      <c r="K479" s="427"/>
      <c r="L479" s="427"/>
      <c r="M479" s="427"/>
      <c r="N479" s="427"/>
      <c r="O479" s="427"/>
      <c r="P479" s="427"/>
      <c r="Q479" s="427"/>
      <c r="R479" s="427"/>
      <c r="S479" s="427"/>
      <c r="T479" s="427"/>
      <c r="U479" s="427"/>
      <c r="V479" s="420"/>
    </row>
    <row r="480" spans="1:22" ht="23.25">
      <c r="A480" s="420"/>
      <c r="B480" s="427"/>
      <c r="C480" s="427"/>
      <c r="D480" s="427"/>
      <c r="E480" s="427"/>
      <c r="F480" s="427"/>
      <c r="G480" s="427"/>
      <c r="H480" s="427"/>
      <c r="I480" s="427"/>
      <c r="J480" s="427"/>
      <c r="K480" s="427"/>
      <c r="L480" s="427"/>
      <c r="M480" s="476" t="s">
        <v>1805</v>
      </c>
      <c r="N480" s="427"/>
      <c r="O480" s="427"/>
      <c r="P480" s="427"/>
      <c r="Q480" s="427"/>
      <c r="R480" s="477" t="s">
        <v>692</v>
      </c>
      <c r="S480" s="478" t="str">
        <f>$E$39</f>
        <v>ILF5_90FCORCP_B114CAGR43006</v>
      </c>
      <c r="T480" s="427"/>
      <c r="U480" s="427"/>
      <c r="V480" s="420"/>
    </row>
    <row r="481" spans="1:22" ht="19.149999999999999" customHeight="1">
      <c r="B481" s="522"/>
      <c r="C481" s="585"/>
      <c r="D481" s="584"/>
      <c r="E481" s="584"/>
      <c r="F481" s="584"/>
      <c r="G481" s="586"/>
      <c r="H481" s="586"/>
      <c r="I481" s="586"/>
      <c r="J481" s="586"/>
      <c r="K481" s="587"/>
      <c r="L481" s="587"/>
      <c r="M481" s="587"/>
      <c r="N481" s="587"/>
      <c r="O481" s="587"/>
      <c r="P481" s="587"/>
      <c r="Q481" s="561"/>
      <c r="R481" s="561"/>
      <c r="S481" s="441"/>
      <c r="T481" s="441"/>
      <c r="U481" s="588"/>
      <c r="V481" s="441"/>
    </row>
    <row r="482" spans="1:22" ht="16.899999999999999" customHeight="1">
      <c r="B482" s="522"/>
      <c r="C482" s="585"/>
      <c r="D482" s="584"/>
      <c r="E482" s="584"/>
      <c r="F482" s="584"/>
      <c r="G482" s="586"/>
      <c r="H482" s="436" t="s">
        <v>690</v>
      </c>
      <c r="I482" s="420"/>
      <c r="K482" s="420"/>
      <c r="L482" s="437" t="str">
        <f>$B$11</f>
        <v>INMOBILIARIA SERVIGESTION</v>
      </c>
      <c r="M482" s="587"/>
      <c r="N482" s="587"/>
      <c r="O482" s="587"/>
      <c r="P482" s="587"/>
      <c r="Q482" s="561"/>
      <c r="R482" s="561"/>
      <c r="S482" s="441"/>
      <c r="T482" s="441"/>
      <c r="U482" s="588"/>
      <c r="V482" s="441"/>
    </row>
    <row r="483" spans="1:22" ht="34.5">
      <c r="A483" s="420"/>
      <c r="B483" s="2268" t="s">
        <v>461</v>
      </c>
      <c r="C483" s="2268"/>
      <c r="D483" s="2268"/>
      <c r="E483" s="2268"/>
      <c r="F483" s="2268"/>
      <c r="G483" s="2268"/>
      <c r="H483" s="2268"/>
      <c r="I483" s="2268"/>
      <c r="J483" s="2268"/>
      <c r="K483" s="2268"/>
      <c r="L483" s="2268"/>
      <c r="M483" s="2268"/>
      <c r="N483" s="2268"/>
      <c r="O483" s="2268"/>
      <c r="P483" s="2268"/>
      <c r="Q483" s="2268"/>
      <c r="R483" s="2268"/>
      <c r="S483" s="2268"/>
      <c r="T483" s="2268"/>
      <c r="U483" s="2268"/>
      <c r="V483" s="420"/>
    </row>
    <row r="484" spans="1:22" ht="22.9" customHeight="1">
      <c r="A484" s="420"/>
      <c r="B484" s="2269" t="s">
        <v>796</v>
      </c>
      <c r="C484" s="2269"/>
      <c r="D484" s="2269"/>
      <c r="E484" s="2269"/>
      <c r="F484" s="2269"/>
      <c r="G484" s="2269"/>
      <c r="H484" s="2269"/>
      <c r="I484" s="2269"/>
      <c r="J484" s="2269"/>
      <c r="K484" s="2269"/>
      <c r="L484" s="2269"/>
      <c r="M484" s="2269"/>
      <c r="N484" s="2269"/>
      <c r="O484" s="2269"/>
      <c r="P484" s="2269"/>
      <c r="Q484" s="2269"/>
      <c r="R484" s="2269"/>
      <c r="S484" s="2269"/>
      <c r="T484" s="2269"/>
      <c r="U484" s="2269"/>
      <c r="V484" s="420"/>
    </row>
    <row r="485" spans="1:22" ht="16.149999999999999" customHeight="1">
      <c r="A485" s="420"/>
      <c r="B485" s="427"/>
      <c r="C485" s="427"/>
      <c r="D485" s="427"/>
      <c r="E485" s="427"/>
      <c r="F485" s="427"/>
      <c r="G485" s="427"/>
      <c r="H485" s="427"/>
      <c r="I485" s="427"/>
      <c r="J485" s="427"/>
      <c r="K485" s="427"/>
      <c r="L485" s="427"/>
      <c r="M485" s="427"/>
      <c r="N485" s="427"/>
      <c r="O485" s="427"/>
      <c r="Q485" s="427"/>
      <c r="R485" s="427"/>
      <c r="S485" s="427"/>
      <c r="T485" s="427"/>
      <c r="U485" s="427"/>
      <c r="V485" s="420"/>
    </row>
    <row r="486" spans="1:22" ht="38.25" customHeight="1">
      <c r="A486" s="429"/>
      <c r="B486" s="2251" t="s">
        <v>797</v>
      </c>
      <c r="C486" s="2251"/>
      <c r="D486" s="2251"/>
      <c r="E486" s="2251"/>
      <c r="F486" s="2251"/>
      <c r="G486" s="2251"/>
      <c r="H486" s="2251"/>
      <c r="I486" s="2251"/>
      <c r="J486" s="2251"/>
      <c r="K486" s="2251"/>
      <c r="L486" s="2251"/>
      <c r="M486" s="2251"/>
      <c r="N486" s="2251"/>
      <c r="O486" s="2251"/>
      <c r="P486" s="2251"/>
      <c r="Q486" s="2251"/>
      <c r="R486" s="2251"/>
      <c r="S486" s="2251"/>
      <c r="T486" s="2251"/>
      <c r="U486" s="2251"/>
      <c r="V486" s="429"/>
    </row>
    <row r="487" spans="1:22" ht="16.149999999999999" customHeight="1">
      <c r="A487" s="420"/>
      <c r="B487" s="427"/>
      <c r="C487" s="427"/>
      <c r="D487" s="427"/>
      <c r="E487" s="427"/>
      <c r="F487" s="427"/>
      <c r="G487" s="427"/>
      <c r="H487" s="427"/>
      <c r="I487" s="427"/>
      <c r="J487" s="427"/>
      <c r="K487" s="427"/>
      <c r="L487" s="427"/>
      <c r="M487" s="427"/>
      <c r="N487" s="427"/>
      <c r="O487" s="427"/>
      <c r="P487" s="427"/>
      <c r="Q487" s="427"/>
      <c r="R487" s="427"/>
      <c r="S487" s="427"/>
      <c r="T487" s="427"/>
      <c r="U487" s="427"/>
      <c r="V487" s="420"/>
    </row>
    <row r="488" spans="1:22" ht="22.15" customHeight="1">
      <c r="A488" s="441"/>
      <c r="B488" s="2304" t="s">
        <v>708</v>
      </c>
      <c r="C488" s="2305"/>
      <c r="D488" s="2305"/>
      <c r="E488" s="2305"/>
      <c r="F488" s="2305"/>
      <c r="G488" s="2305"/>
      <c r="H488" s="2305"/>
      <c r="I488" s="678"/>
      <c r="J488" s="678"/>
      <c r="K488" s="678"/>
      <c r="L488" s="678"/>
      <c r="M488" s="678"/>
      <c r="N488" s="678"/>
      <c r="O488" s="678"/>
      <c r="P488" s="678"/>
      <c r="Q488" s="678"/>
      <c r="R488" s="678"/>
      <c r="S488" s="678"/>
      <c r="T488" s="678"/>
      <c r="U488" s="603"/>
    </row>
    <row r="489" spans="1:22" ht="43.5" customHeight="1">
      <c r="A489" s="441"/>
      <c r="B489" s="2523" t="s">
        <v>737</v>
      </c>
      <c r="C489" s="2303"/>
      <c r="D489" s="2303"/>
      <c r="E489" s="2303"/>
      <c r="F489" s="2303"/>
      <c r="G489" s="2303"/>
      <c r="H489" s="2303"/>
      <c r="I489" s="2303"/>
      <c r="J489" s="2303"/>
      <c r="K489" s="2303"/>
      <c r="L489" s="2303"/>
      <c r="M489" s="2303"/>
      <c r="N489" s="2303"/>
      <c r="O489" s="2303"/>
      <c r="P489" s="2303"/>
      <c r="Q489" s="2303"/>
      <c r="R489" s="2303"/>
      <c r="S489" s="2303"/>
      <c r="T489" s="2303"/>
      <c r="U489" s="679"/>
    </row>
    <row r="490" spans="1:22" ht="10.5" customHeight="1">
      <c r="A490" s="441"/>
      <c r="B490" s="680"/>
      <c r="C490" s="681"/>
      <c r="D490" s="681"/>
      <c r="E490" s="681"/>
      <c r="F490" s="681"/>
      <c r="G490" s="681"/>
      <c r="H490" s="681"/>
      <c r="I490" s="681"/>
      <c r="J490" s="681"/>
      <c r="K490" s="681"/>
      <c r="L490" s="681"/>
      <c r="M490" s="681"/>
      <c r="N490" s="681"/>
      <c r="O490" s="681"/>
      <c r="P490" s="681"/>
      <c r="Q490" s="681"/>
      <c r="R490" s="681"/>
      <c r="S490" s="681"/>
      <c r="T490" s="681"/>
      <c r="U490" s="679"/>
    </row>
    <row r="491" spans="1:22" ht="33" customHeight="1">
      <c r="A491" s="441"/>
      <c r="B491" s="680"/>
      <c r="D491" s="682"/>
      <c r="E491" s="682"/>
      <c r="F491" s="682"/>
      <c r="G491" s="682"/>
      <c r="H491" s="2524" t="s">
        <v>511</v>
      </c>
      <c r="I491" s="2524"/>
      <c r="J491" s="2524"/>
      <c r="K491" s="2524"/>
      <c r="L491" s="683">
        <f>Calculos_cuotas!W47</f>
        <v>0.15</v>
      </c>
      <c r="M491" s="684"/>
      <c r="N491" s="681"/>
      <c r="O491" s="681"/>
      <c r="P491" s="681"/>
      <c r="Q491" s="681"/>
      <c r="R491" s="681"/>
      <c r="S491" s="681"/>
      <c r="T491" s="681"/>
      <c r="U491" s="679"/>
    </row>
    <row r="492" spans="1:22" ht="12" customHeight="1">
      <c r="A492" s="441"/>
      <c r="B492" s="680"/>
      <c r="C492" s="681"/>
      <c r="D492" s="681"/>
      <c r="E492" s="681"/>
      <c r="F492" s="681"/>
      <c r="G492" s="681"/>
      <c r="H492" s="681"/>
      <c r="I492" s="681"/>
      <c r="J492" s="681"/>
      <c r="K492" s="681"/>
      <c r="L492" s="681"/>
      <c r="M492" s="681"/>
      <c r="N492" s="681"/>
      <c r="O492" s="681"/>
      <c r="P492" s="681"/>
      <c r="Q492" s="681"/>
      <c r="R492" s="681"/>
      <c r="S492" s="681"/>
      <c r="T492" s="681"/>
      <c r="U492" s="679"/>
    </row>
    <row r="493" spans="1:22" ht="63" customHeight="1">
      <c r="A493" s="441"/>
      <c r="B493" s="680"/>
      <c r="C493" s="2303" t="s">
        <v>798</v>
      </c>
      <c r="D493" s="2303"/>
      <c r="E493" s="2303"/>
      <c r="F493" s="2303"/>
      <c r="G493" s="2303"/>
      <c r="H493" s="2303"/>
      <c r="I493" s="2303"/>
      <c r="J493" s="2303"/>
      <c r="K493" s="2303"/>
      <c r="L493" s="2303"/>
      <c r="M493" s="2303"/>
      <c r="N493" s="2303"/>
      <c r="O493" s="2303"/>
      <c r="P493" s="2303"/>
      <c r="Q493" s="2303"/>
      <c r="R493" s="2303"/>
      <c r="S493" s="2303"/>
      <c r="T493" s="2303"/>
      <c r="U493" s="679"/>
    </row>
    <row r="494" spans="1:22" ht="22.15" customHeight="1">
      <c r="A494" s="441"/>
      <c r="B494" s="685"/>
      <c r="C494" s="686"/>
      <c r="D494" s="686"/>
      <c r="E494" s="686"/>
      <c r="F494" s="686"/>
      <c r="G494" s="686"/>
      <c r="H494" s="686"/>
      <c r="I494" s="686"/>
      <c r="J494" s="686"/>
      <c r="K494" s="686"/>
      <c r="L494" s="686"/>
      <c r="M494" s="686"/>
      <c r="N494" s="686"/>
      <c r="O494" s="686"/>
      <c r="P494" s="686"/>
      <c r="Q494" s="686"/>
      <c r="R494" s="686"/>
      <c r="S494" s="686"/>
      <c r="T494" s="686"/>
      <c r="U494" s="687"/>
    </row>
    <row r="495" spans="1:22" ht="22.15" customHeight="1">
      <c r="A495" s="441"/>
      <c r="B495" s="688" t="s">
        <v>671</v>
      </c>
      <c r="C495" s="681"/>
      <c r="D495" s="681"/>
      <c r="E495" s="681"/>
      <c r="F495" s="681"/>
      <c r="G495" s="681"/>
      <c r="H495" s="681"/>
      <c r="I495" s="681"/>
      <c r="J495" s="681"/>
      <c r="K495" s="681"/>
      <c r="L495" s="681"/>
      <c r="M495" s="681"/>
      <c r="N495" s="681"/>
      <c r="O495" s="681"/>
      <c r="P495" s="681"/>
      <c r="Q495" s="681"/>
      <c r="R495" s="681"/>
      <c r="S495" s="681"/>
      <c r="T495" s="681"/>
      <c r="U495" s="681"/>
    </row>
    <row r="496" spans="1:22" ht="22.15" customHeight="1">
      <c r="A496" s="441"/>
      <c r="B496" s="2304" t="s">
        <v>709</v>
      </c>
      <c r="C496" s="2305"/>
      <c r="D496" s="2305"/>
      <c r="E496" s="2305"/>
      <c r="F496" s="2305"/>
      <c r="G496" s="2305"/>
      <c r="H496" s="2305"/>
      <c r="I496" s="678"/>
      <c r="J496" s="678"/>
      <c r="K496" s="678"/>
      <c r="L496" s="678"/>
      <c r="M496" s="678"/>
      <c r="N496" s="678"/>
      <c r="O496" s="678"/>
      <c r="P496" s="678"/>
      <c r="Q496" s="678"/>
      <c r="R496" s="678"/>
      <c r="S496" s="678"/>
      <c r="T496" s="678"/>
      <c r="U496" s="603"/>
    </row>
    <row r="497" spans="1:21" ht="42.75" customHeight="1">
      <c r="A497" s="441"/>
      <c r="B497" s="2523" t="s">
        <v>799</v>
      </c>
      <c r="C497" s="2303"/>
      <c r="D497" s="2303"/>
      <c r="E497" s="2303"/>
      <c r="F497" s="2303"/>
      <c r="G497" s="2303"/>
      <c r="H497" s="2303"/>
      <c r="I497" s="2303"/>
      <c r="J497" s="2303"/>
      <c r="K497" s="2303"/>
      <c r="L497" s="2303"/>
      <c r="M497" s="2303"/>
      <c r="N497" s="2303"/>
      <c r="O497" s="2303"/>
      <c r="P497" s="2303"/>
      <c r="Q497" s="2303"/>
      <c r="R497" s="2303"/>
      <c r="S497" s="2303"/>
      <c r="T497" s="2303"/>
      <c r="U497" s="679"/>
    </row>
    <row r="498" spans="1:21" ht="22.15" customHeight="1">
      <c r="A498" s="441"/>
      <c r="B498" s="680"/>
      <c r="C498" s="681"/>
      <c r="D498" s="681"/>
      <c r="E498" s="681"/>
      <c r="F498" s="681"/>
      <c r="G498" s="681"/>
      <c r="H498" s="681"/>
      <c r="I498" s="681"/>
      <c r="J498" s="2509" t="s">
        <v>710</v>
      </c>
      <c r="K498" s="2525"/>
      <c r="L498" s="2525"/>
      <c r="M498" s="2526"/>
      <c r="N498" s="2508" t="s">
        <v>220</v>
      </c>
      <c r="O498" s="2508"/>
      <c r="P498" s="681"/>
      <c r="Q498" s="681"/>
      <c r="R498" s="681"/>
      <c r="S498" s="681"/>
      <c r="T498" s="681"/>
      <c r="U498" s="679"/>
    </row>
    <row r="499" spans="1:21" ht="22.15" customHeight="1">
      <c r="A499" s="441"/>
      <c r="B499" s="680"/>
      <c r="C499" s="2308"/>
      <c r="D499" s="2308"/>
      <c r="E499" s="2308"/>
      <c r="F499" s="2308"/>
      <c r="G499" s="670"/>
      <c r="H499" s="670"/>
      <c r="I499" s="670"/>
      <c r="J499" s="2309" t="str">
        <f>CONCATENATE("menor de ",Calculos_cuotas!Y34,"€")</f>
        <v>menor de 100€</v>
      </c>
      <c r="K499" s="2310"/>
      <c r="L499" s="2310"/>
      <c r="M499" s="2311"/>
      <c r="N499" s="2421">
        <f>IF(OR(Perfiles_usuario!$J$17="",Perfiles_usuario!$J$17="Nuevo"),Calculos_cuotas!U34,Calculos_cuotas!Z34)</f>
        <v>0</v>
      </c>
      <c r="O499" s="2421"/>
      <c r="P499" s="681"/>
      <c r="Q499" s="681"/>
      <c r="R499" s="681"/>
      <c r="S499" s="681"/>
      <c r="T499" s="681"/>
      <c r="U499" s="679"/>
    </row>
    <row r="500" spans="1:21" ht="22.15" customHeight="1">
      <c r="A500" s="441"/>
      <c r="B500" s="680"/>
      <c r="C500" s="681"/>
      <c r="D500" s="681"/>
      <c r="E500" s="681"/>
      <c r="F500" s="681"/>
      <c r="G500" s="681"/>
      <c r="H500" s="681"/>
      <c r="I500" s="681"/>
      <c r="J500" s="2309" t="str">
        <f>CONCATENATE("de ",Calculos_cuotas!Y34,"€ a ",Calculos_cuotas!Y35-1,"€")</f>
        <v>de 100€ a 249€</v>
      </c>
      <c r="K500" s="2310"/>
      <c r="L500" s="2310"/>
      <c r="M500" s="2311"/>
      <c r="N500" s="2421">
        <f>IF(OR(Perfiles_usuario!$J$17="",Perfiles_usuario!$J$17="Nuevo"),Calculos_cuotas!U35,Calculos_cuotas!Z35)</f>
        <v>0.1</v>
      </c>
      <c r="O500" s="2421"/>
      <c r="P500" s="681"/>
      <c r="Q500" s="681"/>
      <c r="R500" s="681"/>
      <c r="S500" s="681"/>
      <c r="T500" s="681"/>
      <c r="U500" s="679"/>
    </row>
    <row r="501" spans="1:21" ht="22.15" customHeight="1">
      <c r="A501" s="441"/>
      <c r="B501" s="680"/>
      <c r="C501" s="681"/>
      <c r="D501" s="681"/>
      <c r="E501" s="681"/>
      <c r="F501" s="681"/>
      <c r="G501" s="681"/>
      <c r="H501" s="681"/>
      <c r="I501" s="681"/>
      <c r="J501" s="2309" t="str">
        <f>CONCATENATE("de ",Calculos_cuotas!Y35,"€ a ",Calculos_cuotas!Y36-1,"€")</f>
        <v>de 250€ a 599€</v>
      </c>
      <c r="K501" s="2310"/>
      <c r="L501" s="2310"/>
      <c r="M501" s="2311"/>
      <c r="N501" s="2421">
        <f>IF(OR(Perfiles_usuario!$J$17="",Perfiles_usuario!$J$17="Nuevo"),Calculos_cuotas!U36,Calculos_cuotas!Z36)</f>
        <v>0.26</v>
      </c>
      <c r="O501" s="2421"/>
      <c r="P501" s="681"/>
      <c r="Q501" s="681"/>
      <c r="R501" s="681"/>
      <c r="S501" s="681"/>
      <c r="T501" s="681"/>
      <c r="U501" s="679"/>
    </row>
    <row r="502" spans="1:21" ht="22.15" customHeight="1">
      <c r="A502" s="441"/>
      <c r="B502" s="680"/>
      <c r="C502" s="681"/>
      <c r="D502" s="681"/>
      <c r="E502" s="681"/>
      <c r="F502" s="681"/>
      <c r="G502" s="681"/>
      <c r="H502" s="681"/>
      <c r="I502" s="681"/>
      <c r="J502" s="2309" t="str">
        <f>CONCATENATE("de ",Calculos_cuotas!Y36,"€ a ",Calculos_cuotas!Y37-1,"€")</f>
        <v>de 600€ a 899€</v>
      </c>
      <c r="K502" s="2310"/>
      <c r="L502" s="2310"/>
      <c r="M502" s="2311"/>
      <c r="N502" s="2421">
        <f>IF(OR(Perfiles_usuario!$J$17="",Perfiles_usuario!$J$17="Nuevo"),Calculos_cuotas!U37,Calculos_cuotas!Z37)</f>
        <v>0.33</v>
      </c>
      <c r="O502" s="2421"/>
      <c r="P502" s="681"/>
      <c r="Q502" s="681"/>
      <c r="R502" s="681"/>
      <c r="S502" s="681"/>
      <c r="T502" s="681"/>
      <c r="U502" s="679"/>
    </row>
    <row r="503" spans="1:21" ht="22.15" customHeight="1">
      <c r="A503" s="441"/>
      <c r="B503" s="680"/>
      <c r="C503" s="681"/>
      <c r="D503" s="681"/>
      <c r="E503" s="681"/>
      <c r="F503" s="681"/>
      <c r="G503" s="681"/>
      <c r="H503" s="681"/>
      <c r="I503" s="681"/>
      <c r="J503" s="2309" t="str">
        <f>CONCATENATE(Calculos_cuotas!Y37,"€ o más")</f>
        <v>900€ o más</v>
      </c>
      <c r="K503" s="2310"/>
      <c r="L503" s="2310"/>
      <c r="M503" s="2311"/>
      <c r="N503" s="2421">
        <f>IF(OR(Perfiles_usuario!$J$17="",Perfiles_usuario!$J$17="Nuevo"),Calculos_cuotas!U38,Calculos_cuotas!Z38)</f>
        <v>0.4</v>
      </c>
      <c r="O503" s="2421"/>
      <c r="P503" s="681"/>
      <c r="Q503" s="681"/>
      <c r="R503" s="681"/>
      <c r="S503" s="681"/>
      <c r="T503" s="681"/>
      <c r="U503" s="679"/>
    </row>
    <row r="504" spans="1:21" ht="22.15" customHeight="1">
      <c r="A504" s="441"/>
      <c r="B504" s="680"/>
      <c r="C504" s="681"/>
      <c r="D504" s="681"/>
      <c r="E504" s="681"/>
      <c r="F504" s="681"/>
      <c r="G504" s="681"/>
      <c r="H504" s="681"/>
      <c r="I504" s="681"/>
      <c r="J504" s="681"/>
      <c r="K504" s="681"/>
      <c r="L504" s="689"/>
      <c r="M504" s="689"/>
      <c r="N504" s="681"/>
      <c r="O504" s="690"/>
      <c r="P504" s="681"/>
      <c r="Q504" s="681"/>
      <c r="R504" s="681"/>
      <c r="S504" s="681"/>
      <c r="T504" s="681"/>
      <c r="U504" s="679"/>
    </row>
    <row r="505" spans="1:21" ht="54" customHeight="1">
      <c r="A505" s="441"/>
      <c r="B505" s="680"/>
      <c r="C505" s="2303"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D505" s="2303"/>
      <c r="E505" s="2303"/>
      <c r="F505" s="2303"/>
      <c r="G505" s="2303"/>
      <c r="H505" s="2303"/>
      <c r="I505" s="2303"/>
      <c r="J505" s="2303"/>
      <c r="K505" s="2303"/>
      <c r="L505" s="2303"/>
      <c r="M505" s="2303"/>
      <c r="N505" s="2303"/>
      <c r="O505" s="2303"/>
      <c r="P505" s="2303"/>
      <c r="Q505" s="2303"/>
      <c r="R505" s="2303"/>
      <c r="S505" s="2303"/>
      <c r="T505" s="2303"/>
      <c r="U505" s="679"/>
    </row>
    <row r="506" spans="1:21" ht="122.25" customHeight="1">
      <c r="A506" s="441"/>
      <c r="B506" s="680"/>
      <c r="C506" s="2303" t="s">
        <v>982</v>
      </c>
      <c r="D506" s="2303"/>
      <c r="E506" s="2303"/>
      <c r="F506" s="2303"/>
      <c r="G506" s="2303"/>
      <c r="H506" s="2303"/>
      <c r="I506" s="2303"/>
      <c r="J506" s="2303"/>
      <c r="K506" s="2303"/>
      <c r="L506" s="2303"/>
      <c r="M506" s="2303"/>
      <c r="N506" s="2303"/>
      <c r="O506" s="2303"/>
      <c r="P506" s="2303"/>
      <c r="Q506" s="2303"/>
      <c r="R506" s="2303"/>
      <c r="S506" s="2303"/>
      <c r="T506" s="2303"/>
      <c r="U506" s="679"/>
    </row>
    <row r="507" spans="1:21" ht="22.15" customHeight="1">
      <c r="A507" s="441"/>
      <c r="B507" s="685"/>
      <c r="C507" s="686"/>
      <c r="D507" s="686"/>
      <c r="E507" s="686"/>
      <c r="F507" s="686"/>
      <c r="G507" s="686"/>
      <c r="H507" s="686"/>
      <c r="I507" s="686"/>
      <c r="J507" s="686"/>
      <c r="K507" s="686"/>
      <c r="L507" s="686"/>
      <c r="M507" s="686"/>
      <c r="N507" s="686"/>
      <c r="O507" s="686"/>
      <c r="P507" s="686"/>
      <c r="Q507" s="686"/>
      <c r="R507" s="686"/>
      <c r="S507" s="686"/>
      <c r="T507" s="686"/>
      <c r="U507" s="687"/>
    </row>
    <row r="508" spans="1:21" ht="22.15" customHeight="1">
      <c r="A508" s="441"/>
      <c r="B508" s="688" t="s">
        <v>671</v>
      </c>
      <c r="C508" s="681"/>
      <c r="D508" s="681"/>
      <c r="E508" s="681"/>
      <c r="F508" s="681"/>
      <c r="G508" s="681"/>
      <c r="H508" s="681"/>
      <c r="I508" s="681"/>
      <c r="J508" s="681"/>
      <c r="K508" s="681"/>
      <c r="L508" s="681"/>
      <c r="M508" s="681"/>
      <c r="N508" s="681"/>
      <c r="O508" s="681"/>
      <c r="P508" s="681"/>
      <c r="Q508" s="681"/>
      <c r="R508" s="681"/>
      <c r="S508" s="681"/>
      <c r="T508" s="681"/>
      <c r="U508" s="681"/>
    </row>
    <row r="509" spans="1:21" ht="22.15" customHeight="1">
      <c r="A509" s="441"/>
      <c r="B509" s="2304" t="s">
        <v>1848</v>
      </c>
      <c r="C509" s="2305"/>
      <c r="D509" s="2305"/>
      <c r="E509" s="2305"/>
      <c r="F509" s="2305"/>
      <c r="G509" s="2305"/>
      <c r="H509" s="2305"/>
      <c r="I509" s="2305"/>
      <c r="J509" s="2305"/>
      <c r="K509" s="2305"/>
      <c r="L509" s="2305"/>
      <c r="M509" s="2305"/>
      <c r="N509" s="2305"/>
      <c r="O509" s="2305"/>
      <c r="P509" s="2305"/>
      <c r="Q509" s="678"/>
      <c r="R509" s="678"/>
      <c r="S509" s="678"/>
      <c r="T509" s="678"/>
      <c r="U509" s="603"/>
    </row>
    <row r="510" spans="1:21" ht="51.75" customHeight="1">
      <c r="A510" s="441"/>
      <c r="B510" s="2345" t="s">
        <v>1849</v>
      </c>
      <c r="C510" s="2346"/>
      <c r="D510" s="2346"/>
      <c r="E510" s="2346"/>
      <c r="F510" s="2346"/>
      <c r="G510" s="2346"/>
      <c r="H510" s="2346"/>
      <c r="I510" s="2346"/>
      <c r="J510" s="2346"/>
      <c r="K510" s="2346"/>
      <c r="L510" s="2346"/>
      <c r="M510" s="2346"/>
      <c r="N510" s="2346"/>
      <c r="O510" s="2346"/>
      <c r="P510" s="2346"/>
      <c r="Q510" s="2346"/>
      <c r="R510" s="2346"/>
      <c r="S510" s="2346"/>
      <c r="T510" s="2346"/>
      <c r="U510" s="679"/>
    </row>
    <row r="511" spans="1:21" ht="23.25" customHeight="1">
      <c r="A511" s="441"/>
      <c r="B511" s="680"/>
      <c r="C511" s="681"/>
      <c r="D511" s="681"/>
      <c r="E511" s="681"/>
      <c r="F511" s="681"/>
      <c r="G511" s="681"/>
      <c r="H511" s="2508" t="s">
        <v>1087</v>
      </c>
      <c r="I511" s="2508"/>
      <c r="J511" s="2509"/>
      <c r="K511" s="2514" t="s">
        <v>220</v>
      </c>
      <c r="L511" s="2509"/>
      <c r="M511" s="2514" t="s">
        <v>1850</v>
      </c>
      <c r="N511" s="2508"/>
      <c r="O511" s="2508"/>
      <c r="P511" s="504"/>
      <c r="Q511" s="1798"/>
      <c r="R511" s="681"/>
      <c r="S511" s="681"/>
      <c r="T511" s="681"/>
      <c r="U511" s="679"/>
    </row>
    <row r="512" spans="1:21" ht="17.100000000000001" customHeight="1">
      <c r="A512" s="441"/>
      <c r="B512" s="680"/>
      <c r="C512" s="681"/>
      <c r="D512" s="681"/>
      <c r="E512" s="681"/>
      <c r="F512" s="681"/>
      <c r="G512" s="681"/>
      <c r="H512" s="2510" t="s">
        <v>2009</v>
      </c>
      <c r="I512" s="2511"/>
      <c r="J512" s="2512"/>
      <c r="K512" s="2513">
        <f>Calculos_cuotas!C324</f>
        <v>0.1</v>
      </c>
      <c r="L512" s="2513"/>
      <c r="M512" s="2515">
        <f>Calculos_cuotas!D324</f>
        <v>20</v>
      </c>
      <c r="N512" s="2516"/>
      <c r="O512" s="2516"/>
      <c r="P512" s="681"/>
      <c r="Q512" s="681"/>
      <c r="R512" s="681"/>
      <c r="S512" s="681"/>
      <c r="T512" s="681"/>
      <c r="U512" s="679"/>
    </row>
    <row r="513" spans="1:22" ht="17.100000000000001" customHeight="1">
      <c r="A513" s="441"/>
      <c r="B513" s="680"/>
      <c r="C513" s="681"/>
      <c r="D513" s="681"/>
      <c r="E513" s="681"/>
      <c r="F513" s="681"/>
      <c r="G513" s="681"/>
      <c r="H513" s="2555" t="s">
        <v>2014</v>
      </c>
      <c r="I513" s="2556"/>
      <c r="J513" s="2557"/>
      <c r="K513" s="2513">
        <f>Calculos_cuotas!C325</f>
        <v>0.1</v>
      </c>
      <c r="L513" s="2513"/>
      <c r="M513" s="2515">
        <f>Calculos_cuotas!D325</f>
        <v>35</v>
      </c>
      <c r="N513" s="2516"/>
      <c r="O513" s="2516"/>
      <c r="P513" s="681"/>
      <c r="Q513" s="681"/>
      <c r="R513" s="681"/>
      <c r="S513" s="681"/>
      <c r="T513" s="681"/>
      <c r="U513" s="679"/>
    </row>
    <row r="514" spans="1:22" ht="17.100000000000001" customHeight="1">
      <c r="A514" s="441"/>
      <c r="B514" s="680"/>
      <c r="C514" s="681"/>
      <c r="D514" s="681"/>
      <c r="E514" s="681"/>
      <c r="F514" s="681"/>
      <c r="G514" s="681"/>
      <c r="H514" s="2555" t="s">
        <v>2010</v>
      </c>
      <c r="I514" s="2556"/>
      <c r="J514" s="2557"/>
      <c r="K514" s="2513">
        <f>Calculos_cuotas!C329</f>
        <v>0.1</v>
      </c>
      <c r="L514" s="2513"/>
      <c r="M514" s="2515">
        <f>Calculos_cuotas!D329</f>
        <v>35</v>
      </c>
      <c r="N514" s="2516"/>
      <c r="O514" s="2516"/>
      <c r="P514" s="681"/>
      <c r="Q514" s="681"/>
      <c r="R514" s="681"/>
      <c r="S514" s="681"/>
      <c r="T514" s="681"/>
      <c r="U514" s="679"/>
    </row>
    <row r="515" spans="1:22" ht="17.100000000000001" customHeight="1">
      <c r="A515" s="441"/>
      <c r="B515" s="680"/>
      <c r="C515" s="681"/>
      <c r="D515" s="681"/>
      <c r="E515" s="681"/>
      <c r="F515" s="681"/>
      <c r="G515" s="681"/>
      <c r="H515" s="2555" t="s">
        <v>1041</v>
      </c>
      <c r="I515" s="2556"/>
      <c r="J515" s="2557"/>
      <c r="K515" s="2513">
        <f>Calculos_cuotas!C339</f>
        <v>0.1</v>
      </c>
      <c r="L515" s="2513"/>
      <c r="M515" s="2515">
        <f>Calculos_cuotas!D339</f>
        <v>80</v>
      </c>
      <c r="N515" s="2516"/>
      <c r="O515" s="2516"/>
      <c r="P515" s="681"/>
      <c r="Q515" s="681"/>
      <c r="R515" s="681"/>
      <c r="S515" s="681"/>
      <c r="T515" s="681"/>
      <c r="U515" s="679"/>
    </row>
    <row r="516" spans="1:22" ht="17.100000000000001" customHeight="1">
      <c r="A516" s="441"/>
      <c r="B516" s="680"/>
      <c r="C516" s="681"/>
      <c r="D516" s="681"/>
      <c r="E516" s="681"/>
      <c r="F516" s="681"/>
      <c r="G516" s="681"/>
      <c r="H516" s="2555" t="s">
        <v>2015</v>
      </c>
      <c r="I516" s="2556"/>
      <c r="J516" s="2557"/>
      <c r="K516" s="2513">
        <f>Calculos_cuotas!C331</f>
        <v>0.1</v>
      </c>
      <c r="L516" s="2513"/>
      <c r="M516" s="2515">
        <f>Calculos_cuotas!D331</f>
        <v>80</v>
      </c>
      <c r="N516" s="2516"/>
      <c r="O516" s="2516"/>
      <c r="P516" s="681"/>
      <c r="Q516" s="681"/>
      <c r="R516" s="681"/>
      <c r="S516" s="681"/>
      <c r="T516" s="681"/>
      <c r="U516" s="679"/>
    </row>
    <row r="517" spans="1:22" ht="17.100000000000001" customHeight="1">
      <c r="A517" s="441"/>
      <c r="B517" s="680"/>
      <c r="C517" s="681"/>
      <c r="D517" s="681"/>
      <c r="E517" s="681"/>
      <c r="F517" s="681"/>
      <c r="G517" s="681"/>
      <c r="H517" s="2555" t="s">
        <v>2011</v>
      </c>
      <c r="I517" s="2556"/>
      <c r="J517" s="2557"/>
      <c r="K517" s="2513">
        <f>Calculos_cuotas!C333</f>
        <v>0.1</v>
      </c>
      <c r="L517" s="2513"/>
      <c r="M517" s="2515">
        <f>Calculos_cuotas!D333</f>
        <v>80</v>
      </c>
      <c r="N517" s="2516"/>
      <c r="O517" s="2516"/>
      <c r="P517" s="681"/>
      <c r="Q517" s="681"/>
      <c r="R517" s="681"/>
      <c r="S517" s="681"/>
      <c r="T517" s="681"/>
      <c r="U517" s="679"/>
    </row>
    <row r="518" spans="1:22" ht="17.100000000000001" customHeight="1">
      <c r="A518" s="441"/>
      <c r="B518" s="680"/>
      <c r="C518" s="681"/>
      <c r="D518" s="681"/>
      <c r="E518" s="681"/>
      <c r="F518" s="681"/>
      <c r="G518" s="681"/>
      <c r="H518" s="2555" t="s">
        <v>2012</v>
      </c>
      <c r="I518" s="2556"/>
      <c r="J518" s="2557"/>
      <c r="K518" s="2513">
        <f>Calculos_cuotas!C337</f>
        <v>0.1</v>
      </c>
      <c r="L518" s="2513"/>
      <c r="M518" s="2515">
        <f>Calculos_cuotas!D337</f>
        <v>80</v>
      </c>
      <c r="N518" s="2516"/>
      <c r="O518" s="2516"/>
      <c r="P518" s="681"/>
      <c r="Q518" s="681"/>
      <c r="R518" s="681"/>
      <c r="S518" s="681"/>
      <c r="T518" s="681"/>
      <c r="U518" s="679"/>
    </row>
    <row r="519" spans="1:22" ht="17.100000000000001" customHeight="1">
      <c r="A519" s="441"/>
      <c r="B519" s="680"/>
      <c r="C519" s="681"/>
      <c r="D519" s="681"/>
      <c r="E519" s="681"/>
      <c r="F519" s="681"/>
      <c r="G519" s="681"/>
      <c r="H519" s="2555" t="s">
        <v>2013</v>
      </c>
      <c r="I519" s="2556"/>
      <c r="J519" s="2557"/>
      <c r="K519" s="2513">
        <f>Calculos_cuotas!C338</f>
        <v>0.1</v>
      </c>
      <c r="L519" s="2513"/>
      <c r="M519" s="2515">
        <f>Calculos_cuotas!D338</f>
        <v>80</v>
      </c>
      <c r="N519" s="2516"/>
      <c r="O519" s="2516"/>
      <c r="P519" s="681"/>
      <c r="Q519" s="681"/>
      <c r="R519" s="681"/>
      <c r="S519" s="681"/>
      <c r="T519" s="681"/>
      <c r="U519" s="679"/>
    </row>
    <row r="520" spans="1:22" ht="17.100000000000001" customHeight="1">
      <c r="A520" s="441"/>
      <c r="B520" s="680"/>
      <c r="C520" s="681"/>
      <c r="D520" s="681"/>
      <c r="E520" s="681"/>
      <c r="F520" s="681"/>
      <c r="G520" s="681"/>
      <c r="H520" s="2510" t="s">
        <v>1218</v>
      </c>
      <c r="I520" s="2511"/>
      <c r="J520" s="2512"/>
      <c r="K520" s="2513">
        <f>Calculos_cuotas!C343</f>
        <v>0.1</v>
      </c>
      <c r="L520" s="2513"/>
      <c r="M520" s="2515">
        <f>Calculos_cuotas!D343</f>
        <v>80</v>
      </c>
      <c r="N520" s="2516"/>
      <c r="O520" s="2516"/>
      <c r="P520" s="681"/>
      <c r="Q520" s="681"/>
      <c r="R520" s="681"/>
      <c r="S520" s="681"/>
      <c r="T520" s="681"/>
      <c r="U520" s="679"/>
    </row>
    <row r="521" spans="1:22" ht="17.100000000000001" customHeight="1">
      <c r="B521" s="680"/>
      <c r="C521" s="681"/>
      <c r="D521" s="681"/>
      <c r="E521" s="681"/>
      <c r="F521" s="681"/>
      <c r="G521" s="681"/>
      <c r="H521" s="2272" t="s">
        <v>1851</v>
      </c>
      <c r="I521" s="2259"/>
      <c r="J521" s="2517"/>
      <c r="K521" s="2513">
        <f>Calculos_cuotas!C344</f>
        <v>0.1</v>
      </c>
      <c r="L521" s="2513"/>
      <c r="M521" s="2518">
        <v>60</v>
      </c>
      <c r="N521" s="2519"/>
      <c r="O521" s="2520"/>
      <c r="P521" s="681"/>
      <c r="Q521" s="681"/>
      <c r="R521" s="681"/>
      <c r="S521" s="681"/>
      <c r="T521" s="681"/>
      <c r="U521" s="679"/>
      <c r="V521" s="522"/>
    </row>
    <row r="522" spans="1:22" ht="17.100000000000001" customHeight="1">
      <c r="B522" s="680"/>
      <c r="C522" s="441"/>
      <c r="D522" s="1782"/>
      <c r="E522" s="1782"/>
      <c r="F522" s="1782"/>
      <c r="G522" s="1782"/>
      <c r="H522" s="2272" t="s">
        <v>1086</v>
      </c>
      <c r="I522" s="2259"/>
      <c r="J522" s="2517"/>
      <c r="K522" s="2513">
        <f>Calculos_cuotas!C345</f>
        <v>0</v>
      </c>
      <c r="L522" s="2513"/>
      <c r="M522" s="2521" t="s">
        <v>1852</v>
      </c>
      <c r="N522" s="2522"/>
      <c r="O522" s="2522"/>
      <c r="P522" s="1782"/>
      <c r="Q522" s="1782"/>
      <c r="R522" s="1782"/>
      <c r="S522" s="1782"/>
      <c r="T522" s="1782"/>
      <c r="U522" s="679"/>
      <c r="V522" s="522"/>
    </row>
    <row r="523" spans="1:22" ht="87.75" customHeight="1">
      <c r="A523" s="522"/>
      <c r="B523" s="2496" t="s">
        <v>1853</v>
      </c>
      <c r="C523" s="2287"/>
      <c r="D523" s="2287"/>
      <c r="E523" s="2287"/>
      <c r="F523" s="2287"/>
      <c r="G523" s="2287"/>
      <c r="H523" s="2287"/>
      <c r="I523" s="2287"/>
      <c r="J523" s="2287"/>
      <c r="K523" s="2287"/>
      <c r="L523" s="2287"/>
      <c r="M523" s="2287"/>
      <c r="N523" s="2287"/>
      <c r="O523" s="2287"/>
      <c r="P523" s="2287"/>
      <c r="Q523" s="2287"/>
      <c r="R523" s="2287"/>
      <c r="S523" s="2287"/>
      <c r="T523" s="2287"/>
      <c r="U523" s="2497"/>
      <c r="V523" s="522"/>
    </row>
    <row r="524" spans="1:22">
      <c r="B524" s="691"/>
      <c r="C524" s="691"/>
      <c r="D524" s="691"/>
      <c r="E524" s="691"/>
      <c r="F524" s="691"/>
      <c r="G524" s="691"/>
      <c r="H524" s="691"/>
      <c r="I524" s="691"/>
      <c r="J524" s="691"/>
      <c r="K524" s="691"/>
      <c r="L524" s="691"/>
      <c r="M524" s="691"/>
      <c r="N524" s="691"/>
      <c r="O524" s="691"/>
      <c r="P524" s="691"/>
      <c r="Q524" s="691"/>
      <c r="R524" s="691"/>
      <c r="S524" s="691"/>
      <c r="T524" s="691"/>
      <c r="U524" s="522"/>
      <c r="V524" s="522"/>
    </row>
    <row r="526" spans="1:22" ht="19.149999999999999" customHeight="1">
      <c r="B526" s="522"/>
      <c r="C526" s="585"/>
      <c r="D526" s="584"/>
      <c r="E526" s="584"/>
      <c r="F526" s="584"/>
      <c r="G526" s="586"/>
      <c r="H526" s="586"/>
      <c r="I526" s="586"/>
      <c r="J526" s="586"/>
      <c r="K526" s="587"/>
      <c r="L526" s="587"/>
      <c r="M526" s="476" t="s">
        <v>1806</v>
      </c>
      <c r="N526" s="587"/>
      <c r="O526" s="587"/>
      <c r="P526" s="587"/>
      <c r="Q526" s="561"/>
      <c r="R526" s="477" t="s">
        <v>692</v>
      </c>
      <c r="S526" s="478" t="str">
        <f>$E$39</f>
        <v>ILF5_90FCORCP_B114CAGR43006</v>
      </c>
      <c r="T526" s="441"/>
      <c r="U526" s="588"/>
      <c r="V526" s="441"/>
    </row>
    <row r="527" spans="1:22" ht="19.149999999999999" customHeight="1">
      <c r="B527" s="522"/>
      <c r="C527" s="585"/>
      <c r="D527" s="584"/>
      <c r="E527" s="584"/>
      <c r="F527" s="584"/>
      <c r="G527" s="586"/>
      <c r="H527" s="586"/>
      <c r="I527" s="586"/>
      <c r="J527" s="586"/>
      <c r="K527" s="587"/>
      <c r="L527" s="587"/>
      <c r="M527" s="587"/>
      <c r="N527" s="587"/>
      <c r="O527" s="587"/>
      <c r="P527" s="587"/>
      <c r="Q527" s="561"/>
      <c r="R527" s="561"/>
      <c r="S527" s="441"/>
      <c r="T527" s="441"/>
      <c r="U527" s="588"/>
      <c r="V527" s="441"/>
    </row>
    <row r="528" spans="1:22">
      <c r="A528" s="420"/>
      <c r="B528" s="420"/>
      <c r="C528" s="420"/>
      <c r="D528" s="420"/>
      <c r="E528" s="420"/>
      <c r="F528" s="420"/>
      <c r="G528" s="420"/>
      <c r="H528" s="420"/>
      <c r="I528" s="420"/>
      <c r="K528" s="420"/>
      <c r="L528" s="420"/>
      <c r="M528" s="420"/>
      <c r="N528" s="420"/>
      <c r="O528" s="420"/>
      <c r="P528" s="420"/>
      <c r="Q528" s="420"/>
      <c r="R528" s="420"/>
      <c r="S528" s="420"/>
      <c r="T528" s="420"/>
      <c r="U528" s="420"/>
      <c r="V528" s="420"/>
    </row>
    <row r="529" spans="1:22">
      <c r="A529" s="420"/>
      <c r="B529" s="420"/>
      <c r="C529" s="420"/>
      <c r="D529" s="420"/>
      <c r="E529" s="420"/>
      <c r="F529" s="420"/>
      <c r="G529" s="420"/>
      <c r="H529" s="436" t="s">
        <v>690</v>
      </c>
      <c r="I529" s="420"/>
      <c r="K529" s="420"/>
      <c r="L529" s="437" t="str">
        <f>$B$11</f>
        <v>INMOBILIARIA SERVIGESTION</v>
      </c>
      <c r="M529" s="420"/>
      <c r="N529" s="420"/>
      <c r="P529" s="420"/>
      <c r="Q529" s="420"/>
      <c r="S529" s="420"/>
      <c r="T529" s="420"/>
      <c r="V529" s="437"/>
    </row>
    <row r="530" spans="1:22" ht="34.5">
      <c r="A530" s="420"/>
      <c r="B530" s="2268" t="s">
        <v>461</v>
      </c>
      <c r="C530" s="2268"/>
      <c r="D530" s="2268"/>
      <c r="E530" s="2268"/>
      <c r="F530" s="2268"/>
      <c r="G530" s="2268"/>
      <c r="H530" s="2268"/>
      <c r="I530" s="2268"/>
      <c r="J530" s="2268"/>
      <c r="K530" s="2268"/>
      <c r="L530" s="2268"/>
      <c r="M530" s="2268"/>
      <c r="N530" s="2268"/>
      <c r="O530" s="2268"/>
      <c r="P530" s="2268"/>
      <c r="Q530" s="2268"/>
      <c r="R530" s="2268"/>
      <c r="S530" s="2268"/>
      <c r="T530" s="2268"/>
      <c r="U530" s="2268"/>
      <c r="V530" s="420"/>
    </row>
    <row r="531" spans="1:22" ht="22.9" customHeight="1">
      <c r="A531" s="420"/>
      <c r="B531" s="2269" t="s">
        <v>808</v>
      </c>
      <c r="C531" s="2269"/>
      <c r="D531" s="2269"/>
      <c r="E531" s="2269"/>
      <c r="F531" s="2269"/>
      <c r="G531" s="2269"/>
      <c r="H531" s="2269"/>
      <c r="I531" s="2269"/>
      <c r="J531" s="2269"/>
      <c r="K531" s="2269"/>
      <c r="L531" s="2269"/>
      <c r="M531" s="2269"/>
      <c r="N531" s="2269"/>
      <c r="O531" s="2269"/>
      <c r="P531" s="2269"/>
      <c r="Q531" s="2269"/>
      <c r="R531" s="2269"/>
      <c r="S531" s="2269"/>
      <c r="T531" s="2269"/>
      <c r="U531" s="2269"/>
      <c r="V531" s="420"/>
    </row>
    <row r="532" spans="1:22" ht="21" customHeight="1">
      <c r="A532" s="420"/>
      <c r="B532" s="2251" t="s">
        <v>711</v>
      </c>
      <c r="C532" s="2251"/>
      <c r="D532" s="2251"/>
      <c r="E532" s="2251"/>
      <c r="F532" s="2251"/>
      <c r="G532" s="2251"/>
      <c r="H532" s="2251"/>
      <c r="I532" s="2251"/>
      <c r="J532" s="2251"/>
      <c r="K532" s="2251"/>
      <c r="L532" s="2251"/>
      <c r="M532" s="2251"/>
      <c r="N532" s="2251"/>
      <c r="O532" s="2251"/>
      <c r="P532" s="2251"/>
      <c r="Q532" s="2251"/>
      <c r="R532" s="2251"/>
      <c r="S532" s="2251"/>
      <c r="T532" s="2251"/>
      <c r="U532" s="2251"/>
      <c r="V532" s="420"/>
    </row>
    <row r="533" spans="1:22" ht="23.25">
      <c r="A533" s="420"/>
      <c r="B533" s="2279" t="s">
        <v>712</v>
      </c>
      <c r="C533" s="2279"/>
      <c r="D533" s="2279"/>
      <c r="E533" s="2279"/>
      <c r="F533" s="2279"/>
      <c r="G533" s="2279"/>
      <c r="H533" s="2279"/>
      <c r="I533" s="2279"/>
      <c r="J533" s="2279"/>
      <c r="K533" s="2279"/>
      <c r="L533" s="2279"/>
      <c r="M533" s="2279"/>
      <c r="N533" s="2279"/>
      <c r="O533" s="2279"/>
      <c r="P533" s="2279"/>
      <c r="Q533" s="2279"/>
      <c r="R533" s="2279"/>
      <c r="S533" s="2279"/>
      <c r="T533" s="2279"/>
      <c r="U533" s="2279"/>
      <c r="V533" s="420"/>
    </row>
    <row r="534" spans="1:22" ht="7.15" customHeight="1">
      <c r="A534" s="429"/>
      <c r="V534" s="429"/>
    </row>
    <row r="535" spans="1:22" ht="72.75" customHeight="1">
      <c r="A535" s="441"/>
      <c r="B535" s="2253" t="s">
        <v>462</v>
      </c>
      <c r="C535" s="2254"/>
      <c r="D535" s="692" t="s">
        <v>463</v>
      </c>
      <c r="E535" s="692" t="s">
        <v>464</v>
      </c>
      <c r="F535" s="692" t="s">
        <v>468</v>
      </c>
      <c r="G535" s="692" t="s">
        <v>465</v>
      </c>
      <c r="H535" s="692" t="s">
        <v>693</v>
      </c>
      <c r="I535" s="2254" t="s">
        <v>763</v>
      </c>
      <c r="J535" s="2254"/>
      <c r="K535" s="692" t="s">
        <v>713</v>
      </c>
      <c r="L535" s="692" t="s">
        <v>444</v>
      </c>
      <c r="M535" s="692" t="s">
        <v>651</v>
      </c>
      <c r="N535" s="692" t="s">
        <v>51</v>
      </c>
      <c r="O535" s="692" t="s">
        <v>694</v>
      </c>
      <c r="P535" s="692" t="s">
        <v>714</v>
      </c>
      <c r="Q535" s="692" t="s">
        <v>807</v>
      </c>
      <c r="R535" s="692" t="s">
        <v>806</v>
      </c>
      <c r="S535" s="692" t="s">
        <v>811</v>
      </c>
      <c r="T535" s="692" t="s">
        <v>715</v>
      </c>
      <c r="U535" s="693" t="s">
        <v>295</v>
      </c>
    </row>
    <row r="536" spans="1:22" ht="48.75" customHeight="1">
      <c r="B536" s="2257" t="str">
        <f>IF(Perfiles_usuario!B39=0,"",Perfiles_usuario!B39)</f>
        <v>LINEA JEFE</v>
      </c>
      <c r="C536" s="2258"/>
      <c r="D536" s="694">
        <f>IF(Perfiles_usuario!D39=0,"",Perfiles_usuario!D39)</f>
        <v>1</v>
      </c>
      <c r="E536" s="694">
        <f>IF(Perfiles_usuario!D39=0,"",Perfiles_usuario!F39)</f>
        <v>1</v>
      </c>
      <c r="F536" s="694" t="str">
        <f>IF(Perfiles_usuario!D39=0,"","incluidas")</f>
        <v>incluidas</v>
      </c>
      <c r="G536" s="694" t="str">
        <f>IF(Perfiles_usuario!D39=0,"","incluidos")</f>
        <v>incluidos</v>
      </c>
      <c r="H536" s="694" t="str">
        <f>IF(Perfiles_usuario!$D$17="Óptima RPV",IF(Perfiles_usuario!D39=0,"","incluido"),"")</f>
        <v>incluido</v>
      </c>
      <c r="I536" s="2258" t="str">
        <f>IF(Perfiles_usuario!D39=0,"",Perfiles_usuario!H39)</f>
        <v>Ilimitada+8GB</v>
      </c>
      <c r="J536" s="2258"/>
      <c r="K536" s="694" t="str">
        <f>IF(Perfiles_usuario!J39=0,"",Perfiles_usuario!J39)</f>
        <v/>
      </c>
      <c r="L536" s="694" t="str">
        <f>IF(Perfiles_usuario!D39=0,"",IF(Perfiles_usuario!N39="","No",Perfiles_usuario!N39))</f>
        <v>No</v>
      </c>
      <c r="M536" s="695">
        <f>IF(Perfiles_usuario!D39=0,"",Perfiles_usuario!P39)</f>
        <v>53</v>
      </c>
      <c r="N536" s="695">
        <f>IF(Perfiles_usuario!D39=0,"",Perfiles_usuario!R39)</f>
        <v>53</v>
      </c>
      <c r="O536" s="696">
        <f>IF(Perfiles_usuario!D39=0,"",Perfiles_usuario!V39)</f>
        <v>0</v>
      </c>
      <c r="P536" s="696">
        <f>IF(Perfiles_usuario!$D39=0,"",Perfiles_usuario!X39)</f>
        <v>0.1</v>
      </c>
      <c r="Q536" s="695">
        <f>IF(Perfiles_usuario!$D39=0,"",Perfiles_usuario!Z39)</f>
        <v>47.7</v>
      </c>
      <c r="R536" s="695">
        <f>IF(Perfiles_usuario!$D39=0,"",Perfiles_usuario!AB39)</f>
        <v>47.7</v>
      </c>
      <c r="S536" s="696">
        <f>IF(Perfiles_usuario!$D39=0,"",Perfiles_usuario!AD39)</f>
        <v>0.1</v>
      </c>
      <c r="T536" s="695">
        <f>IF(Perfiles_usuario!D39=0,"",Perfiles_usuario!AF39)</f>
        <v>42.400000000000006</v>
      </c>
      <c r="U536" s="697">
        <f>IF(Perfiles_usuario!D39=0,"",Perfiles_usuario!AH39)</f>
        <v>42.400000000000006</v>
      </c>
      <c r="V536" s="441"/>
    </row>
    <row r="537" spans="1:22" ht="49.9" customHeight="1">
      <c r="B537" s="2272" t="str">
        <f>IF(Perfiles_usuario!B42=0,"",Perfiles_usuario!B42)</f>
        <v>ILIMITADA</v>
      </c>
      <c r="C537" s="2259"/>
      <c r="D537" s="698">
        <f>IF(Perfiles_usuario!D42=0,"",Perfiles_usuario!D42)</f>
        <v>1</v>
      </c>
      <c r="E537" s="698">
        <f>IF(Perfiles_usuario!D42=0,"",Perfiles_usuario!F42)</f>
        <v>1</v>
      </c>
      <c r="F537" s="698" t="str">
        <f>IF(Perfiles_usuario!D42=0,"","incluidas")</f>
        <v>incluidas</v>
      </c>
      <c r="G537" s="698" t="str">
        <f>IF(Perfiles_usuario!D42=0,"","incluidos")</f>
        <v>incluidos</v>
      </c>
      <c r="H537" s="698" t="str">
        <f>IF(Perfiles_usuario!$D$17="Óptima RPV",IF(Perfiles_usuario!D42=0,"","incluido"),"")</f>
        <v>incluido</v>
      </c>
      <c r="I537" s="2259" t="str">
        <f>IF(Perfiles_usuario!D42=0,"",Perfiles_usuario!H42)</f>
        <v>Ilimitada+8GB</v>
      </c>
      <c r="J537" s="2259"/>
      <c r="K537" s="698" t="str">
        <f>IF(Perfiles_usuario!J42=0,"",Perfiles_usuario!J42)</f>
        <v/>
      </c>
      <c r="L537" s="698" t="str">
        <f>IF(Perfiles_usuario!D42=0,"",IF(Perfiles_usuario!N42="","No",Perfiles_usuario!N42))</f>
        <v>No</v>
      </c>
      <c r="M537" s="699">
        <f>IF(Perfiles_usuario!D42=0,"",Perfiles_usuario!P42)</f>
        <v>53</v>
      </c>
      <c r="N537" s="699">
        <f>IF(Perfiles_usuario!D42=0,"",Perfiles_usuario!R42)</f>
        <v>53</v>
      </c>
      <c r="O537" s="700">
        <f>IF(Perfiles_usuario!D42=0,"",Perfiles_usuario!V42)</f>
        <v>0</v>
      </c>
      <c r="P537" s="700">
        <f>IF(Perfiles_usuario!D42=0,"",Perfiles_usuario!X42)</f>
        <v>0.1</v>
      </c>
      <c r="Q537" s="699">
        <f>IF(Perfiles_usuario!$D42=0,"",Perfiles_usuario!Z42)</f>
        <v>47.7</v>
      </c>
      <c r="R537" s="699">
        <f>IF(Perfiles_usuario!$D42=0,"",Perfiles_usuario!AB42)</f>
        <v>47.7</v>
      </c>
      <c r="S537" s="700">
        <f>IF(Perfiles_usuario!$D42=0,"",Perfiles_usuario!AD42)</f>
        <v>0.1</v>
      </c>
      <c r="T537" s="699">
        <f>IF(Perfiles_usuario!D42=0,"",Perfiles_usuario!AF42)</f>
        <v>42.400000000000006</v>
      </c>
      <c r="U537" s="701">
        <f>IF(Perfiles_usuario!D42=0,"",Perfiles_usuario!AH42)</f>
        <v>42.400000000000006</v>
      </c>
      <c r="V537" s="441"/>
    </row>
    <row r="538" spans="1:22" ht="49.9" customHeight="1">
      <c r="B538" s="2272" t="str">
        <f>IF(Perfiles_usuario!B45=0,"",Perfiles_usuario!B45)</f>
        <v>ILIMITADA</v>
      </c>
      <c r="C538" s="2259"/>
      <c r="D538" s="698">
        <f>IF(Perfiles_usuario!D45=0,"",Perfiles_usuario!D45)</f>
        <v>1</v>
      </c>
      <c r="E538" s="698">
        <f>IF(Perfiles_usuario!D45=0,"",Perfiles_usuario!F45)</f>
        <v>1</v>
      </c>
      <c r="F538" s="698" t="str">
        <f>IF(Perfiles_usuario!D45=0,"","incluidas")</f>
        <v>incluidas</v>
      </c>
      <c r="G538" s="698" t="str">
        <f>IF(Perfiles_usuario!D45=0,"","incluidos")</f>
        <v>incluidos</v>
      </c>
      <c r="H538" s="698" t="str">
        <f>IF(Perfiles_usuario!$D$17="Óptima RPV",IF(Perfiles_usuario!D45=0,"","incluido"),"")</f>
        <v>incluido</v>
      </c>
      <c r="I538" s="2259" t="str">
        <f>IF(Perfiles_usuario!D45=0,"",Perfiles_usuario!H45)</f>
        <v>Ilimitada+8GB</v>
      </c>
      <c r="J538" s="2259"/>
      <c r="K538" s="698" t="str">
        <f>IF(Perfiles_usuario!J45=0,"",Perfiles_usuario!J45)</f>
        <v/>
      </c>
      <c r="L538" s="698" t="str">
        <f>IF(Perfiles_usuario!D45=0,"",IF(Perfiles_usuario!N45="","No",Perfiles_usuario!N45))</f>
        <v>No</v>
      </c>
      <c r="M538" s="699">
        <f>IF(Perfiles_usuario!D45=0,"",Perfiles_usuario!P45)</f>
        <v>53</v>
      </c>
      <c r="N538" s="699">
        <f>IF(Perfiles_usuario!D45=0,"",Perfiles_usuario!R45)</f>
        <v>53</v>
      </c>
      <c r="O538" s="700">
        <f>IF(Perfiles_usuario!D45=0,"",Perfiles_usuario!V45)</f>
        <v>0</v>
      </c>
      <c r="P538" s="700">
        <f>IF(Perfiles_usuario!D45=0,"",Perfiles_usuario!X45)</f>
        <v>0.1</v>
      </c>
      <c r="Q538" s="699">
        <f>IF(Perfiles_usuario!$D45=0,"",Perfiles_usuario!Z45)</f>
        <v>47.7</v>
      </c>
      <c r="R538" s="699">
        <f>IF(Perfiles_usuario!$D45=0,"",Perfiles_usuario!AB45)</f>
        <v>47.7</v>
      </c>
      <c r="S538" s="700">
        <f>IF(Perfiles_usuario!$D45=0,"",Perfiles_usuario!AD45)</f>
        <v>0.1</v>
      </c>
      <c r="T538" s="699">
        <f>IF(Perfiles_usuario!D45=0,"",Perfiles_usuario!AF45)</f>
        <v>42.400000000000006</v>
      </c>
      <c r="U538" s="701">
        <f>IF(Perfiles_usuario!D45=0,"",Perfiles_usuario!AH45)</f>
        <v>42.400000000000006</v>
      </c>
    </row>
    <row r="539" spans="1:22" ht="49.9" customHeight="1">
      <c r="B539" s="2272" t="str">
        <f>IF(Perfiles_usuario!B48=0,"",Perfiles_usuario!B48)</f>
        <v>ILIMITADA CV</v>
      </c>
      <c r="C539" s="2259"/>
      <c r="D539" s="698">
        <f>IF(Perfiles_usuario!D48=0,"",Perfiles_usuario!D48)</f>
        <v>1</v>
      </c>
      <c r="E539" s="698">
        <f>IF(Perfiles_usuario!D48=0,"",Perfiles_usuario!F48)</f>
        <v>0</v>
      </c>
      <c r="F539" s="698" t="str">
        <f>IF(Perfiles_usuario!D48=0,"","incluidas")</f>
        <v>incluidas</v>
      </c>
      <c r="G539" s="698" t="str">
        <f>IF(Perfiles_usuario!D48=0,"","incluidos")</f>
        <v>incluidos</v>
      </c>
      <c r="H539" s="698" t="str">
        <f>IF(Perfiles_usuario!$D$17="Óptima RPV",IF(Perfiles_usuario!D48=0,"","incluido"),"")</f>
        <v>incluido</v>
      </c>
      <c r="I539" s="2259" t="str">
        <f>IF(Perfiles_usuario!D48=0,"",Perfiles_usuario!H48)</f>
        <v>Ilimitada+1GB</v>
      </c>
      <c r="J539" s="2259"/>
      <c r="K539" s="698" t="str">
        <f>IF(Perfiles_usuario!J48=0,"",Perfiles_usuario!J48)</f>
        <v>Agente Centralita Virtual</v>
      </c>
      <c r="L539" s="698" t="str">
        <f>IF(Perfiles_usuario!D48=0,"",IF(Perfiles_usuario!N48="","No",Perfiles_usuario!N48))</f>
        <v>No</v>
      </c>
      <c r="M539" s="699">
        <f>IF(Perfiles_usuario!D48=0,"",Perfiles_usuario!P48)</f>
        <v>29</v>
      </c>
      <c r="N539" s="699">
        <f>IF(Perfiles_usuario!D48=0,"",Perfiles_usuario!R48)</f>
        <v>29</v>
      </c>
      <c r="O539" s="700">
        <f>IF(Perfiles_usuario!D48=0,"",Perfiles_usuario!V48)</f>
        <v>0</v>
      </c>
      <c r="P539" s="700">
        <f>IF(Perfiles_usuario!D48=0,"",Perfiles_usuario!X48)</f>
        <v>0.1</v>
      </c>
      <c r="Q539" s="699">
        <f>IF(Perfiles_usuario!$D48=0,"",Perfiles_usuario!Z48)</f>
        <v>26.1</v>
      </c>
      <c r="R539" s="699">
        <f>IF(Perfiles_usuario!$D48=0,"",Perfiles_usuario!AB48)</f>
        <v>26.1</v>
      </c>
      <c r="S539" s="700">
        <f>IF(Perfiles_usuario!$D48=0,"",Perfiles_usuario!AD48)</f>
        <v>0.1</v>
      </c>
      <c r="T539" s="699">
        <f>IF(Perfiles_usuario!D48=0,"",Perfiles_usuario!AF48)</f>
        <v>23.200000000000003</v>
      </c>
      <c r="U539" s="701">
        <f>IF(Perfiles_usuario!D48=0,"",Perfiles_usuario!AH48)</f>
        <v>23.200000000000003</v>
      </c>
      <c r="V539" s="441"/>
    </row>
    <row r="540" spans="1:22" ht="49.9" customHeight="1">
      <c r="B540" s="2272" t="str">
        <f>IF(Perfiles_usuario!B51=0,"",Perfiles_usuario!B51)</f>
        <v>1 NUEVA</v>
      </c>
      <c r="C540" s="2259"/>
      <c r="D540" s="698">
        <f>IF(Perfiles_usuario!D51=0,"",Perfiles_usuario!D51)</f>
        <v>1</v>
      </c>
      <c r="E540" s="698">
        <f>IF(Perfiles_usuario!D51=0,"",Perfiles_usuario!F51)</f>
        <v>0</v>
      </c>
      <c r="F540" s="698" t="str">
        <f>IF(Perfiles_usuario!D51=0,"","incluidas")</f>
        <v>incluidas</v>
      </c>
      <c r="G540" s="698" t="str">
        <f>IF(Perfiles_usuario!D51=0,"","incluidos")</f>
        <v>incluidos</v>
      </c>
      <c r="H540" s="698" t="str">
        <f>IF(Perfiles_usuario!$D$17="Óptima RPV",IF(Perfiles_usuario!D51=0,"","incluido"),"")</f>
        <v>incluido</v>
      </c>
      <c r="I540" s="2259" t="str">
        <f>IF(Perfiles_usuario!D51=0,"",Perfiles_usuario!H51)</f>
        <v>Sin tarifa plana (0-50 min)</v>
      </c>
      <c r="J540" s="2259"/>
      <c r="K540" s="698" t="str">
        <f>IF(Perfiles_usuario!J51=0,"",Perfiles_usuario!J51)</f>
        <v/>
      </c>
      <c r="L540" s="698" t="str">
        <f>IF(Perfiles_usuario!D51=0,"",IF(Perfiles_usuario!N51="","No",Perfiles_usuario!N51))</f>
        <v>No</v>
      </c>
      <c r="M540" s="699">
        <f>IF(Perfiles_usuario!D51=0,"",Perfiles_usuario!P51)</f>
        <v>6</v>
      </c>
      <c r="N540" s="699">
        <f>IF(Perfiles_usuario!D51=0,"",Perfiles_usuario!R51)</f>
        <v>6</v>
      </c>
      <c r="O540" s="700">
        <f>IF(Perfiles_usuario!D51=0,"",Perfiles_usuario!V51)</f>
        <v>0</v>
      </c>
      <c r="P540" s="700">
        <f>IF(Perfiles_usuario!D51=0,"",Perfiles_usuario!X51)</f>
        <v>0.1</v>
      </c>
      <c r="Q540" s="699">
        <f>IF(Perfiles_usuario!$D51=0,"",Perfiles_usuario!Z51)</f>
        <v>5.4</v>
      </c>
      <c r="R540" s="699">
        <f>IF(Perfiles_usuario!$D51=0,"",Perfiles_usuario!AB51)</f>
        <v>5.4</v>
      </c>
      <c r="S540" s="700">
        <f>IF(Perfiles_usuario!$D51=0,"",Perfiles_usuario!AD51)</f>
        <v>0.1</v>
      </c>
      <c r="T540" s="699">
        <f>IF(Perfiles_usuario!D51=0,"",Perfiles_usuario!AF51)</f>
        <v>4.8000000000000007</v>
      </c>
      <c r="U540" s="701">
        <f>IF(Perfiles_usuario!D51=0,"",Perfiles_usuario!AH51)</f>
        <v>4.8000000000000007</v>
      </c>
    </row>
    <row r="541" spans="1:22" ht="49.9" customHeight="1">
      <c r="B541" s="2272" t="str">
        <f>IF(Perfiles_usuario!B54=0,"",Perfiles_usuario!B54)</f>
        <v/>
      </c>
      <c r="C541" s="2259"/>
      <c r="D541" s="698" t="str">
        <f>IF(Perfiles_usuario!D54=0,"",Perfiles_usuario!D54)</f>
        <v/>
      </c>
      <c r="E541" s="698" t="str">
        <f>IF(Perfiles_usuario!D54=0,"",Perfiles_usuario!F54)</f>
        <v/>
      </c>
      <c r="F541" s="698" t="str">
        <f>IF(Perfiles_usuario!D54=0,"","incluidas")</f>
        <v/>
      </c>
      <c r="G541" s="698" t="str">
        <f>IF(Perfiles_usuario!D54=0,"","incluidos")</f>
        <v/>
      </c>
      <c r="H541" s="698" t="str">
        <f>IF(Perfiles_usuario!$D$17="Óptima RPV",IF(Perfiles_usuario!D54=0,"","incluido"),"")</f>
        <v/>
      </c>
      <c r="I541" s="2259" t="str">
        <f>IF(Perfiles_usuario!D54=0,"",Perfiles_usuario!H54)</f>
        <v/>
      </c>
      <c r="J541" s="2259"/>
      <c r="K541" s="698" t="str">
        <f>IF(Perfiles_usuario!J54=0,"",Perfiles_usuario!J54)</f>
        <v/>
      </c>
      <c r="L541" s="698" t="str">
        <f>IF(Perfiles_usuario!D54=0,"",IF(Perfiles_usuario!N54="","No",Perfiles_usuario!N54))</f>
        <v/>
      </c>
      <c r="M541" s="699" t="str">
        <f>IF(Perfiles_usuario!D54=0,"",Perfiles_usuario!P54)</f>
        <v/>
      </c>
      <c r="N541" s="699" t="str">
        <f>IF(Perfiles_usuario!D54=0,"",Perfiles_usuario!R54)</f>
        <v/>
      </c>
      <c r="O541" s="700" t="str">
        <f>IF(Perfiles_usuario!D54=0,"",Perfiles_usuario!V54)</f>
        <v/>
      </c>
      <c r="P541" s="700" t="str">
        <f>IF(Perfiles_usuario!D54=0,"",Perfiles_usuario!X54)</f>
        <v/>
      </c>
      <c r="Q541" s="699" t="str">
        <f>IF(Perfiles_usuario!$D54=0,"",Perfiles_usuario!Z54)</f>
        <v/>
      </c>
      <c r="R541" s="699" t="str">
        <f>IF(Perfiles_usuario!$D54=0,"",Perfiles_usuario!AB54)</f>
        <v/>
      </c>
      <c r="S541" s="700" t="str">
        <f>IF(Perfiles_usuario!$D54=0,"",Perfiles_usuario!AD54)</f>
        <v/>
      </c>
      <c r="T541" s="699" t="str">
        <f>IF(Perfiles_usuario!D54=0,"",Perfiles_usuario!AF54)</f>
        <v/>
      </c>
      <c r="U541" s="701" t="str">
        <f>IF(Perfiles_usuario!D54=0,"",Perfiles_usuario!AH54)</f>
        <v/>
      </c>
    </row>
    <row r="542" spans="1:22" ht="49.9" customHeight="1">
      <c r="B542" s="2272" t="str">
        <f>IF(Perfiles_usuario!B57=0,"",Perfiles_usuario!B57)</f>
        <v/>
      </c>
      <c r="C542" s="2259"/>
      <c r="D542" s="698" t="str">
        <f>IF(Perfiles_usuario!D57=0,"",Perfiles_usuario!D57)</f>
        <v/>
      </c>
      <c r="E542" s="698" t="str">
        <f>IF(Perfiles_usuario!D57=0,"",Perfiles_usuario!F57)</f>
        <v/>
      </c>
      <c r="F542" s="698" t="str">
        <f>IF(Perfiles_usuario!D57=0,"","incluidas")</f>
        <v/>
      </c>
      <c r="G542" s="698" t="str">
        <f>IF(Perfiles_usuario!D57=0,"","incluidos")</f>
        <v/>
      </c>
      <c r="H542" s="698" t="str">
        <f>IF(Perfiles_usuario!$D$17="Óptima RPV",IF(Perfiles_usuario!D57=0,"","incluido"),"")</f>
        <v/>
      </c>
      <c r="I542" s="2259" t="str">
        <f>IF(Perfiles_usuario!D57=0,"",Perfiles_usuario!H57)</f>
        <v/>
      </c>
      <c r="J542" s="2259"/>
      <c r="K542" s="698" t="str">
        <f>IF(Perfiles_usuario!J57=0,"",Perfiles_usuario!J57)</f>
        <v/>
      </c>
      <c r="L542" s="698" t="str">
        <f>IF(Perfiles_usuario!D57=0,"",IF(Perfiles_usuario!N57="","No",Perfiles_usuario!N57))</f>
        <v/>
      </c>
      <c r="M542" s="699" t="str">
        <f>IF(Perfiles_usuario!D57=0,"",Perfiles_usuario!P57)</f>
        <v/>
      </c>
      <c r="N542" s="699" t="str">
        <f>IF(Perfiles_usuario!D57=0,"",Perfiles_usuario!R57)</f>
        <v/>
      </c>
      <c r="O542" s="700" t="str">
        <f>IF(Perfiles_usuario!D57=0,"",Perfiles_usuario!V57)</f>
        <v/>
      </c>
      <c r="P542" s="700" t="str">
        <f>IF(Perfiles_usuario!D57=0,"",Perfiles_usuario!X57)</f>
        <v/>
      </c>
      <c r="Q542" s="699" t="str">
        <f>IF(Perfiles_usuario!$D57=0,"",Perfiles_usuario!Z57)</f>
        <v/>
      </c>
      <c r="R542" s="699" t="str">
        <f>IF(Perfiles_usuario!$D57=0,"",Perfiles_usuario!AB57)</f>
        <v/>
      </c>
      <c r="S542" s="700" t="str">
        <f>IF(Perfiles_usuario!$D57=0,"",Perfiles_usuario!AD57)</f>
        <v/>
      </c>
      <c r="T542" s="699" t="str">
        <f>IF(Perfiles_usuario!D57=0,"",Perfiles_usuario!AF57)</f>
        <v/>
      </c>
      <c r="U542" s="701" t="str">
        <f>IF(Perfiles_usuario!D57=0,"",Perfiles_usuario!AH57)</f>
        <v/>
      </c>
      <c r="V542" s="441"/>
    </row>
    <row r="543" spans="1:22" ht="49.9" customHeight="1">
      <c r="B543" s="2272" t="str">
        <f>IF(Perfiles_usuario!B60=0,"",Perfiles_usuario!B60)</f>
        <v/>
      </c>
      <c r="C543" s="2259"/>
      <c r="D543" s="698" t="str">
        <f>IF(Perfiles_usuario!D60=0,"",Perfiles_usuario!D60)</f>
        <v/>
      </c>
      <c r="E543" s="698" t="str">
        <f>IF(Perfiles_usuario!D60=0,"",Perfiles_usuario!F60)</f>
        <v/>
      </c>
      <c r="F543" s="698" t="str">
        <f>IF(Perfiles_usuario!D60=0,"","incluidas")</f>
        <v/>
      </c>
      <c r="G543" s="698" t="str">
        <f>IF(Perfiles_usuario!D60=0,"","incluidos")</f>
        <v/>
      </c>
      <c r="H543" s="698" t="str">
        <f>IF(Perfiles_usuario!$D$17="Óptima RPV",IF(Perfiles_usuario!D60=0,"","incluido"),"")</f>
        <v/>
      </c>
      <c r="I543" s="2259" t="str">
        <f>IF(Perfiles_usuario!D60=0,"",Perfiles_usuario!H60)</f>
        <v/>
      </c>
      <c r="J543" s="2259"/>
      <c r="K543" s="698" t="str">
        <f>IF(Perfiles_usuario!J60=0,"",Perfiles_usuario!J60)</f>
        <v/>
      </c>
      <c r="L543" s="698" t="str">
        <f>IF(Perfiles_usuario!D60=0,"",IF(Perfiles_usuario!N60="","No",Perfiles_usuario!N60))</f>
        <v/>
      </c>
      <c r="M543" s="699" t="str">
        <f>IF(Perfiles_usuario!D60=0,"",Perfiles_usuario!P60)</f>
        <v/>
      </c>
      <c r="N543" s="699" t="str">
        <f>IF(Perfiles_usuario!D60=0,"",Perfiles_usuario!R60)</f>
        <v/>
      </c>
      <c r="O543" s="700" t="str">
        <f>IF(Perfiles_usuario!D60=0,"",Perfiles_usuario!V60)</f>
        <v/>
      </c>
      <c r="P543" s="700" t="str">
        <f>IF(Perfiles_usuario!D60=0,"",Perfiles_usuario!X60)</f>
        <v/>
      </c>
      <c r="Q543" s="699" t="str">
        <f>IF(Perfiles_usuario!$D60=0,"",Perfiles_usuario!Z60)</f>
        <v/>
      </c>
      <c r="R543" s="699" t="str">
        <f>IF(Perfiles_usuario!$D60=0,"",Perfiles_usuario!AB60)</f>
        <v/>
      </c>
      <c r="S543" s="700" t="str">
        <f>IF(Perfiles_usuario!$D60=0,"",Perfiles_usuario!AD60)</f>
        <v/>
      </c>
      <c r="T543" s="699" t="str">
        <f>IF(Perfiles_usuario!D60=0,"",Perfiles_usuario!AF60)</f>
        <v/>
      </c>
      <c r="U543" s="701" t="str">
        <f>IF(Perfiles_usuario!D60=0,"",Perfiles_usuario!AH60)</f>
        <v/>
      </c>
      <c r="V543" s="441"/>
    </row>
    <row r="544" spans="1:22" ht="49.9" customHeight="1">
      <c r="B544" s="2272" t="str">
        <f>IF(Perfiles_usuario!B63=0,"",Perfiles_usuario!B63)</f>
        <v/>
      </c>
      <c r="C544" s="2259"/>
      <c r="D544" s="698" t="str">
        <f>IF(Perfiles_usuario!D63=0,"",Perfiles_usuario!D63)</f>
        <v/>
      </c>
      <c r="E544" s="698" t="str">
        <f>IF(Perfiles_usuario!D63=0,"",Perfiles_usuario!F63)</f>
        <v/>
      </c>
      <c r="F544" s="698" t="str">
        <f>IF(Perfiles_usuario!D63=0,"","incluidas")</f>
        <v/>
      </c>
      <c r="G544" s="698" t="str">
        <f>IF(Perfiles_usuario!D63=0,"","incluidos")</f>
        <v/>
      </c>
      <c r="H544" s="698" t="str">
        <f>IF(Perfiles_usuario!$D$17="Óptima RPV",IF(Perfiles_usuario!D63=0,"","incluido"),"")</f>
        <v/>
      </c>
      <c r="I544" s="2259" t="str">
        <f>IF(Perfiles_usuario!D63=0,"",Perfiles_usuario!H63)</f>
        <v/>
      </c>
      <c r="J544" s="2259"/>
      <c r="K544" s="698" t="str">
        <f>IF(Perfiles_usuario!J63=0,"",Perfiles_usuario!J63)</f>
        <v/>
      </c>
      <c r="L544" s="698" t="str">
        <f>IF(Perfiles_usuario!D63=0,"",IF(Perfiles_usuario!N63="","No",Perfiles_usuario!N63))</f>
        <v/>
      </c>
      <c r="M544" s="699" t="str">
        <f>IF(Perfiles_usuario!D63=0,"",Perfiles_usuario!P63)</f>
        <v/>
      </c>
      <c r="N544" s="699" t="str">
        <f>IF(Perfiles_usuario!D63=0,"",Perfiles_usuario!R63)</f>
        <v/>
      </c>
      <c r="O544" s="700" t="str">
        <f>IF(Perfiles_usuario!D63=0,"",Perfiles_usuario!V63)</f>
        <v/>
      </c>
      <c r="P544" s="700" t="str">
        <f>IF(Perfiles_usuario!D63=0,"",Perfiles_usuario!X63)</f>
        <v/>
      </c>
      <c r="Q544" s="699" t="str">
        <f>IF(Perfiles_usuario!$D63=0,"",Perfiles_usuario!Z63)</f>
        <v/>
      </c>
      <c r="R544" s="699" t="str">
        <f>IF(Perfiles_usuario!$D63=0,"",Perfiles_usuario!AB63)</f>
        <v/>
      </c>
      <c r="S544" s="700" t="str">
        <f>IF(Perfiles_usuario!$D63=0,"",Perfiles_usuario!AD63)</f>
        <v/>
      </c>
      <c r="T544" s="699" t="str">
        <f>IF(Perfiles_usuario!D63=0,"",Perfiles_usuario!AF63)</f>
        <v/>
      </c>
      <c r="U544" s="701" t="str">
        <f>IF(Perfiles_usuario!D63=0,"",Perfiles_usuario!AH63)</f>
        <v/>
      </c>
      <c r="V544" s="441"/>
    </row>
    <row r="545" spans="2:22" ht="49.9" customHeight="1">
      <c r="B545" s="2272" t="str">
        <f>IF(Perfiles_usuario!B66=0,"",Perfiles_usuario!B66)</f>
        <v/>
      </c>
      <c r="C545" s="2259"/>
      <c r="D545" s="698" t="str">
        <f>IF(Perfiles_usuario!D66=0,"",Perfiles_usuario!D66)</f>
        <v/>
      </c>
      <c r="E545" s="698" t="str">
        <f>IF(Perfiles_usuario!D66=0,"",Perfiles_usuario!F66)</f>
        <v/>
      </c>
      <c r="F545" s="698" t="str">
        <f>IF(Perfiles_usuario!D66=0,"","incluidas")</f>
        <v/>
      </c>
      <c r="G545" s="698" t="str">
        <f>IF(Perfiles_usuario!D66=0,"","incluidos")</f>
        <v/>
      </c>
      <c r="H545" s="698" t="str">
        <f>IF(Perfiles_usuario!$D$17="Óptima RPV",IF(Perfiles_usuario!D66=0,"","incluido"),"")</f>
        <v/>
      </c>
      <c r="I545" s="2259" t="str">
        <f>IF(Perfiles_usuario!D66=0,"",Perfiles_usuario!H66)</f>
        <v/>
      </c>
      <c r="J545" s="2259"/>
      <c r="K545" s="698" t="str">
        <f>IF(Perfiles_usuario!J66=0,"",Perfiles_usuario!J66)</f>
        <v/>
      </c>
      <c r="L545" s="698" t="str">
        <f>IF(Perfiles_usuario!D66=0,"",IF(Perfiles_usuario!N66="","No",Perfiles_usuario!N66))</f>
        <v/>
      </c>
      <c r="M545" s="699" t="str">
        <f>IF(Perfiles_usuario!D66=0,"",Perfiles_usuario!P66)</f>
        <v/>
      </c>
      <c r="N545" s="699" t="str">
        <f>IF(Perfiles_usuario!D66=0,"",Perfiles_usuario!R66)</f>
        <v/>
      </c>
      <c r="O545" s="700" t="str">
        <f>IF(Perfiles_usuario!D66=0,"",Perfiles_usuario!V66)</f>
        <v/>
      </c>
      <c r="P545" s="700" t="str">
        <f>IF(Perfiles_usuario!D66=0,"",Perfiles_usuario!X66)</f>
        <v/>
      </c>
      <c r="Q545" s="699" t="str">
        <f>IF(Perfiles_usuario!$D66=0,"",Perfiles_usuario!Z66)</f>
        <v/>
      </c>
      <c r="R545" s="699" t="str">
        <f>IF(Perfiles_usuario!$D66=0,"",Perfiles_usuario!AB66)</f>
        <v/>
      </c>
      <c r="S545" s="700" t="str">
        <f>IF(Perfiles_usuario!$D66=0,"",Perfiles_usuario!AD66)</f>
        <v/>
      </c>
      <c r="T545" s="699" t="str">
        <f>IF(Perfiles_usuario!D66=0,"",Perfiles_usuario!AF66)</f>
        <v/>
      </c>
      <c r="U545" s="701" t="str">
        <f>IF(Perfiles_usuario!D66=0,"",Perfiles_usuario!AH66)</f>
        <v/>
      </c>
      <c r="V545" s="441"/>
    </row>
    <row r="546" spans="2:22" ht="49.9" customHeight="1">
      <c r="B546" s="2272" t="str">
        <f>IF(Perfiles_usuario!B68=0,"",Perfiles_usuario!B68)</f>
        <v/>
      </c>
      <c r="C546" s="2259"/>
      <c r="D546" s="698" t="str">
        <f>IF(Perfiles_usuario!D68=0,"",Perfiles_usuario!D68)</f>
        <v/>
      </c>
      <c r="E546" s="698" t="str">
        <f>IF(Perfiles_usuario!D68=0,"",Perfiles_usuario!F68)</f>
        <v/>
      </c>
      <c r="F546" s="698" t="str">
        <f>IF(Perfiles_usuario!D68=0,"","incluidas")</f>
        <v/>
      </c>
      <c r="G546" s="698" t="str">
        <f>IF(Perfiles_usuario!D68=0,"","incluidos")</f>
        <v/>
      </c>
      <c r="H546" s="698" t="str">
        <f>IF(Perfiles_usuario!$D$17="Óptima RPV",IF(Perfiles_usuario!D68=0,"","incluido"),"")</f>
        <v/>
      </c>
      <c r="I546" s="2259" t="str">
        <f>IF(Perfiles_usuario!D68=0,"",Perfiles_usuario!H68)</f>
        <v/>
      </c>
      <c r="J546" s="2259"/>
      <c r="K546" s="698" t="str">
        <f>IF(Perfiles_usuario!J68=0,"",Perfiles_usuario!J68)</f>
        <v/>
      </c>
      <c r="L546" s="698" t="str">
        <f>IF(Perfiles_usuario!D68=0,"",IF(Perfiles_usuario!N68="","No",Perfiles_usuario!N68))</f>
        <v/>
      </c>
      <c r="M546" s="699" t="str">
        <f>IF(Perfiles_usuario!D68=0,"",Perfiles_usuario!P68)</f>
        <v/>
      </c>
      <c r="N546" s="699" t="str">
        <f>IF(Perfiles_usuario!D68=0,"",Perfiles_usuario!R68)</f>
        <v/>
      </c>
      <c r="O546" s="700" t="str">
        <f>IF(Perfiles_usuario!D68=0,"",Perfiles_usuario!V68)</f>
        <v/>
      </c>
      <c r="P546" s="700" t="str">
        <f>IF(Perfiles_usuario!D68=0,"",Perfiles_usuario!X68)</f>
        <v/>
      </c>
      <c r="Q546" s="699" t="str">
        <f>IF(Perfiles_usuario!$D68=0,"",Perfiles_usuario!Z68)</f>
        <v/>
      </c>
      <c r="R546" s="699" t="str">
        <f>IF(Perfiles_usuario!$D68=0,"",Perfiles_usuario!AB68)</f>
        <v/>
      </c>
      <c r="S546" s="700" t="str">
        <f>IF(Perfiles_usuario!$D68=0,"",Perfiles_usuario!AD68)</f>
        <v/>
      </c>
      <c r="T546" s="699" t="str">
        <f>IF(Perfiles_usuario!D68=0,"",Perfiles_usuario!AF68)</f>
        <v/>
      </c>
      <c r="U546" s="701" t="str">
        <f>IF(Perfiles_usuario!D68=0,"",Perfiles_usuario!AH68)</f>
        <v/>
      </c>
      <c r="V546" s="441"/>
    </row>
    <row r="547" spans="2:22" ht="49.9" customHeight="1">
      <c r="B547" s="2272" t="str">
        <f>IF(Perfiles_usuario!B70=0,"",Perfiles_usuario!B70)</f>
        <v/>
      </c>
      <c r="C547" s="2259"/>
      <c r="D547" s="698" t="str">
        <f>IF(Perfiles_usuario!D70=0,"",Perfiles_usuario!D70)</f>
        <v/>
      </c>
      <c r="E547" s="698" t="str">
        <f>IF(Perfiles_usuario!D70=0,"",Perfiles_usuario!F70)</f>
        <v/>
      </c>
      <c r="F547" s="698" t="str">
        <f>IF(Perfiles_usuario!D70=0,"","incluidas")</f>
        <v/>
      </c>
      <c r="G547" s="698" t="str">
        <f>IF(Perfiles_usuario!D70=0,"","incluidos")</f>
        <v/>
      </c>
      <c r="H547" s="698" t="str">
        <f>IF(Perfiles_usuario!$D$17="Óptima RPV",IF(Perfiles_usuario!D70=0,"","incluido"),"")</f>
        <v/>
      </c>
      <c r="I547" s="2259" t="str">
        <f>IF(Perfiles_usuario!D70=0,"",Perfiles_usuario!H70)</f>
        <v/>
      </c>
      <c r="J547" s="2259"/>
      <c r="K547" s="698" t="str">
        <f>IF(Perfiles_usuario!J70=0,"",Perfiles_usuario!J70)</f>
        <v/>
      </c>
      <c r="L547" s="698" t="str">
        <f>IF(Perfiles_usuario!D70=0,"",IF(Perfiles_usuario!N70="","No",Perfiles_usuario!N70))</f>
        <v/>
      </c>
      <c r="M547" s="699" t="str">
        <f>IF(Perfiles_usuario!D70=0,"",Perfiles_usuario!P70)</f>
        <v/>
      </c>
      <c r="N547" s="699" t="str">
        <f>IF(Perfiles_usuario!D70=0,"",Perfiles_usuario!R70)</f>
        <v/>
      </c>
      <c r="O547" s="700" t="str">
        <f>IF(Perfiles_usuario!D70=0,"",Perfiles_usuario!V70)</f>
        <v/>
      </c>
      <c r="P547" s="700" t="str">
        <f>IF(Perfiles_usuario!D70=0,"",Perfiles_usuario!X70)</f>
        <v/>
      </c>
      <c r="Q547" s="699" t="str">
        <f>IF(Perfiles_usuario!$D70=0,"",Perfiles_usuario!Z70)</f>
        <v/>
      </c>
      <c r="R547" s="699" t="str">
        <f>IF(Perfiles_usuario!$D70=0,"",Perfiles_usuario!AB70)</f>
        <v/>
      </c>
      <c r="S547" s="700" t="str">
        <f>IF(Perfiles_usuario!$D70=0,"",Perfiles_usuario!AD70)</f>
        <v/>
      </c>
      <c r="T547" s="699" t="str">
        <f>IF(Perfiles_usuario!D70=0,"",Perfiles_usuario!AF70)</f>
        <v/>
      </c>
      <c r="U547" s="701" t="str">
        <f>IF(Perfiles_usuario!D70=0,"",Perfiles_usuario!AH70)</f>
        <v/>
      </c>
      <c r="V547" s="441"/>
    </row>
    <row r="548" spans="2:22" ht="49.9" customHeight="1">
      <c r="B548" s="2272" t="str">
        <f>IF(Perfiles_usuario!B72=0,"",Perfiles_usuario!B72)</f>
        <v/>
      </c>
      <c r="C548" s="2259"/>
      <c r="D548" s="698" t="str">
        <f>IF(Perfiles_usuario!D72=0,"",Perfiles_usuario!D72)</f>
        <v/>
      </c>
      <c r="E548" s="698" t="str">
        <f>IF(Perfiles_usuario!D72=0,"",Perfiles_usuario!F72)</f>
        <v/>
      </c>
      <c r="F548" s="698" t="str">
        <f>IF(Perfiles_usuario!D72=0,"","incluidas")</f>
        <v/>
      </c>
      <c r="G548" s="698" t="str">
        <f>IF(Perfiles_usuario!D72=0,"","incluidos")</f>
        <v/>
      </c>
      <c r="H548" s="698" t="str">
        <f>IF(Perfiles_usuario!$D$17="Óptima RPV",IF(Perfiles_usuario!D72=0,"","incluido"),"")</f>
        <v/>
      </c>
      <c r="I548" s="2259" t="str">
        <f>IF(Perfiles_usuario!D72=0,"",Perfiles_usuario!H72)</f>
        <v/>
      </c>
      <c r="J548" s="2259"/>
      <c r="K548" s="698" t="str">
        <f>IF(Perfiles_usuario!J72=0,"",Perfiles_usuario!J72)</f>
        <v/>
      </c>
      <c r="L548" s="698" t="str">
        <f>IF(Perfiles_usuario!D72=0,"",IF(Perfiles_usuario!N72="","No",Perfiles_usuario!N72))</f>
        <v/>
      </c>
      <c r="M548" s="699" t="str">
        <f>IF(Perfiles_usuario!D72=0,"",Perfiles_usuario!P72)</f>
        <v/>
      </c>
      <c r="N548" s="699" t="str">
        <f>IF(Perfiles_usuario!D72=0,"",Perfiles_usuario!R72)</f>
        <v/>
      </c>
      <c r="O548" s="700" t="str">
        <f>IF(Perfiles_usuario!D72=0,"",Perfiles_usuario!V72)</f>
        <v/>
      </c>
      <c r="P548" s="700" t="str">
        <f>IF(Perfiles_usuario!D72=0,"",Perfiles_usuario!X72)</f>
        <v/>
      </c>
      <c r="Q548" s="699" t="str">
        <f>IF(Perfiles_usuario!$D72=0,"",Perfiles_usuario!Z72)</f>
        <v/>
      </c>
      <c r="R548" s="699" t="str">
        <f>IF(Perfiles_usuario!$D72=0,"",Perfiles_usuario!AB72)</f>
        <v/>
      </c>
      <c r="S548" s="700" t="str">
        <f>IF(Perfiles_usuario!$D72=0,"",Perfiles_usuario!AD72)</f>
        <v/>
      </c>
      <c r="T548" s="699" t="str">
        <f>IF(Perfiles_usuario!D72=0,"",Perfiles_usuario!AF72)</f>
        <v/>
      </c>
      <c r="U548" s="701" t="str">
        <f>IF(Perfiles_usuario!D72=0,"",Perfiles_usuario!AH72)</f>
        <v/>
      </c>
      <c r="V548" s="441"/>
    </row>
    <row r="549" spans="2:22" ht="49.9" customHeight="1">
      <c r="B549" s="2272" t="str">
        <f>IF(Perfiles_usuario!B74=0,"",Perfiles_usuario!B74)</f>
        <v/>
      </c>
      <c r="C549" s="2259"/>
      <c r="D549" s="698" t="str">
        <f>IF(Perfiles_usuario!D74=0,"",Perfiles_usuario!D74)</f>
        <v/>
      </c>
      <c r="E549" s="698" t="str">
        <f>IF(Perfiles_usuario!D74=0,"",Perfiles_usuario!F74)</f>
        <v/>
      </c>
      <c r="F549" s="698" t="str">
        <f>IF(Perfiles_usuario!D74=0,"","incluidas")</f>
        <v/>
      </c>
      <c r="G549" s="698" t="str">
        <f>IF(Perfiles_usuario!D74=0,"","incluidos")</f>
        <v/>
      </c>
      <c r="H549" s="698" t="str">
        <f>IF(Perfiles_usuario!$D$17="Óptima RPV",IF(Perfiles_usuario!D74=0,"","incluido"),"")</f>
        <v/>
      </c>
      <c r="I549" s="2259" t="str">
        <f>IF(Perfiles_usuario!D74=0,"",Perfiles_usuario!H74)</f>
        <v/>
      </c>
      <c r="J549" s="2259"/>
      <c r="K549" s="698" t="str">
        <f>IF(Perfiles_usuario!J74=0,"",Perfiles_usuario!J74)</f>
        <v/>
      </c>
      <c r="L549" s="698" t="str">
        <f>IF(Perfiles_usuario!D74=0,"",IF(Perfiles_usuario!N74="","No",Perfiles_usuario!N74))</f>
        <v/>
      </c>
      <c r="M549" s="699" t="str">
        <f>IF(Perfiles_usuario!D74=0,"",Perfiles_usuario!P74)</f>
        <v/>
      </c>
      <c r="N549" s="699" t="str">
        <f>IF(Perfiles_usuario!D74=0,"",Perfiles_usuario!R74)</f>
        <v/>
      </c>
      <c r="O549" s="700" t="str">
        <f>IF(Perfiles_usuario!D74=0,"",Perfiles_usuario!V74)</f>
        <v/>
      </c>
      <c r="P549" s="700" t="str">
        <f>IF(Perfiles_usuario!D74=0,"",Perfiles_usuario!X74)</f>
        <v/>
      </c>
      <c r="Q549" s="699" t="str">
        <f>IF(Perfiles_usuario!$D74=0,"",Perfiles_usuario!Z74)</f>
        <v/>
      </c>
      <c r="R549" s="699" t="str">
        <f>IF(Perfiles_usuario!$D74=0,"",Perfiles_usuario!AB74)</f>
        <v/>
      </c>
      <c r="S549" s="700" t="str">
        <f>IF(Perfiles_usuario!$D74=0,"",Perfiles_usuario!AD74)</f>
        <v/>
      </c>
      <c r="T549" s="699" t="str">
        <f>IF(Perfiles_usuario!D74=0,"",Perfiles_usuario!AF74)</f>
        <v/>
      </c>
      <c r="U549" s="701" t="str">
        <f>IF(Perfiles_usuario!D74=0,"",Perfiles_usuario!AH74)</f>
        <v/>
      </c>
      <c r="V549" s="441"/>
    </row>
    <row r="550" spans="2:22" ht="49.9" customHeight="1">
      <c r="B550" s="2272" t="str">
        <f>IF(Perfiles_usuario!B76=0,"",Perfiles_usuario!B76)</f>
        <v/>
      </c>
      <c r="C550" s="2259"/>
      <c r="D550" s="698" t="str">
        <f>IF(Perfiles_usuario!D76=0,"",Perfiles_usuario!D76)</f>
        <v/>
      </c>
      <c r="E550" s="698" t="str">
        <f>IF(Perfiles_usuario!D76=0,"",Perfiles_usuario!F76)</f>
        <v/>
      </c>
      <c r="F550" s="698" t="str">
        <f>IF(Perfiles_usuario!D76=0,"","incluidas")</f>
        <v/>
      </c>
      <c r="G550" s="698" t="str">
        <f>IF(Perfiles_usuario!D76=0,"","incluidos")</f>
        <v/>
      </c>
      <c r="H550" s="698" t="str">
        <f>IF(Perfiles_usuario!$D$17="Óptima RPV",IF(Perfiles_usuario!D76=0,"","incluido"),"")</f>
        <v/>
      </c>
      <c r="I550" s="2259" t="str">
        <f>IF(Perfiles_usuario!D76=0,"",Perfiles_usuario!H76)</f>
        <v/>
      </c>
      <c r="J550" s="2259"/>
      <c r="K550" s="698" t="str">
        <f>IF(Perfiles_usuario!J76=0,"",Perfiles_usuario!J76)</f>
        <v/>
      </c>
      <c r="L550" s="698" t="str">
        <f>IF(Perfiles_usuario!D76=0,"",IF(Perfiles_usuario!N76="","No",Perfiles_usuario!N76))</f>
        <v/>
      </c>
      <c r="M550" s="699" t="str">
        <f>IF(Perfiles_usuario!D76=0,"",Perfiles_usuario!P76)</f>
        <v/>
      </c>
      <c r="N550" s="699" t="str">
        <f>IF(Perfiles_usuario!D76=0,"",Perfiles_usuario!R76)</f>
        <v/>
      </c>
      <c r="O550" s="700" t="str">
        <f>IF(Perfiles_usuario!D76=0,"",Perfiles_usuario!V76)</f>
        <v/>
      </c>
      <c r="P550" s="700" t="str">
        <f>IF(Perfiles_usuario!D76=0,"",Perfiles_usuario!X76)</f>
        <v/>
      </c>
      <c r="Q550" s="699" t="str">
        <f>IF(Perfiles_usuario!$D76=0,"",Perfiles_usuario!Z76)</f>
        <v/>
      </c>
      <c r="R550" s="699" t="str">
        <f>IF(Perfiles_usuario!$D76=0,"",Perfiles_usuario!AB76)</f>
        <v/>
      </c>
      <c r="S550" s="700" t="str">
        <f>IF(Perfiles_usuario!$D76=0,"",Perfiles_usuario!AD76)</f>
        <v/>
      </c>
      <c r="T550" s="699" t="str">
        <f>IF(Perfiles_usuario!D76=0,"",Perfiles_usuario!AF76)</f>
        <v/>
      </c>
      <c r="U550" s="701" t="str">
        <f>IF(Perfiles_usuario!D76=0,"",Perfiles_usuario!AH76)</f>
        <v/>
      </c>
      <c r="V550" s="441"/>
    </row>
    <row r="551" spans="2:22" ht="7.15" customHeight="1"/>
    <row r="552" spans="2:22" ht="35.25" customHeight="1">
      <c r="B552" s="2452" t="s">
        <v>721</v>
      </c>
      <c r="C552" s="2453"/>
      <c r="D552" s="702">
        <f>Perfiles_usuario!D79</f>
        <v>0</v>
      </c>
      <c r="E552" s="703">
        <f>Perfiles_usuario!F79</f>
        <v>0</v>
      </c>
      <c r="I552" s="2307" t="s">
        <v>680</v>
      </c>
      <c r="J552" s="2307"/>
      <c r="K552" s="2307"/>
      <c r="L552" s="2307"/>
      <c r="M552" s="2307"/>
      <c r="N552" s="704">
        <f>Perfiles_usuario!R78</f>
        <v>0</v>
      </c>
      <c r="P552" s="2300" t="s">
        <v>803</v>
      </c>
      <c r="S552" s="2300" t="s">
        <v>812</v>
      </c>
      <c r="U552" s="705"/>
    </row>
    <row r="553" spans="2:22" ht="38.25" customHeight="1">
      <c r="B553" s="2454" t="s">
        <v>722</v>
      </c>
      <c r="C553" s="2455"/>
      <c r="D553" s="702">
        <f>Perfiles_usuario!D81</f>
        <v>3</v>
      </c>
      <c r="E553" s="703">
        <f>Perfiles_usuario!F81</f>
        <v>3</v>
      </c>
      <c r="P553" s="2300"/>
      <c r="Q553" s="706"/>
      <c r="R553" s="705"/>
      <c r="S553" s="2306"/>
      <c r="U553" s="705"/>
    </row>
    <row r="554" spans="2:22" ht="25.9" customHeight="1">
      <c r="F554" s="561"/>
      <c r="G554" s="561"/>
      <c r="H554" s="561"/>
      <c r="I554" s="2299"/>
      <c r="J554" s="2299"/>
      <c r="K554" s="2301" t="s">
        <v>802</v>
      </c>
      <c r="L554" s="2301"/>
      <c r="M554" s="2302"/>
      <c r="N554" s="707">
        <f>Perfiles_usuario!R82</f>
        <v>194</v>
      </c>
      <c r="O554" s="708"/>
      <c r="P554" s="709">
        <f>Perfiles_usuario!$X$78</f>
        <v>0.1</v>
      </c>
      <c r="Q554" s="710" t="s">
        <v>804</v>
      </c>
      <c r="R554" s="707">
        <f>Perfiles_usuario!AB82</f>
        <v>174.60000000000002</v>
      </c>
      <c r="S554" s="711">
        <f>Perfiles_usuario!AD78</f>
        <v>0.1</v>
      </c>
      <c r="T554" s="710" t="s">
        <v>805</v>
      </c>
      <c r="U554" s="712">
        <f>Perfiles_usuario!AH82</f>
        <v>155.20000000000005</v>
      </c>
    </row>
    <row r="555" spans="2:22" s="470" customFormat="1" ht="31.5" customHeight="1">
      <c r="B555" s="2273" t="s">
        <v>679</v>
      </c>
      <c r="C555" s="2274"/>
      <c r="D555" s="713">
        <f>SUM(D536:D550)+SUM(D552:D553)</f>
        <v>8</v>
      </c>
      <c r="E555" s="714">
        <f>SUM(E536:E550)+SUM(E552:E553)</f>
        <v>6</v>
      </c>
      <c r="N555" s="2422" t="str">
        <f>IF(Perfiles_usuario!$R$83="Aplica consumo mínimo","Estos totales incluyen la aplicación de consumos mínimos pues el total de facturación estimada no alcanza el mínimo exigido","")</f>
        <v/>
      </c>
      <c r="O555" s="2422"/>
      <c r="P555" s="2422"/>
      <c r="Q555" s="2422"/>
      <c r="R555" s="2422"/>
      <c r="S555" s="2422"/>
      <c r="T555" s="2422"/>
      <c r="U555" s="2422"/>
    </row>
    <row r="556" spans="2:22" ht="33" customHeight="1">
      <c r="B556" s="2465" t="s">
        <v>809</v>
      </c>
      <c r="C556" s="2465"/>
      <c r="D556" s="2465"/>
      <c r="E556" s="2465"/>
      <c r="F556" s="2465"/>
      <c r="G556" s="2465"/>
      <c r="H556" s="2465"/>
      <c r="I556" s="2465"/>
      <c r="J556" s="2465"/>
      <c r="K556" s="2465"/>
      <c r="L556" s="2465"/>
      <c r="M556" s="2465"/>
      <c r="N556" s="2465"/>
      <c r="O556" s="2465"/>
      <c r="P556" s="2465"/>
      <c r="Q556" s="2465"/>
      <c r="R556" s="2465"/>
      <c r="S556" s="2465"/>
      <c r="T556" s="2465"/>
      <c r="U556" s="2465"/>
    </row>
    <row r="557" spans="2:22" ht="15.75">
      <c r="M557" s="476" t="s">
        <v>1807</v>
      </c>
      <c r="R557" s="477" t="s">
        <v>692</v>
      </c>
      <c r="S557" s="478" t="str">
        <f>$E$39</f>
        <v>ILF5_90FCORCP_B114CAGR43006</v>
      </c>
      <c r="T557" s="470"/>
      <c r="U557" s="470"/>
      <c r="V557" s="470"/>
    </row>
    <row r="558" spans="2:22" ht="22.9" customHeight="1">
      <c r="B558" s="522"/>
      <c r="C558" s="628"/>
      <c r="D558" s="561"/>
      <c r="E558" s="561"/>
      <c r="F558" s="561"/>
      <c r="G558" s="586"/>
      <c r="H558" s="586"/>
      <c r="I558" s="586"/>
      <c r="J558" s="586"/>
      <c r="K558" s="587"/>
      <c r="L558" s="587"/>
      <c r="M558" s="587"/>
      <c r="N558" s="587"/>
      <c r="O558" s="587"/>
      <c r="P558" s="587"/>
      <c r="Q558" s="561"/>
      <c r="R558" s="561"/>
      <c r="S558" s="441"/>
      <c r="T558" s="441"/>
      <c r="U558" s="588"/>
      <c r="V558" s="441"/>
    </row>
    <row r="559" spans="2:22" ht="11.45" customHeight="1">
      <c r="B559" s="522"/>
      <c r="C559" s="628"/>
      <c r="D559" s="561"/>
      <c r="E559" s="561"/>
      <c r="F559" s="561"/>
      <c r="G559" s="586"/>
      <c r="H559" s="586"/>
      <c r="I559" s="586"/>
      <c r="J559" s="586"/>
      <c r="K559" s="587"/>
      <c r="L559" s="587"/>
      <c r="M559" s="587"/>
      <c r="N559" s="587"/>
      <c r="O559" s="587"/>
      <c r="P559" s="587"/>
      <c r="Q559" s="561"/>
      <c r="R559" s="561"/>
      <c r="S559" s="441"/>
      <c r="T559" s="441"/>
      <c r="U559" s="588"/>
      <c r="V559" s="441"/>
    </row>
    <row r="560" spans="2:22">
      <c r="H560" s="436" t="s">
        <v>690</v>
      </c>
      <c r="I560" s="420"/>
      <c r="K560" s="420"/>
      <c r="L560" s="437" t="str">
        <f>$B$11</f>
        <v>INMOBILIARIA SERVIGESTION</v>
      </c>
      <c r="S560" s="420"/>
      <c r="T560" s="420"/>
      <c r="V560" s="437"/>
    </row>
    <row r="561" spans="1:22">
      <c r="A561" s="420"/>
      <c r="B561" s="420"/>
      <c r="C561" s="420"/>
      <c r="D561" s="420"/>
      <c r="E561" s="420"/>
      <c r="F561" s="420"/>
      <c r="G561" s="420"/>
      <c r="H561" s="420"/>
      <c r="I561" s="420"/>
      <c r="J561" s="420"/>
      <c r="K561" s="420"/>
      <c r="L561" s="420"/>
      <c r="M561" s="420"/>
      <c r="N561" s="420"/>
      <c r="O561" s="420"/>
      <c r="P561" s="420"/>
      <c r="Q561" s="420"/>
      <c r="R561" s="420"/>
      <c r="S561" s="420"/>
      <c r="T561" s="420"/>
      <c r="U561" s="420"/>
      <c r="V561" s="420"/>
    </row>
    <row r="562" spans="1:22">
      <c r="A562" s="420"/>
      <c r="B562" s="420"/>
      <c r="C562" s="420"/>
      <c r="D562" s="420"/>
      <c r="E562" s="420"/>
      <c r="F562" s="420"/>
      <c r="G562" s="420"/>
      <c r="H562" s="420"/>
      <c r="I562" s="420"/>
      <c r="J562" s="420"/>
      <c r="K562" s="420"/>
      <c r="L562" s="420"/>
      <c r="M562" s="420"/>
      <c r="N562" s="420"/>
      <c r="O562" s="420"/>
      <c r="P562" s="420"/>
      <c r="Q562" s="420"/>
      <c r="R562" s="420"/>
      <c r="S562" s="420"/>
      <c r="T562" s="420"/>
      <c r="U562" s="420"/>
      <c r="V562" s="420"/>
    </row>
    <row r="563" spans="1:22" ht="34.5">
      <c r="A563" s="420"/>
      <c r="B563" s="2268" t="s">
        <v>461</v>
      </c>
      <c r="C563" s="2268"/>
      <c r="D563" s="2268"/>
      <c r="E563" s="2268"/>
      <c r="F563" s="2268"/>
      <c r="G563" s="2268"/>
      <c r="H563" s="2268"/>
      <c r="I563" s="2268"/>
      <c r="J563" s="2268"/>
      <c r="K563" s="2268"/>
      <c r="L563" s="2268"/>
      <c r="M563" s="2268"/>
      <c r="N563" s="2268"/>
      <c r="O563" s="2268"/>
      <c r="P563" s="2268"/>
      <c r="Q563" s="2268"/>
      <c r="R563" s="2268"/>
      <c r="S563" s="2268"/>
      <c r="T563" s="2268"/>
      <c r="U563" s="2268"/>
      <c r="V563" s="420"/>
    </row>
    <row r="564" spans="1:22" ht="22.9" customHeight="1">
      <c r="A564" s="420"/>
      <c r="B564" s="2269" t="s">
        <v>876</v>
      </c>
      <c r="C564" s="2269"/>
      <c r="D564" s="2269"/>
      <c r="E564" s="2269"/>
      <c r="F564" s="2269"/>
      <c r="G564" s="2269"/>
      <c r="H564" s="2269"/>
      <c r="I564" s="2269"/>
      <c r="J564" s="2269"/>
      <c r="K564" s="2269"/>
      <c r="L564" s="2269"/>
      <c r="M564" s="2269"/>
      <c r="N564" s="2269"/>
      <c r="O564" s="2269"/>
      <c r="P564" s="2269"/>
      <c r="Q564" s="2269"/>
      <c r="R564" s="2269"/>
      <c r="S564" s="2269"/>
      <c r="T564" s="2269"/>
      <c r="U564" s="2269"/>
      <c r="V564" s="420"/>
    </row>
    <row r="565" spans="1:22" ht="9.75" customHeight="1">
      <c r="A565" s="420"/>
      <c r="B565" s="427"/>
      <c r="C565" s="427"/>
      <c r="D565" s="427"/>
      <c r="E565" s="427"/>
      <c r="F565" s="427"/>
      <c r="G565" s="427"/>
      <c r="H565" s="427"/>
      <c r="I565" s="427"/>
      <c r="J565" s="427"/>
      <c r="K565" s="427"/>
      <c r="L565" s="427"/>
      <c r="M565" s="427"/>
      <c r="N565" s="427"/>
      <c r="O565" s="427"/>
      <c r="P565" s="427"/>
      <c r="Q565" s="427"/>
      <c r="R565" s="427"/>
      <c r="S565" s="427"/>
      <c r="T565" s="427"/>
      <c r="U565" s="427"/>
      <c r="V565" s="420"/>
    </row>
    <row r="566" spans="1:22" ht="23.25">
      <c r="A566" s="420"/>
      <c r="B566" s="2279" t="s">
        <v>408</v>
      </c>
      <c r="C566" s="2279"/>
      <c r="D566" s="2279"/>
      <c r="E566" s="2279"/>
      <c r="F566" s="2279"/>
      <c r="G566" s="2279"/>
      <c r="H566" s="2279"/>
      <c r="I566" s="2279"/>
      <c r="J566" s="2279"/>
      <c r="K566" s="2279"/>
      <c r="L566" s="2279"/>
      <c r="M566" s="2279"/>
      <c r="N566" s="2279"/>
      <c r="O566" s="2279"/>
      <c r="P566" s="2279"/>
      <c r="Q566" s="2279"/>
      <c r="R566" s="2279"/>
      <c r="S566" s="2279"/>
      <c r="T566" s="2279"/>
      <c r="U566" s="2279"/>
      <c r="V566" s="420"/>
    </row>
    <row r="567" spans="1:22" ht="22.9" customHeight="1">
      <c r="B567" s="2251" t="s">
        <v>466</v>
      </c>
      <c r="C567" s="2251"/>
      <c r="D567" s="2251"/>
      <c r="E567" s="2251"/>
      <c r="F567" s="2251"/>
      <c r="G567" s="2251"/>
      <c r="H567" s="2251"/>
      <c r="I567" s="2251"/>
      <c r="J567" s="2251"/>
      <c r="K567" s="2251"/>
      <c r="L567" s="2251"/>
      <c r="M567" s="2251"/>
      <c r="N567" s="2251"/>
      <c r="O567" s="2251"/>
      <c r="P567" s="2251"/>
      <c r="Q567" s="2251"/>
      <c r="R567" s="2251"/>
      <c r="S567" s="2251"/>
      <c r="T567" s="2251"/>
      <c r="U567" s="2251"/>
      <c r="V567" s="441"/>
    </row>
    <row r="568" spans="1:22" ht="10.9" customHeight="1">
      <c r="B568" s="715"/>
      <c r="C568" s="715"/>
      <c r="D568" s="715"/>
      <c r="E568" s="715"/>
      <c r="F568" s="715"/>
      <c r="G568" s="715"/>
      <c r="H568" s="715"/>
      <c r="I568" s="715"/>
      <c r="J568" s="715"/>
      <c r="K568" s="715"/>
      <c r="L568" s="715"/>
      <c r="M568" s="715"/>
      <c r="N568" s="715"/>
      <c r="O568" s="715"/>
      <c r="P568" s="715"/>
      <c r="Q568" s="715"/>
      <c r="R568" s="715"/>
      <c r="S568" s="715"/>
      <c r="T568" s="715"/>
      <c r="U568" s="715"/>
      <c r="V568" s="441"/>
    </row>
    <row r="569" spans="1:22" ht="42.6" customHeight="1">
      <c r="B569" s="2253" t="s">
        <v>462</v>
      </c>
      <c r="C569" s="2254"/>
      <c r="D569" s="692" t="s">
        <v>463</v>
      </c>
      <c r="E569" s="2254" t="s">
        <v>1012</v>
      </c>
      <c r="F569" s="2254"/>
      <c r="G569" s="2254"/>
      <c r="H569" s="2254"/>
      <c r="I569" s="2254"/>
      <c r="J569" s="2254"/>
      <c r="K569" s="2254" t="s">
        <v>467</v>
      </c>
      <c r="L569" s="2254"/>
      <c r="M569" s="2254" t="s">
        <v>295</v>
      </c>
      <c r="N569" s="2280"/>
      <c r="V569" s="441"/>
    </row>
    <row r="570" spans="1:22" ht="46.9" customHeight="1">
      <c r="B570" s="2294" t="str">
        <f>IF(Perfiles_usuario!B91=0,"",Perfiles_usuario!B91)</f>
        <v/>
      </c>
      <c r="C570" s="2295"/>
      <c r="D570" s="716" t="str">
        <f>IF(Perfiles_usuario!D91=0,"",Perfiles_usuario!D91)</f>
        <v/>
      </c>
      <c r="E570" s="2282" t="str">
        <f>IF(Perfiles_usuario!D91=0,"",Perfiles_usuario!F91)</f>
        <v/>
      </c>
      <c r="F570" s="2282"/>
      <c r="G570" s="2282"/>
      <c r="H570" s="2282"/>
      <c r="I570" s="2282"/>
      <c r="J570" s="2282"/>
      <c r="K570" s="2292" t="str">
        <f>IF(Perfiles_usuario!D91=0,"",Perfiles_usuario!J91)</f>
        <v/>
      </c>
      <c r="L570" s="2292"/>
      <c r="M570" s="2292" t="str">
        <f>IF(Perfiles_usuario!D91=0,"",Perfiles_usuario!L91)</f>
        <v/>
      </c>
      <c r="N570" s="2293"/>
      <c r="O570" s="522"/>
      <c r="P570" s="522"/>
      <c r="Q570" s="522"/>
      <c r="R570" s="522"/>
      <c r="S570" s="522"/>
      <c r="T570" s="522"/>
      <c r="U570" s="522"/>
      <c r="V570" s="441"/>
    </row>
    <row r="571" spans="1:22" ht="46.9" customHeight="1">
      <c r="B571" s="2460" t="str">
        <f>IF(Perfiles_usuario!B93=0,"",Perfiles_usuario!B93)</f>
        <v/>
      </c>
      <c r="C571" s="2461"/>
      <c r="D571" s="717" t="str">
        <f>IF(Perfiles_usuario!D93=0,"",Perfiles_usuario!D93)</f>
        <v/>
      </c>
      <c r="E571" s="2458" t="str">
        <f>IF(Perfiles_usuario!D93=0,"",Perfiles_usuario!F93)</f>
        <v/>
      </c>
      <c r="F571" s="2458"/>
      <c r="G571" s="2458"/>
      <c r="H571" s="2458"/>
      <c r="I571" s="2458"/>
      <c r="J571" s="2458"/>
      <c r="K571" s="2459" t="str">
        <f>IF(Perfiles_usuario!D93=0,"",Perfiles_usuario!J93)</f>
        <v/>
      </c>
      <c r="L571" s="2459"/>
      <c r="M571" s="2459" t="str">
        <f>IF(Perfiles_usuario!D93=0,"",Perfiles_usuario!L93)</f>
        <v/>
      </c>
      <c r="N571" s="2462"/>
      <c r="O571" s="522"/>
      <c r="P571" s="522"/>
      <c r="Q571" s="522"/>
      <c r="R571" s="522"/>
      <c r="S571" s="522"/>
      <c r="T571" s="522"/>
      <c r="U571" s="522"/>
      <c r="V571" s="441"/>
    </row>
    <row r="572" spans="1:22" ht="46.9" customHeight="1">
      <c r="B572" s="2460" t="str">
        <f>IF(Perfiles_usuario!B95=0,"",Perfiles_usuario!B95)</f>
        <v/>
      </c>
      <c r="C572" s="2461"/>
      <c r="D572" s="717" t="str">
        <f>IF(Perfiles_usuario!D95=0,"",Perfiles_usuario!D95)</f>
        <v/>
      </c>
      <c r="E572" s="2458" t="str">
        <f>IF(Perfiles_usuario!D95=0,"",Perfiles_usuario!F95)</f>
        <v/>
      </c>
      <c r="F572" s="2458"/>
      <c r="G572" s="2458"/>
      <c r="H572" s="2458"/>
      <c r="I572" s="2458"/>
      <c r="J572" s="2458"/>
      <c r="K572" s="2459" t="str">
        <f>IF(Perfiles_usuario!D95=0,"",Perfiles_usuario!J95)</f>
        <v/>
      </c>
      <c r="L572" s="2459"/>
      <c r="M572" s="2459" t="str">
        <f>IF(Perfiles_usuario!D95=0,"",Perfiles_usuario!L95)</f>
        <v/>
      </c>
      <c r="N572" s="2462"/>
      <c r="O572" s="522"/>
      <c r="P572" s="522"/>
      <c r="Q572" s="522"/>
      <c r="R572" s="522"/>
      <c r="S572" s="522"/>
      <c r="T572" s="522"/>
      <c r="U572" s="522"/>
      <c r="V572" s="441"/>
    </row>
    <row r="573" spans="1:22" ht="46.9" customHeight="1">
      <c r="B573" s="2460" t="str">
        <f>IF(Perfiles_usuario!B97=0,"",Perfiles_usuario!B97)</f>
        <v/>
      </c>
      <c r="C573" s="2461"/>
      <c r="D573" s="717" t="str">
        <f>IF(Perfiles_usuario!D97=0,"",Perfiles_usuario!D97)</f>
        <v/>
      </c>
      <c r="E573" s="2458" t="str">
        <f>IF(Perfiles_usuario!D97=0,"",Perfiles_usuario!F97)</f>
        <v/>
      </c>
      <c r="F573" s="2458"/>
      <c r="G573" s="2458"/>
      <c r="H573" s="2458"/>
      <c r="I573" s="2458"/>
      <c r="J573" s="2458"/>
      <c r="K573" s="2459" t="str">
        <f>IF(Perfiles_usuario!D97=0,"",Perfiles_usuario!J97)</f>
        <v/>
      </c>
      <c r="L573" s="2459"/>
      <c r="M573" s="2459" t="str">
        <f>IF(Perfiles_usuario!D97=0,"",Perfiles_usuario!L97)</f>
        <v/>
      </c>
      <c r="N573" s="2462"/>
      <c r="O573" s="522"/>
      <c r="P573" s="522"/>
      <c r="Q573" s="522"/>
      <c r="R573" s="522"/>
      <c r="S573" s="522"/>
      <c r="T573" s="522"/>
      <c r="U573" s="522"/>
      <c r="V573" s="441"/>
    </row>
    <row r="574" spans="1:22" ht="46.9" customHeight="1">
      <c r="B574" s="2460" t="str">
        <f>IF(Perfiles_usuario!B99=0,"",Perfiles_usuario!B99)</f>
        <v/>
      </c>
      <c r="C574" s="2461"/>
      <c r="D574" s="717" t="str">
        <f>IF(Perfiles_usuario!D99=0,"",Perfiles_usuario!D99)</f>
        <v/>
      </c>
      <c r="E574" s="2458" t="str">
        <f>IF(Perfiles_usuario!D99=0,"",Perfiles_usuario!F99)</f>
        <v/>
      </c>
      <c r="F574" s="2458"/>
      <c r="G574" s="2458"/>
      <c r="H574" s="2458"/>
      <c r="I574" s="2458"/>
      <c r="J574" s="2458"/>
      <c r="K574" s="2459" t="str">
        <f>IF(Perfiles_usuario!D99=0,"",Perfiles_usuario!J99)</f>
        <v/>
      </c>
      <c r="L574" s="2459"/>
      <c r="M574" s="2459" t="str">
        <f>IF(Perfiles_usuario!D99=0,"",Perfiles_usuario!L99)</f>
        <v/>
      </c>
      <c r="N574" s="2462"/>
      <c r="O574" s="522"/>
      <c r="P574" s="522"/>
      <c r="Q574" s="522"/>
      <c r="R574" s="522"/>
      <c r="S574" s="522"/>
      <c r="T574" s="522"/>
      <c r="U574" s="522"/>
      <c r="V574" s="441"/>
    </row>
    <row r="575" spans="1:22" ht="9.6" customHeight="1">
      <c r="B575" s="2495"/>
      <c r="C575" s="2495"/>
      <c r="D575" s="718"/>
      <c r="E575" s="2495"/>
      <c r="F575" s="2495"/>
      <c r="G575" s="2495"/>
      <c r="H575" s="2495"/>
      <c r="I575" s="2495"/>
      <c r="J575" s="2495"/>
      <c r="K575" s="2495"/>
      <c r="L575" s="2495"/>
      <c r="M575" s="2495"/>
      <c r="N575" s="2495"/>
      <c r="O575" s="561"/>
      <c r="P575" s="522"/>
      <c r="Q575" s="522"/>
      <c r="R575" s="522"/>
      <c r="S575" s="522"/>
      <c r="T575" s="522"/>
      <c r="U575" s="522"/>
      <c r="V575" s="441"/>
    </row>
    <row r="576" spans="1:22" ht="31.15" customHeight="1">
      <c r="B576" s="2273" t="s">
        <v>683</v>
      </c>
      <c r="C576" s="2274"/>
      <c r="D576" s="719">
        <f>SUM(Perfiles_usuario!D91:D99)</f>
        <v>0</v>
      </c>
      <c r="E576" s="522"/>
      <c r="F576" s="522"/>
      <c r="G576" s="522"/>
      <c r="H576" s="522"/>
      <c r="I576" s="522"/>
      <c r="J576" s="522"/>
      <c r="K576" s="2463" t="s">
        <v>295</v>
      </c>
      <c r="L576" s="2464"/>
      <c r="M576" s="2285" t="str">
        <f>IF(Perfiles_usuario!L101=0,"",Perfiles_usuario!L101)</f>
        <v/>
      </c>
      <c r="N576" s="2286"/>
      <c r="O576" s="522"/>
      <c r="P576" s="522"/>
      <c r="Q576" s="522"/>
      <c r="R576" s="522"/>
      <c r="S576" s="522"/>
      <c r="T576" s="522"/>
      <c r="U576" s="522"/>
      <c r="V576" s="441"/>
    </row>
    <row r="577" spans="1:22" ht="22.9" customHeight="1">
      <c r="B577" s="522"/>
      <c r="C577" s="522"/>
      <c r="D577" s="522"/>
      <c r="E577" s="522"/>
      <c r="F577" s="522"/>
      <c r="G577" s="522"/>
      <c r="H577" s="522"/>
      <c r="I577" s="522"/>
      <c r="J577" s="522"/>
      <c r="K577" s="522"/>
      <c r="L577" s="522"/>
      <c r="M577" s="522"/>
      <c r="N577" s="522"/>
      <c r="O577" s="522"/>
      <c r="P577" s="522"/>
      <c r="Q577" s="522"/>
      <c r="R577" s="522"/>
      <c r="S577" s="522"/>
      <c r="T577" s="522"/>
      <c r="U577" s="522"/>
      <c r="V577" s="441"/>
    </row>
    <row r="578" spans="1:22" ht="22.9" customHeight="1">
      <c r="B578" s="522"/>
      <c r="C578" s="628"/>
      <c r="D578" s="561"/>
      <c r="E578" s="561"/>
      <c r="F578" s="561"/>
      <c r="G578" s="586"/>
      <c r="H578" s="586"/>
      <c r="I578" s="586"/>
      <c r="J578" s="586"/>
      <c r="K578" s="587"/>
      <c r="L578" s="587"/>
      <c r="M578" s="587"/>
      <c r="N578" s="587"/>
      <c r="O578" s="587"/>
      <c r="P578" s="587"/>
      <c r="Q578" s="561"/>
      <c r="R578" s="561"/>
      <c r="S578" s="441"/>
      <c r="T578" s="441"/>
      <c r="U578" s="588"/>
      <c r="V578" s="441"/>
    </row>
    <row r="579" spans="1:22" ht="22.9" customHeight="1">
      <c r="B579" s="2251" t="s">
        <v>983</v>
      </c>
      <c r="C579" s="2251"/>
      <c r="D579" s="2251"/>
      <c r="E579" s="2251"/>
      <c r="F579" s="2251"/>
      <c r="G579" s="2251"/>
      <c r="H579" s="2251"/>
      <c r="I579" s="2251"/>
      <c r="J579" s="2251"/>
      <c r="K579" s="2251"/>
      <c r="L579" s="2251"/>
      <c r="M579" s="2251"/>
      <c r="N579" s="2251"/>
      <c r="O579" s="2251"/>
      <c r="P579" s="2251"/>
      <c r="Q579" s="2251"/>
      <c r="R579" s="2251"/>
      <c r="S579" s="2251"/>
      <c r="T579" s="2251"/>
      <c r="U579" s="2251"/>
      <c r="V579" s="441"/>
    </row>
    <row r="580" spans="1:22" ht="22.9" customHeight="1">
      <c r="B580" s="600"/>
      <c r="C580" s="2442"/>
      <c r="D580" s="2442"/>
      <c r="E580" s="2442"/>
      <c r="F580" s="2442"/>
      <c r="G580" s="2442"/>
      <c r="H580" s="2442"/>
      <c r="I580" s="2442"/>
      <c r="J580" s="2442"/>
      <c r="K580" s="601"/>
      <c r="L580" s="601"/>
      <c r="M580" s="601"/>
      <c r="N580" s="601"/>
      <c r="O580" s="601"/>
      <c r="P580" s="601"/>
      <c r="Q580" s="601"/>
      <c r="R580" s="601"/>
      <c r="S580" s="601"/>
      <c r="T580" s="601"/>
      <c r="U580" s="603"/>
      <c r="V580" s="441"/>
    </row>
    <row r="581" spans="1:22" ht="22.9" customHeight="1">
      <c r="B581" s="495"/>
      <c r="C581" s="2290"/>
      <c r="D581" s="2290"/>
      <c r="E581" s="501"/>
      <c r="F581" s="501"/>
      <c r="G581" s="501"/>
      <c r="H581" s="501"/>
      <c r="I581" s="501"/>
      <c r="J581" s="501"/>
      <c r="K581" s="501"/>
      <c r="L581" s="501"/>
      <c r="M581" s="501"/>
      <c r="N581" s="501"/>
      <c r="O581" s="479"/>
      <c r="P581" s="479"/>
      <c r="Q581" s="501"/>
      <c r="R581" s="501"/>
      <c r="S581" s="501"/>
      <c r="T581" s="501"/>
      <c r="U581" s="502"/>
      <c r="V581" s="441"/>
    </row>
    <row r="582" spans="1:22" ht="22.9" customHeight="1">
      <c r="B582" s="466"/>
      <c r="C582" s="2290" t="s">
        <v>759</v>
      </c>
      <c r="D582" s="2290"/>
      <c r="E582" s="2290" t="s">
        <v>399</v>
      </c>
      <c r="F582" s="2290"/>
      <c r="G582" s="2290"/>
      <c r="H582" s="2290"/>
      <c r="I582" s="2290"/>
      <c r="J582" s="2290"/>
      <c r="K582" s="720"/>
      <c r="L582" s="720"/>
      <c r="M582" s="2290" t="s">
        <v>1867</v>
      </c>
      <c r="N582" s="2290"/>
      <c r="O582" s="2290"/>
      <c r="P582" s="2290"/>
      <c r="Q582" s="2290"/>
      <c r="R582" s="2290"/>
      <c r="S582" s="2290"/>
      <c r="T582" s="2290"/>
      <c r="U582" s="721"/>
      <c r="V582" s="441"/>
    </row>
    <row r="583" spans="1:22" ht="65.45" customHeight="1">
      <c r="B583" s="466"/>
      <c r="C583" s="2275" t="s">
        <v>984</v>
      </c>
      <c r="D583" s="2275"/>
      <c r="E583" s="2275"/>
      <c r="F583" s="2275"/>
      <c r="G583" s="2275"/>
      <c r="H583" s="2275"/>
      <c r="I583" s="2275"/>
      <c r="J583" s="2275"/>
      <c r="K583" s="501"/>
      <c r="L583" s="501"/>
      <c r="M583" s="2275" t="s">
        <v>1216</v>
      </c>
      <c r="N583" s="2275"/>
      <c r="O583" s="2275"/>
      <c r="P583" s="2275"/>
      <c r="Q583" s="2275"/>
      <c r="R583" s="2275"/>
      <c r="S583" s="2275"/>
      <c r="T583" s="2275"/>
      <c r="U583" s="502"/>
      <c r="V583" s="441"/>
    </row>
    <row r="584" spans="1:22" ht="22.9" customHeight="1">
      <c r="B584" s="496"/>
      <c r="C584" s="441"/>
      <c r="D584" s="524" t="s">
        <v>491</v>
      </c>
      <c r="E584" s="499"/>
      <c r="F584" s="499"/>
      <c r="G584" s="499"/>
      <c r="H584" s="499"/>
      <c r="I584" s="499"/>
      <c r="J584" s="523">
        <v>35</v>
      </c>
      <c r="K584" s="499"/>
      <c r="L584" s="499"/>
      <c r="M584" s="492"/>
      <c r="N584" s="524" t="s">
        <v>491</v>
      </c>
      <c r="O584" s="499"/>
      <c r="P584" s="524"/>
      <c r="Q584" s="441"/>
      <c r="R584" s="499"/>
      <c r="S584" s="728">
        <v>7.35</v>
      </c>
      <c r="T584" s="492"/>
      <c r="U584" s="722"/>
      <c r="V584" s="441"/>
    </row>
    <row r="585" spans="1:22" ht="22.9" customHeight="1">
      <c r="B585" s="500"/>
      <c r="C585" s="499"/>
      <c r="D585" s="499"/>
      <c r="E585" s="499"/>
      <c r="F585" s="499"/>
      <c r="G585" s="499"/>
      <c r="H585" s="499"/>
      <c r="I585" s="499"/>
      <c r="J585" s="499"/>
      <c r="K585" s="499"/>
      <c r="L585" s="499"/>
      <c r="M585" s="499"/>
      <c r="N585" s="723"/>
      <c r="O585" s="724"/>
      <c r="P585" s="725"/>
      <c r="Q585" s="499"/>
      <c r="R585" s="503"/>
      <c r="S585" s="503"/>
      <c r="T585" s="503"/>
      <c r="U585" s="726"/>
      <c r="V585" s="441"/>
    </row>
    <row r="586" spans="1:22" ht="22.9" customHeight="1">
      <c r="B586" s="727"/>
      <c r="C586" s="2290" t="s">
        <v>1213</v>
      </c>
      <c r="D586" s="2290"/>
      <c r="E586" s="2290" t="s">
        <v>399</v>
      </c>
      <c r="F586" s="2290"/>
      <c r="G586" s="2290"/>
      <c r="H586" s="2290"/>
      <c r="I586" s="2290"/>
      <c r="J586" s="2290"/>
      <c r="K586" s="720"/>
      <c r="L586" s="720"/>
      <c r="M586" s="2467" t="s">
        <v>1078</v>
      </c>
      <c r="N586" s="2467"/>
      <c r="O586" s="2467"/>
      <c r="P586" s="2467"/>
      <c r="Q586" s="2467"/>
      <c r="R586" s="2467"/>
      <c r="S586" s="2467"/>
      <c r="T586" s="2467"/>
      <c r="U586" s="721"/>
      <c r="V586" s="441"/>
    </row>
    <row r="587" spans="1:22" ht="90" customHeight="1">
      <c r="B587" s="466"/>
      <c r="C587" s="2275" t="s">
        <v>1214</v>
      </c>
      <c r="D587" s="2275"/>
      <c r="E587" s="2275"/>
      <c r="F587" s="2275"/>
      <c r="G587" s="2275"/>
      <c r="H587" s="2275"/>
      <c r="I587" s="2275"/>
      <c r="J587" s="2275"/>
      <c r="K587" s="501"/>
      <c r="L587" s="501"/>
      <c r="M587" s="2276" t="s">
        <v>1974</v>
      </c>
      <c r="N587" s="2277"/>
      <c r="O587" s="2277"/>
      <c r="P587" s="2277"/>
      <c r="Q587" s="2277"/>
      <c r="R587" s="2277"/>
      <c r="S587" s="2277"/>
      <c r="T587" s="2278"/>
      <c r="U587" s="502"/>
      <c r="V587" s="441"/>
    </row>
    <row r="588" spans="1:22" ht="22.9" customHeight="1">
      <c r="B588" s="496"/>
      <c r="C588" s="441"/>
      <c r="D588" s="524" t="s">
        <v>491</v>
      </c>
      <c r="E588" s="499"/>
      <c r="F588" s="499"/>
      <c r="G588" s="499"/>
      <c r="H588" s="499"/>
      <c r="I588" s="499"/>
      <c r="J588" s="728">
        <v>20.619834710743802</v>
      </c>
      <c r="K588" s="499"/>
      <c r="L588" s="499"/>
      <c r="M588" s="561"/>
      <c r="N588" s="524" t="s">
        <v>491</v>
      </c>
      <c r="O588" s="586"/>
      <c r="P588" s="586"/>
      <c r="Q588" s="441"/>
      <c r="S588" s="728">
        <v>53.64</v>
      </c>
      <c r="T588" s="441"/>
      <c r="U588" s="722"/>
      <c r="V588" s="441"/>
    </row>
    <row r="589" spans="1:22" ht="22.9" customHeight="1">
      <c r="B589" s="515"/>
      <c r="C589" s="488"/>
      <c r="D589" s="516"/>
      <c r="E589" s="517"/>
      <c r="F589" s="517"/>
      <c r="G589" s="517"/>
      <c r="H589" s="517"/>
      <c r="I589" s="517"/>
      <c r="J589" s="518"/>
      <c r="K589" s="517"/>
      <c r="L589" s="517"/>
      <c r="M589" s="517"/>
      <c r="N589" s="516"/>
      <c r="O589" s="517"/>
      <c r="P589" s="516"/>
      <c r="Q589" s="488"/>
      <c r="R589" s="517"/>
      <c r="S589" s="518"/>
      <c r="T589" s="518"/>
      <c r="U589" s="519"/>
      <c r="V589" s="441"/>
    </row>
    <row r="590" spans="1:22" ht="22.9" customHeight="1">
      <c r="B590" s="520" t="s">
        <v>699</v>
      </c>
      <c r="C590" s="441"/>
      <c r="D590" s="480"/>
      <c r="E590" s="499"/>
      <c r="F590" s="499"/>
      <c r="G590" s="499"/>
      <c r="H590" s="499"/>
      <c r="I590" s="499"/>
      <c r="J590" s="523"/>
      <c r="K590" s="499"/>
      <c r="L590" s="499"/>
      <c r="M590" s="524"/>
      <c r="O590" s="499"/>
      <c r="P590" s="524"/>
      <c r="Q590" s="524"/>
      <c r="R590" s="499"/>
      <c r="S590" s="523"/>
      <c r="T590" s="523"/>
      <c r="U590" s="499"/>
      <c r="V590" s="441"/>
    </row>
    <row r="591" spans="1:22" ht="22.9" customHeight="1">
      <c r="A591" s="441"/>
      <c r="B591" s="524"/>
      <c r="C591" s="441"/>
      <c r="D591" s="480"/>
      <c r="E591" s="499"/>
      <c r="F591" s="499"/>
      <c r="G591" s="470"/>
      <c r="H591" s="470"/>
      <c r="I591" s="470"/>
      <c r="J591" s="470"/>
      <c r="K591" s="470"/>
      <c r="L591" s="470"/>
      <c r="M591" s="470"/>
      <c r="N591" s="470"/>
      <c r="O591" s="470"/>
      <c r="P591" s="470"/>
      <c r="Q591" s="524"/>
      <c r="R591" s="499"/>
      <c r="S591" s="523"/>
      <c r="T591" s="523"/>
      <c r="U591" s="499"/>
      <c r="V591" s="441"/>
    </row>
    <row r="592" spans="1:22" ht="22.9" customHeight="1">
      <c r="A592" s="441"/>
      <c r="B592" s="2287" t="s">
        <v>985</v>
      </c>
      <c r="C592" s="2287"/>
      <c r="D592" s="2287"/>
      <c r="E592" s="2287"/>
      <c r="F592" s="2287"/>
      <c r="G592" s="2287"/>
      <c r="H592" s="2287"/>
      <c r="I592" s="2287"/>
      <c r="J592" s="2287"/>
      <c r="K592" s="2287"/>
      <c r="L592" s="2287"/>
      <c r="M592" s="2287"/>
      <c r="N592" s="2287"/>
      <c r="O592" s="2287"/>
      <c r="P592" s="2287"/>
      <c r="Q592" s="2287"/>
      <c r="R592" s="2287"/>
      <c r="S592" s="2287"/>
      <c r="T592" s="2287"/>
      <c r="U592" s="2287"/>
      <c r="V592" s="441"/>
    </row>
    <row r="593" spans="1:16384" ht="22.9" customHeight="1">
      <c r="A593" s="441"/>
      <c r="B593" s="1197"/>
      <c r="C593" s="1195"/>
      <c r="D593" s="1195"/>
      <c r="E593" s="1195"/>
      <c r="F593" s="1195"/>
      <c r="G593" s="1195"/>
      <c r="H593" s="1195"/>
      <c r="I593" s="1195"/>
      <c r="J593" s="1195"/>
      <c r="K593" s="1195"/>
      <c r="L593" s="601"/>
      <c r="M593" s="1195"/>
      <c r="N593" s="1195"/>
      <c r="O593" s="1195"/>
      <c r="P593" s="1195"/>
      <c r="Q593" s="1195"/>
      <c r="R593" s="1195"/>
      <c r="S593" s="1195"/>
      <c r="T593" s="1195"/>
      <c r="U593" s="603"/>
      <c r="V593" s="441"/>
    </row>
    <row r="594" spans="1:16384" ht="22.9" customHeight="1">
      <c r="A594" s="441"/>
      <c r="B594" s="495"/>
      <c r="H594" s="2291" t="s">
        <v>1079</v>
      </c>
      <c r="I594" s="2291"/>
      <c r="J594" s="2291"/>
      <c r="K594" s="2291"/>
      <c r="L594" s="2291"/>
      <c r="M594" s="2291"/>
      <c r="N594" s="2291"/>
      <c r="O594" s="2291"/>
      <c r="U594" s="502"/>
      <c r="V594" s="441"/>
    </row>
    <row r="595" spans="1:16384" ht="66.599999999999994" customHeight="1">
      <c r="A595" s="441"/>
      <c r="B595" s="466"/>
      <c r="H595" s="2275" t="s">
        <v>1967</v>
      </c>
      <c r="I595" s="2275"/>
      <c r="J595" s="2275"/>
      <c r="K595" s="2275"/>
      <c r="L595" s="2275"/>
      <c r="M595" s="2275"/>
      <c r="N595" s="2275"/>
      <c r="O595" s="2275"/>
      <c r="U595" s="721"/>
      <c r="V595" s="441"/>
    </row>
    <row r="596" spans="1:16384" ht="22.9" customHeight="1">
      <c r="B596" s="466"/>
      <c r="C596" s="808"/>
      <c r="E596" s="561"/>
      <c r="F596" s="561"/>
      <c r="G596" s="586"/>
      <c r="H596" s="524" t="s">
        <v>491</v>
      </c>
      <c r="I596" s="441"/>
      <c r="K596" s="587"/>
      <c r="L596" s="587"/>
      <c r="N596" s="728">
        <v>33.020000000000003</v>
      </c>
      <c r="U596" s="502"/>
      <c r="V596" s="441"/>
    </row>
    <row r="597" spans="1:16384" ht="22.9" customHeight="1">
      <c r="B597" s="515"/>
      <c r="C597" s="488"/>
      <c r="D597" s="488"/>
      <c r="E597" s="488"/>
      <c r="F597" s="488"/>
      <c r="G597" s="488"/>
      <c r="H597" s="488"/>
      <c r="I597" s="488"/>
      <c r="J597" s="488"/>
      <c r="K597" s="488"/>
      <c r="L597" s="488"/>
      <c r="M597" s="488"/>
      <c r="N597" s="488"/>
      <c r="O597" s="488"/>
      <c r="P597" s="488"/>
      <c r="Q597" s="488"/>
      <c r="R597" s="488"/>
      <c r="S597" s="488"/>
      <c r="T597" s="488"/>
      <c r="U597" s="519"/>
      <c r="V597" s="441"/>
    </row>
    <row r="598" spans="1:16384" ht="22.9" customHeight="1">
      <c r="B598" s="520" t="s">
        <v>699</v>
      </c>
      <c r="C598" s="628"/>
      <c r="D598" s="561"/>
      <c r="E598" s="561"/>
      <c r="F598" s="561"/>
      <c r="G598" s="586"/>
      <c r="H598" s="586"/>
      <c r="I598" s="586"/>
      <c r="J598" s="586"/>
      <c r="K598" s="587"/>
      <c r="L598" s="587"/>
      <c r="M598" s="476" t="s">
        <v>1808</v>
      </c>
      <c r="N598" s="587"/>
      <c r="O598" s="587"/>
      <c r="P598" s="587"/>
      <c r="Q598" s="561"/>
      <c r="R598" s="477" t="s">
        <v>692</v>
      </c>
      <c r="S598" s="478" t="str">
        <f>$E$39</f>
        <v>ILF5_90FCORCP_B114CAGR43006</v>
      </c>
      <c r="T598" s="441"/>
      <c r="U598" s="588"/>
      <c r="V598" s="441"/>
    </row>
    <row r="599" spans="1:16384" ht="16.899999999999999" customHeight="1">
      <c r="B599" s="522"/>
      <c r="C599" s="585"/>
      <c r="D599" s="584"/>
      <c r="E599" s="584"/>
      <c r="F599" s="584"/>
      <c r="G599" s="586"/>
      <c r="H599" s="436"/>
      <c r="I599" s="420"/>
      <c r="K599" s="420"/>
      <c r="L599" s="437"/>
      <c r="M599" s="587"/>
      <c r="N599" s="587"/>
      <c r="O599" s="587"/>
      <c r="P599" s="587"/>
      <c r="Q599" s="561"/>
      <c r="R599" s="561"/>
      <c r="S599" s="441"/>
      <c r="T599" s="441"/>
      <c r="U599" s="588"/>
      <c r="V599" s="584"/>
      <c r="W599" s="584"/>
      <c r="X599" s="584"/>
      <c r="Y599" s="584"/>
      <c r="Z599" s="584"/>
      <c r="AA599" s="584"/>
      <c r="AB599" s="584"/>
      <c r="AC599" s="584"/>
      <c r="AD599" s="584"/>
      <c r="AE599" s="584"/>
      <c r="AF599" s="584"/>
      <c r="AG599" s="584"/>
      <c r="AH599" s="584"/>
      <c r="AI599" s="584"/>
      <c r="AJ599" s="584"/>
      <c r="AK599" s="584"/>
      <c r="AL599" s="584"/>
      <c r="AM599" s="584"/>
      <c r="AN599" s="584"/>
      <c r="AO599" s="584"/>
      <c r="AP599" s="584"/>
      <c r="AQ599" s="584"/>
      <c r="AR599" s="584"/>
      <c r="AS599" s="584"/>
      <c r="AT599" s="584"/>
      <c r="AU599" s="584"/>
      <c r="AV599" s="584"/>
      <c r="AW599" s="584"/>
      <c r="AX599" s="584"/>
      <c r="AY599" s="584"/>
      <c r="AZ599" s="584"/>
      <c r="BA599" s="584"/>
      <c r="BB599" s="584"/>
      <c r="BC599" s="584"/>
      <c r="BD599" s="584"/>
      <c r="BE599" s="584"/>
      <c r="BF599" s="584"/>
      <c r="BG599" s="584"/>
      <c r="BH599" s="584"/>
      <c r="BI599" s="584"/>
      <c r="BJ599" s="584"/>
      <c r="BK599" s="584"/>
      <c r="BL599" s="584"/>
      <c r="BM599" s="584"/>
      <c r="BN599" s="584"/>
      <c r="BO599" s="584"/>
      <c r="BP599" s="584"/>
      <c r="BQ599" s="584"/>
      <c r="BR599" s="584"/>
      <c r="BS599" s="584"/>
      <c r="BT599" s="584"/>
      <c r="BU599" s="584"/>
      <c r="BV599" s="584"/>
      <c r="BW599" s="584"/>
      <c r="BX599" s="584"/>
      <c r="BY599" s="584"/>
      <c r="BZ599" s="584"/>
      <c r="CA599" s="584"/>
      <c r="CB599" s="584"/>
      <c r="CC599" s="584"/>
      <c r="CD599" s="584"/>
      <c r="CE599" s="584"/>
      <c r="CF599" s="584"/>
      <c r="CG599" s="584"/>
      <c r="CH599" s="584"/>
      <c r="CI599" s="584"/>
      <c r="CJ599" s="584"/>
      <c r="CK599" s="584"/>
      <c r="CL599" s="584"/>
      <c r="CM599" s="584"/>
      <c r="CN599" s="584"/>
      <c r="CO599" s="584"/>
      <c r="CP599" s="584"/>
      <c r="CQ599" s="584"/>
      <c r="CR599" s="584"/>
      <c r="CS599" s="584"/>
      <c r="CT599" s="584"/>
      <c r="CU599" s="584"/>
      <c r="CV599" s="584"/>
      <c r="CW599" s="584"/>
      <c r="CX599" s="584"/>
      <c r="CY599" s="584"/>
      <c r="CZ599" s="584"/>
      <c r="DA599" s="584"/>
      <c r="DB599" s="584"/>
      <c r="DC599" s="584"/>
      <c r="DD599" s="584"/>
      <c r="DE599" s="584"/>
      <c r="DF599" s="584"/>
      <c r="DG599" s="584"/>
      <c r="DH599" s="584"/>
      <c r="DI599" s="584"/>
      <c r="DJ599" s="584"/>
      <c r="DK599" s="584"/>
      <c r="DL599" s="584"/>
      <c r="DM599" s="584"/>
      <c r="DN599" s="584"/>
      <c r="DO599" s="584"/>
      <c r="DP599" s="584"/>
      <c r="DQ599" s="584"/>
      <c r="DR599" s="584"/>
      <c r="DS599" s="584"/>
      <c r="DT599" s="584"/>
      <c r="DU599" s="584"/>
      <c r="DV599" s="584"/>
      <c r="DW599" s="584"/>
      <c r="DX599" s="584"/>
      <c r="DY599" s="584"/>
      <c r="DZ599" s="584"/>
      <c r="EA599" s="584"/>
      <c r="EB599" s="584"/>
      <c r="EC599" s="584"/>
      <c r="ED599" s="584"/>
      <c r="EE599" s="584"/>
      <c r="EF599" s="584"/>
      <c r="EG599" s="584"/>
      <c r="EH599" s="584"/>
      <c r="EI599" s="584"/>
      <c r="EJ599" s="584"/>
      <c r="EK599" s="584"/>
      <c r="EL599" s="584"/>
      <c r="EM599" s="584"/>
      <c r="EN599" s="584"/>
      <c r="EO599" s="584"/>
      <c r="EP599" s="584"/>
      <c r="EQ599" s="584"/>
      <c r="ER599" s="584"/>
      <c r="ES599" s="584"/>
      <c r="ET599" s="584"/>
      <c r="EU599" s="584"/>
      <c r="EV599" s="584"/>
      <c r="EW599" s="584"/>
      <c r="EX599" s="584"/>
      <c r="EY599" s="584"/>
      <c r="EZ599" s="584"/>
      <c r="FA599" s="584"/>
      <c r="FB599" s="584"/>
      <c r="FC599" s="584"/>
      <c r="FD599" s="584"/>
      <c r="FE599" s="584"/>
      <c r="FF599" s="584"/>
      <c r="FG599" s="584"/>
      <c r="FH599" s="584"/>
      <c r="FI599" s="584"/>
      <c r="FJ599" s="584"/>
      <c r="FK599" s="584"/>
      <c r="FL599" s="584"/>
      <c r="FM599" s="584"/>
      <c r="FN599" s="584"/>
      <c r="FO599" s="584"/>
      <c r="FP599" s="584"/>
      <c r="FQ599" s="584"/>
      <c r="FR599" s="584"/>
      <c r="FS599" s="584"/>
      <c r="FT599" s="584"/>
      <c r="FU599" s="584"/>
      <c r="FV599" s="584"/>
      <c r="FW599" s="584"/>
      <c r="FX599" s="584"/>
      <c r="FY599" s="584"/>
      <c r="FZ599" s="584"/>
      <c r="GA599" s="584"/>
      <c r="GB599" s="584"/>
      <c r="GC599" s="584"/>
      <c r="GD599" s="584"/>
      <c r="GE599" s="584"/>
      <c r="GF599" s="584"/>
      <c r="GG599" s="584"/>
      <c r="GH599" s="584"/>
      <c r="GI599" s="584"/>
      <c r="GJ599" s="584"/>
      <c r="GK599" s="584"/>
      <c r="GL599" s="584"/>
      <c r="GM599" s="584"/>
      <c r="GN599" s="584"/>
      <c r="GO599" s="584"/>
      <c r="GP599" s="584"/>
      <c r="GQ599" s="584"/>
      <c r="GR599" s="584"/>
      <c r="GS599" s="584"/>
      <c r="GT599" s="584"/>
      <c r="GU599" s="584"/>
      <c r="GV599" s="584"/>
      <c r="GW599" s="584"/>
      <c r="GX599" s="584"/>
      <c r="GY599" s="584"/>
      <c r="GZ599" s="584"/>
      <c r="HA599" s="584"/>
      <c r="HB599" s="584"/>
      <c r="HC599" s="584"/>
      <c r="HD599" s="584"/>
      <c r="HE599" s="584"/>
      <c r="HF599" s="584"/>
      <c r="HG599" s="584"/>
      <c r="HH599" s="584"/>
      <c r="HI599" s="584"/>
      <c r="HJ599" s="584"/>
      <c r="HK599" s="584"/>
      <c r="HL599" s="584"/>
      <c r="HM599" s="584"/>
      <c r="HN599" s="584"/>
      <c r="HO599" s="584"/>
      <c r="HP599" s="584"/>
      <c r="HQ599" s="584"/>
      <c r="HR599" s="584"/>
      <c r="HS599" s="584"/>
      <c r="HT599" s="584"/>
      <c r="HU599" s="584"/>
      <c r="HV599" s="584"/>
      <c r="HW599" s="584"/>
      <c r="HX599" s="584"/>
      <c r="HY599" s="584"/>
      <c r="HZ599" s="584"/>
      <c r="IA599" s="584"/>
      <c r="IB599" s="584"/>
      <c r="IC599" s="584"/>
      <c r="ID599" s="584"/>
      <c r="IE599" s="584"/>
      <c r="IF599" s="584"/>
      <c r="IG599" s="584"/>
      <c r="IH599" s="584"/>
      <c r="II599" s="584"/>
      <c r="IJ599" s="584"/>
      <c r="IK599" s="584"/>
      <c r="IL599" s="584"/>
      <c r="IM599" s="584"/>
      <c r="IN599" s="584"/>
      <c r="IO599" s="584"/>
      <c r="IP599" s="584"/>
      <c r="IQ599" s="584"/>
      <c r="IR599" s="584"/>
      <c r="IS599" s="584"/>
      <c r="IT599" s="584"/>
      <c r="IU599" s="584"/>
      <c r="IV599" s="584"/>
      <c r="IW599" s="584"/>
      <c r="IX599" s="584"/>
      <c r="IY599" s="584"/>
      <c r="IZ599" s="584"/>
      <c r="JA599" s="584"/>
      <c r="JB599" s="584"/>
      <c r="JC599" s="584"/>
      <c r="JD599" s="584"/>
      <c r="JE599" s="584"/>
      <c r="JF599" s="584"/>
      <c r="JG599" s="584"/>
      <c r="JH599" s="584"/>
      <c r="JI599" s="584"/>
      <c r="JJ599" s="584"/>
      <c r="JK599" s="584"/>
      <c r="JL599" s="584"/>
      <c r="JM599" s="584"/>
      <c r="JN599" s="584"/>
      <c r="JO599" s="584"/>
      <c r="JP599" s="584"/>
      <c r="JQ599" s="584"/>
      <c r="JR599" s="584"/>
      <c r="JS599" s="584"/>
      <c r="JT599" s="584"/>
      <c r="JU599" s="584"/>
      <c r="JV599" s="584"/>
      <c r="JW599" s="584"/>
      <c r="JX599" s="584"/>
      <c r="JY599" s="584"/>
      <c r="JZ599" s="584"/>
      <c r="KA599" s="584"/>
      <c r="KB599" s="584"/>
      <c r="KC599" s="584"/>
      <c r="KD599" s="584"/>
      <c r="KE599" s="584"/>
      <c r="KF599" s="584"/>
      <c r="KG599" s="584"/>
      <c r="KH599" s="584"/>
      <c r="KI599" s="584"/>
      <c r="KJ599" s="584"/>
      <c r="KK599" s="584"/>
      <c r="KL599" s="584"/>
      <c r="KM599" s="584"/>
      <c r="KN599" s="584"/>
      <c r="KO599" s="584"/>
      <c r="KP599" s="584"/>
      <c r="KQ599" s="584"/>
      <c r="KR599" s="584"/>
      <c r="KS599" s="584"/>
      <c r="KT599" s="584"/>
      <c r="KU599" s="584"/>
      <c r="KV599" s="584"/>
      <c r="KW599" s="584"/>
      <c r="KX599" s="584"/>
      <c r="KY599" s="584"/>
      <c r="KZ599" s="584"/>
      <c r="LA599" s="584"/>
      <c r="LB599" s="584"/>
      <c r="LC599" s="584"/>
      <c r="LD599" s="584"/>
      <c r="LE599" s="584"/>
      <c r="LF599" s="584"/>
      <c r="LG599" s="584"/>
      <c r="LH599" s="584"/>
      <c r="LI599" s="584"/>
      <c r="LJ599" s="584"/>
      <c r="LK599" s="584"/>
      <c r="LL599" s="584"/>
      <c r="LM599" s="584"/>
      <c r="LN599" s="584"/>
      <c r="LO599" s="584"/>
      <c r="LP599" s="584"/>
      <c r="LQ599" s="584"/>
      <c r="LR599" s="584"/>
      <c r="LS599" s="584"/>
      <c r="LT599" s="584"/>
      <c r="LU599" s="584"/>
      <c r="LV599" s="584"/>
      <c r="LW599" s="584"/>
      <c r="LX599" s="584"/>
      <c r="LY599" s="584"/>
      <c r="LZ599" s="584"/>
      <c r="MA599" s="584"/>
      <c r="MB599" s="584"/>
      <c r="MC599" s="584"/>
      <c r="MD599" s="584"/>
      <c r="ME599" s="584"/>
      <c r="MF599" s="584"/>
      <c r="MG599" s="584"/>
      <c r="MH599" s="584"/>
      <c r="MI599" s="584"/>
      <c r="MJ599" s="584"/>
      <c r="MK599" s="584"/>
      <c r="ML599" s="584"/>
      <c r="MM599" s="584"/>
      <c r="MN599" s="584"/>
      <c r="MO599" s="584"/>
      <c r="MP599" s="584"/>
      <c r="MQ599" s="584"/>
      <c r="MR599" s="584"/>
      <c r="MS599" s="584"/>
      <c r="MT599" s="584"/>
      <c r="MU599" s="584"/>
      <c r="MV599" s="584"/>
      <c r="MW599" s="584"/>
      <c r="MX599" s="584"/>
      <c r="MY599" s="584"/>
      <c r="MZ599" s="584"/>
      <c r="NA599" s="584"/>
      <c r="NB599" s="584"/>
      <c r="NC599" s="584"/>
      <c r="ND599" s="584"/>
      <c r="NE599" s="584"/>
      <c r="NF599" s="584"/>
      <c r="NG599" s="584"/>
      <c r="NH599" s="584"/>
      <c r="NI599" s="584"/>
      <c r="NJ599" s="584"/>
      <c r="NK599" s="584"/>
      <c r="NL599" s="584"/>
      <c r="NM599" s="584"/>
      <c r="NN599" s="584"/>
      <c r="NO599" s="584"/>
      <c r="NP599" s="584"/>
      <c r="NQ599" s="584"/>
      <c r="NR599" s="584"/>
      <c r="NS599" s="584"/>
      <c r="NT599" s="584"/>
      <c r="NU599" s="584"/>
      <c r="NV599" s="584"/>
      <c r="NW599" s="584"/>
      <c r="NX599" s="584"/>
      <c r="NY599" s="584"/>
      <c r="NZ599" s="584"/>
      <c r="OA599" s="584"/>
      <c r="OB599" s="584"/>
      <c r="OC599" s="584"/>
      <c r="OD599" s="584"/>
      <c r="OE599" s="584"/>
      <c r="OF599" s="584"/>
      <c r="OG599" s="584"/>
      <c r="OH599" s="584"/>
      <c r="OI599" s="584"/>
      <c r="OJ599" s="584"/>
      <c r="OK599" s="584"/>
      <c r="OL599" s="584"/>
      <c r="OM599" s="584"/>
      <c r="ON599" s="584"/>
      <c r="OO599" s="584"/>
      <c r="OP599" s="584"/>
      <c r="OQ599" s="584"/>
      <c r="OR599" s="584"/>
      <c r="OS599" s="584"/>
      <c r="OT599" s="584"/>
      <c r="OU599" s="584"/>
      <c r="OV599" s="584"/>
      <c r="OW599" s="584"/>
      <c r="OX599" s="584"/>
      <c r="OY599" s="584"/>
      <c r="OZ599" s="584"/>
      <c r="PA599" s="584"/>
      <c r="PB599" s="584"/>
      <c r="PC599" s="584"/>
      <c r="PD599" s="584"/>
      <c r="PE599" s="584"/>
      <c r="PF599" s="584"/>
      <c r="PG599" s="584"/>
      <c r="PH599" s="584"/>
      <c r="PI599" s="584"/>
      <c r="PJ599" s="584"/>
      <c r="PK599" s="584"/>
      <c r="PL599" s="584"/>
      <c r="PM599" s="584"/>
      <c r="PN599" s="584"/>
      <c r="PO599" s="584"/>
      <c r="PP599" s="584"/>
      <c r="PQ599" s="584"/>
      <c r="PR599" s="584"/>
      <c r="PS599" s="584"/>
      <c r="PT599" s="584"/>
      <c r="PU599" s="584"/>
      <c r="PV599" s="584"/>
      <c r="PW599" s="584"/>
      <c r="PX599" s="584"/>
      <c r="PY599" s="584"/>
      <c r="PZ599" s="584"/>
      <c r="QA599" s="584"/>
      <c r="QB599" s="584"/>
      <c r="QC599" s="584"/>
      <c r="QD599" s="584"/>
      <c r="QE599" s="584"/>
      <c r="QF599" s="584"/>
      <c r="QG599" s="584"/>
      <c r="QH599" s="584"/>
      <c r="QI599" s="584"/>
      <c r="QJ599" s="584"/>
      <c r="QK599" s="584"/>
      <c r="QL599" s="584"/>
      <c r="QM599" s="584"/>
      <c r="QN599" s="584"/>
      <c r="QO599" s="584"/>
      <c r="QP599" s="584"/>
      <c r="QQ599" s="584"/>
      <c r="QR599" s="584"/>
      <c r="QS599" s="584"/>
      <c r="QT599" s="584"/>
      <c r="QU599" s="584"/>
      <c r="QV599" s="584"/>
      <c r="QW599" s="584"/>
      <c r="QX599" s="584"/>
      <c r="QY599" s="584"/>
      <c r="QZ599" s="584"/>
      <c r="RA599" s="584"/>
      <c r="RB599" s="584"/>
      <c r="RC599" s="584"/>
      <c r="RD599" s="584"/>
      <c r="RE599" s="584"/>
      <c r="RF599" s="584"/>
      <c r="RG599" s="584"/>
      <c r="RH599" s="584"/>
      <c r="RI599" s="584"/>
      <c r="RJ599" s="584"/>
      <c r="RK599" s="584"/>
      <c r="RL599" s="584"/>
      <c r="RM599" s="584"/>
      <c r="RN599" s="584"/>
      <c r="RO599" s="584"/>
      <c r="RP599" s="584"/>
      <c r="RQ599" s="584"/>
      <c r="RR599" s="584"/>
      <c r="RS599" s="584"/>
      <c r="RT599" s="584"/>
      <c r="RU599" s="584"/>
      <c r="RV599" s="584"/>
      <c r="RW599" s="584"/>
      <c r="RX599" s="584"/>
      <c r="RY599" s="584"/>
      <c r="RZ599" s="584"/>
      <c r="SA599" s="584"/>
      <c r="SB599" s="584"/>
      <c r="SC599" s="584"/>
      <c r="SD599" s="584"/>
      <c r="SE599" s="584"/>
      <c r="SF599" s="584"/>
      <c r="SG599" s="584"/>
      <c r="SH599" s="584"/>
      <c r="SI599" s="584"/>
      <c r="SJ599" s="584"/>
      <c r="SK599" s="584"/>
      <c r="SL599" s="584"/>
      <c r="SM599" s="584"/>
      <c r="SN599" s="584"/>
      <c r="SO599" s="584"/>
      <c r="SP599" s="584"/>
      <c r="SQ599" s="584"/>
      <c r="SR599" s="584"/>
      <c r="SS599" s="584"/>
      <c r="ST599" s="584"/>
      <c r="SU599" s="584"/>
      <c r="SV599" s="584"/>
      <c r="SW599" s="584"/>
      <c r="SX599" s="584"/>
      <c r="SY599" s="584"/>
      <c r="SZ599" s="584"/>
      <c r="TA599" s="584"/>
      <c r="TB599" s="584"/>
      <c r="TC599" s="584"/>
      <c r="TD599" s="584"/>
      <c r="TE599" s="584"/>
      <c r="TF599" s="584"/>
      <c r="TG599" s="584"/>
      <c r="TH599" s="584"/>
      <c r="TI599" s="584"/>
      <c r="TJ599" s="584"/>
      <c r="TK599" s="584"/>
      <c r="TL599" s="584"/>
      <c r="TM599" s="584"/>
      <c r="TN599" s="584"/>
      <c r="TO599" s="584"/>
      <c r="TP599" s="584"/>
      <c r="TQ599" s="584"/>
      <c r="TR599" s="584"/>
      <c r="TS599" s="584"/>
      <c r="TT599" s="584"/>
      <c r="TU599" s="584"/>
      <c r="TV599" s="584"/>
      <c r="TW599" s="584"/>
      <c r="TX599" s="584"/>
      <c r="TY599" s="584"/>
      <c r="TZ599" s="584"/>
      <c r="UA599" s="584"/>
      <c r="UB599" s="584"/>
      <c r="UC599" s="584"/>
      <c r="UD599" s="584"/>
      <c r="UE599" s="584"/>
      <c r="UF599" s="584"/>
      <c r="UG599" s="584"/>
      <c r="UH599" s="584"/>
      <c r="UI599" s="584"/>
      <c r="UJ599" s="584"/>
      <c r="UK599" s="584"/>
      <c r="UL599" s="584"/>
      <c r="UM599" s="584"/>
      <c r="UN599" s="584"/>
      <c r="UO599" s="584"/>
      <c r="UP599" s="584"/>
      <c r="UQ599" s="584"/>
      <c r="UR599" s="584"/>
      <c r="US599" s="584"/>
      <c r="UT599" s="584"/>
      <c r="UU599" s="584"/>
      <c r="UV599" s="584"/>
      <c r="UW599" s="584"/>
      <c r="UX599" s="584"/>
      <c r="UY599" s="584"/>
      <c r="UZ599" s="584"/>
      <c r="VA599" s="584"/>
      <c r="VB599" s="584"/>
      <c r="VC599" s="584"/>
      <c r="VD599" s="584"/>
      <c r="VE599" s="584"/>
      <c r="VF599" s="584"/>
      <c r="VG599" s="584"/>
      <c r="VH599" s="584"/>
      <c r="VI599" s="584"/>
      <c r="VJ599" s="584"/>
      <c r="VK599" s="584"/>
      <c r="VL599" s="584"/>
      <c r="VM599" s="584"/>
      <c r="VN599" s="584"/>
      <c r="VO599" s="584"/>
      <c r="VP599" s="584"/>
      <c r="VQ599" s="584"/>
      <c r="VR599" s="584"/>
      <c r="VS599" s="584"/>
      <c r="VT599" s="584"/>
      <c r="VU599" s="584"/>
      <c r="VV599" s="584"/>
      <c r="VW599" s="584"/>
      <c r="VX599" s="584"/>
      <c r="VY599" s="584"/>
      <c r="VZ599" s="584"/>
      <c r="WA599" s="584"/>
      <c r="WB599" s="584"/>
      <c r="WC599" s="584"/>
      <c r="WD599" s="584"/>
      <c r="WE599" s="584"/>
      <c r="WF599" s="584"/>
      <c r="WG599" s="584"/>
      <c r="WH599" s="584"/>
      <c r="WI599" s="584"/>
      <c r="WJ599" s="584"/>
      <c r="WK599" s="584"/>
      <c r="WL599" s="584"/>
      <c r="WM599" s="584"/>
      <c r="WN599" s="584"/>
      <c r="WO599" s="584"/>
      <c r="WP599" s="584"/>
      <c r="WQ599" s="584"/>
      <c r="WR599" s="584"/>
      <c r="WS599" s="584"/>
      <c r="WT599" s="584"/>
      <c r="WU599" s="584"/>
      <c r="WV599" s="584"/>
      <c r="WW599" s="584"/>
      <c r="WX599" s="584"/>
      <c r="WY599" s="584"/>
      <c r="WZ599" s="584"/>
      <c r="XA599" s="584"/>
      <c r="XB599" s="584"/>
      <c r="XC599" s="584"/>
      <c r="XD599" s="584"/>
      <c r="XE599" s="584"/>
      <c r="XF599" s="584"/>
      <c r="XG599" s="584"/>
      <c r="XH599" s="584"/>
      <c r="XI599" s="584"/>
      <c r="XJ599" s="584"/>
      <c r="XK599" s="584"/>
      <c r="XL599" s="584"/>
      <c r="XM599" s="584"/>
      <c r="XN599" s="584"/>
      <c r="XO599" s="584"/>
      <c r="XP599" s="584"/>
      <c r="XQ599" s="584"/>
      <c r="XR599" s="584"/>
      <c r="XS599" s="584"/>
      <c r="XT599" s="584"/>
      <c r="XU599" s="584"/>
      <c r="XV599" s="584"/>
      <c r="XW599" s="584"/>
      <c r="XX599" s="584"/>
      <c r="XY599" s="584"/>
      <c r="XZ599" s="584"/>
      <c r="YA599" s="584"/>
      <c r="YB599" s="584"/>
      <c r="YC599" s="584"/>
      <c r="YD599" s="584"/>
      <c r="YE599" s="584"/>
      <c r="YF599" s="584"/>
      <c r="YG599" s="584"/>
      <c r="YH599" s="584"/>
      <c r="YI599" s="584"/>
      <c r="YJ599" s="584"/>
      <c r="YK599" s="584"/>
      <c r="YL599" s="584"/>
      <c r="YM599" s="584"/>
      <c r="YN599" s="584"/>
      <c r="YO599" s="584"/>
      <c r="YP599" s="584"/>
      <c r="YQ599" s="584"/>
      <c r="YR599" s="584"/>
      <c r="YS599" s="584"/>
      <c r="YT599" s="584"/>
      <c r="YU599" s="584"/>
      <c r="YV599" s="584"/>
      <c r="YW599" s="584"/>
      <c r="YX599" s="584"/>
      <c r="YY599" s="584"/>
      <c r="YZ599" s="584"/>
      <c r="ZA599" s="584"/>
      <c r="ZB599" s="584"/>
      <c r="ZC599" s="584"/>
      <c r="ZD599" s="584"/>
      <c r="ZE599" s="584"/>
      <c r="ZF599" s="584"/>
      <c r="ZG599" s="584"/>
      <c r="ZH599" s="584"/>
      <c r="ZI599" s="584"/>
      <c r="ZJ599" s="584"/>
      <c r="ZK599" s="584"/>
      <c r="ZL599" s="584"/>
      <c r="ZM599" s="584"/>
      <c r="ZN599" s="584"/>
      <c r="ZO599" s="584"/>
      <c r="ZP599" s="584"/>
      <c r="ZQ599" s="584"/>
      <c r="ZR599" s="584"/>
      <c r="ZS599" s="584"/>
      <c r="ZT599" s="584"/>
      <c r="ZU599" s="584"/>
      <c r="ZV599" s="584"/>
      <c r="ZW599" s="584"/>
      <c r="ZX599" s="584"/>
      <c r="ZY599" s="584"/>
      <c r="ZZ599" s="584"/>
      <c r="AAA599" s="584"/>
      <c r="AAB599" s="584"/>
      <c r="AAC599" s="584"/>
      <c r="AAD599" s="584"/>
      <c r="AAE599" s="584"/>
      <c r="AAF599" s="584"/>
      <c r="AAG599" s="584"/>
      <c r="AAH599" s="584"/>
      <c r="AAI599" s="584"/>
      <c r="AAJ599" s="584"/>
      <c r="AAK599" s="584"/>
      <c r="AAL599" s="584"/>
      <c r="AAM599" s="584"/>
      <c r="AAN599" s="584"/>
      <c r="AAO599" s="584"/>
      <c r="AAP599" s="584"/>
      <c r="AAQ599" s="584"/>
      <c r="AAR599" s="584"/>
      <c r="AAS599" s="584"/>
      <c r="AAT599" s="584"/>
      <c r="AAU599" s="584"/>
      <c r="AAV599" s="584"/>
      <c r="AAW599" s="584"/>
      <c r="AAX599" s="584"/>
      <c r="AAY599" s="584"/>
      <c r="AAZ599" s="584"/>
      <c r="ABA599" s="584"/>
      <c r="ABB599" s="584"/>
      <c r="ABC599" s="584"/>
      <c r="ABD599" s="584"/>
      <c r="ABE599" s="584"/>
      <c r="ABF599" s="584"/>
      <c r="ABG599" s="584"/>
      <c r="ABH599" s="584"/>
      <c r="ABI599" s="584"/>
      <c r="ABJ599" s="584"/>
      <c r="ABK599" s="584"/>
      <c r="ABL599" s="584"/>
      <c r="ABM599" s="584"/>
      <c r="ABN599" s="584"/>
      <c r="ABO599" s="584"/>
      <c r="ABP599" s="584"/>
      <c r="ABQ599" s="584"/>
      <c r="ABR599" s="584"/>
      <c r="ABS599" s="584"/>
      <c r="ABT599" s="584"/>
      <c r="ABU599" s="584"/>
      <c r="ABV599" s="584"/>
      <c r="ABW599" s="584"/>
      <c r="ABX599" s="584"/>
      <c r="ABY599" s="584"/>
      <c r="ABZ599" s="584"/>
      <c r="ACA599" s="584"/>
      <c r="ACB599" s="584"/>
      <c r="ACC599" s="584"/>
      <c r="ACD599" s="584"/>
      <c r="ACE599" s="584"/>
      <c r="ACF599" s="584"/>
      <c r="ACG599" s="584"/>
      <c r="ACH599" s="584"/>
      <c r="ACI599" s="584"/>
      <c r="ACJ599" s="584"/>
      <c r="ACK599" s="584"/>
      <c r="ACL599" s="584"/>
      <c r="ACM599" s="584"/>
      <c r="ACN599" s="584"/>
      <c r="ACO599" s="584"/>
      <c r="ACP599" s="584"/>
      <c r="ACQ599" s="584"/>
      <c r="ACR599" s="584"/>
      <c r="ACS599" s="584"/>
      <c r="ACT599" s="584"/>
      <c r="ACU599" s="584"/>
      <c r="ACV599" s="584"/>
      <c r="ACW599" s="584"/>
      <c r="ACX599" s="584"/>
      <c r="ACY599" s="584"/>
      <c r="ACZ599" s="584"/>
      <c r="ADA599" s="584"/>
      <c r="ADB599" s="584"/>
      <c r="ADC599" s="584"/>
      <c r="ADD599" s="584"/>
      <c r="ADE599" s="584"/>
      <c r="ADF599" s="584"/>
      <c r="ADG599" s="584"/>
      <c r="ADH599" s="584"/>
      <c r="ADI599" s="584"/>
      <c r="ADJ599" s="584"/>
      <c r="ADK599" s="584"/>
      <c r="ADL599" s="584"/>
      <c r="ADM599" s="584"/>
      <c r="ADN599" s="584"/>
      <c r="ADO599" s="584"/>
      <c r="ADP599" s="584"/>
      <c r="ADQ599" s="584"/>
      <c r="ADR599" s="584"/>
      <c r="ADS599" s="584"/>
      <c r="ADT599" s="584"/>
      <c r="ADU599" s="584"/>
      <c r="ADV599" s="584"/>
      <c r="ADW599" s="584"/>
      <c r="ADX599" s="584"/>
      <c r="ADY599" s="584"/>
      <c r="ADZ599" s="584"/>
      <c r="AEA599" s="584"/>
      <c r="AEB599" s="584"/>
      <c r="AEC599" s="584"/>
      <c r="AED599" s="584"/>
      <c r="AEE599" s="584"/>
      <c r="AEF599" s="584"/>
      <c r="AEG599" s="584"/>
      <c r="AEH599" s="584"/>
      <c r="AEI599" s="584"/>
      <c r="AEJ599" s="584"/>
      <c r="AEK599" s="584"/>
      <c r="AEL599" s="584"/>
      <c r="AEM599" s="584"/>
      <c r="AEN599" s="584"/>
      <c r="AEO599" s="584"/>
      <c r="AEP599" s="584"/>
      <c r="AEQ599" s="584"/>
      <c r="AER599" s="584"/>
      <c r="AES599" s="584"/>
      <c r="AET599" s="584"/>
      <c r="AEU599" s="584"/>
      <c r="AEV599" s="584"/>
      <c r="AEW599" s="584"/>
      <c r="AEX599" s="584"/>
      <c r="AEY599" s="584"/>
      <c r="AEZ599" s="584"/>
      <c r="AFA599" s="584"/>
      <c r="AFB599" s="584"/>
      <c r="AFC599" s="584"/>
      <c r="AFD599" s="584"/>
      <c r="AFE599" s="584"/>
      <c r="AFF599" s="584"/>
      <c r="AFG599" s="584"/>
      <c r="AFH599" s="584"/>
      <c r="AFI599" s="584"/>
      <c r="AFJ599" s="584"/>
      <c r="AFK599" s="584"/>
      <c r="AFL599" s="584"/>
      <c r="AFM599" s="584"/>
      <c r="AFN599" s="584"/>
      <c r="AFO599" s="584"/>
      <c r="AFP599" s="584"/>
      <c r="AFQ599" s="584"/>
      <c r="AFR599" s="584"/>
      <c r="AFS599" s="584"/>
      <c r="AFT599" s="584"/>
      <c r="AFU599" s="584"/>
      <c r="AFV599" s="584"/>
      <c r="AFW599" s="584"/>
      <c r="AFX599" s="584"/>
      <c r="AFY599" s="584"/>
      <c r="AFZ599" s="584"/>
      <c r="AGA599" s="584"/>
      <c r="AGB599" s="584"/>
      <c r="AGC599" s="584"/>
      <c r="AGD599" s="584"/>
      <c r="AGE599" s="584"/>
      <c r="AGF599" s="584"/>
      <c r="AGG599" s="584"/>
      <c r="AGH599" s="584"/>
      <c r="AGI599" s="584"/>
      <c r="AGJ599" s="584"/>
      <c r="AGK599" s="584"/>
      <c r="AGL599" s="584"/>
      <c r="AGM599" s="584"/>
      <c r="AGN599" s="584"/>
      <c r="AGO599" s="584"/>
      <c r="AGP599" s="584"/>
      <c r="AGQ599" s="584"/>
      <c r="AGR599" s="584"/>
      <c r="AGS599" s="584"/>
      <c r="AGT599" s="584"/>
      <c r="AGU599" s="584"/>
      <c r="AGV599" s="584"/>
      <c r="AGW599" s="584"/>
      <c r="AGX599" s="584"/>
      <c r="AGY599" s="584"/>
      <c r="AGZ599" s="584"/>
      <c r="AHA599" s="584"/>
      <c r="AHB599" s="584"/>
      <c r="AHC599" s="584"/>
      <c r="AHD599" s="584"/>
      <c r="AHE599" s="584"/>
      <c r="AHF599" s="584"/>
      <c r="AHG599" s="584"/>
      <c r="AHH599" s="584"/>
      <c r="AHI599" s="584"/>
      <c r="AHJ599" s="584"/>
      <c r="AHK599" s="584"/>
      <c r="AHL599" s="584"/>
      <c r="AHM599" s="584"/>
      <c r="AHN599" s="584"/>
      <c r="AHO599" s="584"/>
      <c r="AHP599" s="584"/>
      <c r="AHQ599" s="584"/>
      <c r="AHR599" s="584"/>
      <c r="AHS599" s="584"/>
      <c r="AHT599" s="584"/>
      <c r="AHU599" s="584"/>
      <c r="AHV599" s="584"/>
      <c r="AHW599" s="584"/>
      <c r="AHX599" s="584"/>
      <c r="AHY599" s="584"/>
      <c r="AHZ599" s="584"/>
      <c r="AIA599" s="584"/>
      <c r="AIB599" s="584"/>
      <c r="AIC599" s="584"/>
      <c r="AID599" s="584"/>
      <c r="AIE599" s="584"/>
      <c r="AIF599" s="584"/>
      <c r="AIG599" s="584"/>
      <c r="AIH599" s="584"/>
      <c r="AII599" s="584"/>
      <c r="AIJ599" s="584"/>
      <c r="AIK599" s="584"/>
      <c r="AIL599" s="584"/>
      <c r="AIM599" s="584"/>
      <c r="AIN599" s="584"/>
      <c r="AIO599" s="584"/>
      <c r="AIP599" s="584"/>
      <c r="AIQ599" s="584"/>
      <c r="AIR599" s="584"/>
      <c r="AIS599" s="584"/>
      <c r="AIT599" s="584"/>
      <c r="AIU599" s="584"/>
      <c r="AIV599" s="584"/>
      <c r="AIW599" s="584"/>
      <c r="AIX599" s="584"/>
      <c r="AIY599" s="584"/>
      <c r="AIZ599" s="584"/>
      <c r="AJA599" s="584"/>
      <c r="AJB599" s="584"/>
      <c r="AJC599" s="584"/>
      <c r="AJD599" s="584"/>
      <c r="AJE599" s="584"/>
      <c r="AJF599" s="584"/>
      <c r="AJG599" s="584"/>
      <c r="AJH599" s="584"/>
      <c r="AJI599" s="584"/>
      <c r="AJJ599" s="584"/>
      <c r="AJK599" s="584"/>
      <c r="AJL599" s="584"/>
      <c r="AJM599" s="584"/>
      <c r="AJN599" s="584"/>
      <c r="AJO599" s="584"/>
      <c r="AJP599" s="584"/>
      <c r="AJQ599" s="584"/>
      <c r="AJR599" s="584"/>
      <c r="AJS599" s="584"/>
      <c r="AJT599" s="584"/>
      <c r="AJU599" s="584"/>
      <c r="AJV599" s="584"/>
      <c r="AJW599" s="584"/>
      <c r="AJX599" s="584"/>
      <c r="AJY599" s="584"/>
      <c r="AJZ599" s="584"/>
      <c r="AKA599" s="584"/>
      <c r="AKB599" s="584"/>
      <c r="AKC599" s="584"/>
      <c r="AKD599" s="584"/>
      <c r="AKE599" s="584"/>
      <c r="AKF599" s="584"/>
      <c r="AKG599" s="584"/>
      <c r="AKH599" s="584"/>
      <c r="AKI599" s="584"/>
      <c r="AKJ599" s="584"/>
      <c r="AKK599" s="584"/>
      <c r="AKL599" s="584"/>
      <c r="AKM599" s="584"/>
      <c r="AKN599" s="584"/>
      <c r="AKO599" s="584"/>
      <c r="AKP599" s="584"/>
      <c r="AKQ599" s="584"/>
      <c r="AKR599" s="584"/>
      <c r="AKS599" s="584"/>
      <c r="AKT599" s="584"/>
      <c r="AKU599" s="584"/>
      <c r="AKV599" s="584"/>
      <c r="AKW599" s="584"/>
      <c r="AKX599" s="584"/>
      <c r="AKY599" s="584"/>
      <c r="AKZ599" s="584"/>
      <c r="ALA599" s="584"/>
      <c r="ALB599" s="584"/>
      <c r="ALC599" s="584"/>
      <c r="ALD599" s="584"/>
      <c r="ALE599" s="584"/>
      <c r="ALF599" s="584"/>
      <c r="ALG599" s="584"/>
      <c r="ALH599" s="584"/>
      <c r="ALI599" s="584"/>
      <c r="ALJ599" s="584"/>
      <c r="ALK599" s="584"/>
      <c r="ALL599" s="584"/>
      <c r="ALM599" s="584"/>
      <c r="ALN599" s="584"/>
      <c r="ALO599" s="584"/>
      <c r="ALP599" s="584"/>
      <c r="ALQ599" s="584"/>
      <c r="ALR599" s="584"/>
      <c r="ALS599" s="584"/>
      <c r="ALT599" s="584"/>
      <c r="ALU599" s="584"/>
      <c r="ALV599" s="584"/>
      <c r="ALW599" s="584"/>
      <c r="ALX599" s="584"/>
      <c r="ALY599" s="584"/>
      <c r="ALZ599" s="584"/>
      <c r="AMA599" s="584"/>
      <c r="AMB599" s="584"/>
      <c r="AMC599" s="584"/>
      <c r="AMD599" s="584"/>
      <c r="AME599" s="584"/>
      <c r="AMF599" s="584"/>
      <c r="AMG599" s="584"/>
      <c r="AMH599" s="584"/>
      <c r="AMI599" s="584"/>
      <c r="AMJ599" s="584"/>
      <c r="AMK599" s="584"/>
      <c r="AML599" s="584"/>
      <c r="AMM599" s="584"/>
      <c r="AMN599" s="584"/>
      <c r="AMO599" s="584"/>
      <c r="AMP599" s="584"/>
      <c r="AMQ599" s="584"/>
      <c r="AMR599" s="584"/>
      <c r="AMS599" s="584"/>
      <c r="AMT599" s="584"/>
      <c r="AMU599" s="584"/>
      <c r="AMV599" s="584"/>
      <c r="AMW599" s="584"/>
      <c r="AMX599" s="584"/>
      <c r="AMY599" s="584"/>
      <c r="AMZ599" s="584"/>
      <c r="ANA599" s="584"/>
      <c r="ANB599" s="584"/>
      <c r="ANC599" s="584"/>
      <c r="AND599" s="584"/>
      <c r="ANE599" s="584"/>
      <c r="ANF599" s="584"/>
      <c r="ANG599" s="584"/>
      <c r="ANH599" s="584"/>
      <c r="ANI599" s="584"/>
      <c r="ANJ599" s="584"/>
      <c r="ANK599" s="584"/>
      <c r="ANL599" s="584"/>
      <c r="ANM599" s="584"/>
      <c r="ANN599" s="584"/>
      <c r="ANO599" s="584"/>
      <c r="ANP599" s="584"/>
      <c r="ANQ599" s="584"/>
      <c r="ANR599" s="584"/>
      <c r="ANS599" s="584"/>
      <c r="ANT599" s="584"/>
      <c r="ANU599" s="584"/>
      <c r="ANV599" s="584"/>
      <c r="ANW599" s="584"/>
      <c r="ANX599" s="584"/>
      <c r="ANY599" s="584"/>
      <c r="ANZ599" s="584"/>
      <c r="AOA599" s="584"/>
      <c r="AOB599" s="584"/>
      <c r="AOC599" s="584"/>
      <c r="AOD599" s="584"/>
      <c r="AOE599" s="584"/>
      <c r="AOF599" s="584"/>
      <c r="AOG599" s="584"/>
      <c r="AOH599" s="584"/>
      <c r="AOI599" s="584"/>
      <c r="AOJ599" s="584"/>
      <c r="AOK599" s="584"/>
      <c r="AOL599" s="584"/>
      <c r="AOM599" s="584"/>
      <c r="AON599" s="584"/>
      <c r="AOO599" s="584"/>
      <c r="AOP599" s="584"/>
      <c r="AOQ599" s="584"/>
      <c r="AOR599" s="584"/>
      <c r="AOS599" s="584"/>
      <c r="AOT599" s="584"/>
      <c r="AOU599" s="584"/>
      <c r="AOV599" s="584"/>
      <c r="AOW599" s="584"/>
      <c r="AOX599" s="584"/>
      <c r="AOY599" s="584"/>
      <c r="AOZ599" s="584"/>
      <c r="APA599" s="584"/>
      <c r="APB599" s="584"/>
      <c r="APC599" s="584"/>
      <c r="APD599" s="584"/>
      <c r="APE599" s="584"/>
      <c r="APF599" s="584"/>
      <c r="APG599" s="584"/>
      <c r="APH599" s="584"/>
      <c r="API599" s="584"/>
      <c r="APJ599" s="584"/>
      <c r="APK599" s="584"/>
      <c r="APL599" s="584"/>
      <c r="APM599" s="584"/>
      <c r="APN599" s="584"/>
      <c r="APO599" s="584"/>
      <c r="APP599" s="584"/>
      <c r="APQ599" s="584"/>
      <c r="APR599" s="584"/>
      <c r="APS599" s="584"/>
      <c r="APT599" s="584"/>
      <c r="APU599" s="584"/>
      <c r="APV599" s="584"/>
      <c r="APW599" s="584"/>
      <c r="APX599" s="584"/>
      <c r="APY599" s="584"/>
      <c r="APZ599" s="584"/>
      <c r="AQA599" s="584"/>
      <c r="AQB599" s="584"/>
      <c r="AQC599" s="584"/>
      <c r="AQD599" s="584"/>
      <c r="AQE599" s="584"/>
      <c r="AQF599" s="584"/>
      <c r="AQG599" s="584"/>
      <c r="AQH599" s="584"/>
      <c r="AQI599" s="584"/>
      <c r="AQJ599" s="584"/>
      <c r="AQK599" s="584"/>
      <c r="AQL599" s="584"/>
      <c r="AQM599" s="584"/>
      <c r="AQN599" s="584"/>
      <c r="AQO599" s="584"/>
      <c r="AQP599" s="584"/>
      <c r="AQQ599" s="584"/>
      <c r="AQR599" s="584"/>
      <c r="AQS599" s="584"/>
      <c r="AQT599" s="584"/>
      <c r="AQU599" s="584"/>
      <c r="AQV599" s="584"/>
      <c r="AQW599" s="584"/>
      <c r="AQX599" s="584"/>
      <c r="AQY599" s="584"/>
      <c r="AQZ599" s="584"/>
      <c r="ARA599" s="584"/>
      <c r="ARB599" s="584"/>
      <c r="ARC599" s="584"/>
      <c r="ARD599" s="584"/>
      <c r="ARE599" s="584"/>
      <c r="ARF599" s="584"/>
      <c r="ARG599" s="584"/>
      <c r="ARH599" s="584"/>
      <c r="ARI599" s="584"/>
      <c r="ARJ599" s="584"/>
      <c r="ARK599" s="584"/>
      <c r="ARL599" s="584"/>
      <c r="ARM599" s="584"/>
      <c r="ARN599" s="584"/>
      <c r="ARO599" s="584"/>
      <c r="ARP599" s="584"/>
      <c r="ARQ599" s="584"/>
      <c r="ARR599" s="584"/>
      <c r="ARS599" s="584"/>
      <c r="ART599" s="584"/>
      <c r="ARU599" s="584"/>
      <c r="ARV599" s="584"/>
      <c r="ARW599" s="584"/>
      <c r="ARX599" s="584"/>
      <c r="ARY599" s="584"/>
      <c r="ARZ599" s="584"/>
      <c r="ASA599" s="584"/>
      <c r="ASB599" s="584"/>
      <c r="ASC599" s="584"/>
      <c r="ASD599" s="584"/>
      <c r="ASE599" s="584"/>
      <c r="ASF599" s="584"/>
      <c r="ASG599" s="584"/>
      <c r="ASH599" s="584"/>
      <c r="ASI599" s="584"/>
      <c r="ASJ599" s="584"/>
      <c r="ASK599" s="584"/>
      <c r="ASL599" s="584"/>
      <c r="ASM599" s="584"/>
      <c r="ASN599" s="584"/>
      <c r="ASO599" s="584"/>
      <c r="ASP599" s="584"/>
      <c r="ASQ599" s="584"/>
      <c r="ASR599" s="584"/>
      <c r="ASS599" s="584"/>
      <c r="AST599" s="584"/>
      <c r="ASU599" s="584"/>
      <c r="ASV599" s="584"/>
      <c r="ASW599" s="584"/>
      <c r="ASX599" s="584"/>
      <c r="ASY599" s="584"/>
      <c r="ASZ599" s="584"/>
      <c r="ATA599" s="584"/>
      <c r="ATB599" s="584"/>
      <c r="ATC599" s="584"/>
      <c r="ATD599" s="584"/>
      <c r="ATE599" s="584"/>
      <c r="ATF599" s="584"/>
      <c r="ATG599" s="584"/>
      <c r="ATH599" s="584"/>
      <c r="ATI599" s="584"/>
      <c r="ATJ599" s="584"/>
      <c r="ATK599" s="584"/>
      <c r="ATL599" s="584"/>
      <c r="ATM599" s="584"/>
      <c r="ATN599" s="584"/>
      <c r="ATO599" s="584"/>
      <c r="ATP599" s="584"/>
      <c r="ATQ599" s="584"/>
      <c r="ATR599" s="584"/>
      <c r="ATS599" s="584"/>
      <c r="ATT599" s="584"/>
      <c r="ATU599" s="584"/>
      <c r="ATV599" s="584"/>
      <c r="ATW599" s="584"/>
      <c r="ATX599" s="584"/>
      <c r="ATY599" s="584"/>
      <c r="ATZ599" s="584"/>
      <c r="AUA599" s="584"/>
      <c r="AUB599" s="584"/>
      <c r="AUC599" s="584"/>
      <c r="AUD599" s="584"/>
      <c r="AUE599" s="584"/>
      <c r="AUF599" s="584"/>
      <c r="AUG599" s="584"/>
      <c r="AUH599" s="584"/>
      <c r="AUI599" s="584"/>
      <c r="AUJ599" s="584"/>
      <c r="AUK599" s="584"/>
      <c r="AUL599" s="584"/>
      <c r="AUM599" s="584"/>
      <c r="AUN599" s="584"/>
      <c r="AUO599" s="584"/>
      <c r="AUP599" s="584"/>
      <c r="AUQ599" s="584"/>
      <c r="AUR599" s="584"/>
      <c r="AUS599" s="584"/>
      <c r="AUT599" s="584"/>
      <c r="AUU599" s="584"/>
      <c r="AUV599" s="584"/>
      <c r="AUW599" s="584"/>
      <c r="AUX599" s="584"/>
      <c r="AUY599" s="584"/>
      <c r="AUZ599" s="584"/>
      <c r="AVA599" s="584"/>
      <c r="AVB599" s="584"/>
      <c r="AVC599" s="584"/>
      <c r="AVD599" s="584"/>
      <c r="AVE599" s="584"/>
      <c r="AVF599" s="584"/>
      <c r="AVG599" s="584"/>
      <c r="AVH599" s="584"/>
      <c r="AVI599" s="584"/>
      <c r="AVJ599" s="584"/>
      <c r="AVK599" s="584"/>
      <c r="AVL599" s="584"/>
      <c r="AVM599" s="584"/>
      <c r="AVN599" s="584"/>
      <c r="AVO599" s="584"/>
      <c r="AVP599" s="584"/>
      <c r="AVQ599" s="584"/>
      <c r="AVR599" s="584"/>
      <c r="AVS599" s="584"/>
      <c r="AVT599" s="584"/>
      <c r="AVU599" s="584"/>
      <c r="AVV599" s="584"/>
      <c r="AVW599" s="584"/>
      <c r="AVX599" s="584"/>
      <c r="AVY599" s="584"/>
      <c r="AVZ599" s="584"/>
      <c r="AWA599" s="584"/>
      <c r="AWB599" s="584"/>
      <c r="AWC599" s="584"/>
      <c r="AWD599" s="584"/>
      <c r="AWE599" s="584"/>
      <c r="AWF599" s="584"/>
      <c r="AWG599" s="584"/>
      <c r="AWH599" s="584"/>
      <c r="AWI599" s="584"/>
      <c r="AWJ599" s="584"/>
      <c r="AWK599" s="584"/>
      <c r="AWL599" s="584"/>
      <c r="AWM599" s="584"/>
      <c r="AWN599" s="584"/>
      <c r="AWO599" s="584"/>
      <c r="AWP599" s="584"/>
      <c r="AWQ599" s="584"/>
      <c r="AWR599" s="584"/>
      <c r="AWS599" s="584"/>
      <c r="AWT599" s="584"/>
      <c r="AWU599" s="584"/>
      <c r="AWV599" s="584"/>
      <c r="AWW599" s="584"/>
      <c r="AWX599" s="584"/>
      <c r="AWY599" s="584"/>
      <c r="AWZ599" s="584"/>
      <c r="AXA599" s="584"/>
      <c r="AXB599" s="584"/>
      <c r="AXC599" s="584"/>
      <c r="AXD599" s="584"/>
      <c r="AXE599" s="584"/>
      <c r="AXF599" s="584"/>
      <c r="AXG599" s="584"/>
      <c r="AXH599" s="584"/>
      <c r="AXI599" s="584"/>
      <c r="AXJ599" s="584"/>
      <c r="AXK599" s="584"/>
      <c r="AXL599" s="584"/>
      <c r="AXM599" s="584"/>
      <c r="AXN599" s="584"/>
      <c r="AXO599" s="584"/>
      <c r="AXP599" s="584"/>
      <c r="AXQ599" s="584"/>
      <c r="AXR599" s="584"/>
      <c r="AXS599" s="584"/>
      <c r="AXT599" s="584"/>
      <c r="AXU599" s="584"/>
      <c r="AXV599" s="584"/>
      <c r="AXW599" s="584"/>
      <c r="AXX599" s="584"/>
      <c r="AXY599" s="584"/>
      <c r="AXZ599" s="584"/>
      <c r="AYA599" s="584"/>
      <c r="AYB599" s="584"/>
      <c r="AYC599" s="584"/>
      <c r="AYD599" s="584"/>
      <c r="AYE599" s="584"/>
      <c r="AYF599" s="584"/>
      <c r="AYG599" s="584"/>
      <c r="AYH599" s="584"/>
      <c r="AYI599" s="584"/>
      <c r="AYJ599" s="584"/>
      <c r="AYK599" s="584"/>
      <c r="AYL599" s="584"/>
      <c r="AYM599" s="584"/>
      <c r="AYN599" s="584"/>
      <c r="AYO599" s="584"/>
      <c r="AYP599" s="584"/>
      <c r="AYQ599" s="584"/>
      <c r="AYR599" s="584"/>
      <c r="AYS599" s="584"/>
      <c r="AYT599" s="584"/>
      <c r="AYU599" s="584"/>
      <c r="AYV599" s="584"/>
      <c r="AYW599" s="584"/>
      <c r="AYX599" s="584"/>
      <c r="AYY599" s="584"/>
      <c r="AYZ599" s="584"/>
      <c r="AZA599" s="584"/>
      <c r="AZB599" s="584"/>
      <c r="AZC599" s="584"/>
      <c r="AZD599" s="584"/>
      <c r="AZE599" s="584"/>
      <c r="AZF599" s="584"/>
      <c r="AZG599" s="584"/>
      <c r="AZH599" s="584"/>
      <c r="AZI599" s="584"/>
      <c r="AZJ599" s="584"/>
      <c r="AZK599" s="584"/>
      <c r="AZL599" s="584"/>
      <c r="AZM599" s="584"/>
      <c r="AZN599" s="584"/>
      <c r="AZO599" s="584"/>
      <c r="AZP599" s="584"/>
      <c r="AZQ599" s="584"/>
      <c r="AZR599" s="584"/>
      <c r="AZS599" s="584"/>
      <c r="AZT599" s="584"/>
      <c r="AZU599" s="584"/>
      <c r="AZV599" s="584"/>
      <c r="AZW599" s="584"/>
      <c r="AZX599" s="584"/>
      <c r="AZY599" s="584"/>
      <c r="AZZ599" s="584"/>
      <c r="BAA599" s="584"/>
      <c r="BAB599" s="584"/>
      <c r="BAC599" s="584"/>
      <c r="BAD599" s="584"/>
      <c r="BAE599" s="584"/>
      <c r="BAF599" s="584"/>
      <c r="BAG599" s="584"/>
      <c r="BAH599" s="584"/>
      <c r="BAI599" s="584"/>
      <c r="BAJ599" s="584"/>
      <c r="BAK599" s="584"/>
      <c r="BAL599" s="584"/>
      <c r="BAM599" s="584"/>
      <c r="BAN599" s="584"/>
      <c r="BAO599" s="584"/>
      <c r="BAP599" s="584"/>
      <c r="BAQ599" s="584"/>
      <c r="BAR599" s="584"/>
      <c r="BAS599" s="584"/>
      <c r="BAT599" s="584"/>
      <c r="BAU599" s="584"/>
      <c r="BAV599" s="584"/>
      <c r="BAW599" s="584"/>
      <c r="BAX599" s="584"/>
      <c r="BAY599" s="584"/>
      <c r="BAZ599" s="584"/>
      <c r="BBA599" s="584"/>
      <c r="BBB599" s="584"/>
      <c r="BBC599" s="584"/>
      <c r="BBD599" s="584"/>
      <c r="BBE599" s="584"/>
      <c r="BBF599" s="584"/>
      <c r="BBG599" s="584"/>
      <c r="BBH599" s="584"/>
      <c r="BBI599" s="584"/>
      <c r="BBJ599" s="584"/>
      <c r="BBK599" s="584"/>
      <c r="BBL599" s="584"/>
      <c r="BBM599" s="584"/>
      <c r="BBN599" s="584"/>
      <c r="BBO599" s="584"/>
      <c r="BBP599" s="584"/>
      <c r="BBQ599" s="584"/>
      <c r="BBR599" s="584"/>
      <c r="BBS599" s="584"/>
      <c r="BBT599" s="584"/>
      <c r="BBU599" s="584"/>
      <c r="BBV599" s="584"/>
      <c r="BBW599" s="584"/>
      <c r="BBX599" s="584"/>
      <c r="BBY599" s="584"/>
      <c r="BBZ599" s="584"/>
      <c r="BCA599" s="584"/>
      <c r="BCB599" s="584"/>
      <c r="BCC599" s="584"/>
      <c r="BCD599" s="584"/>
      <c r="BCE599" s="584"/>
      <c r="BCF599" s="584"/>
      <c r="BCG599" s="584"/>
      <c r="BCH599" s="584"/>
      <c r="BCI599" s="584"/>
      <c r="BCJ599" s="584"/>
      <c r="BCK599" s="584"/>
      <c r="BCL599" s="584"/>
      <c r="BCM599" s="584"/>
      <c r="BCN599" s="584"/>
      <c r="BCO599" s="584"/>
      <c r="BCP599" s="584"/>
      <c r="BCQ599" s="584"/>
      <c r="BCR599" s="584"/>
      <c r="BCS599" s="584"/>
      <c r="BCT599" s="584"/>
      <c r="BCU599" s="584"/>
      <c r="BCV599" s="584"/>
      <c r="BCW599" s="584"/>
      <c r="BCX599" s="584"/>
      <c r="BCY599" s="584"/>
      <c r="BCZ599" s="584"/>
      <c r="BDA599" s="584"/>
      <c r="BDB599" s="584"/>
      <c r="BDC599" s="584"/>
      <c r="BDD599" s="584"/>
      <c r="BDE599" s="584"/>
      <c r="BDF599" s="584"/>
      <c r="BDG599" s="584"/>
      <c r="BDH599" s="584"/>
      <c r="BDI599" s="584"/>
      <c r="BDJ599" s="584"/>
      <c r="BDK599" s="584"/>
      <c r="BDL599" s="584"/>
      <c r="BDM599" s="584"/>
      <c r="BDN599" s="584"/>
      <c r="BDO599" s="584"/>
      <c r="BDP599" s="584"/>
      <c r="BDQ599" s="584"/>
      <c r="BDR599" s="584"/>
      <c r="BDS599" s="584"/>
      <c r="BDT599" s="584"/>
      <c r="BDU599" s="584"/>
      <c r="BDV599" s="584"/>
      <c r="BDW599" s="584"/>
      <c r="BDX599" s="584"/>
      <c r="BDY599" s="584"/>
      <c r="BDZ599" s="584"/>
      <c r="BEA599" s="584"/>
      <c r="BEB599" s="584"/>
      <c r="BEC599" s="584"/>
      <c r="BED599" s="584"/>
      <c r="BEE599" s="584"/>
      <c r="BEF599" s="584"/>
      <c r="BEG599" s="584"/>
      <c r="BEH599" s="584"/>
      <c r="BEI599" s="584"/>
      <c r="BEJ599" s="584"/>
      <c r="BEK599" s="584"/>
      <c r="BEL599" s="584"/>
      <c r="BEM599" s="584"/>
      <c r="BEN599" s="584"/>
      <c r="BEO599" s="584"/>
      <c r="BEP599" s="584"/>
      <c r="BEQ599" s="584"/>
      <c r="BER599" s="584"/>
      <c r="BES599" s="584"/>
      <c r="BET599" s="584"/>
      <c r="BEU599" s="584"/>
      <c r="BEV599" s="584"/>
      <c r="BEW599" s="584"/>
      <c r="BEX599" s="584"/>
      <c r="BEY599" s="584"/>
      <c r="BEZ599" s="584"/>
      <c r="BFA599" s="584"/>
      <c r="BFB599" s="584"/>
      <c r="BFC599" s="584"/>
      <c r="BFD599" s="584"/>
      <c r="BFE599" s="584"/>
      <c r="BFF599" s="584"/>
      <c r="BFG599" s="584"/>
      <c r="BFH599" s="584"/>
      <c r="BFI599" s="584"/>
      <c r="BFJ599" s="584"/>
      <c r="BFK599" s="584"/>
      <c r="BFL599" s="584"/>
      <c r="BFM599" s="584"/>
      <c r="BFN599" s="584"/>
      <c r="BFO599" s="584"/>
      <c r="BFP599" s="584"/>
      <c r="BFQ599" s="584"/>
      <c r="BFR599" s="584"/>
      <c r="BFS599" s="584"/>
      <c r="BFT599" s="584"/>
      <c r="BFU599" s="584"/>
      <c r="BFV599" s="584"/>
      <c r="BFW599" s="584"/>
      <c r="BFX599" s="584"/>
      <c r="BFY599" s="584"/>
      <c r="BFZ599" s="584"/>
      <c r="BGA599" s="584"/>
      <c r="BGB599" s="584"/>
      <c r="BGC599" s="584"/>
      <c r="BGD599" s="584"/>
      <c r="BGE599" s="584"/>
      <c r="BGF599" s="584"/>
      <c r="BGG599" s="584"/>
      <c r="BGH599" s="584"/>
      <c r="BGI599" s="584"/>
      <c r="BGJ599" s="584"/>
      <c r="BGK599" s="584"/>
      <c r="BGL599" s="584"/>
      <c r="BGM599" s="584"/>
      <c r="BGN599" s="584"/>
      <c r="BGO599" s="584"/>
      <c r="BGP599" s="584"/>
      <c r="BGQ599" s="584"/>
      <c r="BGR599" s="584"/>
      <c r="BGS599" s="584"/>
      <c r="BGT599" s="584"/>
      <c r="BGU599" s="584"/>
      <c r="BGV599" s="584"/>
      <c r="BGW599" s="584"/>
      <c r="BGX599" s="584"/>
      <c r="BGY599" s="584"/>
      <c r="BGZ599" s="584"/>
      <c r="BHA599" s="584"/>
      <c r="BHB599" s="584"/>
      <c r="BHC599" s="584"/>
      <c r="BHD599" s="584"/>
      <c r="BHE599" s="584"/>
      <c r="BHF599" s="584"/>
      <c r="BHG599" s="584"/>
      <c r="BHH599" s="584"/>
      <c r="BHI599" s="584"/>
      <c r="BHJ599" s="584"/>
      <c r="BHK599" s="584"/>
      <c r="BHL599" s="584"/>
      <c r="BHM599" s="584"/>
      <c r="BHN599" s="584"/>
      <c r="BHO599" s="584"/>
      <c r="BHP599" s="584"/>
      <c r="BHQ599" s="584"/>
      <c r="BHR599" s="584"/>
      <c r="BHS599" s="584"/>
      <c r="BHT599" s="584"/>
      <c r="BHU599" s="584"/>
      <c r="BHV599" s="584"/>
      <c r="BHW599" s="584"/>
      <c r="BHX599" s="584"/>
      <c r="BHY599" s="584"/>
      <c r="BHZ599" s="584"/>
      <c r="BIA599" s="584"/>
      <c r="BIB599" s="584"/>
      <c r="BIC599" s="584"/>
      <c r="BID599" s="584"/>
      <c r="BIE599" s="584"/>
      <c r="BIF599" s="584"/>
      <c r="BIG599" s="584"/>
      <c r="BIH599" s="584"/>
      <c r="BII599" s="584"/>
      <c r="BIJ599" s="584"/>
      <c r="BIK599" s="584"/>
      <c r="BIL599" s="584"/>
      <c r="BIM599" s="584"/>
      <c r="BIN599" s="584"/>
      <c r="BIO599" s="584"/>
      <c r="BIP599" s="584"/>
      <c r="BIQ599" s="584"/>
      <c r="BIR599" s="584"/>
      <c r="BIS599" s="584"/>
      <c r="BIT599" s="584"/>
      <c r="BIU599" s="584"/>
      <c r="BIV599" s="584"/>
      <c r="BIW599" s="584"/>
      <c r="BIX599" s="584"/>
      <c r="BIY599" s="584"/>
      <c r="BIZ599" s="584"/>
      <c r="BJA599" s="584"/>
      <c r="BJB599" s="584"/>
      <c r="BJC599" s="584"/>
      <c r="BJD599" s="584"/>
      <c r="BJE599" s="584"/>
      <c r="BJF599" s="584"/>
      <c r="BJG599" s="584"/>
      <c r="BJH599" s="584"/>
      <c r="BJI599" s="584"/>
      <c r="BJJ599" s="584"/>
      <c r="BJK599" s="584"/>
      <c r="BJL599" s="584"/>
      <c r="BJM599" s="584"/>
      <c r="BJN599" s="584"/>
      <c r="BJO599" s="584"/>
      <c r="BJP599" s="584"/>
      <c r="BJQ599" s="584"/>
      <c r="BJR599" s="584"/>
      <c r="BJS599" s="584"/>
      <c r="BJT599" s="584"/>
      <c r="BJU599" s="584"/>
      <c r="BJV599" s="584"/>
      <c r="BJW599" s="584"/>
      <c r="BJX599" s="584"/>
      <c r="BJY599" s="584"/>
      <c r="BJZ599" s="584"/>
      <c r="BKA599" s="584"/>
      <c r="BKB599" s="584"/>
      <c r="BKC599" s="584"/>
      <c r="BKD599" s="584"/>
      <c r="BKE599" s="584"/>
      <c r="BKF599" s="584"/>
      <c r="BKG599" s="584"/>
      <c r="BKH599" s="584"/>
      <c r="BKI599" s="584"/>
      <c r="BKJ599" s="584"/>
      <c r="BKK599" s="584"/>
      <c r="BKL599" s="584"/>
      <c r="BKM599" s="584"/>
      <c r="BKN599" s="584"/>
      <c r="BKO599" s="584"/>
      <c r="BKP599" s="584"/>
      <c r="BKQ599" s="584"/>
      <c r="BKR599" s="584"/>
      <c r="BKS599" s="584"/>
      <c r="BKT599" s="584"/>
      <c r="BKU599" s="584"/>
      <c r="BKV599" s="584"/>
      <c r="BKW599" s="584"/>
      <c r="BKX599" s="584"/>
      <c r="BKY599" s="584"/>
      <c r="BKZ599" s="584"/>
      <c r="BLA599" s="584"/>
      <c r="BLB599" s="584"/>
      <c r="BLC599" s="584"/>
      <c r="BLD599" s="584"/>
      <c r="BLE599" s="584"/>
      <c r="BLF599" s="584"/>
      <c r="BLG599" s="584"/>
      <c r="BLH599" s="584"/>
      <c r="BLI599" s="584"/>
      <c r="BLJ599" s="584"/>
      <c r="BLK599" s="584"/>
      <c r="BLL599" s="584"/>
      <c r="BLM599" s="584"/>
      <c r="BLN599" s="584"/>
      <c r="BLO599" s="584"/>
      <c r="BLP599" s="584"/>
      <c r="BLQ599" s="584"/>
      <c r="BLR599" s="584"/>
      <c r="BLS599" s="584"/>
      <c r="BLT599" s="584"/>
      <c r="BLU599" s="584"/>
      <c r="BLV599" s="584"/>
      <c r="BLW599" s="584"/>
      <c r="BLX599" s="584"/>
      <c r="BLY599" s="584"/>
      <c r="BLZ599" s="584"/>
      <c r="BMA599" s="584"/>
      <c r="BMB599" s="584"/>
      <c r="BMC599" s="584"/>
      <c r="BMD599" s="584"/>
      <c r="BME599" s="584"/>
      <c r="BMF599" s="584"/>
      <c r="BMG599" s="584"/>
      <c r="BMH599" s="584"/>
      <c r="BMI599" s="584"/>
      <c r="BMJ599" s="584"/>
      <c r="BMK599" s="584"/>
      <c r="BML599" s="584"/>
      <c r="BMM599" s="584"/>
      <c r="BMN599" s="584"/>
      <c r="BMO599" s="584"/>
      <c r="BMP599" s="584"/>
      <c r="BMQ599" s="584"/>
      <c r="BMR599" s="584"/>
      <c r="BMS599" s="584"/>
      <c r="BMT599" s="584"/>
      <c r="BMU599" s="584"/>
      <c r="BMV599" s="584"/>
      <c r="BMW599" s="584"/>
      <c r="BMX599" s="584"/>
      <c r="BMY599" s="584"/>
      <c r="BMZ599" s="584"/>
      <c r="BNA599" s="584"/>
      <c r="BNB599" s="584"/>
      <c r="BNC599" s="584"/>
      <c r="BND599" s="584"/>
      <c r="BNE599" s="584"/>
      <c r="BNF599" s="584"/>
      <c r="BNG599" s="584"/>
      <c r="BNH599" s="584"/>
      <c r="BNI599" s="584"/>
      <c r="BNJ599" s="584"/>
      <c r="BNK599" s="584"/>
      <c r="BNL599" s="584"/>
      <c r="BNM599" s="584"/>
      <c r="BNN599" s="584"/>
      <c r="BNO599" s="584"/>
      <c r="BNP599" s="584"/>
      <c r="BNQ599" s="584"/>
      <c r="BNR599" s="584"/>
      <c r="BNS599" s="584"/>
      <c r="BNT599" s="584"/>
      <c r="BNU599" s="584"/>
      <c r="BNV599" s="584"/>
      <c r="BNW599" s="584"/>
      <c r="BNX599" s="584"/>
      <c r="BNY599" s="584"/>
      <c r="BNZ599" s="584"/>
      <c r="BOA599" s="584"/>
      <c r="BOB599" s="584"/>
      <c r="BOC599" s="584"/>
      <c r="BOD599" s="584"/>
      <c r="BOE599" s="584"/>
      <c r="BOF599" s="584"/>
      <c r="BOG599" s="584"/>
      <c r="BOH599" s="584"/>
      <c r="BOI599" s="584"/>
      <c r="BOJ599" s="584"/>
      <c r="BOK599" s="584"/>
      <c r="BOL599" s="584"/>
      <c r="BOM599" s="584"/>
      <c r="BON599" s="584"/>
      <c r="BOO599" s="584"/>
      <c r="BOP599" s="584"/>
      <c r="BOQ599" s="584"/>
      <c r="BOR599" s="584"/>
      <c r="BOS599" s="584"/>
      <c r="BOT599" s="584"/>
      <c r="BOU599" s="584"/>
      <c r="BOV599" s="584"/>
      <c r="BOW599" s="584"/>
      <c r="BOX599" s="584"/>
      <c r="BOY599" s="584"/>
      <c r="BOZ599" s="584"/>
      <c r="BPA599" s="584"/>
      <c r="BPB599" s="584"/>
      <c r="BPC599" s="584"/>
      <c r="BPD599" s="584"/>
      <c r="BPE599" s="584"/>
      <c r="BPF599" s="584"/>
      <c r="BPG599" s="584"/>
      <c r="BPH599" s="584"/>
      <c r="BPI599" s="584"/>
      <c r="BPJ599" s="584"/>
      <c r="BPK599" s="584"/>
      <c r="BPL599" s="584"/>
      <c r="BPM599" s="584"/>
      <c r="BPN599" s="584"/>
      <c r="BPO599" s="584"/>
      <c r="BPP599" s="584"/>
      <c r="BPQ599" s="584"/>
      <c r="BPR599" s="584"/>
      <c r="BPS599" s="584"/>
      <c r="BPT599" s="584"/>
      <c r="BPU599" s="584"/>
      <c r="BPV599" s="584"/>
      <c r="BPW599" s="584"/>
      <c r="BPX599" s="584"/>
      <c r="BPY599" s="584"/>
      <c r="BPZ599" s="584"/>
      <c r="BQA599" s="584"/>
      <c r="BQB599" s="584"/>
      <c r="BQC599" s="584"/>
      <c r="BQD599" s="584"/>
      <c r="BQE599" s="584"/>
      <c r="BQF599" s="584"/>
      <c r="BQG599" s="584"/>
      <c r="BQH599" s="584"/>
      <c r="BQI599" s="584"/>
      <c r="BQJ599" s="584"/>
      <c r="BQK599" s="584"/>
      <c r="BQL599" s="584"/>
      <c r="BQM599" s="584"/>
      <c r="BQN599" s="584"/>
      <c r="BQO599" s="584"/>
      <c r="BQP599" s="584"/>
      <c r="BQQ599" s="584"/>
      <c r="BQR599" s="584"/>
      <c r="BQS599" s="584"/>
      <c r="BQT599" s="584"/>
      <c r="BQU599" s="584"/>
      <c r="BQV599" s="584"/>
      <c r="BQW599" s="584"/>
      <c r="BQX599" s="584"/>
      <c r="BQY599" s="584"/>
      <c r="BQZ599" s="584"/>
      <c r="BRA599" s="584"/>
      <c r="BRB599" s="584"/>
      <c r="BRC599" s="584"/>
      <c r="BRD599" s="584"/>
      <c r="BRE599" s="584"/>
      <c r="BRF599" s="584"/>
      <c r="BRG599" s="584"/>
      <c r="BRH599" s="584"/>
      <c r="BRI599" s="584"/>
      <c r="BRJ599" s="584"/>
      <c r="BRK599" s="584"/>
      <c r="BRL599" s="584"/>
      <c r="BRM599" s="584"/>
      <c r="BRN599" s="584"/>
      <c r="BRO599" s="584"/>
      <c r="BRP599" s="584"/>
      <c r="BRQ599" s="584"/>
      <c r="BRR599" s="584"/>
      <c r="BRS599" s="584"/>
      <c r="BRT599" s="584"/>
      <c r="BRU599" s="584"/>
      <c r="BRV599" s="584"/>
      <c r="BRW599" s="584"/>
      <c r="BRX599" s="584"/>
      <c r="BRY599" s="584"/>
      <c r="BRZ599" s="584"/>
      <c r="BSA599" s="584"/>
      <c r="BSB599" s="584"/>
      <c r="BSC599" s="584"/>
      <c r="BSD599" s="584"/>
      <c r="BSE599" s="584"/>
      <c r="BSF599" s="584"/>
      <c r="BSG599" s="584"/>
      <c r="BSH599" s="584"/>
      <c r="BSI599" s="584"/>
      <c r="BSJ599" s="584"/>
      <c r="BSK599" s="584"/>
      <c r="BSL599" s="584"/>
      <c r="BSM599" s="584"/>
      <c r="BSN599" s="584"/>
      <c r="BSO599" s="584"/>
      <c r="BSP599" s="584"/>
      <c r="BSQ599" s="584"/>
      <c r="BSR599" s="584"/>
      <c r="BSS599" s="584"/>
      <c r="BST599" s="584"/>
      <c r="BSU599" s="584"/>
      <c r="BSV599" s="584"/>
      <c r="BSW599" s="584"/>
      <c r="BSX599" s="584"/>
      <c r="BSY599" s="584"/>
      <c r="BSZ599" s="584"/>
      <c r="BTA599" s="584"/>
      <c r="BTB599" s="584"/>
      <c r="BTC599" s="584"/>
      <c r="BTD599" s="584"/>
      <c r="BTE599" s="584"/>
      <c r="BTF599" s="584"/>
      <c r="BTG599" s="584"/>
      <c r="BTH599" s="584"/>
      <c r="BTI599" s="584"/>
      <c r="BTJ599" s="584"/>
      <c r="BTK599" s="584"/>
      <c r="BTL599" s="584"/>
      <c r="BTM599" s="584"/>
      <c r="BTN599" s="584"/>
      <c r="BTO599" s="584"/>
      <c r="BTP599" s="584"/>
      <c r="BTQ599" s="584"/>
      <c r="BTR599" s="584"/>
      <c r="BTS599" s="584"/>
      <c r="BTT599" s="584"/>
      <c r="BTU599" s="584"/>
      <c r="BTV599" s="584"/>
      <c r="BTW599" s="584"/>
      <c r="BTX599" s="584"/>
      <c r="BTY599" s="584"/>
      <c r="BTZ599" s="584"/>
      <c r="BUA599" s="584"/>
      <c r="BUB599" s="584"/>
      <c r="BUC599" s="584"/>
      <c r="BUD599" s="584"/>
      <c r="BUE599" s="584"/>
      <c r="BUF599" s="584"/>
      <c r="BUG599" s="584"/>
      <c r="BUH599" s="584"/>
      <c r="BUI599" s="584"/>
      <c r="BUJ599" s="584"/>
      <c r="BUK599" s="584"/>
      <c r="BUL599" s="584"/>
      <c r="BUM599" s="584"/>
      <c r="BUN599" s="584"/>
      <c r="BUO599" s="584"/>
      <c r="BUP599" s="584"/>
      <c r="BUQ599" s="584"/>
      <c r="BUR599" s="584"/>
      <c r="BUS599" s="584"/>
      <c r="BUT599" s="584"/>
      <c r="BUU599" s="584"/>
      <c r="BUV599" s="584"/>
      <c r="BUW599" s="584"/>
      <c r="BUX599" s="584"/>
      <c r="BUY599" s="584"/>
      <c r="BUZ599" s="584"/>
      <c r="BVA599" s="584"/>
      <c r="BVB599" s="584"/>
      <c r="BVC599" s="584"/>
      <c r="BVD599" s="584"/>
      <c r="BVE599" s="584"/>
      <c r="BVF599" s="584"/>
      <c r="BVG599" s="584"/>
      <c r="BVH599" s="584"/>
      <c r="BVI599" s="584"/>
      <c r="BVJ599" s="584"/>
      <c r="BVK599" s="584"/>
      <c r="BVL599" s="584"/>
      <c r="BVM599" s="584"/>
      <c r="BVN599" s="584"/>
      <c r="BVO599" s="584"/>
      <c r="BVP599" s="584"/>
      <c r="BVQ599" s="584"/>
      <c r="BVR599" s="584"/>
      <c r="BVS599" s="584"/>
      <c r="BVT599" s="584"/>
      <c r="BVU599" s="584"/>
      <c r="BVV599" s="584"/>
      <c r="BVW599" s="584"/>
      <c r="BVX599" s="584"/>
      <c r="BVY599" s="584"/>
      <c r="BVZ599" s="584"/>
      <c r="BWA599" s="584"/>
      <c r="BWB599" s="584"/>
      <c r="BWC599" s="584"/>
      <c r="BWD599" s="584"/>
      <c r="BWE599" s="584"/>
      <c r="BWF599" s="584"/>
      <c r="BWG599" s="584"/>
      <c r="BWH599" s="584"/>
      <c r="BWI599" s="584"/>
      <c r="BWJ599" s="584"/>
      <c r="BWK599" s="584"/>
      <c r="BWL599" s="584"/>
      <c r="BWM599" s="584"/>
      <c r="BWN599" s="584"/>
      <c r="BWO599" s="584"/>
      <c r="BWP599" s="584"/>
      <c r="BWQ599" s="584"/>
      <c r="BWR599" s="584"/>
      <c r="BWS599" s="584"/>
      <c r="BWT599" s="584"/>
      <c r="BWU599" s="584"/>
      <c r="BWV599" s="584"/>
      <c r="BWW599" s="584"/>
      <c r="BWX599" s="584"/>
      <c r="BWY599" s="584"/>
      <c r="BWZ599" s="584"/>
      <c r="BXA599" s="584"/>
      <c r="BXB599" s="584"/>
      <c r="BXC599" s="584"/>
      <c r="BXD599" s="584"/>
      <c r="BXE599" s="584"/>
      <c r="BXF599" s="584"/>
      <c r="BXG599" s="584"/>
      <c r="BXH599" s="584"/>
      <c r="BXI599" s="584"/>
      <c r="BXJ599" s="584"/>
      <c r="BXK599" s="584"/>
      <c r="BXL599" s="584"/>
      <c r="BXM599" s="584"/>
      <c r="BXN599" s="584"/>
      <c r="BXO599" s="584"/>
      <c r="BXP599" s="584"/>
      <c r="BXQ599" s="584"/>
      <c r="BXR599" s="584"/>
      <c r="BXS599" s="584"/>
      <c r="BXT599" s="584"/>
      <c r="BXU599" s="584"/>
      <c r="BXV599" s="584"/>
      <c r="BXW599" s="584"/>
      <c r="BXX599" s="584"/>
      <c r="BXY599" s="584"/>
      <c r="BXZ599" s="584"/>
      <c r="BYA599" s="584"/>
      <c r="BYB599" s="584"/>
      <c r="BYC599" s="584"/>
      <c r="BYD599" s="584"/>
      <c r="BYE599" s="584"/>
      <c r="BYF599" s="584"/>
      <c r="BYG599" s="584"/>
      <c r="BYH599" s="584"/>
      <c r="BYI599" s="584"/>
      <c r="BYJ599" s="584"/>
      <c r="BYK599" s="584"/>
      <c r="BYL599" s="584"/>
      <c r="BYM599" s="584"/>
      <c r="BYN599" s="584"/>
      <c r="BYO599" s="584"/>
      <c r="BYP599" s="584"/>
      <c r="BYQ599" s="584"/>
      <c r="BYR599" s="584"/>
      <c r="BYS599" s="584"/>
      <c r="BYT599" s="584"/>
      <c r="BYU599" s="584"/>
      <c r="BYV599" s="584"/>
      <c r="BYW599" s="584"/>
      <c r="BYX599" s="584"/>
      <c r="BYY599" s="584"/>
      <c r="BYZ599" s="584"/>
      <c r="BZA599" s="584"/>
      <c r="BZB599" s="584"/>
      <c r="BZC599" s="584"/>
      <c r="BZD599" s="584"/>
      <c r="BZE599" s="584"/>
      <c r="BZF599" s="584"/>
      <c r="BZG599" s="584"/>
      <c r="BZH599" s="584"/>
      <c r="BZI599" s="584"/>
      <c r="BZJ599" s="584"/>
      <c r="BZK599" s="584"/>
      <c r="BZL599" s="584"/>
      <c r="BZM599" s="584"/>
      <c r="BZN599" s="584"/>
      <c r="BZO599" s="584"/>
      <c r="BZP599" s="584"/>
      <c r="BZQ599" s="584"/>
      <c r="BZR599" s="584"/>
      <c r="BZS599" s="584"/>
      <c r="BZT599" s="584"/>
      <c r="BZU599" s="584"/>
      <c r="BZV599" s="584"/>
      <c r="BZW599" s="584"/>
      <c r="BZX599" s="584"/>
      <c r="BZY599" s="584"/>
      <c r="BZZ599" s="584"/>
      <c r="CAA599" s="584"/>
      <c r="CAB599" s="584"/>
      <c r="CAC599" s="584"/>
      <c r="CAD599" s="584"/>
      <c r="CAE599" s="584"/>
      <c r="CAF599" s="584"/>
      <c r="CAG599" s="584"/>
      <c r="CAH599" s="584"/>
      <c r="CAI599" s="584"/>
      <c r="CAJ599" s="584"/>
      <c r="CAK599" s="584"/>
      <c r="CAL599" s="584"/>
      <c r="CAM599" s="584"/>
      <c r="CAN599" s="584"/>
      <c r="CAO599" s="584"/>
      <c r="CAP599" s="584"/>
      <c r="CAQ599" s="584"/>
      <c r="CAR599" s="584"/>
      <c r="CAS599" s="584"/>
      <c r="CAT599" s="584"/>
      <c r="CAU599" s="584"/>
      <c r="CAV599" s="584"/>
      <c r="CAW599" s="584"/>
      <c r="CAX599" s="584"/>
      <c r="CAY599" s="584"/>
      <c r="CAZ599" s="584"/>
      <c r="CBA599" s="584"/>
      <c r="CBB599" s="584"/>
      <c r="CBC599" s="584"/>
      <c r="CBD599" s="584"/>
      <c r="CBE599" s="584"/>
      <c r="CBF599" s="584"/>
      <c r="CBG599" s="584"/>
      <c r="CBH599" s="584"/>
      <c r="CBI599" s="584"/>
      <c r="CBJ599" s="584"/>
      <c r="CBK599" s="584"/>
      <c r="CBL599" s="584"/>
      <c r="CBM599" s="584"/>
      <c r="CBN599" s="584"/>
      <c r="CBO599" s="584"/>
      <c r="CBP599" s="584"/>
      <c r="CBQ599" s="584"/>
      <c r="CBR599" s="584"/>
      <c r="CBS599" s="584"/>
      <c r="CBT599" s="584"/>
      <c r="CBU599" s="584"/>
      <c r="CBV599" s="584"/>
      <c r="CBW599" s="584"/>
      <c r="CBX599" s="584"/>
      <c r="CBY599" s="584"/>
      <c r="CBZ599" s="584"/>
      <c r="CCA599" s="584"/>
      <c r="CCB599" s="584"/>
      <c r="CCC599" s="584"/>
      <c r="CCD599" s="584"/>
      <c r="CCE599" s="584"/>
      <c r="CCF599" s="584"/>
      <c r="CCG599" s="584"/>
      <c r="CCH599" s="584"/>
      <c r="CCI599" s="584"/>
      <c r="CCJ599" s="584"/>
      <c r="CCK599" s="584"/>
      <c r="CCL599" s="584"/>
      <c r="CCM599" s="584"/>
      <c r="CCN599" s="584"/>
      <c r="CCO599" s="584"/>
      <c r="CCP599" s="584"/>
      <c r="CCQ599" s="584"/>
      <c r="CCR599" s="584"/>
      <c r="CCS599" s="584"/>
      <c r="CCT599" s="584"/>
      <c r="CCU599" s="584"/>
      <c r="CCV599" s="584"/>
      <c r="CCW599" s="584"/>
      <c r="CCX599" s="584"/>
      <c r="CCY599" s="584"/>
      <c r="CCZ599" s="584"/>
      <c r="CDA599" s="584"/>
      <c r="CDB599" s="584"/>
      <c r="CDC599" s="584"/>
      <c r="CDD599" s="584"/>
      <c r="CDE599" s="584"/>
      <c r="CDF599" s="584"/>
      <c r="CDG599" s="584"/>
      <c r="CDH599" s="584"/>
      <c r="CDI599" s="584"/>
      <c r="CDJ599" s="584"/>
      <c r="CDK599" s="584"/>
      <c r="CDL599" s="584"/>
      <c r="CDM599" s="584"/>
      <c r="CDN599" s="584"/>
      <c r="CDO599" s="584"/>
      <c r="CDP599" s="584"/>
      <c r="CDQ599" s="584"/>
      <c r="CDR599" s="584"/>
      <c r="CDS599" s="584"/>
      <c r="CDT599" s="584"/>
      <c r="CDU599" s="584"/>
      <c r="CDV599" s="584"/>
      <c r="CDW599" s="584"/>
      <c r="CDX599" s="584"/>
      <c r="CDY599" s="584"/>
      <c r="CDZ599" s="584"/>
      <c r="CEA599" s="584"/>
      <c r="CEB599" s="584"/>
      <c r="CEC599" s="584"/>
      <c r="CED599" s="584"/>
      <c r="CEE599" s="584"/>
      <c r="CEF599" s="584"/>
      <c r="CEG599" s="584"/>
      <c r="CEH599" s="584"/>
      <c r="CEI599" s="584"/>
      <c r="CEJ599" s="584"/>
      <c r="CEK599" s="584"/>
      <c r="CEL599" s="584"/>
      <c r="CEM599" s="584"/>
      <c r="CEN599" s="584"/>
      <c r="CEO599" s="584"/>
      <c r="CEP599" s="584"/>
      <c r="CEQ599" s="584"/>
      <c r="CER599" s="584"/>
      <c r="CES599" s="584"/>
      <c r="CET599" s="584"/>
      <c r="CEU599" s="584"/>
      <c r="CEV599" s="584"/>
      <c r="CEW599" s="584"/>
      <c r="CEX599" s="584"/>
      <c r="CEY599" s="584"/>
      <c r="CEZ599" s="584"/>
      <c r="CFA599" s="584"/>
      <c r="CFB599" s="584"/>
      <c r="CFC599" s="584"/>
      <c r="CFD599" s="584"/>
      <c r="CFE599" s="584"/>
      <c r="CFF599" s="584"/>
      <c r="CFG599" s="584"/>
      <c r="CFH599" s="584"/>
      <c r="CFI599" s="584"/>
      <c r="CFJ599" s="584"/>
      <c r="CFK599" s="584"/>
      <c r="CFL599" s="584"/>
      <c r="CFM599" s="584"/>
      <c r="CFN599" s="584"/>
      <c r="CFO599" s="584"/>
      <c r="CFP599" s="584"/>
      <c r="CFQ599" s="584"/>
      <c r="CFR599" s="584"/>
      <c r="CFS599" s="584"/>
      <c r="CFT599" s="584"/>
      <c r="CFU599" s="584"/>
      <c r="CFV599" s="584"/>
      <c r="CFW599" s="584"/>
      <c r="CFX599" s="584"/>
      <c r="CFY599" s="584"/>
      <c r="CFZ599" s="584"/>
      <c r="CGA599" s="584"/>
      <c r="CGB599" s="584"/>
      <c r="CGC599" s="584"/>
      <c r="CGD599" s="584"/>
      <c r="CGE599" s="584"/>
      <c r="CGF599" s="584"/>
      <c r="CGG599" s="584"/>
      <c r="CGH599" s="584"/>
      <c r="CGI599" s="584"/>
      <c r="CGJ599" s="584"/>
      <c r="CGK599" s="584"/>
      <c r="CGL599" s="584"/>
      <c r="CGM599" s="584"/>
      <c r="CGN599" s="584"/>
      <c r="CGO599" s="584"/>
      <c r="CGP599" s="584"/>
      <c r="CGQ599" s="584"/>
      <c r="CGR599" s="584"/>
      <c r="CGS599" s="584"/>
      <c r="CGT599" s="584"/>
      <c r="CGU599" s="584"/>
      <c r="CGV599" s="584"/>
      <c r="CGW599" s="584"/>
      <c r="CGX599" s="584"/>
      <c r="CGY599" s="584"/>
      <c r="CGZ599" s="584"/>
      <c r="CHA599" s="584"/>
      <c r="CHB599" s="584"/>
      <c r="CHC599" s="584"/>
      <c r="CHD599" s="584"/>
      <c r="CHE599" s="584"/>
      <c r="CHF599" s="584"/>
      <c r="CHG599" s="584"/>
      <c r="CHH599" s="584"/>
      <c r="CHI599" s="584"/>
      <c r="CHJ599" s="584"/>
      <c r="CHK599" s="584"/>
      <c r="CHL599" s="584"/>
      <c r="CHM599" s="584"/>
      <c r="CHN599" s="584"/>
      <c r="CHO599" s="584"/>
      <c r="CHP599" s="584"/>
      <c r="CHQ599" s="584"/>
      <c r="CHR599" s="584"/>
      <c r="CHS599" s="584"/>
      <c r="CHT599" s="584"/>
      <c r="CHU599" s="584"/>
      <c r="CHV599" s="584"/>
      <c r="CHW599" s="584"/>
      <c r="CHX599" s="584"/>
      <c r="CHY599" s="584"/>
      <c r="CHZ599" s="584"/>
      <c r="CIA599" s="584"/>
      <c r="CIB599" s="584"/>
      <c r="CIC599" s="584"/>
      <c r="CID599" s="584"/>
      <c r="CIE599" s="584"/>
      <c r="CIF599" s="584"/>
      <c r="CIG599" s="584"/>
      <c r="CIH599" s="584"/>
      <c r="CII599" s="584"/>
      <c r="CIJ599" s="584"/>
      <c r="CIK599" s="584"/>
      <c r="CIL599" s="584"/>
      <c r="CIM599" s="584"/>
      <c r="CIN599" s="584"/>
      <c r="CIO599" s="584"/>
      <c r="CIP599" s="584"/>
      <c r="CIQ599" s="584"/>
      <c r="CIR599" s="584"/>
      <c r="CIS599" s="584"/>
      <c r="CIT599" s="584"/>
      <c r="CIU599" s="584"/>
      <c r="CIV599" s="584"/>
      <c r="CIW599" s="584"/>
      <c r="CIX599" s="584"/>
      <c r="CIY599" s="584"/>
      <c r="CIZ599" s="584"/>
      <c r="CJA599" s="584"/>
      <c r="CJB599" s="584"/>
      <c r="CJC599" s="584"/>
      <c r="CJD599" s="584"/>
      <c r="CJE599" s="584"/>
      <c r="CJF599" s="584"/>
      <c r="CJG599" s="584"/>
      <c r="CJH599" s="584"/>
      <c r="CJI599" s="584"/>
      <c r="CJJ599" s="584"/>
      <c r="CJK599" s="584"/>
      <c r="CJL599" s="584"/>
      <c r="CJM599" s="584"/>
      <c r="CJN599" s="584"/>
      <c r="CJO599" s="584"/>
      <c r="CJP599" s="584"/>
      <c r="CJQ599" s="584"/>
      <c r="CJR599" s="584"/>
      <c r="CJS599" s="584"/>
      <c r="CJT599" s="584"/>
      <c r="CJU599" s="584"/>
      <c r="CJV599" s="584"/>
      <c r="CJW599" s="584"/>
      <c r="CJX599" s="584"/>
      <c r="CJY599" s="584"/>
      <c r="CJZ599" s="584"/>
      <c r="CKA599" s="584"/>
      <c r="CKB599" s="584"/>
      <c r="CKC599" s="584"/>
      <c r="CKD599" s="584"/>
      <c r="CKE599" s="584"/>
      <c r="CKF599" s="584"/>
      <c r="CKG599" s="584"/>
      <c r="CKH599" s="584"/>
      <c r="CKI599" s="584"/>
      <c r="CKJ599" s="584"/>
      <c r="CKK599" s="584"/>
      <c r="CKL599" s="584"/>
      <c r="CKM599" s="584"/>
      <c r="CKN599" s="584"/>
      <c r="CKO599" s="584"/>
      <c r="CKP599" s="584"/>
      <c r="CKQ599" s="584"/>
      <c r="CKR599" s="584"/>
      <c r="CKS599" s="584"/>
      <c r="CKT599" s="584"/>
      <c r="CKU599" s="584"/>
      <c r="CKV599" s="584"/>
      <c r="CKW599" s="584"/>
      <c r="CKX599" s="584"/>
      <c r="CKY599" s="584"/>
      <c r="CKZ599" s="584"/>
      <c r="CLA599" s="584"/>
      <c r="CLB599" s="584"/>
      <c r="CLC599" s="584"/>
      <c r="CLD599" s="584"/>
      <c r="CLE599" s="584"/>
      <c r="CLF599" s="584"/>
      <c r="CLG599" s="584"/>
      <c r="CLH599" s="584"/>
      <c r="CLI599" s="584"/>
      <c r="CLJ599" s="584"/>
      <c r="CLK599" s="584"/>
      <c r="CLL599" s="584"/>
      <c r="CLM599" s="584"/>
      <c r="CLN599" s="584"/>
      <c r="CLO599" s="584"/>
      <c r="CLP599" s="584"/>
      <c r="CLQ599" s="584"/>
      <c r="CLR599" s="584"/>
      <c r="CLS599" s="584"/>
      <c r="CLT599" s="584"/>
      <c r="CLU599" s="584"/>
      <c r="CLV599" s="584"/>
      <c r="CLW599" s="584"/>
      <c r="CLX599" s="584"/>
      <c r="CLY599" s="584"/>
      <c r="CLZ599" s="584"/>
      <c r="CMA599" s="584"/>
      <c r="CMB599" s="584"/>
      <c r="CMC599" s="584"/>
      <c r="CMD599" s="584"/>
      <c r="CME599" s="584"/>
      <c r="CMF599" s="584"/>
      <c r="CMG599" s="584"/>
      <c r="CMH599" s="584"/>
      <c r="CMI599" s="584"/>
      <c r="CMJ599" s="584"/>
      <c r="CMK599" s="584"/>
      <c r="CML599" s="584"/>
      <c r="CMM599" s="584"/>
      <c r="CMN599" s="584"/>
      <c r="CMO599" s="584"/>
      <c r="CMP599" s="584"/>
      <c r="CMQ599" s="584"/>
      <c r="CMR599" s="584"/>
      <c r="CMS599" s="584"/>
      <c r="CMT599" s="584"/>
      <c r="CMU599" s="584"/>
      <c r="CMV599" s="584"/>
      <c r="CMW599" s="584"/>
      <c r="CMX599" s="584"/>
      <c r="CMY599" s="584"/>
      <c r="CMZ599" s="584"/>
      <c r="CNA599" s="584"/>
      <c r="CNB599" s="584"/>
      <c r="CNC599" s="584"/>
      <c r="CND599" s="584"/>
      <c r="CNE599" s="584"/>
      <c r="CNF599" s="584"/>
      <c r="CNG599" s="584"/>
      <c r="CNH599" s="584"/>
      <c r="CNI599" s="584"/>
      <c r="CNJ599" s="584"/>
      <c r="CNK599" s="584"/>
      <c r="CNL599" s="584"/>
      <c r="CNM599" s="584"/>
      <c r="CNN599" s="584"/>
      <c r="CNO599" s="584"/>
      <c r="CNP599" s="584"/>
      <c r="CNQ599" s="584"/>
      <c r="CNR599" s="584"/>
      <c r="CNS599" s="584"/>
      <c r="CNT599" s="584"/>
      <c r="CNU599" s="584"/>
      <c r="CNV599" s="584"/>
      <c r="CNW599" s="584"/>
      <c r="CNX599" s="584"/>
      <c r="CNY599" s="584"/>
      <c r="CNZ599" s="584"/>
      <c r="COA599" s="584"/>
      <c r="COB599" s="584"/>
      <c r="COC599" s="584"/>
      <c r="COD599" s="584"/>
      <c r="COE599" s="584"/>
      <c r="COF599" s="584"/>
      <c r="COG599" s="584"/>
      <c r="COH599" s="584"/>
      <c r="COI599" s="584"/>
      <c r="COJ599" s="584"/>
      <c r="COK599" s="584"/>
      <c r="COL599" s="584"/>
      <c r="COM599" s="584"/>
      <c r="CON599" s="584"/>
      <c r="COO599" s="584"/>
      <c r="COP599" s="584"/>
      <c r="COQ599" s="584"/>
      <c r="COR599" s="584"/>
      <c r="COS599" s="584"/>
      <c r="COT599" s="584"/>
      <c r="COU599" s="584"/>
      <c r="COV599" s="584"/>
      <c r="COW599" s="584"/>
      <c r="COX599" s="584"/>
      <c r="COY599" s="584"/>
      <c r="COZ599" s="584"/>
      <c r="CPA599" s="584"/>
      <c r="CPB599" s="584"/>
      <c r="CPC599" s="584"/>
      <c r="CPD599" s="584"/>
      <c r="CPE599" s="584"/>
      <c r="CPF599" s="584"/>
      <c r="CPG599" s="584"/>
      <c r="CPH599" s="584"/>
      <c r="CPI599" s="584"/>
      <c r="CPJ599" s="584"/>
      <c r="CPK599" s="584"/>
      <c r="CPL599" s="584"/>
      <c r="CPM599" s="584"/>
      <c r="CPN599" s="584"/>
      <c r="CPO599" s="584"/>
      <c r="CPP599" s="584"/>
      <c r="CPQ599" s="584"/>
      <c r="CPR599" s="584"/>
      <c r="CPS599" s="584"/>
      <c r="CPT599" s="584"/>
      <c r="CPU599" s="584"/>
      <c r="CPV599" s="584"/>
      <c r="CPW599" s="584"/>
      <c r="CPX599" s="584"/>
      <c r="CPY599" s="584"/>
      <c r="CPZ599" s="584"/>
      <c r="CQA599" s="584"/>
      <c r="CQB599" s="584"/>
      <c r="CQC599" s="584"/>
      <c r="CQD599" s="584"/>
      <c r="CQE599" s="584"/>
      <c r="CQF599" s="584"/>
      <c r="CQG599" s="584"/>
      <c r="CQH599" s="584"/>
      <c r="CQI599" s="584"/>
      <c r="CQJ599" s="584"/>
      <c r="CQK599" s="584"/>
      <c r="CQL599" s="584"/>
      <c r="CQM599" s="584"/>
      <c r="CQN599" s="584"/>
      <c r="CQO599" s="584"/>
      <c r="CQP599" s="584"/>
      <c r="CQQ599" s="584"/>
      <c r="CQR599" s="584"/>
      <c r="CQS599" s="584"/>
      <c r="CQT599" s="584"/>
      <c r="CQU599" s="584"/>
      <c r="CQV599" s="584"/>
      <c r="CQW599" s="584"/>
      <c r="CQX599" s="584"/>
      <c r="CQY599" s="584"/>
      <c r="CQZ599" s="584"/>
      <c r="CRA599" s="584"/>
      <c r="CRB599" s="584"/>
      <c r="CRC599" s="584"/>
      <c r="CRD599" s="584"/>
      <c r="CRE599" s="584"/>
      <c r="CRF599" s="584"/>
      <c r="CRG599" s="584"/>
      <c r="CRH599" s="584"/>
      <c r="CRI599" s="584"/>
      <c r="CRJ599" s="584"/>
      <c r="CRK599" s="584"/>
      <c r="CRL599" s="584"/>
      <c r="CRM599" s="584"/>
      <c r="CRN599" s="584"/>
      <c r="CRO599" s="584"/>
      <c r="CRP599" s="584"/>
      <c r="CRQ599" s="584"/>
      <c r="CRR599" s="584"/>
      <c r="CRS599" s="584"/>
      <c r="CRT599" s="584"/>
      <c r="CRU599" s="584"/>
      <c r="CRV599" s="584"/>
      <c r="CRW599" s="584"/>
      <c r="CRX599" s="584"/>
      <c r="CRY599" s="584"/>
      <c r="CRZ599" s="584"/>
      <c r="CSA599" s="584"/>
      <c r="CSB599" s="584"/>
      <c r="CSC599" s="584"/>
      <c r="CSD599" s="584"/>
      <c r="CSE599" s="584"/>
      <c r="CSF599" s="584"/>
      <c r="CSG599" s="584"/>
      <c r="CSH599" s="584"/>
      <c r="CSI599" s="584"/>
      <c r="CSJ599" s="584"/>
      <c r="CSK599" s="584"/>
      <c r="CSL599" s="584"/>
      <c r="CSM599" s="584"/>
      <c r="CSN599" s="584"/>
      <c r="CSO599" s="584"/>
      <c r="CSP599" s="584"/>
      <c r="CSQ599" s="584"/>
      <c r="CSR599" s="584"/>
      <c r="CSS599" s="584"/>
      <c r="CST599" s="584"/>
      <c r="CSU599" s="584"/>
      <c r="CSV599" s="584"/>
      <c r="CSW599" s="584"/>
      <c r="CSX599" s="584"/>
      <c r="CSY599" s="584"/>
      <c r="CSZ599" s="584"/>
      <c r="CTA599" s="584"/>
      <c r="CTB599" s="584"/>
      <c r="CTC599" s="584"/>
      <c r="CTD599" s="584"/>
      <c r="CTE599" s="584"/>
      <c r="CTF599" s="584"/>
      <c r="CTG599" s="584"/>
      <c r="CTH599" s="584"/>
      <c r="CTI599" s="584"/>
      <c r="CTJ599" s="584"/>
      <c r="CTK599" s="584"/>
      <c r="CTL599" s="584"/>
      <c r="CTM599" s="584"/>
      <c r="CTN599" s="584"/>
      <c r="CTO599" s="584"/>
      <c r="CTP599" s="584"/>
      <c r="CTQ599" s="584"/>
      <c r="CTR599" s="584"/>
      <c r="CTS599" s="584"/>
      <c r="CTT599" s="584"/>
      <c r="CTU599" s="584"/>
      <c r="CTV599" s="584"/>
      <c r="CTW599" s="584"/>
      <c r="CTX599" s="584"/>
      <c r="CTY599" s="584"/>
      <c r="CTZ599" s="584"/>
      <c r="CUA599" s="584"/>
      <c r="CUB599" s="584"/>
      <c r="CUC599" s="584"/>
      <c r="CUD599" s="584"/>
      <c r="CUE599" s="584"/>
      <c r="CUF599" s="584"/>
      <c r="CUG599" s="584"/>
      <c r="CUH599" s="584"/>
      <c r="CUI599" s="584"/>
      <c r="CUJ599" s="584"/>
      <c r="CUK599" s="584"/>
      <c r="CUL599" s="584"/>
      <c r="CUM599" s="584"/>
      <c r="CUN599" s="584"/>
      <c r="CUO599" s="584"/>
      <c r="CUP599" s="584"/>
      <c r="CUQ599" s="584"/>
      <c r="CUR599" s="584"/>
      <c r="CUS599" s="584"/>
      <c r="CUT599" s="584"/>
      <c r="CUU599" s="584"/>
      <c r="CUV599" s="584"/>
      <c r="CUW599" s="584"/>
      <c r="CUX599" s="584"/>
      <c r="CUY599" s="584"/>
      <c r="CUZ599" s="584"/>
      <c r="CVA599" s="584"/>
      <c r="CVB599" s="584"/>
      <c r="CVC599" s="584"/>
      <c r="CVD599" s="584"/>
      <c r="CVE599" s="584"/>
      <c r="CVF599" s="584"/>
      <c r="CVG599" s="584"/>
      <c r="CVH599" s="584"/>
      <c r="CVI599" s="584"/>
      <c r="CVJ599" s="584"/>
      <c r="CVK599" s="584"/>
      <c r="CVL599" s="584"/>
      <c r="CVM599" s="584"/>
      <c r="CVN599" s="584"/>
      <c r="CVO599" s="584"/>
      <c r="CVP599" s="584"/>
      <c r="CVQ599" s="584"/>
      <c r="CVR599" s="584"/>
      <c r="CVS599" s="584"/>
      <c r="CVT599" s="584"/>
      <c r="CVU599" s="584"/>
      <c r="CVV599" s="584"/>
      <c r="CVW599" s="584"/>
      <c r="CVX599" s="584"/>
      <c r="CVY599" s="584"/>
      <c r="CVZ599" s="584"/>
      <c r="CWA599" s="584"/>
      <c r="CWB599" s="584"/>
      <c r="CWC599" s="584"/>
      <c r="CWD599" s="584"/>
      <c r="CWE599" s="584"/>
      <c r="CWF599" s="584"/>
      <c r="CWG599" s="584"/>
      <c r="CWH599" s="584"/>
      <c r="CWI599" s="584"/>
      <c r="CWJ599" s="584"/>
      <c r="CWK599" s="584"/>
      <c r="CWL599" s="584"/>
      <c r="CWM599" s="584"/>
      <c r="CWN599" s="584"/>
      <c r="CWO599" s="584"/>
      <c r="CWP599" s="584"/>
      <c r="CWQ599" s="584"/>
      <c r="CWR599" s="584"/>
      <c r="CWS599" s="584"/>
      <c r="CWT599" s="584"/>
      <c r="CWU599" s="584"/>
      <c r="CWV599" s="584"/>
      <c r="CWW599" s="584"/>
      <c r="CWX599" s="584"/>
      <c r="CWY599" s="584"/>
      <c r="CWZ599" s="584"/>
      <c r="CXA599" s="584"/>
      <c r="CXB599" s="584"/>
      <c r="CXC599" s="584"/>
      <c r="CXD599" s="584"/>
      <c r="CXE599" s="584"/>
      <c r="CXF599" s="584"/>
      <c r="CXG599" s="584"/>
      <c r="CXH599" s="584"/>
      <c r="CXI599" s="584"/>
      <c r="CXJ599" s="584"/>
      <c r="CXK599" s="584"/>
      <c r="CXL599" s="584"/>
      <c r="CXM599" s="584"/>
      <c r="CXN599" s="584"/>
      <c r="CXO599" s="584"/>
      <c r="CXP599" s="584"/>
      <c r="CXQ599" s="584"/>
      <c r="CXR599" s="584"/>
      <c r="CXS599" s="584"/>
      <c r="CXT599" s="584"/>
      <c r="CXU599" s="584"/>
      <c r="CXV599" s="584"/>
      <c r="CXW599" s="584"/>
      <c r="CXX599" s="584"/>
      <c r="CXY599" s="584"/>
      <c r="CXZ599" s="584"/>
      <c r="CYA599" s="584"/>
      <c r="CYB599" s="584"/>
      <c r="CYC599" s="584"/>
      <c r="CYD599" s="584"/>
      <c r="CYE599" s="584"/>
      <c r="CYF599" s="584"/>
      <c r="CYG599" s="584"/>
      <c r="CYH599" s="584"/>
      <c r="CYI599" s="584"/>
      <c r="CYJ599" s="584"/>
      <c r="CYK599" s="584"/>
      <c r="CYL599" s="584"/>
      <c r="CYM599" s="584"/>
      <c r="CYN599" s="584"/>
      <c r="CYO599" s="584"/>
      <c r="CYP599" s="584"/>
      <c r="CYQ599" s="584"/>
      <c r="CYR599" s="584"/>
      <c r="CYS599" s="584"/>
      <c r="CYT599" s="584"/>
      <c r="CYU599" s="584"/>
      <c r="CYV599" s="584"/>
      <c r="CYW599" s="584"/>
      <c r="CYX599" s="584"/>
      <c r="CYY599" s="584"/>
      <c r="CYZ599" s="584"/>
      <c r="CZA599" s="584"/>
      <c r="CZB599" s="584"/>
      <c r="CZC599" s="584"/>
      <c r="CZD599" s="584"/>
      <c r="CZE599" s="584"/>
      <c r="CZF599" s="584"/>
      <c r="CZG599" s="584"/>
      <c r="CZH599" s="584"/>
      <c r="CZI599" s="584"/>
      <c r="CZJ599" s="584"/>
      <c r="CZK599" s="584"/>
      <c r="CZL599" s="584"/>
      <c r="CZM599" s="584"/>
      <c r="CZN599" s="584"/>
      <c r="CZO599" s="584"/>
      <c r="CZP599" s="584"/>
      <c r="CZQ599" s="584"/>
      <c r="CZR599" s="584"/>
      <c r="CZS599" s="584"/>
      <c r="CZT599" s="584"/>
      <c r="CZU599" s="584"/>
      <c r="CZV599" s="584"/>
      <c r="CZW599" s="584"/>
      <c r="CZX599" s="584"/>
      <c r="CZY599" s="584"/>
      <c r="CZZ599" s="584"/>
      <c r="DAA599" s="584"/>
      <c r="DAB599" s="584"/>
      <c r="DAC599" s="584"/>
      <c r="DAD599" s="584"/>
      <c r="DAE599" s="584"/>
      <c r="DAF599" s="584"/>
      <c r="DAG599" s="584"/>
      <c r="DAH599" s="584"/>
      <c r="DAI599" s="584"/>
      <c r="DAJ599" s="584"/>
      <c r="DAK599" s="584"/>
      <c r="DAL599" s="584"/>
      <c r="DAM599" s="584"/>
      <c r="DAN599" s="584"/>
      <c r="DAO599" s="584"/>
      <c r="DAP599" s="584"/>
      <c r="DAQ599" s="584"/>
      <c r="DAR599" s="584"/>
      <c r="DAS599" s="584"/>
      <c r="DAT599" s="584"/>
      <c r="DAU599" s="584"/>
      <c r="DAV599" s="584"/>
      <c r="DAW599" s="584"/>
      <c r="DAX599" s="584"/>
      <c r="DAY599" s="584"/>
      <c r="DAZ599" s="584"/>
      <c r="DBA599" s="584"/>
      <c r="DBB599" s="584"/>
      <c r="DBC599" s="584"/>
      <c r="DBD599" s="584"/>
      <c r="DBE599" s="584"/>
      <c r="DBF599" s="584"/>
      <c r="DBG599" s="584"/>
      <c r="DBH599" s="584"/>
      <c r="DBI599" s="584"/>
      <c r="DBJ599" s="584"/>
      <c r="DBK599" s="584"/>
      <c r="DBL599" s="584"/>
      <c r="DBM599" s="584"/>
      <c r="DBN599" s="584"/>
      <c r="DBO599" s="584"/>
      <c r="DBP599" s="584"/>
      <c r="DBQ599" s="584"/>
      <c r="DBR599" s="584"/>
      <c r="DBS599" s="584"/>
      <c r="DBT599" s="584"/>
      <c r="DBU599" s="584"/>
      <c r="DBV599" s="584"/>
      <c r="DBW599" s="584"/>
      <c r="DBX599" s="584"/>
      <c r="DBY599" s="584"/>
      <c r="DBZ599" s="584"/>
      <c r="DCA599" s="584"/>
      <c r="DCB599" s="584"/>
      <c r="DCC599" s="584"/>
      <c r="DCD599" s="584"/>
      <c r="DCE599" s="584"/>
      <c r="DCF599" s="584"/>
      <c r="DCG599" s="584"/>
      <c r="DCH599" s="584"/>
      <c r="DCI599" s="584"/>
      <c r="DCJ599" s="584"/>
      <c r="DCK599" s="584"/>
      <c r="DCL599" s="584"/>
      <c r="DCM599" s="584"/>
      <c r="DCN599" s="584"/>
      <c r="DCO599" s="584"/>
      <c r="DCP599" s="584"/>
      <c r="DCQ599" s="584"/>
      <c r="DCR599" s="584"/>
      <c r="DCS599" s="584"/>
      <c r="DCT599" s="584"/>
      <c r="DCU599" s="584"/>
      <c r="DCV599" s="584"/>
      <c r="DCW599" s="584"/>
      <c r="DCX599" s="584"/>
      <c r="DCY599" s="584"/>
      <c r="DCZ599" s="584"/>
      <c r="DDA599" s="584"/>
      <c r="DDB599" s="584"/>
      <c r="DDC599" s="584"/>
      <c r="DDD599" s="584"/>
      <c r="DDE599" s="584"/>
      <c r="DDF599" s="584"/>
      <c r="DDG599" s="584"/>
      <c r="DDH599" s="584"/>
      <c r="DDI599" s="584"/>
      <c r="DDJ599" s="584"/>
      <c r="DDK599" s="584"/>
      <c r="DDL599" s="584"/>
      <c r="DDM599" s="584"/>
      <c r="DDN599" s="584"/>
      <c r="DDO599" s="584"/>
      <c r="DDP599" s="584"/>
      <c r="DDQ599" s="584"/>
      <c r="DDR599" s="584"/>
      <c r="DDS599" s="584"/>
      <c r="DDT599" s="584"/>
      <c r="DDU599" s="584"/>
      <c r="DDV599" s="584"/>
      <c r="DDW599" s="584"/>
      <c r="DDX599" s="584"/>
      <c r="DDY599" s="584"/>
      <c r="DDZ599" s="584"/>
      <c r="DEA599" s="584"/>
      <c r="DEB599" s="584"/>
      <c r="DEC599" s="584"/>
      <c r="DED599" s="584"/>
      <c r="DEE599" s="584"/>
      <c r="DEF599" s="584"/>
      <c r="DEG599" s="584"/>
      <c r="DEH599" s="584"/>
      <c r="DEI599" s="584"/>
      <c r="DEJ599" s="584"/>
      <c r="DEK599" s="584"/>
      <c r="DEL599" s="584"/>
      <c r="DEM599" s="584"/>
      <c r="DEN599" s="584"/>
      <c r="DEO599" s="584"/>
      <c r="DEP599" s="584"/>
      <c r="DEQ599" s="584"/>
      <c r="DER599" s="584"/>
      <c r="DES599" s="584"/>
      <c r="DET599" s="584"/>
      <c r="DEU599" s="584"/>
      <c r="DEV599" s="584"/>
      <c r="DEW599" s="584"/>
      <c r="DEX599" s="584"/>
      <c r="DEY599" s="584"/>
      <c r="DEZ599" s="584"/>
      <c r="DFA599" s="584"/>
      <c r="DFB599" s="584"/>
      <c r="DFC599" s="584"/>
      <c r="DFD599" s="584"/>
      <c r="DFE599" s="584"/>
      <c r="DFF599" s="584"/>
      <c r="DFG599" s="584"/>
      <c r="DFH599" s="584"/>
      <c r="DFI599" s="584"/>
      <c r="DFJ599" s="584"/>
      <c r="DFK599" s="584"/>
      <c r="DFL599" s="584"/>
      <c r="DFM599" s="584"/>
      <c r="DFN599" s="584"/>
      <c r="DFO599" s="584"/>
      <c r="DFP599" s="584"/>
      <c r="DFQ599" s="584"/>
      <c r="DFR599" s="584"/>
      <c r="DFS599" s="584"/>
      <c r="DFT599" s="584"/>
      <c r="DFU599" s="584"/>
      <c r="DFV599" s="584"/>
      <c r="DFW599" s="584"/>
      <c r="DFX599" s="584"/>
      <c r="DFY599" s="584"/>
      <c r="DFZ599" s="584"/>
      <c r="DGA599" s="584"/>
      <c r="DGB599" s="584"/>
      <c r="DGC599" s="584"/>
      <c r="DGD599" s="584"/>
      <c r="DGE599" s="584"/>
      <c r="DGF599" s="584"/>
      <c r="DGG599" s="584"/>
      <c r="DGH599" s="584"/>
      <c r="DGI599" s="584"/>
      <c r="DGJ599" s="584"/>
      <c r="DGK599" s="584"/>
      <c r="DGL599" s="584"/>
      <c r="DGM599" s="584"/>
      <c r="DGN599" s="584"/>
      <c r="DGO599" s="584"/>
      <c r="DGP599" s="584"/>
      <c r="DGQ599" s="584"/>
      <c r="DGR599" s="584"/>
      <c r="DGS599" s="584"/>
      <c r="DGT599" s="584"/>
      <c r="DGU599" s="584"/>
      <c r="DGV599" s="584"/>
      <c r="DGW599" s="584"/>
      <c r="DGX599" s="584"/>
      <c r="DGY599" s="584"/>
      <c r="DGZ599" s="584"/>
      <c r="DHA599" s="584"/>
      <c r="DHB599" s="584"/>
      <c r="DHC599" s="584"/>
      <c r="DHD599" s="584"/>
      <c r="DHE599" s="584"/>
      <c r="DHF599" s="584"/>
      <c r="DHG599" s="584"/>
      <c r="DHH599" s="584"/>
      <c r="DHI599" s="584"/>
      <c r="DHJ599" s="584"/>
      <c r="DHK599" s="584"/>
      <c r="DHL599" s="584"/>
      <c r="DHM599" s="584"/>
      <c r="DHN599" s="584"/>
      <c r="DHO599" s="584"/>
      <c r="DHP599" s="584"/>
      <c r="DHQ599" s="584"/>
      <c r="DHR599" s="584"/>
      <c r="DHS599" s="584"/>
      <c r="DHT599" s="584"/>
      <c r="DHU599" s="584"/>
      <c r="DHV599" s="584"/>
      <c r="DHW599" s="584"/>
      <c r="DHX599" s="584"/>
      <c r="DHY599" s="584"/>
      <c r="DHZ599" s="584"/>
      <c r="DIA599" s="584"/>
      <c r="DIB599" s="584"/>
      <c r="DIC599" s="584"/>
      <c r="DID599" s="584"/>
      <c r="DIE599" s="584"/>
      <c r="DIF599" s="584"/>
      <c r="DIG599" s="584"/>
      <c r="DIH599" s="584"/>
      <c r="DII599" s="584"/>
      <c r="DIJ599" s="584"/>
      <c r="DIK599" s="584"/>
      <c r="DIL599" s="584"/>
      <c r="DIM599" s="584"/>
      <c r="DIN599" s="584"/>
      <c r="DIO599" s="584"/>
      <c r="DIP599" s="584"/>
      <c r="DIQ599" s="584"/>
      <c r="DIR599" s="584"/>
      <c r="DIS599" s="584"/>
      <c r="DIT599" s="584"/>
      <c r="DIU599" s="584"/>
      <c r="DIV599" s="584"/>
      <c r="DIW599" s="584"/>
      <c r="DIX599" s="584"/>
      <c r="DIY599" s="584"/>
      <c r="DIZ599" s="584"/>
      <c r="DJA599" s="584"/>
      <c r="DJB599" s="584"/>
      <c r="DJC599" s="584"/>
      <c r="DJD599" s="584"/>
      <c r="DJE599" s="584"/>
      <c r="DJF599" s="584"/>
      <c r="DJG599" s="584"/>
      <c r="DJH599" s="584"/>
      <c r="DJI599" s="584"/>
      <c r="DJJ599" s="584"/>
      <c r="DJK599" s="584"/>
      <c r="DJL599" s="584"/>
      <c r="DJM599" s="584"/>
      <c r="DJN599" s="584"/>
      <c r="DJO599" s="584"/>
      <c r="DJP599" s="584"/>
      <c r="DJQ599" s="584"/>
      <c r="DJR599" s="584"/>
      <c r="DJS599" s="584"/>
      <c r="DJT599" s="584"/>
      <c r="DJU599" s="584"/>
      <c r="DJV599" s="584"/>
      <c r="DJW599" s="584"/>
      <c r="DJX599" s="584"/>
      <c r="DJY599" s="584"/>
      <c r="DJZ599" s="584"/>
      <c r="DKA599" s="584"/>
      <c r="DKB599" s="584"/>
      <c r="DKC599" s="584"/>
      <c r="DKD599" s="584"/>
      <c r="DKE599" s="584"/>
      <c r="DKF599" s="584"/>
      <c r="DKG599" s="584"/>
      <c r="DKH599" s="584"/>
      <c r="DKI599" s="584"/>
      <c r="DKJ599" s="584"/>
      <c r="DKK599" s="584"/>
      <c r="DKL599" s="584"/>
      <c r="DKM599" s="584"/>
      <c r="DKN599" s="584"/>
      <c r="DKO599" s="584"/>
      <c r="DKP599" s="584"/>
      <c r="DKQ599" s="584"/>
      <c r="DKR599" s="584"/>
      <c r="DKS599" s="584"/>
      <c r="DKT599" s="584"/>
      <c r="DKU599" s="584"/>
      <c r="DKV599" s="584"/>
      <c r="DKW599" s="584"/>
      <c r="DKX599" s="584"/>
      <c r="DKY599" s="584"/>
      <c r="DKZ599" s="584"/>
      <c r="DLA599" s="584"/>
      <c r="DLB599" s="584"/>
      <c r="DLC599" s="584"/>
      <c r="DLD599" s="584"/>
      <c r="DLE599" s="584"/>
      <c r="DLF599" s="584"/>
      <c r="DLG599" s="584"/>
      <c r="DLH599" s="584"/>
      <c r="DLI599" s="584"/>
      <c r="DLJ599" s="584"/>
      <c r="DLK599" s="584"/>
      <c r="DLL599" s="584"/>
      <c r="DLM599" s="584"/>
      <c r="DLN599" s="584"/>
      <c r="DLO599" s="584"/>
      <c r="DLP599" s="584"/>
      <c r="DLQ599" s="584"/>
      <c r="DLR599" s="584"/>
      <c r="DLS599" s="584"/>
      <c r="DLT599" s="584"/>
      <c r="DLU599" s="584"/>
      <c r="DLV599" s="584"/>
      <c r="DLW599" s="584"/>
      <c r="DLX599" s="584"/>
      <c r="DLY599" s="584"/>
      <c r="DLZ599" s="584"/>
      <c r="DMA599" s="584"/>
      <c r="DMB599" s="584"/>
      <c r="DMC599" s="584"/>
      <c r="DMD599" s="584"/>
      <c r="DME599" s="584"/>
      <c r="DMF599" s="584"/>
      <c r="DMG599" s="584"/>
      <c r="DMH599" s="584"/>
      <c r="DMI599" s="584"/>
      <c r="DMJ599" s="584"/>
      <c r="DMK599" s="584"/>
      <c r="DML599" s="584"/>
      <c r="DMM599" s="584"/>
      <c r="DMN599" s="584"/>
      <c r="DMO599" s="584"/>
      <c r="DMP599" s="584"/>
      <c r="DMQ599" s="584"/>
      <c r="DMR599" s="584"/>
      <c r="DMS599" s="584"/>
      <c r="DMT599" s="584"/>
      <c r="DMU599" s="584"/>
      <c r="DMV599" s="584"/>
      <c r="DMW599" s="584"/>
      <c r="DMX599" s="584"/>
      <c r="DMY599" s="584"/>
      <c r="DMZ599" s="584"/>
      <c r="DNA599" s="584"/>
      <c r="DNB599" s="584"/>
      <c r="DNC599" s="584"/>
      <c r="DND599" s="584"/>
      <c r="DNE599" s="584"/>
      <c r="DNF599" s="584"/>
      <c r="DNG599" s="584"/>
      <c r="DNH599" s="584"/>
      <c r="DNI599" s="584"/>
      <c r="DNJ599" s="584"/>
      <c r="DNK599" s="584"/>
      <c r="DNL599" s="584"/>
      <c r="DNM599" s="584"/>
      <c r="DNN599" s="584"/>
      <c r="DNO599" s="584"/>
      <c r="DNP599" s="584"/>
      <c r="DNQ599" s="584"/>
      <c r="DNR599" s="584"/>
      <c r="DNS599" s="584"/>
      <c r="DNT599" s="584"/>
      <c r="DNU599" s="584"/>
      <c r="DNV599" s="584"/>
      <c r="DNW599" s="584"/>
      <c r="DNX599" s="584"/>
      <c r="DNY599" s="584"/>
      <c r="DNZ599" s="584"/>
      <c r="DOA599" s="584"/>
      <c r="DOB599" s="584"/>
      <c r="DOC599" s="584"/>
      <c r="DOD599" s="584"/>
      <c r="DOE599" s="584"/>
      <c r="DOF599" s="584"/>
      <c r="DOG599" s="584"/>
      <c r="DOH599" s="584"/>
      <c r="DOI599" s="584"/>
      <c r="DOJ599" s="584"/>
      <c r="DOK599" s="584"/>
      <c r="DOL599" s="584"/>
      <c r="DOM599" s="584"/>
      <c r="DON599" s="584"/>
      <c r="DOO599" s="584"/>
      <c r="DOP599" s="584"/>
      <c r="DOQ599" s="584"/>
      <c r="DOR599" s="584"/>
      <c r="DOS599" s="584"/>
      <c r="DOT599" s="584"/>
      <c r="DOU599" s="584"/>
      <c r="DOV599" s="584"/>
      <c r="DOW599" s="584"/>
      <c r="DOX599" s="584"/>
      <c r="DOY599" s="584"/>
      <c r="DOZ599" s="584"/>
      <c r="DPA599" s="584"/>
      <c r="DPB599" s="584"/>
      <c r="DPC599" s="584"/>
      <c r="DPD599" s="584"/>
      <c r="DPE599" s="584"/>
      <c r="DPF599" s="584"/>
      <c r="DPG599" s="584"/>
      <c r="DPH599" s="584"/>
      <c r="DPI599" s="584"/>
      <c r="DPJ599" s="584"/>
      <c r="DPK599" s="584"/>
      <c r="DPL599" s="584"/>
      <c r="DPM599" s="584"/>
      <c r="DPN599" s="584"/>
      <c r="DPO599" s="584"/>
      <c r="DPP599" s="584"/>
      <c r="DPQ599" s="584"/>
      <c r="DPR599" s="584"/>
      <c r="DPS599" s="584"/>
      <c r="DPT599" s="584"/>
      <c r="DPU599" s="584"/>
      <c r="DPV599" s="584"/>
      <c r="DPW599" s="584"/>
      <c r="DPX599" s="584"/>
      <c r="DPY599" s="584"/>
      <c r="DPZ599" s="584"/>
      <c r="DQA599" s="584"/>
      <c r="DQB599" s="584"/>
      <c r="DQC599" s="584"/>
      <c r="DQD599" s="584"/>
      <c r="DQE599" s="584"/>
      <c r="DQF599" s="584"/>
      <c r="DQG599" s="584"/>
      <c r="DQH599" s="584"/>
      <c r="DQI599" s="584"/>
      <c r="DQJ599" s="584"/>
      <c r="DQK599" s="584"/>
      <c r="DQL599" s="584"/>
      <c r="DQM599" s="584"/>
      <c r="DQN599" s="584"/>
      <c r="DQO599" s="584"/>
      <c r="DQP599" s="584"/>
      <c r="DQQ599" s="584"/>
      <c r="DQR599" s="584"/>
      <c r="DQS599" s="584"/>
      <c r="DQT599" s="584"/>
      <c r="DQU599" s="584"/>
      <c r="DQV599" s="584"/>
      <c r="DQW599" s="584"/>
      <c r="DQX599" s="584"/>
      <c r="DQY599" s="584"/>
      <c r="DQZ599" s="584"/>
      <c r="DRA599" s="584"/>
      <c r="DRB599" s="584"/>
      <c r="DRC599" s="584"/>
      <c r="DRD599" s="584"/>
      <c r="DRE599" s="584"/>
      <c r="DRF599" s="584"/>
      <c r="DRG599" s="584"/>
      <c r="DRH599" s="584"/>
      <c r="DRI599" s="584"/>
      <c r="DRJ599" s="584"/>
      <c r="DRK599" s="584"/>
      <c r="DRL599" s="584"/>
      <c r="DRM599" s="584"/>
      <c r="DRN599" s="584"/>
      <c r="DRO599" s="584"/>
      <c r="DRP599" s="584"/>
      <c r="DRQ599" s="584"/>
      <c r="DRR599" s="584"/>
      <c r="DRS599" s="584"/>
      <c r="DRT599" s="584"/>
      <c r="DRU599" s="584"/>
      <c r="DRV599" s="584"/>
      <c r="DRW599" s="584"/>
      <c r="DRX599" s="584"/>
      <c r="DRY599" s="584"/>
      <c r="DRZ599" s="584"/>
      <c r="DSA599" s="584"/>
      <c r="DSB599" s="584"/>
      <c r="DSC599" s="584"/>
      <c r="DSD599" s="584"/>
      <c r="DSE599" s="584"/>
      <c r="DSF599" s="584"/>
      <c r="DSG599" s="584"/>
      <c r="DSH599" s="584"/>
      <c r="DSI599" s="584"/>
      <c r="DSJ599" s="584"/>
      <c r="DSK599" s="584"/>
      <c r="DSL599" s="584"/>
      <c r="DSM599" s="584"/>
      <c r="DSN599" s="584"/>
      <c r="DSO599" s="584"/>
      <c r="DSP599" s="584"/>
      <c r="DSQ599" s="584"/>
      <c r="DSR599" s="584"/>
      <c r="DSS599" s="584"/>
      <c r="DST599" s="584"/>
      <c r="DSU599" s="584"/>
      <c r="DSV599" s="584"/>
      <c r="DSW599" s="584"/>
      <c r="DSX599" s="584"/>
      <c r="DSY599" s="584"/>
      <c r="DSZ599" s="584"/>
      <c r="DTA599" s="584"/>
      <c r="DTB599" s="584"/>
      <c r="DTC599" s="584"/>
      <c r="DTD599" s="584"/>
      <c r="DTE599" s="584"/>
      <c r="DTF599" s="584"/>
      <c r="DTG599" s="584"/>
      <c r="DTH599" s="584"/>
      <c r="DTI599" s="584"/>
      <c r="DTJ599" s="584"/>
      <c r="DTK599" s="584"/>
      <c r="DTL599" s="584"/>
      <c r="DTM599" s="584"/>
      <c r="DTN599" s="584"/>
      <c r="DTO599" s="584"/>
      <c r="DTP599" s="584"/>
      <c r="DTQ599" s="584"/>
      <c r="DTR599" s="584"/>
      <c r="DTS599" s="584"/>
      <c r="DTT599" s="584"/>
      <c r="DTU599" s="584"/>
      <c r="DTV599" s="584"/>
      <c r="DTW599" s="584"/>
      <c r="DTX599" s="584"/>
      <c r="DTY599" s="584"/>
      <c r="DTZ599" s="584"/>
      <c r="DUA599" s="584"/>
      <c r="DUB599" s="584"/>
      <c r="DUC599" s="584"/>
      <c r="DUD599" s="584"/>
      <c r="DUE599" s="584"/>
      <c r="DUF599" s="584"/>
      <c r="DUG599" s="584"/>
      <c r="DUH599" s="584"/>
      <c r="DUI599" s="584"/>
      <c r="DUJ599" s="584"/>
      <c r="DUK599" s="584"/>
      <c r="DUL599" s="584"/>
      <c r="DUM599" s="584"/>
      <c r="DUN599" s="584"/>
      <c r="DUO599" s="584"/>
      <c r="DUP599" s="584"/>
      <c r="DUQ599" s="584"/>
      <c r="DUR599" s="584"/>
      <c r="DUS599" s="584"/>
      <c r="DUT599" s="584"/>
      <c r="DUU599" s="584"/>
      <c r="DUV599" s="584"/>
      <c r="DUW599" s="584"/>
      <c r="DUX599" s="584"/>
      <c r="DUY599" s="584"/>
      <c r="DUZ599" s="584"/>
      <c r="DVA599" s="584"/>
      <c r="DVB599" s="584"/>
      <c r="DVC599" s="584"/>
      <c r="DVD599" s="584"/>
      <c r="DVE599" s="584"/>
      <c r="DVF599" s="584"/>
      <c r="DVG599" s="584"/>
      <c r="DVH599" s="584"/>
      <c r="DVI599" s="584"/>
      <c r="DVJ599" s="584"/>
      <c r="DVK599" s="584"/>
      <c r="DVL599" s="584"/>
      <c r="DVM599" s="584"/>
      <c r="DVN599" s="584"/>
      <c r="DVO599" s="584"/>
      <c r="DVP599" s="584"/>
      <c r="DVQ599" s="584"/>
      <c r="DVR599" s="584"/>
      <c r="DVS599" s="584"/>
      <c r="DVT599" s="584"/>
      <c r="DVU599" s="584"/>
      <c r="DVV599" s="584"/>
      <c r="DVW599" s="584"/>
      <c r="DVX599" s="584"/>
      <c r="DVY599" s="584"/>
      <c r="DVZ599" s="584"/>
      <c r="DWA599" s="584"/>
      <c r="DWB599" s="584"/>
      <c r="DWC599" s="584"/>
      <c r="DWD599" s="584"/>
      <c r="DWE599" s="584"/>
      <c r="DWF599" s="584"/>
      <c r="DWG599" s="584"/>
      <c r="DWH599" s="584"/>
      <c r="DWI599" s="584"/>
      <c r="DWJ599" s="584"/>
      <c r="DWK599" s="584"/>
      <c r="DWL599" s="584"/>
      <c r="DWM599" s="584"/>
      <c r="DWN599" s="584"/>
      <c r="DWO599" s="584"/>
      <c r="DWP599" s="584"/>
      <c r="DWQ599" s="584"/>
      <c r="DWR599" s="584"/>
      <c r="DWS599" s="584"/>
      <c r="DWT599" s="584"/>
      <c r="DWU599" s="584"/>
      <c r="DWV599" s="584"/>
      <c r="DWW599" s="584"/>
      <c r="DWX599" s="584"/>
      <c r="DWY599" s="584"/>
      <c r="DWZ599" s="584"/>
      <c r="DXA599" s="584"/>
      <c r="DXB599" s="584"/>
      <c r="DXC599" s="584"/>
      <c r="DXD599" s="584"/>
      <c r="DXE599" s="584"/>
      <c r="DXF599" s="584"/>
      <c r="DXG599" s="584"/>
      <c r="DXH599" s="584"/>
      <c r="DXI599" s="584"/>
      <c r="DXJ599" s="584"/>
      <c r="DXK599" s="584"/>
      <c r="DXL599" s="584"/>
      <c r="DXM599" s="584"/>
      <c r="DXN599" s="584"/>
      <c r="DXO599" s="584"/>
      <c r="DXP599" s="584"/>
      <c r="DXQ599" s="584"/>
      <c r="DXR599" s="584"/>
      <c r="DXS599" s="584"/>
      <c r="DXT599" s="584"/>
      <c r="DXU599" s="584"/>
      <c r="DXV599" s="584"/>
      <c r="DXW599" s="584"/>
      <c r="DXX599" s="584"/>
      <c r="DXY599" s="584"/>
      <c r="DXZ599" s="584"/>
      <c r="DYA599" s="584"/>
      <c r="DYB599" s="584"/>
      <c r="DYC599" s="584"/>
      <c r="DYD599" s="584"/>
      <c r="DYE599" s="584"/>
      <c r="DYF599" s="584"/>
      <c r="DYG599" s="584"/>
      <c r="DYH599" s="584"/>
      <c r="DYI599" s="584"/>
      <c r="DYJ599" s="584"/>
      <c r="DYK599" s="584"/>
      <c r="DYL599" s="584"/>
      <c r="DYM599" s="584"/>
      <c r="DYN599" s="584"/>
      <c r="DYO599" s="584"/>
      <c r="DYP599" s="584"/>
      <c r="DYQ599" s="584"/>
      <c r="DYR599" s="584"/>
      <c r="DYS599" s="584"/>
      <c r="DYT599" s="584"/>
      <c r="DYU599" s="584"/>
      <c r="DYV599" s="584"/>
      <c r="DYW599" s="584"/>
      <c r="DYX599" s="584"/>
      <c r="DYY599" s="584"/>
      <c r="DYZ599" s="584"/>
      <c r="DZA599" s="584"/>
      <c r="DZB599" s="584"/>
      <c r="DZC599" s="584"/>
      <c r="DZD599" s="584"/>
      <c r="DZE599" s="584"/>
      <c r="DZF599" s="584"/>
      <c r="DZG599" s="584"/>
      <c r="DZH599" s="584"/>
      <c r="DZI599" s="584"/>
      <c r="DZJ599" s="584"/>
      <c r="DZK599" s="584"/>
      <c r="DZL599" s="584"/>
      <c r="DZM599" s="584"/>
      <c r="DZN599" s="584"/>
      <c r="DZO599" s="584"/>
      <c r="DZP599" s="584"/>
      <c r="DZQ599" s="584"/>
      <c r="DZR599" s="584"/>
      <c r="DZS599" s="584"/>
      <c r="DZT599" s="584"/>
      <c r="DZU599" s="584"/>
      <c r="DZV599" s="584"/>
      <c r="DZW599" s="584"/>
      <c r="DZX599" s="584"/>
      <c r="DZY599" s="584"/>
      <c r="DZZ599" s="584"/>
      <c r="EAA599" s="584"/>
      <c r="EAB599" s="584"/>
      <c r="EAC599" s="584"/>
      <c r="EAD599" s="584"/>
      <c r="EAE599" s="584"/>
      <c r="EAF599" s="584"/>
      <c r="EAG599" s="584"/>
      <c r="EAH599" s="584"/>
      <c r="EAI599" s="584"/>
      <c r="EAJ599" s="584"/>
      <c r="EAK599" s="584"/>
      <c r="EAL599" s="584"/>
      <c r="EAM599" s="584"/>
      <c r="EAN599" s="584"/>
      <c r="EAO599" s="584"/>
      <c r="EAP599" s="584"/>
      <c r="EAQ599" s="584"/>
      <c r="EAR599" s="584"/>
      <c r="EAS599" s="584"/>
      <c r="EAT599" s="584"/>
      <c r="EAU599" s="584"/>
      <c r="EAV599" s="584"/>
      <c r="EAW599" s="584"/>
      <c r="EAX599" s="584"/>
      <c r="EAY599" s="584"/>
      <c r="EAZ599" s="584"/>
      <c r="EBA599" s="584"/>
      <c r="EBB599" s="584"/>
      <c r="EBC599" s="584"/>
      <c r="EBD599" s="584"/>
      <c r="EBE599" s="584"/>
      <c r="EBF599" s="584"/>
      <c r="EBG599" s="584"/>
      <c r="EBH599" s="584"/>
      <c r="EBI599" s="584"/>
      <c r="EBJ599" s="584"/>
      <c r="EBK599" s="584"/>
      <c r="EBL599" s="584"/>
      <c r="EBM599" s="584"/>
      <c r="EBN599" s="584"/>
      <c r="EBO599" s="584"/>
      <c r="EBP599" s="584"/>
      <c r="EBQ599" s="584"/>
      <c r="EBR599" s="584"/>
      <c r="EBS599" s="584"/>
      <c r="EBT599" s="584"/>
      <c r="EBU599" s="584"/>
      <c r="EBV599" s="584"/>
      <c r="EBW599" s="584"/>
      <c r="EBX599" s="584"/>
      <c r="EBY599" s="584"/>
      <c r="EBZ599" s="584"/>
      <c r="ECA599" s="584"/>
      <c r="ECB599" s="584"/>
      <c r="ECC599" s="584"/>
      <c r="ECD599" s="584"/>
      <c r="ECE599" s="584"/>
      <c r="ECF599" s="584"/>
      <c r="ECG599" s="584"/>
      <c r="ECH599" s="584"/>
      <c r="ECI599" s="584"/>
      <c r="ECJ599" s="584"/>
      <c r="ECK599" s="584"/>
      <c r="ECL599" s="584"/>
      <c r="ECM599" s="584"/>
      <c r="ECN599" s="584"/>
      <c r="ECO599" s="584"/>
      <c r="ECP599" s="584"/>
      <c r="ECQ599" s="584"/>
      <c r="ECR599" s="584"/>
      <c r="ECS599" s="584"/>
      <c r="ECT599" s="584"/>
      <c r="ECU599" s="584"/>
      <c r="ECV599" s="584"/>
      <c r="ECW599" s="584"/>
      <c r="ECX599" s="584"/>
      <c r="ECY599" s="584"/>
      <c r="ECZ599" s="584"/>
      <c r="EDA599" s="584"/>
      <c r="EDB599" s="584"/>
      <c r="EDC599" s="584"/>
      <c r="EDD599" s="584"/>
      <c r="EDE599" s="584"/>
      <c r="EDF599" s="584"/>
      <c r="EDG599" s="584"/>
      <c r="EDH599" s="584"/>
      <c r="EDI599" s="584"/>
      <c r="EDJ599" s="584"/>
      <c r="EDK599" s="584"/>
      <c r="EDL599" s="584"/>
      <c r="EDM599" s="584"/>
      <c r="EDN599" s="584"/>
      <c r="EDO599" s="584"/>
      <c r="EDP599" s="584"/>
      <c r="EDQ599" s="584"/>
      <c r="EDR599" s="584"/>
      <c r="EDS599" s="584"/>
      <c r="EDT599" s="584"/>
      <c r="EDU599" s="584"/>
      <c r="EDV599" s="584"/>
      <c r="EDW599" s="584"/>
      <c r="EDX599" s="584"/>
      <c r="EDY599" s="584"/>
      <c r="EDZ599" s="584"/>
      <c r="EEA599" s="584"/>
      <c r="EEB599" s="584"/>
      <c r="EEC599" s="584"/>
      <c r="EED599" s="584"/>
      <c r="EEE599" s="584"/>
      <c r="EEF599" s="584"/>
      <c r="EEG599" s="584"/>
      <c r="EEH599" s="584"/>
      <c r="EEI599" s="584"/>
      <c r="EEJ599" s="584"/>
      <c r="EEK599" s="584"/>
      <c r="EEL599" s="584"/>
      <c r="EEM599" s="584"/>
      <c r="EEN599" s="584"/>
      <c r="EEO599" s="584"/>
      <c r="EEP599" s="584"/>
      <c r="EEQ599" s="584"/>
      <c r="EER599" s="584"/>
      <c r="EES599" s="584"/>
      <c r="EET599" s="584"/>
      <c r="EEU599" s="584"/>
      <c r="EEV599" s="584"/>
      <c r="EEW599" s="584"/>
      <c r="EEX599" s="584"/>
      <c r="EEY599" s="584"/>
      <c r="EEZ599" s="584"/>
      <c r="EFA599" s="584"/>
      <c r="EFB599" s="584"/>
      <c r="EFC599" s="584"/>
      <c r="EFD599" s="584"/>
      <c r="EFE599" s="584"/>
      <c r="EFF599" s="584"/>
      <c r="EFG599" s="584"/>
      <c r="EFH599" s="584"/>
      <c r="EFI599" s="584"/>
      <c r="EFJ599" s="584"/>
      <c r="EFK599" s="584"/>
      <c r="EFL599" s="584"/>
      <c r="EFM599" s="584"/>
      <c r="EFN599" s="584"/>
      <c r="EFO599" s="584"/>
      <c r="EFP599" s="584"/>
      <c r="EFQ599" s="584"/>
      <c r="EFR599" s="584"/>
      <c r="EFS599" s="584"/>
      <c r="EFT599" s="584"/>
      <c r="EFU599" s="584"/>
      <c r="EFV599" s="584"/>
      <c r="EFW599" s="584"/>
      <c r="EFX599" s="584"/>
      <c r="EFY599" s="584"/>
      <c r="EFZ599" s="584"/>
      <c r="EGA599" s="584"/>
      <c r="EGB599" s="584"/>
      <c r="EGC599" s="584"/>
      <c r="EGD599" s="584"/>
      <c r="EGE599" s="584"/>
      <c r="EGF599" s="584"/>
      <c r="EGG599" s="584"/>
      <c r="EGH599" s="584"/>
      <c r="EGI599" s="584"/>
      <c r="EGJ599" s="584"/>
      <c r="EGK599" s="584"/>
      <c r="EGL599" s="584"/>
      <c r="EGM599" s="584"/>
      <c r="EGN599" s="584"/>
      <c r="EGO599" s="584"/>
      <c r="EGP599" s="584"/>
      <c r="EGQ599" s="584"/>
      <c r="EGR599" s="584"/>
      <c r="EGS599" s="584"/>
      <c r="EGT599" s="584"/>
      <c r="EGU599" s="584"/>
      <c r="EGV599" s="584"/>
      <c r="EGW599" s="584"/>
      <c r="EGX599" s="584"/>
      <c r="EGY599" s="584"/>
      <c r="EGZ599" s="584"/>
      <c r="EHA599" s="584"/>
      <c r="EHB599" s="584"/>
      <c r="EHC599" s="584"/>
      <c r="EHD599" s="584"/>
      <c r="EHE599" s="584"/>
      <c r="EHF599" s="584"/>
      <c r="EHG599" s="584"/>
      <c r="EHH599" s="584"/>
      <c r="EHI599" s="584"/>
      <c r="EHJ599" s="584"/>
      <c r="EHK599" s="584"/>
      <c r="EHL599" s="584"/>
      <c r="EHM599" s="584"/>
      <c r="EHN599" s="584"/>
      <c r="EHO599" s="584"/>
      <c r="EHP599" s="584"/>
      <c r="EHQ599" s="584"/>
      <c r="EHR599" s="584"/>
      <c r="EHS599" s="584"/>
      <c r="EHT599" s="584"/>
      <c r="EHU599" s="584"/>
      <c r="EHV599" s="584"/>
      <c r="EHW599" s="584"/>
      <c r="EHX599" s="584"/>
      <c r="EHY599" s="584"/>
      <c r="EHZ599" s="584"/>
      <c r="EIA599" s="584"/>
      <c r="EIB599" s="584"/>
      <c r="EIC599" s="584"/>
      <c r="EID599" s="584"/>
      <c r="EIE599" s="584"/>
      <c r="EIF599" s="584"/>
      <c r="EIG599" s="584"/>
      <c r="EIH599" s="584"/>
      <c r="EII599" s="584"/>
      <c r="EIJ599" s="584"/>
      <c r="EIK599" s="584"/>
      <c r="EIL599" s="584"/>
      <c r="EIM599" s="584"/>
      <c r="EIN599" s="584"/>
      <c r="EIO599" s="584"/>
      <c r="EIP599" s="584"/>
      <c r="EIQ599" s="584"/>
      <c r="EIR599" s="584"/>
      <c r="EIS599" s="584"/>
      <c r="EIT599" s="584"/>
      <c r="EIU599" s="584"/>
      <c r="EIV599" s="584"/>
      <c r="EIW599" s="584"/>
      <c r="EIX599" s="584"/>
      <c r="EIY599" s="584"/>
      <c r="EIZ599" s="584"/>
      <c r="EJA599" s="584"/>
      <c r="EJB599" s="584"/>
      <c r="EJC599" s="584"/>
      <c r="EJD599" s="584"/>
      <c r="EJE599" s="584"/>
      <c r="EJF599" s="584"/>
      <c r="EJG599" s="584"/>
      <c r="EJH599" s="584"/>
      <c r="EJI599" s="584"/>
      <c r="EJJ599" s="584"/>
      <c r="EJK599" s="584"/>
      <c r="EJL599" s="584"/>
      <c r="EJM599" s="584"/>
      <c r="EJN599" s="584"/>
      <c r="EJO599" s="584"/>
      <c r="EJP599" s="584"/>
      <c r="EJQ599" s="584"/>
      <c r="EJR599" s="584"/>
      <c r="EJS599" s="584"/>
      <c r="EJT599" s="584"/>
      <c r="EJU599" s="584"/>
      <c r="EJV599" s="584"/>
      <c r="EJW599" s="584"/>
      <c r="EJX599" s="584"/>
      <c r="EJY599" s="584"/>
      <c r="EJZ599" s="584"/>
      <c r="EKA599" s="584"/>
      <c r="EKB599" s="584"/>
      <c r="EKC599" s="584"/>
      <c r="EKD599" s="584"/>
      <c r="EKE599" s="584"/>
      <c r="EKF599" s="584"/>
      <c r="EKG599" s="584"/>
      <c r="EKH599" s="584"/>
      <c r="EKI599" s="584"/>
      <c r="EKJ599" s="584"/>
      <c r="EKK599" s="584"/>
      <c r="EKL599" s="584"/>
      <c r="EKM599" s="584"/>
      <c r="EKN599" s="584"/>
      <c r="EKO599" s="584"/>
      <c r="EKP599" s="584"/>
      <c r="EKQ599" s="584"/>
      <c r="EKR599" s="584"/>
      <c r="EKS599" s="584"/>
      <c r="EKT599" s="584"/>
      <c r="EKU599" s="584"/>
      <c r="EKV599" s="584"/>
      <c r="EKW599" s="584"/>
      <c r="EKX599" s="584"/>
      <c r="EKY599" s="584"/>
      <c r="EKZ599" s="584"/>
      <c r="ELA599" s="584"/>
      <c r="ELB599" s="584"/>
      <c r="ELC599" s="584"/>
      <c r="ELD599" s="584"/>
      <c r="ELE599" s="584"/>
      <c r="ELF599" s="584"/>
      <c r="ELG599" s="584"/>
      <c r="ELH599" s="584"/>
      <c r="ELI599" s="584"/>
      <c r="ELJ599" s="584"/>
      <c r="ELK599" s="584"/>
      <c r="ELL599" s="584"/>
      <c r="ELM599" s="584"/>
      <c r="ELN599" s="584"/>
      <c r="ELO599" s="584"/>
      <c r="ELP599" s="584"/>
      <c r="ELQ599" s="584"/>
      <c r="ELR599" s="584"/>
      <c r="ELS599" s="584"/>
      <c r="ELT599" s="584"/>
      <c r="ELU599" s="584"/>
      <c r="ELV599" s="584"/>
      <c r="ELW599" s="584"/>
      <c r="ELX599" s="584"/>
      <c r="ELY599" s="584"/>
      <c r="ELZ599" s="584"/>
      <c r="EMA599" s="584"/>
      <c r="EMB599" s="584"/>
      <c r="EMC599" s="584"/>
      <c r="EMD599" s="584"/>
      <c r="EME599" s="584"/>
      <c r="EMF599" s="584"/>
      <c r="EMG599" s="584"/>
      <c r="EMH599" s="584"/>
      <c r="EMI599" s="584"/>
      <c r="EMJ599" s="584"/>
      <c r="EMK599" s="584"/>
      <c r="EML599" s="584"/>
      <c r="EMM599" s="584"/>
      <c r="EMN599" s="584"/>
      <c r="EMO599" s="584"/>
      <c r="EMP599" s="584"/>
      <c r="EMQ599" s="584"/>
      <c r="EMR599" s="584"/>
      <c r="EMS599" s="584"/>
      <c r="EMT599" s="584"/>
      <c r="EMU599" s="584"/>
      <c r="EMV599" s="584"/>
      <c r="EMW599" s="584"/>
      <c r="EMX599" s="584"/>
      <c r="EMY599" s="584"/>
      <c r="EMZ599" s="584"/>
      <c r="ENA599" s="584"/>
      <c r="ENB599" s="584"/>
      <c r="ENC599" s="584"/>
      <c r="END599" s="584"/>
      <c r="ENE599" s="584"/>
      <c r="ENF599" s="584"/>
      <c r="ENG599" s="584"/>
      <c r="ENH599" s="584"/>
      <c r="ENI599" s="584"/>
      <c r="ENJ599" s="584"/>
      <c r="ENK599" s="584"/>
      <c r="ENL599" s="584"/>
      <c r="ENM599" s="584"/>
      <c r="ENN599" s="584"/>
      <c r="ENO599" s="584"/>
      <c r="ENP599" s="584"/>
      <c r="ENQ599" s="584"/>
      <c r="ENR599" s="584"/>
      <c r="ENS599" s="584"/>
      <c r="ENT599" s="584"/>
      <c r="ENU599" s="584"/>
      <c r="ENV599" s="584"/>
      <c r="ENW599" s="584"/>
      <c r="ENX599" s="584"/>
      <c r="ENY599" s="584"/>
      <c r="ENZ599" s="584"/>
      <c r="EOA599" s="584"/>
      <c r="EOB599" s="584"/>
      <c r="EOC599" s="584"/>
      <c r="EOD599" s="584"/>
      <c r="EOE599" s="584"/>
      <c r="EOF599" s="584"/>
      <c r="EOG599" s="584"/>
      <c r="EOH599" s="584"/>
      <c r="EOI599" s="584"/>
      <c r="EOJ599" s="584"/>
      <c r="EOK599" s="584"/>
      <c r="EOL599" s="584"/>
      <c r="EOM599" s="584"/>
      <c r="EON599" s="584"/>
      <c r="EOO599" s="584"/>
      <c r="EOP599" s="584"/>
      <c r="EOQ599" s="584"/>
      <c r="EOR599" s="584"/>
      <c r="EOS599" s="584"/>
      <c r="EOT599" s="584"/>
      <c r="EOU599" s="584"/>
      <c r="EOV599" s="584"/>
      <c r="EOW599" s="584"/>
      <c r="EOX599" s="584"/>
      <c r="EOY599" s="584"/>
      <c r="EOZ599" s="584"/>
      <c r="EPA599" s="584"/>
      <c r="EPB599" s="584"/>
      <c r="EPC599" s="584"/>
      <c r="EPD599" s="584"/>
      <c r="EPE599" s="584"/>
      <c r="EPF599" s="584"/>
      <c r="EPG599" s="584"/>
      <c r="EPH599" s="584"/>
      <c r="EPI599" s="584"/>
      <c r="EPJ599" s="584"/>
      <c r="EPK599" s="584"/>
      <c r="EPL599" s="584"/>
      <c r="EPM599" s="584"/>
      <c r="EPN599" s="584"/>
      <c r="EPO599" s="584"/>
      <c r="EPP599" s="584"/>
      <c r="EPQ599" s="584"/>
      <c r="EPR599" s="584"/>
      <c r="EPS599" s="584"/>
      <c r="EPT599" s="584"/>
      <c r="EPU599" s="584"/>
      <c r="EPV599" s="584"/>
      <c r="EPW599" s="584"/>
      <c r="EPX599" s="584"/>
      <c r="EPY599" s="584"/>
      <c r="EPZ599" s="584"/>
      <c r="EQA599" s="584"/>
      <c r="EQB599" s="584"/>
      <c r="EQC599" s="584"/>
      <c r="EQD599" s="584"/>
      <c r="EQE599" s="584"/>
      <c r="EQF599" s="584"/>
      <c r="EQG599" s="584"/>
      <c r="EQH599" s="584"/>
      <c r="EQI599" s="584"/>
      <c r="EQJ599" s="584"/>
      <c r="EQK599" s="584"/>
      <c r="EQL599" s="584"/>
      <c r="EQM599" s="584"/>
      <c r="EQN599" s="584"/>
      <c r="EQO599" s="584"/>
      <c r="EQP599" s="584"/>
      <c r="EQQ599" s="584"/>
      <c r="EQR599" s="584"/>
      <c r="EQS599" s="584"/>
      <c r="EQT599" s="584"/>
      <c r="EQU599" s="584"/>
      <c r="EQV599" s="584"/>
      <c r="EQW599" s="584"/>
      <c r="EQX599" s="584"/>
      <c r="EQY599" s="584"/>
      <c r="EQZ599" s="584"/>
      <c r="ERA599" s="584"/>
      <c r="ERB599" s="584"/>
      <c r="ERC599" s="584"/>
      <c r="ERD599" s="584"/>
      <c r="ERE599" s="584"/>
      <c r="ERF599" s="584"/>
      <c r="ERG599" s="584"/>
      <c r="ERH599" s="584"/>
      <c r="ERI599" s="584"/>
      <c r="ERJ599" s="584"/>
      <c r="ERK599" s="584"/>
      <c r="ERL599" s="584"/>
      <c r="ERM599" s="584"/>
      <c r="ERN599" s="584"/>
      <c r="ERO599" s="584"/>
      <c r="ERP599" s="584"/>
      <c r="ERQ599" s="584"/>
      <c r="ERR599" s="584"/>
      <c r="ERS599" s="584"/>
      <c r="ERT599" s="584"/>
      <c r="ERU599" s="584"/>
      <c r="ERV599" s="584"/>
      <c r="ERW599" s="584"/>
      <c r="ERX599" s="584"/>
      <c r="ERY599" s="584"/>
      <c r="ERZ599" s="584"/>
      <c r="ESA599" s="584"/>
      <c r="ESB599" s="584"/>
      <c r="ESC599" s="584"/>
      <c r="ESD599" s="584"/>
      <c r="ESE599" s="584"/>
      <c r="ESF599" s="584"/>
      <c r="ESG599" s="584"/>
      <c r="ESH599" s="584"/>
      <c r="ESI599" s="584"/>
      <c r="ESJ599" s="584"/>
      <c r="ESK599" s="584"/>
      <c r="ESL599" s="584"/>
      <c r="ESM599" s="584"/>
      <c r="ESN599" s="584"/>
      <c r="ESO599" s="584"/>
      <c r="ESP599" s="584"/>
      <c r="ESQ599" s="584"/>
      <c r="ESR599" s="584"/>
      <c r="ESS599" s="584"/>
      <c r="EST599" s="584"/>
      <c r="ESU599" s="584"/>
      <c r="ESV599" s="584"/>
      <c r="ESW599" s="584"/>
      <c r="ESX599" s="584"/>
      <c r="ESY599" s="584"/>
      <c r="ESZ599" s="584"/>
      <c r="ETA599" s="584"/>
      <c r="ETB599" s="584"/>
      <c r="ETC599" s="584"/>
      <c r="ETD599" s="584"/>
      <c r="ETE599" s="584"/>
      <c r="ETF599" s="584"/>
      <c r="ETG599" s="584"/>
      <c r="ETH599" s="584"/>
      <c r="ETI599" s="584"/>
      <c r="ETJ599" s="584"/>
      <c r="ETK599" s="584"/>
      <c r="ETL599" s="584"/>
      <c r="ETM599" s="584"/>
      <c r="ETN599" s="584"/>
      <c r="ETO599" s="584"/>
      <c r="ETP599" s="584"/>
      <c r="ETQ599" s="584"/>
      <c r="ETR599" s="584"/>
      <c r="ETS599" s="584"/>
      <c r="ETT599" s="584"/>
      <c r="ETU599" s="584"/>
      <c r="ETV599" s="584"/>
      <c r="ETW599" s="584"/>
      <c r="ETX599" s="584"/>
      <c r="ETY599" s="584"/>
      <c r="ETZ599" s="584"/>
      <c r="EUA599" s="584"/>
      <c r="EUB599" s="584"/>
      <c r="EUC599" s="584"/>
      <c r="EUD599" s="584"/>
      <c r="EUE599" s="584"/>
      <c r="EUF599" s="584"/>
      <c r="EUG599" s="584"/>
      <c r="EUH599" s="584"/>
      <c r="EUI599" s="584"/>
      <c r="EUJ599" s="584"/>
      <c r="EUK599" s="584"/>
      <c r="EUL599" s="584"/>
      <c r="EUM599" s="584"/>
      <c r="EUN599" s="584"/>
      <c r="EUO599" s="584"/>
      <c r="EUP599" s="584"/>
      <c r="EUQ599" s="584"/>
      <c r="EUR599" s="584"/>
      <c r="EUS599" s="584"/>
      <c r="EUT599" s="584"/>
      <c r="EUU599" s="584"/>
      <c r="EUV599" s="584"/>
      <c r="EUW599" s="584"/>
      <c r="EUX599" s="584"/>
      <c r="EUY599" s="584"/>
      <c r="EUZ599" s="584"/>
      <c r="EVA599" s="584"/>
      <c r="EVB599" s="584"/>
      <c r="EVC599" s="584"/>
      <c r="EVD599" s="584"/>
      <c r="EVE599" s="584"/>
      <c r="EVF599" s="584"/>
      <c r="EVG599" s="584"/>
      <c r="EVH599" s="584"/>
      <c r="EVI599" s="584"/>
      <c r="EVJ599" s="584"/>
      <c r="EVK599" s="584"/>
      <c r="EVL599" s="584"/>
      <c r="EVM599" s="584"/>
      <c r="EVN599" s="584"/>
      <c r="EVO599" s="584"/>
      <c r="EVP599" s="584"/>
      <c r="EVQ599" s="584"/>
      <c r="EVR599" s="584"/>
      <c r="EVS599" s="584"/>
      <c r="EVT599" s="584"/>
      <c r="EVU599" s="584"/>
      <c r="EVV599" s="584"/>
      <c r="EVW599" s="584"/>
      <c r="EVX599" s="584"/>
      <c r="EVY599" s="584"/>
      <c r="EVZ599" s="584"/>
      <c r="EWA599" s="584"/>
      <c r="EWB599" s="584"/>
      <c r="EWC599" s="584"/>
      <c r="EWD599" s="584"/>
      <c r="EWE599" s="584"/>
      <c r="EWF599" s="584"/>
      <c r="EWG599" s="584"/>
      <c r="EWH599" s="584"/>
      <c r="EWI599" s="584"/>
      <c r="EWJ599" s="584"/>
      <c r="EWK599" s="584"/>
      <c r="EWL599" s="584"/>
      <c r="EWM599" s="584"/>
      <c r="EWN599" s="584"/>
      <c r="EWO599" s="584"/>
      <c r="EWP599" s="584"/>
      <c r="EWQ599" s="584"/>
      <c r="EWR599" s="584"/>
      <c r="EWS599" s="584"/>
      <c r="EWT599" s="584"/>
      <c r="EWU599" s="584"/>
      <c r="EWV599" s="584"/>
      <c r="EWW599" s="584"/>
      <c r="EWX599" s="584"/>
      <c r="EWY599" s="584"/>
      <c r="EWZ599" s="584"/>
      <c r="EXA599" s="584"/>
      <c r="EXB599" s="584"/>
      <c r="EXC599" s="584"/>
      <c r="EXD599" s="584"/>
      <c r="EXE599" s="584"/>
      <c r="EXF599" s="584"/>
      <c r="EXG599" s="584"/>
      <c r="EXH599" s="584"/>
      <c r="EXI599" s="584"/>
      <c r="EXJ599" s="584"/>
      <c r="EXK599" s="584"/>
      <c r="EXL599" s="584"/>
      <c r="EXM599" s="584"/>
      <c r="EXN599" s="584"/>
      <c r="EXO599" s="584"/>
      <c r="EXP599" s="584"/>
      <c r="EXQ599" s="584"/>
      <c r="EXR599" s="584"/>
      <c r="EXS599" s="584"/>
      <c r="EXT599" s="584"/>
      <c r="EXU599" s="584"/>
      <c r="EXV599" s="584"/>
      <c r="EXW599" s="584"/>
      <c r="EXX599" s="584"/>
      <c r="EXY599" s="584"/>
      <c r="EXZ599" s="584"/>
      <c r="EYA599" s="584"/>
      <c r="EYB599" s="584"/>
      <c r="EYC599" s="584"/>
      <c r="EYD599" s="584"/>
      <c r="EYE599" s="584"/>
      <c r="EYF599" s="584"/>
      <c r="EYG599" s="584"/>
      <c r="EYH599" s="584"/>
      <c r="EYI599" s="584"/>
      <c r="EYJ599" s="584"/>
      <c r="EYK599" s="584"/>
      <c r="EYL599" s="584"/>
      <c r="EYM599" s="584"/>
      <c r="EYN599" s="584"/>
      <c r="EYO599" s="584"/>
      <c r="EYP599" s="584"/>
      <c r="EYQ599" s="584"/>
      <c r="EYR599" s="584"/>
      <c r="EYS599" s="584"/>
      <c r="EYT599" s="584"/>
      <c r="EYU599" s="584"/>
      <c r="EYV599" s="584"/>
      <c r="EYW599" s="584"/>
      <c r="EYX599" s="584"/>
      <c r="EYY599" s="584"/>
      <c r="EYZ599" s="584"/>
      <c r="EZA599" s="584"/>
      <c r="EZB599" s="584"/>
      <c r="EZC599" s="584"/>
      <c r="EZD599" s="584"/>
      <c r="EZE599" s="584"/>
      <c r="EZF599" s="584"/>
      <c r="EZG599" s="584"/>
      <c r="EZH599" s="584"/>
      <c r="EZI599" s="584"/>
      <c r="EZJ599" s="584"/>
      <c r="EZK599" s="584"/>
      <c r="EZL599" s="584"/>
      <c r="EZM599" s="584"/>
      <c r="EZN599" s="584"/>
      <c r="EZO599" s="584"/>
      <c r="EZP599" s="584"/>
      <c r="EZQ599" s="584"/>
      <c r="EZR599" s="584"/>
      <c r="EZS599" s="584"/>
      <c r="EZT599" s="584"/>
      <c r="EZU599" s="584"/>
      <c r="EZV599" s="584"/>
      <c r="EZW599" s="584"/>
      <c r="EZX599" s="584"/>
      <c r="EZY599" s="584"/>
      <c r="EZZ599" s="584"/>
      <c r="FAA599" s="584"/>
      <c r="FAB599" s="584"/>
      <c r="FAC599" s="584"/>
      <c r="FAD599" s="584"/>
      <c r="FAE599" s="584"/>
      <c r="FAF599" s="584"/>
      <c r="FAG599" s="584"/>
      <c r="FAH599" s="584"/>
      <c r="FAI599" s="584"/>
      <c r="FAJ599" s="584"/>
      <c r="FAK599" s="584"/>
      <c r="FAL599" s="584"/>
      <c r="FAM599" s="584"/>
      <c r="FAN599" s="584"/>
      <c r="FAO599" s="584"/>
      <c r="FAP599" s="584"/>
      <c r="FAQ599" s="584"/>
      <c r="FAR599" s="584"/>
      <c r="FAS599" s="584"/>
      <c r="FAT599" s="584"/>
      <c r="FAU599" s="584"/>
      <c r="FAV599" s="584"/>
      <c r="FAW599" s="584"/>
      <c r="FAX599" s="584"/>
      <c r="FAY599" s="584"/>
      <c r="FAZ599" s="584"/>
      <c r="FBA599" s="584"/>
      <c r="FBB599" s="584"/>
      <c r="FBC599" s="584"/>
      <c r="FBD599" s="584"/>
      <c r="FBE599" s="584"/>
      <c r="FBF599" s="584"/>
      <c r="FBG599" s="584"/>
      <c r="FBH599" s="584"/>
      <c r="FBI599" s="584"/>
      <c r="FBJ599" s="584"/>
      <c r="FBK599" s="584"/>
      <c r="FBL599" s="584"/>
      <c r="FBM599" s="584"/>
      <c r="FBN599" s="584"/>
      <c r="FBO599" s="584"/>
      <c r="FBP599" s="584"/>
      <c r="FBQ599" s="584"/>
      <c r="FBR599" s="584"/>
      <c r="FBS599" s="584"/>
      <c r="FBT599" s="584"/>
      <c r="FBU599" s="584"/>
      <c r="FBV599" s="584"/>
      <c r="FBW599" s="584"/>
      <c r="FBX599" s="584"/>
      <c r="FBY599" s="584"/>
      <c r="FBZ599" s="584"/>
      <c r="FCA599" s="584"/>
      <c r="FCB599" s="584"/>
      <c r="FCC599" s="584"/>
      <c r="FCD599" s="584"/>
      <c r="FCE599" s="584"/>
      <c r="FCF599" s="584"/>
      <c r="FCG599" s="584"/>
      <c r="FCH599" s="584"/>
      <c r="FCI599" s="584"/>
      <c r="FCJ599" s="584"/>
      <c r="FCK599" s="584"/>
      <c r="FCL599" s="584"/>
      <c r="FCM599" s="584"/>
      <c r="FCN599" s="584"/>
      <c r="FCO599" s="584"/>
      <c r="FCP599" s="584"/>
      <c r="FCQ599" s="584"/>
      <c r="FCR599" s="584"/>
      <c r="FCS599" s="584"/>
      <c r="FCT599" s="584"/>
      <c r="FCU599" s="584"/>
      <c r="FCV599" s="584"/>
      <c r="FCW599" s="584"/>
      <c r="FCX599" s="584"/>
      <c r="FCY599" s="584"/>
      <c r="FCZ599" s="584"/>
      <c r="FDA599" s="584"/>
      <c r="FDB599" s="584"/>
      <c r="FDC599" s="584"/>
      <c r="FDD599" s="584"/>
      <c r="FDE599" s="584"/>
      <c r="FDF599" s="584"/>
      <c r="FDG599" s="584"/>
      <c r="FDH599" s="584"/>
      <c r="FDI599" s="584"/>
      <c r="FDJ599" s="584"/>
      <c r="FDK599" s="584"/>
      <c r="FDL599" s="584"/>
      <c r="FDM599" s="584"/>
      <c r="FDN599" s="584"/>
      <c r="FDO599" s="584"/>
      <c r="FDP599" s="584"/>
      <c r="FDQ599" s="584"/>
      <c r="FDR599" s="584"/>
      <c r="FDS599" s="584"/>
      <c r="FDT599" s="584"/>
      <c r="FDU599" s="584"/>
      <c r="FDV599" s="584"/>
      <c r="FDW599" s="584"/>
      <c r="FDX599" s="584"/>
      <c r="FDY599" s="584"/>
      <c r="FDZ599" s="584"/>
      <c r="FEA599" s="584"/>
      <c r="FEB599" s="584"/>
      <c r="FEC599" s="584"/>
      <c r="FED599" s="584"/>
      <c r="FEE599" s="584"/>
      <c r="FEF599" s="584"/>
      <c r="FEG599" s="584"/>
      <c r="FEH599" s="584"/>
      <c r="FEI599" s="584"/>
      <c r="FEJ599" s="584"/>
      <c r="FEK599" s="584"/>
      <c r="FEL599" s="584"/>
      <c r="FEM599" s="584"/>
      <c r="FEN599" s="584"/>
      <c r="FEO599" s="584"/>
      <c r="FEP599" s="584"/>
      <c r="FEQ599" s="584"/>
      <c r="FER599" s="584"/>
      <c r="FES599" s="584"/>
      <c r="FET599" s="584"/>
      <c r="FEU599" s="584"/>
      <c r="FEV599" s="584"/>
      <c r="FEW599" s="584"/>
      <c r="FEX599" s="584"/>
      <c r="FEY599" s="584"/>
      <c r="FEZ599" s="584"/>
      <c r="FFA599" s="584"/>
      <c r="FFB599" s="584"/>
      <c r="FFC599" s="584"/>
      <c r="FFD599" s="584"/>
      <c r="FFE599" s="584"/>
      <c r="FFF599" s="584"/>
      <c r="FFG599" s="584"/>
      <c r="FFH599" s="584"/>
      <c r="FFI599" s="584"/>
      <c r="FFJ599" s="584"/>
      <c r="FFK599" s="584"/>
      <c r="FFL599" s="584"/>
      <c r="FFM599" s="584"/>
      <c r="FFN599" s="584"/>
      <c r="FFO599" s="584"/>
      <c r="FFP599" s="584"/>
      <c r="FFQ599" s="584"/>
      <c r="FFR599" s="584"/>
      <c r="FFS599" s="584"/>
      <c r="FFT599" s="584"/>
      <c r="FFU599" s="584"/>
      <c r="FFV599" s="584"/>
      <c r="FFW599" s="584"/>
      <c r="FFX599" s="584"/>
      <c r="FFY599" s="584"/>
      <c r="FFZ599" s="584"/>
      <c r="FGA599" s="584"/>
      <c r="FGB599" s="584"/>
      <c r="FGC599" s="584"/>
      <c r="FGD599" s="584"/>
      <c r="FGE599" s="584"/>
      <c r="FGF599" s="584"/>
      <c r="FGG599" s="584"/>
      <c r="FGH599" s="584"/>
      <c r="FGI599" s="584"/>
      <c r="FGJ599" s="584"/>
      <c r="FGK599" s="584"/>
      <c r="FGL599" s="584"/>
      <c r="FGM599" s="584"/>
      <c r="FGN599" s="584"/>
      <c r="FGO599" s="584"/>
      <c r="FGP599" s="584"/>
      <c r="FGQ599" s="584"/>
      <c r="FGR599" s="584"/>
      <c r="FGS599" s="584"/>
      <c r="FGT599" s="584"/>
      <c r="FGU599" s="584"/>
      <c r="FGV599" s="584"/>
      <c r="FGW599" s="584"/>
      <c r="FGX599" s="584"/>
      <c r="FGY599" s="584"/>
      <c r="FGZ599" s="584"/>
      <c r="FHA599" s="584"/>
      <c r="FHB599" s="584"/>
      <c r="FHC599" s="584"/>
      <c r="FHD599" s="584"/>
      <c r="FHE599" s="584"/>
      <c r="FHF599" s="584"/>
      <c r="FHG599" s="584"/>
      <c r="FHH599" s="584"/>
      <c r="FHI599" s="584"/>
      <c r="FHJ599" s="584"/>
      <c r="FHK599" s="584"/>
      <c r="FHL599" s="584"/>
      <c r="FHM599" s="584"/>
      <c r="FHN599" s="584"/>
      <c r="FHO599" s="584"/>
      <c r="FHP599" s="584"/>
      <c r="FHQ599" s="584"/>
      <c r="FHR599" s="584"/>
      <c r="FHS599" s="584"/>
      <c r="FHT599" s="584"/>
      <c r="FHU599" s="584"/>
      <c r="FHV599" s="584"/>
      <c r="FHW599" s="584"/>
      <c r="FHX599" s="584"/>
      <c r="FHY599" s="584"/>
      <c r="FHZ599" s="584"/>
      <c r="FIA599" s="584"/>
      <c r="FIB599" s="584"/>
      <c r="FIC599" s="584"/>
      <c r="FID599" s="584"/>
      <c r="FIE599" s="584"/>
      <c r="FIF599" s="584"/>
      <c r="FIG599" s="584"/>
      <c r="FIH599" s="584"/>
      <c r="FII599" s="584"/>
      <c r="FIJ599" s="584"/>
      <c r="FIK599" s="584"/>
      <c r="FIL599" s="584"/>
      <c r="FIM599" s="584"/>
      <c r="FIN599" s="584"/>
      <c r="FIO599" s="584"/>
      <c r="FIP599" s="584"/>
      <c r="FIQ599" s="584"/>
      <c r="FIR599" s="584"/>
      <c r="FIS599" s="584"/>
      <c r="FIT599" s="584"/>
      <c r="FIU599" s="584"/>
      <c r="FIV599" s="584"/>
      <c r="FIW599" s="584"/>
      <c r="FIX599" s="584"/>
      <c r="FIY599" s="584"/>
      <c r="FIZ599" s="584"/>
      <c r="FJA599" s="584"/>
      <c r="FJB599" s="584"/>
      <c r="FJC599" s="584"/>
      <c r="FJD599" s="584"/>
      <c r="FJE599" s="584"/>
      <c r="FJF599" s="584"/>
      <c r="FJG599" s="584"/>
      <c r="FJH599" s="584"/>
      <c r="FJI599" s="584"/>
      <c r="FJJ599" s="584"/>
      <c r="FJK599" s="584"/>
      <c r="FJL599" s="584"/>
      <c r="FJM599" s="584"/>
      <c r="FJN599" s="584"/>
      <c r="FJO599" s="584"/>
      <c r="FJP599" s="584"/>
      <c r="FJQ599" s="584"/>
      <c r="FJR599" s="584"/>
      <c r="FJS599" s="584"/>
      <c r="FJT599" s="584"/>
      <c r="FJU599" s="584"/>
      <c r="FJV599" s="584"/>
      <c r="FJW599" s="584"/>
      <c r="FJX599" s="584"/>
      <c r="FJY599" s="584"/>
      <c r="FJZ599" s="584"/>
      <c r="FKA599" s="584"/>
      <c r="FKB599" s="584"/>
      <c r="FKC599" s="584"/>
      <c r="FKD599" s="584"/>
      <c r="FKE599" s="584"/>
      <c r="FKF599" s="584"/>
      <c r="FKG599" s="584"/>
      <c r="FKH599" s="584"/>
      <c r="FKI599" s="584"/>
      <c r="FKJ599" s="584"/>
      <c r="FKK599" s="584"/>
      <c r="FKL599" s="584"/>
      <c r="FKM599" s="584"/>
      <c r="FKN599" s="584"/>
      <c r="FKO599" s="584"/>
      <c r="FKP599" s="584"/>
      <c r="FKQ599" s="584"/>
      <c r="FKR599" s="584"/>
      <c r="FKS599" s="584"/>
      <c r="FKT599" s="584"/>
      <c r="FKU599" s="584"/>
      <c r="FKV599" s="584"/>
      <c r="FKW599" s="584"/>
      <c r="FKX599" s="584"/>
      <c r="FKY599" s="584"/>
      <c r="FKZ599" s="584"/>
      <c r="FLA599" s="584"/>
      <c r="FLB599" s="584"/>
      <c r="FLC599" s="584"/>
      <c r="FLD599" s="584"/>
      <c r="FLE599" s="584"/>
      <c r="FLF599" s="584"/>
      <c r="FLG599" s="584"/>
      <c r="FLH599" s="584"/>
      <c r="FLI599" s="584"/>
      <c r="FLJ599" s="584"/>
      <c r="FLK599" s="584"/>
      <c r="FLL599" s="584"/>
      <c r="FLM599" s="584"/>
      <c r="FLN599" s="584"/>
      <c r="FLO599" s="584"/>
      <c r="FLP599" s="584"/>
      <c r="FLQ599" s="584"/>
      <c r="FLR599" s="584"/>
      <c r="FLS599" s="584"/>
      <c r="FLT599" s="584"/>
      <c r="FLU599" s="584"/>
      <c r="FLV599" s="584"/>
      <c r="FLW599" s="584"/>
      <c r="FLX599" s="584"/>
      <c r="FLY599" s="584"/>
      <c r="FLZ599" s="584"/>
      <c r="FMA599" s="584"/>
      <c r="FMB599" s="584"/>
      <c r="FMC599" s="584"/>
      <c r="FMD599" s="584"/>
      <c r="FME599" s="584"/>
      <c r="FMF599" s="584"/>
      <c r="FMG599" s="584"/>
      <c r="FMH599" s="584"/>
      <c r="FMI599" s="584"/>
      <c r="FMJ599" s="584"/>
      <c r="FMK599" s="584"/>
      <c r="FML599" s="584"/>
      <c r="FMM599" s="584"/>
      <c r="FMN599" s="584"/>
      <c r="FMO599" s="584"/>
      <c r="FMP599" s="584"/>
      <c r="FMQ599" s="584"/>
      <c r="FMR599" s="584"/>
      <c r="FMS599" s="584"/>
      <c r="FMT599" s="584"/>
      <c r="FMU599" s="584"/>
      <c r="FMV599" s="584"/>
      <c r="FMW599" s="584"/>
      <c r="FMX599" s="584"/>
      <c r="FMY599" s="584"/>
      <c r="FMZ599" s="584"/>
      <c r="FNA599" s="584"/>
      <c r="FNB599" s="584"/>
      <c r="FNC599" s="584"/>
      <c r="FND599" s="584"/>
      <c r="FNE599" s="584"/>
      <c r="FNF599" s="584"/>
      <c r="FNG599" s="584"/>
      <c r="FNH599" s="584"/>
      <c r="FNI599" s="584"/>
      <c r="FNJ599" s="584"/>
      <c r="FNK599" s="584"/>
      <c r="FNL599" s="584"/>
      <c r="FNM599" s="584"/>
      <c r="FNN599" s="584"/>
      <c r="FNO599" s="584"/>
      <c r="FNP599" s="584"/>
      <c r="FNQ599" s="584"/>
      <c r="FNR599" s="584"/>
      <c r="FNS599" s="584"/>
      <c r="FNT599" s="584"/>
      <c r="FNU599" s="584"/>
      <c r="FNV599" s="584"/>
      <c r="FNW599" s="584"/>
      <c r="FNX599" s="584"/>
      <c r="FNY599" s="584"/>
      <c r="FNZ599" s="584"/>
      <c r="FOA599" s="584"/>
      <c r="FOB599" s="584"/>
      <c r="FOC599" s="584"/>
      <c r="FOD599" s="584"/>
      <c r="FOE599" s="584"/>
      <c r="FOF599" s="584"/>
      <c r="FOG599" s="584"/>
      <c r="FOH599" s="584"/>
      <c r="FOI599" s="584"/>
      <c r="FOJ599" s="584"/>
      <c r="FOK599" s="584"/>
      <c r="FOL599" s="584"/>
      <c r="FOM599" s="584"/>
      <c r="FON599" s="584"/>
      <c r="FOO599" s="584"/>
      <c r="FOP599" s="584"/>
      <c r="FOQ599" s="584"/>
      <c r="FOR599" s="584"/>
      <c r="FOS599" s="584"/>
      <c r="FOT599" s="584"/>
      <c r="FOU599" s="584"/>
      <c r="FOV599" s="584"/>
      <c r="FOW599" s="584"/>
      <c r="FOX599" s="584"/>
      <c r="FOY599" s="584"/>
      <c r="FOZ599" s="584"/>
      <c r="FPA599" s="584"/>
      <c r="FPB599" s="584"/>
      <c r="FPC599" s="584"/>
      <c r="FPD599" s="584"/>
      <c r="FPE599" s="584"/>
      <c r="FPF599" s="584"/>
      <c r="FPG599" s="584"/>
      <c r="FPH599" s="584"/>
      <c r="FPI599" s="584"/>
      <c r="FPJ599" s="584"/>
      <c r="FPK599" s="584"/>
      <c r="FPL599" s="584"/>
      <c r="FPM599" s="584"/>
      <c r="FPN599" s="584"/>
      <c r="FPO599" s="584"/>
      <c r="FPP599" s="584"/>
      <c r="FPQ599" s="584"/>
      <c r="FPR599" s="584"/>
      <c r="FPS599" s="584"/>
      <c r="FPT599" s="584"/>
      <c r="FPU599" s="584"/>
      <c r="FPV599" s="584"/>
      <c r="FPW599" s="584"/>
      <c r="FPX599" s="584"/>
      <c r="FPY599" s="584"/>
      <c r="FPZ599" s="584"/>
      <c r="FQA599" s="584"/>
      <c r="FQB599" s="584"/>
      <c r="FQC599" s="584"/>
      <c r="FQD599" s="584"/>
      <c r="FQE599" s="584"/>
      <c r="FQF599" s="584"/>
      <c r="FQG599" s="584"/>
      <c r="FQH599" s="584"/>
      <c r="FQI599" s="584"/>
      <c r="FQJ599" s="584"/>
      <c r="FQK599" s="584"/>
      <c r="FQL599" s="584"/>
      <c r="FQM599" s="584"/>
      <c r="FQN599" s="584"/>
      <c r="FQO599" s="584"/>
      <c r="FQP599" s="584"/>
      <c r="FQQ599" s="584"/>
      <c r="FQR599" s="584"/>
      <c r="FQS599" s="584"/>
      <c r="FQT599" s="584"/>
      <c r="FQU599" s="584"/>
      <c r="FQV599" s="584"/>
      <c r="FQW599" s="584"/>
      <c r="FQX599" s="584"/>
      <c r="FQY599" s="584"/>
      <c r="FQZ599" s="584"/>
      <c r="FRA599" s="584"/>
      <c r="FRB599" s="584"/>
      <c r="FRC599" s="584"/>
      <c r="FRD599" s="584"/>
      <c r="FRE599" s="584"/>
      <c r="FRF599" s="584"/>
      <c r="FRG599" s="584"/>
      <c r="FRH599" s="584"/>
      <c r="FRI599" s="584"/>
      <c r="FRJ599" s="584"/>
      <c r="FRK599" s="584"/>
      <c r="FRL599" s="584"/>
      <c r="FRM599" s="584"/>
      <c r="FRN599" s="584"/>
      <c r="FRO599" s="584"/>
      <c r="FRP599" s="584"/>
      <c r="FRQ599" s="584"/>
      <c r="FRR599" s="584"/>
      <c r="FRS599" s="584"/>
      <c r="FRT599" s="584"/>
      <c r="FRU599" s="584"/>
      <c r="FRV599" s="584"/>
      <c r="FRW599" s="584"/>
      <c r="FRX599" s="584"/>
      <c r="FRY599" s="584"/>
      <c r="FRZ599" s="584"/>
      <c r="FSA599" s="584"/>
      <c r="FSB599" s="584"/>
      <c r="FSC599" s="584"/>
      <c r="FSD599" s="584"/>
      <c r="FSE599" s="584"/>
      <c r="FSF599" s="584"/>
      <c r="FSG599" s="584"/>
      <c r="FSH599" s="584"/>
      <c r="FSI599" s="584"/>
      <c r="FSJ599" s="584"/>
      <c r="FSK599" s="584"/>
      <c r="FSL599" s="584"/>
      <c r="FSM599" s="584"/>
      <c r="FSN599" s="584"/>
      <c r="FSO599" s="584"/>
      <c r="FSP599" s="584"/>
      <c r="FSQ599" s="584"/>
      <c r="FSR599" s="584"/>
      <c r="FSS599" s="584"/>
      <c r="FST599" s="584"/>
      <c r="FSU599" s="584"/>
      <c r="FSV599" s="584"/>
      <c r="FSW599" s="584"/>
      <c r="FSX599" s="584"/>
      <c r="FSY599" s="584"/>
      <c r="FSZ599" s="584"/>
      <c r="FTA599" s="584"/>
      <c r="FTB599" s="584"/>
      <c r="FTC599" s="584"/>
      <c r="FTD599" s="584"/>
      <c r="FTE599" s="584"/>
      <c r="FTF599" s="584"/>
      <c r="FTG599" s="584"/>
      <c r="FTH599" s="584"/>
      <c r="FTI599" s="584"/>
      <c r="FTJ599" s="584"/>
      <c r="FTK599" s="584"/>
      <c r="FTL599" s="584"/>
      <c r="FTM599" s="584"/>
      <c r="FTN599" s="584"/>
      <c r="FTO599" s="584"/>
      <c r="FTP599" s="584"/>
      <c r="FTQ599" s="584"/>
      <c r="FTR599" s="584"/>
      <c r="FTS599" s="584"/>
      <c r="FTT599" s="584"/>
      <c r="FTU599" s="584"/>
      <c r="FTV599" s="584"/>
      <c r="FTW599" s="584"/>
      <c r="FTX599" s="584"/>
      <c r="FTY599" s="584"/>
      <c r="FTZ599" s="584"/>
      <c r="FUA599" s="584"/>
      <c r="FUB599" s="584"/>
      <c r="FUC599" s="584"/>
      <c r="FUD599" s="584"/>
      <c r="FUE599" s="584"/>
      <c r="FUF599" s="584"/>
      <c r="FUG599" s="584"/>
      <c r="FUH599" s="584"/>
      <c r="FUI599" s="584"/>
      <c r="FUJ599" s="584"/>
      <c r="FUK599" s="584"/>
      <c r="FUL599" s="584"/>
      <c r="FUM599" s="584"/>
      <c r="FUN599" s="584"/>
      <c r="FUO599" s="584"/>
      <c r="FUP599" s="584"/>
      <c r="FUQ599" s="584"/>
      <c r="FUR599" s="584"/>
      <c r="FUS599" s="584"/>
      <c r="FUT599" s="584"/>
      <c r="FUU599" s="584"/>
      <c r="FUV599" s="584"/>
      <c r="FUW599" s="584"/>
      <c r="FUX599" s="584"/>
      <c r="FUY599" s="584"/>
      <c r="FUZ599" s="584"/>
      <c r="FVA599" s="584"/>
      <c r="FVB599" s="584"/>
      <c r="FVC599" s="584"/>
      <c r="FVD599" s="584"/>
      <c r="FVE599" s="584"/>
      <c r="FVF599" s="584"/>
      <c r="FVG599" s="584"/>
      <c r="FVH599" s="584"/>
      <c r="FVI599" s="584"/>
      <c r="FVJ599" s="584"/>
      <c r="FVK599" s="584"/>
      <c r="FVL599" s="584"/>
      <c r="FVM599" s="584"/>
      <c r="FVN599" s="584"/>
      <c r="FVO599" s="584"/>
      <c r="FVP599" s="584"/>
      <c r="FVQ599" s="584"/>
      <c r="FVR599" s="584"/>
      <c r="FVS599" s="584"/>
      <c r="FVT599" s="584"/>
      <c r="FVU599" s="584"/>
      <c r="FVV599" s="584"/>
      <c r="FVW599" s="584"/>
      <c r="FVX599" s="584"/>
      <c r="FVY599" s="584"/>
      <c r="FVZ599" s="584"/>
      <c r="FWA599" s="584"/>
      <c r="FWB599" s="584"/>
      <c r="FWC599" s="584"/>
      <c r="FWD599" s="584"/>
      <c r="FWE599" s="584"/>
      <c r="FWF599" s="584"/>
      <c r="FWG599" s="584"/>
      <c r="FWH599" s="584"/>
      <c r="FWI599" s="584"/>
      <c r="FWJ599" s="584"/>
      <c r="FWK599" s="584"/>
      <c r="FWL599" s="584"/>
      <c r="FWM599" s="584"/>
      <c r="FWN599" s="584"/>
      <c r="FWO599" s="584"/>
      <c r="FWP599" s="584"/>
      <c r="FWQ599" s="584"/>
      <c r="FWR599" s="584"/>
      <c r="FWS599" s="584"/>
      <c r="FWT599" s="584"/>
      <c r="FWU599" s="584"/>
      <c r="FWV599" s="584"/>
      <c r="FWW599" s="584"/>
      <c r="FWX599" s="584"/>
      <c r="FWY599" s="584"/>
      <c r="FWZ599" s="584"/>
      <c r="FXA599" s="584"/>
      <c r="FXB599" s="584"/>
      <c r="FXC599" s="584"/>
      <c r="FXD599" s="584"/>
      <c r="FXE599" s="584"/>
      <c r="FXF599" s="584"/>
      <c r="FXG599" s="584"/>
      <c r="FXH599" s="584"/>
      <c r="FXI599" s="584"/>
      <c r="FXJ599" s="584"/>
      <c r="FXK599" s="584"/>
      <c r="FXL599" s="584"/>
      <c r="FXM599" s="584"/>
      <c r="FXN599" s="584"/>
      <c r="FXO599" s="584"/>
      <c r="FXP599" s="584"/>
      <c r="FXQ599" s="584"/>
      <c r="FXR599" s="584"/>
      <c r="FXS599" s="584"/>
      <c r="FXT599" s="584"/>
      <c r="FXU599" s="584"/>
      <c r="FXV599" s="584"/>
      <c r="FXW599" s="584"/>
      <c r="FXX599" s="584"/>
      <c r="FXY599" s="584"/>
      <c r="FXZ599" s="584"/>
      <c r="FYA599" s="584"/>
      <c r="FYB599" s="584"/>
      <c r="FYC599" s="584"/>
      <c r="FYD599" s="584"/>
      <c r="FYE599" s="584"/>
      <c r="FYF599" s="584"/>
      <c r="FYG599" s="584"/>
      <c r="FYH599" s="584"/>
      <c r="FYI599" s="584"/>
      <c r="FYJ599" s="584"/>
      <c r="FYK599" s="584"/>
      <c r="FYL599" s="584"/>
      <c r="FYM599" s="584"/>
      <c r="FYN599" s="584"/>
      <c r="FYO599" s="584"/>
      <c r="FYP599" s="584"/>
      <c r="FYQ599" s="584"/>
      <c r="FYR599" s="584"/>
      <c r="FYS599" s="584"/>
      <c r="FYT599" s="584"/>
      <c r="FYU599" s="584"/>
      <c r="FYV599" s="584"/>
      <c r="FYW599" s="584"/>
      <c r="FYX599" s="584"/>
      <c r="FYY599" s="584"/>
      <c r="FYZ599" s="584"/>
      <c r="FZA599" s="584"/>
      <c r="FZB599" s="584"/>
      <c r="FZC599" s="584"/>
      <c r="FZD599" s="584"/>
      <c r="FZE599" s="584"/>
      <c r="FZF599" s="584"/>
      <c r="FZG599" s="584"/>
      <c r="FZH599" s="584"/>
      <c r="FZI599" s="584"/>
      <c r="FZJ599" s="584"/>
      <c r="FZK599" s="584"/>
      <c r="FZL599" s="584"/>
      <c r="FZM599" s="584"/>
      <c r="FZN599" s="584"/>
      <c r="FZO599" s="584"/>
      <c r="FZP599" s="584"/>
      <c r="FZQ599" s="584"/>
      <c r="FZR599" s="584"/>
      <c r="FZS599" s="584"/>
      <c r="FZT599" s="584"/>
      <c r="FZU599" s="584"/>
      <c r="FZV599" s="584"/>
      <c r="FZW599" s="584"/>
      <c r="FZX599" s="584"/>
      <c r="FZY599" s="584"/>
      <c r="FZZ599" s="584"/>
      <c r="GAA599" s="584"/>
      <c r="GAB599" s="584"/>
      <c r="GAC599" s="584"/>
      <c r="GAD599" s="584"/>
      <c r="GAE599" s="584"/>
      <c r="GAF599" s="584"/>
      <c r="GAG599" s="584"/>
      <c r="GAH599" s="584"/>
      <c r="GAI599" s="584"/>
      <c r="GAJ599" s="584"/>
      <c r="GAK599" s="584"/>
      <c r="GAL599" s="584"/>
      <c r="GAM599" s="584"/>
      <c r="GAN599" s="584"/>
      <c r="GAO599" s="584"/>
      <c r="GAP599" s="584"/>
      <c r="GAQ599" s="584"/>
      <c r="GAR599" s="584"/>
      <c r="GAS599" s="584"/>
      <c r="GAT599" s="584"/>
      <c r="GAU599" s="584"/>
      <c r="GAV599" s="584"/>
      <c r="GAW599" s="584"/>
      <c r="GAX599" s="584"/>
      <c r="GAY599" s="584"/>
      <c r="GAZ599" s="584"/>
      <c r="GBA599" s="584"/>
      <c r="GBB599" s="584"/>
      <c r="GBC599" s="584"/>
      <c r="GBD599" s="584"/>
      <c r="GBE599" s="584"/>
      <c r="GBF599" s="584"/>
      <c r="GBG599" s="584"/>
      <c r="GBH599" s="584"/>
      <c r="GBI599" s="584"/>
      <c r="GBJ599" s="584"/>
      <c r="GBK599" s="584"/>
      <c r="GBL599" s="584"/>
      <c r="GBM599" s="584"/>
      <c r="GBN599" s="584"/>
      <c r="GBO599" s="584"/>
      <c r="GBP599" s="584"/>
      <c r="GBQ599" s="584"/>
      <c r="GBR599" s="584"/>
      <c r="GBS599" s="584"/>
      <c r="GBT599" s="584"/>
      <c r="GBU599" s="584"/>
      <c r="GBV599" s="584"/>
      <c r="GBW599" s="584"/>
      <c r="GBX599" s="584"/>
      <c r="GBY599" s="584"/>
      <c r="GBZ599" s="584"/>
      <c r="GCA599" s="584"/>
      <c r="GCB599" s="584"/>
      <c r="GCC599" s="584"/>
      <c r="GCD599" s="584"/>
      <c r="GCE599" s="584"/>
      <c r="GCF599" s="584"/>
      <c r="GCG599" s="584"/>
      <c r="GCH599" s="584"/>
      <c r="GCI599" s="584"/>
      <c r="GCJ599" s="584"/>
      <c r="GCK599" s="584"/>
      <c r="GCL599" s="584"/>
      <c r="GCM599" s="584"/>
      <c r="GCN599" s="584"/>
      <c r="GCO599" s="584"/>
      <c r="GCP599" s="584"/>
      <c r="GCQ599" s="584"/>
      <c r="GCR599" s="584"/>
      <c r="GCS599" s="584"/>
      <c r="GCT599" s="584"/>
      <c r="GCU599" s="584"/>
      <c r="GCV599" s="584"/>
      <c r="GCW599" s="584"/>
      <c r="GCX599" s="584"/>
      <c r="GCY599" s="584"/>
      <c r="GCZ599" s="584"/>
      <c r="GDA599" s="584"/>
      <c r="GDB599" s="584"/>
      <c r="GDC599" s="584"/>
      <c r="GDD599" s="584"/>
      <c r="GDE599" s="584"/>
      <c r="GDF599" s="584"/>
      <c r="GDG599" s="584"/>
      <c r="GDH599" s="584"/>
      <c r="GDI599" s="584"/>
      <c r="GDJ599" s="584"/>
      <c r="GDK599" s="584"/>
      <c r="GDL599" s="584"/>
      <c r="GDM599" s="584"/>
      <c r="GDN599" s="584"/>
      <c r="GDO599" s="584"/>
      <c r="GDP599" s="584"/>
      <c r="GDQ599" s="584"/>
      <c r="GDR599" s="584"/>
      <c r="GDS599" s="584"/>
      <c r="GDT599" s="584"/>
      <c r="GDU599" s="584"/>
      <c r="GDV599" s="584"/>
      <c r="GDW599" s="584"/>
      <c r="GDX599" s="584"/>
      <c r="GDY599" s="584"/>
      <c r="GDZ599" s="584"/>
      <c r="GEA599" s="584"/>
      <c r="GEB599" s="584"/>
      <c r="GEC599" s="584"/>
      <c r="GED599" s="584"/>
      <c r="GEE599" s="584"/>
      <c r="GEF599" s="584"/>
      <c r="GEG599" s="584"/>
      <c r="GEH599" s="584"/>
      <c r="GEI599" s="584"/>
      <c r="GEJ599" s="584"/>
      <c r="GEK599" s="584"/>
      <c r="GEL599" s="584"/>
      <c r="GEM599" s="584"/>
      <c r="GEN599" s="584"/>
      <c r="GEO599" s="584"/>
      <c r="GEP599" s="584"/>
      <c r="GEQ599" s="584"/>
      <c r="GER599" s="584"/>
      <c r="GES599" s="584"/>
      <c r="GET599" s="584"/>
      <c r="GEU599" s="584"/>
      <c r="GEV599" s="584"/>
      <c r="GEW599" s="584"/>
      <c r="GEX599" s="584"/>
      <c r="GEY599" s="584"/>
      <c r="GEZ599" s="584"/>
      <c r="GFA599" s="584"/>
      <c r="GFB599" s="584"/>
      <c r="GFC599" s="584"/>
      <c r="GFD599" s="584"/>
      <c r="GFE599" s="584"/>
      <c r="GFF599" s="584"/>
      <c r="GFG599" s="584"/>
      <c r="GFH599" s="584"/>
      <c r="GFI599" s="584"/>
      <c r="GFJ599" s="584"/>
      <c r="GFK599" s="584"/>
      <c r="GFL599" s="584"/>
      <c r="GFM599" s="584"/>
      <c r="GFN599" s="584"/>
      <c r="GFO599" s="584"/>
      <c r="GFP599" s="584"/>
      <c r="GFQ599" s="584"/>
      <c r="GFR599" s="584"/>
      <c r="GFS599" s="584"/>
      <c r="GFT599" s="584"/>
      <c r="GFU599" s="584"/>
      <c r="GFV599" s="584"/>
      <c r="GFW599" s="584"/>
      <c r="GFX599" s="584"/>
      <c r="GFY599" s="584"/>
      <c r="GFZ599" s="584"/>
      <c r="GGA599" s="584"/>
      <c r="GGB599" s="584"/>
      <c r="GGC599" s="584"/>
      <c r="GGD599" s="584"/>
      <c r="GGE599" s="584"/>
      <c r="GGF599" s="584"/>
      <c r="GGG599" s="584"/>
      <c r="GGH599" s="584"/>
      <c r="GGI599" s="584"/>
      <c r="GGJ599" s="584"/>
      <c r="GGK599" s="584"/>
      <c r="GGL599" s="584"/>
      <c r="GGM599" s="584"/>
      <c r="GGN599" s="584"/>
      <c r="GGO599" s="584"/>
      <c r="GGP599" s="584"/>
      <c r="GGQ599" s="584"/>
      <c r="GGR599" s="584"/>
      <c r="GGS599" s="584"/>
      <c r="GGT599" s="584"/>
      <c r="GGU599" s="584"/>
      <c r="GGV599" s="584"/>
      <c r="GGW599" s="584"/>
      <c r="GGX599" s="584"/>
      <c r="GGY599" s="584"/>
      <c r="GGZ599" s="584"/>
      <c r="GHA599" s="584"/>
      <c r="GHB599" s="584"/>
      <c r="GHC599" s="584"/>
      <c r="GHD599" s="584"/>
      <c r="GHE599" s="584"/>
      <c r="GHF599" s="584"/>
      <c r="GHG599" s="584"/>
      <c r="GHH599" s="584"/>
      <c r="GHI599" s="584"/>
      <c r="GHJ599" s="584"/>
      <c r="GHK599" s="584"/>
      <c r="GHL599" s="584"/>
      <c r="GHM599" s="584"/>
      <c r="GHN599" s="584"/>
      <c r="GHO599" s="584"/>
      <c r="GHP599" s="584"/>
      <c r="GHQ599" s="584"/>
      <c r="GHR599" s="584"/>
      <c r="GHS599" s="584"/>
      <c r="GHT599" s="584"/>
      <c r="GHU599" s="584"/>
      <c r="GHV599" s="584"/>
      <c r="GHW599" s="584"/>
      <c r="GHX599" s="584"/>
      <c r="GHY599" s="584"/>
      <c r="GHZ599" s="584"/>
      <c r="GIA599" s="584"/>
      <c r="GIB599" s="584"/>
      <c r="GIC599" s="584"/>
      <c r="GID599" s="584"/>
      <c r="GIE599" s="584"/>
      <c r="GIF599" s="584"/>
      <c r="GIG599" s="584"/>
      <c r="GIH599" s="584"/>
      <c r="GII599" s="584"/>
      <c r="GIJ599" s="584"/>
      <c r="GIK599" s="584"/>
      <c r="GIL599" s="584"/>
      <c r="GIM599" s="584"/>
      <c r="GIN599" s="584"/>
      <c r="GIO599" s="584"/>
      <c r="GIP599" s="584"/>
      <c r="GIQ599" s="584"/>
      <c r="GIR599" s="584"/>
      <c r="GIS599" s="584"/>
      <c r="GIT599" s="584"/>
      <c r="GIU599" s="584"/>
      <c r="GIV599" s="584"/>
      <c r="GIW599" s="584"/>
      <c r="GIX599" s="584"/>
      <c r="GIY599" s="584"/>
      <c r="GIZ599" s="584"/>
      <c r="GJA599" s="584"/>
      <c r="GJB599" s="584"/>
      <c r="GJC599" s="584"/>
      <c r="GJD599" s="584"/>
      <c r="GJE599" s="584"/>
      <c r="GJF599" s="584"/>
      <c r="GJG599" s="584"/>
      <c r="GJH599" s="584"/>
      <c r="GJI599" s="584"/>
      <c r="GJJ599" s="584"/>
      <c r="GJK599" s="584"/>
      <c r="GJL599" s="584"/>
      <c r="GJM599" s="584"/>
      <c r="GJN599" s="584"/>
      <c r="GJO599" s="584"/>
      <c r="GJP599" s="584"/>
      <c r="GJQ599" s="584"/>
      <c r="GJR599" s="584"/>
      <c r="GJS599" s="584"/>
      <c r="GJT599" s="584"/>
      <c r="GJU599" s="584"/>
      <c r="GJV599" s="584"/>
      <c r="GJW599" s="584"/>
      <c r="GJX599" s="584"/>
      <c r="GJY599" s="584"/>
      <c r="GJZ599" s="584"/>
      <c r="GKA599" s="584"/>
      <c r="GKB599" s="584"/>
      <c r="GKC599" s="584"/>
      <c r="GKD599" s="584"/>
      <c r="GKE599" s="584"/>
      <c r="GKF599" s="584"/>
      <c r="GKG599" s="584"/>
      <c r="GKH599" s="584"/>
      <c r="GKI599" s="584"/>
      <c r="GKJ599" s="584"/>
      <c r="GKK599" s="584"/>
      <c r="GKL599" s="584"/>
      <c r="GKM599" s="584"/>
      <c r="GKN599" s="584"/>
      <c r="GKO599" s="584"/>
      <c r="GKP599" s="584"/>
      <c r="GKQ599" s="584"/>
      <c r="GKR599" s="584"/>
      <c r="GKS599" s="584"/>
      <c r="GKT599" s="584"/>
      <c r="GKU599" s="584"/>
      <c r="GKV599" s="584"/>
      <c r="GKW599" s="584"/>
      <c r="GKX599" s="584"/>
      <c r="GKY599" s="584"/>
      <c r="GKZ599" s="584"/>
      <c r="GLA599" s="584"/>
      <c r="GLB599" s="584"/>
      <c r="GLC599" s="584"/>
      <c r="GLD599" s="584"/>
      <c r="GLE599" s="584"/>
      <c r="GLF599" s="584"/>
      <c r="GLG599" s="584"/>
      <c r="GLH599" s="584"/>
      <c r="GLI599" s="584"/>
      <c r="GLJ599" s="584"/>
      <c r="GLK599" s="584"/>
      <c r="GLL599" s="584"/>
      <c r="GLM599" s="584"/>
      <c r="GLN599" s="584"/>
      <c r="GLO599" s="584"/>
      <c r="GLP599" s="584"/>
      <c r="GLQ599" s="584"/>
      <c r="GLR599" s="584"/>
      <c r="GLS599" s="584"/>
      <c r="GLT599" s="584"/>
      <c r="GLU599" s="584"/>
      <c r="GLV599" s="584"/>
      <c r="GLW599" s="584"/>
      <c r="GLX599" s="584"/>
      <c r="GLY599" s="584"/>
      <c r="GLZ599" s="584"/>
      <c r="GMA599" s="584"/>
      <c r="GMB599" s="584"/>
      <c r="GMC599" s="584"/>
      <c r="GMD599" s="584"/>
      <c r="GME599" s="584"/>
      <c r="GMF599" s="584"/>
      <c r="GMG599" s="584"/>
      <c r="GMH599" s="584"/>
      <c r="GMI599" s="584"/>
      <c r="GMJ599" s="584"/>
      <c r="GMK599" s="584"/>
      <c r="GML599" s="584"/>
      <c r="GMM599" s="584"/>
      <c r="GMN599" s="584"/>
      <c r="GMO599" s="584"/>
      <c r="GMP599" s="584"/>
      <c r="GMQ599" s="584"/>
      <c r="GMR599" s="584"/>
      <c r="GMS599" s="584"/>
      <c r="GMT599" s="584"/>
      <c r="GMU599" s="584"/>
      <c r="GMV599" s="584"/>
      <c r="GMW599" s="584"/>
      <c r="GMX599" s="584"/>
      <c r="GMY599" s="584"/>
      <c r="GMZ599" s="584"/>
      <c r="GNA599" s="584"/>
      <c r="GNB599" s="584"/>
      <c r="GNC599" s="584"/>
      <c r="GND599" s="584"/>
      <c r="GNE599" s="584"/>
      <c r="GNF599" s="584"/>
      <c r="GNG599" s="584"/>
      <c r="GNH599" s="584"/>
      <c r="GNI599" s="584"/>
      <c r="GNJ599" s="584"/>
      <c r="GNK599" s="584"/>
      <c r="GNL599" s="584"/>
      <c r="GNM599" s="584"/>
      <c r="GNN599" s="584"/>
      <c r="GNO599" s="584"/>
      <c r="GNP599" s="584"/>
      <c r="GNQ599" s="584"/>
      <c r="GNR599" s="584"/>
      <c r="GNS599" s="584"/>
      <c r="GNT599" s="584"/>
      <c r="GNU599" s="584"/>
      <c r="GNV599" s="584"/>
      <c r="GNW599" s="584"/>
      <c r="GNX599" s="584"/>
      <c r="GNY599" s="584"/>
      <c r="GNZ599" s="584"/>
      <c r="GOA599" s="584"/>
      <c r="GOB599" s="584"/>
      <c r="GOC599" s="584"/>
      <c r="GOD599" s="584"/>
      <c r="GOE599" s="584"/>
      <c r="GOF599" s="584"/>
      <c r="GOG599" s="584"/>
      <c r="GOH599" s="584"/>
      <c r="GOI599" s="584"/>
      <c r="GOJ599" s="584"/>
      <c r="GOK599" s="584"/>
      <c r="GOL599" s="584"/>
      <c r="GOM599" s="584"/>
      <c r="GON599" s="584"/>
      <c r="GOO599" s="584"/>
      <c r="GOP599" s="584"/>
      <c r="GOQ599" s="584"/>
      <c r="GOR599" s="584"/>
      <c r="GOS599" s="584"/>
      <c r="GOT599" s="584"/>
      <c r="GOU599" s="584"/>
      <c r="GOV599" s="584"/>
      <c r="GOW599" s="584"/>
      <c r="GOX599" s="584"/>
      <c r="GOY599" s="584"/>
      <c r="GOZ599" s="584"/>
      <c r="GPA599" s="584"/>
      <c r="GPB599" s="584"/>
      <c r="GPC599" s="584"/>
      <c r="GPD599" s="584"/>
      <c r="GPE599" s="584"/>
      <c r="GPF599" s="584"/>
      <c r="GPG599" s="584"/>
      <c r="GPH599" s="584"/>
      <c r="GPI599" s="584"/>
      <c r="GPJ599" s="584"/>
      <c r="GPK599" s="584"/>
      <c r="GPL599" s="584"/>
      <c r="GPM599" s="584"/>
      <c r="GPN599" s="584"/>
      <c r="GPO599" s="584"/>
      <c r="GPP599" s="584"/>
      <c r="GPQ599" s="584"/>
      <c r="GPR599" s="584"/>
      <c r="GPS599" s="584"/>
      <c r="GPT599" s="584"/>
      <c r="GPU599" s="584"/>
      <c r="GPV599" s="584"/>
      <c r="GPW599" s="584"/>
      <c r="GPX599" s="584"/>
      <c r="GPY599" s="584"/>
      <c r="GPZ599" s="584"/>
      <c r="GQA599" s="584"/>
      <c r="GQB599" s="584"/>
      <c r="GQC599" s="584"/>
      <c r="GQD599" s="584"/>
      <c r="GQE599" s="584"/>
      <c r="GQF599" s="584"/>
      <c r="GQG599" s="584"/>
      <c r="GQH599" s="584"/>
      <c r="GQI599" s="584"/>
      <c r="GQJ599" s="584"/>
      <c r="GQK599" s="584"/>
      <c r="GQL599" s="584"/>
      <c r="GQM599" s="584"/>
      <c r="GQN599" s="584"/>
      <c r="GQO599" s="584"/>
      <c r="GQP599" s="584"/>
      <c r="GQQ599" s="584"/>
      <c r="GQR599" s="584"/>
      <c r="GQS599" s="584"/>
      <c r="GQT599" s="584"/>
      <c r="GQU599" s="584"/>
      <c r="GQV599" s="584"/>
      <c r="GQW599" s="584"/>
      <c r="GQX599" s="584"/>
      <c r="GQY599" s="584"/>
      <c r="GQZ599" s="584"/>
      <c r="GRA599" s="584"/>
      <c r="GRB599" s="584"/>
      <c r="GRC599" s="584"/>
      <c r="GRD599" s="584"/>
      <c r="GRE599" s="584"/>
      <c r="GRF599" s="584"/>
      <c r="GRG599" s="584"/>
      <c r="GRH599" s="584"/>
      <c r="GRI599" s="584"/>
      <c r="GRJ599" s="584"/>
      <c r="GRK599" s="584"/>
      <c r="GRL599" s="584"/>
      <c r="GRM599" s="584"/>
      <c r="GRN599" s="584"/>
      <c r="GRO599" s="584"/>
      <c r="GRP599" s="584"/>
      <c r="GRQ599" s="584"/>
      <c r="GRR599" s="584"/>
      <c r="GRS599" s="584"/>
      <c r="GRT599" s="584"/>
      <c r="GRU599" s="584"/>
      <c r="GRV599" s="584"/>
      <c r="GRW599" s="584"/>
      <c r="GRX599" s="584"/>
      <c r="GRY599" s="584"/>
      <c r="GRZ599" s="584"/>
      <c r="GSA599" s="584"/>
      <c r="GSB599" s="584"/>
      <c r="GSC599" s="584"/>
      <c r="GSD599" s="584"/>
      <c r="GSE599" s="584"/>
      <c r="GSF599" s="584"/>
      <c r="GSG599" s="584"/>
      <c r="GSH599" s="584"/>
      <c r="GSI599" s="584"/>
      <c r="GSJ599" s="584"/>
      <c r="GSK599" s="584"/>
      <c r="GSL599" s="584"/>
      <c r="GSM599" s="584"/>
      <c r="GSN599" s="584"/>
      <c r="GSO599" s="584"/>
      <c r="GSP599" s="584"/>
      <c r="GSQ599" s="584"/>
      <c r="GSR599" s="584"/>
      <c r="GSS599" s="584"/>
      <c r="GST599" s="584"/>
      <c r="GSU599" s="584"/>
      <c r="GSV599" s="584"/>
      <c r="GSW599" s="584"/>
      <c r="GSX599" s="584"/>
      <c r="GSY599" s="584"/>
      <c r="GSZ599" s="584"/>
      <c r="GTA599" s="584"/>
      <c r="GTB599" s="584"/>
      <c r="GTC599" s="584"/>
      <c r="GTD599" s="584"/>
      <c r="GTE599" s="584"/>
      <c r="GTF599" s="584"/>
      <c r="GTG599" s="584"/>
      <c r="GTH599" s="584"/>
      <c r="GTI599" s="584"/>
      <c r="GTJ599" s="584"/>
      <c r="GTK599" s="584"/>
      <c r="GTL599" s="584"/>
      <c r="GTM599" s="584"/>
      <c r="GTN599" s="584"/>
      <c r="GTO599" s="584"/>
      <c r="GTP599" s="584"/>
      <c r="GTQ599" s="584"/>
      <c r="GTR599" s="584"/>
      <c r="GTS599" s="584"/>
      <c r="GTT599" s="584"/>
      <c r="GTU599" s="584"/>
      <c r="GTV599" s="584"/>
      <c r="GTW599" s="584"/>
      <c r="GTX599" s="584"/>
      <c r="GTY599" s="584"/>
      <c r="GTZ599" s="584"/>
      <c r="GUA599" s="584"/>
      <c r="GUB599" s="584"/>
      <c r="GUC599" s="584"/>
      <c r="GUD599" s="584"/>
      <c r="GUE599" s="584"/>
      <c r="GUF599" s="584"/>
      <c r="GUG599" s="584"/>
      <c r="GUH599" s="584"/>
      <c r="GUI599" s="584"/>
      <c r="GUJ599" s="584"/>
      <c r="GUK599" s="584"/>
      <c r="GUL599" s="584"/>
      <c r="GUM599" s="584"/>
      <c r="GUN599" s="584"/>
      <c r="GUO599" s="584"/>
      <c r="GUP599" s="584"/>
      <c r="GUQ599" s="584"/>
      <c r="GUR599" s="584"/>
      <c r="GUS599" s="584"/>
      <c r="GUT599" s="584"/>
      <c r="GUU599" s="584"/>
      <c r="GUV599" s="584"/>
      <c r="GUW599" s="584"/>
      <c r="GUX599" s="584"/>
      <c r="GUY599" s="584"/>
      <c r="GUZ599" s="584"/>
      <c r="GVA599" s="584"/>
      <c r="GVB599" s="584"/>
      <c r="GVC599" s="584"/>
      <c r="GVD599" s="584"/>
      <c r="GVE599" s="584"/>
      <c r="GVF599" s="584"/>
      <c r="GVG599" s="584"/>
      <c r="GVH599" s="584"/>
      <c r="GVI599" s="584"/>
      <c r="GVJ599" s="584"/>
      <c r="GVK599" s="584"/>
      <c r="GVL599" s="584"/>
      <c r="GVM599" s="584"/>
      <c r="GVN599" s="584"/>
      <c r="GVO599" s="584"/>
      <c r="GVP599" s="584"/>
      <c r="GVQ599" s="584"/>
      <c r="GVR599" s="584"/>
      <c r="GVS599" s="584"/>
      <c r="GVT599" s="584"/>
      <c r="GVU599" s="584"/>
      <c r="GVV599" s="584"/>
      <c r="GVW599" s="584"/>
      <c r="GVX599" s="584"/>
      <c r="GVY599" s="584"/>
      <c r="GVZ599" s="584"/>
      <c r="GWA599" s="584"/>
      <c r="GWB599" s="584"/>
      <c r="GWC599" s="584"/>
      <c r="GWD599" s="584"/>
      <c r="GWE599" s="584"/>
      <c r="GWF599" s="584"/>
      <c r="GWG599" s="584"/>
      <c r="GWH599" s="584"/>
      <c r="GWI599" s="584"/>
      <c r="GWJ599" s="584"/>
      <c r="GWK599" s="584"/>
      <c r="GWL599" s="584"/>
      <c r="GWM599" s="584"/>
      <c r="GWN599" s="584"/>
      <c r="GWO599" s="584"/>
      <c r="GWP599" s="584"/>
      <c r="GWQ599" s="584"/>
      <c r="GWR599" s="584"/>
      <c r="GWS599" s="584"/>
      <c r="GWT599" s="584"/>
      <c r="GWU599" s="584"/>
      <c r="GWV599" s="584"/>
      <c r="GWW599" s="584"/>
      <c r="GWX599" s="584"/>
      <c r="GWY599" s="584"/>
      <c r="GWZ599" s="584"/>
      <c r="GXA599" s="584"/>
      <c r="GXB599" s="584"/>
      <c r="GXC599" s="584"/>
      <c r="GXD599" s="584"/>
      <c r="GXE599" s="584"/>
      <c r="GXF599" s="584"/>
      <c r="GXG599" s="584"/>
      <c r="GXH599" s="584"/>
      <c r="GXI599" s="584"/>
      <c r="GXJ599" s="584"/>
      <c r="GXK599" s="584"/>
      <c r="GXL599" s="584"/>
      <c r="GXM599" s="584"/>
      <c r="GXN599" s="584"/>
      <c r="GXO599" s="584"/>
      <c r="GXP599" s="584"/>
      <c r="GXQ599" s="584"/>
      <c r="GXR599" s="584"/>
      <c r="GXS599" s="584"/>
      <c r="GXT599" s="584"/>
      <c r="GXU599" s="584"/>
      <c r="GXV599" s="584"/>
      <c r="GXW599" s="584"/>
      <c r="GXX599" s="584"/>
      <c r="GXY599" s="584"/>
      <c r="GXZ599" s="584"/>
      <c r="GYA599" s="584"/>
      <c r="GYB599" s="584"/>
      <c r="GYC599" s="584"/>
      <c r="GYD599" s="584"/>
      <c r="GYE599" s="584"/>
      <c r="GYF599" s="584"/>
      <c r="GYG599" s="584"/>
      <c r="GYH599" s="584"/>
      <c r="GYI599" s="584"/>
      <c r="GYJ599" s="584"/>
      <c r="GYK599" s="584"/>
      <c r="GYL599" s="584"/>
      <c r="GYM599" s="584"/>
      <c r="GYN599" s="584"/>
      <c r="GYO599" s="584"/>
      <c r="GYP599" s="584"/>
      <c r="GYQ599" s="584"/>
      <c r="GYR599" s="584"/>
      <c r="GYS599" s="584"/>
      <c r="GYT599" s="584"/>
      <c r="GYU599" s="584"/>
      <c r="GYV599" s="584"/>
      <c r="GYW599" s="584"/>
      <c r="GYX599" s="584"/>
      <c r="GYY599" s="584"/>
      <c r="GYZ599" s="584"/>
      <c r="GZA599" s="584"/>
      <c r="GZB599" s="584"/>
      <c r="GZC599" s="584"/>
      <c r="GZD599" s="584"/>
      <c r="GZE599" s="584"/>
      <c r="GZF599" s="584"/>
      <c r="GZG599" s="584"/>
      <c r="GZH599" s="584"/>
      <c r="GZI599" s="584"/>
      <c r="GZJ599" s="584"/>
      <c r="GZK599" s="584"/>
      <c r="GZL599" s="584"/>
      <c r="GZM599" s="584"/>
      <c r="GZN599" s="584"/>
      <c r="GZO599" s="584"/>
      <c r="GZP599" s="584"/>
      <c r="GZQ599" s="584"/>
      <c r="GZR599" s="584"/>
      <c r="GZS599" s="584"/>
      <c r="GZT599" s="584"/>
      <c r="GZU599" s="584"/>
      <c r="GZV599" s="584"/>
      <c r="GZW599" s="584"/>
      <c r="GZX599" s="584"/>
      <c r="GZY599" s="584"/>
      <c r="GZZ599" s="584"/>
      <c r="HAA599" s="584"/>
      <c r="HAB599" s="584"/>
      <c r="HAC599" s="584"/>
      <c r="HAD599" s="584"/>
      <c r="HAE599" s="584"/>
      <c r="HAF599" s="584"/>
      <c r="HAG599" s="584"/>
      <c r="HAH599" s="584"/>
      <c r="HAI599" s="584"/>
      <c r="HAJ599" s="584"/>
      <c r="HAK599" s="584"/>
      <c r="HAL599" s="584"/>
      <c r="HAM599" s="584"/>
      <c r="HAN599" s="584"/>
      <c r="HAO599" s="584"/>
      <c r="HAP599" s="584"/>
      <c r="HAQ599" s="584"/>
      <c r="HAR599" s="584"/>
      <c r="HAS599" s="584"/>
      <c r="HAT599" s="584"/>
      <c r="HAU599" s="584"/>
      <c r="HAV599" s="584"/>
      <c r="HAW599" s="584"/>
      <c r="HAX599" s="584"/>
      <c r="HAY599" s="584"/>
      <c r="HAZ599" s="584"/>
      <c r="HBA599" s="584"/>
      <c r="HBB599" s="584"/>
      <c r="HBC599" s="584"/>
      <c r="HBD599" s="584"/>
      <c r="HBE599" s="584"/>
      <c r="HBF599" s="584"/>
      <c r="HBG599" s="584"/>
      <c r="HBH599" s="584"/>
      <c r="HBI599" s="584"/>
      <c r="HBJ599" s="584"/>
      <c r="HBK599" s="584"/>
      <c r="HBL599" s="584"/>
      <c r="HBM599" s="584"/>
      <c r="HBN599" s="584"/>
      <c r="HBO599" s="584"/>
      <c r="HBP599" s="584"/>
      <c r="HBQ599" s="584"/>
      <c r="HBR599" s="584"/>
      <c r="HBS599" s="584"/>
      <c r="HBT599" s="584"/>
      <c r="HBU599" s="584"/>
      <c r="HBV599" s="584"/>
      <c r="HBW599" s="584"/>
      <c r="HBX599" s="584"/>
      <c r="HBY599" s="584"/>
      <c r="HBZ599" s="584"/>
      <c r="HCA599" s="584"/>
      <c r="HCB599" s="584"/>
      <c r="HCC599" s="584"/>
      <c r="HCD599" s="584"/>
      <c r="HCE599" s="584"/>
      <c r="HCF599" s="584"/>
      <c r="HCG599" s="584"/>
      <c r="HCH599" s="584"/>
      <c r="HCI599" s="584"/>
      <c r="HCJ599" s="584"/>
      <c r="HCK599" s="584"/>
      <c r="HCL599" s="584"/>
      <c r="HCM599" s="584"/>
      <c r="HCN599" s="584"/>
      <c r="HCO599" s="584"/>
      <c r="HCP599" s="584"/>
      <c r="HCQ599" s="584"/>
      <c r="HCR599" s="584"/>
      <c r="HCS599" s="584"/>
      <c r="HCT599" s="584"/>
      <c r="HCU599" s="584"/>
      <c r="HCV599" s="584"/>
      <c r="HCW599" s="584"/>
      <c r="HCX599" s="584"/>
      <c r="HCY599" s="584"/>
      <c r="HCZ599" s="584"/>
      <c r="HDA599" s="584"/>
      <c r="HDB599" s="584"/>
      <c r="HDC599" s="584"/>
      <c r="HDD599" s="584"/>
      <c r="HDE599" s="584"/>
      <c r="HDF599" s="584"/>
      <c r="HDG599" s="584"/>
      <c r="HDH599" s="584"/>
      <c r="HDI599" s="584"/>
      <c r="HDJ599" s="584"/>
      <c r="HDK599" s="584"/>
      <c r="HDL599" s="584"/>
      <c r="HDM599" s="584"/>
      <c r="HDN599" s="584"/>
      <c r="HDO599" s="584"/>
      <c r="HDP599" s="584"/>
      <c r="HDQ599" s="584"/>
      <c r="HDR599" s="584"/>
      <c r="HDS599" s="584"/>
      <c r="HDT599" s="584"/>
      <c r="HDU599" s="584"/>
      <c r="HDV599" s="584"/>
      <c r="HDW599" s="584"/>
      <c r="HDX599" s="584"/>
      <c r="HDY599" s="584"/>
      <c r="HDZ599" s="584"/>
      <c r="HEA599" s="584"/>
      <c r="HEB599" s="584"/>
      <c r="HEC599" s="584"/>
      <c r="HED599" s="584"/>
      <c r="HEE599" s="584"/>
      <c r="HEF599" s="584"/>
      <c r="HEG599" s="584"/>
      <c r="HEH599" s="584"/>
      <c r="HEI599" s="584"/>
      <c r="HEJ599" s="584"/>
      <c r="HEK599" s="584"/>
      <c r="HEL599" s="584"/>
      <c r="HEM599" s="584"/>
      <c r="HEN599" s="584"/>
      <c r="HEO599" s="584"/>
      <c r="HEP599" s="584"/>
      <c r="HEQ599" s="584"/>
      <c r="HER599" s="584"/>
      <c r="HES599" s="584"/>
      <c r="HET599" s="584"/>
      <c r="HEU599" s="584"/>
      <c r="HEV599" s="584"/>
      <c r="HEW599" s="584"/>
      <c r="HEX599" s="584"/>
      <c r="HEY599" s="584"/>
      <c r="HEZ599" s="584"/>
      <c r="HFA599" s="584"/>
      <c r="HFB599" s="584"/>
      <c r="HFC599" s="584"/>
      <c r="HFD599" s="584"/>
      <c r="HFE599" s="584"/>
      <c r="HFF599" s="584"/>
      <c r="HFG599" s="584"/>
      <c r="HFH599" s="584"/>
      <c r="HFI599" s="584"/>
      <c r="HFJ599" s="584"/>
      <c r="HFK599" s="584"/>
      <c r="HFL599" s="584"/>
      <c r="HFM599" s="584"/>
      <c r="HFN599" s="584"/>
      <c r="HFO599" s="584"/>
      <c r="HFP599" s="584"/>
      <c r="HFQ599" s="584"/>
      <c r="HFR599" s="584"/>
      <c r="HFS599" s="584"/>
      <c r="HFT599" s="584"/>
      <c r="HFU599" s="584"/>
      <c r="HFV599" s="584"/>
      <c r="HFW599" s="584"/>
      <c r="HFX599" s="584"/>
      <c r="HFY599" s="584"/>
      <c r="HFZ599" s="584"/>
      <c r="HGA599" s="584"/>
      <c r="HGB599" s="584"/>
      <c r="HGC599" s="584"/>
      <c r="HGD599" s="584"/>
      <c r="HGE599" s="584"/>
      <c r="HGF599" s="584"/>
      <c r="HGG599" s="584"/>
      <c r="HGH599" s="584"/>
      <c r="HGI599" s="584"/>
      <c r="HGJ599" s="584"/>
      <c r="HGK599" s="584"/>
      <c r="HGL599" s="584"/>
      <c r="HGM599" s="584"/>
      <c r="HGN599" s="584"/>
      <c r="HGO599" s="584"/>
      <c r="HGP599" s="584"/>
      <c r="HGQ599" s="584"/>
      <c r="HGR599" s="584"/>
      <c r="HGS599" s="584"/>
      <c r="HGT599" s="584"/>
      <c r="HGU599" s="584"/>
      <c r="HGV599" s="584"/>
      <c r="HGW599" s="584"/>
      <c r="HGX599" s="584"/>
      <c r="HGY599" s="584"/>
      <c r="HGZ599" s="584"/>
      <c r="HHA599" s="584"/>
      <c r="HHB599" s="584"/>
      <c r="HHC599" s="584"/>
      <c r="HHD599" s="584"/>
      <c r="HHE599" s="584"/>
      <c r="HHF599" s="584"/>
      <c r="HHG599" s="584"/>
      <c r="HHH599" s="584"/>
      <c r="HHI599" s="584"/>
      <c r="HHJ599" s="584"/>
      <c r="HHK599" s="584"/>
      <c r="HHL599" s="584"/>
      <c r="HHM599" s="584"/>
      <c r="HHN599" s="584"/>
      <c r="HHO599" s="584"/>
      <c r="HHP599" s="584"/>
      <c r="HHQ599" s="584"/>
      <c r="HHR599" s="584"/>
      <c r="HHS599" s="584"/>
      <c r="HHT599" s="584"/>
      <c r="HHU599" s="584"/>
      <c r="HHV599" s="584"/>
      <c r="HHW599" s="584"/>
      <c r="HHX599" s="584"/>
      <c r="HHY599" s="584"/>
      <c r="HHZ599" s="584"/>
      <c r="HIA599" s="584"/>
      <c r="HIB599" s="584"/>
      <c r="HIC599" s="584"/>
      <c r="HID599" s="584"/>
      <c r="HIE599" s="584"/>
      <c r="HIF599" s="584"/>
      <c r="HIG599" s="584"/>
      <c r="HIH599" s="584"/>
      <c r="HII599" s="584"/>
      <c r="HIJ599" s="584"/>
      <c r="HIK599" s="584"/>
      <c r="HIL599" s="584"/>
      <c r="HIM599" s="584"/>
      <c r="HIN599" s="584"/>
      <c r="HIO599" s="584"/>
      <c r="HIP599" s="584"/>
      <c r="HIQ599" s="584"/>
      <c r="HIR599" s="584"/>
      <c r="HIS599" s="584"/>
      <c r="HIT599" s="584"/>
      <c r="HIU599" s="584"/>
      <c r="HIV599" s="584"/>
      <c r="HIW599" s="584"/>
      <c r="HIX599" s="584"/>
      <c r="HIY599" s="584"/>
      <c r="HIZ599" s="584"/>
      <c r="HJA599" s="584"/>
      <c r="HJB599" s="584"/>
      <c r="HJC599" s="584"/>
      <c r="HJD599" s="584"/>
      <c r="HJE599" s="584"/>
      <c r="HJF599" s="584"/>
      <c r="HJG599" s="584"/>
      <c r="HJH599" s="584"/>
      <c r="HJI599" s="584"/>
      <c r="HJJ599" s="584"/>
      <c r="HJK599" s="584"/>
      <c r="HJL599" s="584"/>
      <c r="HJM599" s="584"/>
      <c r="HJN599" s="584"/>
      <c r="HJO599" s="584"/>
      <c r="HJP599" s="584"/>
      <c r="HJQ599" s="584"/>
      <c r="HJR599" s="584"/>
      <c r="HJS599" s="584"/>
      <c r="HJT599" s="584"/>
      <c r="HJU599" s="584"/>
      <c r="HJV599" s="584"/>
      <c r="HJW599" s="584"/>
      <c r="HJX599" s="584"/>
      <c r="HJY599" s="584"/>
      <c r="HJZ599" s="584"/>
      <c r="HKA599" s="584"/>
      <c r="HKB599" s="584"/>
      <c r="HKC599" s="584"/>
      <c r="HKD599" s="584"/>
      <c r="HKE599" s="584"/>
      <c r="HKF599" s="584"/>
      <c r="HKG599" s="584"/>
      <c r="HKH599" s="584"/>
      <c r="HKI599" s="584"/>
      <c r="HKJ599" s="584"/>
      <c r="HKK599" s="584"/>
      <c r="HKL599" s="584"/>
      <c r="HKM599" s="584"/>
      <c r="HKN599" s="584"/>
      <c r="HKO599" s="584"/>
      <c r="HKP599" s="584"/>
      <c r="HKQ599" s="584"/>
      <c r="HKR599" s="584"/>
      <c r="HKS599" s="584"/>
      <c r="HKT599" s="584"/>
      <c r="HKU599" s="584"/>
      <c r="HKV599" s="584"/>
      <c r="HKW599" s="584"/>
      <c r="HKX599" s="584"/>
      <c r="HKY599" s="584"/>
      <c r="HKZ599" s="584"/>
      <c r="HLA599" s="584"/>
      <c r="HLB599" s="584"/>
      <c r="HLC599" s="584"/>
      <c r="HLD599" s="584"/>
      <c r="HLE599" s="584"/>
      <c r="HLF599" s="584"/>
      <c r="HLG599" s="584"/>
      <c r="HLH599" s="584"/>
      <c r="HLI599" s="584"/>
      <c r="HLJ599" s="584"/>
      <c r="HLK599" s="584"/>
      <c r="HLL599" s="584"/>
      <c r="HLM599" s="584"/>
      <c r="HLN599" s="584"/>
      <c r="HLO599" s="584"/>
      <c r="HLP599" s="584"/>
      <c r="HLQ599" s="584"/>
      <c r="HLR599" s="584"/>
      <c r="HLS599" s="584"/>
      <c r="HLT599" s="584"/>
      <c r="HLU599" s="584"/>
      <c r="HLV599" s="584"/>
      <c r="HLW599" s="584"/>
      <c r="HLX599" s="584"/>
      <c r="HLY599" s="584"/>
      <c r="HLZ599" s="584"/>
      <c r="HMA599" s="584"/>
      <c r="HMB599" s="584"/>
      <c r="HMC599" s="584"/>
      <c r="HMD599" s="584"/>
      <c r="HME599" s="584"/>
      <c r="HMF599" s="584"/>
      <c r="HMG599" s="584"/>
      <c r="HMH599" s="584"/>
      <c r="HMI599" s="584"/>
      <c r="HMJ599" s="584"/>
      <c r="HMK599" s="584"/>
      <c r="HML599" s="584"/>
      <c r="HMM599" s="584"/>
      <c r="HMN599" s="584"/>
      <c r="HMO599" s="584"/>
      <c r="HMP599" s="584"/>
      <c r="HMQ599" s="584"/>
      <c r="HMR599" s="584"/>
      <c r="HMS599" s="584"/>
      <c r="HMT599" s="584"/>
      <c r="HMU599" s="584"/>
      <c r="HMV599" s="584"/>
      <c r="HMW599" s="584"/>
      <c r="HMX599" s="584"/>
      <c r="HMY599" s="584"/>
      <c r="HMZ599" s="584"/>
      <c r="HNA599" s="584"/>
      <c r="HNB599" s="584"/>
      <c r="HNC599" s="584"/>
      <c r="HND599" s="584"/>
      <c r="HNE599" s="584"/>
      <c r="HNF599" s="584"/>
      <c r="HNG599" s="584"/>
      <c r="HNH599" s="584"/>
      <c r="HNI599" s="584"/>
      <c r="HNJ599" s="584"/>
      <c r="HNK599" s="584"/>
      <c r="HNL599" s="584"/>
      <c r="HNM599" s="584"/>
      <c r="HNN599" s="584"/>
      <c r="HNO599" s="584"/>
      <c r="HNP599" s="584"/>
      <c r="HNQ599" s="584"/>
      <c r="HNR599" s="584"/>
      <c r="HNS599" s="584"/>
      <c r="HNT599" s="584"/>
      <c r="HNU599" s="584"/>
      <c r="HNV599" s="584"/>
      <c r="HNW599" s="584"/>
      <c r="HNX599" s="584"/>
      <c r="HNY599" s="584"/>
      <c r="HNZ599" s="584"/>
      <c r="HOA599" s="584"/>
      <c r="HOB599" s="584"/>
      <c r="HOC599" s="584"/>
      <c r="HOD599" s="584"/>
      <c r="HOE599" s="584"/>
      <c r="HOF599" s="584"/>
      <c r="HOG599" s="584"/>
      <c r="HOH599" s="584"/>
      <c r="HOI599" s="584"/>
      <c r="HOJ599" s="584"/>
      <c r="HOK599" s="584"/>
      <c r="HOL599" s="584"/>
      <c r="HOM599" s="584"/>
      <c r="HON599" s="584"/>
      <c r="HOO599" s="584"/>
      <c r="HOP599" s="584"/>
      <c r="HOQ599" s="584"/>
      <c r="HOR599" s="584"/>
      <c r="HOS599" s="584"/>
      <c r="HOT599" s="584"/>
      <c r="HOU599" s="584"/>
      <c r="HOV599" s="584"/>
      <c r="HOW599" s="584"/>
      <c r="HOX599" s="584"/>
      <c r="HOY599" s="584"/>
      <c r="HOZ599" s="584"/>
      <c r="HPA599" s="584"/>
      <c r="HPB599" s="584"/>
      <c r="HPC599" s="584"/>
      <c r="HPD599" s="584"/>
      <c r="HPE599" s="584"/>
      <c r="HPF599" s="584"/>
      <c r="HPG599" s="584"/>
      <c r="HPH599" s="584"/>
      <c r="HPI599" s="584"/>
      <c r="HPJ599" s="584"/>
      <c r="HPK599" s="584"/>
      <c r="HPL599" s="584"/>
      <c r="HPM599" s="584"/>
      <c r="HPN599" s="584"/>
      <c r="HPO599" s="584"/>
      <c r="HPP599" s="584"/>
      <c r="HPQ599" s="584"/>
      <c r="HPR599" s="584"/>
      <c r="HPS599" s="584"/>
      <c r="HPT599" s="584"/>
      <c r="HPU599" s="584"/>
      <c r="HPV599" s="584"/>
      <c r="HPW599" s="584"/>
      <c r="HPX599" s="584"/>
      <c r="HPY599" s="584"/>
      <c r="HPZ599" s="584"/>
      <c r="HQA599" s="584"/>
      <c r="HQB599" s="584"/>
      <c r="HQC599" s="584"/>
      <c r="HQD599" s="584"/>
      <c r="HQE599" s="584"/>
      <c r="HQF599" s="584"/>
      <c r="HQG599" s="584"/>
      <c r="HQH599" s="584"/>
      <c r="HQI599" s="584"/>
      <c r="HQJ599" s="584"/>
      <c r="HQK599" s="584"/>
      <c r="HQL599" s="584"/>
      <c r="HQM599" s="584"/>
      <c r="HQN599" s="584"/>
      <c r="HQO599" s="584"/>
      <c r="HQP599" s="584"/>
      <c r="HQQ599" s="584"/>
      <c r="HQR599" s="584"/>
      <c r="HQS599" s="584"/>
      <c r="HQT599" s="584"/>
      <c r="HQU599" s="584"/>
      <c r="HQV599" s="584"/>
      <c r="HQW599" s="584"/>
      <c r="HQX599" s="584"/>
      <c r="HQY599" s="584"/>
      <c r="HQZ599" s="584"/>
      <c r="HRA599" s="584"/>
      <c r="HRB599" s="584"/>
      <c r="HRC599" s="584"/>
      <c r="HRD599" s="584"/>
      <c r="HRE599" s="584"/>
      <c r="HRF599" s="584"/>
      <c r="HRG599" s="584"/>
      <c r="HRH599" s="584"/>
      <c r="HRI599" s="584"/>
      <c r="HRJ599" s="584"/>
      <c r="HRK599" s="584"/>
      <c r="HRL599" s="584"/>
      <c r="HRM599" s="584"/>
      <c r="HRN599" s="584"/>
      <c r="HRO599" s="584"/>
      <c r="HRP599" s="584"/>
      <c r="HRQ599" s="584"/>
      <c r="HRR599" s="584"/>
      <c r="HRS599" s="584"/>
      <c r="HRT599" s="584"/>
      <c r="HRU599" s="584"/>
      <c r="HRV599" s="584"/>
      <c r="HRW599" s="584"/>
      <c r="HRX599" s="584"/>
      <c r="HRY599" s="584"/>
      <c r="HRZ599" s="584"/>
      <c r="HSA599" s="584"/>
      <c r="HSB599" s="584"/>
      <c r="HSC599" s="584"/>
      <c r="HSD599" s="584"/>
      <c r="HSE599" s="584"/>
      <c r="HSF599" s="584"/>
      <c r="HSG599" s="584"/>
      <c r="HSH599" s="584"/>
      <c r="HSI599" s="584"/>
      <c r="HSJ599" s="584"/>
      <c r="HSK599" s="584"/>
      <c r="HSL599" s="584"/>
      <c r="HSM599" s="584"/>
      <c r="HSN599" s="584"/>
      <c r="HSO599" s="584"/>
      <c r="HSP599" s="584"/>
      <c r="HSQ599" s="584"/>
      <c r="HSR599" s="584"/>
      <c r="HSS599" s="584"/>
      <c r="HST599" s="584"/>
      <c r="HSU599" s="584"/>
      <c r="HSV599" s="584"/>
      <c r="HSW599" s="584"/>
      <c r="HSX599" s="584"/>
      <c r="HSY599" s="584"/>
      <c r="HSZ599" s="584"/>
      <c r="HTA599" s="584"/>
      <c r="HTB599" s="584"/>
      <c r="HTC599" s="584"/>
      <c r="HTD599" s="584"/>
      <c r="HTE599" s="584"/>
      <c r="HTF599" s="584"/>
      <c r="HTG599" s="584"/>
      <c r="HTH599" s="584"/>
      <c r="HTI599" s="584"/>
      <c r="HTJ599" s="584"/>
      <c r="HTK599" s="584"/>
      <c r="HTL599" s="584"/>
      <c r="HTM599" s="584"/>
      <c r="HTN599" s="584"/>
      <c r="HTO599" s="584"/>
      <c r="HTP599" s="584"/>
      <c r="HTQ599" s="584"/>
      <c r="HTR599" s="584"/>
      <c r="HTS599" s="584"/>
      <c r="HTT599" s="584"/>
      <c r="HTU599" s="584"/>
      <c r="HTV599" s="584"/>
      <c r="HTW599" s="584"/>
      <c r="HTX599" s="584"/>
      <c r="HTY599" s="584"/>
      <c r="HTZ599" s="584"/>
      <c r="HUA599" s="584"/>
      <c r="HUB599" s="584"/>
      <c r="HUC599" s="584"/>
      <c r="HUD599" s="584"/>
      <c r="HUE599" s="584"/>
      <c r="HUF599" s="584"/>
      <c r="HUG599" s="584"/>
      <c r="HUH599" s="584"/>
      <c r="HUI599" s="584"/>
      <c r="HUJ599" s="584"/>
      <c r="HUK599" s="584"/>
      <c r="HUL599" s="584"/>
      <c r="HUM599" s="584"/>
      <c r="HUN599" s="584"/>
      <c r="HUO599" s="584"/>
      <c r="HUP599" s="584"/>
      <c r="HUQ599" s="584"/>
      <c r="HUR599" s="584"/>
      <c r="HUS599" s="584"/>
      <c r="HUT599" s="584"/>
      <c r="HUU599" s="584"/>
      <c r="HUV599" s="584"/>
      <c r="HUW599" s="584"/>
      <c r="HUX599" s="584"/>
      <c r="HUY599" s="584"/>
      <c r="HUZ599" s="584"/>
      <c r="HVA599" s="584"/>
      <c r="HVB599" s="584"/>
      <c r="HVC599" s="584"/>
      <c r="HVD599" s="584"/>
      <c r="HVE599" s="584"/>
      <c r="HVF599" s="584"/>
      <c r="HVG599" s="584"/>
      <c r="HVH599" s="584"/>
      <c r="HVI599" s="584"/>
      <c r="HVJ599" s="584"/>
      <c r="HVK599" s="584"/>
      <c r="HVL599" s="584"/>
      <c r="HVM599" s="584"/>
      <c r="HVN599" s="584"/>
      <c r="HVO599" s="584"/>
      <c r="HVP599" s="584"/>
      <c r="HVQ599" s="584"/>
      <c r="HVR599" s="584"/>
      <c r="HVS599" s="584"/>
      <c r="HVT599" s="584"/>
      <c r="HVU599" s="584"/>
      <c r="HVV599" s="584"/>
      <c r="HVW599" s="584"/>
      <c r="HVX599" s="584"/>
      <c r="HVY599" s="584"/>
      <c r="HVZ599" s="584"/>
      <c r="HWA599" s="584"/>
      <c r="HWB599" s="584"/>
      <c r="HWC599" s="584"/>
      <c r="HWD599" s="584"/>
      <c r="HWE599" s="584"/>
      <c r="HWF599" s="584"/>
      <c r="HWG599" s="584"/>
      <c r="HWH599" s="584"/>
      <c r="HWI599" s="584"/>
      <c r="HWJ599" s="584"/>
      <c r="HWK599" s="584"/>
      <c r="HWL599" s="584"/>
      <c r="HWM599" s="584"/>
      <c r="HWN599" s="584"/>
      <c r="HWO599" s="584"/>
      <c r="HWP599" s="584"/>
      <c r="HWQ599" s="584"/>
      <c r="HWR599" s="584"/>
      <c r="HWS599" s="584"/>
      <c r="HWT599" s="584"/>
      <c r="HWU599" s="584"/>
      <c r="HWV599" s="584"/>
      <c r="HWW599" s="584"/>
      <c r="HWX599" s="584"/>
      <c r="HWY599" s="584"/>
      <c r="HWZ599" s="584"/>
      <c r="HXA599" s="584"/>
      <c r="HXB599" s="584"/>
      <c r="HXC599" s="584"/>
      <c r="HXD599" s="584"/>
      <c r="HXE599" s="584"/>
      <c r="HXF599" s="584"/>
      <c r="HXG599" s="584"/>
      <c r="HXH599" s="584"/>
      <c r="HXI599" s="584"/>
      <c r="HXJ599" s="584"/>
      <c r="HXK599" s="584"/>
      <c r="HXL599" s="584"/>
      <c r="HXM599" s="584"/>
      <c r="HXN599" s="584"/>
      <c r="HXO599" s="584"/>
      <c r="HXP599" s="584"/>
      <c r="HXQ599" s="584"/>
      <c r="HXR599" s="584"/>
      <c r="HXS599" s="584"/>
      <c r="HXT599" s="584"/>
      <c r="HXU599" s="584"/>
      <c r="HXV599" s="584"/>
      <c r="HXW599" s="584"/>
      <c r="HXX599" s="584"/>
      <c r="HXY599" s="584"/>
      <c r="HXZ599" s="584"/>
      <c r="HYA599" s="584"/>
      <c r="HYB599" s="584"/>
      <c r="HYC599" s="584"/>
      <c r="HYD599" s="584"/>
      <c r="HYE599" s="584"/>
      <c r="HYF599" s="584"/>
      <c r="HYG599" s="584"/>
      <c r="HYH599" s="584"/>
      <c r="HYI599" s="584"/>
      <c r="HYJ599" s="584"/>
      <c r="HYK599" s="584"/>
      <c r="HYL599" s="584"/>
      <c r="HYM599" s="584"/>
      <c r="HYN599" s="584"/>
      <c r="HYO599" s="584"/>
      <c r="HYP599" s="584"/>
      <c r="HYQ599" s="584"/>
      <c r="HYR599" s="584"/>
      <c r="HYS599" s="584"/>
      <c r="HYT599" s="584"/>
      <c r="HYU599" s="584"/>
      <c r="HYV599" s="584"/>
      <c r="HYW599" s="584"/>
      <c r="HYX599" s="584"/>
      <c r="HYY599" s="584"/>
      <c r="HYZ599" s="584"/>
      <c r="HZA599" s="584"/>
      <c r="HZB599" s="584"/>
      <c r="HZC599" s="584"/>
      <c r="HZD599" s="584"/>
      <c r="HZE599" s="584"/>
      <c r="HZF599" s="584"/>
      <c r="HZG599" s="584"/>
      <c r="HZH599" s="584"/>
      <c r="HZI599" s="584"/>
      <c r="HZJ599" s="584"/>
      <c r="HZK599" s="584"/>
      <c r="HZL599" s="584"/>
      <c r="HZM599" s="584"/>
      <c r="HZN599" s="584"/>
      <c r="HZO599" s="584"/>
      <c r="HZP599" s="584"/>
      <c r="HZQ599" s="584"/>
      <c r="HZR599" s="584"/>
      <c r="HZS599" s="584"/>
      <c r="HZT599" s="584"/>
      <c r="HZU599" s="584"/>
      <c r="HZV599" s="584"/>
      <c r="HZW599" s="584"/>
      <c r="HZX599" s="584"/>
      <c r="HZY599" s="584"/>
      <c r="HZZ599" s="584"/>
      <c r="IAA599" s="584"/>
      <c r="IAB599" s="584"/>
      <c r="IAC599" s="584"/>
      <c r="IAD599" s="584"/>
      <c r="IAE599" s="584"/>
      <c r="IAF599" s="584"/>
      <c r="IAG599" s="584"/>
      <c r="IAH599" s="584"/>
      <c r="IAI599" s="584"/>
      <c r="IAJ599" s="584"/>
      <c r="IAK599" s="584"/>
      <c r="IAL599" s="584"/>
      <c r="IAM599" s="584"/>
      <c r="IAN599" s="584"/>
      <c r="IAO599" s="584"/>
      <c r="IAP599" s="584"/>
      <c r="IAQ599" s="584"/>
      <c r="IAR599" s="584"/>
      <c r="IAS599" s="584"/>
      <c r="IAT599" s="584"/>
      <c r="IAU599" s="584"/>
      <c r="IAV599" s="584"/>
      <c r="IAW599" s="584"/>
      <c r="IAX599" s="584"/>
      <c r="IAY599" s="584"/>
      <c r="IAZ599" s="584"/>
      <c r="IBA599" s="584"/>
      <c r="IBB599" s="584"/>
      <c r="IBC599" s="584"/>
      <c r="IBD599" s="584"/>
      <c r="IBE599" s="584"/>
      <c r="IBF599" s="584"/>
      <c r="IBG599" s="584"/>
      <c r="IBH599" s="584"/>
      <c r="IBI599" s="584"/>
      <c r="IBJ599" s="584"/>
      <c r="IBK599" s="584"/>
      <c r="IBL599" s="584"/>
      <c r="IBM599" s="584"/>
      <c r="IBN599" s="584"/>
      <c r="IBO599" s="584"/>
      <c r="IBP599" s="584"/>
      <c r="IBQ599" s="584"/>
      <c r="IBR599" s="584"/>
      <c r="IBS599" s="584"/>
      <c r="IBT599" s="584"/>
      <c r="IBU599" s="584"/>
      <c r="IBV599" s="584"/>
      <c r="IBW599" s="584"/>
      <c r="IBX599" s="584"/>
      <c r="IBY599" s="584"/>
      <c r="IBZ599" s="584"/>
      <c r="ICA599" s="584"/>
      <c r="ICB599" s="584"/>
      <c r="ICC599" s="584"/>
      <c r="ICD599" s="584"/>
      <c r="ICE599" s="584"/>
      <c r="ICF599" s="584"/>
      <c r="ICG599" s="584"/>
      <c r="ICH599" s="584"/>
      <c r="ICI599" s="584"/>
      <c r="ICJ599" s="584"/>
      <c r="ICK599" s="584"/>
      <c r="ICL599" s="584"/>
      <c r="ICM599" s="584"/>
      <c r="ICN599" s="584"/>
      <c r="ICO599" s="584"/>
      <c r="ICP599" s="584"/>
      <c r="ICQ599" s="584"/>
      <c r="ICR599" s="584"/>
      <c r="ICS599" s="584"/>
      <c r="ICT599" s="584"/>
      <c r="ICU599" s="584"/>
      <c r="ICV599" s="584"/>
      <c r="ICW599" s="584"/>
      <c r="ICX599" s="584"/>
      <c r="ICY599" s="584"/>
      <c r="ICZ599" s="584"/>
      <c r="IDA599" s="584"/>
      <c r="IDB599" s="584"/>
      <c r="IDC599" s="584"/>
      <c r="IDD599" s="584"/>
      <c r="IDE599" s="584"/>
      <c r="IDF599" s="584"/>
      <c r="IDG599" s="584"/>
      <c r="IDH599" s="584"/>
      <c r="IDI599" s="584"/>
      <c r="IDJ599" s="584"/>
      <c r="IDK599" s="584"/>
      <c r="IDL599" s="584"/>
      <c r="IDM599" s="584"/>
      <c r="IDN599" s="584"/>
      <c r="IDO599" s="584"/>
      <c r="IDP599" s="584"/>
      <c r="IDQ599" s="584"/>
      <c r="IDR599" s="584"/>
      <c r="IDS599" s="584"/>
      <c r="IDT599" s="584"/>
      <c r="IDU599" s="584"/>
      <c r="IDV599" s="584"/>
      <c r="IDW599" s="584"/>
      <c r="IDX599" s="584"/>
      <c r="IDY599" s="584"/>
      <c r="IDZ599" s="584"/>
      <c r="IEA599" s="584"/>
      <c r="IEB599" s="584"/>
      <c r="IEC599" s="584"/>
      <c r="IED599" s="584"/>
      <c r="IEE599" s="584"/>
      <c r="IEF599" s="584"/>
      <c r="IEG599" s="584"/>
      <c r="IEH599" s="584"/>
      <c r="IEI599" s="584"/>
      <c r="IEJ599" s="584"/>
      <c r="IEK599" s="584"/>
      <c r="IEL599" s="584"/>
      <c r="IEM599" s="584"/>
      <c r="IEN599" s="584"/>
      <c r="IEO599" s="584"/>
      <c r="IEP599" s="584"/>
      <c r="IEQ599" s="584"/>
      <c r="IER599" s="584"/>
      <c r="IES599" s="584"/>
      <c r="IET599" s="584"/>
      <c r="IEU599" s="584"/>
      <c r="IEV599" s="584"/>
      <c r="IEW599" s="584"/>
      <c r="IEX599" s="584"/>
      <c r="IEY599" s="584"/>
      <c r="IEZ599" s="584"/>
      <c r="IFA599" s="584"/>
      <c r="IFB599" s="584"/>
      <c r="IFC599" s="584"/>
      <c r="IFD599" s="584"/>
      <c r="IFE599" s="584"/>
      <c r="IFF599" s="584"/>
      <c r="IFG599" s="584"/>
      <c r="IFH599" s="584"/>
      <c r="IFI599" s="584"/>
      <c r="IFJ599" s="584"/>
      <c r="IFK599" s="584"/>
      <c r="IFL599" s="584"/>
      <c r="IFM599" s="584"/>
      <c r="IFN599" s="584"/>
      <c r="IFO599" s="584"/>
      <c r="IFP599" s="584"/>
      <c r="IFQ599" s="584"/>
      <c r="IFR599" s="584"/>
      <c r="IFS599" s="584"/>
      <c r="IFT599" s="584"/>
      <c r="IFU599" s="584"/>
      <c r="IFV599" s="584"/>
      <c r="IFW599" s="584"/>
      <c r="IFX599" s="584"/>
      <c r="IFY599" s="584"/>
      <c r="IFZ599" s="584"/>
      <c r="IGA599" s="584"/>
      <c r="IGB599" s="584"/>
      <c r="IGC599" s="584"/>
      <c r="IGD599" s="584"/>
      <c r="IGE599" s="584"/>
      <c r="IGF599" s="584"/>
      <c r="IGG599" s="584"/>
      <c r="IGH599" s="584"/>
      <c r="IGI599" s="584"/>
      <c r="IGJ599" s="584"/>
      <c r="IGK599" s="584"/>
      <c r="IGL599" s="584"/>
      <c r="IGM599" s="584"/>
      <c r="IGN599" s="584"/>
      <c r="IGO599" s="584"/>
      <c r="IGP599" s="584"/>
      <c r="IGQ599" s="584"/>
      <c r="IGR599" s="584"/>
      <c r="IGS599" s="584"/>
      <c r="IGT599" s="584"/>
      <c r="IGU599" s="584"/>
      <c r="IGV599" s="584"/>
      <c r="IGW599" s="584"/>
      <c r="IGX599" s="584"/>
      <c r="IGY599" s="584"/>
      <c r="IGZ599" s="584"/>
      <c r="IHA599" s="584"/>
      <c r="IHB599" s="584"/>
      <c r="IHC599" s="584"/>
      <c r="IHD599" s="584"/>
      <c r="IHE599" s="584"/>
      <c r="IHF599" s="584"/>
      <c r="IHG599" s="584"/>
      <c r="IHH599" s="584"/>
      <c r="IHI599" s="584"/>
      <c r="IHJ599" s="584"/>
      <c r="IHK599" s="584"/>
      <c r="IHL599" s="584"/>
      <c r="IHM599" s="584"/>
      <c r="IHN599" s="584"/>
      <c r="IHO599" s="584"/>
      <c r="IHP599" s="584"/>
      <c r="IHQ599" s="584"/>
      <c r="IHR599" s="584"/>
      <c r="IHS599" s="584"/>
      <c r="IHT599" s="584"/>
      <c r="IHU599" s="584"/>
      <c r="IHV599" s="584"/>
      <c r="IHW599" s="584"/>
      <c r="IHX599" s="584"/>
      <c r="IHY599" s="584"/>
      <c r="IHZ599" s="584"/>
      <c r="IIA599" s="584"/>
      <c r="IIB599" s="584"/>
      <c r="IIC599" s="584"/>
      <c r="IID599" s="584"/>
      <c r="IIE599" s="584"/>
      <c r="IIF599" s="584"/>
      <c r="IIG599" s="584"/>
      <c r="IIH599" s="584"/>
      <c r="III599" s="584"/>
      <c r="IIJ599" s="584"/>
      <c r="IIK599" s="584"/>
      <c r="IIL599" s="584"/>
      <c r="IIM599" s="584"/>
      <c r="IIN599" s="584"/>
      <c r="IIO599" s="584"/>
      <c r="IIP599" s="584"/>
      <c r="IIQ599" s="584"/>
      <c r="IIR599" s="584"/>
      <c r="IIS599" s="584"/>
      <c r="IIT599" s="584"/>
      <c r="IIU599" s="584"/>
      <c r="IIV599" s="584"/>
      <c r="IIW599" s="584"/>
      <c r="IIX599" s="584"/>
      <c r="IIY599" s="584"/>
      <c r="IIZ599" s="584"/>
      <c r="IJA599" s="584"/>
      <c r="IJB599" s="584"/>
      <c r="IJC599" s="584"/>
      <c r="IJD599" s="584"/>
      <c r="IJE599" s="584"/>
      <c r="IJF599" s="584"/>
      <c r="IJG599" s="584"/>
      <c r="IJH599" s="584"/>
      <c r="IJI599" s="584"/>
      <c r="IJJ599" s="584"/>
      <c r="IJK599" s="584"/>
      <c r="IJL599" s="584"/>
      <c r="IJM599" s="584"/>
      <c r="IJN599" s="584"/>
      <c r="IJO599" s="584"/>
      <c r="IJP599" s="584"/>
      <c r="IJQ599" s="584"/>
      <c r="IJR599" s="584"/>
      <c r="IJS599" s="584"/>
      <c r="IJT599" s="584"/>
      <c r="IJU599" s="584"/>
      <c r="IJV599" s="584"/>
      <c r="IJW599" s="584"/>
      <c r="IJX599" s="584"/>
      <c r="IJY599" s="584"/>
      <c r="IJZ599" s="584"/>
      <c r="IKA599" s="584"/>
      <c r="IKB599" s="584"/>
      <c r="IKC599" s="584"/>
      <c r="IKD599" s="584"/>
      <c r="IKE599" s="584"/>
      <c r="IKF599" s="584"/>
      <c r="IKG599" s="584"/>
      <c r="IKH599" s="584"/>
      <c r="IKI599" s="584"/>
      <c r="IKJ599" s="584"/>
      <c r="IKK599" s="584"/>
      <c r="IKL599" s="584"/>
      <c r="IKM599" s="584"/>
      <c r="IKN599" s="584"/>
      <c r="IKO599" s="584"/>
      <c r="IKP599" s="584"/>
      <c r="IKQ599" s="584"/>
      <c r="IKR599" s="584"/>
      <c r="IKS599" s="584"/>
      <c r="IKT599" s="584"/>
      <c r="IKU599" s="584"/>
      <c r="IKV599" s="584"/>
      <c r="IKW599" s="584"/>
      <c r="IKX599" s="584"/>
      <c r="IKY599" s="584"/>
      <c r="IKZ599" s="584"/>
      <c r="ILA599" s="584"/>
      <c r="ILB599" s="584"/>
      <c r="ILC599" s="584"/>
      <c r="ILD599" s="584"/>
      <c r="ILE599" s="584"/>
      <c r="ILF599" s="584"/>
      <c r="ILG599" s="584"/>
      <c r="ILH599" s="584"/>
      <c r="ILI599" s="584"/>
      <c r="ILJ599" s="584"/>
      <c r="ILK599" s="584"/>
      <c r="ILL599" s="584"/>
      <c r="ILM599" s="584"/>
      <c r="ILN599" s="584"/>
      <c r="ILO599" s="584"/>
      <c r="ILP599" s="584"/>
      <c r="ILQ599" s="584"/>
      <c r="ILR599" s="584"/>
      <c r="ILS599" s="584"/>
      <c r="ILT599" s="584"/>
      <c r="ILU599" s="584"/>
      <c r="ILV599" s="584"/>
      <c r="ILW599" s="584"/>
      <c r="ILX599" s="584"/>
      <c r="ILY599" s="584"/>
      <c r="ILZ599" s="584"/>
      <c r="IMA599" s="584"/>
      <c r="IMB599" s="584"/>
      <c r="IMC599" s="584"/>
      <c r="IMD599" s="584"/>
      <c r="IME599" s="584"/>
      <c r="IMF599" s="584"/>
      <c r="IMG599" s="584"/>
      <c r="IMH599" s="584"/>
      <c r="IMI599" s="584"/>
      <c r="IMJ599" s="584"/>
      <c r="IMK599" s="584"/>
      <c r="IML599" s="584"/>
      <c r="IMM599" s="584"/>
      <c r="IMN599" s="584"/>
      <c r="IMO599" s="584"/>
      <c r="IMP599" s="584"/>
      <c r="IMQ599" s="584"/>
      <c r="IMR599" s="584"/>
      <c r="IMS599" s="584"/>
      <c r="IMT599" s="584"/>
      <c r="IMU599" s="584"/>
      <c r="IMV599" s="584"/>
      <c r="IMW599" s="584"/>
      <c r="IMX599" s="584"/>
      <c r="IMY599" s="584"/>
      <c r="IMZ599" s="584"/>
      <c r="INA599" s="584"/>
      <c r="INB599" s="584"/>
      <c r="INC599" s="584"/>
      <c r="IND599" s="584"/>
      <c r="INE599" s="584"/>
      <c r="INF599" s="584"/>
      <c r="ING599" s="584"/>
      <c r="INH599" s="584"/>
      <c r="INI599" s="584"/>
      <c r="INJ599" s="584"/>
      <c r="INK599" s="584"/>
      <c r="INL599" s="584"/>
      <c r="INM599" s="584"/>
      <c r="INN599" s="584"/>
      <c r="INO599" s="584"/>
      <c r="INP599" s="584"/>
      <c r="INQ599" s="584"/>
      <c r="INR599" s="584"/>
      <c r="INS599" s="584"/>
      <c r="INT599" s="584"/>
      <c r="INU599" s="584"/>
      <c r="INV599" s="584"/>
      <c r="INW599" s="584"/>
      <c r="INX599" s="584"/>
      <c r="INY599" s="584"/>
      <c r="INZ599" s="584"/>
      <c r="IOA599" s="584"/>
      <c r="IOB599" s="584"/>
      <c r="IOC599" s="584"/>
      <c r="IOD599" s="584"/>
      <c r="IOE599" s="584"/>
      <c r="IOF599" s="584"/>
      <c r="IOG599" s="584"/>
      <c r="IOH599" s="584"/>
      <c r="IOI599" s="584"/>
      <c r="IOJ599" s="584"/>
      <c r="IOK599" s="584"/>
      <c r="IOL599" s="584"/>
      <c r="IOM599" s="584"/>
      <c r="ION599" s="584"/>
      <c r="IOO599" s="584"/>
      <c r="IOP599" s="584"/>
      <c r="IOQ599" s="584"/>
      <c r="IOR599" s="584"/>
      <c r="IOS599" s="584"/>
      <c r="IOT599" s="584"/>
      <c r="IOU599" s="584"/>
      <c r="IOV599" s="584"/>
      <c r="IOW599" s="584"/>
      <c r="IOX599" s="584"/>
      <c r="IOY599" s="584"/>
      <c r="IOZ599" s="584"/>
      <c r="IPA599" s="584"/>
      <c r="IPB599" s="584"/>
      <c r="IPC599" s="584"/>
      <c r="IPD599" s="584"/>
      <c r="IPE599" s="584"/>
      <c r="IPF599" s="584"/>
      <c r="IPG599" s="584"/>
      <c r="IPH599" s="584"/>
      <c r="IPI599" s="584"/>
      <c r="IPJ599" s="584"/>
      <c r="IPK599" s="584"/>
      <c r="IPL599" s="584"/>
      <c r="IPM599" s="584"/>
      <c r="IPN599" s="584"/>
      <c r="IPO599" s="584"/>
      <c r="IPP599" s="584"/>
      <c r="IPQ599" s="584"/>
      <c r="IPR599" s="584"/>
      <c r="IPS599" s="584"/>
      <c r="IPT599" s="584"/>
      <c r="IPU599" s="584"/>
      <c r="IPV599" s="584"/>
      <c r="IPW599" s="584"/>
      <c r="IPX599" s="584"/>
      <c r="IPY599" s="584"/>
      <c r="IPZ599" s="584"/>
      <c r="IQA599" s="584"/>
      <c r="IQB599" s="584"/>
      <c r="IQC599" s="584"/>
      <c r="IQD599" s="584"/>
      <c r="IQE599" s="584"/>
      <c r="IQF599" s="584"/>
      <c r="IQG599" s="584"/>
      <c r="IQH599" s="584"/>
      <c r="IQI599" s="584"/>
      <c r="IQJ599" s="584"/>
      <c r="IQK599" s="584"/>
      <c r="IQL599" s="584"/>
      <c r="IQM599" s="584"/>
      <c r="IQN599" s="584"/>
      <c r="IQO599" s="584"/>
      <c r="IQP599" s="584"/>
      <c r="IQQ599" s="584"/>
      <c r="IQR599" s="584"/>
      <c r="IQS599" s="584"/>
      <c r="IQT599" s="584"/>
      <c r="IQU599" s="584"/>
      <c r="IQV599" s="584"/>
      <c r="IQW599" s="584"/>
      <c r="IQX599" s="584"/>
      <c r="IQY599" s="584"/>
      <c r="IQZ599" s="584"/>
      <c r="IRA599" s="584"/>
      <c r="IRB599" s="584"/>
      <c r="IRC599" s="584"/>
      <c r="IRD599" s="584"/>
      <c r="IRE599" s="584"/>
      <c r="IRF599" s="584"/>
      <c r="IRG599" s="584"/>
      <c r="IRH599" s="584"/>
      <c r="IRI599" s="584"/>
      <c r="IRJ599" s="584"/>
      <c r="IRK599" s="584"/>
      <c r="IRL599" s="584"/>
      <c r="IRM599" s="584"/>
      <c r="IRN599" s="584"/>
      <c r="IRO599" s="584"/>
      <c r="IRP599" s="584"/>
      <c r="IRQ599" s="584"/>
      <c r="IRR599" s="584"/>
      <c r="IRS599" s="584"/>
      <c r="IRT599" s="584"/>
      <c r="IRU599" s="584"/>
      <c r="IRV599" s="584"/>
      <c r="IRW599" s="584"/>
      <c r="IRX599" s="584"/>
      <c r="IRY599" s="584"/>
      <c r="IRZ599" s="584"/>
      <c r="ISA599" s="584"/>
      <c r="ISB599" s="584"/>
      <c r="ISC599" s="584"/>
      <c r="ISD599" s="584"/>
      <c r="ISE599" s="584"/>
      <c r="ISF599" s="584"/>
      <c r="ISG599" s="584"/>
      <c r="ISH599" s="584"/>
      <c r="ISI599" s="584"/>
      <c r="ISJ599" s="584"/>
      <c r="ISK599" s="584"/>
      <c r="ISL599" s="584"/>
      <c r="ISM599" s="584"/>
      <c r="ISN599" s="584"/>
      <c r="ISO599" s="584"/>
      <c r="ISP599" s="584"/>
      <c r="ISQ599" s="584"/>
      <c r="ISR599" s="584"/>
      <c r="ISS599" s="584"/>
      <c r="IST599" s="584"/>
      <c r="ISU599" s="584"/>
      <c r="ISV599" s="584"/>
      <c r="ISW599" s="584"/>
      <c r="ISX599" s="584"/>
      <c r="ISY599" s="584"/>
      <c r="ISZ599" s="584"/>
      <c r="ITA599" s="584"/>
      <c r="ITB599" s="584"/>
      <c r="ITC599" s="584"/>
      <c r="ITD599" s="584"/>
      <c r="ITE599" s="584"/>
      <c r="ITF599" s="584"/>
      <c r="ITG599" s="584"/>
      <c r="ITH599" s="584"/>
      <c r="ITI599" s="584"/>
      <c r="ITJ599" s="584"/>
      <c r="ITK599" s="584"/>
      <c r="ITL599" s="584"/>
      <c r="ITM599" s="584"/>
      <c r="ITN599" s="584"/>
      <c r="ITO599" s="584"/>
      <c r="ITP599" s="584"/>
      <c r="ITQ599" s="584"/>
      <c r="ITR599" s="584"/>
      <c r="ITS599" s="584"/>
      <c r="ITT599" s="584"/>
      <c r="ITU599" s="584"/>
      <c r="ITV599" s="584"/>
      <c r="ITW599" s="584"/>
      <c r="ITX599" s="584"/>
      <c r="ITY599" s="584"/>
      <c r="ITZ599" s="584"/>
      <c r="IUA599" s="584"/>
      <c r="IUB599" s="584"/>
      <c r="IUC599" s="584"/>
      <c r="IUD599" s="584"/>
      <c r="IUE599" s="584"/>
      <c r="IUF599" s="584"/>
      <c r="IUG599" s="584"/>
      <c r="IUH599" s="584"/>
      <c r="IUI599" s="584"/>
      <c r="IUJ599" s="584"/>
      <c r="IUK599" s="584"/>
      <c r="IUL599" s="584"/>
      <c r="IUM599" s="584"/>
      <c r="IUN599" s="584"/>
      <c r="IUO599" s="584"/>
      <c r="IUP599" s="584"/>
      <c r="IUQ599" s="584"/>
      <c r="IUR599" s="584"/>
      <c r="IUS599" s="584"/>
      <c r="IUT599" s="584"/>
      <c r="IUU599" s="584"/>
      <c r="IUV599" s="584"/>
      <c r="IUW599" s="584"/>
      <c r="IUX599" s="584"/>
      <c r="IUY599" s="584"/>
      <c r="IUZ599" s="584"/>
      <c r="IVA599" s="584"/>
      <c r="IVB599" s="584"/>
      <c r="IVC599" s="584"/>
      <c r="IVD599" s="584"/>
      <c r="IVE599" s="584"/>
      <c r="IVF599" s="584"/>
      <c r="IVG599" s="584"/>
      <c r="IVH599" s="584"/>
      <c r="IVI599" s="584"/>
      <c r="IVJ599" s="584"/>
      <c r="IVK599" s="584"/>
      <c r="IVL599" s="584"/>
      <c r="IVM599" s="584"/>
      <c r="IVN599" s="584"/>
      <c r="IVO599" s="584"/>
      <c r="IVP599" s="584"/>
      <c r="IVQ599" s="584"/>
      <c r="IVR599" s="584"/>
      <c r="IVS599" s="584"/>
      <c r="IVT599" s="584"/>
      <c r="IVU599" s="584"/>
      <c r="IVV599" s="584"/>
      <c r="IVW599" s="584"/>
      <c r="IVX599" s="584"/>
      <c r="IVY599" s="584"/>
      <c r="IVZ599" s="584"/>
      <c r="IWA599" s="584"/>
      <c r="IWB599" s="584"/>
      <c r="IWC599" s="584"/>
      <c r="IWD599" s="584"/>
      <c r="IWE599" s="584"/>
      <c r="IWF599" s="584"/>
      <c r="IWG599" s="584"/>
      <c r="IWH599" s="584"/>
      <c r="IWI599" s="584"/>
      <c r="IWJ599" s="584"/>
      <c r="IWK599" s="584"/>
      <c r="IWL599" s="584"/>
      <c r="IWM599" s="584"/>
      <c r="IWN599" s="584"/>
      <c r="IWO599" s="584"/>
      <c r="IWP599" s="584"/>
      <c r="IWQ599" s="584"/>
      <c r="IWR599" s="584"/>
      <c r="IWS599" s="584"/>
      <c r="IWT599" s="584"/>
      <c r="IWU599" s="584"/>
      <c r="IWV599" s="584"/>
      <c r="IWW599" s="584"/>
      <c r="IWX599" s="584"/>
      <c r="IWY599" s="584"/>
      <c r="IWZ599" s="584"/>
      <c r="IXA599" s="584"/>
      <c r="IXB599" s="584"/>
      <c r="IXC599" s="584"/>
      <c r="IXD599" s="584"/>
      <c r="IXE599" s="584"/>
      <c r="IXF599" s="584"/>
      <c r="IXG599" s="584"/>
      <c r="IXH599" s="584"/>
      <c r="IXI599" s="584"/>
      <c r="IXJ599" s="584"/>
      <c r="IXK599" s="584"/>
      <c r="IXL599" s="584"/>
      <c r="IXM599" s="584"/>
      <c r="IXN599" s="584"/>
      <c r="IXO599" s="584"/>
      <c r="IXP599" s="584"/>
      <c r="IXQ599" s="584"/>
      <c r="IXR599" s="584"/>
      <c r="IXS599" s="584"/>
      <c r="IXT599" s="584"/>
      <c r="IXU599" s="584"/>
      <c r="IXV599" s="584"/>
      <c r="IXW599" s="584"/>
      <c r="IXX599" s="584"/>
      <c r="IXY599" s="584"/>
      <c r="IXZ599" s="584"/>
      <c r="IYA599" s="584"/>
      <c r="IYB599" s="584"/>
      <c r="IYC599" s="584"/>
      <c r="IYD599" s="584"/>
      <c r="IYE599" s="584"/>
      <c r="IYF599" s="584"/>
      <c r="IYG599" s="584"/>
      <c r="IYH599" s="584"/>
      <c r="IYI599" s="584"/>
      <c r="IYJ599" s="584"/>
      <c r="IYK599" s="584"/>
      <c r="IYL599" s="584"/>
      <c r="IYM599" s="584"/>
      <c r="IYN599" s="584"/>
      <c r="IYO599" s="584"/>
      <c r="IYP599" s="584"/>
      <c r="IYQ599" s="584"/>
      <c r="IYR599" s="584"/>
      <c r="IYS599" s="584"/>
      <c r="IYT599" s="584"/>
      <c r="IYU599" s="584"/>
      <c r="IYV599" s="584"/>
      <c r="IYW599" s="584"/>
      <c r="IYX599" s="584"/>
      <c r="IYY599" s="584"/>
      <c r="IYZ599" s="584"/>
      <c r="IZA599" s="584"/>
      <c r="IZB599" s="584"/>
      <c r="IZC599" s="584"/>
      <c r="IZD599" s="584"/>
      <c r="IZE599" s="584"/>
      <c r="IZF599" s="584"/>
      <c r="IZG599" s="584"/>
      <c r="IZH599" s="584"/>
      <c r="IZI599" s="584"/>
      <c r="IZJ599" s="584"/>
      <c r="IZK599" s="584"/>
      <c r="IZL599" s="584"/>
      <c r="IZM599" s="584"/>
      <c r="IZN599" s="584"/>
      <c r="IZO599" s="584"/>
      <c r="IZP599" s="584"/>
      <c r="IZQ599" s="584"/>
      <c r="IZR599" s="584"/>
      <c r="IZS599" s="584"/>
      <c r="IZT599" s="584"/>
      <c r="IZU599" s="584"/>
      <c r="IZV599" s="584"/>
      <c r="IZW599" s="584"/>
      <c r="IZX599" s="584"/>
      <c r="IZY599" s="584"/>
      <c r="IZZ599" s="584"/>
      <c r="JAA599" s="584"/>
      <c r="JAB599" s="584"/>
      <c r="JAC599" s="584"/>
      <c r="JAD599" s="584"/>
      <c r="JAE599" s="584"/>
      <c r="JAF599" s="584"/>
      <c r="JAG599" s="584"/>
      <c r="JAH599" s="584"/>
      <c r="JAI599" s="584"/>
      <c r="JAJ599" s="584"/>
      <c r="JAK599" s="584"/>
      <c r="JAL599" s="584"/>
      <c r="JAM599" s="584"/>
      <c r="JAN599" s="584"/>
      <c r="JAO599" s="584"/>
      <c r="JAP599" s="584"/>
      <c r="JAQ599" s="584"/>
      <c r="JAR599" s="584"/>
      <c r="JAS599" s="584"/>
      <c r="JAT599" s="584"/>
      <c r="JAU599" s="584"/>
      <c r="JAV599" s="584"/>
      <c r="JAW599" s="584"/>
      <c r="JAX599" s="584"/>
      <c r="JAY599" s="584"/>
      <c r="JAZ599" s="584"/>
      <c r="JBA599" s="584"/>
      <c r="JBB599" s="584"/>
      <c r="JBC599" s="584"/>
      <c r="JBD599" s="584"/>
      <c r="JBE599" s="584"/>
      <c r="JBF599" s="584"/>
      <c r="JBG599" s="584"/>
      <c r="JBH599" s="584"/>
      <c r="JBI599" s="584"/>
      <c r="JBJ599" s="584"/>
      <c r="JBK599" s="584"/>
      <c r="JBL599" s="584"/>
      <c r="JBM599" s="584"/>
      <c r="JBN599" s="584"/>
      <c r="JBO599" s="584"/>
      <c r="JBP599" s="584"/>
      <c r="JBQ599" s="584"/>
      <c r="JBR599" s="584"/>
      <c r="JBS599" s="584"/>
      <c r="JBT599" s="584"/>
      <c r="JBU599" s="584"/>
      <c r="JBV599" s="584"/>
      <c r="JBW599" s="584"/>
      <c r="JBX599" s="584"/>
      <c r="JBY599" s="584"/>
      <c r="JBZ599" s="584"/>
      <c r="JCA599" s="584"/>
      <c r="JCB599" s="584"/>
      <c r="JCC599" s="584"/>
      <c r="JCD599" s="584"/>
      <c r="JCE599" s="584"/>
      <c r="JCF599" s="584"/>
      <c r="JCG599" s="584"/>
      <c r="JCH599" s="584"/>
      <c r="JCI599" s="584"/>
      <c r="JCJ599" s="584"/>
      <c r="JCK599" s="584"/>
      <c r="JCL599" s="584"/>
      <c r="JCM599" s="584"/>
      <c r="JCN599" s="584"/>
      <c r="JCO599" s="584"/>
      <c r="JCP599" s="584"/>
      <c r="JCQ599" s="584"/>
      <c r="JCR599" s="584"/>
      <c r="JCS599" s="584"/>
      <c r="JCT599" s="584"/>
      <c r="JCU599" s="584"/>
      <c r="JCV599" s="584"/>
      <c r="JCW599" s="584"/>
      <c r="JCX599" s="584"/>
      <c r="JCY599" s="584"/>
      <c r="JCZ599" s="584"/>
      <c r="JDA599" s="584"/>
      <c r="JDB599" s="584"/>
      <c r="JDC599" s="584"/>
      <c r="JDD599" s="584"/>
      <c r="JDE599" s="584"/>
      <c r="JDF599" s="584"/>
      <c r="JDG599" s="584"/>
      <c r="JDH599" s="584"/>
      <c r="JDI599" s="584"/>
      <c r="JDJ599" s="584"/>
      <c r="JDK599" s="584"/>
      <c r="JDL599" s="584"/>
      <c r="JDM599" s="584"/>
      <c r="JDN599" s="584"/>
      <c r="JDO599" s="584"/>
      <c r="JDP599" s="584"/>
      <c r="JDQ599" s="584"/>
      <c r="JDR599" s="584"/>
      <c r="JDS599" s="584"/>
      <c r="JDT599" s="584"/>
      <c r="JDU599" s="584"/>
      <c r="JDV599" s="584"/>
      <c r="JDW599" s="584"/>
      <c r="JDX599" s="584"/>
      <c r="JDY599" s="584"/>
      <c r="JDZ599" s="584"/>
      <c r="JEA599" s="584"/>
      <c r="JEB599" s="584"/>
      <c r="JEC599" s="584"/>
      <c r="JED599" s="584"/>
      <c r="JEE599" s="584"/>
      <c r="JEF599" s="584"/>
      <c r="JEG599" s="584"/>
      <c r="JEH599" s="584"/>
      <c r="JEI599" s="584"/>
      <c r="JEJ599" s="584"/>
      <c r="JEK599" s="584"/>
      <c r="JEL599" s="584"/>
      <c r="JEM599" s="584"/>
      <c r="JEN599" s="584"/>
      <c r="JEO599" s="584"/>
      <c r="JEP599" s="584"/>
      <c r="JEQ599" s="584"/>
      <c r="JER599" s="584"/>
      <c r="JES599" s="584"/>
      <c r="JET599" s="584"/>
      <c r="JEU599" s="584"/>
      <c r="JEV599" s="584"/>
      <c r="JEW599" s="584"/>
      <c r="JEX599" s="584"/>
      <c r="JEY599" s="584"/>
      <c r="JEZ599" s="584"/>
      <c r="JFA599" s="584"/>
      <c r="JFB599" s="584"/>
      <c r="JFC599" s="584"/>
      <c r="JFD599" s="584"/>
      <c r="JFE599" s="584"/>
      <c r="JFF599" s="584"/>
      <c r="JFG599" s="584"/>
      <c r="JFH599" s="584"/>
      <c r="JFI599" s="584"/>
      <c r="JFJ599" s="584"/>
      <c r="JFK599" s="584"/>
      <c r="JFL599" s="584"/>
      <c r="JFM599" s="584"/>
      <c r="JFN599" s="584"/>
      <c r="JFO599" s="584"/>
      <c r="JFP599" s="584"/>
      <c r="JFQ599" s="584"/>
      <c r="JFR599" s="584"/>
      <c r="JFS599" s="584"/>
      <c r="JFT599" s="584"/>
      <c r="JFU599" s="584"/>
      <c r="JFV599" s="584"/>
      <c r="JFW599" s="584"/>
      <c r="JFX599" s="584"/>
      <c r="JFY599" s="584"/>
      <c r="JFZ599" s="584"/>
      <c r="JGA599" s="584"/>
      <c r="JGB599" s="584"/>
      <c r="JGC599" s="584"/>
      <c r="JGD599" s="584"/>
      <c r="JGE599" s="584"/>
      <c r="JGF599" s="584"/>
      <c r="JGG599" s="584"/>
      <c r="JGH599" s="584"/>
      <c r="JGI599" s="584"/>
      <c r="JGJ599" s="584"/>
      <c r="JGK599" s="584"/>
      <c r="JGL599" s="584"/>
      <c r="JGM599" s="584"/>
      <c r="JGN599" s="584"/>
      <c r="JGO599" s="584"/>
      <c r="JGP599" s="584"/>
      <c r="JGQ599" s="584"/>
      <c r="JGR599" s="584"/>
      <c r="JGS599" s="584"/>
      <c r="JGT599" s="584"/>
      <c r="JGU599" s="584"/>
      <c r="JGV599" s="584"/>
      <c r="JGW599" s="584"/>
      <c r="JGX599" s="584"/>
      <c r="JGY599" s="584"/>
      <c r="JGZ599" s="584"/>
      <c r="JHA599" s="584"/>
      <c r="JHB599" s="584"/>
      <c r="JHC599" s="584"/>
      <c r="JHD599" s="584"/>
      <c r="JHE599" s="584"/>
      <c r="JHF599" s="584"/>
      <c r="JHG599" s="584"/>
      <c r="JHH599" s="584"/>
      <c r="JHI599" s="584"/>
      <c r="JHJ599" s="584"/>
      <c r="JHK599" s="584"/>
      <c r="JHL599" s="584"/>
      <c r="JHM599" s="584"/>
      <c r="JHN599" s="584"/>
      <c r="JHO599" s="584"/>
      <c r="JHP599" s="584"/>
      <c r="JHQ599" s="584"/>
      <c r="JHR599" s="584"/>
      <c r="JHS599" s="584"/>
      <c r="JHT599" s="584"/>
      <c r="JHU599" s="584"/>
      <c r="JHV599" s="584"/>
      <c r="JHW599" s="584"/>
      <c r="JHX599" s="584"/>
      <c r="JHY599" s="584"/>
      <c r="JHZ599" s="584"/>
      <c r="JIA599" s="584"/>
      <c r="JIB599" s="584"/>
      <c r="JIC599" s="584"/>
      <c r="JID599" s="584"/>
      <c r="JIE599" s="584"/>
      <c r="JIF599" s="584"/>
      <c r="JIG599" s="584"/>
      <c r="JIH599" s="584"/>
      <c r="JII599" s="584"/>
      <c r="JIJ599" s="584"/>
      <c r="JIK599" s="584"/>
      <c r="JIL599" s="584"/>
      <c r="JIM599" s="584"/>
      <c r="JIN599" s="584"/>
      <c r="JIO599" s="584"/>
      <c r="JIP599" s="584"/>
      <c r="JIQ599" s="584"/>
      <c r="JIR599" s="584"/>
      <c r="JIS599" s="584"/>
      <c r="JIT599" s="584"/>
      <c r="JIU599" s="584"/>
      <c r="JIV599" s="584"/>
      <c r="JIW599" s="584"/>
      <c r="JIX599" s="584"/>
      <c r="JIY599" s="584"/>
      <c r="JIZ599" s="584"/>
      <c r="JJA599" s="584"/>
      <c r="JJB599" s="584"/>
      <c r="JJC599" s="584"/>
      <c r="JJD599" s="584"/>
      <c r="JJE599" s="584"/>
      <c r="JJF599" s="584"/>
      <c r="JJG599" s="584"/>
      <c r="JJH599" s="584"/>
      <c r="JJI599" s="584"/>
      <c r="JJJ599" s="584"/>
      <c r="JJK599" s="584"/>
      <c r="JJL599" s="584"/>
      <c r="JJM599" s="584"/>
      <c r="JJN599" s="584"/>
      <c r="JJO599" s="584"/>
      <c r="JJP599" s="584"/>
      <c r="JJQ599" s="584"/>
      <c r="JJR599" s="584"/>
      <c r="JJS599" s="584"/>
      <c r="JJT599" s="584"/>
      <c r="JJU599" s="584"/>
      <c r="JJV599" s="584"/>
      <c r="JJW599" s="584"/>
      <c r="JJX599" s="584"/>
      <c r="JJY599" s="584"/>
      <c r="JJZ599" s="584"/>
      <c r="JKA599" s="584"/>
      <c r="JKB599" s="584"/>
      <c r="JKC599" s="584"/>
      <c r="JKD599" s="584"/>
      <c r="JKE599" s="584"/>
      <c r="JKF599" s="584"/>
      <c r="JKG599" s="584"/>
      <c r="JKH599" s="584"/>
      <c r="JKI599" s="584"/>
      <c r="JKJ599" s="584"/>
      <c r="JKK599" s="584"/>
      <c r="JKL599" s="584"/>
      <c r="JKM599" s="584"/>
      <c r="JKN599" s="584"/>
      <c r="JKO599" s="584"/>
      <c r="JKP599" s="584"/>
      <c r="JKQ599" s="584"/>
      <c r="JKR599" s="584"/>
      <c r="JKS599" s="584"/>
      <c r="JKT599" s="584"/>
      <c r="JKU599" s="584"/>
      <c r="JKV599" s="584"/>
      <c r="JKW599" s="584"/>
      <c r="JKX599" s="584"/>
      <c r="JKY599" s="584"/>
      <c r="JKZ599" s="584"/>
      <c r="JLA599" s="584"/>
      <c r="JLB599" s="584"/>
      <c r="JLC599" s="584"/>
      <c r="JLD599" s="584"/>
      <c r="JLE599" s="584"/>
      <c r="JLF599" s="584"/>
      <c r="JLG599" s="584"/>
      <c r="JLH599" s="584"/>
      <c r="JLI599" s="584"/>
      <c r="JLJ599" s="584"/>
      <c r="JLK599" s="584"/>
      <c r="JLL599" s="584"/>
      <c r="JLM599" s="584"/>
      <c r="JLN599" s="584"/>
      <c r="JLO599" s="584"/>
      <c r="JLP599" s="584"/>
      <c r="JLQ599" s="584"/>
      <c r="JLR599" s="584"/>
      <c r="JLS599" s="584"/>
      <c r="JLT599" s="584"/>
      <c r="JLU599" s="584"/>
      <c r="JLV599" s="584"/>
      <c r="JLW599" s="584"/>
      <c r="JLX599" s="584"/>
      <c r="JLY599" s="584"/>
      <c r="JLZ599" s="584"/>
      <c r="JMA599" s="584"/>
      <c r="JMB599" s="584"/>
      <c r="JMC599" s="584"/>
      <c r="JMD599" s="584"/>
      <c r="JME599" s="584"/>
      <c r="JMF599" s="584"/>
      <c r="JMG599" s="584"/>
      <c r="JMH599" s="584"/>
      <c r="JMI599" s="584"/>
      <c r="JMJ599" s="584"/>
      <c r="JMK599" s="584"/>
      <c r="JML599" s="584"/>
      <c r="JMM599" s="584"/>
      <c r="JMN599" s="584"/>
      <c r="JMO599" s="584"/>
      <c r="JMP599" s="584"/>
      <c r="JMQ599" s="584"/>
      <c r="JMR599" s="584"/>
      <c r="JMS599" s="584"/>
      <c r="JMT599" s="584"/>
      <c r="JMU599" s="584"/>
      <c r="JMV599" s="584"/>
      <c r="JMW599" s="584"/>
      <c r="JMX599" s="584"/>
      <c r="JMY599" s="584"/>
      <c r="JMZ599" s="584"/>
      <c r="JNA599" s="584"/>
      <c r="JNB599" s="584"/>
      <c r="JNC599" s="584"/>
      <c r="JND599" s="584"/>
      <c r="JNE599" s="584"/>
      <c r="JNF599" s="584"/>
      <c r="JNG599" s="584"/>
      <c r="JNH599" s="584"/>
      <c r="JNI599" s="584"/>
      <c r="JNJ599" s="584"/>
      <c r="JNK599" s="584"/>
      <c r="JNL599" s="584"/>
      <c r="JNM599" s="584"/>
      <c r="JNN599" s="584"/>
      <c r="JNO599" s="584"/>
      <c r="JNP599" s="584"/>
      <c r="JNQ599" s="584"/>
      <c r="JNR599" s="584"/>
      <c r="JNS599" s="584"/>
      <c r="JNT599" s="584"/>
      <c r="JNU599" s="584"/>
      <c r="JNV599" s="584"/>
      <c r="JNW599" s="584"/>
      <c r="JNX599" s="584"/>
      <c r="JNY599" s="584"/>
      <c r="JNZ599" s="584"/>
      <c r="JOA599" s="584"/>
      <c r="JOB599" s="584"/>
      <c r="JOC599" s="584"/>
      <c r="JOD599" s="584"/>
      <c r="JOE599" s="584"/>
      <c r="JOF599" s="584"/>
      <c r="JOG599" s="584"/>
      <c r="JOH599" s="584"/>
      <c r="JOI599" s="584"/>
      <c r="JOJ599" s="584"/>
      <c r="JOK599" s="584"/>
      <c r="JOL599" s="584"/>
      <c r="JOM599" s="584"/>
      <c r="JON599" s="584"/>
      <c r="JOO599" s="584"/>
      <c r="JOP599" s="584"/>
      <c r="JOQ599" s="584"/>
      <c r="JOR599" s="584"/>
      <c r="JOS599" s="584"/>
      <c r="JOT599" s="584"/>
      <c r="JOU599" s="584"/>
      <c r="JOV599" s="584"/>
      <c r="JOW599" s="584"/>
      <c r="JOX599" s="584"/>
      <c r="JOY599" s="584"/>
      <c r="JOZ599" s="584"/>
      <c r="JPA599" s="584"/>
      <c r="JPB599" s="584"/>
      <c r="JPC599" s="584"/>
      <c r="JPD599" s="584"/>
      <c r="JPE599" s="584"/>
      <c r="JPF599" s="584"/>
      <c r="JPG599" s="584"/>
      <c r="JPH599" s="584"/>
      <c r="JPI599" s="584"/>
      <c r="JPJ599" s="584"/>
      <c r="JPK599" s="584"/>
      <c r="JPL599" s="584"/>
      <c r="JPM599" s="584"/>
      <c r="JPN599" s="584"/>
      <c r="JPO599" s="584"/>
      <c r="JPP599" s="584"/>
      <c r="JPQ599" s="584"/>
      <c r="JPR599" s="584"/>
      <c r="JPS599" s="584"/>
      <c r="JPT599" s="584"/>
      <c r="JPU599" s="584"/>
      <c r="JPV599" s="584"/>
      <c r="JPW599" s="584"/>
      <c r="JPX599" s="584"/>
      <c r="JPY599" s="584"/>
      <c r="JPZ599" s="584"/>
      <c r="JQA599" s="584"/>
      <c r="JQB599" s="584"/>
      <c r="JQC599" s="584"/>
      <c r="JQD599" s="584"/>
      <c r="JQE599" s="584"/>
      <c r="JQF599" s="584"/>
      <c r="JQG599" s="584"/>
      <c r="JQH599" s="584"/>
      <c r="JQI599" s="584"/>
      <c r="JQJ599" s="584"/>
      <c r="JQK599" s="584"/>
      <c r="JQL599" s="584"/>
      <c r="JQM599" s="584"/>
      <c r="JQN599" s="584"/>
      <c r="JQO599" s="584"/>
      <c r="JQP599" s="584"/>
      <c r="JQQ599" s="584"/>
      <c r="JQR599" s="584"/>
      <c r="JQS599" s="584"/>
      <c r="JQT599" s="584"/>
      <c r="JQU599" s="584"/>
      <c r="JQV599" s="584"/>
      <c r="JQW599" s="584"/>
      <c r="JQX599" s="584"/>
      <c r="JQY599" s="584"/>
      <c r="JQZ599" s="584"/>
      <c r="JRA599" s="584"/>
      <c r="JRB599" s="584"/>
      <c r="JRC599" s="584"/>
      <c r="JRD599" s="584"/>
      <c r="JRE599" s="584"/>
      <c r="JRF599" s="584"/>
      <c r="JRG599" s="584"/>
      <c r="JRH599" s="584"/>
      <c r="JRI599" s="584"/>
      <c r="JRJ599" s="584"/>
      <c r="JRK599" s="584"/>
      <c r="JRL599" s="584"/>
      <c r="JRM599" s="584"/>
      <c r="JRN599" s="584"/>
      <c r="JRO599" s="584"/>
      <c r="JRP599" s="584"/>
      <c r="JRQ599" s="584"/>
      <c r="JRR599" s="584"/>
      <c r="JRS599" s="584"/>
      <c r="JRT599" s="584"/>
      <c r="JRU599" s="584"/>
      <c r="JRV599" s="584"/>
      <c r="JRW599" s="584"/>
      <c r="JRX599" s="584"/>
      <c r="JRY599" s="584"/>
      <c r="JRZ599" s="584"/>
      <c r="JSA599" s="584"/>
      <c r="JSB599" s="584"/>
      <c r="JSC599" s="584"/>
      <c r="JSD599" s="584"/>
      <c r="JSE599" s="584"/>
      <c r="JSF599" s="584"/>
      <c r="JSG599" s="584"/>
      <c r="JSH599" s="584"/>
      <c r="JSI599" s="584"/>
      <c r="JSJ599" s="584"/>
      <c r="JSK599" s="584"/>
      <c r="JSL599" s="584"/>
      <c r="JSM599" s="584"/>
      <c r="JSN599" s="584"/>
      <c r="JSO599" s="584"/>
      <c r="JSP599" s="584"/>
      <c r="JSQ599" s="584"/>
      <c r="JSR599" s="584"/>
      <c r="JSS599" s="584"/>
      <c r="JST599" s="584"/>
      <c r="JSU599" s="584"/>
      <c r="JSV599" s="584"/>
      <c r="JSW599" s="584"/>
      <c r="JSX599" s="584"/>
      <c r="JSY599" s="584"/>
      <c r="JSZ599" s="584"/>
      <c r="JTA599" s="584"/>
      <c r="JTB599" s="584"/>
      <c r="JTC599" s="584"/>
      <c r="JTD599" s="584"/>
      <c r="JTE599" s="584"/>
      <c r="JTF599" s="584"/>
      <c r="JTG599" s="584"/>
      <c r="JTH599" s="584"/>
      <c r="JTI599" s="584"/>
      <c r="JTJ599" s="584"/>
      <c r="JTK599" s="584"/>
      <c r="JTL599" s="584"/>
      <c r="JTM599" s="584"/>
      <c r="JTN599" s="584"/>
      <c r="JTO599" s="584"/>
      <c r="JTP599" s="584"/>
      <c r="JTQ599" s="584"/>
      <c r="JTR599" s="584"/>
      <c r="JTS599" s="584"/>
      <c r="JTT599" s="584"/>
      <c r="JTU599" s="584"/>
      <c r="JTV599" s="584"/>
      <c r="JTW599" s="584"/>
      <c r="JTX599" s="584"/>
      <c r="JTY599" s="584"/>
      <c r="JTZ599" s="584"/>
      <c r="JUA599" s="584"/>
      <c r="JUB599" s="584"/>
      <c r="JUC599" s="584"/>
      <c r="JUD599" s="584"/>
      <c r="JUE599" s="584"/>
      <c r="JUF599" s="584"/>
      <c r="JUG599" s="584"/>
      <c r="JUH599" s="584"/>
      <c r="JUI599" s="584"/>
      <c r="JUJ599" s="584"/>
      <c r="JUK599" s="584"/>
      <c r="JUL599" s="584"/>
      <c r="JUM599" s="584"/>
      <c r="JUN599" s="584"/>
      <c r="JUO599" s="584"/>
      <c r="JUP599" s="584"/>
      <c r="JUQ599" s="584"/>
      <c r="JUR599" s="584"/>
      <c r="JUS599" s="584"/>
      <c r="JUT599" s="584"/>
      <c r="JUU599" s="584"/>
      <c r="JUV599" s="584"/>
      <c r="JUW599" s="584"/>
      <c r="JUX599" s="584"/>
      <c r="JUY599" s="584"/>
      <c r="JUZ599" s="584"/>
      <c r="JVA599" s="584"/>
      <c r="JVB599" s="584"/>
      <c r="JVC599" s="584"/>
      <c r="JVD599" s="584"/>
      <c r="JVE599" s="584"/>
      <c r="JVF599" s="584"/>
      <c r="JVG599" s="584"/>
      <c r="JVH599" s="584"/>
      <c r="JVI599" s="584"/>
      <c r="JVJ599" s="584"/>
      <c r="JVK599" s="584"/>
      <c r="JVL599" s="584"/>
      <c r="JVM599" s="584"/>
      <c r="JVN599" s="584"/>
      <c r="JVO599" s="584"/>
      <c r="JVP599" s="584"/>
      <c r="JVQ599" s="584"/>
      <c r="JVR599" s="584"/>
      <c r="JVS599" s="584"/>
      <c r="JVT599" s="584"/>
      <c r="JVU599" s="584"/>
      <c r="JVV599" s="584"/>
      <c r="JVW599" s="584"/>
      <c r="JVX599" s="584"/>
      <c r="JVY599" s="584"/>
      <c r="JVZ599" s="584"/>
      <c r="JWA599" s="584"/>
      <c r="JWB599" s="584"/>
      <c r="JWC599" s="584"/>
      <c r="JWD599" s="584"/>
      <c r="JWE599" s="584"/>
      <c r="JWF599" s="584"/>
      <c r="JWG599" s="584"/>
      <c r="JWH599" s="584"/>
      <c r="JWI599" s="584"/>
      <c r="JWJ599" s="584"/>
      <c r="JWK599" s="584"/>
      <c r="JWL599" s="584"/>
      <c r="JWM599" s="584"/>
      <c r="JWN599" s="584"/>
      <c r="JWO599" s="584"/>
      <c r="JWP599" s="584"/>
      <c r="JWQ599" s="584"/>
      <c r="JWR599" s="584"/>
      <c r="JWS599" s="584"/>
      <c r="JWT599" s="584"/>
      <c r="JWU599" s="584"/>
      <c r="JWV599" s="584"/>
      <c r="JWW599" s="584"/>
      <c r="JWX599" s="584"/>
      <c r="JWY599" s="584"/>
      <c r="JWZ599" s="584"/>
      <c r="JXA599" s="584"/>
      <c r="JXB599" s="584"/>
      <c r="JXC599" s="584"/>
      <c r="JXD599" s="584"/>
      <c r="JXE599" s="584"/>
      <c r="JXF599" s="584"/>
      <c r="JXG599" s="584"/>
      <c r="JXH599" s="584"/>
      <c r="JXI599" s="584"/>
      <c r="JXJ599" s="584"/>
      <c r="JXK599" s="584"/>
      <c r="JXL599" s="584"/>
      <c r="JXM599" s="584"/>
      <c r="JXN599" s="584"/>
      <c r="JXO599" s="584"/>
      <c r="JXP599" s="584"/>
      <c r="JXQ599" s="584"/>
      <c r="JXR599" s="584"/>
      <c r="JXS599" s="584"/>
      <c r="JXT599" s="584"/>
      <c r="JXU599" s="584"/>
      <c r="JXV599" s="584"/>
      <c r="JXW599" s="584"/>
      <c r="JXX599" s="584"/>
      <c r="JXY599" s="584"/>
      <c r="JXZ599" s="584"/>
      <c r="JYA599" s="584"/>
      <c r="JYB599" s="584"/>
      <c r="JYC599" s="584"/>
      <c r="JYD599" s="584"/>
      <c r="JYE599" s="584"/>
      <c r="JYF599" s="584"/>
      <c r="JYG599" s="584"/>
      <c r="JYH599" s="584"/>
      <c r="JYI599" s="584"/>
      <c r="JYJ599" s="584"/>
      <c r="JYK599" s="584"/>
      <c r="JYL599" s="584"/>
      <c r="JYM599" s="584"/>
      <c r="JYN599" s="584"/>
      <c r="JYO599" s="584"/>
      <c r="JYP599" s="584"/>
      <c r="JYQ599" s="584"/>
      <c r="JYR599" s="584"/>
      <c r="JYS599" s="584"/>
      <c r="JYT599" s="584"/>
      <c r="JYU599" s="584"/>
      <c r="JYV599" s="584"/>
      <c r="JYW599" s="584"/>
      <c r="JYX599" s="584"/>
      <c r="JYY599" s="584"/>
      <c r="JYZ599" s="584"/>
      <c r="JZA599" s="584"/>
      <c r="JZB599" s="584"/>
      <c r="JZC599" s="584"/>
      <c r="JZD599" s="584"/>
      <c r="JZE599" s="584"/>
      <c r="JZF599" s="584"/>
      <c r="JZG599" s="584"/>
      <c r="JZH599" s="584"/>
      <c r="JZI599" s="584"/>
      <c r="JZJ599" s="584"/>
      <c r="JZK599" s="584"/>
      <c r="JZL599" s="584"/>
      <c r="JZM599" s="584"/>
      <c r="JZN599" s="584"/>
      <c r="JZO599" s="584"/>
      <c r="JZP599" s="584"/>
      <c r="JZQ599" s="584"/>
      <c r="JZR599" s="584"/>
      <c r="JZS599" s="584"/>
      <c r="JZT599" s="584"/>
      <c r="JZU599" s="584"/>
      <c r="JZV599" s="584"/>
      <c r="JZW599" s="584"/>
      <c r="JZX599" s="584"/>
      <c r="JZY599" s="584"/>
      <c r="JZZ599" s="584"/>
      <c r="KAA599" s="584"/>
      <c r="KAB599" s="584"/>
      <c r="KAC599" s="584"/>
      <c r="KAD599" s="584"/>
      <c r="KAE599" s="584"/>
      <c r="KAF599" s="584"/>
      <c r="KAG599" s="584"/>
      <c r="KAH599" s="584"/>
      <c r="KAI599" s="584"/>
      <c r="KAJ599" s="584"/>
      <c r="KAK599" s="584"/>
      <c r="KAL599" s="584"/>
      <c r="KAM599" s="584"/>
      <c r="KAN599" s="584"/>
      <c r="KAO599" s="584"/>
      <c r="KAP599" s="584"/>
      <c r="KAQ599" s="584"/>
      <c r="KAR599" s="584"/>
      <c r="KAS599" s="584"/>
      <c r="KAT599" s="584"/>
      <c r="KAU599" s="584"/>
      <c r="KAV599" s="584"/>
      <c r="KAW599" s="584"/>
      <c r="KAX599" s="584"/>
      <c r="KAY599" s="584"/>
      <c r="KAZ599" s="584"/>
      <c r="KBA599" s="584"/>
      <c r="KBB599" s="584"/>
      <c r="KBC599" s="584"/>
      <c r="KBD599" s="584"/>
      <c r="KBE599" s="584"/>
      <c r="KBF599" s="584"/>
      <c r="KBG599" s="584"/>
      <c r="KBH599" s="584"/>
      <c r="KBI599" s="584"/>
      <c r="KBJ599" s="584"/>
      <c r="KBK599" s="584"/>
      <c r="KBL599" s="584"/>
      <c r="KBM599" s="584"/>
      <c r="KBN599" s="584"/>
      <c r="KBO599" s="584"/>
      <c r="KBP599" s="584"/>
      <c r="KBQ599" s="584"/>
      <c r="KBR599" s="584"/>
      <c r="KBS599" s="584"/>
      <c r="KBT599" s="584"/>
      <c r="KBU599" s="584"/>
      <c r="KBV599" s="584"/>
      <c r="KBW599" s="584"/>
      <c r="KBX599" s="584"/>
      <c r="KBY599" s="584"/>
      <c r="KBZ599" s="584"/>
      <c r="KCA599" s="584"/>
      <c r="KCB599" s="584"/>
      <c r="KCC599" s="584"/>
      <c r="KCD599" s="584"/>
      <c r="KCE599" s="584"/>
      <c r="KCF599" s="584"/>
      <c r="KCG599" s="584"/>
      <c r="KCH599" s="584"/>
      <c r="KCI599" s="584"/>
      <c r="KCJ599" s="584"/>
      <c r="KCK599" s="584"/>
      <c r="KCL599" s="584"/>
      <c r="KCM599" s="584"/>
      <c r="KCN599" s="584"/>
      <c r="KCO599" s="584"/>
      <c r="KCP599" s="584"/>
      <c r="KCQ599" s="584"/>
      <c r="KCR599" s="584"/>
      <c r="KCS599" s="584"/>
      <c r="KCT599" s="584"/>
      <c r="KCU599" s="584"/>
      <c r="KCV599" s="584"/>
      <c r="KCW599" s="584"/>
      <c r="KCX599" s="584"/>
      <c r="KCY599" s="584"/>
      <c r="KCZ599" s="584"/>
      <c r="KDA599" s="584"/>
      <c r="KDB599" s="584"/>
      <c r="KDC599" s="584"/>
      <c r="KDD599" s="584"/>
      <c r="KDE599" s="584"/>
      <c r="KDF599" s="584"/>
      <c r="KDG599" s="584"/>
      <c r="KDH599" s="584"/>
      <c r="KDI599" s="584"/>
      <c r="KDJ599" s="584"/>
      <c r="KDK599" s="584"/>
      <c r="KDL599" s="584"/>
      <c r="KDM599" s="584"/>
      <c r="KDN599" s="584"/>
      <c r="KDO599" s="584"/>
      <c r="KDP599" s="584"/>
      <c r="KDQ599" s="584"/>
      <c r="KDR599" s="584"/>
      <c r="KDS599" s="584"/>
      <c r="KDT599" s="584"/>
      <c r="KDU599" s="584"/>
      <c r="KDV599" s="584"/>
      <c r="KDW599" s="584"/>
      <c r="KDX599" s="584"/>
      <c r="KDY599" s="584"/>
      <c r="KDZ599" s="584"/>
      <c r="KEA599" s="584"/>
      <c r="KEB599" s="584"/>
      <c r="KEC599" s="584"/>
      <c r="KED599" s="584"/>
      <c r="KEE599" s="584"/>
      <c r="KEF599" s="584"/>
      <c r="KEG599" s="584"/>
      <c r="KEH599" s="584"/>
      <c r="KEI599" s="584"/>
      <c r="KEJ599" s="584"/>
      <c r="KEK599" s="584"/>
      <c r="KEL599" s="584"/>
      <c r="KEM599" s="584"/>
      <c r="KEN599" s="584"/>
      <c r="KEO599" s="584"/>
      <c r="KEP599" s="584"/>
      <c r="KEQ599" s="584"/>
      <c r="KER599" s="584"/>
      <c r="KES599" s="584"/>
      <c r="KET599" s="584"/>
      <c r="KEU599" s="584"/>
      <c r="KEV599" s="584"/>
      <c r="KEW599" s="584"/>
      <c r="KEX599" s="584"/>
      <c r="KEY599" s="584"/>
      <c r="KEZ599" s="584"/>
      <c r="KFA599" s="584"/>
      <c r="KFB599" s="584"/>
      <c r="KFC599" s="584"/>
      <c r="KFD599" s="584"/>
      <c r="KFE599" s="584"/>
      <c r="KFF599" s="584"/>
      <c r="KFG599" s="584"/>
      <c r="KFH599" s="584"/>
      <c r="KFI599" s="584"/>
      <c r="KFJ599" s="584"/>
      <c r="KFK599" s="584"/>
      <c r="KFL599" s="584"/>
      <c r="KFM599" s="584"/>
      <c r="KFN599" s="584"/>
      <c r="KFO599" s="584"/>
      <c r="KFP599" s="584"/>
      <c r="KFQ599" s="584"/>
      <c r="KFR599" s="584"/>
      <c r="KFS599" s="584"/>
      <c r="KFT599" s="584"/>
      <c r="KFU599" s="584"/>
      <c r="KFV599" s="584"/>
      <c r="KFW599" s="584"/>
      <c r="KFX599" s="584"/>
      <c r="KFY599" s="584"/>
      <c r="KFZ599" s="584"/>
      <c r="KGA599" s="584"/>
      <c r="KGB599" s="584"/>
      <c r="KGC599" s="584"/>
      <c r="KGD599" s="584"/>
      <c r="KGE599" s="584"/>
      <c r="KGF599" s="584"/>
      <c r="KGG599" s="584"/>
      <c r="KGH599" s="584"/>
      <c r="KGI599" s="584"/>
      <c r="KGJ599" s="584"/>
      <c r="KGK599" s="584"/>
      <c r="KGL599" s="584"/>
      <c r="KGM599" s="584"/>
      <c r="KGN599" s="584"/>
      <c r="KGO599" s="584"/>
      <c r="KGP599" s="584"/>
      <c r="KGQ599" s="584"/>
      <c r="KGR599" s="584"/>
      <c r="KGS599" s="584"/>
      <c r="KGT599" s="584"/>
      <c r="KGU599" s="584"/>
      <c r="KGV599" s="584"/>
      <c r="KGW599" s="584"/>
      <c r="KGX599" s="584"/>
      <c r="KGY599" s="584"/>
      <c r="KGZ599" s="584"/>
      <c r="KHA599" s="584"/>
      <c r="KHB599" s="584"/>
      <c r="KHC599" s="584"/>
      <c r="KHD599" s="584"/>
      <c r="KHE599" s="584"/>
      <c r="KHF599" s="584"/>
      <c r="KHG599" s="584"/>
      <c r="KHH599" s="584"/>
      <c r="KHI599" s="584"/>
      <c r="KHJ599" s="584"/>
      <c r="KHK599" s="584"/>
      <c r="KHL599" s="584"/>
      <c r="KHM599" s="584"/>
      <c r="KHN599" s="584"/>
      <c r="KHO599" s="584"/>
      <c r="KHP599" s="584"/>
      <c r="KHQ599" s="584"/>
      <c r="KHR599" s="584"/>
      <c r="KHS599" s="584"/>
      <c r="KHT599" s="584"/>
      <c r="KHU599" s="584"/>
      <c r="KHV599" s="584"/>
      <c r="KHW599" s="584"/>
      <c r="KHX599" s="584"/>
      <c r="KHY599" s="584"/>
      <c r="KHZ599" s="584"/>
      <c r="KIA599" s="584"/>
      <c r="KIB599" s="584"/>
      <c r="KIC599" s="584"/>
      <c r="KID599" s="584"/>
      <c r="KIE599" s="584"/>
      <c r="KIF599" s="584"/>
      <c r="KIG599" s="584"/>
      <c r="KIH599" s="584"/>
      <c r="KII599" s="584"/>
      <c r="KIJ599" s="584"/>
      <c r="KIK599" s="584"/>
      <c r="KIL599" s="584"/>
      <c r="KIM599" s="584"/>
      <c r="KIN599" s="584"/>
      <c r="KIO599" s="584"/>
      <c r="KIP599" s="584"/>
      <c r="KIQ599" s="584"/>
      <c r="KIR599" s="584"/>
      <c r="KIS599" s="584"/>
      <c r="KIT599" s="584"/>
      <c r="KIU599" s="584"/>
      <c r="KIV599" s="584"/>
      <c r="KIW599" s="584"/>
      <c r="KIX599" s="584"/>
      <c r="KIY599" s="584"/>
      <c r="KIZ599" s="584"/>
      <c r="KJA599" s="584"/>
      <c r="KJB599" s="584"/>
      <c r="KJC599" s="584"/>
      <c r="KJD599" s="584"/>
      <c r="KJE599" s="584"/>
      <c r="KJF599" s="584"/>
      <c r="KJG599" s="584"/>
      <c r="KJH599" s="584"/>
      <c r="KJI599" s="584"/>
      <c r="KJJ599" s="584"/>
      <c r="KJK599" s="584"/>
      <c r="KJL599" s="584"/>
      <c r="KJM599" s="584"/>
      <c r="KJN599" s="584"/>
      <c r="KJO599" s="584"/>
      <c r="KJP599" s="584"/>
      <c r="KJQ599" s="584"/>
      <c r="KJR599" s="584"/>
      <c r="KJS599" s="584"/>
      <c r="KJT599" s="584"/>
      <c r="KJU599" s="584"/>
      <c r="KJV599" s="584"/>
      <c r="KJW599" s="584"/>
      <c r="KJX599" s="584"/>
      <c r="KJY599" s="584"/>
      <c r="KJZ599" s="584"/>
      <c r="KKA599" s="584"/>
      <c r="KKB599" s="584"/>
      <c r="KKC599" s="584"/>
      <c r="KKD599" s="584"/>
      <c r="KKE599" s="584"/>
      <c r="KKF599" s="584"/>
      <c r="KKG599" s="584"/>
      <c r="KKH599" s="584"/>
      <c r="KKI599" s="584"/>
      <c r="KKJ599" s="584"/>
      <c r="KKK599" s="584"/>
      <c r="KKL599" s="584"/>
      <c r="KKM599" s="584"/>
      <c r="KKN599" s="584"/>
      <c r="KKO599" s="584"/>
      <c r="KKP599" s="584"/>
      <c r="KKQ599" s="584"/>
      <c r="KKR599" s="584"/>
      <c r="KKS599" s="584"/>
      <c r="KKT599" s="584"/>
      <c r="KKU599" s="584"/>
      <c r="KKV599" s="584"/>
      <c r="KKW599" s="584"/>
      <c r="KKX599" s="584"/>
      <c r="KKY599" s="584"/>
      <c r="KKZ599" s="584"/>
      <c r="KLA599" s="584"/>
      <c r="KLB599" s="584"/>
      <c r="KLC599" s="584"/>
      <c r="KLD599" s="584"/>
      <c r="KLE599" s="584"/>
      <c r="KLF599" s="584"/>
      <c r="KLG599" s="584"/>
      <c r="KLH599" s="584"/>
      <c r="KLI599" s="584"/>
      <c r="KLJ599" s="584"/>
      <c r="KLK599" s="584"/>
      <c r="KLL599" s="584"/>
      <c r="KLM599" s="584"/>
      <c r="KLN599" s="584"/>
      <c r="KLO599" s="584"/>
      <c r="KLP599" s="584"/>
      <c r="KLQ599" s="584"/>
      <c r="KLR599" s="584"/>
      <c r="KLS599" s="584"/>
      <c r="KLT599" s="584"/>
      <c r="KLU599" s="584"/>
      <c r="KLV599" s="584"/>
      <c r="KLW599" s="584"/>
      <c r="KLX599" s="584"/>
      <c r="KLY599" s="584"/>
      <c r="KLZ599" s="584"/>
      <c r="KMA599" s="584"/>
      <c r="KMB599" s="584"/>
      <c r="KMC599" s="584"/>
      <c r="KMD599" s="584"/>
      <c r="KME599" s="584"/>
      <c r="KMF599" s="584"/>
      <c r="KMG599" s="584"/>
      <c r="KMH599" s="584"/>
      <c r="KMI599" s="584"/>
      <c r="KMJ599" s="584"/>
      <c r="KMK599" s="584"/>
      <c r="KML599" s="584"/>
      <c r="KMM599" s="584"/>
      <c r="KMN599" s="584"/>
      <c r="KMO599" s="584"/>
      <c r="KMP599" s="584"/>
      <c r="KMQ599" s="584"/>
      <c r="KMR599" s="584"/>
      <c r="KMS599" s="584"/>
      <c r="KMT599" s="584"/>
      <c r="KMU599" s="584"/>
      <c r="KMV599" s="584"/>
      <c r="KMW599" s="584"/>
      <c r="KMX599" s="584"/>
      <c r="KMY599" s="584"/>
      <c r="KMZ599" s="584"/>
      <c r="KNA599" s="584"/>
      <c r="KNB599" s="584"/>
      <c r="KNC599" s="584"/>
      <c r="KND599" s="584"/>
      <c r="KNE599" s="584"/>
      <c r="KNF599" s="584"/>
      <c r="KNG599" s="584"/>
      <c r="KNH599" s="584"/>
      <c r="KNI599" s="584"/>
      <c r="KNJ599" s="584"/>
      <c r="KNK599" s="584"/>
      <c r="KNL599" s="584"/>
      <c r="KNM599" s="584"/>
      <c r="KNN599" s="584"/>
      <c r="KNO599" s="584"/>
      <c r="KNP599" s="584"/>
      <c r="KNQ599" s="584"/>
      <c r="KNR599" s="584"/>
      <c r="KNS599" s="584"/>
      <c r="KNT599" s="584"/>
      <c r="KNU599" s="584"/>
      <c r="KNV599" s="584"/>
      <c r="KNW599" s="584"/>
      <c r="KNX599" s="584"/>
      <c r="KNY599" s="584"/>
      <c r="KNZ599" s="584"/>
      <c r="KOA599" s="584"/>
      <c r="KOB599" s="584"/>
      <c r="KOC599" s="584"/>
      <c r="KOD599" s="584"/>
      <c r="KOE599" s="584"/>
      <c r="KOF599" s="584"/>
      <c r="KOG599" s="584"/>
      <c r="KOH599" s="584"/>
      <c r="KOI599" s="584"/>
      <c r="KOJ599" s="584"/>
      <c r="KOK599" s="584"/>
      <c r="KOL599" s="584"/>
      <c r="KOM599" s="584"/>
      <c r="KON599" s="584"/>
      <c r="KOO599" s="584"/>
      <c r="KOP599" s="584"/>
      <c r="KOQ599" s="584"/>
      <c r="KOR599" s="584"/>
      <c r="KOS599" s="584"/>
      <c r="KOT599" s="584"/>
      <c r="KOU599" s="584"/>
      <c r="KOV599" s="584"/>
      <c r="KOW599" s="584"/>
      <c r="KOX599" s="584"/>
      <c r="KOY599" s="584"/>
      <c r="KOZ599" s="584"/>
      <c r="KPA599" s="584"/>
      <c r="KPB599" s="584"/>
      <c r="KPC599" s="584"/>
      <c r="KPD599" s="584"/>
      <c r="KPE599" s="584"/>
      <c r="KPF599" s="584"/>
      <c r="KPG599" s="584"/>
      <c r="KPH599" s="584"/>
      <c r="KPI599" s="584"/>
      <c r="KPJ599" s="584"/>
      <c r="KPK599" s="584"/>
      <c r="KPL599" s="584"/>
      <c r="KPM599" s="584"/>
      <c r="KPN599" s="584"/>
      <c r="KPO599" s="584"/>
      <c r="KPP599" s="584"/>
      <c r="KPQ599" s="584"/>
      <c r="KPR599" s="584"/>
      <c r="KPS599" s="584"/>
      <c r="KPT599" s="584"/>
      <c r="KPU599" s="584"/>
      <c r="KPV599" s="584"/>
      <c r="KPW599" s="584"/>
      <c r="KPX599" s="584"/>
      <c r="KPY599" s="584"/>
      <c r="KPZ599" s="584"/>
      <c r="KQA599" s="584"/>
      <c r="KQB599" s="584"/>
      <c r="KQC599" s="584"/>
      <c r="KQD599" s="584"/>
      <c r="KQE599" s="584"/>
      <c r="KQF599" s="584"/>
      <c r="KQG599" s="584"/>
      <c r="KQH599" s="584"/>
      <c r="KQI599" s="584"/>
      <c r="KQJ599" s="584"/>
      <c r="KQK599" s="584"/>
      <c r="KQL599" s="584"/>
      <c r="KQM599" s="584"/>
      <c r="KQN599" s="584"/>
      <c r="KQO599" s="584"/>
      <c r="KQP599" s="584"/>
      <c r="KQQ599" s="584"/>
      <c r="KQR599" s="584"/>
      <c r="KQS599" s="584"/>
      <c r="KQT599" s="584"/>
      <c r="KQU599" s="584"/>
      <c r="KQV599" s="584"/>
      <c r="KQW599" s="584"/>
      <c r="KQX599" s="584"/>
      <c r="KQY599" s="584"/>
      <c r="KQZ599" s="584"/>
      <c r="KRA599" s="584"/>
      <c r="KRB599" s="584"/>
      <c r="KRC599" s="584"/>
      <c r="KRD599" s="584"/>
      <c r="KRE599" s="584"/>
      <c r="KRF599" s="584"/>
      <c r="KRG599" s="584"/>
      <c r="KRH599" s="584"/>
      <c r="KRI599" s="584"/>
      <c r="KRJ599" s="584"/>
      <c r="KRK599" s="584"/>
      <c r="KRL599" s="584"/>
      <c r="KRM599" s="584"/>
      <c r="KRN599" s="584"/>
      <c r="KRO599" s="584"/>
      <c r="KRP599" s="584"/>
      <c r="KRQ599" s="584"/>
      <c r="KRR599" s="584"/>
      <c r="KRS599" s="584"/>
      <c r="KRT599" s="584"/>
      <c r="KRU599" s="584"/>
      <c r="KRV599" s="584"/>
      <c r="KRW599" s="584"/>
      <c r="KRX599" s="584"/>
      <c r="KRY599" s="584"/>
      <c r="KRZ599" s="584"/>
      <c r="KSA599" s="584"/>
      <c r="KSB599" s="584"/>
      <c r="KSC599" s="584"/>
      <c r="KSD599" s="584"/>
      <c r="KSE599" s="584"/>
      <c r="KSF599" s="584"/>
      <c r="KSG599" s="584"/>
      <c r="KSH599" s="584"/>
      <c r="KSI599" s="584"/>
      <c r="KSJ599" s="584"/>
      <c r="KSK599" s="584"/>
      <c r="KSL599" s="584"/>
      <c r="KSM599" s="584"/>
      <c r="KSN599" s="584"/>
      <c r="KSO599" s="584"/>
      <c r="KSP599" s="584"/>
      <c r="KSQ599" s="584"/>
      <c r="KSR599" s="584"/>
      <c r="KSS599" s="584"/>
      <c r="KST599" s="584"/>
      <c r="KSU599" s="584"/>
      <c r="KSV599" s="584"/>
      <c r="KSW599" s="584"/>
      <c r="KSX599" s="584"/>
      <c r="KSY599" s="584"/>
      <c r="KSZ599" s="584"/>
      <c r="KTA599" s="584"/>
      <c r="KTB599" s="584"/>
      <c r="KTC599" s="584"/>
      <c r="KTD599" s="584"/>
      <c r="KTE599" s="584"/>
      <c r="KTF599" s="584"/>
      <c r="KTG599" s="584"/>
      <c r="KTH599" s="584"/>
      <c r="KTI599" s="584"/>
      <c r="KTJ599" s="584"/>
      <c r="KTK599" s="584"/>
      <c r="KTL599" s="584"/>
      <c r="KTM599" s="584"/>
      <c r="KTN599" s="584"/>
      <c r="KTO599" s="584"/>
      <c r="KTP599" s="584"/>
      <c r="KTQ599" s="584"/>
      <c r="KTR599" s="584"/>
      <c r="KTS599" s="584"/>
      <c r="KTT599" s="584"/>
      <c r="KTU599" s="584"/>
      <c r="KTV599" s="584"/>
      <c r="KTW599" s="584"/>
      <c r="KTX599" s="584"/>
      <c r="KTY599" s="584"/>
      <c r="KTZ599" s="584"/>
      <c r="KUA599" s="584"/>
      <c r="KUB599" s="584"/>
      <c r="KUC599" s="584"/>
      <c r="KUD599" s="584"/>
      <c r="KUE599" s="584"/>
      <c r="KUF599" s="584"/>
      <c r="KUG599" s="584"/>
      <c r="KUH599" s="584"/>
      <c r="KUI599" s="584"/>
      <c r="KUJ599" s="584"/>
      <c r="KUK599" s="584"/>
      <c r="KUL599" s="584"/>
      <c r="KUM599" s="584"/>
      <c r="KUN599" s="584"/>
      <c r="KUO599" s="584"/>
      <c r="KUP599" s="584"/>
      <c r="KUQ599" s="584"/>
      <c r="KUR599" s="584"/>
      <c r="KUS599" s="584"/>
      <c r="KUT599" s="584"/>
      <c r="KUU599" s="584"/>
      <c r="KUV599" s="584"/>
      <c r="KUW599" s="584"/>
      <c r="KUX599" s="584"/>
      <c r="KUY599" s="584"/>
      <c r="KUZ599" s="584"/>
      <c r="KVA599" s="584"/>
      <c r="KVB599" s="584"/>
      <c r="KVC599" s="584"/>
      <c r="KVD599" s="584"/>
      <c r="KVE599" s="584"/>
      <c r="KVF599" s="584"/>
      <c r="KVG599" s="584"/>
      <c r="KVH599" s="584"/>
      <c r="KVI599" s="584"/>
      <c r="KVJ599" s="584"/>
      <c r="KVK599" s="584"/>
      <c r="KVL599" s="584"/>
      <c r="KVM599" s="584"/>
      <c r="KVN599" s="584"/>
      <c r="KVO599" s="584"/>
      <c r="KVP599" s="584"/>
      <c r="KVQ599" s="584"/>
      <c r="KVR599" s="584"/>
      <c r="KVS599" s="584"/>
      <c r="KVT599" s="584"/>
      <c r="KVU599" s="584"/>
      <c r="KVV599" s="584"/>
      <c r="KVW599" s="584"/>
      <c r="KVX599" s="584"/>
      <c r="KVY599" s="584"/>
      <c r="KVZ599" s="584"/>
      <c r="KWA599" s="584"/>
      <c r="KWB599" s="584"/>
      <c r="KWC599" s="584"/>
      <c r="KWD599" s="584"/>
      <c r="KWE599" s="584"/>
      <c r="KWF599" s="584"/>
      <c r="KWG599" s="584"/>
      <c r="KWH599" s="584"/>
      <c r="KWI599" s="584"/>
      <c r="KWJ599" s="584"/>
      <c r="KWK599" s="584"/>
      <c r="KWL599" s="584"/>
      <c r="KWM599" s="584"/>
      <c r="KWN599" s="584"/>
      <c r="KWO599" s="584"/>
      <c r="KWP599" s="584"/>
      <c r="KWQ599" s="584"/>
      <c r="KWR599" s="584"/>
      <c r="KWS599" s="584"/>
      <c r="KWT599" s="584"/>
      <c r="KWU599" s="584"/>
      <c r="KWV599" s="584"/>
      <c r="KWW599" s="584"/>
      <c r="KWX599" s="584"/>
      <c r="KWY599" s="584"/>
      <c r="KWZ599" s="584"/>
      <c r="KXA599" s="584"/>
      <c r="KXB599" s="584"/>
      <c r="KXC599" s="584"/>
      <c r="KXD599" s="584"/>
      <c r="KXE599" s="584"/>
      <c r="KXF599" s="584"/>
      <c r="KXG599" s="584"/>
      <c r="KXH599" s="584"/>
      <c r="KXI599" s="584"/>
      <c r="KXJ599" s="584"/>
      <c r="KXK599" s="584"/>
      <c r="KXL599" s="584"/>
      <c r="KXM599" s="584"/>
      <c r="KXN599" s="584"/>
      <c r="KXO599" s="584"/>
      <c r="KXP599" s="584"/>
      <c r="KXQ599" s="584"/>
      <c r="KXR599" s="584"/>
      <c r="KXS599" s="584"/>
      <c r="KXT599" s="584"/>
      <c r="KXU599" s="584"/>
      <c r="KXV599" s="584"/>
      <c r="KXW599" s="584"/>
      <c r="KXX599" s="584"/>
      <c r="KXY599" s="584"/>
      <c r="KXZ599" s="584"/>
      <c r="KYA599" s="584"/>
      <c r="KYB599" s="584"/>
      <c r="KYC599" s="584"/>
      <c r="KYD599" s="584"/>
      <c r="KYE599" s="584"/>
      <c r="KYF599" s="584"/>
      <c r="KYG599" s="584"/>
      <c r="KYH599" s="584"/>
      <c r="KYI599" s="584"/>
      <c r="KYJ599" s="584"/>
      <c r="KYK599" s="584"/>
      <c r="KYL599" s="584"/>
      <c r="KYM599" s="584"/>
      <c r="KYN599" s="584"/>
      <c r="KYO599" s="584"/>
      <c r="KYP599" s="584"/>
      <c r="KYQ599" s="584"/>
      <c r="KYR599" s="584"/>
      <c r="KYS599" s="584"/>
      <c r="KYT599" s="584"/>
      <c r="KYU599" s="584"/>
      <c r="KYV599" s="584"/>
      <c r="KYW599" s="584"/>
      <c r="KYX599" s="584"/>
      <c r="KYY599" s="584"/>
      <c r="KYZ599" s="584"/>
      <c r="KZA599" s="584"/>
      <c r="KZB599" s="584"/>
      <c r="KZC599" s="584"/>
      <c r="KZD599" s="584"/>
      <c r="KZE599" s="584"/>
      <c r="KZF599" s="584"/>
      <c r="KZG599" s="584"/>
      <c r="KZH599" s="584"/>
      <c r="KZI599" s="584"/>
      <c r="KZJ599" s="584"/>
      <c r="KZK599" s="584"/>
      <c r="KZL599" s="584"/>
      <c r="KZM599" s="584"/>
      <c r="KZN599" s="584"/>
      <c r="KZO599" s="584"/>
      <c r="KZP599" s="584"/>
      <c r="KZQ599" s="584"/>
      <c r="KZR599" s="584"/>
      <c r="KZS599" s="584"/>
      <c r="KZT599" s="584"/>
      <c r="KZU599" s="584"/>
      <c r="KZV599" s="584"/>
      <c r="KZW599" s="584"/>
      <c r="KZX599" s="584"/>
      <c r="KZY599" s="584"/>
      <c r="KZZ599" s="584"/>
      <c r="LAA599" s="584"/>
      <c r="LAB599" s="584"/>
      <c r="LAC599" s="584"/>
      <c r="LAD599" s="584"/>
      <c r="LAE599" s="584"/>
      <c r="LAF599" s="584"/>
      <c r="LAG599" s="584"/>
      <c r="LAH599" s="584"/>
      <c r="LAI599" s="584"/>
      <c r="LAJ599" s="584"/>
      <c r="LAK599" s="584"/>
      <c r="LAL599" s="584"/>
      <c r="LAM599" s="584"/>
      <c r="LAN599" s="584"/>
      <c r="LAO599" s="584"/>
      <c r="LAP599" s="584"/>
      <c r="LAQ599" s="584"/>
      <c r="LAR599" s="584"/>
      <c r="LAS599" s="584"/>
      <c r="LAT599" s="584"/>
      <c r="LAU599" s="584"/>
      <c r="LAV599" s="584"/>
      <c r="LAW599" s="584"/>
      <c r="LAX599" s="584"/>
      <c r="LAY599" s="584"/>
      <c r="LAZ599" s="584"/>
      <c r="LBA599" s="584"/>
      <c r="LBB599" s="584"/>
      <c r="LBC599" s="584"/>
      <c r="LBD599" s="584"/>
      <c r="LBE599" s="584"/>
      <c r="LBF599" s="584"/>
      <c r="LBG599" s="584"/>
      <c r="LBH599" s="584"/>
      <c r="LBI599" s="584"/>
      <c r="LBJ599" s="584"/>
      <c r="LBK599" s="584"/>
      <c r="LBL599" s="584"/>
      <c r="LBM599" s="584"/>
      <c r="LBN599" s="584"/>
      <c r="LBO599" s="584"/>
      <c r="LBP599" s="584"/>
      <c r="LBQ599" s="584"/>
      <c r="LBR599" s="584"/>
      <c r="LBS599" s="584"/>
      <c r="LBT599" s="584"/>
      <c r="LBU599" s="584"/>
      <c r="LBV599" s="584"/>
      <c r="LBW599" s="584"/>
      <c r="LBX599" s="584"/>
      <c r="LBY599" s="584"/>
      <c r="LBZ599" s="584"/>
      <c r="LCA599" s="584"/>
      <c r="LCB599" s="584"/>
      <c r="LCC599" s="584"/>
      <c r="LCD599" s="584"/>
      <c r="LCE599" s="584"/>
      <c r="LCF599" s="584"/>
      <c r="LCG599" s="584"/>
      <c r="LCH599" s="584"/>
      <c r="LCI599" s="584"/>
      <c r="LCJ599" s="584"/>
      <c r="LCK599" s="584"/>
      <c r="LCL599" s="584"/>
      <c r="LCM599" s="584"/>
      <c r="LCN599" s="584"/>
      <c r="LCO599" s="584"/>
      <c r="LCP599" s="584"/>
      <c r="LCQ599" s="584"/>
      <c r="LCR599" s="584"/>
      <c r="LCS599" s="584"/>
      <c r="LCT599" s="584"/>
      <c r="LCU599" s="584"/>
      <c r="LCV599" s="584"/>
      <c r="LCW599" s="584"/>
      <c r="LCX599" s="584"/>
      <c r="LCY599" s="584"/>
      <c r="LCZ599" s="584"/>
      <c r="LDA599" s="584"/>
      <c r="LDB599" s="584"/>
      <c r="LDC599" s="584"/>
      <c r="LDD599" s="584"/>
      <c r="LDE599" s="584"/>
      <c r="LDF599" s="584"/>
      <c r="LDG599" s="584"/>
      <c r="LDH599" s="584"/>
      <c r="LDI599" s="584"/>
      <c r="LDJ599" s="584"/>
      <c r="LDK599" s="584"/>
      <c r="LDL599" s="584"/>
      <c r="LDM599" s="584"/>
      <c r="LDN599" s="584"/>
      <c r="LDO599" s="584"/>
      <c r="LDP599" s="584"/>
      <c r="LDQ599" s="584"/>
      <c r="LDR599" s="584"/>
      <c r="LDS599" s="584"/>
      <c r="LDT599" s="584"/>
      <c r="LDU599" s="584"/>
      <c r="LDV599" s="584"/>
      <c r="LDW599" s="584"/>
      <c r="LDX599" s="584"/>
      <c r="LDY599" s="584"/>
      <c r="LDZ599" s="584"/>
      <c r="LEA599" s="584"/>
      <c r="LEB599" s="584"/>
      <c r="LEC599" s="584"/>
      <c r="LED599" s="584"/>
      <c r="LEE599" s="584"/>
      <c r="LEF599" s="584"/>
      <c r="LEG599" s="584"/>
      <c r="LEH599" s="584"/>
      <c r="LEI599" s="584"/>
      <c r="LEJ599" s="584"/>
      <c r="LEK599" s="584"/>
      <c r="LEL599" s="584"/>
      <c r="LEM599" s="584"/>
      <c r="LEN599" s="584"/>
      <c r="LEO599" s="584"/>
      <c r="LEP599" s="584"/>
      <c r="LEQ599" s="584"/>
      <c r="LER599" s="584"/>
      <c r="LES599" s="584"/>
      <c r="LET599" s="584"/>
      <c r="LEU599" s="584"/>
      <c r="LEV599" s="584"/>
      <c r="LEW599" s="584"/>
      <c r="LEX599" s="584"/>
      <c r="LEY599" s="584"/>
      <c r="LEZ599" s="584"/>
      <c r="LFA599" s="584"/>
      <c r="LFB599" s="584"/>
      <c r="LFC599" s="584"/>
      <c r="LFD599" s="584"/>
      <c r="LFE599" s="584"/>
      <c r="LFF599" s="584"/>
      <c r="LFG599" s="584"/>
      <c r="LFH599" s="584"/>
      <c r="LFI599" s="584"/>
      <c r="LFJ599" s="584"/>
      <c r="LFK599" s="584"/>
      <c r="LFL599" s="584"/>
      <c r="LFM599" s="584"/>
      <c r="LFN599" s="584"/>
      <c r="LFO599" s="584"/>
      <c r="LFP599" s="584"/>
      <c r="LFQ599" s="584"/>
      <c r="LFR599" s="584"/>
      <c r="LFS599" s="584"/>
      <c r="LFT599" s="584"/>
      <c r="LFU599" s="584"/>
      <c r="LFV599" s="584"/>
      <c r="LFW599" s="584"/>
      <c r="LFX599" s="584"/>
      <c r="LFY599" s="584"/>
      <c r="LFZ599" s="584"/>
      <c r="LGA599" s="584"/>
      <c r="LGB599" s="584"/>
      <c r="LGC599" s="584"/>
      <c r="LGD599" s="584"/>
      <c r="LGE599" s="584"/>
      <c r="LGF599" s="584"/>
      <c r="LGG599" s="584"/>
      <c r="LGH599" s="584"/>
      <c r="LGI599" s="584"/>
      <c r="LGJ599" s="584"/>
      <c r="LGK599" s="584"/>
      <c r="LGL599" s="584"/>
      <c r="LGM599" s="584"/>
      <c r="LGN599" s="584"/>
      <c r="LGO599" s="584"/>
      <c r="LGP599" s="584"/>
      <c r="LGQ599" s="584"/>
      <c r="LGR599" s="584"/>
      <c r="LGS599" s="584"/>
      <c r="LGT599" s="584"/>
      <c r="LGU599" s="584"/>
      <c r="LGV599" s="584"/>
      <c r="LGW599" s="584"/>
      <c r="LGX599" s="584"/>
      <c r="LGY599" s="584"/>
      <c r="LGZ599" s="584"/>
      <c r="LHA599" s="584"/>
      <c r="LHB599" s="584"/>
      <c r="LHC599" s="584"/>
      <c r="LHD599" s="584"/>
      <c r="LHE599" s="584"/>
      <c r="LHF599" s="584"/>
      <c r="LHG599" s="584"/>
      <c r="LHH599" s="584"/>
      <c r="LHI599" s="584"/>
      <c r="LHJ599" s="584"/>
      <c r="LHK599" s="584"/>
      <c r="LHL599" s="584"/>
      <c r="LHM599" s="584"/>
      <c r="LHN599" s="584"/>
      <c r="LHO599" s="584"/>
      <c r="LHP599" s="584"/>
      <c r="LHQ599" s="584"/>
      <c r="LHR599" s="584"/>
      <c r="LHS599" s="584"/>
      <c r="LHT599" s="584"/>
      <c r="LHU599" s="584"/>
      <c r="LHV599" s="584"/>
      <c r="LHW599" s="584"/>
      <c r="LHX599" s="584"/>
      <c r="LHY599" s="584"/>
      <c r="LHZ599" s="584"/>
      <c r="LIA599" s="584"/>
      <c r="LIB599" s="584"/>
      <c r="LIC599" s="584"/>
      <c r="LID599" s="584"/>
      <c r="LIE599" s="584"/>
      <c r="LIF599" s="584"/>
      <c r="LIG599" s="584"/>
      <c r="LIH599" s="584"/>
      <c r="LII599" s="584"/>
      <c r="LIJ599" s="584"/>
      <c r="LIK599" s="584"/>
      <c r="LIL599" s="584"/>
      <c r="LIM599" s="584"/>
      <c r="LIN599" s="584"/>
      <c r="LIO599" s="584"/>
      <c r="LIP599" s="584"/>
      <c r="LIQ599" s="584"/>
      <c r="LIR599" s="584"/>
      <c r="LIS599" s="584"/>
      <c r="LIT599" s="584"/>
      <c r="LIU599" s="584"/>
      <c r="LIV599" s="584"/>
      <c r="LIW599" s="584"/>
      <c r="LIX599" s="584"/>
      <c r="LIY599" s="584"/>
      <c r="LIZ599" s="584"/>
      <c r="LJA599" s="584"/>
      <c r="LJB599" s="584"/>
      <c r="LJC599" s="584"/>
      <c r="LJD599" s="584"/>
      <c r="LJE599" s="584"/>
      <c r="LJF599" s="584"/>
      <c r="LJG599" s="584"/>
      <c r="LJH599" s="584"/>
      <c r="LJI599" s="584"/>
      <c r="LJJ599" s="584"/>
      <c r="LJK599" s="584"/>
      <c r="LJL599" s="584"/>
      <c r="LJM599" s="584"/>
      <c r="LJN599" s="584"/>
      <c r="LJO599" s="584"/>
      <c r="LJP599" s="584"/>
      <c r="LJQ599" s="584"/>
      <c r="LJR599" s="584"/>
      <c r="LJS599" s="584"/>
      <c r="LJT599" s="584"/>
      <c r="LJU599" s="584"/>
      <c r="LJV599" s="584"/>
      <c r="LJW599" s="584"/>
      <c r="LJX599" s="584"/>
      <c r="LJY599" s="584"/>
      <c r="LJZ599" s="584"/>
      <c r="LKA599" s="584"/>
      <c r="LKB599" s="584"/>
      <c r="LKC599" s="584"/>
      <c r="LKD599" s="584"/>
      <c r="LKE599" s="584"/>
      <c r="LKF599" s="584"/>
      <c r="LKG599" s="584"/>
      <c r="LKH599" s="584"/>
      <c r="LKI599" s="584"/>
      <c r="LKJ599" s="584"/>
      <c r="LKK599" s="584"/>
      <c r="LKL599" s="584"/>
      <c r="LKM599" s="584"/>
      <c r="LKN599" s="584"/>
      <c r="LKO599" s="584"/>
      <c r="LKP599" s="584"/>
      <c r="LKQ599" s="584"/>
      <c r="LKR599" s="584"/>
      <c r="LKS599" s="584"/>
      <c r="LKT599" s="584"/>
      <c r="LKU599" s="584"/>
      <c r="LKV599" s="584"/>
      <c r="LKW599" s="584"/>
      <c r="LKX599" s="584"/>
      <c r="LKY599" s="584"/>
      <c r="LKZ599" s="584"/>
      <c r="LLA599" s="584"/>
      <c r="LLB599" s="584"/>
      <c r="LLC599" s="584"/>
      <c r="LLD599" s="584"/>
      <c r="LLE599" s="584"/>
      <c r="LLF599" s="584"/>
      <c r="LLG599" s="584"/>
      <c r="LLH599" s="584"/>
      <c r="LLI599" s="584"/>
      <c r="LLJ599" s="584"/>
      <c r="LLK599" s="584"/>
      <c r="LLL599" s="584"/>
      <c r="LLM599" s="584"/>
      <c r="LLN599" s="584"/>
      <c r="LLO599" s="584"/>
      <c r="LLP599" s="584"/>
      <c r="LLQ599" s="584"/>
      <c r="LLR599" s="584"/>
      <c r="LLS599" s="584"/>
      <c r="LLT599" s="584"/>
      <c r="LLU599" s="584"/>
      <c r="LLV599" s="584"/>
      <c r="LLW599" s="584"/>
      <c r="LLX599" s="584"/>
      <c r="LLY599" s="584"/>
      <c r="LLZ599" s="584"/>
      <c r="LMA599" s="584"/>
      <c r="LMB599" s="584"/>
      <c r="LMC599" s="584"/>
      <c r="LMD599" s="584"/>
      <c r="LME599" s="584"/>
      <c r="LMF599" s="584"/>
      <c r="LMG599" s="584"/>
      <c r="LMH599" s="584"/>
      <c r="LMI599" s="584"/>
      <c r="LMJ599" s="584"/>
      <c r="LMK599" s="584"/>
      <c r="LML599" s="584"/>
      <c r="LMM599" s="584"/>
      <c r="LMN599" s="584"/>
      <c r="LMO599" s="584"/>
      <c r="LMP599" s="584"/>
      <c r="LMQ599" s="584"/>
      <c r="LMR599" s="584"/>
      <c r="LMS599" s="584"/>
      <c r="LMT599" s="584"/>
      <c r="LMU599" s="584"/>
      <c r="LMV599" s="584"/>
      <c r="LMW599" s="584"/>
      <c r="LMX599" s="584"/>
      <c r="LMY599" s="584"/>
      <c r="LMZ599" s="584"/>
      <c r="LNA599" s="584"/>
      <c r="LNB599" s="584"/>
      <c r="LNC599" s="584"/>
      <c r="LND599" s="584"/>
      <c r="LNE599" s="584"/>
      <c r="LNF599" s="584"/>
      <c r="LNG599" s="584"/>
      <c r="LNH599" s="584"/>
      <c r="LNI599" s="584"/>
      <c r="LNJ599" s="584"/>
      <c r="LNK599" s="584"/>
      <c r="LNL599" s="584"/>
      <c r="LNM599" s="584"/>
      <c r="LNN599" s="584"/>
      <c r="LNO599" s="584"/>
      <c r="LNP599" s="584"/>
      <c r="LNQ599" s="584"/>
      <c r="LNR599" s="584"/>
      <c r="LNS599" s="584"/>
      <c r="LNT599" s="584"/>
      <c r="LNU599" s="584"/>
      <c r="LNV599" s="584"/>
      <c r="LNW599" s="584"/>
      <c r="LNX599" s="584"/>
      <c r="LNY599" s="584"/>
      <c r="LNZ599" s="584"/>
      <c r="LOA599" s="584"/>
      <c r="LOB599" s="584"/>
      <c r="LOC599" s="584"/>
      <c r="LOD599" s="584"/>
      <c r="LOE599" s="584"/>
      <c r="LOF599" s="584"/>
      <c r="LOG599" s="584"/>
      <c r="LOH599" s="584"/>
      <c r="LOI599" s="584"/>
      <c r="LOJ599" s="584"/>
      <c r="LOK599" s="584"/>
      <c r="LOL599" s="584"/>
      <c r="LOM599" s="584"/>
      <c r="LON599" s="584"/>
      <c r="LOO599" s="584"/>
      <c r="LOP599" s="584"/>
      <c r="LOQ599" s="584"/>
      <c r="LOR599" s="584"/>
      <c r="LOS599" s="584"/>
      <c r="LOT599" s="584"/>
      <c r="LOU599" s="584"/>
      <c r="LOV599" s="584"/>
      <c r="LOW599" s="584"/>
      <c r="LOX599" s="584"/>
      <c r="LOY599" s="584"/>
      <c r="LOZ599" s="584"/>
      <c r="LPA599" s="584"/>
      <c r="LPB599" s="584"/>
      <c r="LPC599" s="584"/>
      <c r="LPD599" s="584"/>
      <c r="LPE599" s="584"/>
      <c r="LPF599" s="584"/>
      <c r="LPG599" s="584"/>
      <c r="LPH599" s="584"/>
      <c r="LPI599" s="584"/>
      <c r="LPJ599" s="584"/>
      <c r="LPK599" s="584"/>
      <c r="LPL599" s="584"/>
      <c r="LPM599" s="584"/>
      <c r="LPN599" s="584"/>
      <c r="LPO599" s="584"/>
      <c r="LPP599" s="584"/>
      <c r="LPQ599" s="584"/>
      <c r="LPR599" s="584"/>
      <c r="LPS599" s="584"/>
      <c r="LPT599" s="584"/>
      <c r="LPU599" s="584"/>
      <c r="LPV599" s="584"/>
      <c r="LPW599" s="584"/>
      <c r="LPX599" s="584"/>
      <c r="LPY599" s="584"/>
      <c r="LPZ599" s="584"/>
      <c r="LQA599" s="584"/>
      <c r="LQB599" s="584"/>
      <c r="LQC599" s="584"/>
      <c r="LQD599" s="584"/>
      <c r="LQE599" s="584"/>
      <c r="LQF599" s="584"/>
      <c r="LQG599" s="584"/>
      <c r="LQH599" s="584"/>
      <c r="LQI599" s="584"/>
      <c r="LQJ599" s="584"/>
      <c r="LQK599" s="584"/>
      <c r="LQL599" s="584"/>
      <c r="LQM599" s="584"/>
      <c r="LQN599" s="584"/>
      <c r="LQO599" s="584"/>
      <c r="LQP599" s="584"/>
      <c r="LQQ599" s="584"/>
      <c r="LQR599" s="584"/>
      <c r="LQS599" s="584"/>
      <c r="LQT599" s="584"/>
      <c r="LQU599" s="584"/>
      <c r="LQV599" s="584"/>
      <c r="LQW599" s="584"/>
      <c r="LQX599" s="584"/>
      <c r="LQY599" s="584"/>
      <c r="LQZ599" s="584"/>
      <c r="LRA599" s="584"/>
      <c r="LRB599" s="584"/>
      <c r="LRC599" s="584"/>
      <c r="LRD599" s="584"/>
      <c r="LRE599" s="584"/>
      <c r="LRF599" s="584"/>
      <c r="LRG599" s="584"/>
      <c r="LRH599" s="584"/>
      <c r="LRI599" s="584"/>
      <c r="LRJ599" s="584"/>
      <c r="LRK599" s="584"/>
      <c r="LRL599" s="584"/>
      <c r="LRM599" s="584"/>
      <c r="LRN599" s="584"/>
      <c r="LRO599" s="584"/>
      <c r="LRP599" s="584"/>
      <c r="LRQ599" s="584"/>
      <c r="LRR599" s="584"/>
      <c r="LRS599" s="584"/>
      <c r="LRT599" s="584"/>
      <c r="LRU599" s="584"/>
      <c r="LRV599" s="584"/>
      <c r="LRW599" s="584"/>
      <c r="LRX599" s="584"/>
      <c r="LRY599" s="584"/>
      <c r="LRZ599" s="584"/>
      <c r="LSA599" s="584"/>
      <c r="LSB599" s="584"/>
      <c r="LSC599" s="584"/>
      <c r="LSD599" s="584"/>
      <c r="LSE599" s="584"/>
      <c r="LSF599" s="584"/>
      <c r="LSG599" s="584"/>
      <c r="LSH599" s="584"/>
      <c r="LSI599" s="584"/>
      <c r="LSJ599" s="584"/>
      <c r="LSK599" s="584"/>
      <c r="LSL599" s="584"/>
      <c r="LSM599" s="584"/>
      <c r="LSN599" s="584"/>
      <c r="LSO599" s="584"/>
      <c r="LSP599" s="584"/>
      <c r="LSQ599" s="584"/>
      <c r="LSR599" s="584"/>
      <c r="LSS599" s="584"/>
      <c r="LST599" s="584"/>
      <c r="LSU599" s="584"/>
      <c r="LSV599" s="584"/>
      <c r="LSW599" s="584"/>
      <c r="LSX599" s="584"/>
      <c r="LSY599" s="584"/>
      <c r="LSZ599" s="584"/>
      <c r="LTA599" s="584"/>
      <c r="LTB599" s="584"/>
      <c r="LTC599" s="584"/>
      <c r="LTD599" s="584"/>
      <c r="LTE599" s="584"/>
      <c r="LTF599" s="584"/>
      <c r="LTG599" s="584"/>
      <c r="LTH599" s="584"/>
      <c r="LTI599" s="584"/>
      <c r="LTJ599" s="584"/>
      <c r="LTK599" s="584"/>
      <c r="LTL599" s="584"/>
      <c r="LTM599" s="584"/>
      <c r="LTN599" s="584"/>
      <c r="LTO599" s="584"/>
      <c r="LTP599" s="584"/>
      <c r="LTQ599" s="584"/>
      <c r="LTR599" s="584"/>
      <c r="LTS599" s="584"/>
      <c r="LTT599" s="584"/>
      <c r="LTU599" s="584"/>
      <c r="LTV599" s="584"/>
      <c r="LTW599" s="584"/>
      <c r="LTX599" s="584"/>
      <c r="LTY599" s="584"/>
      <c r="LTZ599" s="584"/>
      <c r="LUA599" s="584"/>
      <c r="LUB599" s="584"/>
      <c r="LUC599" s="584"/>
      <c r="LUD599" s="584"/>
      <c r="LUE599" s="584"/>
      <c r="LUF599" s="584"/>
      <c r="LUG599" s="584"/>
      <c r="LUH599" s="584"/>
      <c r="LUI599" s="584"/>
      <c r="LUJ599" s="584"/>
      <c r="LUK599" s="584"/>
      <c r="LUL599" s="584"/>
      <c r="LUM599" s="584"/>
      <c r="LUN599" s="584"/>
      <c r="LUO599" s="584"/>
      <c r="LUP599" s="584"/>
      <c r="LUQ599" s="584"/>
      <c r="LUR599" s="584"/>
      <c r="LUS599" s="584"/>
      <c r="LUT599" s="584"/>
      <c r="LUU599" s="584"/>
      <c r="LUV599" s="584"/>
      <c r="LUW599" s="584"/>
      <c r="LUX599" s="584"/>
      <c r="LUY599" s="584"/>
      <c r="LUZ599" s="584"/>
      <c r="LVA599" s="584"/>
      <c r="LVB599" s="584"/>
      <c r="LVC599" s="584"/>
      <c r="LVD599" s="584"/>
      <c r="LVE599" s="584"/>
      <c r="LVF599" s="584"/>
      <c r="LVG599" s="584"/>
      <c r="LVH599" s="584"/>
      <c r="LVI599" s="584"/>
      <c r="LVJ599" s="584"/>
      <c r="LVK599" s="584"/>
      <c r="LVL599" s="584"/>
      <c r="LVM599" s="584"/>
      <c r="LVN599" s="584"/>
      <c r="LVO599" s="584"/>
      <c r="LVP599" s="584"/>
      <c r="LVQ599" s="584"/>
      <c r="LVR599" s="584"/>
      <c r="LVS599" s="584"/>
      <c r="LVT599" s="584"/>
      <c r="LVU599" s="584"/>
      <c r="LVV599" s="584"/>
      <c r="LVW599" s="584"/>
      <c r="LVX599" s="584"/>
      <c r="LVY599" s="584"/>
      <c r="LVZ599" s="584"/>
      <c r="LWA599" s="584"/>
      <c r="LWB599" s="584"/>
      <c r="LWC599" s="584"/>
      <c r="LWD599" s="584"/>
      <c r="LWE599" s="584"/>
      <c r="LWF599" s="584"/>
      <c r="LWG599" s="584"/>
      <c r="LWH599" s="584"/>
      <c r="LWI599" s="584"/>
      <c r="LWJ599" s="584"/>
      <c r="LWK599" s="584"/>
      <c r="LWL599" s="584"/>
      <c r="LWM599" s="584"/>
      <c r="LWN599" s="584"/>
      <c r="LWO599" s="584"/>
      <c r="LWP599" s="584"/>
      <c r="LWQ599" s="584"/>
      <c r="LWR599" s="584"/>
      <c r="LWS599" s="584"/>
      <c r="LWT599" s="584"/>
      <c r="LWU599" s="584"/>
      <c r="LWV599" s="584"/>
      <c r="LWW599" s="584"/>
      <c r="LWX599" s="584"/>
      <c r="LWY599" s="584"/>
      <c r="LWZ599" s="584"/>
      <c r="LXA599" s="584"/>
      <c r="LXB599" s="584"/>
      <c r="LXC599" s="584"/>
      <c r="LXD599" s="584"/>
      <c r="LXE599" s="584"/>
      <c r="LXF599" s="584"/>
      <c r="LXG599" s="584"/>
      <c r="LXH599" s="584"/>
      <c r="LXI599" s="584"/>
      <c r="LXJ599" s="584"/>
      <c r="LXK599" s="584"/>
      <c r="LXL599" s="584"/>
      <c r="LXM599" s="584"/>
      <c r="LXN599" s="584"/>
      <c r="LXO599" s="584"/>
      <c r="LXP599" s="584"/>
      <c r="LXQ599" s="584"/>
      <c r="LXR599" s="584"/>
      <c r="LXS599" s="584"/>
      <c r="LXT599" s="584"/>
      <c r="LXU599" s="584"/>
      <c r="LXV599" s="584"/>
      <c r="LXW599" s="584"/>
      <c r="LXX599" s="584"/>
      <c r="LXY599" s="584"/>
      <c r="LXZ599" s="584"/>
      <c r="LYA599" s="584"/>
      <c r="LYB599" s="584"/>
      <c r="LYC599" s="584"/>
      <c r="LYD599" s="584"/>
      <c r="LYE599" s="584"/>
      <c r="LYF599" s="584"/>
      <c r="LYG599" s="584"/>
      <c r="LYH599" s="584"/>
      <c r="LYI599" s="584"/>
      <c r="LYJ599" s="584"/>
      <c r="LYK599" s="584"/>
      <c r="LYL599" s="584"/>
      <c r="LYM599" s="584"/>
      <c r="LYN599" s="584"/>
      <c r="LYO599" s="584"/>
      <c r="LYP599" s="584"/>
      <c r="LYQ599" s="584"/>
      <c r="LYR599" s="584"/>
      <c r="LYS599" s="584"/>
      <c r="LYT599" s="584"/>
      <c r="LYU599" s="584"/>
      <c r="LYV599" s="584"/>
      <c r="LYW599" s="584"/>
      <c r="LYX599" s="584"/>
      <c r="LYY599" s="584"/>
      <c r="LYZ599" s="584"/>
      <c r="LZA599" s="584"/>
      <c r="LZB599" s="584"/>
      <c r="LZC599" s="584"/>
      <c r="LZD599" s="584"/>
      <c r="LZE599" s="584"/>
      <c r="LZF599" s="584"/>
      <c r="LZG599" s="584"/>
      <c r="LZH599" s="584"/>
      <c r="LZI599" s="584"/>
      <c r="LZJ599" s="584"/>
      <c r="LZK599" s="584"/>
      <c r="LZL599" s="584"/>
      <c r="LZM599" s="584"/>
      <c r="LZN599" s="584"/>
      <c r="LZO599" s="584"/>
      <c r="LZP599" s="584"/>
      <c r="LZQ599" s="584"/>
      <c r="LZR599" s="584"/>
      <c r="LZS599" s="584"/>
      <c r="LZT599" s="584"/>
      <c r="LZU599" s="584"/>
      <c r="LZV599" s="584"/>
      <c r="LZW599" s="584"/>
      <c r="LZX599" s="584"/>
      <c r="LZY599" s="584"/>
      <c r="LZZ599" s="584"/>
      <c r="MAA599" s="584"/>
      <c r="MAB599" s="584"/>
      <c r="MAC599" s="584"/>
      <c r="MAD599" s="584"/>
      <c r="MAE599" s="584"/>
      <c r="MAF599" s="584"/>
      <c r="MAG599" s="584"/>
      <c r="MAH599" s="584"/>
      <c r="MAI599" s="584"/>
      <c r="MAJ599" s="584"/>
      <c r="MAK599" s="584"/>
      <c r="MAL599" s="584"/>
      <c r="MAM599" s="584"/>
      <c r="MAN599" s="584"/>
      <c r="MAO599" s="584"/>
      <c r="MAP599" s="584"/>
      <c r="MAQ599" s="584"/>
      <c r="MAR599" s="584"/>
      <c r="MAS599" s="584"/>
      <c r="MAT599" s="584"/>
      <c r="MAU599" s="584"/>
      <c r="MAV599" s="584"/>
      <c r="MAW599" s="584"/>
      <c r="MAX599" s="584"/>
      <c r="MAY599" s="584"/>
      <c r="MAZ599" s="584"/>
      <c r="MBA599" s="584"/>
      <c r="MBB599" s="584"/>
      <c r="MBC599" s="584"/>
      <c r="MBD599" s="584"/>
      <c r="MBE599" s="584"/>
      <c r="MBF599" s="584"/>
      <c r="MBG599" s="584"/>
      <c r="MBH599" s="584"/>
      <c r="MBI599" s="584"/>
      <c r="MBJ599" s="584"/>
      <c r="MBK599" s="584"/>
      <c r="MBL599" s="584"/>
      <c r="MBM599" s="584"/>
      <c r="MBN599" s="584"/>
      <c r="MBO599" s="584"/>
      <c r="MBP599" s="584"/>
      <c r="MBQ599" s="584"/>
      <c r="MBR599" s="584"/>
      <c r="MBS599" s="584"/>
      <c r="MBT599" s="584"/>
      <c r="MBU599" s="584"/>
      <c r="MBV599" s="584"/>
      <c r="MBW599" s="584"/>
      <c r="MBX599" s="584"/>
      <c r="MBY599" s="584"/>
      <c r="MBZ599" s="584"/>
      <c r="MCA599" s="584"/>
      <c r="MCB599" s="584"/>
      <c r="MCC599" s="584"/>
      <c r="MCD599" s="584"/>
      <c r="MCE599" s="584"/>
      <c r="MCF599" s="584"/>
      <c r="MCG599" s="584"/>
      <c r="MCH599" s="584"/>
      <c r="MCI599" s="584"/>
      <c r="MCJ599" s="584"/>
      <c r="MCK599" s="584"/>
      <c r="MCL599" s="584"/>
      <c r="MCM599" s="584"/>
      <c r="MCN599" s="584"/>
      <c r="MCO599" s="584"/>
      <c r="MCP599" s="584"/>
      <c r="MCQ599" s="584"/>
      <c r="MCR599" s="584"/>
      <c r="MCS599" s="584"/>
      <c r="MCT599" s="584"/>
      <c r="MCU599" s="584"/>
      <c r="MCV599" s="584"/>
      <c r="MCW599" s="584"/>
      <c r="MCX599" s="584"/>
      <c r="MCY599" s="584"/>
      <c r="MCZ599" s="584"/>
      <c r="MDA599" s="584"/>
      <c r="MDB599" s="584"/>
      <c r="MDC599" s="584"/>
      <c r="MDD599" s="584"/>
      <c r="MDE599" s="584"/>
      <c r="MDF599" s="584"/>
      <c r="MDG599" s="584"/>
      <c r="MDH599" s="584"/>
      <c r="MDI599" s="584"/>
      <c r="MDJ599" s="584"/>
      <c r="MDK599" s="584"/>
      <c r="MDL599" s="584"/>
      <c r="MDM599" s="584"/>
      <c r="MDN599" s="584"/>
      <c r="MDO599" s="584"/>
      <c r="MDP599" s="584"/>
      <c r="MDQ599" s="584"/>
      <c r="MDR599" s="584"/>
      <c r="MDS599" s="584"/>
      <c r="MDT599" s="584"/>
      <c r="MDU599" s="584"/>
      <c r="MDV599" s="584"/>
      <c r="MDW599" s="584"/>
      <c r="MDX599" s="584"/>
      <c r="MDY599" s="584"/>
      <c r="MDZ599" s="584"/>
      <c r="MEA599" s="584"/>
      <c r="MEB599" s="584"/>
      <c r="MEC599" s="584"/>
      <c r="MED599" s="584"/>
      <c r="MEE599" s="584"/>
      <c r="MEF599" s="584"/>
      <c r="MEG599" s="584"/>
      <c r="MEH599" s="584"/>
      <c r="MEI599" s="584"/>
      <c r="MEJ599" s="584"/>
      <c r="MEK599" s="584"/>
      <c r="MEL599" s="584"/>
      <c r="MEM599" s="584"/>
      <c r="MEN599" s="584"/>
      <c r="MEO599" s="584"/>
      <c r="MEP599" s="584"/>
      <c r="MEQ599" s="584"/>
      <c r="MER599" s="584"/>
      <c r="MES599" s="584"/>
      <c r="MET599" s="584"/>
      <c r="MEU599" s="584"/>
      <c r="MEV599" s="584"/>
      <c r="MEW599" s="584"/>
      <c r="MEX599" s="584"/>
      <c r="MEY599" s="584"/>
      <c r="MEZ599" s="584"/>
      <c r="MFA599" s="584"/>
      <c r="MFB599" s="584"/>
      <c r="MFC599" s="584"/>
      <c r="MFD599" s="584"/>
      <c r="MFE599" s="584"/>
      <c r="MFF599" s="584"/>
      <c r="MFG599" s="584"/>
      <c r="MFH599" s="584"/>
      <c r="MFI599" s="584"/>
      <c r="MFJ599" s="584"/>
      <c r="MFK599" s="584"/>
      <c r="MFL599" s="584"/>
      <c r="MFM599" s="584"/>
      <c r="MFN599" s="584"/>
      <c r="MFO599" s="584"/>
      <c r="MFP599" s="584"/>
      <c r="MFQ599" s="584"/>
      <c r="MFR599" s="584"/>
      <c r="MFS599" s="584"/>
      <c r="MFT599" s="584"/>
      <c r="MFU599" s="584"/>
      <c r="MFV599" s="584"/>
      <c r="MFW599" s="584"/>
      <c r="MFX599" s="584"/>
      <c r="MFY599" s="584"/>
      <c r="MFZ599" s="584"/>
      <c r="MGA599" s="584"/>
      <c r="MGB599" s="584"/>
      <c r="MGC599" s="584"/>
      <c r="MGD599" s="584"/>
      <c r="MGE599" s="584"/>
      <c r="MGF599" s="584"/>
      <c r="MGG599" s="584"/>
      <c r="MGH599" s="584"/>
      <c r="MGI599" s="584"/>
      <c r="MGJ599" s="584"/>
      <c r="MGK599" s="584"/>
      <c r="MGL599" s="584"/>
      <c r="MGM599" s="584"/>
      <c r="MGN599" s="584"/>
      <c r="MGO599" s="584"/>
      <c r="MGP599" s="584"/>
      <c r="MGQ599" s="584"/>
      <c r="MGR599" s="584"/>
      <c r="MGS599" s="584"/>
      <c r="MGT599" s="584"/>
      <c r="MGU599" s="584"/>
      <c r="MGV599" s="584"/>
      <c r="MGW599" s="584"/>
      <c r="MGX599" s="584"/>
      <c r="MGY599" s="584"/>
      <c r="MGZ599" s="584"/>
      <c r="MHA599" s="584"/>
      <c r="MHB599" s="584"/>
      <c r="MHC599" s="584"/>
      <c r="MHD599" s="584"/>
      <c r="MHE599" s="584"/>
      <c r="MHF599" s="584"/>
      <c r="MHG599" s="584"/>
      <c r="MHH599" s="584"/>
      <c r="MHI599" s="584"/>
      <c r="MHJ599" s="584"/>
      <c r="MHK599" s="584"/>
      <c r="MHL599" s="584"/>
      <c r="MHM599" s="584"/>
      <c r="MHN599" s="584"/>
      <c r="MHO599" s="584"/>
      <c r="MHP599" s="584"/>
      <c r="MHQ599" s="584"/>
      <c r="MHR599" s="584"/>
      <c r="MHS599" s="584"/>
      <c r="MHT599" s="584"/>
      <c r="MHU599" s="584"/>
      <c r="MHV599" s="584"/>
      <c r="MHW599" s="584"/>
      <c r="MHX599" s="584"/>
      <c r="MHY599" s="584"/>
      <c r="MHZ599" s="584"/>
      <c r="MIA599" s="584"/>
      <c r="MIB599" s="584"/>
      <c r="MIC599" s="584"/>
      <c r="MID599" s="584"/>
      <c r="MIE599" s="584"/>
      <c r="MIF599" s="584"/>
      <c r="MIG599" s="584"/>
      <c r="MIH599" s="584"/>
      <c r="MII599" s="584"/>
      <c r="MIJ599" s="584"/>
      <c r="MIK599" s="584"/>
      <c r="MIL599" s="584"/>
      <c r="MIM599" s="584"/>
      <c r="MIN599" s="584"/>
      <c r="MIO599" s="584"/>
      <c r="MIP599" s="584"/>
      <c r="MIQ599" s="584"/>
      <c r="MIR599" s="584"/>
      <c r="MIS599" s="584"/>
      <c r="MIT599" s="584"/>
      <c r="MIU599" s="584"/>
      <c r="MIV599" s="584"/>
      <c r="MIW599" s="584"/>
      <c r="MIX599" s="584"/>
      <c r="MIY599" s="584"/>
      <c r="MIZ599" s="584"/>
      <c r="MJA599" s="584"/>
      <c r="MJB599" s="584"/>
      <c r="MJC599" s="584"/>
      <c r="MJD599" s="584"/>
      <c r="MJE599" s="584"/>
      <c r="MJF599" s="584"/>
      <c r="MJG599" s="584"/>
      <c r="MJH599" s="584"/>
      <c r="MJI599" s="584"/>
      <c r="MJJ599" s="584"/>
      <c r="MJK599" s="584"/>
      <c r="MJL599" s="584"/>
      <c r="MJM599" s="584"/>
      <c r="MJN599" s="584"/>
      <c r="MJO599" s="584"/>
      <c r="MJP599" s="584"/>
      <c r="MJQ599" s="584"/>
      <c r="MJR599" s="584"/>
      <c r="MJS599" s="584"/>
      <c r="MJT599" s="584"/>
      <c r="MJU599" s="584"/>
      <c r="MJV599" s="584"/>
      <c r="MJW599" s="584"/>
      <c r="MJX599" s="584"/>
      <c r="MJY599" s="584"/>
      <c r="MJZ599" s="584"/>
      <c r="MKA599" s="584"/>
      <c r="MKB599" s="584"/>
      <c r="MKC599" s="584"/>
      <c r="MKD599" s="584"/>
      <c r="MKE599" s="584"/>
      <c r="MKF599" s="584"/>
      <c r="MKG599" s="584"/>
      <c r="MKH599" s="584"/>
      <c r="MKI599" s="584"/>
      <c r="MKJ599" s="584"/>
      <c r="MKK599" s="584"/>
      <c r="MKL599" s="584"/>
      <c r="MKM599" s="584"/>
      <c r="MKN599" s="584"/>
      <c r="MKO599" s="584"/>
      <c r="MKP599" s="584"/>
      <c r="MKQ599" s="584"/>
      <c r="MKR599" s="584"/>
      <c r="MKS599" s="584"/>
      <c r="MKT599" s="584"/>
      <c r="MKU599" s="584"/>
      <c r="MKV599" s="584"/>
      <c r="MKW599" s="584"/>
      <c r="MKX599" s="584"/>
      <c r="MKY599" s="584"/>
      <c r="MKZ599" s="584"/>
      <c r="MLA599" s="584"/>
      <c r="MLB599" s="584"/>
      <c r="MLC599" s="584"/>
      <c r="MLD599" s="584"/>
      <c r="MLE599" s="584"/>
      <c r="MLF599" s="584"/>
      <c r="MLG599" s="584"/>
      <c r="MLH599" s="584"/>
      <c r="MLI599" s="584"/>
      <c r="MLJ599" s="584"/>
      <c r="MLK599" s="584"/>
      <c r="MLL599" s="584"/>
      <c r="MLM599" s="584"/>
      <c r="MLN599" s="584"/>
      <c r="MLO599" s="584"/>
      <c r="MLP599" s="584"/>
      <c r="MLQ599" s="584"/>
      <c r="MLR599" s="584"/>
      <c r="MLS599" s="584"/>
      <c r="MLT599" s="584"/>
      <c r="MLU599" s="584"/>
      <c r="MLV599" s="584"/>
      <c r="MLW599" s="584"/>
      <c r="MLX599" s="584"/>
      <c r="MLY599" s="584"/>
      <c r="MLZ599" s="584"/>
      <c r="MMA599" s="584"/>
      <c r="MMB599" s="584"/>
      <c r="MMC599" s="584"/>
      <c r="MMD599" s="584"/>
      <c r="MME599" s="584"/>
      <c r="MMF599" s="584"/>
      <c r="MMG599" s="584"/>
      <c r="MMH599" s="584"/>
      <c r="MMI599" s="584"/>
      <c r="MMJ599" s="584"/>
      <c r="MMK599" s="584"/>
      <c r="MML599" s="584"/>
      <c r="MMM599" s="584"/>
      <c r="MMN599" s="584"/>
      <c r="MMO599" s="584"/>
      <c r="MMP599" s="584"/>
      <c r="MMQ599" s="584"/>
      <c r="MMR599" s="584"/>
      <c r="MMS599" s="584"/>
      <c r="MMT599" s="584"/>
      <c r="MMU599" s="584"/>
      <c r="MMV599" s="584"/>
      <c r="MMW599" s="584"/>
      <c r="MMX599" s="584"/>
      <c r="MMY599" s="584"/>
      <c r="MMZ599" s="584"/>
      <c r="MNA599" s="584"/>
      <c r="MNB599" s="584"/>
      <c r="MNC599" s="584"/>
      <c r="MND599" s="584"/>
      <c r="MNE599" s="584"/>
      <c r="MNF599" s="584"/>
      <c r="MNG599" s="584"/>
      <c r="MNH599" s="584"/>
      <c r="MNI599" s="584"/>
      <c r="MNJ599" s="584"/>
      <c r="MNK599" s="584"/>
      <c r="MNL599" s="584"/>
      <c r="MNM599" s="584"/>
      <c r="MNN599" s="584"/>
      <c r="MNO599" s="584"/>
      <c r="MNP599" s="584"/>
      <c r="MNQ599" s="584"/>
      <c r="MNR599" s="584"/>
      <c r="MNS599" s="584"/>
      <c r="MNT599" s="584"/>
      <c r="MNU599" s="584"/>
      <c r="MNV599" s="584"/>
      <c r="MNW599" s="584"/>
      <c r="MNX599" s="584"/>
      <c r="MNY599" s="584"/>
      <c r="MNZ599" s="584"/>
      <c r="MOA599" s="584"/>
      <c r="MOB599" s="584"/>
      <c r="MOC599" s="584"/>
      <c r="MOD599" s="584"/>
      <c r="MOE599" s="584"/>
      <c r="MOF599" s="584"/>
      <c r="MOG599" s="584"/>
      <c r="MOH599" s="584"/>
      <c r="MOI599" s="584"/>
      <c r="MOJ599" s="584"/>
      <c r="MOK599" s="584"/>
      <c r="MOL599" s="584"/>
      <c r="MOM599" s="584"/>
      <c r="MON599" s="584"/>
      <c r="MOO599" s="584"/>
      <c r="MOP599" s="584"/>
      <c r="MOQ599" s="584"/>
      <c r="MOR599" s="584"/>
      <c r="MOS599" s="584"/>
      <c r="MOT599" s="584"/>
      <c r="MOU599" s="584"/>
      <c r="MOV599" s="584"/>
      <c r="MOW599" s="584"/>
      <c r="MOX599" s="584"/>
      <c r="MOY599" s="584"/>
      <c r="MOZ599" s="584"/>
      <c r="MPA599" s="584"/>
      <c r="MPB599" s="584"/>
      <c r="MPC599" s="584"/>
      <c r="MPD599" s="584"/>
      <c r="MPE599" s="584"/>
      <c r="MPF599" s="584"/>
      <c r="MPG599" s="584"/>
      <c r="MPH599" s="584"/>
      <c r="MPI599" s="584"/>
      <c r="MPJ599" s="584"/>
      <c r="MPK599" s="584"/>
      <c r="MPL599" s="584"/>
      <c r="MPM599" s="584"/>
      <c r="MPN599" s="584"/>
      <c r="MPO599" s="584"/>
      <c r="MPP599" s="584"/>
      <c r="MPQ599" s="584"/>
      <c r="MPR599" s="584"/>
      <c r="MPS599" s="584"/>
      <c r="MPT599" s="584"/>
      <c r="MPU599" s="584"/>
      <c r="MPV599" s="584"/>
      <c r="MPW599" s="584"/>
      <c r="MPX599" s="584"/>
      <c r="MPY599" s="584"/>
      <c r="MPZ599" s="584"/>
      <c r="MQA599" s="584"/>
      <c r="MQB599" s="584"/>
      <c r="MQC599" s="584"/>
      <c r="MQD599" s="584"/>
      <c r="MQE599" s="584"/>
      <c r="MQF599" s="584"/>
      <c r="MQG599" s="584"/>
      <c r="MQH599" s="584"/>
      <c r="MQI599" s="584"/>
      <c r="MQJ599" s="584"/>
      <c r="MQK599" s="584"/>
      <c r="MQL599" s="584"/>
      <c r="MQM599" s="584"/>
      <c r="MQN599" s="584"/>
      <c r="MQO599" s="584"/>
      <c r="MQP599" s="584"/>
      <c r="MQQ599" s="584"/>
      <c r="MQR599" s="584"/>
      <c r="MQS599" s="584"/>
      <c r="MQT599" s="584"/>
      <c r="MQU599" s="584"/>
      <c r="MQV599" s="584"/>
      <c r="MQW599" s="584"/>
      <c r="MQX599" s="584"/>
      <c r="MQY599" s="584"/>
      <c r="MQZ599" s="584"/>
      <c r="MRA599" s="584"/>
      <c r="MRB599" s="584"/>
      <c r="MRC599" s="584"/>
      <c r="MRD599" s="584"/>
      <c r="MRE599" s="584"/>
      <c r="MRF599" s="584"/>
      <c r="MRG599" s="584"/>
      <c r="MRH599" s="584"/>
      <c r="MRI599" s="584"/>
      <c r="MRJ599" s="584"/>
      <c r="MRK599" s="584"/>
      <c r="MRL599" s="584"/>
      <c r="MRM599" s="584"/>
      <c r="MRN599" s="584"/>
      <c r="MRO599" s="584"/>
      <c r="MRP599" s="584"/>
      <c r="MRQ599" s="584"/>
      <c r="MRR599" s="584"/>
      <c r="MRS599" s="584"/>
      <c r="MRT599" s="584"/>
      <c r="MRU599" s="584"/>
      <c r="MRV599" s="584"/>
      <c r="MRW599" s="584"/>
      <c r="MRX599" s="584"/>
      <c r="MRY599" s="584"/>
      <c r="MRZ599" s="584"/>
      <c r="MSA599" s="584"/>
      <c r="MSB599" s="584"/>
      <c r="MSC599" s="584"/>
      <c r="MSD599" s="584"/>
      <c r="MSE599" s="584"/>
      <c r="MSF599" s="584"/>
      <c r="MSG599" s="584"/>
      <c r="MSH599" s="584"/>
      <c r="MSI599" s="584"/>
      <c r="MSJ599" s="584"/>
      <c r="MSK599" s="584"/>
      <c r="MSL599" s="584"/>
      <c r="MSM599" s="584"/>
      <c r="MSN599" s="584"/>
      <c r="MSO599" s="584"/>
      <c r="MSP599" s="584"/>
      <c r="MSQ599" s="584"/>
      <c r="MSR599" s="584"/>
      <c r="MSS599" s="584"/>
      <c r="MST599" s="584"/>
      <c r="MSU599" s="584"/>
      <c r="MSV599" s="584"/>
      <c r="MSW599" s="584"/>
      <c r="MSX599" s="584"/>
      <c r="MSY599" s="584"/>
      <c r="MSZ599" s="584"/>
      <c r="MTA599" s="584"/>
      <c r="MTB599" s="584"/>
      <c r="MTC599" s="584"/>
      <c r="MTD599" s="584"/>
      <c r="MTE599" s="584"/>
      <c r="MTF599" s="584"/>
      <c r="MTG599" s="584"/>
      <c r="MTH599" s="584"/>
      <c r="MTI599" s="584"/>
      <c r="MTJ599" s="584"/>
      <c r="MTK599" s="584"/>
      <c r="MTL599" s="584"/>
      <c r="MTM599" s="584"/>
      <c r="MTN599" s="584"/>
      <c r="MTO599" s="584"/>
      <c r="MTP599" s="584"/>
      <c r="MTQ599" s="584"/>
      <c r="MTR599" s="584"/>
      <c r="MTS599" s="584"/>
      <c r="MTT599" s="584"/>
      <c r="MTU599" s="584"/>
      <c r="MTV599" s="584"/>
      <c r="MTW599" s="584"/>
      <c r="MTX599" s="584"/>
      <c r="MTY599" s="584"/>
      <c r="MTZ599" s="584"/>
      <c r="MUA599" s="584"/>
      <c r="MUB599" s="584"/>
      <c r="MUC599" s="584"/>
      <c r="MUD599" s="584"/>
      <c r="MUE599" s="584"/>
      <c r="MUF599" s="584"/>
      <c r="MUG599" s="584"/>
      <c r="MUH599" s="584"/>
      <c r="MUI599" s="584"/>
      <c r="MUJ599" s="584"/>
      <c r="MUK599" s="584"/>
      <c r="MUL599" s="584"/>
      <c r="MUM599" s="584"/>
      <c r="MUN599" s="584"/>
      <c r="MUO599" s="584"/>
      <c r="MUP599" s="584"/>
      <c r="MUQ599" s="584"/>
      <c r="MUR599" s="584"/>
      <c r="MUS599" s="584"/>
      <c r="MUT599" s="584"/>
      <c r="MUU599" s="584"/>
      <c r="MUV599" s="584"/>
      <c r="MUW599" s="584"/>
      <c r="MUX599" s="584"/>
      <c r="MUY599" s="584"/>
      <c r="MUZ599" s="584"/>
      <c r="MVA599" s="584"/>
      <c r="MVB599" s="584"/>
      <c r="MVC599" s="584"/>
      <c r="MVD599" s="584"/>
      <c r="MVE599" s="584"/>
      <c r="MVF599" s="584"/>
      <c r="MVG599" s="584"/>
      <c r="MVH599" s="584"/>
      <c r="MVI599" s="584"/>
      <c r="MVJ599" s="584"/>
      <c r="MVK599" s="584"/>
      <c r="MVL599" s="584"/>
      <c r="MVM599" s="584"/>
      <c r="MVN599" s="584"/>
      <c r="MVO599" s="584"/>
      <c r="MVP599" s="584"/>
      <c r="MVQ599" s="584"/>
      <c r="MVR599" s="584"/>
      <c r="MVS599" s="584"/>
      <c r="MVT599" s="584"/>
      <c r="MVU599" s="584"/>
      <c r="MVV599" s="584"/>
      <c r="MVW599" s="584"/>
      <c r="MVX599" s="584"/>
      <c r="MVY599" s="584"/>
      <c r="MVZ599" s="584"/>
      <c r="MWA599" s="584"/>
      <c r="MWB599" s="584"/>
      <c r="MWC599" s="584"/>
      <c r="MWD599" s="584"/>
      <c r="MWE599" s="584"/>
      <c r="MWF599" s="584"/>
      <c r="MWG599" s="584"/>
      <c r="MWH599" s="584"/>
      <c r="MWI599" s="584"/>
      <c r="MWJ599" s="584"/>
      <c r="MWK599" s="584"/>
      <c r="MWL599" s="584"/>
      <c r="MWM599" s="584"/>
      <c r="MWN599" s="584"/>
      <c r="MWO599" s="584"/>
      <c r="MWP599" s="584"/>
      <c r="MWQ599" s="584"/>
      <c r="MWR599" s="584"/>
      <c r="MWS599" s="584"/>
      <c r="MWT599" s="584"/>
      <c r="MWU599" s="584"/>
      <c r="MWV599" s="584"/>
      <c r="MWW599" s="584"/>
      <c r="MWX599" s="584"/>
      <c r="MWY599" s="584"/>
      <c r="MWZ599" s="584"/>
      <c r="MXA599" s="584"/>
      <c r="MXB599" s="584"/>
      <c r="MXC599" s="584"/>
      <c r="MXD599" s="584"/>
      <c r="MXE599" s="584"/>
      <c r="MXF599" s="584"/>
      <c r="MXG599" s="584"/>
      <c r="MXH599" s="584"/>
      <c r="MXI599" s="584"/>
      <c r="MXJ599" s="584"/>
      <c r="MXK599" s="584"/>
      <c r="MXL599" s="584"/>
      <c r="MXM599" s="584"/>
      <c r="MXN599" s="584"/>
      <c r="MXO599" s="584"/>
      <c r="MXP599" s="584"/>
      <c r="MXQ599" s="584"/>
      <c r="MXR599" s="584"/>
      <c r="MXS599" s="584"/>
      <c r="MXT599" s="584"/>
      <c r="MXU599" s="584"/>
      <c r="MXV599" s="584"/>
      <c r="MXW599" s="584"/>
      <c r="MXX599" s="584"/>
      <c r="MXY599" s="584"/>
      <c r="MXZ599" s="584"/>
      <c r="MYA599" s="584"/>
      <c r="MYB599" s="584"/>
      <c r="MYC599" s="584"/>
      <c r="MYD599" s="584"/>
      <c r="MYE599" s="584"/>
      <c r="MYF599" s="584"/>
      <c r="MYG599" s="584"/>
      <c r="MYH599" s="584"/>
      <c r="MYI599" s="584"/>
      <c r="MYJ599" s="584"/>
      <c r="MYK599" s="584"/>
      <c r="MYL599" s="584"/>
      <c r="MYM599" s="584"/>
      <c r="MYN599" s="584"/>
      <c r="MYO599" s="584"/>
      <c r="MYP599" s="584"/>
      <c r="MYQ599" s="584"/>
      <c r="MYR599" s="584"/>
      <c r="MYS599" s="584"/>
      <c r="MYT599" s="584"/>
      <c r="MYU599" s="584"/>
      <c r="MYV599" s="584"/>
      <c r="MYW599" s="584"/>
      <c r="MYX599" s="584"/>
      <c r="MYY599" s="584"/>
      <c r="MYZ599" s="584"/>
      <c r="MZA599" s="584"/>
      <c r="MZB599" s="584"/>
      <c r="MZC599" s="584"/>
      <c r="MZD599" s="584"/>
      <c r="MZE599" s="584"/>
      <c r="MZF599" s="584"/>
      <c r="MZG599" s="584"/>
      <c r="MZH599" s="584"/>
      <c r="MZI599" s="584"/>
      <c r="MZJ599" s="584"/>
      <c r="MZK599" s="584"/>
      <c r="MZL599" s="584"/>
      <c r="MZM599" s="584"/>
      <c r="MZN599" s="584"/>
      <c r="MZO599" s="584"/>
      <c r="MZP599" s="584"/>
      <c r="MZQ599" s="584"/>
      <c r="MZR599" s="584"/>
      <c r="MZS599" s="584"/>
      <c r="MZT599" s="584"/>
      <c r="MZU599" s="584"/>
      <c r="MZV599" s="584"/>
      <c r="MZW599" s="584"/>
      <c r="MZX599" s="584"/>
      <c r="MZY599" s="584"/>
      <c r="MZZ599" s="584"/>
      <c r="NAA599" s="584"/>
      <c r="NAB599" s="584"/>
      <c r="NAC599" s="584"/>
      <c r="NAD599" s="584"/>
      <c r="NAE599" s="584"/>
      <c r="NAF599" s="584"/>
      <c r="NAG599" s="584"/>
      <c r="NAH599" s="584"/>
      <c r="NAI599" s="584"/>
      <c r="NAJ599" s="584"/>
      <c r="NAK599" s="584"/>
      <c r="NAL599" s="584"/>
      <c r="NAM599" s="584"/>
      <c r="NAN599" s="584"/>
      <c r="NAO599" s="584"/>
      <c r="NAP599" s="584"/>
      <c r="NAQ599" s="584"/>
      <c r="NAR599" s="584"/>
      <c r="NAS599" s="584"/>
      <c r="NAT599" s="584"/>
      <c r="NAU599" s="584"/>
      <c r="NAV599" s="584"/>
      <c r="NAW599" s="584"/>
      <c r="NAX599" s="584"/>
      <c r="NAY599" s="584"/>
      <c r="NAZ599" s="584"/>
      <c r="NBA599" s="584"/>
      <c r="NBB599" s="584"/>
      <c r="NBC599" s="584"/>
      <c r="NBD599" s="584"/>
      <c r="NBE599" s="584"/>
      <c r="NBF599" s="584"/>
      <c r="NBG599" s="584"/>
      <c r="NBH599" s="584"/>
      <c r="NBI599" s="584"/>
      <c r="NBJ599" s="584"/>
      <c r="NBK599" s="584"/>
      <c r="NBL599" s="584"/>
      <c r="NBM599" s="584"/>
      <c r="NBN599" s="584"/>
      <c r="NBO599" s="584"/>
      <c r="NBP599" s="584"/>
      <c r="NBQ599" s="584"/>
      <c r="NBR599" s="584"/>
      <c r="NBS599" s="584"/>
      <c r="NBT599" s="584"/>
      <c r="NBU599" s="584"/>
      <c r="NBV599" s="584"/>
      <c r="NBW599" s="584"/>
      <c r="NBX599" s="584"/>
      <c r="NBY599" s="584"/>
      <c r="NBZ599" s="584"/>
      <c r="NCA599" s="584"/>
      <c r="NCB599" s="584"/>
      <c r="NCC599" s="584"/>
      <c r="NCD599" s="584"/>
      <c r="NCE599" s="584"/>
      <c r="NCF599" s="584"/>
      <c r="NCG599" s="584"/>
      <c r="NCH599" s="584"/>
      <c r="NCI599" s="584"/>
      <c r="NCJ599" s="584"/>
      <c r="NCK599" s="584"/>
      <c r="NCL599" s="584"/>
      <c r="NCM599" s="584"/>
      <c r="NCN599" s="584"/>
      <c r="NCO599" s="584"/>
      <c r="NCP599" s="584"/>
      <c r="NCQ599" s="584"/>
      <c r="NCR599" s="584"/>
      <c r="NCS599" s="584"/>
      <c r="NCT599" s="584"/>
      <c r="NCU599" s="584"/>
      <c r="NCV599" s="584"/>
      <c r="NCW599" s="584"/>
      <c r="NCX599" s="584"/>
      <c r="NCY599" s="584"/>
      <c r="NCZ599" s="584"/>
      <c r="NDA599" s="584"/>
      <c r="NDB599" s="584"/>
      <c r="NDC599" s="584"/>
      <c r="NDD599" s="584"/>
      <c r="NDE599" s="584"/>
      <c r="NDF599" s="584"/>
      <c r="NDG599" s="584"/>
      <c r="NDH599" s="584"/>
      <c r="NDI599" s="584"/>
      <c r="NDJ599" s="584"/>
      <c r="NDK599" s="584"/>
      <c r="NDL599" s="584"/>
      <c r="NDM599" s="584"/>
      <c r="NDN599" s="584"/>
      <c r="NDO599" s="584"/>
      <c r="NDP599" s="584"/>
      <c r="NDQ599" s="584"/>
      <c r="NDR599" s="584"/>
      <c r="NDS599" s="584"/>
      <c r="NDT599" s="584"/>
      <c r="NDU599" s="584"/>
      <c r="NDV599" s="584"/>
      <c r="NDW599" s="584"/>
      <c r="NDX599" s="584"/>
      <c r="NDY599" s="584"/>
      <c r="NDZ599" s="584"/>
      <c r="NEA599" s="584"/>
      <c r="NEB599" s="584"/>
      <c r="NEC599" s="584"/>
      <c r="NED599" s="584"/>
      <c r="NEE599" s="584"/>
      <c r="NEF599" s="584"/>
      <c r="NEG599" s="584"/>
      <c r="NEH599" s="584"/>
      <c r="NEI599" s="584"/>
      <c r="NEJ599" s="584"/>
      <c r="NEK599" s="584"/>
      <c r="NEL599" s="584"/>
      <c r="NEM599" s="584"/>
      <c r="NEN599" s="584"/>
      <c r="NEO599" s="584"/>
      <c r="NEP599" s="584"/>
      <c r="NEQ599" s="584"/>
      <c r="NER599" s="584"/>
      <c r="NES599" s="584"/>
      <c r="NET599" s="584"/>
      <c r="NEU599" s="584"/>
      <c r="NEV599" s="584"/>
      <c r="NEW599" s="584"/>
      <c r="NEX599" s="584"/>
      <c r="NEY599" s="584"/>
      <c r="NEZ599" s="584"/>
      <c r="NFA599" s="584"/>
      <c r="NFB599" s="584"/>
      <c r="NFC599" s="584"/>
      <c r="NFD599" s="584"/>
      <c r="NFE599" s="584"/>
      <c r="NFF599" s="584"/>
      <c r="NFG599" s="584"/>
      <c r="NFH599" s="584"/>
      <c r="NFI599" s="584"/>
      <c r="NFJ599" s="584"/>
      <c r="NFK599" s="584"/>
      <c r="NFL599" s="584"/>
      <c r="NFM599" s="584"/>
      <c r="NFN599" s="584"/>
      <c r="NFO599" s="584"/>
      <c r="NFP599" s="584"/>
      <c r="NFQ599" s="584"/>
      <c r="NFR599" s="584"/>
      <c r="NFS599" s="584"/>
      <c r="NFT599" s="584"/>
      <c r="NFU599" s="584"/>
      <c r="NFV599" s="584"/>
      <c r="NFW599" s="584"/>
      <c r="NFX599" s="584"/>
      <c r="NFY599" s="584"/>
      <c r="NFZ599" s="584"/>
      <c r="NGA599" s="584"/>
      <c r="NGB599" s="584"/>
      <c r="NGC599" s="584"/>
      <c r="NGD599" s="584"/>
      <c r="NGE599" s="584"/>
      <c r="NGF599" s="584"/>
      <c r="NGG599" s="584"/>
      <c r="NGH599" s="584"/>
      <c r="NGI599" s="584"/>
      <c r="NGJ599" s="584"/>
      <c r="NGK599" s="584"/>
      <c r="NGL599" s="584"/>
      <c r="NGM599" s="584"/>
      <c r="NGN599" s="584"/>
      <c r="NGO599" s="584"/>
      <c r="NGP599" s="584"/>
      <c r="NGQ599" s="584"/>
      <c r="NGR599" s="584"/>
      <c r="NGS599" s="584"/>
      <c r="NGT599" s="584"/>
      <c r="NGU599" s="584"/>
      <c r="NGV599" s="584"/>
      <c r="NGW599" s="584"/>
      <c r="NGX599" s="584"/>
      <c r="NGY599" s="584"/>
      <c r="NGZ599" s="584"/>
      <c r="NHA599" s="584"/>
      <c r="NHB599" s="584"/>
      <c r="NHC599" s="584"/>
      <c r="NHD599" s="584"/>
      <c r="NHE599" s="584"/>
      <c r="NHF599" s="584"/>
      <c r="NHG599" s="584"/>
      <c r="NHH599" s="584"/>
      <c r="NHI599" s="584"/>
      <c r="NHJ599" s="584"/>
      <c r="NHK599" s="584"/>
      <c r="NHL599" s="584"/>
      <c r="NHM599" s="584"/>
      <c r="NHN599" s="584"/>
      <c r="NHO599" s="584"/>
      <c r="NHP599" s="584"/>
      <c r="NHQ599" s="584"/>
      <c r="NHR599" s="584"/>
      <c r="NHS599" s="584"/>
      <c r="NHT599" s="584"/>
      <c r="NHU599" s="584"/>
      <c r="NHV599" s="584"/>
      <c r="NHW599" s="584"/>
      <c r="NHX599" s="584"/>
      <c r="NHY599" s="584"/>
      <c r="NHZ599" s="584"/>
      <c r="NIA599" s="584"/>
      <c r="NIB599" s="584"/>
      <c r="NIC599" s="584"/>
      <c r="NID599" s="584"/>
      <c r="NIE599" s="584"/>
      <c r="NIF599" s="584"/>
      <c r="NIG599" s="584"/>
      <c r="NIH599" s="584"/>
      <c r="NII599" s="584"/>
      <c r="NIJ599" s="584"/>
      <c r="NIK599" s="584"/>
      <c r="NIL599" s="584"/>
      <c r="NIM599" s="584"/>
      <c r="NIN599" s="584"/>
      <c r="NIO599" s="584"/>
      <c r="NIP599" s="584"/>
      <c r="NIQ599" s="584"/>
      <c r="NIR599" s="584"/>
      <c r="NIS599" s="584"/>
      <c r="NIT599" s="584"/>
      <c r="NIU599" s="584"/>
      <c r="NIV599" s="584"/>
      <c r="NIW599" s="584"/>
      <c r="NIX599" s="584"/>
      <c r="NIY599" s="584"/>
      <c r="NIZ599" s="584"/>
      <c r="NJA599" s="584"/>
      <c r="NJB599" s="584"/>
      <c r="NJC599" s="584"/>
      <c r="NJD599" s="584"/>
      <c r="NJE599" s="584"/>
      <c r="NJF599" s="584"/>
      <c r="NJG599" s="584"/>
      <c r="NJH599" s="584"/>
      <c r="NJI599" s="584"/>
      <c r="NJJ599" s="584"/>
      <c r="NJK599" s="584"/>
      <c r="NJL599" s="584"/>
      <c r="NJM599" s="584"/>
      <c r="NJN599" s="584"/>
      <c r="NJO599" s="584"/>
      <c r="NJP599" s="584"/>
      <c r="NJQ599" s="584"/>
      <c r="NJR599" s="584"/>
      <c r="NJS599" s="584"/>
      <c r="NJT599" s="584"/>
      <c r="NJU599" s="584"/>
      <c r="NJV599" s="584"/>
      <c r="NJW599" s="584"/>
      <c r="NJX599" s="584"/>
      <c r="NJY599" s="584"/>
      <c r="NJZ599" s="584"/>
      <c r="NKA599" s="584"/>
      <c r="NKB599" s="584"/>
      <c r="NKC599" s="584"/>
      <c r="NKD599" s="584"/>
      <c r="NKE599" s="584"/>
      <c r="NKF599" s="584"/>
      <c r="NKG599" s="584"/>
      <c r="NKH599" s="584"/>
      <c r="NKI599" s="584"/>
      <c r="NKJ599" s="584"/>
      <c r="NKK599" s="584"/>
      <c r="NKL599" s="584"/>
      <c r="NKM599" s="584"/>
      <c r="NKN599" s="584"/>
      <c r="NKO599" s="584"/>
      <c r="NKP599" s="584"/>
      <c r="NKQ599" s="584"/>
      <c r="NKR599" s="584"/>
      <c r="NKS599" s="584"/>
      <c r="NKT599" s="584"/>
      <c r="NKU599" s="584"/>
      <c r="NKV599" s="584"/>
      <c r="NKW599" s="584"/>
      <c r="NKX599" s="584"/>
      <c r="NKY599" s="584"/>
      <c r="NKZ599" s="584"/>
      <c r="NLA599" s="584"/>
      <c r="NLB599" s="584"/>
      <c r="NLC599" s="584"/>
      <c r="NLD599" s="584"/>
      <c r="NLE599" s="584"/>
      <c r="NLF599" s="584"/>
      <c r="NLG599" s="584"/>
      <c r="NLH599" s="584"/>
      <c r="NLI599" s="584"/>
      <c r="NLJ599" s="584"/>
      <c r="NLK599" s="584"/>
      <c r="NLL599" s="584"/>
      <c r="NLM599" s="584"/>
      <c r="NLN599" s="584"/>
      <c r="NLO599" s="584"/>
      <c r="NLP599" s="584"/>
      <c r="NLQ599" s="584"/>
      <c r="NLR599" s="584"/>
      <c r="NLS599" s="584"/>
      <c r="NLT599" s="584"/>
      <c r="NLU599" s="584"/>
      <c r="NLV599" s="584"/>
      <c r="NLW599" s="584"/>
      <c r="NLX599" s="584"/>
      <c r="NLY599" s="584"/>
      <c r="NLZ599" s="584"/>
      <c r="NMA599" s="584"/>
      <c r="NMB599" s="584"/>
      <c r="NMC599" s="584"/>
      <c r="NMD599" s="584"/>
      <c r="NME599" s="584"/>
      <c r="NMF599" s="584"/>
      <c r="NMG599" s="584"/>
      <c r="NMH599" s="584"/>
      <c r="NMI599" s="584"/>
      <c r="NMJ599" s="584"/>
      <c r="NMK599" s="584"/>
      <c r="NML599" s="584"/>
      <c r="NMM599" s="584"/>
      <c r="NMN599" s="584"/>
      <c r="NMO599" s="584"/>
      <c r="NMP599" s="584"/>
      <c r="NMQ599" s="584"/>
      <c r="NMR599" s="584"/>
      <c r="NMS599" s="584"/>
      <c r="NMT599" s="584"/>
      <c r="NMU599" s="584"/>
      <c r="NMV599" s="584"/>
      <c r="NMW599" s="584"/>
      <c r="NMX599" s="584"/>
      <c r="NMY599" s="584"/>
      <c r="NMZ599" s="584"/>
      <c r="NNA599" s="584"/>
      <c r="NNB599" s="584"/>
      <c r="NNC599" s="584"/>
      <c r="NND599" s="584"/>
      <c r="NNE599" s="584"/>
      <c r="NNF599" s="584"/>
      <c r="NNG599" s="584"/>
      <c r="NNH599" s="584"/>
      <c r="NNI599" s="584"/>
      <c r="NNJ599" s="584"/>
      <c r="NNK599" s="584"/>
      <c r="NNL599" s="584"/>
      <c r="NNM599" s="584"/>
      <c r="NNN599" s="584"/>
      <c r="NNO599" s="584"/>
      <c r="NNP599" s="584"/>
      <c r="NNQ599" s="584"/>
      <c r="NNR599" s="584"/>
      <c r="NNS599" s="584"/>
      <c r="NNT599" s="584"/>
      <c r="NNU599" s="584"/>
      <c r="NNV599" s="584"/>
      <c r="NNW599" s="584"/>
      <c r="NNX599" s="584"/>
      <c r="NNY599" s="584"/>
      <c r="NNZ599" s="584"/>
      <c r="NOA599" s="584"/>
      <c r="NOB599" s="584"/>
      <c r="NOC599" s="584"/>
      <c r="NOD599" s="584"/>
      <c r="NOE599" s="584"/>
      <c r="NOF599" s="584"/>
      <c r="NOG599" s="584"/>
      <c r="NOH599" s="584"/>
      <c r="NOI599" s="584"/>
      <c r="NOJ599" s="584"/>
      <c r="NOK599" s="584"/>
      <c r="NOL599" s="584"/>
      <c r="NOM599" s="584"/>
      <c r="NON599" s="584"/>
      <c r="NOO599" s="584"/>
      <c r="NOP599" s="584"/>
      <c r="NOQ599" s="584"/>
      <c r="NOR599" s="584"/>
      <c r="NOS599" s="584"/>
      <c r="NOT599" s="584"/>
      <c r="NOU599" s="584"/>
      <c r="NOV599" s="584"/>
      <c r="NOW599" s="584"/>
      <c r="NOX599" s="584"/>
      <c r="NOY599" s="584"/>
      <c r="NOZ599" s="584"/>
      <c r="NPA599" s="584"/>
      <c r="NPB599" s="584"/>
      <c r="NPC599" s="584"/>
      <c r="NPD599" s="584"/>
      <c r="NPE599" s="584"/>
      <c r="NPF599" s="584"/>
      <c r="NPG599" s="584"/>
      <c r="NPH599" s="584"/>
      <c r="NPI599" s="584"/>
      <c r="NPJ599" s="584"/>
      <c r="NPK599" s="584"/>
      <c r="NPL599" s="584"/>
      <c r="NPM599" s="584"/>
      <c r="NPN599" s="584"/>
      <c r="NPO599" s="584"/>
      <c r="NPP599" s="584"/>
      <c r="NPQ599" s="584"/>
      <c r="NPR599" s="584"/>
      <c r="NPS599" s="584"/>
      <c r="NPT599" s="584"/>
      <c r="NPU599" s="584"/>
      <c r="NPV599" s="584"/>
      <c r="NPW599" s="584"/>
      <c r="NPX599" s="584"/>
      <c r="NPY599" s="584"/>
      <c r="NPZ599" s="584"/>
      <c r="NQA599" s="584"/>
      <c r="NQB599" s="584"/>
      <c r="NQC599" s="584"/>
      <c r="NQD599" s="584"/>
      <c r="NQE599" s="584"/>
      <c r="NQF599" s="584"/>
      <c r="NQG599" s="584"/>
      <c r="NQH599" s="584"/>
      <c r="NQI599" s="584"/>
      <c r="NQJ599" s="584"/>
      <c r="NQK599" s="584"/>
      <c r="NQL599" s="584"/>
      <c r="NQM599" s="584"/>
      <c r="NQN599" s="584"/>
      <c r="NQO599" s="584"/>
      <c r="NQP599" s="584"/>
      <c r="NQQ599" s="584"/>
      <c r="NQR599" s="584"/>
      <c r="NQS599" s="584"/>
      <c r="NQT599" s="584"/>
      <c r="NQU599" s="584"/>
      <c r="NQV599" s="584"/>
      <c r="NQW599" s="584"/>
      <c r="NQX599" s="584"/>
      <c r="NQY599" s="584"/>
      <c r="NQZ599" s="584"/>
      <c r="NRA599" s="584"/>
      <c r="NRB599" s="584"/>
      <c r="NRC599" s="584"/>
      <c r="NRD599" s="584"/>
      <c r="NRE599" s="584"/>
      <c r="NRF599" s="584"/>
      <c r="NRG599" s="584"/>
      <c r="NRH599" s="584"/>
      <c r="NRI599" s="584"/>
      <c r="NRJ599" s="584"/>
      <c r="NRK599" s="584"/>
      <c r="NRL599" s="584"/>
      <c r="NRM599" s="584"/>
      <c r="NRN599" s="584"/>
      <c r="NRO599" s="584"/>
      <c r="NRP599" s="584"/>
      <c r="NRQ599" s="584"/>
      <c r="NRR599" s="584"/>
      <c r="NRS599" s="584"/>
      <c r="NRT599" s="584"/>
      <c r="NRU599" s="584"/>
      <c r="NRV599" s="584"/>
      <c r="NRW599" s="584"/>
      <c r="NRX599" s="584"/>
      <c r="NRY599" s="584"/>
      <c r="NRZ599" s="584"/>
      <c r="NSA599" s="584"/>
      <c r="NSB599" s="584"/>
      <c r="NSC599" s="584"/>
      <c r="NSD599" s="584"/>
      <c r="NSE599" s="584"/>
      <c r="NSF599" s="584"/>
      <c r="NSG599" s="584"/>
      <c r="NSH599" s="584"/>
      <c r="NSI599" s="584"/>
      <c r="NSJ599" s="584"/>
      <c r="NSK599" s="584"/>
      <c r="NSL599" s="584"/>
      <c r="NSM599" s="584"/>
      <c r="NSN599" s="584"/>
      <c r="NSO599" s="584"/>
      <c r="NSP599" s="584"/>
      <c r="NSQ599" s="584"/>
      <c r="NSR599" s="584"/>
      <c r="NSS599" s="584"/>
      <c r="NST599" s="584"/>
      <c r="NSU599" s="584"/>
      <c r="NSV599" s="584"/>
      <c r="NSW599" s="584"/>
      <c r="NSX599" s="584"/>
      <c r="NSY599" s="584"/>
      <c r="NSZ599" s="584"/>
      <c r="NTA599" s="584"/>
      <c r="NTB599" s="584"/>
      <c r="NTC599" s="584"/>
      <c r="NTD599" s="584"/>
      <c r="NTE599" s="584"/>
      <c r="NTF599" s="584"/>
      <c r="NTG599" s="584"/>
      <c r="NTH599" s="584"/>
      <c r="NTI599" s="584"/>
      <c r="NTJ599" s="584"/>
      <c r="NTK599" s="584"/>
      <c r="NTL599" s="584"/>
      <c r="NTM599" s="584"/>
      <c r="NTN599" s="584"/>
      <c r="NTO599" s="584"/>
      <c r="NTP599" s="584"/>
      <c r="NTQ599" s="584"/>
      <c r="NTR599" s="584"/>
      <c r="NTS599" s="584"/>
      <c r="NTT599" s="584"/>
      <c r="NTU599" s="584"/>
      <c r="NTV599" s="584"/>
      <c r="NTW599" s="584"/>
      <c r="NTX599" s="584"/>
      <c r="NTY599" s="584"/>
      <c r="NTZ599" s="584"/>
      <c r="NUA599" s="584"/>
      <c r="NUB599" s="584"/>
      <c r="NUC599" s="584"/>
      <c r="NUD599" s="584"/>
      <c r="NUE599" s="584"/>
      <c r="NUF599" s="584"/>
      <c r="NUG599" s="584"/>
      <c r="NUH599" s="584"/>
      <c r="NUI599" s="584"/>
      <c r="NUJ599" s="584"/>
      <c r="NUK599" s="584"/>
      <c r="NUL599" s="584"/>
      <c r="NUM599" s="584"/>
      <c r="NUN599" s="584"/>
      <c r="NUO599" s="584"/>
      <c r="NUP599" s="584"/>
      <c r="NUQ599" s="584"/>
      <c r="NUR599" s="584"/>
      <c r="NUS599" s="584"/>
      <c r="NUT599" s="584"/>
      <c r="NUU599" s="584"/>
      <c r="NUV599" s="584"/>
      <c r="NUW599" s="584"/>
      <c r="NUX599" s="584"/>
      <c r="NUY599" s="584"/>
      <c r="NUZ599" s="584"/>
      <c r="NVA599" s="584"/>
      <c r="NVB599" s="584"/>
      <c r="NVC599" s="584"/>
      <c r="NVD599" s="584"/>
      <c r="NVE599" s="584"/>
      <c r="NVF599" s="584"/>
      <c r="NVG599" s="584"/>
      <c r="NVH599" s="584"/>
      <c r="NVI599" s="584"/>
      <c r="NVJ599" s="584"/>
      <c r="NVK599" s="584"/>
      <c r="NVL599" s="584"/>
      <c r="NVM599" s="584"/>
      <c r="NVN599" s="584"/>
      <c r="NVO599" s="584"/>
      <c r="NVP599" s="584"/>
      <c r="NVQ599" s="584"/>
      <c r="NVR599" s="584"/>
      <c r="NVS599" s="584"/>
      <c r="NVT599" s="584"/>
      <c r="NVU599" s="584"/>
      <c r="NVV599" s="584"/>
      <c r="NVW599" s="584"/>
      <c r="NVX599" s="584"/>
      <c r="NVY599" s="584"/>
      <c r="NVZ599" s="584"/>
      <c r="NWA599" s="584"/>
      <c r="NWB599" s="584"/>
      <c r="NWC599" s="584"/>
      <c r="NWD599" s="584"/>
      <c r="NWE599" s="584"/>
      <c r="NWF599" s="584"/>
      <c r="NWG599" s="584"/>
      <c r="NWH599" s="584"/>
      <c r="NWI599" s="584"/>
      <c r="NWJ599" s="584"/>
      <c r="NWK599" s="584"/>
      <c r="NWL599" s="584"/>
      <c r="NWM599" s="584"/>
      <c r="NWN599" s="584"/>
      <c r="NWO599" s="584"/>
      <c r="NWP599" s="584"/>
      <c r="NWQ599" s="584"/>
      <c r="NWR599" s="584"/>
      <c r="NWS599" s="584"/>
      <c r="NWT599" s="584"/>
      <c r="NWU599" s="584"/>
      <c r="NWV599" s="584"/>
      <c r="NWW599" s="584"/>
      <c r="NWX599" s="584"/>
      <c r="NWY599" s="584"/>
      <c r="NWZ599" s="584"/>
      <c r="NXA599" s="584"/>
      <c r="NXB599" s="584"/>
      <c r="NXC599" s="584"/>
      <c r="NXD599" s="584"/>
      <c r="NXE599" s="584"/>
      <c r="NXF599" s="584"/>
      <c r="NXG599" s="584"/>
      <c r="NXH599" s="584"/>
      <c r="NXI599" s="584"/>
      <c r="NXJ599" s="584"/>
      <c r="NXK599" s="584"/>
      <c r="NXL599" s="584"/>
      <c r="NXM599" s="584"/>
      <c r="NXN599" s="584"/>
      <c r="NXO599" s="584"/>
      <c r="NXP599" s="584"/>
      <c r="NXQ599" s="584"/>
      <c r="NXR599" s="584"/>
      <c r="NXS599" s="584"/>
      <c r="NXT599" s="584"/>
      <c r="NXU599" s="584"/>
      <c r="NXV599" s="584"/>
      <c r="NXW599" s="584"/>
      <c r="NXX599" s="584"/>
      <c r="NXY599" s="584"/>
      <c r="NXZ599" s="584"/>
      <c r="NYA599" s="584"/>
      <c r="NYB599" s="584"/>
      <c r="NYC599" s="584"/>
      <c r="NYD599" s="584"/>
      <c r="NYE599" s="584"/>
      <c r="NYF599" s="584"/>
      <c r="NYG599" s="584"/>
      <c r="NYH599" s="584"/>
      <c r="NYI599" s="584"/>
      <c r="NYJ599" s="584"/>
      <c r="NYK599" s="584"/>
      <c r="NYL599" s="584"/>
      <c r="NYM599" s="584"/>
      <c r="NYN599" s="584"/>
      <c r="NYO599" s="584"/>
      <c r="NYP599" s="584"/>
      <c r="NYQ599" s="584"/>
      <c r="NYR599" s="584"/>
      <c r="NYS599" s="584"/>
      <c r="NYT599" s="584"/>
      <c r="NYU599" s="584"/>
      <c r="NYV599" s="584"/>
      <c r="NYW599" s="584"/>
      <c r="NYX599" s="584"/>
      <c r="NYY599" s="584"/>
      <c r="NYZ599" s="584"/>
      <c r="NZA599" s="584"/>
      <c r="NZB599" s="584"/>
      <c r="NZC599" s="584"/>
      <c r="NZD599" s="584"/>
      <c r="NZE599" s="584"/>
      <c r="NZF599" s="584"/>
      <c r="NZG599" s="584"/>
      <c r="NZH599" s="584"/>
      <c r="NZI599" s="584"/>
      <c r="NZJ599" s="584"/>
      <c r="NZK599" s="584"/>
      <c r="NZL599" s="584"/>
      <c r="NZM599" s="584"/>
      <c r="NZN599" s="584"/>
      <c r="NZO599" s="584"/>
      <c r="NZP599" s="584"/>
      <c r="NZQ599" s="584"/>
      <c r="NZR599" s="584"/>
      <c r="NZS599" s="584"/>
      <c r="NZT599" s="584"/>
      <c r="NZU599" s="584"/>
      <c r="NZV599" s="584"/>
      <c r="NZW599" s="584"/>
      <c r="NZX599" s="584"/>
      <c r="NZY599" s="584"/>
      <c r="NZZ599" s="584"/>
      <c r="OAA599" s="584"/>
      <c r="OAB599" s="584"/>
      <c r="OAC599" s="584"/>
      <c r="OAD599" s="584"/>
      <c r="OAE599" s="584"/>
      <c r="OAF599" s="584"/>
      <c r="OAG599" s="584"/>
      <c r="OAH599" s="584"/>
      <c r="OAI599" s="584"/>
      <c r="OAJ599" s="584"/>
      <c r="OAK599" s="584"/>
      <c r="OAL599" s="584"/>
      <c r="OAM599" s="584"/>
      <c r="OAN599" s="584"/>
      <c r="OAO599" s="584"/>
      <c r="OAP599" s="584"/>
      <c r="OAQ599" s="584"/>
      <c r="OAR599" s="584"/>
      <c r="OAS599" s="584"/>
      <c r="OAT599" s="584"/>
      <c r="OAU599" s="584"/>
      <c r="OAV599" s="584"/>
      <c r="OAW599" s="584"/>
      <c r="OAX599" s="584"/>
      <c r="OAY599" s="584"/>
      <c r="OAZ599" s="584"/>
      <c r="OBA599" s="584"/>
      <c r="OBB599" s="584"/>
      <c r="OBC599" s="584"/>
      <c r="OBD599" s="584"/>
      <c r="OBE599" s="584"/>
      <c r="OBF599" s="584"/>
      <c r="OBG599" s="584"/>
      <c r="OBH599" s="584"/>
      <c r="OBI599" s="584"/>
      <c r="OBJ599" s="584"/>
      <c r="OBK599" s="584"/>
      <c r="OBL599" s="584"/>
      <c r="OBM599" s="584"/>
      <c r="OBN599" s="584"/>
      <c r="OBO599" s="584"/>
      <c r="OBP599" s="584"/>
      <c r="OBQ599" s="584"/>
      <c r="OBR599" s="584"/>
      <c r="OBS599" s="584"/>
      <c r="OBT599" s="584"/>
      <c r="OBU599" s="584"/>
      <c r="OBV599" s="584"/>
      <c r="OBW599" s="584"/>
      <c r="OBX599" s="584"/>
      <c r="OBY599" s="584"/>
      <c r="OBZ599" s="584"/>
      <c r="OCA599" s="584"/>
      <c r="OCB599" s="584"/>
      <c r="OCC599" s="584"/>
      <c r="OCD599" s="584"/>
      <c r="OCE599" s="584"/>
      <c r="OCF599" s="584"/>
      <c r="OCG599" s="584"/>
      <c r="OCH599" s="584"/>
      <c r="OCI599" s="584"/>
      <c r="OCJ599" s="584"/>
      <c r="OCK599" s="584"/>
      <c r="OCL599" s="584"/>
      <c r="OCM599" s="584"/>
      <c r="OCN599" s="584"/>
      <c r="OCO599" s="584"/>
      <c r="OCP599" s="584"/>
      <c r="OCQ599" s="584"/>
      <c r="OCR599" s="584"/>
      <c r="OCS599" s="584"/>
      <c r="OCT599" s="584"/>
      <c r="OCU599" s="584"/>
      <c r="OCV599" s="584"/>
      <c r="OCW599" s="584"/>
      <c r="OCX599" s="584"/>
      <c r="OCY599" s="584"/>
      <c r="OCZ599" s="584"/>
      <c r="ODA599" s="584"/>
      <c r="ODB599" s="584"/>
      <c r="ODC599" s="584"/>
      <c r="ODD599" s="584"/>
      <c r="ODE599" s="584"/>
      <c r="ODF599" s="584"/>
      <c r="ODG599" s="584"/>
      <c r="ODH599" s="584"/>
      <c r="ODI599" s="584"/>
      <c r="ODJ599" s="584"/>
      <c r="ODK599" s="584"/>
      <c r="ODL599" s="584"/>
      <c r="ODM599" s="584"/>
      <c r="ODN599" s="584"/>
      <c r="ODO599" s="584"/>
      <c r="ODP599" s="584"/>
      <c r="ODQ599" s="584"/>
      <c r="ODR599" s="584"/>
      <c r="ODS599" s="584"/>
      <c r="ODT599" s="584"/>
      <c r="ODU599" s="584"/>
      <c r="ODV599" s="584"/>
      <c r="ODW599" s="584"/>
      <c r="ODX599" s="584"/>
      <c r="ODY599" s="584"/>
      <c r="ODZ599" s="584"/>
      <c r="OEA599" s="584"/>
      <c r="OEB599" s="584"/>
      <c r="OEC599" s="584"/>
      <c r="OED599" s="584"/>
      <c r="OEE599" s="584"/>
      <c r="OEF599" s="584"/>
      <c r="OEG599" s="584"/>
      <c r="OEH599" s="584"/>
      <c r="OEI599" s="584"/>
      <c r="OEJ599" s="584"/>
      <c r="OEK599" s="584"/>
      <c r="OEL599" s="584"/>
      <c r="OEM599" s="584"/>
      <c r="OEN599" s="584"/>
      <c r="OEO599" s="584"/>
      <c r="OEP599" s="584"/>
      <c r="OEQ599" s="584"/>
      <c r="OER599" s="584"/>
      <c r="OES599" s="584"/>
      <c r="OET599" s="584"/>
      <c r="OEU599" s="584"/>
      <c r="OEV599" s="584"/>
      <c r="OEW599" s="584"/>
      <c r="OEX599" s="584"/>
      <c r="OEY599" s="584"/>
      <c r="OEZ599" s="584"/>
      <c r="OFA599" s="584"/>
      <c r="OFB599" s="584"/>
      <c r="OFC599" s="584"/>
      <c r="OFD599" s="584"/>
      <c r="OFE599" s="584"/>
      <c r="OFF599" s="584"/>
      <c r="OFG599" s="584"/>
      <c r="OFH599" s="584"/>
      <c r="OFI599" s="584"/>
      <c r="OFJ599" s="584"/>
      <c r="OFK599" s="584"/>
      <c r="OFL599" s="584"/>
      <c r="OFM599" s="584"/>
      <c r="OFN599" s="584"/>
      <c r="OFO599" s="584"/>
      <c r="OFP599" s="584"/>
      <c r="OFQ599" s="584"/>
      <c r="OFR599" s="584"/>
      <c r="OFS599" s="584"/>
      <c r="OFT599" s="584"/>
      <c r="OFU599" s="584"/>
      <c r="OFV599" s="584"/>
      <c r="OFW599" s="584"/>
      <c r="OFX599" s="584"/>
      <c r="OFY599" s="584"/>
      <c r="OFZ599" s="584"/>
      <c r="OGA599" s="584"/>
      <c r="OGB599" s="584"/>
      <c r="OGC599" s="584"/>
      <c r="OGD599" s="584"/>
      <c r="OGE599" s="584"/>
      <c r="OGF599" s="584"/>
      <c r="OGG599" s="584"/>
      <c r="OGH599" s="584"/>
      <c r="OGI599" s="584"/>
      <c r="OGJ599" s="584"/>
      <c r="OGK599" s="584"/>
      <c r="OGL599" s="584"/>
      <c r="OGM599" s="584"/>
      <c r="OGN599" s="584"/>
      <c r="OGO599" s="584"/>
      <c r="OGP599" s="584"/>
      <c r="OGQ599" s="584"/>
      <c r="OGR599" s="584"/>
      <c r="OGS599" s="584"/>
      <c r="OGT599" s="584"/>
      <c r="OGU599" s="584"/>
      <c r="OGV599" s="584"/>
      <c r="OGW599" s="584"/>
      <c r="OGX599" s="584"/>
      <c r="OGY599" s="584"/>
      <c r="OGZ599" s="584"/>
      <c r="OHA599" s="584"/>
      <c r="OHB599" s="584"/>
      <c r="OHC599" s="584"/>
      <c r="OHD599" s="584"/>
      <c r="OHE599" s="584"/>
      <c r="OHF599" s="584"/>
      <c r="OHG599" s="584"/>
      <c r="OHH599" s="584"/>
      <c r="OHI599" s="584"/>
      <c r="OHJ599" s="584"/>
      <c r="OHK599" s="584"/>
      <c r="OHL599" s="584"/>
      <c r="OHM599" s="584"/>
      <c r="OHN599" s="584"/>
      <c r="OHO599" s="584"/>
      <c r="OHP599" s="584"/>
      <c r="OHQ599" s="584"/>
      <c r="OHR599" s="584"/>
      <c r="OHS599" s="584"/>
      <c r="OHT599" s="584"/>
      <c r="OHU599" s="584"/>
      <c r="OHV599" s="584"/>
      <c r="OHW599" s="584"/>
      <c r="OHX599" s="584"/>
      <c r="OHY599" s="584"/>
      <c r="OHZ599" s="584"/>
      <c r="OIA599" s="584"/>
      <c r="OIB599" s="584"/>
      <c r="OIC599" s="584"/>
      <c r="OID599" s="584"/>
      <c r="OIE599" s="584"/>
      <c r="OIF599" s="584"/>
      <c r="OIG599" s="584"/>
      <c r="OIH599" s="584"/>
      <c r="OII599" s="584"/>
      <c r="OIJ599" s="584"/>
      <c r="OIK599" s="584"/>
      <c r="OIL599" s="584"/>
      <c r="OIM599" s="584"/>
      <c r="OIN599" s="584"/>
      <c r="OIO599" s="584"/>
      <c r="OIP599" s="584"/>
      <c r="OIQ599" s="584"/>
      <c r="OIR599" s="584"/>
      <c r="OIS599" s="584"/>
      <c r="OIT599" s="584"/>
      <c r="OIU599" s="584"/>
      <c r="OIV599" s="584"/>
      <c r="OIW599" s="584"/>
      <c r="OIX599" s="584"/>
      <c r="OIY599" s="584"/>
      <c r="OIZ599" s="584"/>
      <c r="OJA599" s="584"/>
      <c r="OJB599" s="584"/>
      <c r="OJC599" s="584"/>
      <c r="OJD599" s="584"/>
      <c r="OJE599" s="584"/>
      <c r="OJF599" s="584"/>
      <c r="OJG599" s="584"/>
      <c r="OJH599" s="584"/>
      <c r="OJI599" s="584"/>
      <c r="OJJ599" s="584"/>
      <c r="OJK599" s="584"/>
      <c r="OJL599" s="584"/>
      <c r="OJM599" s="584"/>
      <c r="OJN599" s="584"/>
      <c r="OJO599" s="584"/>
      <c r="OJP599" s="584"/>
      <c r="OJQ599" s="584"/>
      <c r="OJR599" s="584"/>
      <c r="OJS599" s="584"/>
      <c r="OJT599" s="584"/>
      <c r="OJU599" s="584"/>
      <c r="OJV599" s="584"/>
      <c r="OJW599" s="584"/>
      <c r="OJX599" s="584"/>
      <c r="OJY599" s="584"/>
      <c r="OJZ599" s="584"/>
      <c r="OKA599" s="584"/>
      <c r="OKB599" s="584"/>
      <c r="OKC599" s="584"/>
      <c r="OKD599" s="584"/>
      <c r="OKE599" s="584"/>
      <c r="OKF599" s="584"/>
      <c r="OKG599" s="584"/>
      <c r="OKH599" s="584"/>
      <c r="OKI599" s="584"/>
      <c r="OKJ599" s="584"/>
      <c r="OKK599" s="584"/>
      <c r="OKL599" s="584"/>
      <c r="OKM599" s="584"/>
      <c r="OKN599" s="584"/>
      <c r="OKO599" s="584"/>
      <c r="OKP599" s="584"/>
      <c r="OKQ599" s="584"/>
      <c r="OKR599" s="584"/>
      <c r="OKS599" s="584"/>
      <c r="OKT599" s="584"/>
      <c r="OKU599" s="584"/>
      <c r="OKV599" s="584"/>
      <c r="OKW599" s="584"/>
      <c r="OKX599" s="584"/>
      <c r="OKY599" s="584"/>
      <c r="OKZ599" s="584"/>
      <c r="OLA599" s="584"/>
      <c r="OLB599" s="584"/>
      <c r="OLC599" s="584"/>
      <c r="OLD599" s="584"/>
      <c r="OLE599" s="584"/>
      <c r="OLF599" s="584"/>
      <c r="OLG599" s="584"/>
      <c r="OLH599" s="584"/>
      <c r="OLI599" s="584"/>
      <c r="OLJ599" s="584"/>
      <c r="OLK599" s="584"/>
      <c r="OLL599" s="584"/>
      <c r="OLM599" s="584"/>
      <c r="OLN599" s="584"/>
      <c r="OLO599" s="584"/>
      <c r="OLP599" s="584"/>
      <c r="OLQ599" s="584"/>
      <c r="OLR599" s="584"/>
      <c r="OLS599" s="584"/>
      <c r="OLT599" s="584"/>
      <c r="OLU599" s="584"/>
      <c r="OLV599" s="584"/>
      <c r="OLW599" s="584"/>
      <c r="OLX599" s="584"/>
      <c r="OLY599" s="584"/>
      <c r="OLZ599" s="584"/>
      <c r="OMA599" s="584"/>
      <c r="OMB599" s="584"/>
      <c r="OMC599" s="584"/>
      <c r="OMD599" s="584"/>
      <c r="OME599" s="584"/>
      <c r="OMF599" s="584"/>
      <c r="OMG599" s="584"/>
      <c r="OMH599" s="584"/>
      <c r="OMI599" s="584"/>
      <c r="OMJ599" s="584"/>
      <c r="OMK599" s="584"/>
      <c r="OML599" s="584"/>
      <c r="OMM599" s="584"/>
      <c r="OMN599" s="584"/>
      <c r="OMO599" s="584"/>
      <c r="OMP599" s="584"/>
      <c r="OMQ599" s="584"/>
      <c r="OMR599" s="584"/>
      <c r="OMS599" s="584"/>
      <c r="OMT599" s="584"/>
      <c r="OMU599" s="584"/>
      <c r="OMV599" s="584"/>
      <c r="OMW599" s="584"/>
      <c r="OMX599" s="584"/>
      <c r="OMY599" s="584"/>
      <c r="OMZ599" s="584"/>
      <c r="ONA599" s="584"/>
      <c r="ONB599" s="584"/>
      <c r="ONC599" s="584"/>
      <c r="OND599" s="584"/>
      <c r="ONE599" s="584"/>
      <c r="ONF599" s="584"/>
      <c r="ONG599" s="584"/>
      <c r="ONH599" s="584"/>
      <c r="ONI599" s="584"/>
      <c r="ONJ599" s="584"/>
      <c r="ONK599" s="584"/>
      <c r="ONL599" s="584"/>
      <c r="ONM599" s="584"/>
      <c r="ONN599" s="584"/>
      <c r="ONO599" s="584"/>
      <c r="ONP599" s="584"/>
      <c r="ONQ599" s="584"/>
      <c r="ONR599" s="584"/>
      <c r="ONS599" s="584"/>
      <c r="ONT599" s="584"/>
      <c r="ONU599" s="584"/>
      <c r="ONV599" s="584"/>
      <c r="ONW599" s="584"/>
      <c r="ONX599" s="584"/>
      <c r="ONY599" s="584"/>
      <c r="ONZ599" s="584"/>
      <c r="OOA599" s="584"/>
      <c r="OOB599" s="584"/>
      <c r="OOC599" s="584"/>
      <c r="OOD599" s="584"/>
      <c r="OOE599" s="584"/>
      <c r="OOF599" s="584"/>
      <c r="OOG599" s="584"/>
      <c r="OOH599" s="584"/>
      <c r="OOI599" s="584"/>
      <c r="OOJ599" s="584"/>
      <c r="OOK599" s="584"/>
      <c r="OOL599" s="584"/>
      <c r="OOM599" s="584"/>
      <c r="OON599" s="584"/>
      <c r="OOO599" s="584"/>
      <c r="OOP599" s="584"/>
      <c r="OOQ599" s="584"/>
      <c r="OOR599" s="584"/>
      <c r="OOS599" s="584"/>
      <c r="OOT599" s="584"/>
      <c r="OOU599" s="584"/>
      <c r="OOV599" s="584"/>
      <c r="OOW599" s="584"/>
      <c r="OOX599" s="584"/>
      <c r="OOY599" s="584"/>
      <c r="OOZ599" s="584"/>
      <c r="OPA599" s="584"/>
      <c r="OPB599" s="584"/>
      <c r="OPC599" s="584"/>
      <c r="OPD599" s="584"/>
      <c r="OPE599" s="584"/>
      <c r="OPF599" s="584"/>
      <c r="OPG599" s="584"/>
      <c r="OPH599" s="584"/>
      <c r="OPI599" s="584"/>
      <c r="OPJ599" s="584"/>
      <c r="OPK599" s="584"/>
      <c r="OPL599" s="584"/>
      <c r="OPM599" s="584"/>
      <c r="OPN599" s="584"/>
      <c r="OPO599" s="584"/>
      <c r="OPP599" s="584"/>
      <c r="OPQ599" s="584"/>
      <c r="OPR599" s="584"/>
      <c r="OPS599" s="584"/>
      <c r="OPT599" s="584"/>
      <c r="OPU599" s="584"/>
      <c r="OPV599" s="584"/>
      <c r="OPW599" s="584"/>
      <c r="OPX599" s="584"/>
      <c r="OPY599" s="584"/>
      <c r="OPZ599" s="584"/>
      <c r="OQA599" s="584"/>
      <c r="OQB599" s="584"/>
      <c r="OQC599" s="584"/>
      <c r="OQD599" s="584"/>
      <c r="OQE599" s="584"/>
      <c r="OQF599" s="584"/>
      <c r="OQG599" s="584"/>
      <c r="OQH599" s="584"/>
      <c r="OQI599" s="584"/>
      <c r="OQJ599" s="584"/>
      <c r="OQK599" s="584"/>
      <c r="OQL599" s="584"/>
      <c r="OQM599" s="584"/>
      <c r="OQN599" s="584"/>
      <c r="OQO599" s="584"/>
      <c r="OQP599" s="584"/>
      <c r="OQQ599" s="584"/>
      <c r="OQR599" s="584"/>
      <c r="OQS599" s="584"/>
      <c r="OQT599" s="584"/>
      <c r="OQU599" s="584"/>
      <c r="OQV599" s="584"/>
      <c r="OQW599" s="584"/>
      <c r="OQX599" s="584"/>
      <c r="OQY599" s="584"/>
      <c r="OQZ599" s="584"/>
      <c r="ORA599" s="584"/>
      <c r="ORB599" s="584"/>
      <c r="ORC599" s="584"/>
      <c r="ORD599" s="584"/>
      <c r="ORE599" s="584"/>
      <c r="ORF599" s="584"/>
      <c r="ORG599" s="584"/>
      <c r="ORH599" s="584"/>
      <c r="ORI599" s="584"/>
      <c r="ORJ599" s="584"/>
      <c r="ORK599" s="584"/>
      <c r="ORL599" s="584"/>
      <c r="ORM599" s="584"/>
      <c r="ORN599" s="584"/>
      <c r="ORO599" s="584"/>
      <c r="ORP599" s="584"/>
      <c r="ORQ599" s="584"/>
      <c r="ORR599" s="584"/>
      <c r="ORS599" s="584"/>
      <c r="ORT599" s="584"/>
      <c r="ORU599" s="584"/>
      <c r="ORV599" s="584"/>
      <c r="ORW599" s="584"/>
      <c r="ORX599" s="584"/>
      <c r="ORY599" s="584"/>
      <c r="ORZ599" s="584"/>
      <c r="OSA599" s="584"/>
      <c r="OSB599" s="584"/>
      <c r="OSC599" s="584"/>
      <c r="OSD599" s="584"/>
      <c r="OSE599" s="584"/>
      <c r="OSF599" s="584"/>
      <c r="OSG599" s="584"/>
      <c r="OSH599" s="584"/>
      <c r="OSI599" s="584"/>
      <c r="OSJ599" s="584"/>
      <c r="OSK599" s="584"/>
      <c r="OSL599" s="584"/>
      <c r="OSM599" s="584"/>
      <c r="OSN599" s="584"/>
      <c r="OSO599" s="584"/>
      <c r="OSP599" s="584"/>
      <c r="OSQ599" s="584"/>
      <c r="OSR599" s="584"/>
      <c r="OSS599" s="584"/>
      <c r="OST599" s="584"/>
      <c r="OSU599" s="584"/>
      <c r="OSV599" s="584"/>
      <c r="OSW599" s="584"/>
      <c r="OSX599" s="584"/>
      <c r="OSY599" s="584"/>
      <c r="OSZ599" s="584"/>
      <c r="OTA599" s="584"/>
      <c r="OTB599" s="584"/>
      <c r="OTC599" s="584"/>
      <c r="OTD599" s="584"/>
      <c r="OTE599" s="584"/>
      <c r="OTF599" s="584"/>
      <c r="OTG599" s="584"/>
      <c r="OTH599" s="584"/>
      <c r="OTI599" s="584"/>
      <c r="OTJ599" s="584"/>
      <c r="OTK599" s="584"/>
      <c r="OTL599" s="584"/>
      <c r="OTM599" s="584"/>
      <c r="OTN599" s="584"/>
      <c r="OTO599" s="584"/>
      <c r="OTP599" s="584"/>
      <c r="OTQ599" s="584"/>
      <c r="OTR599" s="584"/>
      <c r="OTS599" s="584"/>
      <c r="OTT599" s="584"/>
      <c r="OTU599" s="584"/>
      <c r="OTV599" s="584"/>
      <c r="OTW599" s="584"/>
      <c r="OTX599" s="584"/>
      <c r="OTY599" s="584"/>
      <c r="OTZ599" s="584"/>
      <c r="OUA599" s="584"/>
      <c r="OUB599" s="584"/>
      <c r="OUC599" s="584"/>
      <c r="OUD599" s="584"/>
      <c r="OUE599" s="584"/>
      <c r="OUF599" s="584"/>
      <c r="OUG599" s="584"/>
      <c r="OUH599" s="584"/>
      <c r="OUI599" s="584"/>
      <c r="OUJ599" s="584"/>
      <c r="OUK599" s="584"/>
      <c r="OUL599" s="584"/>
      <c r="OUM599" s="584"/>
      <c r="OUN599" s="584"/>
      <c r="OUO599" s="584"/>
      <c r="OUP599" s="584"/>
      <c r="OUQ599" s="584"/>
      <c r="OUR599" s="584"/>
      <c r="OUS599" s="584"/>
      <c r="OUT599" s="584"/>
      <c r="OUU599" s="584"/>
      <c r="OUV599" s="584"/>
      <c r="OUW599" s="584"/>
      <c r="OUX599" s="584"/>
      <c r="OUY599" s="584"/>
      <c r="OUZ599" s="584"/>
      <c r="OVA599" s="584"/>
      <c r="OVB599" s="584"/>
      <c r="OVC599" s="584"/>
      <c r="OVD599" s="584"/>
      <c r="OVE599" s="584"/>
      <c r="OVF599" s="584"/>
      <c r="OVG599" s="584"/>
      <c r="OVH599" s="584"/>
      <c r="OVI599" s="584"/>
      <c r="OVJ599" s="584"/>
      <c r="OVK599" s="584"/>
      <c r="OVL599" s="584"/>
      <c r="OVM599" s="584"/>
      <c r="OVN599" s="584"/>
      <c r="OVO599" s="584"/>
      <c r="OVP599" s="584"/>
      <c r="OVQ599" s="584"/>
      <c r="OVR599" s="584"/>
      <c r="OVS599" s="584"/>
      <c r="OVT599" s="584"/>
      <c r="OVU599" s="584"/>
      <c r="OVV599" s="584"/>
      <c r="OVW599" s="584"/>
      <c r="OVX599" s="584"/>
      <c r="OVY599" s="584"/>
      <c r="OVZ599" s="584"/>
      <c r="OWA599" s="584"/>
      <c r="OWB599" s="584"/>
      <c r="OWC599" s="584"/>
      <c r="OWD599" s="584"/>
      <c r="OWE599" s="584"/>
      <c r="OWF599" s="584"/>
      <c r="OWG599" s="584"/>
      <c r="OWH599" s="584"/>
      <c r="OWI599" s="584"/>
      <c r="OWJ599" s="584"/>
      <c r="OWK599" s="584"/>
      <c r="OWL599" s="584"/>
      <c r="OWM599" s="584"/>
      <c r="OWN599" s="584"/>
      <c r="OWO599" s="584"/>
      <c r="OWP599" s="584"/>
      <c r="OWQ599" s="584"/>
      <c r="OWR599" s="584"/>
      <c r="OWS599" s="584"/>
      <c r="OWT599" s="584"/>
      <c r="OWU599" s="584"/>
      <c r="OWV599" s="584"/>
      <c r="OWW599" s="584"/>
      <c r="OWX599" s="584"/>
      <c r="OWY599" s="584"/>
      <c r="OWZ599" s="584"/>
      <c r="OXA599" s="584"/>
      <c r="OXB599" s="584"/>
      <c r="OXC599" s="584"/>
      <c r="OXD599" s="584"/>
      <c r="OXE599" s="584"/>
      <c r="OXF599" s="584"/>
      <c r="OXG599" s="584"/>
      <c r="OXH599" s="584"/>
      <c r="OXI599" s="584"/>
      <c r="OXJ599" s="584"/>
      <c r="OXK599" s="584"/>
      <c r="OXL599" s="584"/>
      <c r="OXM599" s="584"/>
      <c r="OXN599" s="584"/>
      <c r="OXO599" s="584"/>
      <c r="OXP599" s="584"/>
      <c r="OXQ599" s="584"/>
      <c r="OXR599" s="584"/>
      <c r="OXS599" s="584"/>
      <c r="OXT599" s="584"/>
      <c r="OXU599" s="584"/>
      <c r="OXV599" s="584"/>
      <c r="OXW599" s="584"/>
      <c r="OXX599" s="584"/>
      <c r="OXY599" s="584"/>
      <c r="OXZ599" s="584"/>
      <c r="OYA599" s="584"/>
      <c r="OYB599" s="584"/>
      <c r="OYC599" s="584"/>
      <c r="OYD599" s="584"/>
      <c r="OYE599" s="584"/>
      <c r="OYF599" s="584"/>
      <c r="OYG599" s="584"/>
      <c r="OYH599" s="584"/>
      <c r="OYI599" s="584"/>
      <c r="OYJ599" s="584"/>
      <c r="OYK599" s="584"/>
      <c r="OYL599" s="584"/>
      <c r="OYM599" s="584"/>
      <c r="OYN599" s="584"/>
      <c r="OYO599" s="584"/>
      <c r="OYP599" s="584"/>
      <c r="OYQ599" s="584"/>
      <c r="OYR599" s="584"/>
      <c r="OYS599" s="584"/>
      <c r="OYT599" s="584"/>
      <c r="OYU599" s="584"/>
      <c r="OYV599" s="584"/>
      <c r="OYW599" s="584"/>
      <c r="OYX599" s="584"/>
      <c r="OYY599" s="584"/>
      <c r="OYZ599" s="584"/>
      <c r="OZA599" s="584"/>
      <c r="OZB599" s="584"/>
      <c r="OZC599" s="584"/>
      <c r="OZD599" s="584"/>
      <c r="OZE599" s="584"/>
      <c r="OZF599" s="584"/>
      <c r="OZG599" s="584"/>
      <c r="OZH599" s="584"/>
      <c r="OZI599" s="584"/>
      <c r="OZJ599" s="584"/>
      <c r="OZK599" s="584"/>
      <c r="OZL599" s="584"/>
      <c r="OZM599" s="584"/>
      <c r="OZN599" s="584"/>
      <c r="OZO599" s="584"/>
      <c r="OZP599" s="584"/>
      <c r="OZQ599" s="584"/>
      <c r="OZR599" s="584"/>
      <c r="OZS599" s="584"/>
      <c r="OZT599" s="584"/>
      <c r="OZU599" s="584"/>
      <c r="OZV599" s="584"/>
      <c r="OZW599" s="584"/>
      <c r="OZX599" s="584"/>
      <c r="OZY599" s="584"/>
      <c r="OZZ599" s="584"/>
      <c r="PAA599" s="584"/>
      <c r="PAB599" s="584"/>
      <c r="PAC599" s="584"/>
      <c r="PAD599" s="584"/>
      <c r="PAE599" s="584"/>
      <c r="PAF599" s="584"/>
      <c r="PAG599" s="584"/>
      <c r="PAH599" s="584"/>
      <c r="PAI599" s="584"/>
      <c r="PAJ599" s="584"/>
      <c r="PAK599" s="584"/>
      <c r="PAL599" s="584"/>
      <c r="PAM599" s="584"/>
      <c r="PAN599" s="584"/>
      <c r="PAO599" s="584"/>
      <c r="PAP599" s="584"/>
      <c r="PAQ599" s="584"/>
      <c r="PAR599" s="584"/>
      <c r="PAS599" s="584"/>
      <c r="PAT599" s="584"/>
      <c r="PAU599" s="584"/>
      <c r="PAV599" s="584"/>
      <c r="PAW599" s="584"/>
      <c r="PAX599" s="584"/>
      <c r="PAY599" s="584"/>
      <c r="PAZ599" s="584"/>
      <c r="PBA599" s="584"/>
      <c r="PBB599" s="584"/>
      <c r="PBC599" s="584"/>
      <c r="PBD599" s="584"/>
      <c r="PBE599" s="584"/>
      <c r="PBF599" s="584"/>
      <c r="PBG599" s="584"/>
      <c r="PBH599" s="584"/>
      <c r="PBI599" s="584"/>
      <c r="PBJ599" s="584"/>
      <c r="PBK599" s="584"/>
      <c r="PBL599" s="584"/>
      <c r="PBM599" s="584"/>
      <c r="PBN599" s="584"/>
      <c r="PBO599" s="584"/>
      <c r="PBP599" s="584"/>
      <c r="PBQ599" s="584"/>
      <c r="PBR599" s="584"/>
      <c r="PBS599" s="584"/>
      <c r="PBT599" s="584"/>
      <c r="PBU599" s="584"/>
      <c r="PBV599" s="584"/>
      <c r="PBW599" s="584"/>
      <c r="PBX599" s="584"/>
      <c r="PBY599" s="584"/>
      <c r="PBZ599" s="584"/>
      <c r="PCA599" s="584"/>
      <c r="PCB599" s="584"/>
      <c r="PCC599" s="584"/>
      <c r="PCD599" s="584"/>
      <c r="PCE599" s="584"/>
      <c r="PCF599" s="584"/>
      <c r="PCG599" s="584"/>
      <c r="PCH599" s="584"/>
      <c r="PCI599" s="584"/>
      <c r="PCJ599" s="584"/>
      <c r="PCK599" s="584"/>
      <c r="PCL599" s="584"/>
      <c r="PCM599" s="584"/>
      <c r="PCN599" s="584"/>
      <c r="PCO599" s="584"/>
      <c r="PCP599" s="584"/>
      <c r="PCQ599" s="584"/>
      <c r="PCR599" s="584"/>
      <c r="PCS599" s="584"/>
      <c r="PCT599" s="584"/>
      <c r="PCU599" s="584"/>
      <c r="PCV599" s="584"/>
      <c r="PCW599" s="584"/>
      <c r="PCX599" s="584"/>
      <c r="PCY599" s="584"/>
      <c r="PCZ599" s="584"/>
      <c r="PDA599" s="584"/>
      <c r="PDB599" s="584"/>
      <c r="PDC599" s="584"/>
      <c r="PDD599" s="584"/>
      <c r="PDE599" s="584"/>
      <c r="PDF599" s="584"/>
      <c r="PDG599" s="584"/>
      <c r="PDH599" s="584"/>
      <c r="PDI599" s="584"/>
      <c r="PDJ599" s="584"/>
      <c r="PDK599" s="584"/>
      <c r="PDL599" s="584"/>
      <c r="PDM599" s="584"/>
      <c r="PDN599" s="584"/>
      <c r="PDO599" s="584"/>
      <c r="PDP599" s="584"/>
      <c r="PDQ599" s="584"/>
      <c r="PDR599" s="584"/>
      <c r="PDS599" s="584"/>
      <c r="PDT599" s="584"/>
      <c r="PDU599" s="584"/>
      <c r="PDV599" s="584"/>
      <c r="PDW599" s="584"/>
      <c r="PDX599" s="584"/>
      <c r="PDY599" s="584"/>
      <c r="PDZ599" s="584"/>
      <c r="PEA599" s="584"/>
      <c r="PEB599" s="584"/>
      <c r="PEC599" s="584"/>
      <c r="PED599" s="584"/>
      <c r="PEE599" s="584"/>
      <c r="PEF599" s="584"/>
      <c r="PEG599" s="584"/>
      <c r="PEH599" s="584"/>
      <c r="PEI599" s="584"/>
      <c r="PEJ599" s="584"/>
      <c r="PEK599" s="584"/>
      <c r="PEL599" s="584"/>
      <c r="PEM599" s="584"/>
      <c r="PEN599" s="584"/>
      <c r="PEO599" s="584"/>
      <c r="PEP599" s="584"/>
      <c r="PEQ599" s="584"/>
      <c r="PER599" s="584"/>
      <c r="PES599" s="584"/>
      <c r="PET599" s="584"/>
      <c r="PEU599" s="584"/>
      <c r="PEV599" s="584"/>
      <c r="PEW599" s="584"/>
      <c r="PEX599" s="584"/>
      <c r="PEY599" s="584"/>
      <c r="PEZ599" s="584"/>
      <c r="PFA599" s="584"/>
      <c r="PFB599" s="584"/>
      <c r="PFC599" s="584"/>
      <c r="PFD599" s="584"/>
      <c r="PFE599" s="584"/>
      <c r="PFF599" s="584"/>
      <c r="PFG599" s="584"/>
      <c r="PFH599" s="584"/>
      <c r="PFI599" s="584"/>
      <c r="PFJ599" s="584"/>
      <c r="PFK599" s="584"/>
      <c r="PFL599" s="584"/>
      <c r="PFM599" s="584"/>
      <c r="PFN599" s="584"/>
      <c r="PFO599" s="584"/>
      <c r="PFP599" s="584"/>
      <c r="PFQ599" s="584"/>
      <c r="PFR599" s="584"/>
      <c r="PFS599" s="584"/>
      <c r="PFT599" s="584"/>
      <c r="PFU599" s="584"/>
      <c r="PFV599" s="584"/>
      <c r="PFW599" s="584"/>
      <c r="PFX599" s="584"/>
      <c r="PFY599" s="584"/>
      <c r="PFZ599" s="584"/>
      <c r="PGA599" s="584"/>
      <c r="PGB599" s="584"/>
      <c r="PGC599" s="584"/>
      <c r="PGD599" s="584"/>
      <c r="PGE599" s="584"/>
      <c r="PGF599" s="584"/>
      <c r="PGG599" s="584"/>
      <c r="PGH599" s="584"/>
      <c r="PGI599" s="584"/>
      <c r="PGJ599" s="584"/>
      <c r="PGK599" s="584"/>
      <c r="PGL599" s="584"/>
      <c r="PGM599" s="584"/>
      <c r="PGN599" s="584"/>
      <c r="PGO599" s="584"/>
      <c r="PGP599" s="584"/>
      <c r="PGQ599" s="584"/>
      <c r="PGR599" s="584"/>
      <c r="PGS599" s="584"/>
      <c r="PGT599" s="584"/>
      <c r="PGU599" s="584"/>
      <c r="PGV599" s="584"/>
      <c r="PGW599" s="584"/>
      <c r="PGX599" s="584"/>
      <c r="PGY599" s="584"/>
      <c r="PGZ599" s="584"/>
      <c r="PHA599" s="584"/>
      <c r="PHB599" s="584"/>
      <c r="PHC599" s="584"/>
      <c r="PHD599" s="584"/>
      <c r="PHE599" s="584"/>
      <c r="PHF599" s="584"/>
      <c r="PHG599" s="584"/>
      <c r="PHH599" s="584"/>
      <c r="PHI599" s="584"/>
      <c r="PHJ599" s="584"/>
      <c r="PHK599" s="584"/>
      <c r="PHL599" s="584"/>
      <c r="PHM599" s="584"/>
      <c r="PHN599" s="584"/>
      <c r="PHO599" s="584"/>
      <c r="PHP599" s="584"/>
      <c r="PHQ599" s="584"/>
      <c r="PHR599" s="584"/>
      <c r="PHS599" s="584"/>
      <c r="PHT599" s="584"/>
      <c r="PHU599" s="584"/>
      <c r="PHV599" s="584"/>
      <c r="PHW599" s="584"/>
      <c r="PHX599" s="584"/>
      <c r="PHY599" s="584"/>
      <c r="PHZ599" s="584"/>
      <c r="PIA599" s="584"/>
      <c r="PIB599" s="584"/>
      <c r="PIC599" s="584"/>
      <c r="PID599" s="584"/>
      <c r="PIE599" s="584"/>
      <c r="PIF599" s="584"/>
      <c r="PIG599" s="584"/>
      <c r="PIH599" s="584"/>
      <c r="PII599" s="584"/>
      <c r="PIJ599" s="584"/>
      <c r="PIK599" s="584"/>
      <c r="PIL599" s="584"/>
      <c r="PIM599" s="584"/>
      <c r="PIN599" s="584"/>
      <c r="PIO599" s="584"/>
      <c r="PIP599" s="584"/>
      <c r="PIQ599" s="584"/>
      <c r="PIR599" s="584"/>
      <c r="PIS599" s="584"/>
      <c r="PIT599" s="584"/>
      <c r="PIU599" s="584"/>
      <c r="PIV599" s="584"/>
      <c r="PIW599" s="584"/>
      <c r="PIX599" s="584"/>
      <c r="PIY599" s="584"/>
      <c r="PIZ599" s="584"/>
      <c r="PJA599" s="584"/>
      <c r="PJB599" s="584"/>
      <c r="PJC599" s="584"/>
      <c r="PJD599" s="584"/>
      <c r="PJE599" s="584"/>
      <c r="PJF599" s="584"/>
      <c r="PJG599" s="584"/>
      <c r="PJH599" s="584"/>
      <c r="PJI599" s="584"/>
      <c r="PJJ599" s="584"/>
      <c r="PJK599" s="584"/>
      <c r="PJL599" s="584"/>
      <c r="PJM599" s="584"/>
      <c r="PJN599" s="584"/>
      <c r="PJO599" s="584"/>
      <c r="PJP599" s="584"/>
      <c r="PJQ599" s="584"/>
      <c r="PJR599" s="584"/>
      <c r="PJS599" s="584"/>
      <c r="PJT599" s="584"/>
      <c r="PJU599" s="584"/>
      <c r="PJV599" s="584"/>
      <c r="PJW599" s="584"/>
      <c r="PJX599" s="584"/>
      <c r="PJY599" s="584"/>
      <c r="PJZ599" s="584"/>
      <c r="PKA599" s="584"/>
      <c r="PKB599" s="584"/>
      <c r="PKC599" s="584"/>
      <c r="PKD599" s="584"/>
      <c r="PKE599" s="584"/>
      <c r="PKF599" s="584"/>
      <c r="PKG599" s="584"/>
      <c r="PKH599" s="584"/>
      <c r="PKI599" s="584"/>
      <c r="PKJ599" s="584"/>
      <c r="PKK599" s="584"/>
      <c r="PKL599" s="584"/>
      <c r="PKM599" s="584"/>
      <c r="PKN599" s="584"/>
      <c r="PKO599" s="584"/>
      <c r="PKP599" s="584"/>
      <c r="PKQ599" s="584"/>
      <c r="PKR599" s="584"/>
      <c r="PKS599" s="584"/>
      <c r="PKT599" s="584"/>
      <c r="PKU599" s="584"/>
      <c r="PKV599" s="584"/>
      <c r="PKW599" s="584"/>
      <c r="PKX599" s="584"/>
      <c r="PKY599" s="584"/>
      <c r="PKZ599" s="584"/>
      <c r="PLA599" s="584"/>
      <c r="PLB599" s="584"/>
      <c r="PLC599" s="584"/>
      <c r="PLD599" s="584"/>
      <c r="PLE599" s="584"/>
      <c r="PLF599" s="584"/>
      <c r="PLG599" s="584"/>
      <c r="PLH599" s="584"/>
      <c r="PLI599" s="584"/>
      <c r="PLJ599" s="584"/>
      <c r="PLK599" s="584"/>
      <c r="PLL599" s="584"/>
      <c r="PLM599" s="584"/>
      <c r="PLN599" s="584"/>
      <c r="PLO599" s="584"/>
      <c r="PLP599" s="584"/>
      <c r="PLQ599" s="584"/>
      <c r="PLR599" s="584"/>
      <c r="PLS599" s="584"/>
      <c r="PLT599" s="584"/>
      <c r="PLU599" s="584"/>
      <c r="PLV599" s="584"/>
      <c r="PLW599" s="584"/>
      <c r="PLX599" s="584"/>
      <c r="PLY599" s="584"/>
      <c r="PLZ599" s="584"/>
      <c r="PMA599" s="584"/>
      <c r="PMB599" s="584"/>
      <c r="PMC599" s="584"/>
      <c r="PMD599" s="584"/>
      <c r="PME599" s="584"/>
      <c r="PMF599" s="584"/>
      <c r="PMG599" s="584"/>
      <c r="PMH599" s="584"/>
      <c r="PMI599" s="584"/>
      <c r="PMJ599" s="584"/>
      <c r="PMK599" s="584"/>
      <c r="PML599" s="584"/>
      <c r="PMM599" s="584"/>
      <c r="PMN599" s="584"/>
      <c r="PMO599" s="584"/>
      <c r="PMP599" s="584"/>
      <c r="PMQ599" s="584"/>
      <c r="PMR599" s="584"/>
      <c r="PMS599" s="584"/>
      <c r="PMT599" s="584"/>
      <c r="PMU599" s="584"/>
      <c r="PMV599" s="584"/>
      <c r="PMW599" s="584"/>
      <c r="PMX599" s="584"/>
      <c r="PMY599" s="584"/>
      <c r="PMZ599" s="584"/>
      <c r="PNA599" s="584"/>
      <c r="PNB599" s="584"/>
      <c r="PNC599" s="584"/>
      <c r="PND599" s="584"/>
      <c r="PNE599" s="584"/>
      <c r="PNF599" s="584"/>
      <c r="PNG599" s="584"/>
      <c r="PNH599" s="584"/>
      <c r="PNI599" s="584"/>
      <c r="PNJ599" s="584"/>
      <c r="PNK599" s="584"/>
      <c r="PNL599" s="584"/>
      <c r="PNM599" s="584"/>
      <c r="PNN599" s="584"/>
      <c r="PNO599" s="584"/>
      <c r="PNP599" s="584"/>
      <c r="PNQ599" s="584"/>
      <c r="PNR599" s="584"/>
      <c r="PNS599" s="584"/>
      <c r="PNT599" s="584"/>
      <c r="PNU599" s="584"/>
      <c r="PNV599" s="584"/>
      <c r="PNW599" s="584"/>
      <c r="PNX599" s="584"/>
      <c r="PNY599" s="584"/>
      <c r="PNZ599" s="584"/>
      <c r="POA599" s="584"/>
      <c r="POB599" s="584"/>
      <c r="POC599" s="584"/>
      <c r="POD599" s="584"/>
      <c r="POE599" s="584"/>
      <c r="POF599" s="584"/>
      <c r="POG599" s="584"/>
      <c r="POH599" s="584"/>
      <c r="POI599" s="584"/>
      <c r="POJ599" s="584"/>
      <c r="POK599" s="584"/>
      <c r="POL599" s="584"/>
      <c r="POM599" s="584"/>
      <c r="PON599" s="584"/>
      <c r="POO599" s="584"/>
      <c r="POP599" s="584"/>
      <c r="POQ599" s="584"/>
      <c r="POR599" s="584"/>
      <c r="POS599" s="584"/>
      <c r="POT599" s="584"/>
      <c r="POU599" s="584"/>
      <c r="POV599" s="584"/>
      <c r="POW599" s="584"/>
      <c r="POX599" s="584"/>
      <c r="POY599" s="584"/>
      <c r="POZ599" s="584"/>
      <c r="PPA599" s="584"/>
      <c r="PPB599" s="584"/>
      <c r="PPC599" s="584"/>
      <c r="PPD599" s="584"/>
      <c r="PPE599" s="584"/>
      <c r="PPF599" s="584"/>
      <c r="PPG599" s="584"/>
      <c r="PPH599" s="584"/>
      <c r="PPI599" s="584"/>
      <c r="PPJ599" s="584"/>
      <c r="PPK599" s="584"/>
      <c r="PPL599" s="584"/>
      <c r="PPM599" s="584"/>
      <c r="PPN599" s="584"/>
      <c r="PPO599" s="584"/>
      <c r="PPP599" s="584"/>
      <c r="PPQ599" s="584"/>
      <c r="PPR599" s="584"/>
      <c r="PPS599" s="584"/>
      <c r="PPT599" s="584"/>
      <c r="PPU599" s="584"/>
      <c r="PPV599" s="584"/>
      <c r="PPW599" s="584"/>
      <c r="PPX599" s="584"/>
      <c r="PPY599" s="584"/>
      <c r="PPZ599" s="584"/>
      <c r="PQA599" s="584"/>
      <c r="PQB599" s="584"/>
      <c r="PQC599" s="584"/>
      <c r="PQD599" s="584"/>
      <c r="PQE599" s="584"/>
      <c r="PQF599" s="584"/>
      <c r="PQG599" s="584"/>
      <c r="PQH599" s="584"/>
      <c r="PQI599" s="584"/>
      <c r="PQJ599" s="584"/>
      <c r="PQK599" s="584"/>
      <c r="PQL599" s="584"/>
      <c r="PQM599" s="584"/>
      <c r="PQN599" s="584"/>
      <c r="PQO599" s="584"/>
      <c r="PQP599" s="584"/>
      <c r="PQQ599" s="584"/>
      <c r="PQR599" s="584"/>
      <c r="PQS599" s="584"/>
      <c r="PQT599" s="584"/>
      <c r="PQU599" s="584"/>
      <c r="PQV599" s="584"/>
      <c r="PQW599" s="584"/>
      <c r="PQX599" s="584"/>
      <c r="PQY599" s="584"/>
      <c r="PQZ599" s="584"/>
      <c r="PRA599" s="584"/>
      <c r="PRB599" s="584"/>
      <c r="PRC599" s="584"/>
      <c r="PRD599" s="584"/>
      <c r="PRE599" s="584"/>
      <c r="PRF599" s="584"/>
      <c r="PRG599" s="584"/>
      <c r="PRH599" s="584"/>
      <c r="PRI599" s="584"/>
      <c r="PRJ599" s="584"/>
      <c r="PRK599" s="584"/>
      <c r="PRL599" s="584"/>
      <c r="PRM599" s="584"/>
      <c r="PRN599" s="584"/>
      <c r="PRO599" s="584"/>
      <c r="PRP599" s="584"/>
      <c r="PRQ599" s="584"/>
      <c r="PRR599" s="584"/>
      <c r="PRS599" s="584"/>
      <c r="PRT599" s="584"/>
      <c r="PRU599" s="584"/>
      <c r="PRV599" s="584"/>
      <c r="PRW599" s="584"/>
      <c r="PRX599" s="584"/>
      <c r="PRY599" s="584"/>
      <c r="PRZ599" s="584"/>
      <c r="PSA599" s="584"/>
      <c r="PSB599" s="584"/>
      <c r="PSC599" s="584"/>
      <c r="PSD599" s="584"/>
      <c r="PSE599" s="584"/>
      <c r="PSF599" s="584"/>
      <c r="PSG599" s="584"/>
      <c r="PSH599" s="584"/>
      <c r="PSI599" s="584"/>
      <c r="PSJ599" s="584"/>
      <c r="PSK599" s="584"/>
      <c r="PSL599" s="584"/>
      <c r="PSM599" s="584"/>
      <c r="PSN599" s="584"/>
      <c r="PSO599" s="584"/>
      <c r="PSP599" s="584"/>
      <c r="PSQ599" s="584"/>
      <c r="PSR599" s="584"/>
      <c r="PSS599" s="584"/>
      <c r="PST599" s="584"/>
      <c r="PSU599" s="584"/>
      <c r="PSV599" s="584"/>
      <c r="PSW599" s="584"/>
      <c r="PSX599" s="584"/>
      <c r="PSY599" s="584"/>
      <c r="PSZ599" s="584"/>
      <c r="PTA599" s="584"/>
      <c r="PTB599" s="584"/>
      <c r="PTC599" s="584"/>
      <c r="PTD599" s="584"/>
      <c r="PTE599" s="584"/>
      <c r="PTF599" s="584"/>
      <c r="PTG599" s="584"/>
      <c r="PTH599" s="584"/>
      <c r="PTI599" s="584"/>
      <c r="PTJ599" s="584"/>
      <c r="PTK599" s="584"/>
      <c r="PTL599" s="584"/>
      <c r="PTM599" s="584"/>
      <c r="PTN599" s="584"/>
      <c r="PTO599" s="584"/>
      <c r="PTP599" s="584"/>
      <c r="PTQ599" s="584"/>
      <c r="PTR599" s="584"/>
      <c r="PTS599" s="584"/>
      <c r="PTT599" s="584"/>
      <c r="PTU599" s="584"/>
      <c r="PTV599" s="584"/>
      <c r="PTW599" s="584"/>
      <c r="PTX599" s="584"/>
      <c r="PTY599" s="584"/>
      <c r="PTZ599" s="584"/>
      <c r="PUA599" s="584"/>
      <c r="PUB599" s="584"/>
      <c r="PUC599" s="584"/>
      <c r="PUD599" s="584"/>
      <c r="PUE599" s="584"/>
      <c r="PUF599" s="584"/>
      <c r="PUG599" s="584"/>
      <c r="PUH599" s="584"/>
      <c r="PUI599" s="584"/>
      <c r="PUJ599" s="584"/>
      <c r="PUK599" s="584"/>
      <c r="PUL599" s="584"/>
      <c r="PUM599" s="584"/>
      <c r="PUN599" s="584"/>
      <c r="PUO599" s="584"/>
      <c r="PUP599" s="584"/>
      <c r="PUQ599" s="584"/>
      <c r="PUR599" s="584"/>
      <c r="PUS599" s="584"/>
      <c r="PUT599" s="584"/>
      <c r="PUU599" s="584"/>
      <c r="PUV599" s="584"/>
      <c r="PUW599" s="584"/>
      <c r="PUX599" s="584"/>
      <c r="PUY599" s="584"/>
      <c r="PUZ599" s="584"/>
      <c r="PVA599" s="584"/>
      <c r="PVB599" s="584"/>
      <c r="PVC599" s="584"/>
      <c r="PVD599" s="584"/>
      <c r="PVE599" s="584"/>
      <c r="PVF599" s="584"/>
      <c r="PVG599" s="584"/>
      <c r="PVH599" s="584"/>
      <c r="PVI599" s="584"/>
      <c r="PVJ599" s="584"/>
      <c r="PVK599" s="584"/>
      <c r="PVL599" s="584"/>
      <c r="PVM599" s="584"/>
      <c r="PVN599" s="584"/>
      <c r="PVO599" s="584"/>
      <c r="PVP599" s="584"/>
      <c r="PVQ599" s="584"/>
      <c r="PVR599" s="584"/>
      <c r="PVS599" s="584"/>
      <c r="PVT599" s="584"/>
      <c r="PVU599" s="584"/>
      <c r="PVV599" s="584"/>
      <c r="PVW599" s="584"/>
      <c r="PVX599" s="584"/>
      <c r="PVY599" s="584"/>
      <c r="PVZ599" s="584"/>
      <c r="PWA599" s="584"/>
      <c r="PWB599" s="584"/>
      <c r="PWC599" s="584"/>
      <c r="PWD599" s="584"/>
      <c r="PWE599" s="584"/>
      <c r="PWF599" s="584"/>
      <c r="PWG599" s="584"/>
      <c r="PWH599" s="584"/>
      <c r="PWI599" s="584"/>
      <c r="PWJ599" s="584"/>
      <c r="PWK599" s="584"/>
      <c r="PWL599" s="584"/>
      <c r="PWM599" s="584"/>
      <c r="PWN599" s="584"/>
      <c r="PWO599" s="584"/>
      <c r="PWP599" s="584"/>
      <c r="PWQ599" s="584"/>
      <c r="PWR599" s="584"/>
      <c r="PWS599" s="584"/>
      <c r="PWT599" s="584"/>
      <c r="PWU599" s="584"/>
      <c r="PWV599" s="584"/>
      <c r="PWW599" s="584"/>
      <c r="PWX599" s="584"/>
      <c r="PWY599" s="584"/>
      <c r="PWZ599" s="584"/>
      <c r="PXA599" s="584"/>
      <c r="PXB599" s="584"/>
      <c r="PXC599" s="584"/>
      <c r="PXD599" s="584"/>
      <c r="PXE599" s="584"/>
      <c r="PXF599" s="584"/>
      <c r="PXG599" s="584"/>
      <c r="PXH599" s="584"/>
      <c r="PXI599" s="584"/>
      <c r="PXJ599" s="584"/>
      <c r="PXK599" s="584"/>
      <c r="PXL599" s="584"/>
      <c r="PXM599" s="584"/>
      <c r="PXN599" s="584"/>
      <c r="PXO599" s="584"/>
      <c r="PXP599" s="584"/>
      <c r="PXQ599" s="584"/>
      <c r="PXR599" s="584"/>
      <c r="PXS599" s="584"/>
      <c r="PXT599" s="584"/>
      <c r="PXU599" s="584"/>
      <c r="PXV599" s="584"/>
      <c r="PXW599" s="584"/>
      <c r="PXX599" s="584"/>
      <c r="PXY599" s="584"/>
      <c r="PXZ599" s="584"/>
      <c r="PYA599" s="584"/>
      <c r="PYB599" s="584"/>
      <c r="PYC599" s="584"/>
      <c r="PYD599" s="584"/>
      <c r="PYE599" s="584"/>
      <c r="PYF599" s="584"/>
      <c r="PYG599" s="584"/>
      <c r="PYH599" s="584"/>
      <c r="PYI599" s="584"/>
      <c r="PYJ599" s="584"/>
      <c r="PYK599" s="584"/>
      <c r="PYL599" s="584"/>
      <c r="PYM599" s="584"/>
      <c r="PYN599" s="584"/>
      <c r="PYO599" s="584"/>
      <c r="PYP599" s="584"/>
      <c r="PYQ599" s="584"/>
      <c r="PYR599" s="584"/>
      <c r="PYS599" s="584"/>
      <c r="PYT599" s="584"/>
      <c r="PYU599" s="584"/>
      <c r="PYV599" s="584"/>
      <c r="PYW599" s="584"/>
      <c r="PYX599" s="584"/>
      <c r="PYY599" s="584"/>
      <c r="PYZ599" s="584"/>
      <c r="PZA599" s="584"/>
      <c r="PZB599" s="584"/>
      <c r="PZC599" s="584"/>
      <c r="PZD599" s="584"/>
      <c r="PZE599" s="584"/>
      <c r="PZF599" s="584"/>
      <c r="PZG599" s="584"/>
      <c r="PZH599" s="584"/>
      <c r="PZI599" s="584"/>
      <c r="PZJ599" s="584"/>
      <c r="PZK599" s="584"/>
      <c r="PZL599" s="584"/>
      <c r="PZM599" s="584"/>
      <c r="PZN599" s="584"/>
      <c r="PZO599" s="584"/>
      <c r="PZP599" s="584"/>
      <c r="PZQ599" s="584"/>
      <c r="PZR599" s="584"/>
      <c r="PZS599" s="584"/>
      <c r="PZT599" s="584"/>
      <c r="PZU599" s="584"/>
      <c r="PZV599" s="584"/>
      <c r="PZW599" s="584"/>
      <c r="PZX599" s="584"/>
      <c r="PZY599" s="584"/>
      <c r="PZZ599" s="584"/>
      <c r="QAA599" s="584"/>
      <c r="QAB599" s="584"/>
      <c r="QAC599" s="584"/>
      <c r="QAD599" s="584"/>
      <c r="QAE599" s="584"/>
      <c r="QAF599" s="584"/>
      <c r="QAG599" s="584"/>
      <c r="QAH599" s="584"/>
      <c r="QAI599" s="584"/>
      <c r="QAJ599" s="584"/>
      <c r="QAK599" s="584"/>
      <c r="QAL599" s="584"/>
      <c r="QAM599" s="584"/>
      <c r="QAN599" s="584"/>
      <c r="QAO599" s="584"/>
      <c r="QAP599" s="584"/>
      <c r="QAQ599" s="584"/>
      <c r="QAR599" s="584"/>
      <c r="QAS599" s="584"/>
      <c r="QAT599" s="584"/>
      <c r="QAU599" s="584"/>
      <c r="QAV599" s="584"/>
      <c r="QAW599" s="584"/>
      <c r="QAX599" s="584"/>
      <c r="QAY599" s="584"/>
      <c r="QAZ599" s="584"/>
      <c r="QBA599" s="584"/>
      <c r="QBB599" s="584"/>
      <c r="QBC599" s="584"/>
      <c r="QBD599" s="584"/>
      <c r="QBE599" s="584"/>
      <c r="QBF599" s="584"/>
      <c r="QBG599" s="584"/>
      <c r="QBH599" s="584"/>
      <c r="QBI599" s="584"/>
      <c r="QBJ599" s="584"/>
      <c r="QBK599" s="584"/>
      <c r="QBL599" s="584"/>
      <c r="QBM599" s="584"/>
      <c r="QBN599" s="584"/>
      <c r="QBO599" s="584"/>
      <c r="QBP599" s="584"/>
      <c r="QBQ599" s="584"/>
      <c r="QBR599" s="584"/>
      <c r="QBS599" s="584"/>
      <c r="QBT599" s="584"/>
      <c r="QBU599" s="584"/>
      <c r="QBV599" s="584"/>
      <c r="QBW599" s="584"/>
      <c r="QBX599" s="584"/>
      <c r="QBY599" s="584"/>
      <c r="QBZ599" s="584"/>
      <c r="QCA599" s="584"/>
      <c r="QCB599" s="584"/>
      <c r="QCC599" s="584"/>
      <c r="QCD599" s="584"/>
      <c r="QCE599" s="584"/>
      <c r="QCF599" s="584"/>
      <c r="QCG599" s="584"/>
      <c r="QCH599" s="584"/>
      <c r="QCI599" s="584"/>
      <c r="QCJ599" s="584"/>
      <c r="QCK599" s="584"/>
      <c r="QCL599" s="584"/>
      <c r="QCM599" s="584"/>
      <c r="QCN599" s="584"/>
      <c r="QCO599" s="584"/>
      <c r="QCP599" s="584"/>
      <c r="QCQ599" s="584"/>
      <c r="QCR599" s="584"/>
      <c r="QCS599" s="584"/>
      <c r="QCT599" s="584"/>
      <c r="QCU599" s="584"/>
      <c r="QCV599" s="584"/>
      <c r="QCW599" s="584"/>
      <c r="QCX599" s="584"/>
      <c r="QCY599" s="584"/>
      <c r="QCZ599" s="584"/>
      <c r="QDA599" s="584"/>
      <c r="QDB599" s="584"/>
      <c r="QDC599" s="584"/>
      <c r="QDD599" s="584"/>
      <c r="QDE599" s="584"/>
      <c r="QDF599" s="584"/>
      <c r="QDG599" s="584"/>
      <c r="QDH599" s="584"/>
      <c r="QDI599" s="584"/>
      <c r="QDJ599" s="584"/>
      <c r="QDK599" s="584"/>
      <c r="QDL599" s="584"/>
      <c r="QDM599" s="584"/>
      <c r="QDN599" s="584"/>
      <c r="QDO599" s="584"/>
      <c r="QDP599" s="584"/>
      <c r="QDQ599" s="584"/>
      <c r="QDR599" s="584"/>
      <c r="QDS599" s="584"/>
      <c r="QDT599" s="584"/>
      <c r="QDU599" s="584"/>
      <c r="QDV599" s="584"/>
      <c r="QDW599" s="584"/>
      <c r="QDX599" s="584"/>
      <c r="QDY599" s="584"/>
      <c r="QDZ599" s="584"/>
      <c r="QEA599" s="584"/>
      <c r="QEB599" s="584"/>
      <c r="QEC599" s="584"/>
      <c r="QED599" s="584"/>
      <c r="QEE599" s="584"/>
      <c r="QEF599" s="584"/>
      <c r="QEG599" s="584"/>
      <c r="QEH599" s="584"/>
      <c r="QEI599" s="584"/>
      <c r="QEJ599" s="584"/>
      <c r="QEK599" s="584"/>
      <c r="QEL599" s="584"/>
      <c r="QEM599" s="584"/>
      <c r="QEN599" s="584"/>
      <c r="QEO599" s="584"/>
      <c r="QEP599" s="584"/>
      <c r="QEQ599" s="584"/>
      <c r="QER599" s="584"/>
      <c r="QES599" s="584"/>
      <c r="QET599" s="584"/>
      <c r="QEU599" s="584"/>
      <c r="QEV599" s="584"/>
      <c r="QEW599" s="584"/>
      <c r="QEX599" s="584"/>
      <c r="QEY599" s="584"/>
      <c r="QEZ599" s="584"/>
      <c r="QFA599" s="584"/>
      <c r="QFB599" s="584"/>
      <c r="QFC599" s="584"/>
      <c r="QFD599" s="584"/>
      <c r="QFE599" s="584"/>
      <c r="QFF599" s="584"/>
      <c r="QFG599" s="584"/>
      <c r="QFH599" s="584"/>
      <c r="QFI599" s="584"/>
      <c r="QFJ599" s="584"/>
      <c r="QFK599" s="584"/>
      <c r="QFL599" s="584"/>
      <c r="QFM599" s="584"/>
      <c r="QFN599" s="584"/>
      <c r="QFO599" s="584"/>
      <c r="QFP599" s="584"/>
      <c r="QFQ599" s="584"/>
      <c r="QFR599" s="584"/>
      <c r="QFS599" s="584"/>
      <c r="QFT599" s="584"/>
      <c r="QFU599" s="584"/>
      <c r="QFV599" s="584"/>
      <c r="QFW599" s="584"/>
      <c r="QFX599" s="584"/>
      <c r="QFY599" s="584"/>
      <c r="QFZ599" s="584"/>
      <c r="QGA599" s="584"/>
      <c r="QGB599" s="584"/>
      <c r="QGC599" s="584"/>
      <c r="QGD599" s="584"/>
      <c r="QGE599" s="584"/>
      <c r="QGF599" s="584"/>
      <c r="QGG599" s="584"/>
      <c r="QGH599" s="584"/>
      <c r="QGI599" s="584"/>
      <c r="QGJ599" s="584"/>
      <c r="QGK599" s="584"/>
      <c r="QGL599" s="584"/>
      <c r="QGM599" s="584"/>
      <c r="QGN599" s="584"/>
      <c r="QGO599" s="584"/>
      <c r="QGP599" s="584"/>
      <c r="QGQ599" s="584"/>
      <c r="QGR599" s="584"/>
      <c r="QGS599" s="584"/>
      <c r="QGT599" s="584"/>
      <c r="QGU599" s="584"/>
      <c r="QGV599" s="584"/>
      <c r="QGW599" s="584"/>
      <c r="QGX599" s="584"/>
      <c r="QGY599" s="584"/>
      <c r="QGZ599" s="584"/>
      <c r="QHA599" s="584"/>
      <c r="QHB599" s="584"/>
      <c r="QHC599" s="584"/>
      <c r="QHD599" s="584"/>
      <c r="QHE599" s="584"/>
      <c r="QHF599" s="584"/>
      <c r="QHG599" s="584"/>
      <c r="QHH599" s="584"/>
      <c r="QHI599" s="584"/>
      <c r="QHJ599" s="584"/>
      <c r="QHK599" s="584"/>
      <c r="QHL599" s="584"/>
      <c r="QHM599" s="584"/>
      <c r="QHN599" s="584"/>
      <c r="QHO599" s="584"/>
      <c r="QHP599" s="584"/>
      <c r="QHQ599" s="584"/>
      <c r="QHR599" s="584"/>
      <c r="QHS599" s="584"/>
      <c r="QHT599" s="584"/>
      <c r="QHU599" s="584"/>
      <c r="QHV599" s="584"/>
      <c r="QHW599" s="584"/>
      <c r="QHX599" s="584"/>
      <c r="QHY599" s="584"/>
      <c r="QHZ599" s="584"/>
      <c r="QIA599" s="584"/>
      <c r="QIB599" s="584"/>
      <c r="QIC599" s="584"/>
      <c r="QID599" s="584"/>
      <c r="QIE599" s="584"/>
      <c r="QIF599" s="584"/>
      <c r="QIG599" s="584"/>
      <c r="QIH599" s="584"/>
      <c r="QII599" s="584"/>
      <c r="QIJ599" s="584"/>
      <c r="QIK599" s="584"/>
      <c r="QIL599" s="584"/>
      <c r="QIM599" s="584"/>
      <c r="QIN599" s="584"/>
      <c r="QIO599" s="584"/>
      <c r="QIP599" s="584"/>
      <c r="QIQ599" s="584"/>
      <c r="QIR599" s="584"/>
      <c r="QIS599" s="584"/>
      <c r="QIT599" s="584"/>
      <c r="QIU599" s="584"/>
      <c r="QIV599" s="584"/>
      <c r="QIW599" s="584"/>
      <c r="QIX599" s="584"/>
      <c r="QIY599" s="584"/>
      <c r="QIZ599" s="584"/>
      <c r="QJA599" s="584"/>
      <c r="QJB599" s="584"/>
      <c r="QJC599" s="584"/>
      <c r="QJD599" s="584"/>
      <c r="QJE599" s="584"/>
      <c r="QJF599" s="584"/>
      <c r="QJG599" s="584"/>
      <c r="QJH599" s="584"/>
      <c r="QJI599" s="584"/>
      <c r="QJJ599" s="584"/>
      <c r="QJK599" s="584"/>
      <c r="QJL599" s="584"/>
      <c r="QJM599" s="584"/>
      <c r="QJN599" s="584"/>
      <c r="QJO599" s="584"/>
      <c r="QJP599" s="584"/>
      <c r="QJQ599" s="584"/>
      <c r="QJR599" s="584"/>
      <c r="QJS599" s="584"/>
      <c r="QJT599" s="584"/>
      <c r="QJU599" s="584"/>
      <c r="QJV599" s="584"/>
      <c r="QJW599" s="584"/>
      <c r="QJX599" s="584"/>
      <c r="QJY599" s="584"/>
      <c r="QJZ599" s="584"/>
      <c r="QKA599" s="584"/>
      <c r="QKB599" s="584"/>
      <c r="QKC599" s="584"/>
      <c r="QKD599" s="584"/>
      <c r="QKE599" s="584"/>
      <c r="QKF599" s="584"/>
      <c r="QKG599" s="584"/>
      <c r="QKH599" s="584"/>
      <c r="QKI599" s="584"/>
      <c r="QKJ599" s="584"/>
      <c r="QKK599" s="584"/>
      <c r="QKL599" s="584"/>
      <c r="QKM599" s="584"/>
      <c r="QKN599" s="584"/>
      <c r="QKO599" s="584"/>
      <c r="QKP599" s="584"/>
      <c r="QKQ599" s="584"/>
      <c r="QKR599" s="584"/>
      <c r="QKS599" s="584"/>
      <c r="QKT599" s="584"/>
      <c r="QKU599" s="584"/>
      <c r="QKV599" s="584"/>
      <c r="QKW599" s="584"/>
      <c r="QKX599" s="584"/>
      <c r="QKY599" s="584"/>
      <c r="QKZ599" s="584"/>
      <c r="QLA599" s="584"/>
      <c r="QLB599" s="584"/>
      <c r="QLC599" s="584"/>
      <c r="QLD599" s="584"/>
      <c r="QLE599" s="584"/>
      <c r="QLF599" s="584"/>
      <c r="QLG599" s="584"/>
      <c r="QLH599" s="584"/>
      <c r="QLI599" s="584"/>
      <c r="QLJ599" s="584"/>
      <c r="QLK599" s="584"/>
      <c r="QLL599" s="584"/>
      <c r="QLM599" s="584"/>
      <c r="QLN599" s="584"/>
      <c r="QLO599" s="584"/>
      <c r="QLP599" s="584"/>
      <c r="QLQ599" s="584"/>
      <c r="QLR599" s="584"/>
      <c r="QLS599" s="584"/>
      <c r="QLT599" s="584"/>
      <c r="QLU599" s="584"/>
      <c r="QLV599" s="584"/>
      <c r="QLW599" s="584"/>
      <c r="QLX599" s="584"/>
      <c r="QLY599" s="584"/>
      <c r="QLZ599" s="584"/>
      <c r="QMA599" s="584"/>
      <c r="QMB599" s="584"/>
      <c r="QMC599" s="584"/>
      <c r="QMD599" s="584"/>
      <c r="QME599" s="584"/>
      <c r="QMF599" s="584"/>
      <c r="QMG599" s="584"/>
      <c r="QMH599" s="584"/>
      <c r="QMI599" s="584"/>
      <c r="QMJ599" s="584"/>
      <c r="QMK599" s="584"/>
      <c r="QML599" s="584"/>
      <c r="QMM599" s="584"/>
      <c r="QMN599" s="584"/>
      <c r="QMO599" s="584"/>
      <c r="QMP599" s="584"/>
      <c r="QMQ599" s="584"/>
      <c r="QMR599" s="584"/>
      <c r="QMS599" s="584"/>
      <c r="QMT599" s="584"/>
      <c r="QMU599" s="584"/>
      <c r="QMV599" s="584"/>
      <c r="QMW599" s="584"/>
      <c r="QMX599" s="584"/>
      <c r="QMY599" s="584"/>
      <c r="QMZ599" s="584"/>
      <c r="QNA599" s="584"/>
      <c r="QNB599" s="584"/>
      <c r="QNC599" s="584"/>
      <c r="QND599" s="584"/>
      <c r="QNE599" s="584"/>
      <c r="QNF599" s="584"/>
      <c r="QNG599" s="584"/>
      <c r="QNH599" s="584"/>
      <c r="QNI599" s="584"/>
      <c r="QNJ599" s="584"/>
      <c r="QNK599" s="584"/>
      <c r="QNL599" s="584"/>
      <c r="QNM599" s="584"/>
      <c r="QNN599" s="584"/>
      <c r="QNO599" s="584"/>
      <c r="QNP599" s="584"/>
      <c r="QNQ599" s="584"/>
      <c r="QNR599" s="584"/>
      <c r="QNS599" s="584"/>
      <c r="QNT599" s="584"/>
      <c r="QNU599" s="584"/>
      <c r="QNV599" s="584"/>
      <c r="QNW599" s="584"/>
      <c r="QNX599" s="584"/>
      <c r="QNY599" s="584"/>
      <c r="QNZ599" s="584"/>
      <c r="QOA599" s="584"/>
      <c r="QOB599" s="584"/>
      <c r="QOC599" s="584"/>
      <c r="QOD599" s="584"/>
      <c r="QOE599" s="584"/>
      <c r="QOF599" s="584"/>
      <c r="QOG599" s="584"/>
      <c r="QOH599" s="584"/>
      <c r="QOI599" s="584"/>
      <c r="QOJ599" s="584"/>
      <c r="QOK599" s="584"/>
      <c r="QOL599" s="584"/>
      <c r="QOM599" s="584"/>
      <c r="QON599" s="584"/>
      <c r="QOO599" s="584"/>
      <c r="QOP599" s="584"/>
      <c r="QOQ599" s="584"/>
      <c r="QOR599" s="584"/>
      <c r="QOS599" s="584"/>
      <c r="QOT599" s="584"/>
      <c r="QOU599" s="584"/>
      <c r="QOV599" s="584"/>
      <c r="QOW599" s="584"/>
      <c r="QOX599" s="584"/>
      <c r="QOY599" s="584"/>
      <c r="QOZ599" s="584"/>
      <c r="QPA599" s="584"/>
      <c r="QPB599" s="584"/>
      <c r="QPC599" s="584"/>
      <c r="QPD599" s="584"/>
      <c r="QPE599" s="584"/>
      <c r="QPF599" s="584"/>
      <c r="QPG599" s="584"/>
      <c r="QPH599" s="584"/>
      <c r="QPI599" s="584"/>
      <c r="QPJ599" s="584"/>
      <c r="QPK599" s="584"/>
      <c r="QPL599" s="584"/>
      <c r="QPM599" s="584"/>
      <c r="QPN599" s="584"/>
      <c r="QPO599" s="584"/>
      <c r="QPP599" s="584"/>
      <c r="QPQ599" s="584"/>
      <c r="QPR599" s="584"/>
      <c r="QPS599" s="584"/>
      <c r="QPT599" s="584"/>
      <c r="QPU599" s="584"/>
      <c r="QPV599" s="584"/>
      <c r="QPW599" s="584"/>
      <c r="QPX599" s="584"/>
      <c r="QPY599" s="584"/>
      <c r="QPZ599" s="584"/>
      <c r="QQA599" s="584"/>
      <c r="QQB599" s="584"/>
      <c r="QQC599" s="584"/>
      <c r="QQD599" s="584"/>
      <c r="QQE599" s="584"/>
      <c r="QQF599" s="584"/>
      <c r="QQG599" s="584"/>
      <c r="QQH599" s="584"/>
      <c r="QQI599" s="584"/>
      <c r="QQJ599" s="584"/>
      <c r="QQK599" s="584"/>
      <c r="QQL599" s="584"/>
      <c r="QQM599" s="584"/>
      <c r="QQN599" s="584"/>
      <c r="QQO599" s="584"/>
      <c r="QQP599" s="584"/>
      <c r="QQQ599" s="584"/>
      <c r="QQR599" s="584"/>
      <c r="QQS599" s="584"/>
      <c r="QQT599" s="584"/>
      <c r="QQU599" s="584"/>
      <c r="QQV599" s="584"/>
      <c r="QQW599" s="584"/>
      <c r="QQX599" s="584"/>
      <c r="QQY599" s="584"/>
      <c r="QQZ599" s="584"/>
      <c r="QRA599" s="584"/>
      <c r="QRB599" s="584"/>
      <c r="QRC599" s="584"/>
      <c r="QRD599" s="584"/>
      <c r="QRE599" s="584"/>
      <c r="QRF599" s="584"/>
      <c r="QRG599" s="584"/>
      <c r="QRH599" s="584"/>
      <c r="QRI599" s="584"/>
      <c r="QRJ599" s="584"/>
      <c r="QRK599" s="584"/>
      <c r="QRL599" s="584"/>
      <c r="QRM599" s="584"/>
      <c r="QRN599" s="584"/>
      <c r="QRO599" s="584"/>
      <c r="QRP599" s="584"/>
      <c r="QRQ599" s="584"/>
      <c r="QRR599" s="584"/>
      <c r="QRS599" s="584"/>
      <c r="QRT599" s="584"/>
      <c r="QRU599" s="584"/>
      <c r="QRV599" s="584"/>
      <c r="QRW599" s="584"/>
      <c r="QRX599" s="584"/>
      <c r="QRY599" s="584"/>
      <c r="QRZ599" s="584"/>
      <c r="QSA599" s="584"/>
      <c r="QSB599" s="584"/>
      <c r="QSC599" s="584"/>
      <c r="QSD599" s="584"/>
      <c r="QSE599" s="584"/>
      <c r="QSF599" s="584"/>
      <c r="QSG599" s="584"/>
      <c r="QSH599" s="584"/>
      <c r="QSI599" s="584"/>
      <c r="QSJ599" s="584"/>
      <c r="QSK599" s="584"/>
      <c r="QSL599" s="584"/>
      <c r="QSM599" s="584"/>
      <c r="QSN599" s="584"/>
      <c r="QSO599" s="584"/>
      <c r="QSP599" s="584"/>
      <c r="QSQ599" s="584"/>
      <c r="QSR599" s="584"/>
      <c r="QSS599" s="584"/>
      <c r="QST599" s="584"/>
      <c r="QSU599" s="584"/>
      <c r="QSV599" s="584"/>
      <c r="QSW599" s="584"/>
      <c r="QSX599" s="584"/>
      <c r="QSY599" s="584"/>
      <c r="QSZ599" s="584"/>
      <c r="QTA599" s="584"/>
      <c r="QTB599" s="584"/>
      <c r="QTC599" s="584"/>
      <c r="QTD599" s="584"/>
      <c r="QTE599" s="584"/>
      <c r="QTF599" s="584"/>
      <c r="QTG599" s="584"/>
      <c r="QTH599" s="584"/>
      <c r="QTI599" s="584"/>
      <c r="QTJ599" s="584"/>
      <c r="QTK599" s="584"/>
      <c r="QTL599" s="584"/>
      <c r="QTM599" s="584"/>
      <c r="QTN599" s="584"/>
      <c r="QTO599" s="584"/>
      <c r="QTP599" s="584"/>
      <c r="QTQ599" s="584"/>
      <c r="QTR599" s="584"/>
      <c r="QTS599" s="584"/>
      <c r="QTT599" s="584"/>
      <c r="QTU599" s="584"/>
      <c r="QTV599" s="584"/>
      <c r="QTW599" s="584"/>
      <c r="QTX599" s="584"/>
      <c r="QTY599" s="584"/>
      <c r="QTZ599" s="584"/>
      <c r="QUA599" s="584"/>
      <c r="QUB599" s="584"/>
      <c r="QUC599" s="584"/>
      <c r="QUD599" s="584"/>
      <c r="QUE599" s="584"/>
      <c r="QUF599" s="584"/>
      <c r="QUG599" s="584"/>
      <c r="QUH599" s="584"/>
      <c r="QUI599" s="584"/>
      <c r="QUJ599" s="584"/>
      <c r="QUK599" s="584"/>
      <c r="QUL599" s="584"/>
      <c r="QUM599" s="584"/>
      <c r="QUN599" s="584"/>
      <c r="QUO599" s="584"/>
      <c r="QUP599" s="584"/>
      <c r="QUQ599" s="584"/>
      <c r="QUR599" s="584"/>
      <c r="QUS599" s="584"/>
      <c r="QUT599" s="584"/>
      <c r="QUU599" s="584"/>
      <c r="QUV599" s="584"/>
      <c r="QUW599" s="584"/>
      <c r="QUX599" s="584"/>
      <c r="QUY599" s="584"/>
      <c r="QUZ599" s="584"/>
      <c r="QVA599" s="584"/>
      <c r="QVB599" s="584"/>
      <c r="QVC599" s="584"/>
      <c r="QVD599" s="584"/>
      <c r="QVE599" s="584"/>
      <c r="QVF599" s="584"/>
      <c r="QVG599" s="584"/>
      <c r="QVH599" s="584"/>
      <c r="QVI599" s="584"/>
      <c r="QVJ599" s="584"/>
      <c r="QVK599" s="584"/>
      <c r="QVL599" s="584"/>
      <c r="QVM599" s="584"/>
      <c r="QVN599" s="584"/>
      <c r="QVO599" s="584"/>
      <c r="QVP599" s="584"/>
      <c r="QVQ599" s="584"/>
      <c r="QVR599" s="584"/>
      <c r="QVS599" s="584"/>
      <c r="QVT599" s="584"/>
      <c r="QVU599" s="584"/>
      <c r="QVV599" s="584"/>
      <c r="QVW599" s="584"/>
      <c r="QVX599" s="584"/>
      <c r="QVY599" s="584"/>
      <c r="QVZ599" s="584"/>
      <c r="QWA599" s="584"/>
      <c r="QWB599" s="584"/>
      <c r="QWC599" s="584"/>
      <c r="QWD599" s="584"/>
      <c r="QWE599" s="584"/>
      <c r="QWF599" s="584"/>
      <c r="QWG599" s="584"/>
      <c r="QWH599" s="584"/>
      <c r="QWI599" s="584"/>
      <c r="QWJ599" s="584"/>
      <c r="QWK599" s="584"/>
      <c r="QWL599" s="584"/>
      <c r="QWM599" s="584"/>
      <c r="QWN599" s="584"/>
      <c r="QWO599" s="584"/>
      <c r="QWP599" s="584"/>
      <c r="QWQ599" s="584"/>
      <c r="QWR599" s="584"/>
      <c r="QWS599" s="584"/>
      <c r="QWT599" s="584"/>
      <c r="QWU599" s="584"/>
      <c r="QWV599" s="584"/>
      <c r="QWW599" s="584"/>
      <c r="QWX599" s="584"/>
      <c r="QWY599" s="584"/>
      <c r="QWZ599" s="584"/>
      <c r="QXA599" s="584"/>
      <c r="QXB599" s="584"/>
      <c r="QXC599" s="584"/>
      <c r="QXD599" s="584"/>
      <c r="QXE599" s="584"/>
      <c r="QXF599" s="584"/>
      <c r="QXG599" s="584"/>
      <c r="QXH599" s="584"/>
      <c r="QXI599" s="584"/>
      <c r="QXJ599" s="584"/>
      <c r="QXK599" s="584"/>
      <c r="QXL599" s="584"/>
      <c r="QXM599" s="584"/>
      <c r="QXN599" s="584"/>
      <c r="QXO599" s="584"/>
      <c r="QXP599" s="584"/>
      <c r="QXQ599" s="584"/>
      <c r="QXR599" s="584"/>
      <c r="QXS599" s="584"/>
      <c r="QXT599" s="584"/>
      <c r="QXU599" s="584"/>
      <c r="QXV599" s="584"/>
      <c r="QXW599" s="584"/>
      <c r="QXX599" s="584"/>
      <c r="QXY599" s="584"/>
      <c r="QXZ599" s="584"/>
      <c r="QYA599" s="584"/>
      <c r="QYB599" s="584"/>
      <c r="QYC599" s="584"/>
      <c r="QYD599" s="584"/>
      <c r="QYE599" s="584"/>
      <c r="QYF599" s="584"/>
      <c r="QYG599" s="584"/>
      <c r="QYH599" s="584"/>
      <c r="QYI599" s="584"/>
      <c r="QYJ599" s="584"/>
      <c r="QYK599" s="584"/>
      <c r="QYL599" s="584"/>
      <c r="QYM599" s="584"/>
      <c r="QYN599" s="584"/>
      <c r="QYO599" s="584"/>
      <c r="QYP599" s="584"/>
      <c r="QYQ599" s="584"/>
      <c r="QYR599" s="584"/>
      <c r="QYS599" s="584"/>
      <c r="QYT599" s="584"/>
      <c r="QYU599" s="584"/>
      <c r="QYV599" s="584"/>
      <c r="QYW599" s="584"/>
      <c r="QYX599" s="584"/>
      <c r="QYY599" s="584"/>
      <c r="QYZ599" s="584"/>
      <c r="QZA599" s="584"/>
      <c r="QZB599" s="584"/>
      <c r="QZC599" s="584"/>
      <c r="QZD599" s="584"/>
      <c r="QZE599" s="584"/>
      <c r="QZF599" s="584"/>
      <c r="QZG599" s="584"/>
      <c r="QZH599" s="584"/>
      <c r="QZI599" s="584"/>
      <c r="QZJ599" s="584"/>
      <c r="QZK599" s="584"/>
      <c r="QZL599" s="584"/>
      <c r="QZM599" s="584"/>
      <c r="QZN599" s="584"/>
      <c r="QZO599" s="584"/>
      <c r="QZP599" s="584"/>
      <c r="QZQ599" s="584"/>
      <c r="QZR599" s="584"/>
      <c r="QZS599" s="584"/>
      <c r="QZT599" s="584"/>
      <c r="QZU599" s="584"/>
      <c r="QZV599" s="584"/>
      <c r="QZW599" s="584"/>
      <c r="QZX599" s="584"/>
      <c r="QZY599" s="584"/>
      <c r="QZZ599" s="584"/>
      <c r="RAA599" s="584"/>
      <c r="RAB599" s="584"/>
      <c r="RAC599" s="584"/>
      <c r="RAD599" s="584"/>
      <c r="RAE599" s="584"/>
      <c r="RAF599" s="584"/>
      <c r="RAG599" s="584"/>
      <c r="RAH599" s="584"/>
      <c r="RAI599" s="584"/>
      <c r="RAJ599" s="584"/>
      <c r="RAK599" s="584"/>
      <c r="RAL599" s="584"/>
      <c r="RAM599" s="584"/>
      <c r="RAN599" s="584"/>
      <c r="RAO599" s="584"/>
      <c r="RAP599" s="584"/>
      <c r="RAQ599" s="584"/>
      <c r="RAR599" s="584"/>
      <c r="RAS599" s="584"/>
      <c r="RAT599" s="584"/>
      <c r="RAU599" s="584"/>
      <c r="RAV599" s="584"/>
      <c r="RAW599" s="584"/>
      <c r="RAX599" s="584"/>
      <c r="RAY599" s="584"/>
      <c r="RAZ599" s="584"/>
      <c r="RBA599" s="584"/>
      <c r="RBB599" s="584"/>
      <c r="RBC599" s="584"/>
      <c r="RBD599" s="584"/>
      <c r="RBE599" s="584"/>
      <c r="RBF599" s="584"/>
      <c r="RBG599" s="584"/>
      <c r="RBH599" s="584"/>
      <c r="RBI599" s="584"/>
      <c r="RBJ599" s="584"/>
      <c r="RBK599" s="584"/>
      <c r="RBL599" s="584"/>
      <c r="RBM599" s="584"/>
      <c r="RBN599" s="584"/>
      <c r="RBO599" s="584"/>
      <c r="RBP599" s="584"/>
      <c r="RBQ599" s="584"/>
      <c r="RBR599" s="584"/>
      <c r="RBS599" s="584"/>
      <c r="RBT599" s="584"/>
      <c r="RBU599" s="584"/>
      <c r="RBV599" s="584"/>
      <c r="RBW599" s="584"/>
      <c r="RBX599" s="584"/>
      <c r="RBY599" s="584"/>
      <c r="RBZ599" s="584"/>
      <c r="RCA599" s="584"/>
      <c r="RCB599" s="584"/>
      <c r="RCC599" s="584"/>
      <c r="RCD599" s="584"/>
      <c r="RCE599" s="584"/>
      <c r="RCF599" s="584"/>
      <c r="RCG599" s="584"/>
      <c r="RCH599" s="584"/>
      <c r="RCI599" s="584"/>
      <c r="RCJ599" s="584"/>
      <c r="RCK599" s="584"/>
      <c r="RCL599" s="584"/>
      <c r="RCM599" s="584"/>
      <c r="RCN599" s="584"/>
      <c r="RCO599" s="584"/>
      <c r="RCP599" s="584"/>
      <c r="RCQ599" s="584"/>
      <c r="RCR599" s="584"/>
      <c r="RCS599" s="584"/>
      <c r="RCT599" s="584"/>
      <c r="RCU599" s="584"/>
      <c r="RCV599" s="584"/>
      <c r="RCW599" s="584"/>
      <c r="RCX599" s="584"/>
      <c r="RCY599" s="584"/>
      <c r="RCZ599" s="584"/>
      <c r="RDA599" s="584"/>
      <c r="RDB599" s="584"/>
      <c r="RDC599" s="584"/>
      <c r="RDD599" s="584"/>
      <c r="RDE599" s="584"/>
      <c r="RDF599" s="584"/>
      <c r="RDG599" s="584"/>
      <c r="RDH599" s="584"/>
      <c r="RDI599" s="584"/>
      <c r="RDJ599" s="584"/>
      <c r="RDK599" s="584"/>
      <c r="RDL599" s="584"/>
      <c r="RDM599" s="584"/>
      <c r="RDN599" s="584"/>
      <c r="RDO599" s="584"/>
      <c r="RDP599" s="584"/>
      <c r="RDQ599" s="584"/>
      <c r="RDR599" s="584"/>
      <c r="RDS599" s="584"/>
      <c r="RDT599" s="584"/>
      <c r="RDU599" s="584"/>
      <c r="RDV599" s="584"/>
      <c r="RDW599" s="584"/>
      <c r="RDX599" s="584"/>
      <c r="RDY599" s="584"/>
      <c r="RDZ599" s="584"/>
      <c r="REA599" s="584"/>
      <c r="REB599" s="584"/>
      <c r="REC599" s="584"/>
      <c r="RED599" s="584"/>
      <c r="REE599" s="584"/>
      <c r="REF599" s="584"/>
      <c r="REG599" s="584"/>
      <c r="REH599" s="584"/>
      <c r="REI599" s="584"/>
      <c r="REJ599" s="584"/>
      <c r="REK599" s="584"/>
      <c r="REL599" s="584"/>
      <c r="REM599" s="584"/>
      <c r="REN599" s="584"/>
      <c r="REO599" s="584"/>
      <c r="REP599" s="584"/>
      <c r="REQ599" s="584"/>
      <c r="RER599" s="584"/>
      <c r="RES599" s="584"/>
      <c r="RET599" s="584"/>
      <c r="REU599" s="584"/>
      <c r="REV599" s="584"/>
      <c r="REW599" s="584"/>
      <c r="REX599" s="584"/>
      <c r="REY599" s="584"/>
      <c r="REZ599" s="584"/>
      <c r="RFA599" s="584"/>
      <c r="RFB599" s="584"/>
      <c r="RFC599" s="584"/>
      <c r="RFD599" s="584"/>
      <c r="RFE599" s="584"/>
      <c r="RFF599" s="584"/>
      <c r="RFG599" s="584"/>
      <c r="RFH599" s="584"/>
      <c r="RFI599" s="584"/>
      <c r="RFJ599" s="584"/>
      <c r="RFK599" s="584"/>
      <c r="RFL599" s="584"/>
      <c r="RFM599" s="584"/>
      <c r="RFN599" s="584"/>
      <c r="RFO599" s="584"/>
      <c r="RFP599" s="584"/>
      <c r="RFQ599" s="584"/>
      <c r="RFR599" s="584"/>
      <c r="RFS599" s="584"/>
      <c r="RFT599" s="584"/>
      <c r="RFU599" s="584"/>
      <c r="RFV599" s="584"/>
      <c r="RFW599" s="584"/>
      <c r="RFX599" s="584"/>
      <c r="RFY599" s="584"/>
      <c r="RFZ599" s="584"/>
      <c r="RGA599" s="584"/>
      <c r="RGB599" s="584"/>
      <c r="RGC599" s="584"/>
      <c r="RGD599" s="584"/>
      <c r="RGE599" s="584"/>
      <c r="RGF599" s="584"/>
      <c r="RGG599" s="584"/>
      <c r="RGH599" s="584"/>
      <c r="RGI599" s="584"/>
      <c r="RGJ599" s="584"/>
      <c r="RGK599" s="584"/>
      <c r="RGL599" s="584"/>
      <c r="RGM599" s="584"/>
      <c r="RGN599" s="584"/>
      <c r="RGO599" s="584"/>
      <c r="RGP599" s="584"/>
      <c r="RGQ599" s="584"/>
      <c r="RGR599" s="584"/>
      <c r="RGS599" s="584"/>
      <c r="RGT599" s="584"/>
      <c r="RGU599" s="584"/>
      <c r="RGV599" s="584"/>
      <c r="RGW599" s="584"/>
      <c r="RGX599" s="584"/>
      <c r="RGY599" s="584"/>
      <c r="RGZ599" s="584"/>
      <c r="RHA599" s="584"/>
      <c r="RHB599" s="584"/>
      <c r="RHC599" s="584"/>
      <c r="RHD599" s="584"/>
      <c r="RHE599" s="584"/>
      <c r="RHF599" s="584"/>
      <c r="RHG599" s="584"/>
      <c r="RHH599" s="584"/>
      <c r="RHI599" s="584"/>
      <c r="RHJ599" s="584"/>
      <c r="RHK599" s="584"/>
      <c r="RHL599" s="584"/>
      <c r="RHM599" s="584"/>
      <c r="RHN599" s="584"/>
      <c r="RHO599" s="584"/>
      <c r="RHP599" s="584"/>
      <c r="RHQ599" s="584"/>
      <c r="RHR599" s="584"/>
      <c r="RHS599" s="584"/>
      <c r="RHT599" s="584"/>
      <c r="RHU599" s="584"/>
      <c r="RHV599" s="584"/>
      <c r="RHW599" s="584"/>
      <c r="RHX599" s="584"/>
      <c r="RHY599" s="584"/>
      <c r="RHZ599" s="584"/>
      <c r="RIA599" s="584"/>
      <c r="RIB599" s="584"/>
      <c r="RIC599" s="584"/>
      <c r="RID599" s="584"/>
      <c r="RIE599" s="584"/>
      <c r="RIF599" s="584"/>
      <c r="RIG599" s="584"/>
      <c r="RIH599" s="584"/>
      <c r="RII599" s="584"/>
      <c r="RIJ599" s="584"/>
      <c r="RIK599" s="584"/>
      <c r="RIL599" s="584"/>
      <c r="RIM599" s="584"/>
      <c r="RIN599" s="584"/>
      <c r="RIO599" s="584"/>
      <c r="RIP599" s="584"/>
      <c r="RIQ599" s="584"/>
      <c r="RIR599" s="584"/>
      <c r="RIS599" s="584"/>
      <c r="RIT599" s="584"/>
      <c r="RIU599" s="584"/>
      <c r="RIV599" s="584"/>
      <c r="RIW599" s="584"/>
      <c r="RIX599" s="584"/>
      <c r="RIY599" s="584"/>
      <c r="RIZ599" s="584"/>
      <c r="RJA599" s="584"/>
      <c r="RJB599" s="584"/>
      <c r="RJC599" s="584"/>
      <c r="RJD599" s="584"/>
      <c r="RJE599" s="584"/>
      <c r="RJF599" s="584"/>
      <c r="RJG599" s="584"/>
      <c r="RJH599" s="584"/>
      <c r="RJI599" s="584"/>
      <c r="RJJ599" s="584"/>
      <c r="RJK599" s="584"/>
      <c r="RJL599" s="584"/>
      <c r="RJM599" s="584"/>
      <c r="RJN599" s="584"/>
      <c r="RJO599" s="584"/>
      <c r="RJP599" s="584"/>
      <c r="RJQ599" s="584"/>
      <c r="RJR599" s="584"/>
      <c r="RJS599" s="584"/>
      <c r="RJT599" s="584"/>
      <c r="RJU599" s="584"/>
      <c r="RJV599" s="584"/>
      <c r="RJW599" s="584"/>
      <c r="RJX599" s="584"/>
      <c r="RJY599" s="584"/>
      <c r="RJZ599" s="584"/>
      <c r="RKA599" s="584"/>
      <c r="RKB599" s="584"/>
      <c r="RKC599" s="584"/>
      <c r="RKD599" s="584"/>
      <c r="RKE599" s="584"/>
      <c r="RKF599" s="584"/>
      <c r="RKG599" s="584"/>
      <c r="RKH599" s="584"/>
      <c r="RKI599" s="584"/>
      <c r="RKJ599" s="584"/>
      <c r="RKK599" s="584"/>
      <c r="RKL599" s="584"/>
      <c r="RKM599" s="584"/>
      <c r="RKN599" s="584"/>
      <c r="RKO599" s="584"/>
      <c r="RKP599" s="584"/>
      <c r="RKQ599" s="584"/>
      <c r="RKR599" s="584"/>
      <c r="RKS599" s="584"/>
      <c r="RKT599" s="584"/>
      <c r="RKU599" s="584"/>
      <c r="RKV599" s="584"/>
      <c r="RKW599" s="584"/>
      <c r="RKX599" s="584"/>
      <c r="RKY599" s="584"/>
      <c r="RKZ599" s="584"/>
      <c r="RLA599" s="584"/>
      <c r="RLB599" s="584"/>
      <c r="RLC599" s="584"/>
      <c r="RLD599" s="584"/>
      <c r="RLE599" s="584"/>
      <c r="RLF599" s="584"/>
      <c r="RLG599" s="584"/>
      <c r="RLH599" s="584"/>
      <c r="RLI599" s="584"/>
      <c r="RLJ599" s="584"/>
      <c r="RLK599" s="584"/>
      <c r="RLL599" s="584"/>
      <c r="RLM599" s="584"/>
      <c r="RLN599" s="584"/>
      <c r="RLO599" s="584"/>
      <c r="RLP599" s="584"/>
      <c r="RLQ599" s="584"/>
      <c r="RLR599" s="584"/>
      <c r="RLS599" s="584"/>
      <c r="RLT599" s="584"/>
      <c r="RLU599" s="584"/>
      <c r="RLV599" s="584"/>
      <c r="RLW599" s="584"/>
      <c r="RLX599" s="584"/>
      <c r="RLY599" s="584"/>
      <c r="RLZ599" s="584"/>
      <c r="RMA599" s="584"/>
      <c r="RMB599" s="584"/>
      <c r="RMC599" s="584"/>
      <c r="RMD599" s="584"/>
      <c r="RME599" s="584"/>
      <c r="RMF599" s="584"/>
      <c r="RMG599" s="584"/>
      <c r="RMH599" s="584"/>
      <c r="RMI599" s="584"/>
      <c r="RMJ599" s="584"/>
      <c r="RMK599" s="584"/>
      <c r="RML599" s="584"/>
      <c r="RMM599" s="584"/>
      <c r="RMN599" s="584"/>
      <c r="RMO599" s="584"/>
      <c r="RMP599" s="584"/>
      <c r="RMQ599" s="584"/>
      <c r="RMR599" s="584"/>
      <c r="RMS599" s="584"/>
      <c r="RMT599" s="584"/>
      <c r="RMU599" s="584"/>
      <c r="RMV599" s="584"/>
      <c r="RMW599" s="584"/>
      <c r="RMX599" s="584"/>
      <c r="RMY599" s="584"/>
      <c r="RMZ599" s="584"/>
      <c r="RNA599" s="584"/>
      <c r="RNB599" s="584"/>
      <c r="RNC599" s="584"/>
      <c r="RND599" s="584"/>
      <c r="RNE599" s="584"/>
      <c r="RNF599" s="584"/>
      <c r="RNG599" s="584"/>
      <c r="RNH599" s="584"/>
      <c r="RNI599" s="584"/>
      <c r="RNJ599" s="584"/>
      <c r="RNK599" s="584"/>
      <c r="RNL599" s="584"/>
      <c r="RNM599" s="584"/>
      <c r="RNN599" s="584"/>
      <c r="RNO599" s="584"/>
      <c r="RNP599" s="584"/>
      <c r="RNQ599" s="584"/>
      <c r="RNR599" s="584"/>
      <c r="RNS599" s="584"/>
      <c r="RNT599" s="584"/>
      <c r="RNU599" s="584"/>
      <c r="RNV599" s="584"/>
      <c r="RNW599" s="584"/>
      <c r="RNX599" s="584"/>
      <c r="RNY599" s="584"/>
      <c r="RNZ599" s="584"/>
      <c r="ROA599" s="584"/>
      <c r="ROB599" s="584"/>
      <c r="ROC599" s="584"/>
      <c r="ROD599" s="584"/>
      <c r="ROE599" s="584"/>
      <c r="ROF599" s="584"/>
      <c r="ROG599" s="584"/>
      <c r="ROH599" s="584"/>
      <c r="ROI599" s="584"/>
      <c r="ROJ599" s="584"/>
      <c r="ROK599" s="584"/>
      <c r="ROL599" s="584"/>
      <c r="ROM599" s="584"/>
      <c r="RON599" s="584"/>
      <c r="ROO599" s="584"/>
      <c r="ROP599" s="584"/>
      <c r="ROQ599" s="584"/>
      <c r="ROR599" s="584"/>
      <c r="ROS599" s="584"/>
      <c r="ROT599" s="584"/>
      <c r="ROU599" s="584"/>
      <c r="ROV599" s="584"/>
      <c r="ROW599" s="584"/>
      <c r="ROX599" s="584"/>
      <c r="ROY599" s="584"/>
      <c r="ROZ599" s="584"/>
      <c r="RPA599" s="584"/>
      <c r="RPB599" s="584"/>
      <c r="RPC599" s="584"/>
      <c r="RPD599" s="584"/>
      <c r="RPE599" s="584"/>
      <c r="RPF599" s="584"/>
      <c r="RPG599" s="584"/>
      <c r="RPH599" s="584"/>
      <c r="RPI599" s="584"/>
      <c r="RPJ599" s="584"/>
      <c r="RPK599" s="584"/>
      <c r="RPL599" s="584"/>
      <c r="RPM599" s="584"/>
      <c r="RPN599" s="584"/>
      <c r="RPO599" s="584"/>
      <c r="RPP599" s="584"/>
      <c r="RPQ599" s="584"/>
      <c r="RPR599" s="584"/>
      <c r="RPS599" s="584"/>
      <c r="RPT599" s="584"/>
      <c r="RPU599" s="584"/>
      <c r="RPV599" s="584"/>
      <c r="RPW599" s="584"/>
      <c r="RPX599" s="584"/>
      <c r="RPY599" s="584"/>
      <c r="RPZ599" s="584"/>
      <c r="RQA599" s="584"/>
      <c r="RQB599" s="584"/>
      <c r="RQC599" s="584"/>
      <c r="RQD599" s="584"/>
      <c r="RQE599" s="584"/>
      <c r="RQF599" s="584"/>
      <c r="RQG599" s="584"/>
      <c r="RQH599" s="584"/>
      <c r="RQI599" s="584"/>
      <c r="RQJ599" s="584"/>
      <c r="RQK599" s="584"/>
      <c r="RQL599" s="584"/>
      <c r="RQM599" s="584"/>
      <c r="RQN599" s="584"/>
      <c r="RQO599" s="584"/>
      <c r="RQP599" s="584"/>
      <c r="RQQ599" s="584"/>
      <c r="RQR599" s="584"/>
      <c r="RQS599" s="584"/>
      <c r="RQT599" s="584"/>
      <c r="RQU599" s="584"/>
      <c r="RQV599" s="584"/>
      <c r="RQW599" s="584"/>
      <c r="RQX599" s="584"/>
      <c r="RQY599" s="584"/>
      <c r="RQZ599" s="584"/>
      <c r="RRA599" s="584"/>
      <c r="RRB599" s="584"/>
      <c r="RRC599" s="584"/>
      <c r="RRD599" s="584"/>
      <c r="RRE599" s="584"/>
      <c r="RRF599" s="584"/>
      <c r="RRG599" s="584"/>
      <c r="RRH599" s="584"/>
      <c r="RRI599" s="584"/>
      <c r="RRJ599" s="584"/>
      <c r="RRK599" s="584"/>
      <c r="RRL599" s="584"/>
      <c r="RRM599" s="584"/>
      <c r="RRN599" s="584"/>
      <c r="RRO599" s="584"/>
      <c r="RRP599" s="584"/>
      <c r="RRQ599" s="584"/>
      <c r="RRR599" s="584"/>
      <c r="RRS599" s="584"/>
      <c r="RRT599" s="584"/>
      <c r="RRU599" s="584"/>
      <c r="RRV599" s="584"/>
      <c r="RRW599" s="584"/>
      <c r="RRX599" s="584"/>
      <c r="RRY599" s="584"/>
      <c r="RRZ599" s="584"/>
      <c r="RSA599" s="584"/>
      <c r="RSB599" s="584"/>
      <c r="RSC599" s="584"/>
      <c r="RSD599" s="584"/>
      <c r="RSE599" s="584"/>
      <c r="RSF599" s="584"/>
      <c r="RSG599" s="584"/>
      <c r="RSH599" s="584"/>
      <c r="RSI599" s="584"/>
      <c r="RSJ599" s="584"/>
      <c r="RSK599" s="584"/>
      <c r="RSL599" s="584"/>
      <c r="RSM599" s="584"/>
      <c r="RSN599" s="584"/>
      <c r="RSO599" s="584"/>
      <c r="RSP599" s="584"/>
      <c r="RSQ599" s="584"/>
      <c r="RSR599" s="584"/>
      <c r="RSS599" s="584"/>
      <c r="RST599" s="584"/>
      <c r="RSU599" s="584"/>
      <c r="RSV599" s="584"/>
      <c r="RSW599" s="584"/>
      <c r="RSX599" s="584"/>
      <c r="RSY599" s="584"/>
      <c r="RSZ599" s="584"/>
      <c r="RTA599" s="584"/>
      <c r="RTB599" s="584"/>
      <c r="RTC599" s="584"/>
      <c r="RTD599" s="584"/>
      <c r="RTE599" s="584"/>
      <c r="RTF599" s="584"/>
      <c r="RTG599" s="584"/>
      <c r="RTH599" s="584"/>
      <c r="RTI599" s="584"/>
      <c r="RTJ599" s="584"/>
      <c r="RTK599" s="584"/>
      <c r="RTL599" s="584"/>
      <c r="RTM599" s="584"/>
      <c r="RTN599" s="584"/>
      <c r="RTO599" s="584"/>
      <c r="RTP599" s="584"/>
      <c r="RTQ599" s="584"/>
      <c r="RTR599" s="584"/>
      <c r="RTS599" s="584"/>
      <c r="RTT599" s="584"/>
      <c r="RTU599" s="584"/>
      <c r="RTV599" s="584"/>
      <c r="RTW599" s="584"/>
      <c r="RTX599" s="584"/>
      <c r="RTY599" s="584"/>
      <c r="RTZ599" s="584"/>
      <c r="RUA599" s="584"/>
      <c r="RUB599" s="584"/>
      <c r="RUC599" s="584"/>
      <c r="RUD599" s="584"/>
      <c r="RUE599" s="584"/>
      <c r="RUF599" s="584"/>
      <c r="RUG599" s="584"/>
      <c r="RUH599" s="584"/>
      <c r="RUI599" s="584"/>
      <c r="RUJ599" s="584"/>
      <c r="RUK599" s="584"/>
      <c r="RUL599" s="584"/>
      <c r="RUM599" s="584"/>
      <c r="RUN599" s="584"/>
      <c r="RUO599" s="584"/>
      <c r="RUP599" s="584"/>
      <c r="RUQ599" s="584"/>
      <c r="RUR599" s="584"/>
      <c r="RUS599" s="584"/>
      <c r="RUT599" s="584"/>
      <c r="RUU599" s="584"/>
      <c r="RUV599" s="584"/>
      <c r="RUW599" s="584"/>
      <c r="RUX599" s="584"/>
      <c r="RUY599" s="584"/>
      <c r="RUZ599" s="584"/>
      <c r="RVA599" s="584"/>
      <c r="RVB599" s="584"/>
      <c r="RVC599" s="584"/>
      <c r="RVD599" s="584"/>
      <c r="RVE599" s="584"/>
      <c r="RVF599" s="584"/>
      <c r="RVG599" s="584"/>
      <c r="RVH599" s="584"/>
      <c r="RVI599" s="584"/>
      <c r="RVJ599" s="584"/>
      <c r="RVK599" s="584"/>
      <c r="RVL599" s="584"/>
      <c r="RVM599" s="584"/>
      <c r="RVN599" s="584"/>
      <c r="RVO599" s="584"/>
      <c r="RVP599" s="584"/>
      <c r="RVQ599" s="584"/>
      <c r="RVR599" s="584"/>
      <c r="RVS599" s="584"/>
      <c r="RVT599" s="584"/>
      <c r="RVU599" s="584"/>
      <c r="RVV599" s="584"/>
      <c r="RVW599" s="584"/>
      <c r="RVX599" s="584"/>
      <c r="RVY599" s="584"/>
      <c r="RVZ599" s="584"/>
      <c r="RWA599" s="584"/>
      <c r="RWB599" s="584"/>
      <c r="RWC599" s="584"/>
      <c r="RWD599" s="584"/>
      <c r="RWE599" s="584"/>
      <c r="RWF599" s="584"/>
      <c r="RWG599" s="584"/>
      <c r="RWH599" s="584"/>
      <c r="RWI599" s="584"/>
      <c r="RWJ599" s="584"/>
      <c r="RWK599" s="584"/>
      <c r="RWL599" s="584"/>
      <c r="RWM599" s="584"/>
      <c r="RWN599" s="584"/>
      <c r="RWO599" s="584"/>
      <c r="RWP599" s="584"/>
      <c r="RWQ599" s="584"/>
      <c r="RWR599" s="584"/>
      <c r="RWS599" s="584"/>
      <c r="RWT599" s="584"/>
      <c r="RWU599" s="584"/>
      <c r="RWV599" s="584"/>
      <c r="RWW599" s="584"/>
      <c r="RWX599" s="584"/>
      <c r="RWY599" s="584"/>
      <c r="RWZ599" s="584"/>
      <c r="RXA599" s="584"/>
      <c r="RXB599" s="584"/>
      <c r="RXC599" s="584"/>
      <c r="RXD599" s="584"/>
      <c r="RXE599" s="584"/>
      <c r="RXF599" s="584"/>
      <c r="RXG599" s="584"/>
      <c r="RXH599" s="584"/>
      <c r="RXI599" s="584"/>
      <c r="RXJ599" s="584"/>
      <c r="RXK599" s="584"/>
      <c r="RXL599" s="584"/>
      <c r="RXM599" s="584"/>
      <c r="RXN599" s="584"/>
      <c r="RXO599" s="584"/>
      <c r="RXP599" s="584"/>
      <c r="RXQ599" s="584"/>
      <c r="RXR599" s="584"/>
      <c r="RXS599" s="584"/>
      <c r="RXT599" s="584"/>
      <c r="RXU599" s="584"/>
      <c r="RXV599" s="584"/>
      <c r="RXW599" s="584"/>
      <c r="RXX599" s="584"/>
      <c r="RXY599" s="584"/>
      <c r="RXZ599" s="584"/>
      <c r="RYA599" s="584"/>
      <c r="RYB599" s="584"/>
      <c r="RYC599" s="584"/>
      <c r="RYD599" s="584"/>
      <c r="RYE599" s="584"/>
      <c r="RYF599" s="584"/>
      <c r="RYG599" s="584"/>
      <c r="RYH599" s="584"/>
      <c r="RYI599" s="584"/>
      <c r="RYJ599" s="584"/>
      <c r="RYK599" s="584"/>
      <c r="RYL599" s="584"/>
      <c r="RYM599" s="584"/>
      <c r="RYN599" s="584"/>
      <c r="RYO599" s="584"/>
      <c r="RYP599" s="584"/>
      <c r="RYQ599" s="584"/>
      <c r="RYR599" s="584"/>
      <c r="RYS599" s="584"/>
      <c r="RYT599" s="584"/>
      <c r="RYU599" s="584"/>
      <c r="RYV599" s="584"/>
      <c r="RYW599" s="584"/>
      <c r="RYX599" s="584"/>
      <c r="RYY599" s="584"/>
      <c r="RYZ599" s="584"/>
      <c r="RZA599" s="584"/>
      <c r="RZB599" s="584"/>
      <c r="RZC599" s="584"/>
      <c r="RZD599" s="584"/>
      <c r="RZE599" s="584"/>
      <c r="RZF599" s="584"/>
      <c r="RZG599" s="584"/>
      <c r="RZH599" s="584"/>
      <c r="RZI599" s="584"/>
      <c r="RZJ599" s="584"/>
      <c r="RZK599" s="584"/>
      <c r="RZL599" s="584"/>
      <c r="RZM599" s="584"/>
      <c r="RZN599" s="584"/>
      <c r="RZO599" s="584"/>
      <c r="RZP599" s="584"/>
      <c r="RZQ599" s="584"/>
      <c r="RZR599" s="584"/>
      <c r="RZS599" s="584"/>
      <c r="RZT599" s="584"/>
      <c r="RZU599" s="584"/>
      <c r="RZV599" s="584"/>
      <c r="RZW599" s="584"/>
      <c r="RZX599" s="584"/>
      <c r="RZY599" s="584"/>
      <c r="RZZ599" s="584"/>
      <c r="SAA599" s="584"/>
      <c r="SAB599" s="584"/>
      <c r="SAC599" s="584"/>
      <c r="SAD599" s="584"/>
      <c r="SAE599" s="584"/>
      <c r="SAF599" s="584"/>
      <c r="SAG599" s="584"/>
      <c r="SAH599" s="584"/>
      <c r="SAI599" s="584"/>
      <c r="SAJ599" s="584"/>
      <c r="SAK599" s="584"/>
      <c r="SAL599" s="584"/>
      <c r="SAM599" s="584"/>
      <c r="SAN599" s="584"/>
      <c r="SAO599" s="584"/>
      <c r="SAP599" s="584"/>
      <c r="SAQ599" s="584"/>
      <c r="SAR599" s="584"/>
      <c r="SAS599" s="584"/>
      <c r="SAT599" s="584"/>
      <c r="SAU599" s="584"/>
      <c r="SAV599" s="584"/>
      <c r="SAW599" s="584"/>
      <c r="SAX599" s="584"/>
      <c r="SAY599" s="584"/>
      <c r="SAZ599" s="584"/>
      <c r="SBA599" s="584"/>
      <c r="SBB599" s="584"/>
      <c r="SBC599" s="584"/>
      <c r="SBD599" s="584"/>
      <c r="SBE599" s="584"/>
      <c r="SBF599" s="584"/>
      <c r="SBG599" s="584"/>
      <c r="SBH599" s="584"/>
      <c r="SBI599" s="584"/>
      <c r="SBJ599" s="584"/>
      <c r="SBK599" s="584"/>
      <c r="SBL599" s="584"/>
      <c r="SBM599" s="584"/>
      <c r="SBN599" s="584"/>
      <c r="SBO599" s="584"/>
      <c r="SBP599" s="584"/>
      <c r="SBQ599" s="584"/>
      <c r="SBR599" s="584"/>
      <c r="SBS599" s="584"/>
      <c r="SBT599" s="584"/>
      <c r="SBU599" s="584"/>
      <c r="SBV599" s="584"/>
      <c r="SBW599" s="584"/>
      <c r="SBX599" s="584"/>
      <c r="SBY599" s="584"/>
      <c r="SBZ599" s="584"/>
      <c r="SCA599" s="584"/>
      <c r="SCB599" s="584"/>
      <c r="SCC599" s="584"/>
      <c r="SCD599" s="584"/>
      <c r="SCE599" s="584"/>
      <c r="SCF599" s="584"/>
      <c r="SCG599" s="584"/>
      <c r="SCH599" s="584"/>
      <c r="SCI599" s="584"/>
      <c r="SCJ599" s="584"/>
      <c r="SCK599" s="584"/>
      <c r="SCL599" s="584"/>
      <c r="SCM599" s="584"/>
      <c r="SCN599" s="584"/>
      <c r="SCO599" s="584"/>
      <c r="SCP599" s="584"/>
      <c r="SCQ599" s="584"/>
      <c r="SCR599" s="584"/>
      <c r="SCS599" s="584"/>
      <c r="SCT599" s="584"/>
      <c r="SCU599" s="584"/>
      <c r="SCV599" s="584"/>
      <c r="SCW599" s="584"/>
      <c r="SCX599" s="584"/>
      <c r="SCY599" s="584"/>
      <c r="SCZ599" s="584"/>
      <c r="SDA599" s="584"/>
      <c r="SDB599" s="584"/>
      <c r="SDC599" s="584"/>
      <c r="SDD599" s="584"/>
      <c r="SDE599" s="584"/>
      <c r="SDF599" s="584"/>
      <c r="SDG599" s="584"/>
      <c r="SDH599" s="584"/>
      <c r="SDI599" s="584"/>
      <c r="SDJ599" s="584"/>
      <c r="SDK599" s="584"/>
      <c r="SDL599" s="584"/>
      <c r="SDM599" s="584"/>
      <c r="SDN599" s="584"/>
      <c r="SDO599" s="584"/>
      <c r="SDP599" s="584"/>
      <c r="SDQ599" s="584"/>
      <c r="SDR599" s="584"/>
      <c r="SDS599" s="584"/>
      <c r="SDT599" s="584"/>
      <c r="SDU599" s="584"/>
      <c r="SDV599" s="584"/>
      <c r="SDW599" s="584"/>
      <c r="SDX599" s="584"/>
      <c r="SDY599" s="584"/>
      <c r="SDZ599" s="584"/>
      <c r="SEA599" s="584"/>
      <c r="SEB599" s="584"/>
      <c r="SEC599" s="584"/>
      <c r="SED599" s="584"/>
      <c r="SEE599" s="584"/>
      <c r="SEF599" s="584"/>
      <c r="SEG599" s="584"/>
      <c r="SEH599" s="584"/>
      <c r="SEI599" s="584"/>
      <c r="SEJ599" s="584"/>
      <c r="SEK599" s="584"/>
      <c r="SEL599" s="584"/>
      <c r="SEM599" s="584"/>
      <c r="SEN599" s="584"/>
      <c r="SEO599" s="584"/>
      <c r="SEP599" s="584"/>
      <c r="SEQ599" s="584"/>
      <c r="SER599" s="584"/>
      <c r="SES599" s="584"/>
      <c r="SET599" s="584"/>
      <c r="SEU599" s="584"/>
      <c r="SEV599" s="584"/>
      <c r="SEW599" s="584"/>
      <c r="SEX599" s="584"/>
      <c r="SEY599" s="584"/>
      <c r="SEZ599" s="584"/>
      <c r="SFA599" s="584"/>
      <c r="SFB599" s="584"/>
      <c r="SFC599" s="584"/>
      <c r="SFD599" s="584"/>
      <c r="SFE599" s="584"/>
      <c r="SFF599" s="584"/>
      <c r="SFG599" s="584"/>
      <c r="SFH599" s="584"/>
      <c r="SFI599" s="584"/>
      <c r="SFJ599" s="584"/>
      <c r="SFK599" s="584"/>
      <c r="SFL599" s="584"/>
      <c r="SFM599" s="584"/>
      <c r="SFN599" s="584"/>
      <c r="SFO599" s="584"/>
      <c r="SFP599" s="584"/>
      <c r="SFQ599" s="584"/>
      <c r="SFR599" s="584"/>
      <c r="SFS599" s="584"/>
      <c r="SFT599" s="584"/>
      <c r="SFU599" s="584"/>
      <c r="SFV599" s="584"/>
      <c r="SFW599" s="584"/>
      <c r="SFX599" s="584"/>
      <c r="SFY599" s="584"/>
      <c r="SFZ599" s="584"/>
      <c r="SGA599" s="584"/>
      <c r="SGB599" s="584"/>
      <c r="SGC599" s="584"/>
      <c r="SGD599" s="584"/>
      <c r="SGE599" s="584"/>
      <c r="SGF599" s="584"/>
      <c r="SGG599" s="584"/>
      <c r="SGH599" s="584"/>
      <c r="SGI599" s="584"/>
      <c r="SGJ599" s="584"/>
      <c r="SGK599" s="584"/>
      <c r="SGL599" s="584"/>
      <c r="SGM599" s="584"/>
      <c r="SGN599" s="584"/>
      <c r="SGO599" s="584"/>
      <c r="SGP599" s="584"/>
      <c r="SGQ599" s="584"/>
      <c r="SGR599" s="584"/>
      <c r="SGS599" s="584"/>
      <c r="SGT599" s="584"/>
      <c r="SGU599" s="584"/>
      <c r="SGV599" s="584"/>
      <c r="SGW599" s="584"/>
      <c r="SGX599" s="584"/>
      <c r="SGY599" s="584"/>
      <c r="SGZ599" s="584"/>
      <c r="SHA599" s="584"/>
      <c r="SHB599" s="584"/>
      <c r="SHC599" s="584"/>
      <c r="SHD599" s="584"/>
      <c r="SHE599" s="584"/>
      <c r="SHF599" s="584"/>
      <c r="SHG599" s="584"/>
      <c r="SHH599" s="584"/>
      <c r="SHI599" s="584"/>
      <c r="SHJ599" s="584"/>
      <c r="SHK599" s="584"/>
      <c r="SHL599" s="584"/>
      <c r="SHM599" s="584"/>
      <c r="SHN599" s="584"/>
      <c r="SHO599" s="584"/>
      <c r="SHP599" s="584"/>
      <c r="SHQ599" s="584"/>
      <c r="SHR599" s="584"/>
      <c r="SHS599" s="584"/>
      <c r="SHT599" s="584"/>
      <c r="SHU599" s="584"/>
      <c r="SHV599" s="584"/>
      <c r="SHW599" s="584"/>
      <c r="SHX599" s="584"/>
      <c r="SHY599" s="584"/>
      <c r="SHZ599" s="584"/>
      <c r="SIA599" s="584"/>
      <c r="SIB599" s="584"/>
      <c r="SIC599" s="584"/>
      <c r="SID599" s="584"/>
      <c r="SIE599" s="584"/>
      <c r="SIF599" s="584"/>
      <c r="SIG599" s="584"/>
      <c r="SIH599" s="584"/>
      <c r="SII599" s="584"/>
      <c r="SIJ599" s="584"/>
      <c r="SIK599" s="584"/>
      <c r="SIL599" s="584"/>
      <c r="SIM599" s="584"/>
      <c r="SIN599" s="584"/>
      <c r="SIO599" s="584"/>
      <c r="SIP599" s="584"/>
      <c r="SIQ599" s="584"/>
      <c r="SIR599" s="584"/>
      <c r="SIS599" s="584"/>
      <c r="SIT599" s="584"/>
      <c r="SIU599" s="584"/>
      <c r="SIV599" s="584"/>
      <c r="SIW599" s="584"/>
      <c r="SIX599" s="584"/>
      <c r="SIY599" s="584"/>
      <c r="SIZ599" s="584"/>
      <c r="SJA599" s="584"/>
      <c r="SJB599" s="584"/>
      <c r="SJC599" s="584"/>
      <c r="SJD599" s="584"/>
      <c r="SJE599" s="584"/>
      <c r="SJF599" s="584"/>
      <c r="SJG599" s="584"/>
      <c r="SJH599" s="584"/>
      <c r="SJI599" s="584"/>
      <c r="SJJ599" s="584"/>
      <c r="SJK599" s="584"/>
      <c r="SJL599" s="584"/>
      <c r="SJM599" s="584"/>
      <c r="SJN599" s="584"/>
      <c r="SJO599" s="584"/>
      <c r="SJP599" s="584"/>
      <c r="SJQ599" s="584"/>
      <c r="SJR599" s="584"/>
      <c r="SJS599" s="584"/>
      <c r="SJT599" s="584"/>
      <c r="SJU599" s="584"/>
      <c r="SJV599" s="584"/>
      <c r="SJW599" s="584"/>
      <c r="SJX599" s="584"/>
      <c r="SJY599" s="584"/>
      <c r="SJZ599" s="584"/>
      <c r="SKA599" s="584"/>
      <c r="SKB599" s="584"/>
      <c r="SKC599" s="584"/>
      <c r="SKD599" s="584"/>
      <c r="SKE599" s="584"/>
      <c r="SKF599" s="584"/>
      <c r="SKG599" s="584"/>
      <c r="SKH599" s="584"/>
      <c r="SKI599" s="584"/>
      <c r="SKJ599" s="584"/>
      <c r="SKK599" s="584"/>
      <c r="SKL599" s="584"/>
      <c r="SKM599" s="584"/>
      <c r="SKN599" s="584"/>
      <c r="SKO599" s="584"/>
      <c r="SKP599" s="584"/>
      <c r="SKQ599" s="584"/>
      <c r="SKR599" s="584"/>
      <c r="SKS599" s="584"/>
      <c r="SKT599" s="584"/>
      <c r="SKU599" s="584"/>
      <c r="SKV599" s="584"/>
      <c r="SKW599" s="584"/>
      <c r="SKX599" s="584"/>
      <c r="SKY599" s="584"/>
      <c r="SKZ599" s="584"/>
      <c r="SLA599" s="584"/>
      <c r="SLB599" s="584"/>
      <c r="SLC599" s="584"/>
      <c r="SLD599" s="584"/>
      <c r="SLE599" s="584"/>
      <c r="SLF599" s="584"/>
      <c r="SLG599" s="584"/>
      <c r="SLH599" s="584"/>
      <c r="SLI599" s="584"/>
      <c r="SLJ599" s="584"/>
      <c r="SLK599" s="584"/>
      <c r="SLL599" s="584"/>
      <c r="SLM599" s="584"/>
      <c r="SLN599" s="584"/>
      <c r="SLO599" s="584"/>
      <c r="SLP599" s="584"/>
      <c r="SLQ599" s="584"/>
      <c r="SLR599" s="584"/>
      <c r="SLS599" s="584"/>
      <c r="SLT599" s="584"/>
      <c r="SLU599" s="584"/>
      <c r="SLV599" s="584"/>
      <c r="SLW599" s="584"/>
      <c r="SLX599" s="584"/>
      <c r="SLY599" s="584"/>
      <c r="SLZ599" s="584"/>
      <c r="SMA599" s="584"/>
      <c r="SMB599" s="584"/>
      <c r="SMC599" s="584"/>
      <c r="SMD599" s="584"/>
      <c r="SME599" s="584"/>
      <c r="SMF599" s="584"/>
      <c r="SMG599" s="584"/>
      <c r="SMH599" s="584"/>
      <c r="SMI599" s="584"/>
      <c r="SMJ599" s="584"/>
      <c r="SMK599" s="584"/>
      <c r="SML599" s="584"/>
      <c r="SMM599" s="584"/>
      <c r="SMN599" s="584"/>
      <c r="SMO599" s="584"/>
      <c r="SMP599" s="584"/>
      <c r="SMQ599" s="584"/>
      <c r="SMR599" s="584"/>
      <c r="SMS599" s="584"/>
      <c r="SMT599" s="584"/>
      <c r="SMU599" s="584"/>
      <c r="SMV599" s="584"/>
      <c r="SMW599" s="584"/>
      <c r="SMX599" s="584"/>
      <c r="SMY599" s="584"/>
      <c r="SMZ599" s="584"/>
      <c r="SNA599" s="584"/>
      <c r="SNB599" s="584"/>
      <c r="SNC599" s="584"/>
      <c r="SND599" s="584"/>
      <c r="SNE599" s="584"/>
      <c r="SNF599" s="584"/>
      <c r="SNG599" s="584"/>
      <c r="SNH599" s="584"/>
      <c r="SNI599" s="584"/>
      <c r="SNJ599" s="584"/>
      <c r="SNK599" s="584"/>
      <c r="SNL599" s="584"/>
      <c r="SNM599" s="584"/>
      <c r="SNN599" s="584"/>
      <c r="SNO599" s="584"/>
      <c r="SNP599" s="584"/>
      <c r="SNQ599" s="584"/>
      <c r="SNR599" s="584"/>
      <c r="SNS599" s="584"/>
      <c r="SNT599" s="584"/>
      <c r="SNU599" s="584"/>
      <c r="SNV599" s="584"/>
      <c r="SNW599" s="584"/>
      <c r="SNX599" s="584"/>
      <c r="SNY599" s="584"/>
      <c r="SNZ599" s="584"/>
      <c r="SOA599" s="584"/>
      <c r="SOB599" s="584"/>
      <c r="SOC599" s="584"/>
      <c r="SOD599" s="584"/>
      <c r="SOE599" s="584"/>
      <c r="SOF599" s="584"/>
      <c r="SOG599" s="584"/>
      <c r="SOH599" s="584"/>
      <c r="SOI599" s="584"/>
      <c r="SOJ599" s="584"/>
      <c r="SOK599" s="584"/>
      <c r="SOL599" s="584"/>
      <c r="SOM599" s="584"/>
      <c r="SON599" s="584"/>
      <c r="SOO599" s="584"/>
      <c r="SOP599" s="584"/>
      <c r="SOQ599" s="584"/>
      <c r="SOR599" s="584"/>
      <c r="SOS599" s="584"/>
      <c r="SOT599" s="584"/>
      <c r="SOU599" s="584"/>
      <c r="SOV599" s="584"/>
      <c r="SOW599" s="584"/>
      <c r="SOX599" s="584"/>
      <c r="SOY599" s="584"/>
      <c r="SOZ599" s="584"/>
      <c r="SPA599" s="584"/>
      <c r="SPB599" s="584"/>
      <c r="SPC599" s="584"/>
      <c r="SPD599" s="584"/>
      <c r="SPE599" s="584"/>
      <c r="SPF599" s="584"/>
      <c r="SPG599" s="584"/>
      <c r="SPH599" s="584"/>
      <c r="SPI599" s="584"/>
      <c r="SPJ599" s="584"/>
      <c r="SPK599" s="584"/>
      <c r="SPL599" s="584"/>
      <c r="SPM599" s="584"/>
      <c r="SPN599" s="584"/>
      <c r="SPO599" s="584"/>
      <c r="SPP599" s="584"/>
      <c r="SPQ599" s="584"/>
      <c r="SPR599" s="584"/>
      <c r="SPS599" s="584"/>
      <c r="SPT599" s="584"/>
      <c r="SPU599" s="584"/>
      <c r="SPV599" s="584"/>
      <c r="SPW599" s="584"/>
      <c r="SPX599" s="584"/>
      <c r="SPY599" s="584"/>
      <c r="SPZ599" s="584"/>
      <c r="SQA599" s="584"/>
      <c r="SQB599" s="584"/>
      <c r="SQC599" s="584"/>
      <c r="SQD599" s="584"/>
      <c r="SQE599" s="584"/>
      <c r="SQF599" s="584"/>
      <c r="SQG599" s="584"/>
      <c r="SQH599" s="584"/>
      <c r="SQI599" s="584"/>
      <c r="SQJ599" s="584"/>
      <c r="SQK599" s="584"/>
      <c r="SQL599" s="584"/>
      <c r="SQM599" s="584"/>
      <c r="SQN599" s="584"/>
      <c r="SQO599" s="584"/>
      <c r="SQP599" s="584"/>
      <c r="SQQ599" s="584"/>
      <c r="SQR599" s="584"/>
      <c r="SQS599" s="584"/>
      <c r="SQT599" s="584"/>
      <c r="SQU599" s="584"/>
      <c r="SQV599" s="584"/>
      <c r="SQW599" s="584"/>
      <c r="SQX599" s="584"/>
      <c r="SQY599" s="584"/>
      <c r="SQZ599" s="584"/>
      <c r="SRA599" s="584"/>
      <c r="SRB599" s="584"/>
      <c r="SRC599" s="584"/>
      <c r="SRD599" s="584"/>
      <c r="SRE599" s="584"/>
      <c r="SRF599" s="584"/>
      <c r="SRG599" s="584"/>
      <c r="SRH599" s="584"/>
      <c r="SRI599" s="584"/>
      <c r="SRJ599" s="584"/>
      <c r="SRK599" s="584"/>
      <c r="SRL599" s="584"/>
      <c r="SRM599" s="584"/>
      <c r="SRN599" s="584"/>
      <c r="SRO599" s="584"/>
      <c r="SRP599" s="584"/>
      <c r="SRQ599" s="584"/>
      <c r="SRR599" s="584"/>
      <c r="SRS599" s="584"/>
      <c r="SRT599" s="584"/>
      <c r="SRU599" s="584"/>
      <c r="SRV599" s="584"/>
      <c r="SRW599" s="584"/>
      <c r="SRX599" s="584"/>
      <c r="SRY599" s="584"/>
      <c r="SRZ599" s="584"/>
      <c r="SSA599" s="584"/>
      <c r="SSB599" s="584"/>
      <c r="SSC599" s="584"/>
      <c r="SSD599" s="584"/>
      <c r="SSE599" s="584"/>
      <c r="SSF599" s="584"/>
      <c r="SSG599" s="584"/>
      <c r="SSH599" s="584"/>
      <c r="SSI599" s="584"/>
      <c r="SSJ599" s="584"/>
      <c r="SSK599" s="584"/>
      <c r="SSL599" s="584"/>
      <c r="SSM599" s="584"/>
      <c r="SSN599" s="584"/>
      <c r="SSO599" s="584"/>
      <c r="SSP599" s="584"/>
      <c r="SSQ599" s="584"/>
      <c r="SSR599" s="584"/>
      <c r="SSS599" s="584"/>
      <c r="SST599" s="584"/>
      <c r="SSU599" s="584"/>
      <c r="SSV599" s="584"/>
      <c r="SSW599" s="584"/>
      <c r="SSX599" s="584"/>
      <c r="SSY599" s="584"/>
      <c r="SSZ599" s="584"/>
      <c r="STA599" s="584"/>
      <c r="STB599" s="584"/>
      <c r="STC599" s="584"/>
      <c r="STD599" s="584"/>
      <c r="STE599" s="584"/>
      <c r="STF599" s="584"/>
      <c r="STG599" s="584"/>
      <c r="STH599" s="584"/>
      <c r="STI599" s="584"/>
      <c r="STJ599" s="584"/>
      <c r="STK599" s="584"/>
      <c r="STL599" s="584"/>
      <c r="STM599" s="584"/>
      <c r="STN599" s="584"/>
      <c r="STO599" s="584"/>
      <c r="STP599" s="584"/>
      <c r="STQ599" s="584"/>
      <c r="STR599" s="584"/>
      <c r="STS599" s="584"/>
      <c r="STT599" s="584"/>
      <c r="STU599" s="584"/>
      <c r="STV599" s="584"/>
      <c r="STW599" s="584"/>
      <c r="STX599" s="584"/>
      <c r="STY599" s="584"/>
      <c r="STZ599" s="584"/>
      <c r="SUA599" s="584"/>
      <c r="SUB599" s="584"/>
      <c r="SUC599" s="584"/>
      <c r="SUD599" s="584"/>
      <c r="SUE599" s="584"/>
      <c r="SUF599" s="584"/>
      <c r="SUG599" s="584"/>
      <c r="SUH599" s="584"/>
      <c r="SUI599" s="584"/>
      <c r="SUJ599" s="584"/>
      <c r="SUK599" s="584"/>
      <c r="SUL599" s="584"/>
      <c r="SUM599" s="584"/>
      <c r="SUN599" s="584"/>
      <c r="SUO599" s="584"/>
      <c r="SUP599" s="584"/>
      <c r="SUQ599" s="584"/>
      <c r="SUR599" s="584"/>
      <c r="SUS599" s="584"/>
      <c r="SUT599" s="584"/>
      <c r="SUU599" s="584"/>
      <c r="SUV599" s="584"/>
      <c r="SUW599" s="584"/>
      <c r="SUX599" s="584"/>
      <c r="SUY599" s="584"/>
      <c r="SUZ599" s="584"/>
      <c r="SVA599" s="584"/>
      <c r="SVB599" s="584"/>
      <c r="SVC599" s="584"/>
      <c r="SVD599" s="584"/>
      <c r="SVE599" s="584"/>
      <c r="SVF599" s="584"/>
      <c r="SVG599" s="584"/>
      <c r="SVH599" s="584"/>
      <c r="SVI599" s="584"/>
      <c r="SVJ599" s="584"/>
      <c r="SVK599" s="584"/>
      <c r="SVL599" s="584"/>
      <c r="SVM599" s="584"/>
      <c r="SVN599" s="584"/>
      <c r="SVO599" s="584"/>
      <c r="SVP599" s="584"/>
      <c r="SVQ599" s="584"/>
      <c r="SVR599" s="584"/>
      <c r="SVS599" s="584"/>
      <c r="SVT599" s="584"/>
      <c r="SVU599" s="584"/>
      <c r="SVV599" s="584"/>
      <c r="SVW599" s="584"/>
      <c r="SVX599" s="584"/>
      <c r="SVY599" s="584"/>
      <c r="SVZ599" s="584"/>
      <c r="SWA599" s="584"/>
      <c r="SWB599" s="584"/>
      <c r="SWC599" s="584"/>
      <c r="SWD599" s="584"/>
      <c r="SWE599" s="584"/>
      <c r="SWF599" s="584"/>
      <c r="SWG599" s="584"/>
      <c r="SWH599" s="584"/>
      <c r="SWI599" s="584"/>
      <c r="SWJ599" s="584"/>
      <c r="SWK599" s="584"/>
      <c r="SWL599" s="584"/>
      <c r="SWM599" s="584"/>
      <c r="SWN599" s="584"/>
      <c r="SWO599" s="584"/>
      <c r="SWP599" s="584"/>
      <c r="SWQ599" s="584"/>
      <c r="SWR599" s="584"/>
      <c r="SWS599" s="584"/>
      <c r="SWT599" s="584"/>
      <c r="SWU599" s="584"/>
      <c r="SWV599" s="584"/>
      <c r="SWW599" s="584"/>
      <c r="SWX599" s="584"/>
      <c r="SWY599" s="584"/>
      <c r="SWZ599" s="584"/>
      <c r="SXA599" s="584"/>
      <c r="SXB599" s="584"/>
      <c r="SXC599" s="584"/>
      <c r="SXD599" s="584"/>
      <c r="SXE599" s="584"/>
      <c r="SXF599" s="584"/>
      <c r="SXG599" s="584"/>
      <c r="SXH599" s="584"/>
      <c r="SXI599" s="584"/>
      <c r="SXJ599" s="584"/>
      <c r="SXK599" s="584"/>
      <c r="SXL599" s="584"/>
      <c r="SXM599" s="584"/>
      <c r="SXN599" s="584"/>
      <c r="SXO599" s="584"/>
      <c r="SXP599" s="584"/>
      <c r="SXQ599" s="584"/>
      <c r="SXR599" s="584"/>
      <c r="SXS599" s="584"/>
      <c r="SXT599" s="584"/>
      <c r="SXU599" s="584"/>
      <c r="SXV599" s="584"/>
      <c r="SXW599" s="584"/>
      <c r="SXX599" s="584"/>
      <c r="SXY599" s="584"/>
      <c r="SXZ599" s="584"/>
      <c r="SYA599" s="584"/>
      <c r="SYB599" s="584"/>
      <c r="SYC599" s="584"/>
      <c r="SYD599" s="584"/>
      <c r="SYE599" s="584"/>
      <c r="SYF599" s="584"/>
      <c r="SYG599" s="584"/>
      <c r="SYH599" s="584"/>
      <c r="SYI599" s="584"/>
      <c r="SYJ599" s="584"/>
      <c r="SYK599" s="584"/>
      <c r="SYL599" s="584"/>
      <c r="SYM599" s="584"/>
      <c r="SYN599" s="584"/>
      <c r="SYO599" s="584"/>
      <c r="SYP599" s="584"/>
      <c r="SYQ599" s="584"/>
      <c r="SYR599" s="584"/>
      <c r="SYS599" s="584"/>
      <c r="SYT599" s="584"/>
      <c r="SYU599" s="584"/>
      <c r="SYV599" s="584"/>
      <c r="SYW599" s="584"/>
      <c r="SYX599" s="584"/>
      <c r="SYY599" s="584"/>
      <c r="SYZ599" s="584"/>
      <c r="SZA599" s="584"/>
      <c r="SZB599" s="584"/>
      <c r="SZC599" s="584"/>
      <c r="SZD599" s="584"/>
      <c r="SZE599" s="584"/>
      <c r="SZF599" s="584"/>
      <c r="SZG599" s="584"/>
      <c r="SZH599" s="584"/>
      <c r="SZI599" s="584"/>
      <c r="SZJ599" s="584"/>
      <c r="SZK599" s="584"/>
      <c r="SZL599" s="584"/>
      <c r="SZM599" s="584"/>
      <c r="SZN599" s="584"/>
      <c r="SZO599" s="584"/>
      <c r="SZP599" s="584"/>
      <c r="SZQ599" s="584"/>
      <c r="SZR599" s="584"/>
      <c r="SZS599" s="584"/>
      <c r="SZT599" s="584"/>
      <c r="SZU599" s="584"/>
      <c r="SZV599" s="584"/>
      <c r="SZW599" s="584"/>
      <c r="SZX599" s="584"/>
      <c r="SZY599" s="584"/>
      <c r="SZZ599" s="584"/>
      <c r="TAA599" s="584"/>
      <c r="TAB599" s="584"/>
      <c r="TAC599" s="584"/>
      <c r="TAD599" s="584"/>
      <c r="TAE599" s="584"/>
      <c r="TAF599" s="584"/>
      <c r="TAG599" s="584"/>
      <c r="TAH599" s="584"/>
      <c r="TAI599" s="584"/>
      <c r="TAJ599" s="584"/>
      <c r="TAK599" s="584"/>
      <c r="TAL599" s="584"/>
      <c r="TAM599" s="584"/>
      <c r="TAN599" s="584"/>
      <c r="TAO599" s="584"/>
      <c r="TAP599" s="584"/>
      <c r="TAQ599" s="584"/>
      <c r="TAR599" s="584"/>
      <c r="TAS599" s="584"/>
      <c r="TAT599" s="584"/>
      <c r="TAU599" s="584"/>
      <c r="TAV599" s="584"/>
      <c r="TAW599" s="584"/>
      <c r="TAX599" s="584"/>
      <c r="TAY599" s="584"/>
      <c r="TAZ599" s="584"/>
      <c r="TBA599" s="584"/>
      <c r="TBB599" s="584"/>
      <c r="TBC599" s="584"/>
      <c r="TBD599" s="584"/>
      <c r="TBE599" s="584"/>
      <c r="TBF599" s="584"/>
      <c r="TBG599" s="584"/>
      <c r="TBH599" s="584"/>
      <c r="TBI599" s="584"/>
      <c r="TBJ599" s="584"/>
      <c r="TBK599" s="584"/>
      <c r="TBL599" s="584"/>
      <c r="TBM599" s="584"/>
      <c r="TBN599" s="584"/>
      <c r="TBO599" s="584"/>
      <c r="TBP599" s="584"/>
      <c r="TBQ599" s="584"/>
      <c r="TBR599" s="584"/>
      <c r="TBS599" s="584"/>
      <c r="TBT599" s="584"/>
      <c r="TBU599" s="584"/>
      <c r="TBV599" s="584"/>
      <c r="TBW599" s="584"/>
      <c r="TBX599" s="584"/>
      <c r="TBY599" s="584"/>
      <c r="TBZ599" s="584"/>
      <c r="TCA599" s="584"/>
      <c r="TCB599" s="584"/>
      <c r="TCC599" s="584"/>
      <c r="TCD599" s="584"/>
      <c r="TCE599" s="584"/>
      <c r="TCF599" s="584"/>
      <c r="TCG599" s="584"/>
      <c r="TCH599" s="584"/>
      <c r="TCI599" s="584"/>
      <c r="TCJ599" s="584"/>
      <c r="TCK599" s="584"/>
      <c r="TCL599" s="584"/>
      <c r="TCM599" s="584"/>
      <c r="TCN599" s="584"/>
      <c r="TCO599" s="584"/>
      <c r="TCP599" s="584"/>
      <c r="TCQ599" s="584"/>
      <c r="TCR599" s="584"/>
      <c r="TCS599" s="584"/>
      <c r="TCT599" s="584"/>
      <c r="TCU599" s="584"/>
      <c r="TCV599" s="584"/>
      <c r="TCW599" s="584"/>
      <c r="TCX599" s="584"/>
      <c r="TCY599" s="584"/>
      <c r="TCZ599" s="584"/>
      <c r="TDA599" s="584"/>
      <c r="TDB599" s="584"/>
      <c r="TDC599" s="584"/>
      <c r="TDD599" s="584"/>
      <c r="TDE599" s="584"/>
      <c r="TDF599" s="584"/>
      <c r="TDG599" s="584"/>
      <c r="TDH599" s="584"/>
      <c r="TDI599" s="584"/>
      <c r="TDJ599" s="584"/>
      <c r="TDK599" s="584"/>
      <c r="TDL599" s="584"/>
      <c r="TDM599" s="584"/>
      <c r="TDN599" s="584"/>
      <c r="TDO599" s="584"/>
      <c r="TDP599" s="584"/>
      <c r="TDQ599" s="584"/>
      <c r="TDR599" s="584"/>
      <c r="TDS599" s="584"/>
      <c r="TDT599" s="584"/>
      <c r="TDU599" s="584"/>
      <c r="TDV599" s="584"/>
      <c r="TDW599" s="584"/>
      <c r="TDX599" s="584"/>
      <c r="TDY599" s="584"/>
      <c r="TDZ599" s="584"/>
      <c r="TEA599" s="584"/>
      <c r="TEB599" s="584"/>
      <c r="TEC599" s="584"/>
      <c r="TED599" s="584"/>
      <c r="TEE599" s="584"/>
      <c r="TEF599" s="584"/>
      <c r="TEG599" s="584"/>
      <c r="TEH599" s="584"/>
      <c r="TEI599" s="584"/>
      <c r="TEJ599" s="584"/>
      <c r="TEK599" s="584"/>
      <c r="TEL599" s="584"/>
      <c r="TEM599" s="584"/>
      <c r="TEN599" s="584"/>
      <c r="TEO599" s="584"/>
      <c r="TEP599" s="584"/>
      <c r="TEQ599" s="584"/>
      <c r="TER599" s="584"/>
      <c r="TES599" s="584"/>
      <c r="TET599" s="584"/>
      <c r="TEU599" s="584"/>
      <c r="TEV599" s="584"/>
      <c r="TEW599" s="584"/>
      <c r="TEX599" s="584"/>
      <c r="TEY599" s="584"/>
      <c r="TEZ599" s="584"/>
      <c r="TFA599" s="584"/>
      <c r="TFB599" s="584"/>
      <c r="TFC599" s="584"/>
      <c r="TFD599" s="584"/>
      <c r="TFE599" s="584"/>
      <c r="TFF599" s="584"/>
      <c r="TFG599" s="584"/>
      <c r="TFH599" s="584"/>
      <c r="TFI599" s="584"/>
      <c r="TFJ599" s="584"/>
      <c r="TFK599" s="584"/>
      <c r="TFL599" s="584"/>
      <c r="TFM599" s="584"/>
      <c r="TFN599" s="584"/>
      <c r="TFO599" s="584"/>
      <c r="TFP599" s="584"/>
      <c r="TFQ599" s="584"/>
      <c r="TFR599" s="584"/>
      <c r="TFS599" s="584"/>
      <c r="TFT599" s="584"/>
      <c r="TFU599" s="584"/>
      <c r="TFV599" s="584"/>
      <c r="TFW599" s="584"/>
      <c r="TFX599" s="584"/>
      <c r="TFY599" s="584"/>
      <c r="TFZ599" s="584"/>
      <c r="TGA599" s="584"/>
      <c r="TGB599" s="584"/>
      <c r="TGC599" s="584"/>
      <c r="TGD599" s="584"/>
      <c r="TGE599" s="584"/>
      <c r="TGF599" s="584"/>
      <c r="TGG599" s="584"/>
      <c r="TGH599" s="584"/>
      <c r="TGI599" s="584"/>
      <c r="TGJ599" s="584"/>
      <c r="TGK599" s="584"/>
      <c r="TGL599" s="584"/>
      <c r="TGM599" s="584"/>
      <c r="TGN599" s="584"/>
      <c r="TGO599" s="584"/>
      <c r="TGP599" s="584"/>
      <c r="TGQ599" s="584"/>
      <c r="TGR599" s="584"/>
      <c r="TGS599" s="584"/>
      <c r="TGT599" s="584"/>
      <c r="TGU599" s="584"/>
      <c r="TGV599" s="584"/>
      <c r="TGW599" s="584"/>
      <c r="TGX599" s="584"/>
      <c r="TGY599" s="584"/>
      <c r="TGZ599" s="584"/>
      <c r="THA599" s="584"/>
      <c r="THB599" s="584"/>
      <c r="THC599" s="584"/>
      <c r="THD599" s="584"/>
      <c r="THE599" s="584"/>
      <c r="THF599" s="584"/>
      <c r="THG599" s="584"/>
      <c r="THH599" s="584"/>
      <c r="THI599" s="584"/>
      <c r="THJ599" s="584"/>
      <c r="THK599" s="584"/>
      <c r="THL599" s="584"/>
      <c r="THM599" s="584"/>
      <c r="THN599" s="584"/>
      <c r="THO599" s="584"/>
      <c r="THP599" s="584"/>
      <c r="THQ599" s="584"/>
      <c r="THR599" s="584"/>
      <c r="THS599" s="584"/>
      <c r="THT599" s="584"/>
      <c r="THU599" s="584"/>
      <c r="THV599" s="584"/>
      <c r="THW599" s="584"/>
      <c r="THX599" s="584"/>
      <c r="THY599" s="584"/>
      <c r="THZ599" s="584"/>
      <c r="TIA599" s="584"/>
      <c r="TIB599" s="584"/>
      <c r="TIC599" s="584"/>
      <c r="TID599" s="584"/>
      <c r="TIE599" s="584"/>
      <c r="TIF599" s="584"/>
      <c r="TIG599" s="584"/>
      <c r="TIH599" s="584"/>
      <c r="TII599" s="584"/>
      <c r="TIJ599" s="584"/>
      <c r="TIK599" s="584"/>
      <c r="TIL599" s="584"/>
      <c r="TIM599" s="584"/>
      <c r="TIN599" s="584"/>
      <c r="TIO599" s="584"/>
      <c r="TIP599" s="584"/>
      <c r="TIQ599" s="584"/>
      <c r="TIR599" s="584"/>
      <c r="TIS599" s="584"/>
      <c r="TIT599" s="584"/>
      <c r="TIU599" s="584"/>
      <c r="TIV599" s="584"/>
      <c r="TIW599" s="584"/>
      <c r="TIX599" s="584"/>
      <c r="TIY599" s="584"/>
      <c r="TIZ599" s="584"/>
      <c r="TJA599" s="584"/>
      <c r="TJB599" s="584"/>
      <c r="TJC599" s="584"/>
      <c r="TJD599" s="584"/>
      <c r="TJE599" s="584"/>
      <c r="TJF599" s="584"/>
      <c r="TJG599" s="584"/>
      <c r="TJH599" s="584"/>
      <c r="TJI599" s="584"/>
      <c r="TJJ599" s="584"/>
      <c r="TJK599" s="584"/>
      <c r="TJL599" s="584"/>
      <c r="TJM599" s="584"/>
      <c r="TJN599" s="584"/>
      <c r="TJO599" s="584"/>
      <c r="TJP599" s="584"/>
      <c r="TJQ599" s="584"/>
      <c r="TJR599" s="584"/>
      <c r="TJS599" s="584"/>
      <c r="TJT599" s="584"/>
      <c r="TJU599" s="584"/>
      <c r="TJV599" s="584"/>
      <c r="TJW599" s="584"/>
      <c r="TJX599" s="584"/>
      <c r="TJY599" s="584"/>
      <c r="TJZ599" s="584"/>
      <c r="TKA599" s="584"/>
      <c r="TKB599" s="584"/>
      <c r="TKC599" s="584"/>
      <c r="TKD599" s="584"/>
      <c r="TKE599" s="584"/>
      <c r="TKF599" s="584"/>
      <c r="TKG599" s="584"/>
      <c r="TKH599" s="584"/>
      <c r="TKI599" s="584"/>
      <c r="TKJ599" s="584"/>
      <c r="TKK599" s="584"/>
      <c r="TKL599" s="584"/>
      <c r="TKM599" s="584"/>
      <c r="TKN599" s="584"/>
      <c r="TKO599" s="584"/>
      <c r="TKP599" s="584"/>
      <c r="TKQ599" s="584"/>
      <c r="TKR599" s="584"/>
      <c r="TKS599" s="584"/>
      <c r="TKT599" s="584"/>
      <c r="TKU599" s="584"/>
      <c r="TKV599" s="584"/>
      <c r="TKW599" s="584"/>
      <c r="TKX599" s="584"/>
      <c r="TKY599" s="584"/>
      <c r="TKZ599" s="584"/>
      <c r="TLA599" s="584"/>
      <c r="TLB599" s="584"/>
      <c r="TLC599" s="584"/>
      <c r="TLD599" s="584"/>
      <c r="TLE599" s="584"/>
      <c r="TLF599" s="584"/>
      <c r="TLG599" s="584"/>
      <c r="TLH599" s="584"/>
      <c r="TLI599" s="584"/>
      <c r="TLJ599" s="584"/>
      <c r="TLK599" s="584"/>
      <c r="TLL599" s="584"/>
      <c r="TLM599" s="584"/>
      <c r="TLN599" s="584"/>
      <c r="TLO599" s="584"/>
      <c r="TLP599" s="584"/>
      <c r="TLQ599" s="584"/>
      <c r="TLR599" s="584"/>
      <c r="TLS599" s="584"/>
      <c r="TLT599" s="584"/>
      <c r="TLU599" s="584"/>
      <c r="TLV599" s="584"/>
      <c r="TLW599" s="584"/>
      <c r="TLX599" s="584"/>
      <c r="TLY599" s="584"/>
      <c r="TLZ599" s="584"/>
      <c r="TMA599" s="584"/>
      <c r="TMB599" s="584"/>
      <c r="TMC599" s="584"/>
      <c r="TMD599" s="584"/>
      <c r="TME599" s="584"/>
      <c r="TMF599" s="584"/>
      <c r="TMG599" s="584"/>
      <c r="TMH599" s="584"/>
      <c r="TMI599" s="584"/>
      <c r="TMJ599" s="584"/>
      <c r="TMK599" s="584"/>
      <c r="TML599" s="584"/>
      <c r="TMM599" s="584"/>
      <c r="TMN599" s="584"/>
      <c r="TMO599" s="584"/>
      <c r="TMP599" s="584"/>
      <c r="TMQ599" s="584"/>
      <c r="TMR599" s="584"/>
      <c r="TMS599" s="584"/>
      <c r="TMT599" s="584"/>
      <c r="TMU599" s="584"/>
      <c r="TMV599" s="584"/>
      <c r="TMW599" s="584"/>
      <c r="TMX599" s="584"/>
      <c r="TMY599" s="584"/>
      <c r="TMZ599" s="584"/>
      <c r="TNA599" s="584"/>
      <c r="TNB599" s="584"/>
      <c r="TNC599" s="584"/>
      <c r="TND599" s="584"/>
      <c r="TNE599" s="584"/>
      <c r="TNF599" s="584"/>
      <c r="TNG599" s="584"/>
      <c r="TNH599" s="584"/>
      <c r="TNI599" s="584"/>
      <c r="TNJ599" s="584"/>
      <c r="TNK599" s="584"/>
      <c r="TNL599" s="584"/>
      <c r="TNM599" s="584"/>
      <c r="TNN599" s="584"/>
      <c r="TNO599" s="584"/>
      <c r="TNP599" s="584"/>
      <c r="TNQ599" s="584"/>
      <c r="TNR599" s="584"/>
      <c r="TNS599" s="584"/>
      <c r="TNT599" s="584"/>
      <c r="TNU599" s="584"/>
      <c r="TNV599" s="584"/>
      <c r="TNW599" s="584"/>
      <c r="TNX599" s="584"/>
      <c r="TNY599" s="584"/>
      <c r="TNZ599" s="584"/>
      <c r="TOA599" s="584"/>
      <c r="TOB599" s="584"/>
      <c r="TOC599" s="584"/>
      <c r="TOD599" s="584"/>
      <c r="TOE599" s="584"/>
      <c r="TOF599" s="584"/>
      <c r="TOG599" s="584"/>
      <c r="TOH599" s="584"/>
      <c r="TOI599" s="584"/>
      <c r="TOJ599" s="584"/>
      <c r="TOK599" s="584"/>
      <c r="TOL599" s="584"/>
      <c r="TOM599" s="584"/>
      <c r="TON599" s="584"/>
      <c r="TOO599" s="584"/>
      <c r="TOP599" s="584"/>
      <c r="TOQ599" s="584"/>
      <c r="TOR599" s="584"/>
      <c r="TOS599" s="584"/>
      <c r="TOT599" s="584"/>
      <c r="TOU599" s="584"/>
      <c r="TOV599" s="584"/>
      <c r="TOW599" s="584"/>
      <c r="TOX599" s="584"/>
      <c r="TOY599" s="584"/>
      <c r="TOZ599" s="584"/>
      <c r="TPA599" s="584"/>
      <c r="TPB599" s="584"/>
      <c r="TPC599" s="584"/>
      <c r="TPD599" s="584"/>
      <c r="TPE599" s="584"/>
      <c r="TPF599" s="584"/>
      <c r="TPG599" s="584"/>
      <c r="TPH599" s="584"/>
      <c r="TPI599" s="584"/>
      <c r="TPJ599" s="584"/>
      <c r="TPK599" s="584"/>
      <c r="TPL599" s="584"/>
      <c r="TPM599" s="584"/>
      <c r="TPN599" s="584"/>
      <c r="TPO599" s="584"/>
      <c r="TPP599" s="584"/>
      <c r="TPQ599" s="584"/>
      <c r="TPR599" s="584"/>
      <c r="TPS599" s="584"/>
      <c r="TPT599" s="584"/>
      <c r="TPU599" s="584"/>
      <c r="TPV599" s="584"/>
      <c r="TPW599" s="584"/>
      <c r="TPX599" s="584"/>
      <c r="TPY599" s="584"/>
      <c r="TPZ599" s="584"/>
      <c r="TQA599" s="584"/>
      <c r="TQB599" s="584"/>
      <c r="TQC599" s="584"/>
      <c r="TQD599" s="584"/>
      <c r="TQE599" s="584"/>
      <c r="TQF599" s="584"/>
      <c r="TQG599" s="584"/>
      <c r="TQH599" s="584"/>
      <c r="TQI599" s="584"/>
      <c r="TQJ599" s="584"/>
      <c r="TQK599" s="584"/>
      <c r="TQL599" s="584"/>
      <c r="TQM599" s="584"/>
      <c r="TQN599" s="584"/>
      <c r="TQO599" s="584"/>
      <c r="TQP599" s="584"/>
      <c r="TQQ599" s="584"/>
      <c r="TQR599" s="584"/>
      <c r="TQS599" s="584"/>
      <c r="TQT599" s="584"/>
      <c r="TQU599" s="584"/>
      <c r="TQV599" s="584"/>
      <c r="TQW599" s="584"/>
      <c r="TQX599" s="584"/>
      <c r="TQY599" s="584"/>
      <c r="TQZ599" s="584"/>
      <c r="TRA599" s="584"/>
      <c r="TRB599" s="584"/>
      <c r="TRC599" s="584"/>
      <c r="TRD599" s="584"/>
      <c r="TRE599" s="584"/>
      <c r="TRF599" s="584"/>
      <c r="TRG599" s="584"/>
      <c r="TRH599" s="584"/>
      <c r="TRI599" s="584"/>
      <c r="TRJ599" s="584"/>
      <c r="TRK599" s="584"/>
      <c r="TRL599" s="584"/>
      <c r="TRM599" s="584"/>
      <c r="TRN599" s="584"/>
      <c r="TRO599" s="584"/>
      <c r="TRP599" s="584"/>
      <c r="TRQ599" s="584"/>
      <c r="TRR599" s="584"/>
      <c r="TRS599" s="584"/>
      <c r="TRT599" s="584"/>
      <c r="TRU599" s="584"/>
      <c r="TRV599" s="584"/>
      <c r="TRW599" s="584"/>
      <c r="TRX599" s="584"/>
      <c r="TRY599" s="584"/>
      <c r="TRZ599" s="584"/>
      <c r="TSA599" s="584"/>
      <c r="TSB599" s="584"/>
      <c r="TSC599" s="584"/>
      <c r="TSD599" s="584"/>
      <c r="TSE599" s="584"/>
      <c r="TSF599" s="584"/>
      <c r="TSG599" s="584"/>
      <c r="TSH599" s="584"/>
      <c r="TSI599" s="584"/>
      <c r="TSJ599" s="584"/>
      <c r="TSK599" s="584"/>
      <c r="TSL599" s="584"/>
      <c r="TSM599" s="584"/>
      <c r="TSN599" s="584"/>
      <c r="TSO599" s="584"/>
      <c r="TSP599" s="584"/>
      <c r="TSQ599" s="584"/>
      <c r="TSR599" s="584"/>
      <c r="TSS599" s="584"/>
      <c r="TST599" s="584"/>
      <c r="TSU599" s="584"/>
      <c r="TSV599" s="584"/>
      <c r="TSW599" s="584"/>
      <c r="TSX599" s="584"/>
      <c r="TSY599" s="584"/>
      <c r="TSZ599" s="584"/>
      <c r="TTA599" s="584"/>
      <c r="TTB599" s="584"/>
      <c r="TTC599" s="584"/>
      <c r="TTD599" s="584"/>
      <c r="TTE599" s="584"/>
      <c r="TTF599" s="584"/>
      <c r="TTG599" s="584"/>
      <c r="TTH599" s="584"/>
      <c r="TTI599" s="584"/>
      <c r="TTJ599" s="584"/>
      <c r="TTK599" s="584"/>
      <c r="TTL599" s="584"/>
      <c r="TTM599" s="584"/>
      <c r="TTN599" s="584"/>
      <c r="TTO599" s="584"/>
      <c r="TTP599" s="584"/>
      <c r="TTQ599" s="584"/>
      <c r="TTR599" s="584"/>
      <c r="TTS599" s="584"/>
      <c r="TTT599" s="584"/>
      <c r="TTU599" s="584"/>
      <c r="TTV599" s="584"/>
      <c r="TTW599" s="584"/>
      <c r="TTX599" s="584"/>
      <c r="TTY599" s="584"/>
      <c r="TTZ599" s="584"/>
      <c r="TUA599" s="584"/>
      <c r="TUB599" s="584"/>
      <c r="TUC599" s="584"/>
      <c r="TUD599" s="584"/>
      <c r="TUE599" s="584"/>
      <c r="TUF599" s="584"/>
      <c r="TUG599" s="584"/>
      <c r="TUH599" s="584"/>
      <c r="TUI599" s="584"/>
      <c r="TUJ599" s="584"/>
      <c r="TUK599" s="584"/>
      <c r="TUL599" s="584"/>
      <c r="TUM599" s="584"/>
      <c r="TUN599" s="584"/>
      <c r="TUO599" s="584"/>
      <c r="TUP599" s="584"/>
      <c r="TUQ599" s="584"/>
      <c r="TUR599" s="584"/>
      <c r="TUS599" s="584"/>
      <c r="TUT599" s="584"/>
      <c r="TUU599" s="584"/>
      <c r="TUV599" s="584"/>
      <c r="TUW599" s="584"/>
      <c r="TUX599" s="584"/>
      <c r="TUY599" s="584"/>
      <c r="TUZ599" s="584"/>
      <c r="TVA599" s="584"/>
      <c r="TVB599" s="584"/>
      <c r="TVC599" s="584"/>
      <c r="TVD599" s="584"/>
      <c r="TVE599" s="584"/>
      <c r="TVF599" s="584"/>
      <c r="TVG599" s="584"/>
      <c r="TVH599" s="584"/>
      <c r="TVI599" s="584"/>
      <c r="TVJ599" s="584"/>
      <c r="TVK599" s="584"/>
      <c r="TVL599" s="584"/>
      <c r="TVM599" s="584"/>
      <c r="TVN599" s="584"/>
      <c r="TVO599" s="584"/>
      <c r="TVP599" s="584"/>
      <c r="TVQ599" s="584"/>
      <c r="TVR599" s="584"/>
      <c r="TVS599" s="584"/>
      <c r="TVT599" s="584"/>
      <c r="TVU599" s="584"/>
      <c r="TVV599" s="584"/>
      <c r="TVW599" s="584"/>
      <c r="TVX599" s="584"/>
      <c r="TVY599" s="584"/>
      <c r="TVZ599" s="584"/>
      <c r="TWA599" s="584"/>
      <c r="TWB599" s="584"/>
      <c r="TWC599" s="584"/>
      <c r="TWD599" s="584"/>
      <c r="TWE599" s="584"/>
      <c r="TWF599" s="584"/>
      <c r="TWG599" s="584"/>
      <c r="TWH599" s="584"/>
      <c r="TWI599" s="584"/>
      <c r="TWJ599" s="584"/>
      <c r="TWK599" s="584"/>
      <c r="TWL599" s="584"/>
      <c r="TWM599" s="584"/>
      <c r="TWN599" s="584"/>
      <c r="TWO599" s="584"/>
      <c r="TWP599" s="584"/>
      <c r="TWQ599" s="584"/>
      <c r="TWR599" s="584"/>
      <c r="TWS599" s="584"/>
      <c r="TWT599" s="584"/>
      <c r="TWU599" s="584"/>
      <c r="TWV599" s="584"/>
      <c r="TWW599" s="584"/>
      <c r="TWX599" s="584"/>
      <c r="TWY599" s="584"/>
      <c r="TWZ599" s="584"/>
      <c r="TXA599" s="584"/>
      <c r="TXB599" s="584"/>
      <c r="TXC599" s="584"/>
      <c r="TXD599" s="584"/>
      <c r="TXE599" s="584"/>
      <c r="TXF599" s="584"/>
      <c r="TXG599" s="584"/>
      <c r="TXH599" s="584"/>
      <c r="TXI599" s="584"/>
      <c r="TXJ599" s="584"/>
      <c r="TXK599" s="584"/>
      <c r="TXL599" s="584"/>
      <c r="TXM599" s="584"/>
      <c r="TXN599" s="584"/>
      <c r="TXO599" s="584"/>
      <c r="TXP599" s="584"/>
      <c r="TXQ599" s="584"/>
      <c r="TXR599" s="584"/>
      <c r="TXS599" s="584"/>
      <c r="TXT599" s="584"/>
      <c r="TXU599" s="584"/>
      <c r="TXV599" s="584"/>
      <c r="TXW599" s="584"/>
      <c r="TXX599" s="584"/>
      <c r="TXY599" s="584"/>
      <c r="TXZ599" s="584"/>
      <c r="TYA599" s="584"/>
      <c r="TYB599" s="584"/>
      <c r="TYC599" s="584"/>
      <c r="TYD599" s="584"/>
      <c r="TYE599" s="584"/>
      <c r="TYF599" s="584"/>
      <c r="TYG599" s="584"/>
      <c r="TYH599" s="584"/>
      <c r="TYI599" s="584"/>
      <c r="TYJ599" s="584"/>
      <c r="TYK599" s="584"/>
      <c r="TYL599" s="584"/>
      <c r="TYM599" s="584"/>
      <c r="TYN599" s="584"/>
      <c r="TYO599" s="584"/>
      <c r="TYP599" s="584"/>
      <c r="TYQ599" s="584"/>
      <c r="TYR599" s="584"/>
      <c r="TYS599" s="584"/>
      <c r="TYT599" s="584"/>
      <c r="TYU599" s="584"/>
      <c r="TYV599" s="584"/>
      <c r="TYW599" s="584"/>
      <c r="TYX599" s="584"/>
      <c r="TYY599" s="584"/>
      <c r="TYZ599" s="584"/>
      <c r="TZA599" s="584"/>
      <c r="TZB599" s="584"/>
      <c r="TZC599" s="584"/>
      <c r="TZD599" s="584"/>
      <c r="TZE599" s="584"/>
      <c r="TZF599" s="584"/>
      <c r="TZG599" s="584"/>
      <c r="TZH599" s="584"/>
      <c r="TZI599" s="584"/>
      <c r="TZJ599" s="584"/>
      <c r="TZK599" s="584"/>
      <c r="TZL599" s="584"/>
      <c r="TZM599" s="584"/>
      <c r="TZN599" s="584"/>
      <c r="TZO599" s="584"/>
      <c r="TZP599" s="584"/>
      <c r="TZQ599" s="584"/>
      <c r="TZR599" s="584"/>
      <c r="TZS599" s="584"/>
      <c r="TZT599" s="584"/>
      <c r="TZU599" s="584"/>
      <c r="TZV599" s="584"/>
      <c r="TZW599" s="584"/>
      <c r="TZX599" s="584"/>
      <c r="TZY599" s="584"/>
      <c r="TZZ599" s="584"/>
      <c r="UAA599" s="584"/>
      <c r="UAB599" s="584"/>
      <c r="UAC599" s="584"/>
      <c r="UAD599" s="584"/>
      <c r="UAE599" s="584"/>
      <c r="UAF599" s="584"/>
      <c r="UAG599" s="584"/>
      <c r="UAH599" s="584"/>
      <c r="UAI599" s="584"/>
      <c r="UAJ599" s="584"/>
      <c r="UAK599" s="584"/>
      <c r="UAL599" s="584"/>
      <c r="UAM599" s="584"/>
      <c r="UAN599" s="584"/>
      <c r="UAO599" s="584"/>
      <c r="UAP599" s="584"/>
      <c r="UAQ599" s="584"/>
      <c r="UAR599" s="584"/>
      <c r="UAS599" s="584"/>
      <c r="UAT599" s="584"/>
      <c r="UAU599" s="584"/>
      <c r="UAV599" s="584"/>
      <c r="UAW599" s="584"/>
      <c r="UAX599" s="584"/>
      <c r="UAY599" s="584"/>
      <c r="UAZ599" s="584"/>
      <c r="UBA599" s="584"/>
      <c r="UBB599" s="584"/>
      <c r="UBC599" s="584"/>
      <c r="UBD599" s="584"/>
      <c r="UBE599" s="584"/>
      <c r="UBF599" s="584"/>
      <c r="UBG599" s="584"/>
      <c r="UBH599" s="584"/>
      <c r="UBI599" s="584"/>
      <c r="UBJ599" s="584"/>
      <c r="UBK599" s="584"/>
      <c r="UBL599" s="584"/>
      <c r="UBM599" s="584"/>
      <c r="UBN599" s="584"/>
      <c r="UBO599" s="584"/>
      <c r="UBP599" s="584"/>
      <c r="UBQ599" s="584"/>
      <c r="UBR599" s="584"/>
      <c r="UBS599" s="584"/>
      <c r="UBT599" s="584"/>
      <c r="UBU599" s="584"/>
      <c r="UBV599" s="584"/>
      <c r="UBW599" s="584"/>
      <c r="UBX599" s="584"/>
      <c r="UBY599" s="584"/>
      <c r="UBZ599" s="584"/>
      <c r="UCA599" s="584"/>
      <c r="UCB599" s="584"/>
      <c r="UCC599" s="584"/>
      <c r="UCD599" s="584"/>
      <c r="UCE599" s="584"/>
      <c r="UCF599" s="584"/>
      <c r="UCG599" s="584"/>
      <c r="UCH599" s="584"/>
      <c r="UCI599" s="584"/>
      <c r="UCJ599" s="584"/>
      <c r="UCK599" s="584"/>
      <c r="UCL599" s="584"/>
      <c r="UCM599" s="584"/>
      <c r="UCN599" s="584"/>
      <c r="UCO599" s="584"/>
      <c r="UCP599" s="584"/>
      <c r="UCQ599" s="584"/>
      <c r="UCR599" s="584"/>
      <c r="UCS599" s="584"/>
      <c r="UCT599" s="584"/>
      <c r="UCU599" s="584"/>
      <c r="UCV599" s="584"/>
      <c r="UCW599" s="584"/>
      <c r="UCX599" s="584"/>
      <c r="UCY599" s="584"/>
      <c r="UCZ599" s="584"/>
      <c r="UDA599" s="584"/>
      <c r="UDB599" s="584"/>
      <c r="UDC599" s="584"/>
      <c r="UDD599" s="584"/>
      <c r="UDE599" s="584"/>
      <c r="UDF599" s="584"/>
      <c r="UDG599" s="584"/>
      <c r="UDH599" s="584"/>
      <c r="UDI599" s="584"/>
      <c r="UDJ599" s="584"/>
      <c r="UDK599" s="584"/>
      <c r="UDL599" s="584"/>
      <c r="UDM599" s="584"/>
      <c r="UDN599" s="584"/>
      <c r="UDO599" s="584"/>
      <c r="UDP599" s="584"/>
      <c r="UDQ599" s="584"/>
      <c r="UDR599" s="584"/>
      <c r="UDS599" s="584"/>
      <c r="UDT599" s="584"/>
      <c r="UDU599" s="584"/>
      <c r="UDV599" s="584"/>
      <c r="UDW599" s="584"/>
      <c r="UDX599" s="584"/>
      <c r="UDY599" s="584"/>
      <c r="UDZ599" s="584"/>
      <c r="UEA599" s="584"/>
      <c r="UEB599" s="584"/>
      <c r="UEC599" s="584"/>
      <c r="UED599" s="584"/>
      <c r="UEE599" s="584"/>
      <c r="UEF599" s="584"/>
      <c r="UEG599" s="584"/>
      <c r="UEH599" s="584"/>
      <c r="UEI599" s="584"/>
      <c r="UEJ599" s="584"/>
      <c r="UEK599" s="584"/>
      <c r="UEL599" s="584"/>
      <c r="UEM599" s="584"/>
      <c r="UEN599" s="584"/>
      <c r="UEO599" s="584"/>
      <c r="UEP599" s="584"/>
      <c r="UEQ599" s="584"/>
      <c r="UER599" s="584"/>
      <c r="UES599" s="584"/>
      <c r="UET599" s="584"/>
      <c r="UEU599" s="584"/>
      <c r="UEV599" s="584"/>
      <c r="UEW599" s="584"/>
      <c r="UEX599" s="584"/>
      <c r="UEY599" s="584"/>
      <c r="UEZ599" s="584"/>
      <c r="UFA599" s="584"/>
      <c r="UFB599" s="584"/>
      <c r="UFC599" s="584"/>
      <c r="UFD599" s="584"/>
      <c r="UFE599" s="584"/>
      <c r="UFF599" s="584"/>
      <c r="UFG599" s="584"/>
      <c r="UFH599" s="584"/>
      <c r="UFI599" s="584"/>
      <c r="UFJ599" s="584"/>
      <c r="UFK599" s="584"/>
      <c r="UFL599" s="584"/>
      <c r="UFM599" s="584"/>
      <c r="UFN599" s="584"/>
      <c r="UFO599" s="584"/>
      <c r="UFP599" s="584"/>
      <c r="UFQ599" s="584"/>
      <c r="UFR599" s="584"/>
      <c r="UFS599" s="584"/>
      <c r="UFT599" s="584"/>
      <c r="UFU599" s="584"/>
      <c r="UFV599" s="584"/>
      <c r="UFW599" s="584"/>
      <c r="UFX599" s="584"/>
      <c r="UFY599" s="584"/>
      <c r="UFZ599" s="584"/>
      <c r="UGA599" s="584"/>
      <c r="UGB599" s="584"/>
      <c r="UGC599" s="584"/>
      <c r="UGD599" s="584"/>
      <c r="UGE599" s="584"/>
      <c r="UGF599" s="584"/>
      <c r="UGG599" s="584"/>
      <c r="UGH599" s="584"/>
      <c r="UGI599" s="584"/>
      <c r="UGJ599" s="584"/>
      <c r="UGK599" s="584"/>
      <c r="UGL599" s="584"/>
      <c r="UGM599" s="584"/>
      <c r="UGN599" s="584"/>
      <c r="UGO599" s="584"/>
      <c r="UGP599" s="584"/>
      <c r="UGQ599" s="584"/>
      <c r="UGR599" s="584"/>
      <c r="UGS599" s="584"/>
      <c r="UGT599" s="584"/>
      <c r="UGU599" s="584"/>
      <c r="UGV599" s="584"/>
      <c r="UGW599" s="584"/>
      <c r="UGX599" s="584"/>
      <c r="UGY599" s="584"/>
      <c r="UGZ599" s="584"/>
      <c r="UHA599" s="584"/>
      <c r="UHB599" s="584"/>
      <c r="UHC599" s="584"/>
      <c r="UHD599" s="584"/>
      <c r="UHE599" s="584"/>
      <c r="UHF599" s="584"/>
      <c r="UHG599" s="584"/>
      <c r="UHH599" s="584"/>
      <c r="UHI599" s="584"/>
      <c r="UHJ599" s="584"/>
      <c r="UHK599" s="584"/>
      <c r="UHL599" s="584"/>
      <c r="UHM599" s="584"/>
      <c r="UHN599" s="584"/>
      <c r="UHO599" s="584"/>
      <c r="UHP599" s="584"/>
      <c r="UHQ599" s="584"/>
      <c r="UHR599" s="584"/>
      <c r="UHS599" s="584"/>
      <c r="UHT599" s="584"/>
      <c r="UHU599" s="584"/>
      <c r="UHV599" s="584"/>
      <c r="UHW599" s="584"/>
      <c r="UHX599" s="584"/>
      <c r="UHY599" s="584"/>
      <c r="UHZ599" s="584"/>
      <c r="UIA599" s="584"/>
      <c r="UIB599" s="584"/>
      <c r="UIC599" s="584"/>
      <c r="UID599" s="584"/>
      <c r="UIE599" s="584"/>
      <c r="UIF599" s="584"/>
      <c r="UIG599" s="584"/>
      <c r="UIH599" s="584"/>
      <c r="UII599" s="584"/>
      <c r="UIJ599" s="584"/>
      <c r="UIK599" s="584"/>
      <c r="UIL599" s="584"/>
      <c r="UIM599" s="584"/>
      <c r="UIN599" s="584"/>
      <c r="UIO599" s="584"/>
      <c r="UIP599" s="584"/>
      <c r="UIQ599" s="584"/>
      <c r="UIR599" s="584"/>
      <c r="UIS599" s="584"/>
      <c r="UIT599" s="584"/>
      <c r="UIU599" s="584"/>
      <c r="UIV599" s="584"/>
      <c r="UIW599" s="584"/>
      <c r="UIX599" s="584"/>
      <c r="UIY599" s="584"/>
      <c r="UIZ599" s="584"/>
      <c r="UJA599" s="584"/>
      <c r="UJB599" s="584"/>
      <c r="UJC599" s="584"/>
      <c r="UJD599" s="584"/>
      <c r="UJE599" s="584"/>
      <c r="UJF599" s="584"/>
      <c r="UJG599" s="584"/>
      <c r="UJH599" s="584"/>
      <c r="UJI599" s="584"/>
      <c r="UJJ599" s="584"/>
      <c r="UJK599" s="584"/>
      <c r="UJL599" s="584"/>
      <c r="UJM599" s="584"/>
      <c r="UJN599" s="584"/>
      <c r="UJO599" s="584"/>
      <c r="UJP599" s="584"/>
      <c r="UJQ599" s="584"/>
      <c r="UJR599" s="584"/>
      <c r="UJS599" s="584"/>
      <c r="UJT599" s="584"/>
      <c r="UJU599" s="584"/>
      <c r="UJV599" s="584"/>
      <c r="UJW599" s="584"/>
      <c r="UJX599" s="584"/>
      <c r="UJY599" s="584"/>
      <c r="UJZ599" s="584"/>
      <c r="UKA599" s="584"/>
      <c r="UKB599" s="584"/>
      <c r="UKC599" s="584"/>
      <c r="UKD599" s="584"/>
      <c r="UKE599" s="584"/>
      <c r="UKF599" s="584"/>
      <c r="UKG599" s="584"/>
      <c r="UKH599" s="584"/>
      <c r="UKI599" s="584"/>
      <c r="UKJ599" s="584"/>
      <c r="UKK599" s="584"/>
      <c r="UKL599" s="584"/>
      <c r="UKM599" s="584"/>
      <c r="UKN599" s="584"/>
      <c r="UKO599" s="584"/>
      <c r="UKP599" s="584"/>
      <c r="UKQ599" s="584"/>
      <c r="UKR599" s="584"/>
      <c r="UKS599" s="584"/>
      <c r="UKT599" s="584"/>
      <c r="UKU599" s="584"/>
      <c r="UKV599" s="584"/>
      <c r="UKW599" s="584"/>
      <c r="UKX599" s="584"/>
      <c r="UKY599" s="584"/>
      <c r="UKZ599" s="584"/>
      <c r="ULA599" s="584"/>
      <c r="ULB599" s="584"/>
      <c r="ULC599" s="584"/>
      <c r="ULD599" s="584"/>
      <c r="ULE599" s="584"/>
      <c r="ULF599" s="584"/>
      <c r="ULG599" s="584"/>
      <c r="ULH599" s="584"/>
      <c r="ULI599" s="584"/>
      <c r="ULJ599" s="584"/>
      <c r="ULK599" s="584"/>
      <c r="ULL599" s="584"/>
      <c r="ULM599" s="584"/>
      <c r="ULN599" s="584"/>
      <c r="ULO599" s="584"/>
      <c r="ULP599" s="584"/>
      <c r="ULQ599" s="584"/>
      <c r="ULR599" s="584"/>
      <c r="ULS599" s="584"/>
      <c r="ULT599" s="584"/>
      <c r="ULU599" s="584"/>
      <c r="ULV599" s="584"/>
      <c r="ULW599" s="584"/>
      <c r="ULX599" s="584"/>
      <c r="ULY599" s="584"/>
      <c r="ULZ599" s="584"/>
      <c r="UMA599" s="584"/>
      <c r="UMB599" s="584"/>
      <c r="UMC599" s="584"/>
      <c r="UMD599" s="584"/>
      <c r="UME599" s="584"/>
      <c r="UMF599" s="584"/>
      <c r="UMG599" s="584"/>
      <c r="UMH599" s="584"/>
      <c r="UMI599" s="584"/>
      <c r="UMJ599" s="584"/>
      <c r="UMK599" s="584"/>
      <c r="UML599" s="584"/>
      <c r="UMM599" s="584"/>
      <c r="UMN599" s="584"/>
      <c r="UMO599" s="584"/>
      <c r="UMP599" s="584"/>
      <c r="UMQ599" s="584"/>
      <c r="UMR599" s="584"/>
      <c r="UMS599" s="584"/>
      <c r="UMT599" s="584"/>
      <c r="UMU599" s="584"/>
      <c r="UMV599" s="584"/>
      <c r="UMW599" s="584"/>
      <c r="UMX599" s="584"/>
      <c r="UMY599" s="584"/>
      <c r="UMZ599" s="584"/>
      <c r="UNA599" s="584"/>
      <c r="UNB599" s="584"/>
      <c r="UNC599" s="584"/>
      <c r="UND599" s="584"/>
      <c r="UNE599" s="584"/>
      <c r="UNF599" s="584"/>
      <c r="UNG599" s="584"/>
      <c r="UNH599" s="584"/>
      <c r="UNI599" s="584"/>
      <c r="UNJ599" s="584"/>
      <c r="UNK599" s="584"/>
      <c r="UNL599" s="584"/>
      <c r="UNM599" s="584"/>
      <c r="UNN599" s="584"/>
      <c r="UNO599" s="584"/>
      <c r="UNP599" s="584"/>
      <c r="UNQ599" s="584"/>
      <c r="UNR599" s="584"/>
      <c r="UNS599" s="584"/>
      <c r="UNT599" s="584"/>
      <c r="UNU599" s="584"/>
      <c r="UNV599" s="584"/>
      <c r="UNW599" s="584"/>
      <c r="UNX599" s="584"/>
      <c r="UNY599" s="584"/>
      <c r="UNZ599" s="584"/>
      <c r="UOA599" s="584"/>
      <c r="UOB599" s="584"/>
      <c r="UOC599" s="584"/>
      <c r="UOD599" s="584"/>
      <c r="UOE599" s="584"/>
      <c r="UOF599" s="584"/>
      <c r="UOG599" s="584"/>
      <c r="UOH599" s="584"/>
      <c r="UOI599" s="584"/>
      <c r="UOJ599" s="584"/>
      <c r="UOK599" s="584"/>
      <c r="UOL599" s="584"/>
      <c r="UOM599" s="584"/>
      <c r="UON599" s="584"/>
      <c r="UOO599" s="584"/>
      <c r="UOP599" s="584"/>
      <c r="UOQ599" s="584"/>
      <c r="UOR599" s="584"/>
      <c r="UOS599" s="584"/>
      <c r="UOT599" s="584"/>
      <c r="UOU599" s="584"/>
      <c r="UOV599" s="584"/>
      <c r="UOW599" s="584"/>
      <c r="UOX599" s="584"/>
      <c r="UOY599" s="584"/>
      <c r="UOZ599" s="584"/>
      <c r="UPA599" s="584"/>
      <c r="UPB599" s="584"/>
      <c r="UPC599" s="584"/>
      <c r="UPD599" s="584"/>
      <c r="UPE599" s="584"/>
      <c r="UPF599" s="584"/>
      <c r="UPG599" s="584"/>
      <c r="UPH599" s="584"/>
      <c r="UPI599" s="584"/>
      <c r="UPJ599" s="584"/>
      <c r="UPK599" s="584"/>
      <c r="UPL599" s="584"/>
      <c r="UPM599" s="584"/>
      <c r="UPN599" s="584"/>
      <c r="UPO599" s="584"/>
      <c r="UPP599" s="584"/>
      <c r="UPQ599" s="584"/>
      <c r="UPR599" s="584"/>
      <c r="UPS599" s="584"/>
      <c r="UPT599" s="584"/>
      <c r="UPU599" s="584"/>
      <c r="UPV599" s="584"/>
      <c r="UPW599" s="584"/>
      <c r="UPX599" s="584"/>
      <c r="UPY599" s="584"/>
      <c r="UPZ599" s="584"/>
      <c r="UQA599" s="584"/>
      <c r="UQB599" s="584"/>
      <c r="UQC599" s="584"/>
      <c r="UQD599" s="584"/>
      <c r="UQE599" s="584"/>
      <c r="UQF599" s="584"/>
      <c r="UQG599" s="584"/>
      <c r="UQH599" s="584"/>
      <c r="UQI599" s="584"/>
      <c r="UQJ599" s="584"/>
      <c r="UQK599" s="584"/>
      <c r="UQL599" s="584"/>
      <c r="UQM599" s="584"/>
      <c r="UQN599" s="584"/>
      <c r="UQO599" s="584"/>
      <c r="UQP599" s="584"/>
      <c r="UQQ599" s="584"/>
      <c r="UQR599" s="584"/>
      <c r="UQS599" s="584"/>
      <c r="UQT599" s="584"/>
      <c r="UQU599" s="584"/>
      <c r="UQV599" s="584"/>
      <c r="UQW599" s="584"/>
      <c r="UQX599" s="584"/>
      <c r="UQY599" s="584"/>
      <c r="UQZ599" s="584"/>
      <c r="URA599" s="584"/>
      <c r="URB599" s="584"/>
      <c r="URC599" s="584"/>
      <c r="URD599" s="584"/>
      <c r="URE599" s="584"/>
      <c r="URF599" s="584"/>
      <c r="URG599" s="584"/>
      <c r="URH599" s="584"/>
      <c r="URI599" s="584"/>
      <c r="URJ599" s="584"/>
      <c r="URK599" s="584"/>
      <c r="URL599" s="584"/>
      <c r="URM599" s="584"/>
      <c r="URN599" s="584"/>
      <c r="URO599" s="584"/>
      <c r="URP599" s="584"/>
      <c r="URQ599" s="584"/>
      <c r="URR599" s="584"/>
      <c r="URS599" s="584"/>
      <c r="URT599" s="584"/>
      <c r="URU599" s="584"/>
      <c r="URV599" s="584"/>
      <c r="URW599" s="584"/>
      <c r="URX599" s="584"/>
      <c r="URY599" s="584"/>
      <c r="URZ599" s="584"/>
      <c r="USA599" s="584"/>
      <c r="USB599" s="584"/>
      <c r="USC599" s="584"/>
      <c r="USD599" s="584"/>
      <c r="USE599" s="584"/>
      <c r="USF599" s="584"/>
      <c r="USG599" s="584"/>
      <c r="USH599" s="584"/>
      <c r="USI599" s="584"/>
      <c r="USJ599" s="584"/>
      <c r="USK599" s="584"/>
      <c r="USL599" s="584"/>
      <c r="USM599" s="584"/>
      <c r="USN599" s="584"/>
      <c r="USO599" s="584"/>
      <c r="USP599" s="584"/>
      <c r="USQ599" s="584"/>
      <c r="USR599" s="584"/>
      <c r="USS599" s="584"/>
      <c r="UST599" s="584"/>
      <c r="USU599" s="584"/>
      <c r="USV599" s="584"/>
      <c r="USW599" s="584"/>
      <c r="USX599" s="584"/>
      <c r="USY599" s="584"/>
      <c r="USZ599" s="584"/>
      <c r="UTA599" s="584"/>
      <c r="UTB599" s="584"/>
      <c r="UTC599" s="584"/>
      <c r="UTD599" s="584"/>
      <c r="UTE599" s="584"/>
      <c r="UTF599" s="584"/>
      <c r="UTG599" s="584"/>
      <c r="UTH599" s="584"/>
      <c r="UTI599" s="584"/>
      <c r="UTJ599" s="584"/>
      <c r="UTK599" s="584"/>
      <c r="UTL599" s="584"/>
      <c r="UTM599" s="584"/>
      <c r="UTN599" s="584"/>
      <c r="UTO599" s="584"/>
      <c r="UTP599" s="584"/>
      <c r="UTQ599" s="584"/>
      <c r="UTR599" s="584"/>
      <c r="UTS599" s="584"/>
      <c r="UTT599" s="584"/>
      <c r="UTU599" s="584"/>
      <c r="UTV599" s="584"/>
      <c r="UTW599" s="584"/>
      <c r="UTX599" s="584"/>
      <c r="UTY599" s="584"/>
      <c r="UTZ599" s="584"/>
      <c r="UUA599" s="584"/>
      <c r="UUB599" s="584"/>
      <c r="UUC599" s="584"/>
      <c r="UUD599" s="584"/>
      <c r="UUE599" s="584"/>
      <c r="UUF599" s="584"/>
      <c r="UUG599" s="584"/>
      <c r="UUH599" s="584"/>
      <c r="UUI599" s="584"/>
      <c r="UUJ599" s="584"/>
      <c r="UUK599" s="584"/>
      <c r="UUL599" s="584"/>
      <c r="UUM599" s="584"/>
      <c r="UUN599" s="584"/>
      <c r="UUO599" s="584"/>
      <c r="UUP599" s="584"/>
      <c r="UUQ599" s="584"/>
      <c r="UUR599" s="584"/>
      <c r="UUS599" s="584"/>
      <c r="UUT599" s="584"/>
      <c r="UUU599" s="584"/>
      <c r="UUV599" s="584"/>
      <c r="UUW599" s="584"/>
      <c r="UUX599" s="584"/>
      <c r="UUY599" s="584"/>
      <c r="UUZ599" s="584"/>
      <c r="UVA599" s="584"/>
      <c r="UVB599" s="584"/>
      <c r="UVC599" s="584"/>
      <c r="UVD599" s="584"/>
      <c r="UVE599" s="584"/>
      <c r="UVF599" s="584"/>
      <c r="UVG599" s="584"/>
      <c r="UVH599" s="584"/>
      <c r="UVI599" s="584"/>
      <c r="UVJ599" s="584"/>
      <c r="UVK599" s="584"/>
      <c r="UVL599" s="584"/>
      <c r="UVM599" s="584"/>
      <c r="UVN599" s="584"/>
      <c r="UVO599" s="584"/>
      <c r="UVP599" s="584"/>
      <c r="UVQ599" s="584"/>
      <c r="UVR599" s="584"/>
      <c r="UVS599" s="584"/>
      <c r="UVT599" s="584"/>
      <c r="UVU599" s="584"/>
      <c r="UVV599" s="584"/>
      <c r="UVW599" s="584"/>
      <c r="UVX599" s="584"/>
      <c r="UVY599" s="584"/>
      <c r="UVZ599" s="584"/>
      <c r="UWA599" s="584"/>
      <c r="UWB599" s="584"/>
      <c r="UWC599" s="584"/>
      <c r="UWD599" s="584"/>
      <c r="UWE599" s="584"/>
      <c r="UWF599" s="584"/>
      <c r="UWG599" s="584"/>
      <c r="UWH599" s="584"/>
      <c r="UWI599" s="584"/>
      <c r="UWJ599" s="584"/>
      <c r="UWK599" s="584"/>
      <c r="UWL599" s="584"/>
      <c r="UWM599" s="584"/>
      <c r="UWN599" s="584"/>
      <c r="UWO599" s="584"/>
      <c r="UWP599" s="584"/>
      <c r="UWQ599" s="584"/>
      <c r="UWR599" s="584"/>
      <c r="UWS599" s="584"/>
      <c r="UWT599" s="584"/>
      <c r="UWU599" s="584"/>
      <c r="UWV599" s="584"/>
      <c r="UWW599" s="584"/>
      <c r="UWX599" s="584"/>
      <c r="UWY599" s="584"/>
      <c r="UWZ599" s="584"/>
      <c r="UXA599" s="584"/>
      <c r="UXB599" s="584"/>
      <c r="UXC599" s="584"/>
      <c r="UXD599" s="584"/>
      <c r="UXE599" s="584"/>
      <c r="UXF599" s="584"/>
      <c r="UXG599" s="584"/>
      <c r="UXH599" s="584"/>
      <c r="UXI599" s="584"/>
      <c r="UXJ599" s="584"/>
      <c r="UXK599" s="584"/>
      <c r="UXL599" s="584"/>
      <c r="UXM599" s="584"/>
      <c r="UXN599" s="584"/>
      <c r="UXO599" s="584"/>
      <c r="UXP599" s="584"/>
      <c r="UXQ599" s="584"/>
      <c r="UXR599" s="584"/>
      <c r="UXS599" s="584"/>
      <c r="UXT599" s="584"/>
      <c r="UXU599" s="584"/>
      <c r="UXV599" s="584"/>
      <c r="UXW599" s="584"/>
      <c r="UXX599" s="584"/>
      <c r="UXY599" s="584"/>
      <c r="UXZ599" s="584"/>
      <c r="UYA599" s="584"/>
      <c r="UYB599" s="584"/>
      <c r="UYC599" s="584"/>
      <c r="UYD599" s="584"/>
      <c r="UYE599" s="584"/>
      <c r="UYF599" s="584"/>
      <c r="UYG599" s="584"/>
      <c r="UYH599" s="584"/>
      <c r="UYI599" s="584"/>
      <c r="UYJ599" s="584"/>
      <c r="UYK599" s="584"/>
      <c r="UYL599" s="584"/>
      <c r="UYM599" s="584"/>
      <c r="UYN599" s="584"/>
      <c r="UYO599" s="584"/>
      <c r="UYP599" s="584"/>
      <c r="UYQ599" s="584"/>
      <c r="UYR599" s="584"/>
      <c r="UYS599" s="584"/>
      <c r="UYT599" s="584"/>
      <c r="UYU599" s="584"/>
      <c r="UYV599" s="584"/>
      <c r="UYW599" s="584"/>
      <c r="UYX599" s="584"/>
      <c r="UYY599" s="584"/>
      <c r="UYZ599" s="584"/>
      <c r="UZA599" s="584"/>
      <c r="UZB599" s="584"/>
      <c r="UZC599" s="584"/>
      <c r="UZD599" s="584"/>
      <c r="UZE599" s="584"/>
      <c r="UZF599" s="584"/>
      <c r="UZG599" s="584"/>
      <c r="UZH599" s="584"/>
      <c r="UZI599" s="584"/>
      <c r="UZJ599" s="584"/>
      <c r="UZK599" s="584"/>
      <c r="UZL599" s="584"/>
      <c r="UZM599" s="584"/>
      <c r="UZN599" s="584"/>
      <c r="UZO599" s="584"/>
      <c r="UZP599" s="584"/>
      <c r="UZQ599" s="584"/>
      <c r="UZR599" s="584"/>
      <c r="UZS599" s="584"/>
      <c r="UZT599" s="584"/>
      <c r="UZU599" s="584"/>
      <c r="UZV599" s="584"/>
      <c r="UZW599" s="584"/>
      <c r="UZX599" s="584"/>
      <c r="UZY599" s="584"/>
      <c r="UZZ599" s="584"/>
      <c r="VAA599" s="584"/>
      <c r="VAB599" s="584"/>
      <c r="VAC599" s="584"/>
      <c r="VAD599" s="584"/>
      <c r="VAE599" s="584"/>
      <c r="VAF599" s="584"/>
      <c r="VAG599" s="584"/>
      <c r="VAH599" s="584"/>
      <c r="VAI599" s="584"/>
      <c r="VAJ599" s="584"/>
      <c r="VAK599" s="584"/>
      <c r="VAL599" s="584"/>
      <c r="VAM599" s="584"/>
      <c r="VAN599" s="584"/>
      <c r="VAO599" s="584"/>
      <c r="VAP599" s="584"/>
      <c r="VAQ599" s="584"/>
      <c r="VAR599" s="584"/>
      <c r="VAS599" s="584"/>
      <c r="VAT599" s="584"/>
      <c r="VAU599" s="584"/>
      <c r="VAV599" s="584"/>
      <c r="VAW599" s="584"/>
      <c r="VAX599" s="584"/>
      <c r="VAY599" s="584"/>
      <c r="VAZ599" s="584"/>
      <c r="VBA599" s="584"/>
      <c r="VBB599" s="584"/>
      <c r="VBC599" s="584"/>
      <c r="VBD599" s="584"/>
      <c r="VBE599" s="584"/>
      <c r="VBF599" s="584"/>
      <c r="VBG599" s="584"/>
      <c r="VBH599" s="584"/>
      <c r="VBI599" s="584"/>
      <c r="VBJ599" s="584"/>
      <c r="VBK599" s="584"/>
      <c r="VBL599" s="584"/>
      <c r="VBM599" s="584"/>
      <c r="VBN599" s="584"/>
      <c r="VBO599" s="584"/>
      <c r="VBP599" s="584"/>
      <c r="VBQ599" s="584"/>
      <c r="VBR599" s="584"/>
      <c r="VBS599" s="584"/>
      <c r="VBT599" s="584"/>
      <c r="VBU599" s="584"/>
      <c r="VBV599" s="584"/>
      <c r="VBW599" s="584"/>
      <c r="VBX599" s="584"/>
      <c r="VBY599" s="584"/>
      <c r="VBZ599" s="584"/>
      <c r="VCA599" s="584"/>
      <c r="VCB599" s="584"/>
      <c r="VCC599" s="584"/>
      <c r="VCD599" s="584"/>
      <c r="VCE599" s="584"/>
      <c r="VCF599" s="584"/>
      <c r="VCG599" s="584"/>
      <c r="VCH599" s="584"/>
      <c r="VCI599" s="584"/>
      <c r="VCJ599" s="584"/>
      <c r="VCK599" s="584"/>
      <c r="VCL599" s="584"/>
      <c r="VCM599" s="584"/>
      <c r="VCN599" s="584"/>
      <c r="VCO599" s="584"/>
      <c r="VCP599" s="584"/>
      <c r="VCQ599" s="584"/>
      <c r="VCR599" s="584"/>
      <c r="VCS599" s="584"/>
      <c r="VCT599" s="584"/>
      <c r="VCU599" s="584"/>
      <c r="VCV599" s="584"/>
      <c r="VCW599" s="584"/>
      <c r="VCX599" s="584"/>
      <c r="VCY599" s="584"/>
      <c r="VCZ599" s="584"/>
      <c r="VDA599" s="584"/>
      <c r="VDB599" s="584"/>
      <c r="VDC599" s="584"/>
      <c r="VDD599" s="584"/>
      <c r="VDE599" s="584"/>
      <c r="VDF599" s="584"/>
      <c r="VDG599" s="584"/>
      <c r="VDH599" s="584"/>
      <c r="VDI599" s="584"/>
      <c r="VDJ599" s="584"/>
      <c r="VDK599" s="584"/>
      <c r="VDL599" s="584"/>
      <c r="VDM599" s="584"/>
      <c r="VDN599" s="584"/>
      <c r="VDO599" s="584"/>
      <c r="VDP599" s="584"/>
      <c r="VDQ599" s="584"/>
      <c r="VDR599" s="584"/>
      <c r="VDS599" s="584"/>
      <c r="VDT599" s="584"/>
      <c r="VDU599" s="584"/>
      <c r="VDV599" s="584"/>
      <c r="VDW599" s="584"/>
      <c r="VDX599" s="584"/>
      <c r="VDY599" s="584"/>
      <c r="VDZ599" s="584"/>
      <c r="VEA599" s="584"/>
      <c r="VEB599" s="584"/>
      <c r="VEC599" s="584"/>
      <c r="VED599" s="584"/>
      <c r="VEE599" s="584"/>
      <c r="VEF599" s="584"/>
      <c r="VEG599" s="584"/>
      <c r="VEH599" s="584"/>
      <c r="VEI599" s="584"/>
      <c r="VEJ599" s="584"/>
      <c r="VEK599" s="584"/>
      <c r="VEL599" s="584"/>
      <c r="VEM599" s="584"/>
      <c r="VEN599" s="584"/>
      <c r="VEO599" s="584"/>
      <c r="VEP599" s="584"/>
      <c r="VEQ599" s="584"/>
      <c r="VER599" s="584"/>
      <c r="VES599" s="584"/>
      <c r="VET599" s="584"/>
      <c r="VEU599" s="584"/>
      <c r="VEV599" s="584"/>
      <c r="VEW599" s="584"/>
      <c r="VEX599" s="584"/>
      <c r="VEY599" s="584"/>
      <c r="VEZ599" s="584"/>
      <c r="VFA599" s="584"/>
      <c r="VFB599" s="584"/>
      <c r="VFC599" s="584"/>
      <c r="VFD599" s="584"/>
      <c r="VFE599" s="584"/>
      <c r="VFF599" s="584"/>
      <c r="VFG599" s="584"/>
      <c r="VFH599" s="584"/>
      <c r="VFI599" s="584"/>
      <c r="VFJ599" s="584"/>
      <c r="VFK599" s="584"/>
      <c r="VFL599" s="584"/>
      <c r="VFM599" s="584"/>
      <c r="VFN599" s="584"/>
      <c r="VFO599" s="584"/>
      <c r="VFP599" s="584"/>
      <c r="VFQ599" s="584"/>
      <c r="VFR599" s="584"/>
      <c r="VFS599" s="584"/>
      <c r="VFT599" s="584"/>
      <c r="VFU599" s="584"/>
      <c r="VFV599" s="584"/>
      <c r="VFW599" s="584"/>
      <c r="VFX599" s="584"/>
      <c r="VFY599" s="584"/>
      <c r="VFZ599" s="584"/>
      <c r="VGA599" s="584"/>
      <c r="VGB599" s="584"/>
      <c r="VGC599" s="584"/>
      <c r="VGD599" s="584"/>
      <c r="VGE599" s="584"/>
      <c r="VGF599" s="584"/>
      <c r="VGG599" s="584"/>
      <c r="VGH599" s="584"/>
      <c r="VGI599" s="584"/>
      <c r="VGJ599" s="584"/>
      <c r="VGK599" s="584"/>
      <c r="VGL599" s="584"/>
      <c r="VGM599" s="584"/>
      <c r="VGN599" s="584"/>
      <c r="VGO599" s="584"/>
      <c r="VGP599" s="584"/>
      <c r="VGQ599" s="584"/>
      <c r="VGR599" s="584"/>
      <c r="VGS599" s="584"/>
      <c r="VGT599" s="584"/>
      <c r="VGU599" s="584"/>
      <c r="VGV599" s="584"/>
      <c r="VGW599" s="584"/>
      <c r="VGX599" s="584"/>
      <c r="VGY599" s="584"/>
      <c r="VGZ599" s="584"/>
      <c r="VHA599" s="584"/>
      <c r="VHB599" s="584"/>
      <c r="VHC599" s="584"/>
      <c r="VHD599" s="584"/>
      <c r="VHE599" s="584"/>
      <c r="VHF599" s="584"/>
      <c r="VHG599" s="584"/>
      <c r="VHH599" s="584"/>
      <c r="VHI599" s="584"/>
      <c r="VHJ599" s="584"/>
      <c r="VHK599" s="584"/>
      <c r="VHL599" s="584"/>
      <c r="VHM599" s="584"/>
      <c r="VHN599" s="584"/>
      <c r="VHO599" s="584"/>
      <c r="VHP599" s="584"/>
      <c r="VHQ599" s="584"/>
      <c r="VHR599" s="584"/>
      <c r="VHS599" s="584"/>
      <c r="VHT599" s="584"/>
      <c r="VHU599" s="584"/>
      <c r="VHV599" s="584"/>
      <c r="VHW599" s="584"/>
      <c r="VHX599" s="584"/>
      <c r="VHY599" s="584"/>
      <c r="VHZ599" s="584"/>
      <c r="VIA599" s="584"/>
      <c r="VIB599" s="584"/>
      <c r="VIC599" s="584"/>
      <c r="VID599" s="584"/>
      <c r="VIE599" s="584"/>
      <c r="VIF599" s="584"/>
      <c r="VIG599" s="584"/>
      <c r="VIH599" s="584"/>
      <c r="VII599" s="584"/>
      <c r="VIJ599" s="584"/>
      <c r="VIK599" s="584"/>
      <c r="VIL599" s="584"/>
      <c r="VIM599" s="584"/>
      <c r="VIN599" s="584"/>
      <c r="VIO599" s="584"/>
      <c r="VIP599" s="584"/>
      <c r="VIQ599" s="584"/>
      <c r="VIR599" s="584"/>
      <c r="VIS599" s="584"/>
      <c r="VIT599" s="584"/>
      <c r="VIU599" s="584"/>
      <c r="VIV599" s="584"/>
      <c r="VIW599" s="584"/>
      <c r="VIX599" s="584"/>
      <c r="VIY599" s="584"/>
      <c r="VIZ599" s="584"/>
      <c r="VJA599" s="584"/>
      <c r="VJB599" s="584"/>
      <c r="VJC599" s="584"/>
      <c r="VJD599" s="584"/>
      <c r="VJE599" s="584"/>
      <c r="VJF599" s="584"/>
      <c r="VJG599" s="584"/>
      <c r="VJH599" s="584"/>
      <c r="VJI599" s="584"/>
      <c r="VJJ599" s="584"/>
      <c r="VJK599" s="584"/>
      <c r="VJL599" s="584"/>
      <c r="VJM599" s="584"/>
      <c r="VJN599" s="584"/>
      <c r="VJO599" s="584"/>
      <c r="VJP599" s="584"/>
      <c r="VJQ599" s="584"/>
      <c r="VJR599" s="584"/>
      <c r="VJS599" s="584"/>
      <c r="VJT599" s="584"/>
      <c r="VJU599" s="584"/>
      <c r="VJV599" s="584"/>
      <c r="VJW599" s="584"/>
      <c r="VJX599" s="584"/>
      <c r="VJY599" s="584"/>
      <c r="VJZ599" s="584"/>
      <c r="VKA599" s="584"/>
      <c r="VKB599" s="584"/>
      <c r="VKC599" s="584"/>
      <c r="VKD599" s="584"/>
      <c r="VKE599" s="584"/>
      <c r="VKF599" s="584"/>
      <c r="VKG599" s="584"/>
      <c r="VKH599" s="584"/>
      <c r="VKI599" s="584"/>
      <c r="VKJ599" s="584"/>
      <c r="VKK599" s="584"/>
      <c r="VKL599" s="584"/>
      <c r="VKM599" s="584"/>
      <c r="VKN599" s="584"/>
      <c r="VKO599" s="584"/>
      <c r="VKP599" s="584"/>
      <c r="VKQ599" s="584"/>
      <c r="VKR599" s="584"/>
      <c r="VKS599" s="584"/>
      <c r="VKT599" s="584"/>
      <c r="VKU599" s="584"/>
      <c r="VKV599" s="584"/>
      <c r="VKW599" s="584"/>
      <c r="VKX599" s="584"/>
      <c r="VKY599" s="584"/>
      <c r="VKZ599" s="584"/>
      <c r="VLA599" s="584"/>
      <c r="VLB599" s="584"/>
      <c r="VLC599" s="584"/>
      <c r="VLD599" s="584"/>
      <c r="VLE599" s="584"/>
      <c r="VLF599" s="584"/>
      <c r="VLG599" s="584"/>
      <c r="VLH599" s="584"/>
      <c r="VLI599" s="584"/>
      <c r="VLJ599" s="584"/>
      <c r="VLK599" s="584"/>
      <c r="VLL599" s="584"/>
      <c r="VLM599" s="584"/>
      <c r="VLN599" s="584"/>
      <c r="VLO599" s="584"/>
      <c r="VLP599" s="584"/>
      <c r="VLQ599" s="584"/>
      <c r="VLR599" s="584"/>
      <c r="VLS599" s="584"/>
      <c r="VLT599" s="584"/>
      <c r="VLU599" s="584"/>
      <c r="VLV599" s="584"/>
      <c r="VLW599" s="584"/>
      <c r="VLX599" s="584"/>
      <c r="VLY599" s="584"/>
      <c r="VLZ599" s="584"/>
      <c r="VMA599" s="584"/>
      <c r="VMB599" s="584"/>
      <c r="VMC599" s="584"/>
      <c r="VMD599" s="584"/>
      <c r="VME599" s="584"/>
      <c r="VMF599" s="584"/>
      <c r="VMG599" s="584"/>
      <c r="VMH599" s="584"/>
      <c r="VMI599" s="584"/>
      <c r="VMJ599" s="584"/>
      <c r="VMK599" s="584"/>
      <c r="VML599" s="584"/>
      <c r="VMM599" s="584"/>
      <c r="VMN599" s="584"/>
      <c r="VMO599" s="584"/>
      <c r="VMP599" s="584"/>
      <c r="VMQ599" s="584"/>
      <c r="VMR599" s="584"/>
      <c r="VMS599" s="584"/>
      <c r="VMT599" s="584"/>
      <c r="VMU599" s="584"/>
      <c r="VMV599" s="584"/>
      <c r="VMW599" s="584"/>
      <c r="VMX599" s="584"/>
      <c r="VMY599" s="584"/>
      <c r="VMZ599" s="584"/>
      <c r="VNA599" s="584"/>
      <c r="VNB599" s="584"/>
      <c r="VNC599" s="584"/>
      <c r="VND599" s="584"/>
      <c r="VNE599" s="584"/>
      <c r="VNF599" s="584"/>
      <c r="VNG599" s="584"/>
      <c r="VNH599" s="584"/>
      <c r="VNI599" s="584"/>
      <c r="VNJ599" s="584"/>
      <c r="VNK599" s="584"/>
      <c r="VNL599" s="584"/>
      <c r="VNM599" s="584"/>
      <c r="VNN599" s="584"/>
      <c r="VNO599" s="584"/>
      <c r="VNP599" s="584"/>
      <c r="VNQ599" s="584"/>
      <c r="VNR599" s="584"/>
      <c r="VNS599" s="584"/>
      <c r="VNT599" s="584"/>
      <c r="VNU599" s="584"/>
      <c r="VNV599" s="584"/>
      <c r="VNW599" s="584"/>
      <c r="VNX599" s="584"/>
      <c r="VNY599" s="584"/>
      <c r="VNZ599" s="584"/>
      <c r="VOA599" s="584"/>
      <c r="VOB599" s="584"/>
      <c r="VOC599" s="584"/>
      <c r="VOD599" s="584"/>
      <c r="VOE599" s="584"/>
      <c r="VOF599" s="584"/>
      <c r="VOG599" s="584"/>
      <c r="VOH599" s="584"/>
      <c r="VOI599" s="584"/>
      <c r="VOJ599" s="584"/>
      <c r="VOK599" s="584"/>
      <c r="VOL599" s="584"/>
      <c r="VOM599" s="584"/>
      <c r="VON599" s="584"/>
      <c r="VOO599" s="584"/>
      <c r="VOP599" s="584"/>
      <c r="VOQ599" s="584"/>
      <c r="VOR599" s="584"/>
      <c r="VOS599" s="584"/>
      <c r="VOT599" s="584"/>
      <c r="VOU599" s="584"/>
      <c r="VOV599" s="584"/>
      <c r="VOW599" s="584"/>
      <c r="VOX599" s="584"/>
      <c r="VOY599" s="584"/>
      <c r="VOZ599" s="584"/>
      <c r="VPA599" s="584"/>
      <c r="VPB599" s="584"/>
      <c r="VPC599" s="584"/>
      <c r="VPD599" s="584"/>
      <c r="VPE599" s="584"/>
      <c r="VPF599" s="584"/>
      <c r="VPG599" s="584"/>
      <c r="VPH599" s="584"/>
      <c r="VPI599" s="584"/>
      <c r="VPJ599" s="584"/>
      <c r="VPK599" s="584"/>
      <c r="VPL599" s="584"/>
      <c r="VPM599" s="584"/>
      <c r="VPN599" s="584"/>
      <c r="VPO599" s="584"/>
      <c r="VPP599" s="584"/>
      <c r="VPQ599" s="584"/>
      <c r="VPR599" s="584"/>
      <c r="VPS599" s="584"/>
      <c r="VPT599" s="584"/>
      <c r="VPU599" s="584"/>
      <c r="VPV599" s="584"/>
      <c r="VPW599" s="584"/>
      <c r="VPX599" s="584"/>
      <c r="VPY599" s="584"/>
      <c r="VPZ599" s="584"/>
      <c r="VQA599" s="584"/>
      <c r="VQB599" s="584"/>
      <c r="VQC599" s="584"/>
      <c r="VQD599" s="584"/>
      <c r="VQE599" s="584"/>
      <c r="VQF599" s="584"/>
      <c r="VQG599" s="584"/>
      <c r="VQH599" s="584"/>
      <c r="VQI599" s="584"/>
      <c r="VQJ599" s="584"/>
      <c r="VQK599" s="584"/>
      <c r="VQL599" s="584"/>
      <c r="VQM599" s="584"/>
      <c r="VQN599" s="584"/>
      <c r="VQO599" s="584"/>
      <c r="VQP599" s="584"/>
      <c r="VQQ599" s="584"/>
      <c r="VQR599" s="584"/>
      <c r="VQS599" s="584"/>
      <c r="VQT599" s="584"/>
      <c r="VQU599" s="584"/>
      <c r="VQV599" s="584"/>
      <c r="VQW599" s="584"/>
      <c r="VQX599" s="584"/>
      <c r="VQY599" s="584"/>
      <c r="VQZ599" s="584"/>
      <c r="VRA599" s="584"/>
      <c r="VRB599" s="584"/>
      <c r="VRC599" s="584"/>
      <c r="VRD599" s="584"/>
      <c r="VRE599" s="584"/>
      <c r="VRF599" s="584"/>
      <c r="VRG599" s="584"/>
      <c r="VRH599" s="584"/>
      <c r="VRI599" s="584"/>
      <c r="VRJ599" s="584"/>
      <c r="VRK599" s="584"/>
      <c r="VRL599" s="584"/>
      <c r="VRM599" s="584"/>
      <c r="VRN599" s="584"/>
      <c r="VRO599" s="584"/>
      <c r="VRP599" s="584"/>
      <c r="VRQ599" s="584"/>
      <c r="VRR599" s="584"/>
      <c r="VRS599" s="584"/>
      <c r="VRT599" s="584"/>
      <c r="VRU599" s="584"/>
      <c r="VRV599" s="584"/>
      <c r="VRW599" s="584"/>
      <c r="VRX599" s="584"/>
      <c r="VRY599" s="584"/>
      <c r="VRZ599" s="584"/>
      <c r="VSA599" s="584"/>
      <c r="VSB599" s="584"/>
      <c r="VSC599" s="584"/>
      <c r="VSD599" s="584"/>
      <c r="VSE599" s="584"/>
      <c r="VSF599" s="584"/>
      <c r="VSG599" s="584"/>
      <c r="VSH599" s="584"/>
      <c r="VSI599" s="584"/>
      <c r="VSJ599" s="584"/>
      <c r="VSK599" s="584"/>
      <c r="VSL599" s="584"/>
      <c r="VSM599" s="584"/>
      <c r="VSN599" s="584"/>
      <c r="VSO599" s="584"/>
      <c r="VSP599" s="584"/>
      <c r="VSQ599" s="584"/>
      <c r="VSR599" s="584"/>
      <c r="VSS599" s="584"/>
      <c r="VST599" s="584"/>
      <c r="VSU599" s="584"/>
      <c r="VSV599" s="584"/>
      <c r="VSW599" s="584"/>
      <c r="VSX599" s="584"/>
      <c r="VSY599" s="584"/>
      <c r="VSZ599" s="584"/>
      <c r="VTA599" s="584"/>
      <c r="VTB599" s="584"/>
      <c r="VTC599" s="584"/>
      <c r="VTD599" s="584"/>
      <c r="VTE599" s="584"/>
      <c r="VTF599" s="584"/>
      <c r="VTG599" s="584"/>
      <c r="VTH599" s="584"/>
      <c r="VTI599" s="584"/>
      <c r="VTJ599" s="584"/>
      <c r="VTK599" s="584"/>
      <c r="VTL599" s="584"/>
      <c r="VTM599" s="584"/>
      <c r="VTN599" s="584"/>
      <c r="VTO599" s="584"/>
      <c r="VTP599" s="584"/>
      <c r="VTQ599" s="584"/>
      <c r="VTR599" s="584"/>
      <c r="VTS599" s="584"/>
      <c r="VTT599" s="584"/>
      <c r="VTU599" s="584"/>
      <c r="VTV599" s="584"/>
      <c r="VTW599" s="584"/>
      <c r="VTX599" s="584"/>
      <c r="VTY599" s="584"/>
      <c r="VTZ599" s="584"/>
      <c r="VUA599" s="584"/>
      <c r="VUB599" s="584"/>
      <c r="VUC599" s="584"/>
      <c r="VUD599" s="584"/>
      <c r="VUE599" s="584"/>
      <c r="VUF599" s="584"/>
      <c r="VUG599" s="584"/>
      <c r="VUH599" s="584"/>
      <c r="VUI599" s="584"/>
      <c r="VUJ599" s="584"/>
      <c r="VUK599" s="584"/>
      <c r="VUL599" s="584"/>
      <c r="VUM599" s="584"/>
      <c r="VUN599" s="584"/>
      <c r="VUO599" s="584"/>
      <c r="VUP599" s="584"/>
      <c r="VUQ599" s="584"/>
      <c r="VUR599" s="584"/>
      <c r="VUS599" s="584"/>
      <c r="VUT599" s="584"/>
      <c r="VUU599" s="584"/>
      <c r="VUV599" s="584"/>
      <c r="VUW599" s="584"/>
      <c r="VUX599" s="584"/>
      <c r="VUY599" s="584"/>
      <c r="VUZ599" s="584"/>
      <c r="VVA599" s="584"/>
      <c r="VVB599" s="584"/>
      <c r="VVC599" s="584"/>
      <c r="VVD599" s="584"/>
      <c r="VVE599" s="584"/>
      <c r="VVF599" s="584"/>
      <c r="VVG599" s="584"/>
      <c r="VVH599" s="584"/>
      <c r="VVI599" s="584"/>
      <c r="VVJ599" s="584"/>
      <c r="VVK599" s="584"/>
      <c r="VVL599" s="584"/>
      <c r="VVM599" s="584"/>
      <c r="VVN599" s="584"/>
      <c r="VVO599" s="584"/>
      <c r="VVP599" s="584"/>
      <c r="VVQ599" s="584"/>
      <c r="VVR599" s="584"/>
      <c r="VVS599" s="584"/>
      <c r="VVT599" s="584"/>
      <c r="VVU599" s="584"/>
      <c r="VVV599" s="584"/>
      <c r="VVW599" s="584"/>
      <c r="VVX599" s="584"/>
      <c r="VVY599" s="584"/>
      <c r="VVZ599" s="584"/>
      <c r="VWA599" s="584"/>
      <c r="VWB599" s="584"/>
      <c r="VWC599" s="584"/>
      <c r="VWD599" s="584"/>
      <c r="VWE599" s="584"/>
      <c r="VWF599" s="584"/>
      <c r="VWG599" s="584"/>
      <c r="VWH599" s="584"/>
      <c r="VWI599" s="584"/>
      <c r="VWJ599" s="584"/>
      <c r="VWK599" s="584"/>
      <c r="VWL599" s="584"/>
      <c r="VWM599" s="584"/>
      <c r="VWN599" s="584"/>
      <c r="VWO599" s="584"/>
      <c r="VWP599" s="584"/>
      <c r="VWQ599" s="584"/>
      <c r="VWR599" s="584"/>
      <c r="VWS599" s="584"/>
      <c r="VWT599" s="584"/>
      <c r="VWU599" s="584"/>
      <c r="VWV599" s="584"/>
      <c r="VWW599" s="584"/>
      <c r="VWX599" s="584"/>
      <c r="VWY599" s="584"/>
      <c r="VWZ599" s="584"/>
      <c r="VXA599" s="584"/>
      <c r="VXB599" s="584"/>
      <c r="VXC599" s="584"/>
      <c r="VXD599" s="584"/>
      <c r="VXE599" s="584"/>
      <c r="VXF599" s="584"/>
      <c r="VXG599" s="584"/>
      <c r="VXH599" s="584"/>
      <c r="VXI599" s="584"/>
      <c r="VXJ599" s="584"/>
      <c r="VXK599" s="584"/>
      <c r="VXL599" s="584"/>
      <c r="VXM599" s="584"/>
      <c r="VXN599" s="584"/>
      <c r="VXO599" s="584"/>
      <c r="VXP599" s="584"/>
      <c r="VXQ599" s="584"/>
      <c r="VXR599" s="584"/>
      <c r="VXS599" s="584"/>
      <c r="VXT599" s="584"/>
      <c r="VXU599" s="584"/>
      <c r="VXV599" s="584"/>
      <c r="VXW599" s="584"/>
      <c r="VXX599" s="584"/>
      <c r="VXY599" s="584"/>
      <c r="VXZ599" s="584"/>
      <c r="VYA599" s="584"/>
      <c r="VYB599" s="584"/>
      <c r="VYC599" s="584"/>
      <c r="VYD599" s="584"/>
      <c r="VYE599" s="584"/>
      <c r="VYF599" s="584"/>
      <c r="VYG599" s="584"/>
      <c r="VYH599" s="584"/>
      <c r="VYI599" s="584"/>
      <c r="VYJ599" s="584"/>
      <c r="VYK599" s="584"/>
      <c r="VYL599" s="584"/>
      <c r="VYM599" s="584"/>
      <c r="VYN599" s="584"/>
      <c r="VYO599" s="584"/>
      <c r="VYP599" s="584"/>
      <c r="VYQ599" s="584"/>
      <c r="VYR599" s="584"/>
      <c r="VYS599" s="584"/>
      <c r="VYT599" s="584"/>
      <c r="VYU599" s="584"/>
      <c r="VYV599" s="584"/>
      <c r="VYW599" s="584"/>
      <c r="VYX599" s="584"/>
      <c r="VYY599" s="584"/>
      <c r="VYZ599" s="584"/>
      <c r="VZA599" s="584"/>
      <c r="VZB599" s="584"/>
      <c r="VZC599" s="584"/>
      <c r="VZD599" s="584"/>
      <c r="VZE599" s="584"/>
      <c r="VZF599" s="584"/>
      <c r="VZG599" s="584"/>
      <c r="VZH599" s="584"/>
      <c r="VZI599" s="584"/>
      <c r="VZJ599" s="584"/>
      <c r="VZK599" s="584"/>
      <c r="VZL599" s="584"/>
      <c r="VZM599" s="584"/>
      <c r="VZN599" s="584"/>
      <c r="VZO599" s="584"/>
      <c r="VZP599" s="584"/>
      <c r="VZQ599" s="584"/>
      <c r="VZR599" s="584"/>
      <c r="VZS599" s="584"/>
      <c r="VZT599" s="584"/>
      <c r="VZU599" s="584"/>
      <c r="VZV599" s="584"/>
      <c r="VZW599" s="584"/>
      <c r="VZX599" s="584"/>
      <c r="VZY599" s="584"/>
      <c r="VZZ599" s="584"/>
      <c r="WAA599" s="584"/>
      <c r="WAB599" s="584"/>
      <c r="WAC599" s="584"/>
      <c r="WAD599" s="584"/>
      <c r="WAE599" s="584"/>
      <c r="WAF599" s="584"/>
      <c r="WAG599" s="584"/>
      <c r="WAH599" s="584"/>
      <c r="WAI599" s="584"/>
      <c r="WAJ599" s="584"/>
      <c r="WAK599" s="584"/>
      <c r="WAL599" s="584"/>
      <c r="WAM599" s="584"/>
      <c r="WAN599" s="584"/>
      <c r="WAO599" s="584"/>
      <c r="WAP599" s="584"/>
      <c r="WAQ599" s="584"/>
      <c r="WAR599" s="584"/>
      <c r="WAS599" s="584"/>
      <c r="WAT599" s="584"/>
      <c r="WAU599" s="584"/>
      <c r="WAV599" s="584"/>
      <c r="WAW599" s="584"/>
      <c r="WAX599" s="584"/>
      <c r="WAY599" s="584"/>
      <c r="WAZ599" s="584"/>
      <c r="WBA599" s="584"/>
      <c r="WBB599" s="584"/>
      <c r="WBC599" s="584"/>
      <c r="WBD599" s="584"/>
      <c r="WBE599" s="584"/>
      <c r="WBF599" s="584"/>
      <c r="WBG599" s="584"/>
      <c r="WBH599" s="584"/>
      <c r="WBI599" s="584"/>
      <c r="WBJ599" s="584"/>
      <c r="WBK599" s="584"/>
      <c r="WBL599" s="584"/>
      <c r="WBM599" s="584"/>
      <c r="WBN599" s="584"/>
      <c r="WBO599" s="584"/>
      <c r="WBP599" s="584"/>
      <c r="WBQ599" s="584"/>
      <c r="WBR599" s="584"/>
      <c r="WBS599" s="584"/>
      <c r="WBT599" s="584"/>
      <c r="WBU599" s="584"/>
      <c r="WBV599" s="584"/>
      <c r="WBW599" s="584"/>
      <c r="WBX599" s="584"/>
      <c r="WBY599" s="584"/>
      <c r="WBZ599" s="584"/>
      <c r="WCA599" s="584"/>
      <c r="WCB599" s="584"/>
      <c r="WCC599" s="584"/>
      <c r="WCD599" s="584"/>
      <c r="WCE599" s="584"/>
      <c r="WCF599" s="584"/>
      <c r="WCG599" s="584"/>
      <c r="WCH599" s="584"/>
      <c r="WCI599" s="584"/>
      <c r="WCJ599" s="584"/>
      <c r="WCK599" s="584"/>
      <c r="WCL599" s="584"/>
      <c r="WCM599" s="584"/>
      <c r="WCN599" s="584"/>
      <c r="WCO599" s="584"/>
      <c r="WCP599" s="584"/>
      <c r="WCQ599" s="584"/>
      <c r="WCR599" s="584"/>
      <c r="WCS599" s="584"/>
      <c r="WCT599" s="584"/>
      <c r="WCU599" s="584"/>
      <c r="WCV599" s="584"/>
      <c r="WCW599" s="584"/>
      <c r="WCX599" s="584"/>
      <c r="WCY599" s="584"/>
      <c r="WCZ599" s="584"/>
      <c r="WDA599" s="584"/>
      <c r="WDB599" s="584"/>
      <c r="WDC599" s="584"/>
      <c r="WDD599" s="584"/>
      <c r="WDE599" s="584"/>
      <c r="WDF599" s="584"/>
      <c r="WDG599" s="584"/>
      <c r="WDH599" s="584"/>
      <c r="WDI599" s="584"/>
      <c r="WDJ599" s="584"/>
      <c r="WDK599" s="584"/>
      <c r="WDL599" s="584"/>
      <c r="WDM599" s="584"/>
      <c r="WDN599" s="584"/>
      <c r="WDO599" s="584"/>
      <c r="WDP599" s="584"/>
      <c r="WDQ599" s="584"/>
      <c r="WDR599" s="584"/>
      <c r="WDS599" s="584"/>
      <c r="WDT599" s="584"/>
      <c r="WDU599" s="584"/>
      <c r="WDV599" s="584"/>
      <c r="WDW599" s="584"/>
      <c r="WDX599" s="584"/>
      <c r="WDY599" s="584"/>
      <c r="WDZ599" s="584"/>
      <c r="WEA599" s="584"/>
      <c r="WEB599" s="584"/>
      <c r="WEC599" s="584"/>
      <c r="WED599" s="584"/>
      <c r="WEE599" s="584"/>
      <c r="WEF599" s="584"/>
      <c r="WEG599" s="584"/>
      <c r="WEH599" s="584"/>
      <c r="WEI599" s="584"/>
      <c r="WEJ599" s="584"/>
      <c r="WEK599" s="584"/>
      <c r="WEL599" s="584"/>
      <c r="WEM599" s="584"/>
      <c r="WEN599" s="584"/>
      <c r="WEO599" s="584"/>
      <c r="WEP599" s="584"/>
      <c r="WEQ599" s="584"/>
      <c r="WER599" s="584"/>
      <c r="WES599" s="584"/>
      <c r="WET599" s="584"/>
      <c r="WEU599" s="584"/>
      <c r="WEV599" s="584"/>
      <c r="WEW599" s="584"/>
      <c r="WEX599" s="584"/>
      <c r="WEY599" s="584"/>
      <c r="WEZ599" s="584"/>
      <c r="WFA599" s="584"/>
      <c r="WFB599" s="584"/>
      <c r="WFC599" s="584"/>
      <c r="WFD599" s="584"/>
      <c r="WFE599" s="584"/>
      <c r="WFF599" s="584"/>
      <c r="WFG599" s="584"/>
      <c r="WFH599" s="584"/>
      <c r="WFI599" s="584"/>
      <c r="WFJ599" s="584"/>
      <c r="WFK599" s="584"/>
      <c r="WFL599" s="584"/>
      <c r="WFM599" s="584"/>
      <c r="WFN599" s="584"/>
      <c r="WFO599" s="584"/>
      <c r="WFP599" s="584"/>
      <c r="WFQ599" s="584"/>
      <c r="WFR599" s="584"/>
      <c r="WFS599" s="584"/>
      <c r="WFT599" s="584"/>
      <c r="WFU599" s="584"/>
      <c r="WFV599" s="584"/>
      <c r="WFW599" s="584"/>
      <c r="WFX599" s="584"/>
      <c r="WFY599" s="584"/>
      <c r="WFZ599" s="584"/>
      <c r="WGA599" s="584"/>
      <c r="WGB599" s="584"/>
      <c r="WGC599" s="584"/>
      <c r="WGD599" s="584"/>
      <c r="WGE599" s="584"/>
      <c r="WGF599" s="584"/>
      <c r="WGG599" s="584"/>
      <c r="WGH599" s="584"/>
      <c r="WGI599" s="584"/>
      <c r="WGJ599" s="584"/>
      <c r="WGK599" s="584"/>
      <c r="WGL599" s="584"/>
      <c r="WGM599" s="584"/>
      <c r="WGN599" s="584"/>
      <c r="WGO599" s="584"/>
      <c r="WGP599" s="584"/>
      <c r="WGQ599" s="584"/>
      <c r="WGR599" s="584"/>
      <c r="WGS599" s="584"/>
      <c r="WGT599" s="584"/>
      <c r="WGU599" s="584"/>
      <c r="WGV599" s="584"/>
      <c r="WGW599" s="584"/>
      <c r="WGX599" s="584"/>
      <c r="WGY599" s="584"/>
      <c r="WGZ599" s="584"/>
      <c r="WHA599" s="584"/>
      <c r="WHB599" s="584"/>
      <c r="WHC599" s="584"/>
      <c r="WHD599" s="584"/>
      <c r="WHE599" s="584"/>
      <c r="WHF599" s="584"/>
      <c r="WHG599" s="584"/>
      <c r="WHH599" s="584"/>
      <c r="WHI599" s="584"/>
      <c r="WHJ599" s="584"/>
      <c r="WHK599" s="584"/>
      <c r="WHL599" s="584"/>
      <c r="WHM599" s="584"/>
      <c r="WHN599" s="584"/>
      <c r="WHO599" s="584"/>
      <c r="WHP599" s="584"/>
      <c r="WHQ599" s="584"/>
      <c r="WHR599" s="584"/>
      <c r="WHS599" s="584"/>
      <c r="WHT599" s="584"/>
      <c r="WHU599" s="584"/>
      <c r="WHV599" s="584"/>
      <c r="WHW599" s="584"/>
      <c r="WHX599" s="584"/>
      <c r="WHY599" s="584"/>
      <c r="WHZ599" s="584"/>
      <c r="WIA599" s="584"/>
      <c r="WIB599" s="584"/>
      <c r="WIC599" s="584"/>
      <c r="WID599" s="584"/>
      <c r="WIE599" s="584"/>
      <c r="WIF599" s="584"/>
      <c r="WIG599" s="584"/>
      <c r="WIH599" s="584"/>
      <c r="WII599" s="584"/>
      <c r="WIJ599" s="584"/>
      <c r="WIK599" s="584"/>
      <c r="WIL599" s="584"/>
      <c r="WIM599" s="584"/>
      <c r="WIN599" s="584"/>
      <c r="WIO599" s="584"/>
      <c r="WIP599" s="584"/>
      <c r="WIQ599" s="584"/>
      <c r="WIR599" s="584"/>
      <c r="WIS599" s="584"/>
      <c r="WIT599" s="584"/>
      <c r="WIU599" s="584"/>
      <c r="WIV599" s="584"/>
      <c r="WIW599" s="584"/>
      <c r="WIX599" s="584"/>
      <c r="WIY599" s="584"/>
      <c r="WIZ599" s="584"/>
      <c r="WJA599" s="584"/>
      <c r="WJB599" s="584"/>
      <c r="WJC599" s="584"/>
      <c r="WJD599" s="584"/>
      <c r="WJE599" s="584"/>
      <c r="WJF599" s="584"/>
      <c r="WJG599" s="584"/>
      <c r="WJH599" s="584"/>
      <c r="WJI599" s="584"/>
      <c r="WJJ599" s="584"/>
      <c r="WJK599" s="584"/>
      <c r="WJL599" s="584"/>
      <c r="WJM599" s="584"/>
      <c r="WJN599" s="584"/>
      <c r="WJO599" s="584"/>
      <c r="WJP599" s="584"/>
      <c r="WJQ599" s="584"/>
      <c r="WJR599" s="584"/>
      <c r="WJS599" s="584"/>
      <c r="WJT599" s="584"/>
      <c r="WJU599" s="584"/>
      <c r="WJV599" s="584"/>
      <c r="WJW599" s="584"/>
      <c r="WJX599" s="584"/>
      <c r="WJY599" s="584"/>
      <c r="WJZ599" s="584"/>
      <c r="WKA599" s="584"/>
      <c r="WKB599" s="584"/>
      <c r="WKC599" s="584"/>
      <c r="WKD599" s="584"/>
      <c r="WKE599" s="584"/>
      <c r="WKF599" s="584"/>
      <c r="WKG599" s="584"/>
      <c r="WKH599" s="584"/>
      <c r="WKI599" s="584"/>
      <c r="WKJ599" s="584"/>
      <c r="WKK599" s="584"/>
      <c r="WKL599" s="584"/>
      <c r="WKM599" s="584"/>
      <c r="WKN599" s="584"/>
      <c r="WKO599" s="584"/>
      <c r="WKP599" s="584"/>
      <c r="WKQ599" s="584"/>
      <c r="WKR599" s="584"/>
      <c r="WKS599" s="584"/>
      <c r="WKT599" s="584"/>
      <c r="WKU599" s="584"/>
      <c r="WKV599" s="584"/>
      <c r="WKW599" s="584"/>
      <c r="WKX599" s="584"/>
      <c r="WKY599" s="584"/>
      <c r="WKZ599" s="584"/>
      <c r="WLA599" s="584"/>
      <c r="WLB599" s="584"/>
      <c r="WLC599" s="584"/>
      <c r="WLD599" s="584"/>
      <c r="WLE599" s="584"/>
      <c r="WLF599" s="584"/>
      <c r="WLG599" s="584"/>
      <c r="WLH599" s="584"/>
      <c r="WLI599" s="584"/>
      <c r="WLJ599" s="584"/>
      <c r="WLK599" s="584"/>
      <c r="WLL599" s="584"/>
      <c r="WLM599" s="584"/>
      <c r="WLN599" s="584"/>
      <c r="WLO599" s="584"/>
      <c r="WLP599" s="584"/>
      <c r="WLQ599" s="584"/>
      <c r="WLR599" s="584"/>
      <c r="WLS599" s="584"/>
      <c r="WLT599" s="584"/>
      <c r="WLU599" s="584"/>
      <c r="WLV599" s="584"/>
      <c r="WLW599" s="584"/>
      <c r="WLX599" s="584"/>
      <c r="WLY599" s="584"/>
      <c r="WLZ599" s="584"/>
      <c r="WMA599" s="584"/>
      <c r="WMB599" s="584"/>
      <c r="WMC599" s="584"/>
      <c r="WMD599" s="584"/>
      <c r="WME599" s="584"/>
      <c r="WMF599" s="584"/>
      <c r="WMG599" s="584"/>
      <c r="WMH599" s="584"/>
      <c r="WMI599" s="584"/>
      <c r="WMJ599" s="584"/>
      <c r="WMK599" s="584"/>
      <c r="WML599" s="584"/>
      <c r="WMM599" s="584"/>
      <c r="WMN599" s="584"/>
      <c r="WMO599" s="584"/>
      <c r="WMP599" s="584"/>
      <c r="WMQ599" s="584"/>
      <c r="WMR599" s="584"/>
      <c r="WMS599" s="584"/>
      <c r="WMT599" s="584"/>
      <c r="WMU599" s="584"/>
      <c r="WMV599" s="584"/>
      <c r="WMW599" s="584"/>
      <c r="WMX599" s="584"/>
      <c r="WMY599" s="584"/>
      <c r="WMZ599" s="584"/>
      <c r="WNA599" s="584"/>
      <c r="WNB599" s="584"/>
      <c r="WNC599" s="584"/>
      <c r="WND599" s="584"/>
      <c r="WNE599" s="584"/>
      <c r="WNF599" s="584"/>
      <c r="WNG599" s="584"/>
      <c r="WNH599" s="584"/>
      <c r="WNI599" s="584"/>
      <c r="WNJ599" s="584"/>
      <c r="WNK599" s="584"/>
      <c r="WNL599" s="584"/>
      <c r="WNM599" s="584"/>
      <c r="WNN599" s="584"/>
      <c r="WNO599" s="584"/>
      <c r="WNP599" s="584"/>
      <c r="WNQ599" s="584"/>
      <c r="WNR599" s="584"/>
      <c r="WNS599" s="584"/>
      <c r="WNT599" s="584"/>
      <c r="WNU599" s="584"/>
      <c r="WNV599" s="584"/>
      <c r="WNW599" s="584"/>
      <c r="WNX599" s="584"/>
      <c r="WNY599" s="584"/>
      <c r="WNZ599" s="584"/>
      <c r="WOA599" s="584"/>
      <c r="WOB599" s="584"/>
      <c r="WOC599" s="584"/>
      <c r="WOD599" s="584"/>
      <c r="WOE599" s="584"/>
      <c r="WOF599" s="584"/>
      <c r="WOG599" s="584"/>
      <c r="WOH599" s="584"/>
      <c r="WOI599" s="584"/>
      <c r="WOJ599" s="584"/>
      <c r="WOK599" s="584"/>
      <c r="WOL599" s="584"/>
      <c r="WOM599" s="584"/>
      <c r="WON599" s="584"/>
      <c r="WOO599" s="584"/>
      <c r="WOP599" s="584"/>
      <c r="WOQ599" s="584"/>
      <c r="WOR599" s="584"/>
      <c r="WOS599" s="584"/>
      <c r="WOT599" s="584"/>
      <c r="WOU599" s="584"/>
      <c r="WOV599" s="584"/>
      <c r="WOW599" s="584"/>
      <c r="WOX599" s="584"/>
      <c r="WOY599" s="584"/>
      <c r="WOZ599" s="584"/>
      <c r="WPA599" s="584"/>
      <c r="WPB599" s="584"/>
      <c r="WPC599" s="584"/>
      <c r="WPD599" s="584"/>
      <c r="WPE599" s="584"/>
      <c r="WPF599" s="584"/>
      <c r="WPG599" s="584"/>
      <c r="WPH599" s="584"/>
      <c r="WPI599" s="584"/>
      <c r="WPJ599" s="584"/>
      <c r="WPK599" s="584"/>
      <c r="WPL599" s="584"/>
      <c r="WPM599" s="584"/>
      <c r="WPN599" s="584"/>
      <c r="WPO599" s="584"/>
      <c r="WPP599" s="584"/>
      <c r="WPQ599" s="584"/>
      <c r="WPR599" s="584"/>
      <c r="WPS599" s="584"/>
      <c r="WPT599" s="584"/>
      <c r="WPU599" s="584"/>
      <c r="WPV599" s="584"/>
      <c r="WPW599" s="584"/>
      <c r="WPX599" s="584"/>
      <c r="WPY599" s="584"/>
      <c r="WPZ599" s="584"/>
      <c r="WQA599" s="584"/>
      <c r="WQB599" s="584"/>
      <c r="WQC599" s="584"/>
      <c r="WQD599" s="584"/>
      <c r="WQE599" s="584"/>
      <c r="WQF599" s="584"/>
      <c r="WQG599" s="584"/>
      <c r="WQH599" s="584"/>
      <c r="WQI599" s="584"/>
      <c r="WQJ599" s="584"/>
      <c r="WQK599" s="584"/>
      <c r="WQL599" s="584"/>
      <c r="WQM599" s="584"/>
      <c r="WQN599" s="584"/>
      <c r="WQO599" s="584"/>
      <c r="WQP599" s="584"/>
      <c r="WQQ599" s="584"/>
      <c r="WQR599" s="584"/>
      <c r="WQS599" s="584"/>
      <c r="WQT599" s="584"/>
      <c r="WQU599" s="584"/>
      <c r="WQV599" s="584"/>
      <c r="WQW599" s="584"/>
      <c r="WQX599" s="584"/>
      <c r="WQY599" s="584"/>
      <c r="WQZ599" s="584"/>
      <c r="WRA599" s="584"/>
      <c r="WRB599" s="584"/>
      <c r="WRC599" s="584"/>
      <c r="WRD599" s="584"/>
      <c r="WRE599" s="584"/>
      <c r="WRF599" s="584"/>
      <c r="WRG599" s="584"/>
      <c r="WRH599" s="584"/>
      <c r="WRI599" s="584"/>
      <c r="WRJ599" s="584"/>
      <c r="WRK599" s="584"/>
      <c r="WRL599" s="584"/>
      <c r="WRM599" s="584"/>
      <c r="WRN599" s="584"/>
      <c r="WRO599" s="584"/>
      <c r="WRP599" s="584"/>
      <c r="WRQ599" s="584"/>
      <c r="WRR599" s="584"/>
      <c r="WRS599" s="584"/>
      <c r="WRT599" s="584"/>
      <c r="WRU599" s="584"/>
      <c r="WRV599" s="584"/>
      <c r="WRW599" s="584"/>
      <c r="WRX599" s="584"/>
      <c r="WRY599" s="584"/>
      <c r="WRZ599" s="584"/>
      <c r="WSA599" s="584"/>
      <c r="WSB599" s="584"/>
      <c r="WSC599" s="584"/>
      <c r="WSD599" s="584"/>
      <c r="WSE599" s="584"/>
      <c r="WSF599" s="584"/>
      <c r="WSG599" s="584"/>
      <c r="WSH599" s="584"/>
      <c r="WSI599" s="584"/>
      <c r="WSJ599" s="584"/>
      <c r="WSK599" s="584"/>
      <c r="WSL599" s="584"/>
      <c r="WSM599" s="584"/>
      <c r="WSN599" s="584"/>
      <c r="WSO599" s="584"/>
      <c r="WSP599" s="584"/>
      <c r="WSQ599" s="584"/>
      <c r="WSR599" s="584"/>
      <c r="WSS599" s="584"/>
      <c r="WST599" s="584"/>
      <c r="WSU599" s="584"/>
      <c r="WSV599" s="584"/>
      <c r="WSW599" s="584"/>
      <c r="WSX599" s="584"/>
      <c r="WSY599" s="584"/>
      <c r="WSZ599" s="584"/>
      <c r="WTA599" s="584"/>
      <c r="WTB599" s="584"/>
      <c r="WTC599" s="584"/>
      <c r="WTD599" s="584"/>
      <c r="WTE599" s="584"/>
      <c r="WTF599" s="584"/>
      <c r="WTG599" s="584"/>
      <c r="WTH599" s="584"/>
      <c r="WTI599" s="584"/>
      <c r="WTJ599" s="584"/>
      <c r="WTK599" s="584"/>
      <c r="WTL599" s="584"/>
      <c r="WTM599" s="584"/>
      <c r="WTN599" s="584"/>
      <c r="WTO599" s="584"/>
      <c r="WTP599" s="584"/>
      <c r="WTQ599" s="584"/>
      <c r="WTR599" s="584"/>
      <c r="WTS599" s="584"/>
      <c r="WTT599" s="584"/>
      <c r="WTU599" s="584"/>
      <c r="WTV599" s="584"/>
      <c r="WTW599" s="584"/>
      <c r="WTX599" s="584"/>
      <c r="WTY599" s="584"/>
      <c r="WTZ599" s="584"/>
      <c r="WUA599" s="584"/>
      <c r="WUB599" s="584"/>
      <c r="WUC599" s="584"/>
      <c r="WUD599" s="584"/>
      <c r="WUE599" s="584"/>
      <c r="WUF599" s="584"/>
      <c r="WUG599" s="584"/>
      <c r="WUH599" s="584"/>
      <c r="WUI599" s="584"/>
      <c r="WUJ599" s="584"/>
      <c r="WUK599" s="584"/>
      <c r="WUL599" s="584"/>
      <c r="WUM599" s="584"/>
      <c r="WUN599" s="584"/>
      <c r="WUO599" s="584"/>
      <c r="WUP599" s="584"/>
      <c r="WUQ599" s="584"/>
      <c r="WUR599" s="584"/>
      <c r="WUS599" s="584"/>
      <c r="WUT599" s="584"/>
      <c r="WUU599" s="584"/>
      <c r="WUV599" s="584"/>
      <c r="WUW599" s="584"/>
      <c r="WUX599" s="584"/>
      <c r="WUY599" s="584"/>
      <c r="WUZ599" s="584"/>
      <c r="WVA599" s="584"/>
      <c r="WVB599" s="584"/>
      <c r="WVC599" s="584"/>
      <c r="WVD599" s="584"/>
      <c r="WVE599" s="584"/>
      <c r="WVF599" s="584"/>
      <c r="WVG599" s="584"/>
      <c r="WVH599" s="584"/>
      <c r="WVI599" s="584"/>
      <c r="WVJ599" s="584"/>
      <c r="WVK599" s="584"/>
      <c r="WVL599" s="584"/>
      <c r="WVM599" s="584"/>
      <c r="WVN599" s="584"/>
      <c r="WVO599" s="584"/>
      <c r="WVP599" s="584"/>
      <c r="WVQ599" s="584"/>
      <c r="WVR599" s="584"/>
      <c r="WVS599" s="584"/>
      <c r="WVT599" s="584"/>
      <c r="WVU599" s="584"/>
      <c r="WVV599" s="584"/>
      <c r="WVW599" s="584"/>
      <c r="WVX599" s="584"/>
      <c r="WVY599" s="584"/>
      <c r="WVZ599" s="584"/>
      <c r="WWA599" s="584"/>
      <c r="WWB599" s="584"/>
      <c r="WWC599" s="584"/>
      <c r="WWD599" s="584"/>
      <c r="WWE599" s="584"/>
      <c r="WWF599" s="584"/>
      <c r="WWG599" s="584"/>
      <c r="WWH599" s="584"/>
      <c r="WWI599" s="584"/>
      <c r="WWJ599" s="584"/>
      <c r="WWK599" s="584"/>
      <c r="WWL599" s="584"/>
      <c r="WWM599" s="584"/>
      <c r="WWN599" s="584"/>
      <c r="WWO599" s="584"/>
      <c r="WWP599" s="584"/>
      <c r="WWQ599" s="584"/>
      <c r="WWR599" s="584"/>
      <c r="WWS599" s="584"/>
      <c r="WWT599" s="584"/>
      <c r="WWU599" s="584"/>
      <c r="WWV599" s="584"/>
      <c r="WWW599" s="584"/>
      <c r="WWX599" s="584"/>
      <c r="WWY599" s="584"/>
      <c r="WWZ599" s="584"/>
      <c r="WXA599" s="584"/>
      <c r="WXB599" s="584"/>
      <c r="WXC599" s="584"/>
      <c r="WXD599" s="584"/>
      <c r="WXE599" s="584"/>
      <c r="WXF599" s="584"/>
      <c r="WXG599" s="584"/>
      <c r="WXH599" s="584"/>
      <c r="WXI599" s="584"/>
      <c r="WXJ599" s="584"/>
      <c r="WXK599" s="584"/>
      <c r="WXL599" s="584"/>
      <c r="WXM599" s="584"/>
      <c r="WXN599" s="584"/>
      <c r="WXO599" s="584"/>
      <c r="WXP599" s="584"/>
      <c r="WXQ599" s="584"/>
      <c r="WXR599" s="584"/>
      <c r="WXS599" s="584"/>
      <c r="WXT599" s="584"/>
      <c r="WXU599" s="584"/>
      <c r="WXV599" s="584"/>
      <c r="WXW599" s="584"/>
      <c r="WXX599" s="584"/>
      <c r="WXY599" s="584"/>
      <c r="WXZ599" s="584"/>
      <c r="WYA599" s="584"/>
      <c r="WYB599" s="584"/>
      <c r="WYC599" s="584"/>
      <c r="WYD599" s="584"/>
      <c r="WYE599" s="584"/>
      <c r="WYF599" s="584"/>
      <c r="WYG599" s="584"/>
      <c r="WYH599" s="584"/>
      <c r="WYI599" s="584"/>
      <c r="WYJ599" s="584"/>
      <c r="WYK599" s="584"/>
      <c r="WYL599" s="584"/>
      <c r="WYM599" s="584"/>
      <c r="WYN599" s="584"/>
      <c r="WYO599" s="584"/>
      <c r="WYP599" s="584"/>
      <c r="WYQ599" s="584"/>
      <c r="WYR599" s="584"/>
      <c r="WYS599" s="584"/>
      <c r="WYT599" s="584"/>
      <c r="WYU599" s="584"/>
      <c r="WYV599" s="584"/>
      <c r="WYW599" s="584"/>
      <c r="WYX599" s="584"/>
      <c r="WYY599" s="584"/>
      <c r="WYZ599" s="584"/>
      <c r="WZA599" s="584"/>
      <c r="WZB599" s="584"/>
      <c r="WZC599" s="584"/>
      <c r="WZD599" s="584"/>
      <c r="WZE599" s="584"/>
      <c r="WZF599" s="584"/>
      <c r="WZG599" s="584"/>
      <c r="WZH599" s="584"/>
      <c r="WZI599" s="584"/>
      <c r="WZJ599" s="584"/>
      <c r="WZK599" s="584"/>
      <c r="WZL599" s="584"/>
      <c r="WZM599" s="584"/>
      <c r="WZN599" s="584"/>
      <c r="WZO599" s="584"/>
      <c r="WZP599" s="584"/>
      <c r="WZQ599" s="584"/>
      <c r="WZR599" s="584"/>
      <c r="WZS599" s="584"/>
      <c r="WZT599" s="584"/>
      <c r="WZU599" s="584"/>
      <c r="WZV599" s="584"/>
      <c r="WZW599" s="584"/>
      <c r="WZX599" s="584"/>
      <c r="WZY599" s="584"/>
      <c r="WZZ599" s="584"/>
      <c r="XAA599" s="584"/>
      <c r="XAB599" s="584"/>
      <c r="XAC599" s="584"/>
      <c r="XAD599" s="584"/>
      <c r="XAE599" s="584"/>
      <c r="XAF599" s="584"/>
      <c r="XAG599" s="584"/>
      <c r="XAH599" s="584"/>
      <c r="XAI599" s="584"/>
      <c r="XAJ599" s="584"/>
      <c r="XAK599" s="584"/>
      <c r="XAL599" s="584"/>
      <c r="XAM599" s="584"/>
      <c r="XAN599" s="584"/>
      <c r="XAO599" s="584"/>
      <c r="XAP599" s="584"/>
      <c r="XAQ599" s="584"/>
      <c r="XAR599" s="584"/>
      <c r="XAS599" s="584"/>
      <c r="XAT599" s="584"/>
      <c r="XAU599" s="584"/>
      <c r="XAV599" s="584"/>
      <c r="XAW599" s="584"/>
      <c r="XAX599" s="584"/>
      <c r="XAY599" s="584"/>
      <c r="XAZ599" s="584"/>
      <c r="XBA599" s="584"/>
      <c r="XBB599" s="584"/>
      <c r="XBC599" s="584"/>
      <c r="XBD599" s="584"/>
      <c r="XBE599" s="584"/>
      <c r="XBF599" s="584"/>
      <c r="XBG599" s="584"/>
      <c r="XBH599" s="584"/>
      <c r="XBI599" s="584"/>
      <c r="XBJ599" s="584"/>
      <c r="XBK599" s="584"/>
      <c r="XBL599" s="584"/>
      <c r="XBM599" s="584"/>
      <c r="XBN599" s="584"/>
      <c r="XBO599" s="584"/>
      <c r="XBP599" s="584"/>
      <c r="XBQ599" s="584"/>
      <c r="XBR599" s="584"/>
      <c r="XBS599" s="584"/>
      <c r="XBT599" s="584"/>
      <c r="XBU599" s="584"/>
      <c r="XBV599" s="584"/>
      <c r="XBW599" s="584"/>
      <c r="XBX599" s="584"/>
      <c r="XBY599" s="584"/>
      <c r="XBZ599" s="584"/>
      <c r="XCA599" s="584"/>
      <c r="XCB599" s="584"/>
      <c r="XCC599" s="584"/>
      <c r="XCD599" s="584"/>
      <c r="XCE599" s="584"/>
      <c r="XCF599" s="584"/>
      <c r="XCG599" s="584"/>
      <c r="XCH599" s="584"/>
      <c r="XCI599" s="584"/>
      <c r="XCJ599" s="584"/>
      <c r="XCK599" s="584"/>
      <c r="XCL599" s="584"/>
      <c r="XCM599" s="584"/>
      <c r="XCN599" s="584"/>
      <c r="XCO599" s="584"/>
      <c r="XCP599" s="584"/>
      <c r="XCQ599" s="584"/>
      <c r="XCR599" s="584"/>
      <c r="XCS599" s="584"/>
      <c r="XCT599" s="584"/>
      <c r="XCU599" s="584"/>
      <c r="XCV599" s="584"/>
      <c r="XCW599" s="584"/>
      <c r="XCX599" s="584"/>
      <c r="XCY599" s="584"/>
      <c r="XCZ599" s="584"/>
      <c r="XDA599" s="584"/>
      <c r="XDB599" s="584"/>
      <c r="XDC599" s="584"/>
      <c r="XDD599" s="584"/>
      <c r="XDE599" s="584"/>
      <c r="XDF599" s="584"/>
      <c r="XDG599" s="584"/>
      <c r="XDH599" s="584"/>
      <c r="XDI599" s="584"/>
      <c r="XDJ599" s="584"/>
      <c r="XDK599" s="584"/>
      <c r="XDL599" s="584"/>
      <c r="XDM599" s="584"/>
      <c r="XDN599" s="584"/>
      <c r="XDO599" s="584"/>
      <c r="XDP599" s="584"/>
      <c r="XDQ599" s="584"/>
      <c r="XDR599" s="584"/>
      <c r="XDS599" s="584"/>
      <c r="XDT599" s="584"/>
      <c r="XDU599" s="584"/>
      <c r="XDV599" s="584"/>
      <c r="XDW599" s="584"/>
      <c r="XDX599" s="584"/>
      <c r="XDY599" s="584"/>
      <c r="XDZ599" s="584"/>
      <c r="XEA599" s="584"/>
      <c r="XEB599" s="584"/>
      <c r="XEC599" s="584"/>
      <c r="XED599" s="584"/>
      <c r="XEE599" s="584"/>
      <c r="XEF599" s="584"/>
      <c r="XEG599" s="584"/>
      <c r="XEH599" s="584"/>
      <c r="XEI599" s="584"/>
      <c r="XEJ599" s="584"/>
      <c r="XEK599" s="584"/>
      <c r="XEL599" s="584"/>
      <c r="XEM599" s="584"/>
      <c r="XEN599" s="584"/>
      <c r="XEO599" s="584"/>
      <c r="XEP599" s="584"/>
      <c r="XEQ599" s="584"/>
      <c r="XER599" s="584"/>
      <c r="XES599" s="584"/>
      <c r="XET599" s="584"/>
      <c r="XEU599" s="584"/>
      <c r="XEV599" s="584"/>
      <c r="XEW599" s="584"/>
      <c r="XEX599" s="584"/>
      <c r="XEY599" s="584"/>
      <c r="XEZ599" s="584"/>
      <c r="XFA599" s="584"/>
      <c r="XFB599" s="584"/>
      <c r="XFC599" s="584"/>
      <c r="XFD599" s="584"/>
    </row>
    <row r="600" spans="1:16384" ht="16.899999999999999" customHeight="1">
      <c r="H600" s="436" t="s">
        <v>690</v>
      </c>
      <c r="I600" s="420"/>
      <c r="K600" s="420"/>
      <c r="L600" s="437" t="str">
        <f>$B$11</f>
        <v>INMOBILIARIA SERVIGESTION</v>
      </c>
      <c r="S600" s="420"/>
      <c r="T600" s="420"/>
      <c r="V600" s="441"/>
    </row>
    <row r="601" spans="1:16384" ht="16.899999999999999" customHeight="1">
      <c r="B601" s="420"/>
      <c r="C601" s="420"/>
      <c r="D601" s="420"/>
      <c r="E601" s="420"/>
      <c r="F601" s="420"/>
      <c r="G601" s="420"/>
      <c r="H601" s="420"/>
      <c r="I601" s="420"/>
      <c r="J601" s="420"/>
      <c r="K601" s="420"/>
      <c r="L601" s="420"/>
      <c r="M601" s="420"/>
      <c r="N601" s="420"/>
      <c r="O601" s="420"/>
      <c r="P601" s="420"/>
      <c r="Q601" s="420"/>
      <c r="R601" s="420"/>
      <c r="S601" s="420"/>
      <c r="T601" s="420"/>
      <c r="U601" s="420"/>
      <c r="V601" s="441"/>
    </row>
    <row r="602" spans="1:16384" ht="16.899999999999999" customHeight="1">
      <c r="B602" s="420"/>
      <c r="C602" s="420"/>
      <c r="D602" s="420"/>
      <c r="E602" s="420"/>
      <c r="F602" s="420"/>
      <c r="G602" s="420"/>
      <c r="H602" s="420"/>
      <c r="I602" s="420"/>
      <c r="J602" s="420"/>
      <c r="K602" s="420"/>
      <c r="L602" s="420"/>
      <c r="M602" s="420"/>
      <c r="N602" s="420"/>
      <c r="O602" s="420"/>
      <c r="P602" s="420"/>
      <c r="Q602" s="420"/>
      <c r="R602" s="420"/>
      <c r="S602" s="420"/>
      <c r="T602" s="420"/>
      <c r="U602" s="420"/>
      <c r="V602" s="441"/>
    </row>
    <row r="603" spans="1:16384" ht="51" customHeight="1">
      <c r="B603" s="2268" t="s">
        <v>461</v>
      </c>
      <c r="C603" s="2268"/>
      <c r="D603" s="2268"/>
      <c r="E603" s="2268"/>
      <c r="F603" s="2268"/>
      <c r="G603" s="2268"/>
      <c r="H603" s="2268"/>
      <c r="I603" s="2268"/>
      <c r="J603" s="2268"/>
      <c r="K603" s="2268"/>
      <c r="L603" s="2268"/>
      <c r="M603" s="2268"/>
      <c r="N603" s="2268"/>
      <c r="O603" s="2268"/>
      <c r="P603" s="2268"/>
      <c r="Q603" s="2268"/>
      <c r="R603" s="2268"/>
      <c r="S603" s="2268"/>
      <c r="T603" s="2268"/>
      <c r="U603" s="2268"/>
      <c r="V603" s="441"/>
    </row>
    <row r="604" spans="1:16384" ht="37.5" customHeight="1">
      <c r="B604" s="2269" t="s">
        <v>1191</v>
      </c>
      <c r="C604" s="2269"/>
      <c r="D604" s="2269"/>
      <c r="E604" s="2269"/>
      <c r="F604" s="2269"/>
      <c r="G604" s="2269"/>
      <c r="H604" s="2269"/>
      <c r="I604" s="2269"/>
      <c r="J604" s="2269"/>
      <c r="K604" s="2269"/>
      <c r="L604" s="2269"/>
      <c r="M604" s="2269"/>
      <c r="N604" s="2269"/>
      <c r="O604" s="2269"/>
      <c r="P604" s="2269"/>
      <c r="Q604" s="2269"/>
      <c r="R604" s="2269"/>
      <c r="S604" s="2269"/>
      <c r="T604" s="2269"/>
      <c r="U604" s="2269"/>
      <c r="V604" s="441"/>
    </row>
    <row r="605" spans="1:16384" ht="16.899999999999999" customHeight="1">
      <c r="B605" s="1204"/>
      <c r="C605" s="1204"/>
      <c r="D605" s="1204"/>
      <c r="E605" s="1204"/>
      <c r="F605" s="1204"/>
      <c r="G605" s="1204"/>
      <c r="H605" s="1204"/>
      <c r="I605" s="1204"/>
      <c r="J605" s="1204"/>
      <c r="K605" s="1204"/>
      <c r="L605" s="1204"/>
      <c r="M605" s="1204"/>
      <c r="N605" s="1204"/>
      <c r="O605" s="1204"/>
      <c r="P605" s="1204"/>
      <c r="Q605" s="1204"/>
      <c r="R605" s="1204"/>
      <c r="S605" s="1204"/>
      <c r="T605" s="1204"/>
      <c r="U605" s="1204"/>
      <c r="V605" s="441"/>
    </row>
    <row r="606" spans="1:16384" ht="31.5" customHeight="1">
      <c r="B606" s="2279" t="s">
        <v>1195</v>
      </c>
      <c r="C606" s="2279"/>
      <c r="D606" s="2279"/>
      <c r="E606" s="2279"/>
      <c r="F606" s="2279"/>
      <c r="G606" s="2279"/>
      <c r="H606" s="2279"/>
      <c r="I606" s="2279"/>
      <c r="J606" s="2279"/>
      <c r="K606" s="2279"/>
      <c r="L606" s="2279"/>
      <c r="M606" s="2279"/>
      <c r="N606" s="2279"/>
      <c r="O606" s="2279"/>
      <c r="P606" s="2279"/>
      <c r="Q606" s="2279"/>
      <c r="R606" s="2279"/>
      <c r="S606" s="2279"/>
      <c r="T606" s="2279"/>
      <c r="U606" s="2279"/>
      <c r="V606" s="441"/>
    </row>
    <row r="607" spans="1:16384" ht="34.5" customHeight="1">
      <c r="B607" s="2251" t="s">
        <v>1196</v>
      </c>
      <c r="C607" s="2251"/>
      <c r="D607" s="2251"/>
      <c r="E607" s="2251"/>
      <c r="F607" s="2251"/>
      <c r="G607" s="2251"/>
      <c r="H607" s="2251"/>
      <c r="I607" s="2251"/>
      <c r="J607" s="2251"/>
      <c r="K607" s="2251"/>
      <c r="L607" s="2251"/>
      <c r="M607" s="2251"/>
      <c r="N607" s="2251"/>
      <c r="O607" s="2251"/>
      <c r="P607" s="2251"/>
      <c r="Q607" s="2251"/>
      <c r="R607" s="2251"/>
      <c r="S607" s="2251"/>
      <c r="T607" s="2251"/>
      <c r="U607" s="2251"/>
      <c r="V607" s="441"/>
    </row>
    <row r="608" spans="1:16384" ht="16.899999999999999" customHeight="1">
      <c r="B608" s="902"/>
      <c r="C608" s="902"/>
      <c r="D608" s="902"/>
      <c r="E608" s="902"/>
      <c r="F608" s="902"/>
      <c r="G608" s="902"/>
      <c r="H608" s="902"/>
      <c r="I608" s="902"/>
      <c r="J608" s="902"/>
      <c r="K608" s="902"/>
      <c r="L608" s="902"/>
      <c r="M608" s="902"/>
      <c r="N608" s="902"/>
      <c r="O608" s="902"/>
      <c r="P608" s="902"/>
      <c r="Q608" s="902"/>
      <c r="R608" s="902"/>
      <c r="S608" s="902"/>
      <c r="T608" s="902"/>
      <c r="U608" s="902"/>
      <c r="V608" s="441"/>
    </row>
    <row r="609" spans="2:22" ht="42.6" customHeight="1">
      <c r="B609" s="2253" t="s">
        <v>462</v>
      </c>
      <c r="C609" s="2254"/>
      <c r="D609" s="1202" t="s">
        <v>463</v>
      </c>
      <c r="E609" s="2254" t="s">
        <v>1380</v>
      </c>
      <c r="F609" s="2254"/>
      <c r="G609" s="2254"/>
      <c r="H609" s="2254"/>
      <c r="I609" s="2254"/>
      <c r="J609" s="2254"/>
      <c r="K609" s="2254" t="s">
        <v>467</v>
      </c>
      <c r="L609" s="2254"/>
      <c r="M609" s="2254" t="s">
        <v>295</v>
      </c>
      <c r="N609" s="2280"/>
      <c r="V609" s="441"/>
    </row>
    <row r="610" spans="2:22" ht="42.6" customHeight="1">
      <c r="B610" s="2281" t="str">
        <f>IF(Perfiles_usuario!$B$107=0,"",Perfiles_usuario!$B$107)</f>
        <v/>
      </c>
      <c r="C610" s="2282"/>
      <c r="D610" s="1205" t="str">
        <f>IF(Perfiles_usuario!$D$107=0,"",Perfiles_usuario!$D$107)</f>
        <v/>
      </c>
      <c r="E610" s="2282" t="str">
        <f>IF(Perfiles_usuario!$D$107=0,"",Perfiles_usuario!$F$107)</f>
        <v/>
      </c>
      <c r="F610" s="2282"/>
      <c r="G610" s="2282"/>
      <c r="H610" s="2282"/>
      <c r="I610" s="2282"/>
      <c r="J610" s="2282"/>
      <c r="K610" s="2292" t="str">
        <f>IF(Perfiles_usuario!$D$107=0,"",Perfiles_usuario!$J$107)</f>
        <v/>
      </c>
      <c r="L610" s="2292"/>
      <c r="M610" s="2292" t="str">
        <f>IF(Perfiles_usuario!$D$107=0,"",Perfiles_usuario!$L$107)</f>
        <v/>
      </c>
      <c r="N610" s="2293"/>
      <c r="O610" s="522"/>
      <c r="P610" s="522"/>
      <c r="Q610" s="522"/>
      <c r="R610" s="522"/>
      <c r="S610" s="522"/>
      <c r="T610" s="522"/>
      <c r="U610" s="522"/>
      <c r="V610" s="441"/>
    </row>
    <row r="611" spans="2:22" ht="42.6" customHeight="1">
      <c r="B611" s="2294" t="str">
        <f>IF(Perfiles_usuario!$B$109=0,"",Perfiles_usuario!$B$109)</f>
        <v/>
      </c>
      <c r="C611" s="2295"/>
      <c r="D611" s="1205" t="str">
        <f>IF(Perfiles_usuario!$D$109=0,"",Perfiles_usuario!$D$109)</f>
        <v/>
      </c>
      <c r="E611" s="2282" t="str">
        <f>IF(Perfiles_usuario!$D$109=0,"",Perfiles_usuario!$F$109)</f>
        <v/>
      </c>
      <c r="F611" s="2282"/>
      <c r="G611" s="2282"/>
      <c r="H611" s="2282"/>
      <c r="I611" s="2282"/>
      <c r="J611" s="2282"/>
      <c r="K611" s="2292" t="str">
        <f>IF(Perfiles_usuario!$D$109=0,"",Perfiles_usuario!$J$109)</f>
        <v/>
      </c>
      <c r="L611" s="2292"/>
      <c r="M611" s="2292" t="str">
        <f>IF(Perfiles_usuario!$D$109=0,"",Perfiles_usuario!$L$109)</f>
        <v/>
      </c>
      <c r="N611" s="2293"/>
      <c r="O611" s="522"/>
      <c r="P611" s="522"/>
      <c r="Q611" s="522"/>
      <c r="R611" s="522"/>
      <c r="S611" s="522"/>
      <c r="T611" s="522"/>
      <c r="U611" s="522"/>
      <c r="V611" s="441"/>
    </row>
    <row r="612" spans="2:22" ht="16.899999999999999" customHeight="1">
      <c r="B612" s="2283"/>
      <c r="C612" s="2283"/>
      <c r="D612" s="1245"/>
      <c r="E612" s="2284"/>
      <c r="F612" s="2284"/>
      <c r="G612" s="2284"/>
      <c r="H612" s="2284"/>
      <c r="I612" s="2284"/>
      <c r="J612" s="2284"/>
      <c r="K612" s="2296"/>
      <c r="L612" s="2296"/>
      <c r="M612" s="2296"/>
      <c r="N612" s="2296"/>
      <c r="O612" s="522"/>
      <c r="P612" s="522"/>
      <c r="Q612" s="522"/>
      <c r="R612" s="522"/>
      <c r="S612" s="522"/>
      <c r="T612" s="522"/>
      <c r="U612" s="522"/>
      <c r="V612" s="441"/>
    </row>
    <row r="613" spans="2:22" ht="42.6" customHeight="1">
      <c r="B613" s="2273" t="s">
        <v>1192</v>
      </c>
      <c r="C613" s="2274"/>
      <c r="D613" s="719">
        <f>SUM(Perfiles_usuario!$D$107:$D$109)</f>
        <v>0</v>
      </c>
      <c r="E613" s="2284"/>
      <c r="F613" s="2284"/>
      <c r="G613" s="2284"/>
      <c r="H613" s="2284"/>
      <c r="I613" s="2284"/>
      <c r="J613" s="2284"/>
      <c r="K613" s="2463" t="s">
        <v>295</v>
      </c>
      <c r="L613" s="2464"/>
      <c r="M613" s="2285" t="str">
        <f>IF(Perfiles_usuario!$L$111=0,"",Perfiles_usuario!$L$111)</f>
        <v/>
      </c>
      <c r="N613" s="2286"/>
      <c r="O613" s="522"/>
      <c r="P613" s="522"/>
      <c r="Q613" s="522"/>
      <c r="R613" s="522"/>
      <c r="S613" s="522"/>
      <c r="T613" s="522"/>
      <c r="U613" s="522"/>
      <c r="V613" s="441"/>
    </row>
    <row r="614" spans="2:22" ht="16.899999999999999" customHeight="1">
      <c r="B614" s="522"/>
      <c r="C614" s="585"/>
      <c r="D614" s="584"/>
      <c r="E614" s="584"/>
      <c r="F614" s="584"/>
      <c r="G614" s="586"/>
      <c r="H614" s="436"/>
      <c r="I614" s="420"/>
      <c r="K614" s="420"/>
      <c r="L614" s="437"/>
      <c r="M614" s="587"/>
      <c r="N614" s="587"/>
      <c r="O614" s="587"/>
      <c r="P614" s="587"/>
      <c r="Q614" s="561"/>
      <c r="R614" s="561"/>
      <c r="S614" s="441"/>
      <c r="T614" s="441"/>
      <c r="U614" s="588"/>
      <c r="V614" s="441"/>
    </row>
    <row r="615" spans="2:22" ht="16.899999999999999" customHeight="1">
      <c r="B615" s="522"/>
      <c r="C615" s="585"/>
      <c r="D615" s="584"/>
      <c r="E615" s="584"/>
      <c r="F615" s="584"/>
      <c r="G615" s="586"/>
      <c r="H615" s="436"/>
      <c r="I615" s="420"/>
      <c r="K615" s="420"/>
      <c r="L615" s="437"/>
      <c r="M615" s="587"/>
      <c r="N615" s="587"/>
      <c r="O615" s="587"/>
      <c r="P615" s="587"/>
      <c r="Q615" s="561"/>
      <c r="R615" s="561"/>
      <c r="S615" s="441"/>
      <c r="T615" s="441"/>
      <c r="U615" s="588"/>
      <c r="V615" s="441"/>
    </row>
    <row r="616" spans="2:22" ht="16.899999999999999" customHeight="1">
      <c r="B616" s="522"/>
      <c r="C616" s="585"/>
      <c r="D616" s="584"/>
      <c r="E616" s="584"/>
      <c r="F616" s="584"/>
      <c r="G616" s="586"/>
      <c r="H616" s="436"/>
      <c r="I616" s="420"/>
      <c r="K616" s="420"/>
      <c r="L616" s="437"/>
      <c r="M616" s="587"/>
      <c r="N616" s="587"/>
      <c r="O616" s="587"/>
      <c r="P616" s="587"/>
      <c r="Q616" s="561"/>
      <c r="R616" s="561"/>
      <c r="S616" s="441"/>
      <c r="T616" s="441"/>
      <c r="U616" s="588"/>
      <c r="V616" s="441"/>
    </row>
    <row r="617" spans="2:22" ht="16.899999999999999" customHeight="1">
      <c r="B617" s="522"/>
      <c r="C617" s="585"/>
      <c r="D617" s="584"/>
      <c r="E617" s="584"/>
      <c r="F617" s="584"/>
      <c r="G617" s="586"/>
      <c r="H617" s="436"/>
      <c r="I617" s="420"/>
      <c r="K617" s="420"/>
      <c r="L617" s="437"/>
      <c r="M617" s="587"/>
      <c r="N617" s="587"/>
      <c r="O617" s="587"/>
      <c r="P617" s="587"/>
      <c r="Q617" s="561"/>
      <c r="R617" s="561"/>
      <c r="S617" s="441"/>
      <c r="T617" s="441"/>
      <c r="U617" s="588"/>
      <c r="V617" s="441"/>
    </row>
    <row r="618" spans="2:22" ht="16.899999999999999" customHeight="1">
      <c r="V618" s="441"/>
    </row>
    <row r="619" spans="2:22" ht="16.899999999999999" customHeight="1">
      <c r="U619" s="588"/>
      <c r="V619" s="441"/>
    </row>
    <row r="620" spans="2:22" ht="16.899999999999999" customHeight="1">
      <c r="B620" s="522"/>
      <c r="C620" s="585"/>
      <c r="D620" s="584"/>
      <c r="E620" s="584"/>
      <c r="F620" s="584"/>
      <c r="G620" s="586"/>
      <c r="H620" s="436"/>
      <c r="I620" s="420"/>
      <c r="K620" s="420"/>
      <c r="L620" s="437"/>
      <c r="M620" s="587"/>
      <c r="N620" s="587"/>
      <c r="O620" s="587"/>
      <c r="P620" s="587"/>
      <c r="Q620" s="561"/>
      <c r="R620" s="561"/>
      <c r="S620" s="441"/>
      <c r="T620" s="441"/>
      <c r="U620" s="588"/>
      <c r="V620" s="441"/>
    </row>
    <row r="621" spans="2:22" ht="72" customHeight="1">
      <c r="B621" s="2288" t="s">
        <v>1197</v>
      </c>
      <c r="C621" s="2288"/>
      <c r="D621" s="2288"/>
      <c r="E621" s="2288"/>
      <c r="F621" s="2288"/>
      <c r="G621" s="2288"/>
      <c r="H621" s="2288"/>
      <c r="I621" s="2288"/>
      <c r="J621" s="2288"/>
      <c r="K621" s="2288"/>
      <c r="L621" s="2288"/>
      <c r="M621" s="2288"/>
      <c r="N621" s="2288"/>
      <c r="O621" s="2288"/>
      <c r="P621" s="2288"/>
      <c r="Q621" s="2288"/>
      <c r="R621" s="2288"/>
      <c r="S621" s="2288"/>
      <c r="T621" s="2288"/>
      <c r="U621" s="2288"/>
      <c r="V621" s="441"/>
    </row>
    <row r="622" spans="2:22" ht="16.899999999999999" customHeight="1">
      <c r="B622" s="522"/>
      <c r="C622" s="585"/>
      <c r="D622" s="584"/>
      <c r="E622" s="584"/>
      <c r="F622" s="584"/>
      <c r="G622" s="586"/>
      <c r="H622" s="436"/>
      <c r="I622" s="420"/>
      <c r="K622" s="420"/>
      <c r="L622" s="437"/>
      <c r="M622" s="587"/>
      <c r="N622" s="587"/>
      <c r="O622" s="587"/>
      <c r="P622" s="587"/>
      <c r="Q622" s="561"/>
      <c r="R622" s="561"/>
      <c r="S622" s="441"/>
      <c r="T622" s="441"/>
      <c r="U622" s="588"/>
      <c r="V622" s="441"/>
    </row>
    <row r="623" spans="2:22" ht="57" customHeight="1">
      <c r="B623" s="2288" t="s">
        <v>1193</v>
      </c>
      <c r="C623" s="2288"/>
      <c r="D623" s="2288"/>
      <c r="E623" s="2288"/>
      <c r="F623" s="2288"/>
      <c r="G623" s="2288"/>
      <c r="H623" s="2288"/>
      <c r="I623" s="2288"/>
      <c r="J623" s="2288"/>
      <c r="K623" s="2288"/>
      <c r="L623" s="2288"/>
      <c r="M623" s="2288"/>
      <c r="N623" s="2288"/>
      <c r="O623" s="2288"/>
      <c r="P623" s="2288"/>
      <c r="Q623" s="2288"/>
      <c r="R623" s="2288"/>
      <c r="S623" s="2288"/>
      <c r="T623" s="2288"/>
      <c r="U623" s="2288"/>
      <c r="V623" s="441"/>
    </row>
    <row r="624" spans="2:22" ht="16.899999999999999" customHeight="1">
      <c r="B624" s="522"/>
      <c r="K624" s="420"/>
      <c r="L624" s="437"/>
      <c r="U624" s="588"/>
      <c r="V624" s="441"/>
    </row>
    <row r="625" spans="1:22" ht="16.899999999999999" customHeight="1">
      <c r="V625" s="441"/>
    </row>
    <row r="626" spans="1:22" ht="24" customHeight="1">
      <c r="B626" s="2288" t="s">
        <v>1199</v>
      </c>
      <c r="C626" s="2288"/>
      <c r="D626" s="2288"/>
      <c r="E626" s="2288"/>
      <c r="F626" s="2288"/>
      <c r="G626" s="2288"/>
      <c r="H626" s="2288"/>
      <c r="I626" s="2288"/>
      <c r="J626" s="2288"/>
      <c r="K626" s="2288"/>
      <c r="L626" s="2288"/>
      <c r="M626" s="2288"/>
      <c r="N626" s="2288"/>
      <c r="O626" s="2288"/>
      <c r="P626" s="2288"/>
      <c r="Q626" s="2288"/>
      <c r="R626" s="2288"/>
      <c r="S626" s="2288"/>
      <c r="T626" s="2288"/>
      <c r="U626" s="2288"/>
      <c r="V626" s="441"/>
    </row>
    <row r="627" spans="1:22" ht="16.899999999999999" customHeight="1">
      <c r="B627" s="522"/>
      <c r="K627" s="420"/>
      <c r="T627" s="441"/>
      <c r="U627" s="588"/>
      <c r="V627" s="441"/>
    </row>
    <row r="628" spans="1:22" ht="16.899999999999999" customHeight="1">
      <c r="B628" s="522"/>
      <c r="K628" s="420"/>
      <c r="L628" s="437"/>
      <c r="M628" s="587"/>
      <c r="N628" s="587"/>
      <c r="O628" s="587"/>
      <c r="P628" s="587"/>
      <c r="Q628" s="561"/>
      <c r="R628" s="561"/>
      <c r="S628" s="441"/>
      <c r="T628" s="441"/>
      <c r="U628" s="588"/>
      <c r="V628" s="441"/>
    </row>
    <row r="629" spans="1:22" ht="33" customHeight="1">
      <c r="B629" s="522"/>
      <c r="C629" s="2289" t="s">
        <v>1198</v>
      </c>
      <c r="D629" s="2289"/>
      <c r="E629" s="2289" t="s">
        <v>399</v>
      </c>
      <c r="F629" s="2289"/>
      <c r="G629" s="2289"/>
      <c r="H629" s="2289"/>
      <c r="I629" s="2289"/>
      <c r="J629" s="2289"/>
      <c r="K629" s="420"/>
      <c r="L629" s="1366">
        <v>15</v>
      </c>
      <c r="M629" s="587"/>
      <c r="N629" s="587"/>
      <c r="O629" s="587"/>
      <c r="P629" s="587"/>
      <c r="Q629" s="561"/>
      <c r="R629" s="561"/>
      <c r="S629" s="441"/>
      <c r="T629" s="441"/>
      <c r="U629" s="588"/>
      <c r="V629" s="441"/>
    </row>
    <row r="630" spans="1:22" ht="16.899999999999999" customHeight="1">
      <c r="B630" s="522"/>
      <c r="C630" s="585"/>
      <c r="D630" s="584"/>
      <c r="E630" s="584"/>
      <c r="F630" s="584"/>
      <c r="G630" s="586"/>
      <c r="H630" s="436"/>
      <c r="I630" s="420"/>
      <c r="K630" s="420"/>
      <c r="L630" s="437"/>
      <c r="M630" s="587"/>
      <c r="N630" s="587"/>
      <c r="O630" s="587"/>
      <c r="P630" s="587"/>
      <c r="Q630" s="561"/>
      <c r="R630" s="561"/>
      <c r="S630" s="441"/>
      <c r="T630" s="441"/>
      <c r="U630" s="588"/>
      <c r="V630" s="441"/>
    </row>
    <row r="631" spans="1:22" ht="16.899999999999999" customHeight="1">
      <c r="B631" s="522"/>
      <c r="C631" s="585"/>
      <c r="D631" s="584"/>
      <c r="E631" s="584"/>
      <c r="F631" s="584"/>
      <c r="G631" s="586"/>
      <c r="H631" s="436"/>
      <c r="I631" s="420"/>
      <c r="K631" s="420"/>
      <c r="L631" s="437"/>
      <c r="M631" s="587"/>
      <c r="N631" s="587"/>
      <c r="O631" s="587"/>
      <c r="P631" s="587"/>
      <c r="Q631" s="561"/>
      <c r="R631" s="561"/>
      <c r="S631" s="441"/>
      <c r="T631" s="441"/>
      <c r="U631" s="588"/>
      <c r="V631" s="441"/>
    </row>
    <row r="632" spans="1:22" ht="16.899999999999999" customHeight="1">
      <c r="B632" s="522"/>
      <c r="C632" s="585"/>
      <c r="D632" s="584"/>
      <c r="E632" s="584"/>
      <c r="F632" s="584"/>
      <c r="G632" s="586"/>
      <c r="H632" s="436"/>
      <c r="I632" s="420"/>
      <c r="K632" s="420"/>
      <c r="L632" s="437"/>
      <c r="M632" s="587"/>
      <c r="N632" s="587"/>
      <c r="O632" s="587"/>
      <c r="P632" s="587"/>
      <c r="Q632" s="561"/>
      <c r="R632" s="561"/>
      <c r="S632" s="441"/>
      <c r="T632" s="441"/>
      <c r="U632" s="588"/>
      <c r="V632" s="441"/>
    </row>
    <row r="633" spans="1:22" ht="16.899999999999999" customHeight="1">
      <c r="B633" s="522"/>
      <c r="C633" s="585"/>
      <c r="D633" s="584"/>
      <c r="E633" s="584"/>
      <c r="F633" s="584"/>
      <c r="G633" s="586"/>
      <c r="H633" s="436"/>
      <c r="I633" s="420"/>
      <c r="K633" s="420"/>
      <c r="L633" s="437"/>
      <c r="M633" s="587"/>
      <c r="N633" s="587"/>
      <c r="O633" s="587"/>
      <c r="P633" s="587"/>
      <c r="Q633" s="561"/>
      <c r="R633" s="561"/>
      <c r="S633" s="441"/>
      <c r="T633" s="441"/>
      <c r="U633" s="588"/>
      <c r="V633" s="441"/>
    </row>
    <row r="634" spans="1:22" ht="16.899999999999999" customHeight="1">
      <c r="B634" s="522"/>
      <c r="C634" s="585"/>
      <c r="D634" s="584"/>
      <c r="E634" s="584"/>
      <c r="F634" s="584"/>
      <c r="G634" s="586"/>
      <c r="H634" s="436"/>
      <c r="I634" s="420"/>
      <c r="K634" s="420"/>
      <c r="L634" s="437"/>
      <c r="M634" s="587"/>
      <c r="N634" s="587"/>
      <c r="O634" s="587"/>
      <c r="P634" s="587"/>
      <c r="Q634" s="561"/>
      <c r="R634" s="561"/>
      <c r="S634" s="441"/>
      <c r="T634" s="441"/>
      <c r="U634" s="588"/>
      <c r="V634" s="441"/>
    </row>
    <row r="635" spans="1:22" ht="16.899999999999999" customHeight="1">
      <c r="B635" s="522"/>
      <c r="C635" s="585"/>
      <c r="D635" s="584"/>
      <c r="E635" s="584"/>
      <c r="F635" s="584"/>
      <c r="G635" s="586"/>
      <c r="H635" s="436"/>
      <c r="I635" s="420"/>
      <c r="K635" s="420"/>
      <c r="L635" s="437"/>
      <c r="M635" s="587"/>
      <c r="N635" s="587"/>
      <c r="O635" s="587"/>
      <c r="P635" s="587"/>
      <c r="Q635" s="561"/>
      <c r="R635" s="561"/>
      <c r="S635" s="441"/>
      <c r="T635" s="441"/>
      <c r="U635" s="588"/>
      <c r="V635" s="441"/>
    </row>
    <row r="636" spans="1:22" ht="16.899999999999999" customHeight="1">
      <c r="B636" s="522"/>
      <c r="C636" s="585"/>
      <c r="D636" s="584"/>
      <c r="E636" s="584"/>
      <c r="F636" s="584"/>
      <c r="G636" s="586"/>
      <c r="H636" s="436"/>
      <c r="I636" s="420"/>
      <c r="K636" s="420"/>
      <c r="L636" s="437"/>
      <c r="M636" s="587"/>
      <c r="N636" s="587"/>
      <c r="O636" s="587"/>
      <c r="P636" s="587"/>
      <c r="Q636" s="561"/>
      <c r="R636" s="561"/>
      <c r="S636" s="441"/>
      <c r="T636" s="441"/>
      <c r="U636" s="588"/>
      <c r="V636" s="441"/>
    </row>
    <row r="637" spans="1:22" ht="16.899999999999999" customHeight="1">
      <c r="B637" s="522"/>
      <c r="C637" s="585"/>
      <c r="D637" s="584"/>
      <c r="E637" s="584"/>
      <c r="F637" s="584"/>
      <c r="G637" s="586"/>
      <c r="H637" s="436"/>
      <c r="I637" s="420"/>
      <c r="K637" s="420"/>
      <c r="L637" s="437"/>
      <c r="M637" s="587"/>
      <c r="N637" s="587"/>
      <c r="O637" s="587"/>
      <c r="P637" s="587"/>
      <c r="Q637" s="561"/>
      <c r="R637" s="561"/>
      <c r="S637" s="441"/>
      <c r="T637" s="441"/>
      <c r="U637" s="588"/>
      <c r="V637" s="441"/>
    </row>
    <row r="638" spans="1:22" ht="16.899999999999999" customHeight="1">
      <c r="B638" s="520" t="s">
        <v>699</v>
      </c>
      <c r="C638" s="585"/>
      <c r="D638" s="584"/>
      <c r="E638" s="584"/>
      <c r="F638" s="584"/>
      <c r="G638" s="586"/>
      <c r="H638" s="436"/>
      <c r="I638" s="420"/>
      <c r="K638" s="420"/>
      <c r="L638" s="437"/>
      <c r="M638" s="476" t="s">
        <v>1809</v>
      </c>
      <c r="N638" s="587"/>
      <c r="O638" s="587"/>
      <c r="P638" s="587"/>
      <c r="Q638" s="561"/>
      <c r="R638" s="477" t="s">
        <v>692</v>
      </c>
      <c r="S638" s="1819" t="str">
        <f>E39</f>
        <v>ILF5_90FCORCP_B114CAGR43006</v>
      </c>
      <c r="T638" s="441"/>
      <c r="U638" s="588"/>
      <c r="V638" s="441"/>
    </row>
    <row r="639" spans="1:22" ht="16.899999999999999" customHeight="1">
      <c r="B639" s="522"/>
      <c r="C639" s="585"/>
      <c r="D639" s="584"/>
      <c r="E639" s="584"/>
      <c r="F639" s="584"/>
      <c r="G639" s="586"/>
      <c r="H639" s="436"/>
      <c r="I639" s="420"/>
      <c r="K639" s="420"/>
      <c r="L639" s="437"/>
      <c r="M639" s="587"/>
      <c r="N639" s="587"/>
      <c r="O639" s="587"/>
      <c r="P639" s="587"/>
      <c r="Q639" s="561"/>
      <c r="R639" s="561"/>
      <c r="S639" s="441"/>
      <c r="T639" s="441"/>
      <c r="U639" s="588"/>
      <c r="V639" s="441"/>
    </row>
    <row r="640" spans="1:22">
      <c r="A640" s="420"/>
      <c r="B640" s="420"/>
      <c r="C640" s="420"/>
      <c r="D640" s="420"/>
      <c r="E640" s="420"/>
      <c r="F640" s="420"/>
      <c r="G640" s="420"/>
      <c r="H640" s="436" t="s">
        <v>691</v>
      </c>
      <c r="I640" s="420"/>
      <c r="K640" s="420"/>
      <c r="L640" s="437" t="str">
        <f>$B$11</f>
        <v>INMOBILIARIA SERVIGESTION</v>
      </c>
      <c r="M640" s="420"/>
      <c r="N640" s="420"/>
      <c r="O640" s="420"/>
      <c r="P640" s="420"/>
      <c r="Q640" s="420"/>
      <c r="R640" s="420"/>
      <c r="S640" s="420"/>
      <c r="T640" s="420"/>
      <c r="U640" s="420"/>
      <c r="V640" s="420"/>
    </row>
    <row r="641" spans="1:22" ht="34.5">
      <c r="A641" s="420"/>
      <c r="B641" s="2268" t="s">
        <v>461</v>
      </c>
      <c r="C641" s="2268"/>
      <c r="D641" s="2268"/>
      <c r="E641" s="2268"/>
      <c r="F641" s="2268"/>
      <c r="G641" s="2268"/>
      <c r="H641" s="2268"/>
      <c r="I641" s="2268"/>
      <c r="J641" s="2268"/>
      <c r="K641" s="2268"/>
      <c r="L641" s="2268"/>
      <c r="M641" s="2268"/>
      <c r="N641" s="2268"/>
      <c r="O641" s="2268"/>
      <c r="P641" s="2268"/>
      <c r="Q641" s="2268"/>
      <c r="R641" s="2268"/>
      <c r="S641" s="2268"/>
      <c r="T641" s="2268"/>
      <c r="U641" s="2268"/>
      <c r="V641" s="420"/>
    </row>
    <row r="642" spans="1:22" ht="22.9" customHeight="1">
      <c r="A642" s="420"/>
      <c r="B642" s="2269" t="s">
        <v>1114</v>
      </c>
      <c r="C642" s="2269"/>
      <c r="D642" s="2269"/>
      <c r="E642" s="2269"/>
      <c r="F642" s="2269"/>
      <c r="G642" s="2269"/>
      <c r="H642" s="2269"/>
      <c r="I642" s="2269"/>
      <c r="J642" s="2269"/>
      <c r="K642" s="2269"/>
      <c r="L642" s="2269"/>
      <c r="M642" s="2269"/>
      <c r="N642" s="2269"/>
      <c r="O642" s="2269"/>
      <c r="P642" s="2269"/>
      <c r="Q642" s="2269"/>
      <c r="R642" s="2269"/>
      <c r="S642" s="2269"/>
      <c r="T642" s="2269"/>
      <c r="U642" s="2269"/>
      <c r="V642" s="420"/>
    </row>
    <row r="643" spans="1:22" ht="6" customHeight="1">
      <c r="A643" s="420"/>
      <c r="B643" s="1140"/>
      <c r="C643" s="1140"/>
      <c r="D643" s="1140"/>
      <c r="E643" s="1140"/>
      <c r="F643" s="1140"/>
      <c r="G643" s="1140"/>
      <c r="H643" s="1140"/>
      <c r="I643" s="1140"/>
      <c r="J643" s="1140"/>
      <c r="K643" s="1140"/>
      <c r="L643" s="1140"/>
      <c r="M643" s="1140"/>
      <c r="N643" s="1140"/>
      <c r="O643" s="1140"/>
      <c r="Q643" s="1140"/>
      <c r="R643" s="1140"/>
      <c r="S643" s="1140"/>
      <c r="T643" s="1140"/>
      <c r="U643" s="1140"/>
      <c r="V643" s="420"/>
    </row>
    <row r="644" spans="1:22" ht="18" hidden="1" customHeight="1">
      <c r="A644" s="429"/>
      <c r="B644" s="2251"/>
      <c r="C644" s="2251"/>
      <c r="D644" s="2251"/>
      <c r="E644" s="2251"/>
      <c r="F644" s="2251"/>
      <c r="G644" s="2251"/>
      <c r="H644" s="2251"/>
      <c r="I644" s="2251"/>
      <c r="J644" s="2251"/>
      <c r="K644" s="2251"/>
      <c r="L644" s="2251"/>
      <c r="M644" s="2251"/>
      <c r="N644" s="2251"/>
      <c r="O644" s="2251"/>
      <c r="P644" s="2251"/>
      <c r="Q644" s="2251"/>
      <c r="R644" s="2251"/>
      <c r="S644" s="2251"/>
      <c r="T644" s="2251"/>
      <c r="U644" s="2251"/>
      <c r="V644" s="429"/>
    </row>
    <row r="645" spans="1:22" ht="23.25">
      <c r="A645" s="420"/>
      <c r="B645" s="2252" t="s">
        <v>513</v>
      </c>
      <c r="C645" s="2252"/>
      <c r="D645" s="2252"/>
      <c r="E645" s="2252"/>
      <c r="F645" s="2252"/>
      <c r="G645" s="2252"/>
      <c r="H645" s="2252"/>
      <c r="I645" s="2252"/>
      <c r="J645" s="2252"/>
      <c r="K645" s="2252"/>
      <c r="L645" s="1140"/>
      <c r="M645" s="1140"/>
      <c r="N645" s="1140"/>
      <c r="O645" s="1140"/>
      <c r="P645" s="1140"/>
      <c r="Q645" s="1140"/>
      <c r="R645" s="1140"/>
      <c r="S645" s="1140"/>
      <c r="T645" s="1140"/>
      <c r="U645" s="1140"/>
      <c r="V645" s="420"/>
    </row>
    <row r="646" spans="1:22" ht="24.75" customHeight="1">
      <c r="A646" s="420"/>
      <c r="B646" s="2260" t="s">
        <v>1373</v>
      </c>
      <c r="C646" s="2260"/>
      <c r="D646" s="2260"/>
      <c r="E646" s="2260"/>
      <c r="F646" s="2260"/>
      <c r="G646" s="2260"/>
      <c r="H646" s="2260"/>
      <c r="I646" s="2260"/>
      <c r="J646" s="2260"/>
      <c r="K646" s="2260"/>
      <c r="L646" s="2260"/>
      <c r="M646" s="2260"/>
      <c r="N646" s="2260"/>
      <c r="O646" s="2260"/>
      <c r="P646" s="2260"/>
      <c r="Q646" s="2260"/>
      <c r="R646" s="2260"/>
      <c r="S646" s="2260"/>
      <c r="T646" s="2260"/>
      <c r="U646" s="2260"/>
      <c r="V646" s="420"/>
    </row>
    <row r="647" spans="1:22" hidden="1">
      <c r="A647" s="420"/>
      <c r="V647" s="420"/>
    </row>
    <row r="648" spans="1:22" ht="29.45" customHeight="1">
      <c r="A648" s="420"/>
      <c r="B648" s="2251" t="s">
        <v>514</v>
      </c>
      <c r="C648" s="2251"/>
      <c r="D648" s="2251"/>
      <c r="E648" s="2251"/>
      <c r="F648" s="2251"/>
      <c r="G648" s="2251"/>
      <c r="H648" s="2251"/>
      <c r="I648" s="2251"/>
      <c r="J648" s="2251"/>
      <c r="K648" s="2251"/>
      <c r="L648" s="2251"/>
      <c r="M648" s="2251"/>
      <c r="N648" s="2251"/>
      <c r="O648" s="2251"/>
      <c r="P648" s="2251"/>
      <c r="Q648" s="2251"/>
      <c r="R648" s="2251"/>
      <c r="S648" s="2251"/>
      <c r="T648" s="2251"/>
      <c r="U648" s="2251"/>
      <c r="V648" s="420"/>
    </row>
    <row r="649" spans="1:22" ht="27.6" customHeight="1">
      <c r="A649" s="420"/>
      <c r="B649" s="2251" t="s">
        <v>1374</v>
      </c>
      <c r="C649" s="2251"/>
      <c r="D649" s="2251"/>
      <c r="E649" s="2251"/>
      <c r="F649" s="2251"/>
      <c r="G649" s="2251"/>
      <c r="H649" s="2251"/>
      <c r="I649" s="2251"/>
      <c r="J649" s="2251"/>
      <c r="K649" s="2251"/>
      <c r="L649" s="2251"/>
      <c r="M649" s="2251"/>
      <c r="N649" s="2251"/>
      <c r="O649" s="2251"/>
      <c r="P649" s="2251"/>
      <c r="Q649" s="2251"/>
      <c r="R649" s="2251"/>
      <c r="S649" s="2251"/>
      <c r="T649" s="2251"/>
      <c r="U649" s="2251"/>
      <c r="V649" s="420"/>
    </row>
    <row r="650" spans="1:22" ht="27.6" customHeight="1">
      <c r="A650" s="420"/>
      <c r="B650" s="2251" t="s">
        <v>1034</v>
      </c>
      <c r="C650" s="2251"/>
      <c r="D650" s="2251"/>
      <c r="E650" s="2251"/>
      <c r="F650" s="2251"/>
      <c r="G650" s="2251"/>
      <c r="H650" s="2251"/>
      <c r="I650" s="2251"/>
      <c r="J650" s="2251"/>
      <c r="K650" s="2251"/>
      <c r="L650" s="2251"/>
      <c r="M650" s="2251"/>
      <c r="N650" s="2251"/>
      <c r="O650" s="2251"/>
      <c r="P650" s="2251"/>
      <c r="Q650" s="2251"/>
      <c r="R650" s="2251"/>
      <c r="S650" s="2251"/>
      <c r="T650" s="2251"/>
      <c r="U650" s="2251"/>
      <c r="V650" s="420"/>
    </row>
    <row r="651" spans="1:22" ht="27.6" customHeight="1">
      <c r="A651" s="420"/>
      <c r="B651" s="1138"/>
      <c r="C651" s="2251" t="s">
        <v>2023</v>
      </c>
      <c r="D651" s="2251"/>
      <c r="E651" s="2251"/>
      <c r="F651" s="2251"/>
      <c r="G651" s="2251"/>
      <c r="H651" s="2251"/>
      <c r="I651" s="2251"/>
      <c r="J651" s="2251"/>
      <c r="K651" s="2251"/>
      <c r="L651" s="1138"/>
      <c r="M651" s="1138"/>
      <c r="N651" s="1138"/>
      <c r="O651" s="1138"/>
      <c r="P651" s="1138"/>
      <c r="Q651" s="1138"/>
      <c r="R651" s="1138"/>
      <c r="S651" s="1138"/>
      <c r="T651" s="1138"/>
      <c r="U651" s="1138"/>
      <c r="V651" s="420"/>
    </row>
    <row r="652" spans="1:22" ht="27.6" customHeight="1">
      <c r="A652" s="420"/>
      <c r="B652" s="1138"/>
      <c r="C652" s="2251" t="s">
        <v>1998</v>
      </c>
      <c r="D652" s="2251"/>
      <c r="E652" s="2251"/>
      <c r="F652" s="2251"/>
      <c r="G652" s="2251"/>
      <c r="H652" s="2251"/>
      <c r="I652" s="2251"/>
      <c r="J652" s="2251"/>
      <c r="K652" s="2251"/>
      <c r="L652" s="1138"/>
      <c r="M652" s="1138"/>
      <c r="N652" s="1138"/>
      <c r="O652" s="1138"/>
      <c r="P652" s="1138"/>
      <c r="Q652" s="1138"/>
      <c r="R652" s="1138"/>
      <c r="S652" s="1138"/>
      <c r="T652" s="1138"/>
      <c r="U652" s="1138"/>
      <c r="V652" s="420"/>
    </row>
    <row r="653" spans="1:22" ht="27.6" customHeight="1">
      <c r="A653" s="420"/>
      <c r="B653" s="1138"/>
      <c r="C653" s="2251" t="s">
        <v>1035</v>
      </c>
      <c r="D653" s="2251"/>
      <c r="E653" s="2251"/>
      <c r="F653" s="2251"/>
      <c r="G653" s="2251"/>
      <c r="H653" s="2251"/>
      <c r="I653" s="2251"/>
      <c r="J653" s="2251"/>
      <c r="K653" s="2251"/>
      <c r="L653" s="1138"/>
      <c r="M653" s="1138"/>
      <c r="N653" s="1138"/>
      <c r="O653" s="1138"/>
      <c r="P653" s="1138"/>
      <c r="Q653" s="1138"/>
      <c r="R653" s="1138"/>
      <c r="S653" s="1138"/>
      <c r="T653" s="1138"/>
      <c r="U653" s="1138"/>
      <c r="V653" s="420"/>
    </row>
    <row r="654" spans="1:22" ht="27.6" customHeight="1">
      <c r="A654" s="420"/>
      <c r="B654" s="2251" t="s">
        <v>1362</v>
      </c>
      <c r="C654" s="2251"/>
      <c r="D654" s="2251"/>
      <c r="E654" s="2251"/>
      <c r="F654" s="2251"/>
      <c r="G654" s="2251"/>
      <c r="H654" s="2251"/>
      <c r="I654" s="2251"/>
      <c r="J654" s="2251"/>
      <c r="K654" s="2251"/>
      <c r="L654" s="2251"/>
      <c r="M654" s="2251"/>
      <c r="N654" s="2251"/>
      <c r="O654" s="2251"/>
      <c r="P654" s="2251"/>
      <c r="Q654" s="2251"/>
      <c r="R654" s="2251"/>
      <c r="S654" s="2251"/>
      <c r="T654" s="2251"/>
      <c r="U654" s="2251"/>
      <c r="V654" s="420"/>
    </row>
    <row r="655" spans="1:22" ht="27.6" customHeight="1">
      <c r="A655" s="420"/>
      <c r="B655" s="2251" t="s">
        <v>1037</v>
      </c>
      <c r="C655" s="2251"/>
      <c r="D655" s="2251"/>
      <c r="E655" s="2251"/>
      <c r="F655" s="2251"/>
      <c r="G655" s="2251"/>
      <c r="H655" s="2251"/>
      <c r="I655" s="2251"/>
      <c r="J655" s="2251"/>
      <c r="K655" s="2251"/>
      <c r="L655" s="2251"/>
      <c r="M655" s="2251"/>
      <c r="N655" s="2251"/>
      <c r="O655" s="2251"/>
      <c r="P655" s="2251"/>
      <c r="Q655" s="2251"/>
      <c r="R655" s="2251"/>
      <c r="S655" s="2251"/>
      <c r="T655" s="2251"/>
      <c r="U655" s="2251"/>
      <c r="V655" s="420"/>
    </row>
    <row r="656" spans="1:22" ht="27.6" customHeight="1">
      <c r="A656" s="420"/>
      <c r="B656" s="2251" t="s">
        <v>1039</v>
      </c>
      <c r="C656" s="2251"/>
      <c r="D656" s="2251"/>
      <c r="E656" s="2251"/>
      <c r="F656" s="2251"/>
      <c r="G656" s="2251"/>
      <c r="H656" s="2251"/>
      <c r="I656" s="2251"/>
      <c r="J656" s="2251"/>
      <c r="K656" s="2251"/>
      <c r="L656" s="2251"/>
      <c r="M656" s="2251"/>
      <c r="N656" s="2251"/>
      <c r="O656" s="2251"/>
      <c r="P656" s="2251"/>
      <c r="Q656" s="2251"/>
      <c r="R656" s="2251"/>
      <c r="S656" s="2251"/>
      <c r="T656" s="2251"/>
      <c r="U656" s="2251"/>
      <c r="V656" s="420"/>
    </row>
    <row r="657" spans="1:22" ht="5.25" customHeight="1">
      <c r="A657" s="420"/>
      <c r="B657" s="2252"/>
      <c r="C657" s="2252"/>
      <c r="D657" s="2252"/>
      <c r="E657" s="2252"/>
      <c r="F657" s="2252"/>
      <c r="G657" s="2252"/>
      <c r="H657" s="2252"/>
      <c r="I657" s="2252"/>
      <c r="J657" s="2252"/>
      <c r="K657" s="2252"/>
      <c r="L657" s="1138"/>
      <c r="M657" s="1138"/>
      <c r="N657" s="1138"/>
      <c r="O657" s="1138"/>
      <c r="P657" s="1138"/>
      <c r="Q657" s="1138"/>
      <c r="R657" s="1138"/>
      <c r="S657" s="1138"/>
      <c r="T657" s="1138"/>
      <c r="U657" s="1138"/>
      <c r="V657" s="420"/>
    </row>
    <row r="658" spans="1:22" ht="23.25">
      <c r="A658" s="420"/>
      <c r="B658" s="2252" t="s">
        <v>1041</v>
      </c>
      <c r="C658" s="2252"/>
      <c r="D658" s="2252"/>
      <c r="E658" s="2252"/>
      <c r="F658" s="2252"/>
      <c r="G658" s="2252"/>
      <c r="H658" s="2252"/>
      <c r="I658" s="2252"/>
      <c r="J658" s="2252"/>
      <c r="K658" s="2252"/>
      <c r="L658" s="1138"/>
      <c r="M658" s="1138"/>
      <c r="N658" s="1138"/>
      <c r="O658" s="1138"/>
      <c r="P658" s="1138"/>
      <c r="Q658" s="1138"/>
      <c r="R658" s="1138"/>
      <c r="S658" s="1138"/>
      <c r="T658" s="1138"/>
      <c r="U658" s="1138"/>
      <c r="V658" s="420"/>
    </row>
    <row r="659" spans="1:22" ht="23.25">
      <c r="A659" s="420"/>
      <c r="B659" s="2251" t="s">
        <v>1375</v>
      </c>
      <c r="C659" s="2251"/>
      <c r="D659" s="2251"/>
      <c r="E659" s="2251"/>
      <c r="F659" s="2251"/>
      <c r="G659" s="2251"/>
      <c r="H659" s="2251"/>
      <c r="I659" s="2251"/>
      <c r="J659" s="2251"/>
      <c r="K659" s="2251"/>
      <c r="L659" s="2251"/>
      <c r="M659" s="2251"/>
      <c r="N659" s="2251"/>
      <c r="O659" s="2251"/>
      <c r="P659" s="2251"/>
      <c r="Q659" s="2251"/>
      <c r="R659" s="2251"/>
      <c r="S659" s="2251"/>
      <c r="T659" s="2251"/>
      <c r="U659" s="2251"/>
      <c r="V659" s="420"/>
    </row>
    <row r="660" spans="1:22" ht="23.25">
      <c r="A660" s="420"/>
      <c r="B660" s="2251" t="s">
        <v>1042</v>
      </c>
      <c r="C660" s="2251"/>
      <c r="D660" s="2251"/>
      <c r="E660" s="2251"/>
      <c r="F660" s="2251"/>
      <c r="G660" s="2251"/>
      <c r="H660" s="2251"/>
      <c r="I660" s="2251"/>
      <c r="J660" s="2251"/>
      <c r="K660" s="2251"/>
      <c r="L660" s="2251"/>
      <c r="M660" s="2251"/>
      <c r="N660" s="2251"/>
      <c r="O660" s="2251"/>
      <c r="P660" s="2251"/>
      <c r="Q660" s="2251"/>
      <c r="R660" s="2251"/>
      <c r="S660" s="2251"/>
      <c r="T660" s="2251"/>
      <c r="U660" s="2251"/>
      <c r="V660" s="420"/>
    </row>
    <row r="661" spans="1:22" ht="28.15" customHeight="1">
      <c r="A661" s="420"/>
      <c r="B661" s="2251" t="s">
        <v>1043</v>
      </c>
      <c r="C661" s="2251"/>
      <c r="D661" s="2251"/>
      <c r="E661" s="2251"/>
      <c r="F661" s="2251"/>
      <c r="G661" s="2251"/>
      <c r="H661" s="2251"/>
      <c r="I661" s="2251"/>
      <c r="J661" s="2251"/>
      <c r="K661" s="2251"/>
      <c r="L661" s="2251"/>
      <c r="M661" s="2251"/>
      <c r="N661" s="2251"/>
      <c r="O661" s="2251"/>
      <c r="P661" s="2251"/>
      <c r="Q661" s="2251"/>
      <c r="R661" s="2251"/>
      <c r="S661" s="2251"/>
      <c r="T661" s="2251"/>
      <c r="U661" s="2251"/>
      <c r="V661" s="420"/>
    </row>
    <row r="662" spans="1:22" ht="28.15" customHeight="1">
      <c r="A662" s="420"/>
      <c r="B662" s="2251" t="s">
        <v>1034</v>
      </c>
      <c r="C662" s="2251"/>
      <c r="D662" s="2251"/>
      <c r="E662" s="2251"/>
      <c r="F662" s="2251"/>
      <c r="G662" s="2251"/>
      <c r="H662" s="2251"/>
      <c r="I662" s="2251"/>
      <c r="J662" s="2251"/>
      <c r="K662" s="2251"/>
      <c r="L662" s="2251"/>
      <c r="M662" s="2251"/>
      <c r="N662" s="2251"/>
      <c r="O662" s="2251"/>
      <c r="P662" s="2251"/>
      <c r="Q662" s="2251"/>
      <c r="R662" s="2251"/>
      <c r="S662" s="2251"/>
      <c r="T662" s="2251"/>
      <c r="U662" s="2251"/>
      <c r="V662" s="420"/>
    </row>
    <row r="663" spans="1:22" ht="28.15" customHeight="1">
      <c r="A663" s="420"/>
      <c r="B663" s="1138"/>
      <c r="C663" s="2251" t="s">
        <v>2023</v>
      </c>
      <c r="D663" s="2251"/>
      <c r="E663" s="2251"/>
      <c r="F663" s="2251"/>
      <c r="G663" s="2251"/>
      <c r="H663" s="2251"/>
      <c r="I663" s="2251"/>
      <c r="J663" s="2251"/>
      <c r="K663" s="2251"/>
      <c r="L663" s="1138"/>
      <c r="M663" s="1138"/>
      <c r="N663" s="1138"/>
      <c r="O663" s="1138"/>
      <c r="P663" s="1138"/>
      <c r="Q663" s="1138"/>
      <c r="R663" s="1138"/>
      <c r="S663" s="1138"/>
      <c r="T663" s="1138"/>
      <c r="U663" s="1138"/>
      <c r="V663" s="420"/>
    </row>
    <row r="664" spans="1:22" ht="28.15" customHeight="1">
      <c r="A664" s="420"/>
      <c r="B664" s="1138"/>
      <c r="C664" s="2251" t="s">
        <v>1998</v>
      </c>
      <c r="D664" s="2251"/>
      <c r="E664" s="2251"/>
      <c r="F664" s="2251"/>
      <c r="G664" s="2251"/>
      <c r="H664" s="2251"/>
      <c r="I664" s="2251"/>
      <c r="J664" s="2251"/>
      <c r="K664" s="2251"/>
      <c r="L664" s="1138"/>
      <c r="M664" s="1138"/>
      <c r="N664" s="1138"/>
      <c r="O664" s="1138"/>
      <c r="P664" s="1138"/>
      <c r="Q664" s="1138"/>
      <c r="R664" s="1138"/>
      <c r="S664" s="1138"/>
      <c r="T664" s="1138"/>
      <c r="U664" s="1138"/>
      <c r="V664" s="420"/>
    </row>
    <row r="665" spans="1:22" ht="28.15" customHeight="1">
      <c r="A665" s="420"/>
      <c r="B665" s="1138"/>
      <c r="C665" s="2251" t="s">
        <v>1035</v>
      </c>
      <c r="D665" s="2251"/>
      <c r="E665" s="2251"/>
      <c r="F665" s="2251"/>
      <c r="G665" s="2251"/>
      <c r="H665" s="2251"/>
      <c r="I665" s="2251"/>
      <c r="J665" s="2251"/>
      <c r="K665" s="2251"/>
      <c r="L665" s="1138"/>
      <c r="M665" s="1138"/>
      <c r="N665" s="1138"/>
      <c r="O665" s="1138"/>
      <c r="P665" s="1138"/>
      <c r="Q665" s="1138"/>
      <c r="R665" s="1138"/>
      <c r="S665" s="1138"/>
      <c r="T665" s="1138"/>
      <c r="U665" s="1138"/>
      <c r="V665" s="420"/>
    </row>
    <row r="666" spans="1:22" ht="28.15" customHeight="1">
      <c r="A666" s="420"/>
      <c r="B666" s="2251" t="s">
        <v>1045</v>
      </c>
      <c r="C666" s="2251"/>
      <c r="D666" s="2251"/>
      <c r="E666" s="2251"/>
      <c r="F666" s="2251"/>
      <c r="G666" s="2251"/>
      <c r="H666" s="2251"/>
      <c r="I666" s="2251"/>
      <c r="J666" s="2251"/>
      <c r="K666" s="2251"/>
      <c r="L666" s="2251"/>
      <c r="M666" s="2251"/>
      <c r="N666" s="2251"/>
      <c r="O666" s="2251"/>
      <c r="P666" s="2251"/>
      <c r="Q666" s="2251"/>
      <c r="R666" s="2251"/>
      <c r="S666" s="2251"/>
      <c r="T666" s="2251"/>
      <c r="U666" s="2251"/>
      <c r="V666" s="420"/>
    </row>
    <row r="667" spans="1:22" ht="28.15" customHeight="1">
      <c r="A667" s="420"/>
      <c r="B667" s="2251" t="s">
        <v>1866</v>
      </c>
      <c r="C667" s="2251"/>
      <c r="D667" s="2251"/>
      <c r="E667" s="2251"/>
      <c r="F667" s="2251"/>
      <c r="G667" s="2251"/>
      <c r="H667" s="2251"/>
      <c r="I667" s="2251"/>
      <c r="J667" s="2251"/>
      <c r="K667" s="2251"/>
      <c r="L667" s="2251"/>
      <c r="M667" s="2251"/>
      <c r="N667" s="2251"/>
      <c r="O667" s="2251"/>
      <c r="P667" s="2251"/>
      <c r="Q667" s="2251"/>
      <c r="R667" s="2251"/>
      <c r="S667" s="2251"/>
      <c r="T667" s="2251"/>
      <c r="U667" s="2251"/>
      <c r="V667" s="420"/>
    </row>
    <row r="668" spans="1:22" ht="28.15" customHeight="1">
      <c r="A668" s="420"/>
      <c r="B668" s="2251" t="s">
        <v>1076</v>
      </c>
      <c r="C668" s="2251"/>
      <c r="D668" s="2251"/>
      <c r="E668" s="2251"/>
      <c r="F668" s="2251"/>
      <c r="G668" s="2251"/>
      <c r="H668" s="2251"/>
      <c r="I668" s="2251"/>
      <c r="J668" s="2251"/>
      <c r="K668" s="2251"/>
      <c r="L668" s="2251"/>
      <c r="M668" s="2251"/>
      <c r="N668" s="2251"/>
      <c r="O668" s="2251"/>
      <c r="P668" s="2251"/>
      <c r="Q668" s="2251"/>
      <c r="R668" s="2251"/>
      <c r="S668" s="2251"/>
      <c r="T668" s="2251"/>
      <c r="U668" s="2251"/>
      <c r="V668" s="420"/>
    </row>
    <row r="669" spans="1:22" ht="28.15" customHeight="1">
      <c r="A669" s="420"/>
      <c r="B669" s="2251" t="s">
        <v>1048</v>
      </c>
      <c r="C669" s="2251"/>
      <c r="D669" s="2251"/>
      <c r="E669" s="2251"/>
      <c r="F669" s="2251"/>
      <c r="G669" s="2251"/>
      <c r="H669" s="2251"/>
      <c r="I669" s="2251"/>
      <c r="J669" s="2251"/>
      <c r="K669" s="2251"/>
      <c r="L669" s="2251"/>
      <c r="M669" s="2251"/>
      <c r="N669" s="2251"/>
      <c r="O669" s="2251"/>
      <c r="P669" s="2251"/>
      <c r="Q669" s="2251"/>
      <c r="R669" s="2251"/>
      <c r="S669" s="2251"/>
      <c r="T669" s="2251"/>
      <c r="U669" s="2251"/>
      <c r="V669" s="420"/>
    </row>
    <row r="670" spans="1:22" ht="28.15" customHeight="1">
      <c r="A670" s="420"/>
      <c r="B670" s="2251" t="s">
        <v>1039</v>
      </c>
      <c r="C670" s="2251"/>
      <c r="D670" s="2251"/>
      <c r="E670" s="2251"/>
      <c r="F670" s="2251"/>
      <c r="G670" s="2251"/>
      <c r="H670" s="2251"/>
      <c r="I670" s="2251"/>
      <c r="J670" s="2251"/>
      <c r="K670" s="2251"/>
      <c r="L670" s="2251"/>
      <c r="M670" s="2251"/>
      <c r="N670" s="2251"/>
      <c r="O670" s="2251"/>
      <c r="P670" s="2251"/>
      <c r="Q670" s="2251"/>
      <c r="R670" s="2251"/>
      <c r="S670" s="2251"/>
      <c r="T670" s="2251"/>
      <c r="U670" s="2251"/>
      <c r="V670" s="420"/>
    </row>
    <row r="671" spans="1:22" ht="13.5" customHeight="1">
      <c r="A671" s="420"/>
      <c r="B671" s="1261"/>
      <c r="C671" s="1261"/>
      <c r="D671" s="1261"/>
      <c r="E671" s="1261"/>
      <c r="F671" s="1261"/>
      <c r="G671" s="1261"/>
      <c r="H671" s="1261"/>
      <c r="I671" s="1261"/>
      <c r="J671" s="1261"/>
      <c r="K671" s="1261"/>
      <c r="L671" s="1261"/>
      <c r="M671" s="1261"/>
      <c r="N671" s="1261"/>
      <c r="O671" s="1261"/>
      <c r="P671" s="1261"/>
      <c r="Q671" s="1261"/>
      <c r="R671" s="1261"/>
      <c r="S671" s="1261"/>
      <c r="T671" s="1261"/>
      <c r="U671" s="1261"/>
      <c r="V671" s="420"/>
    </row>
    <row r="672" spans="1:22" ht="53.25" customHeight="1">
      <c r="A672" s="420"/>
      <c r="B672" s="2253" t="s">
        <v>419</v>
      </c>
      <c r="C672" s="2254"/>
      <c r="D672" s="2254" t="s">
        <v>420</v>
      </c>
      <c r="E672" s="2254"/>
      <c r="F672" s="2254" t="s">
        <v>1365</v>
      </c>
      <c r="G672" s="2254"/>
      <c r="H672" s="1141" t="s">
        <v>421</v>
      </c>
      <c r="I672" s="1141" t="s">
        <v>422</v>
      </c>
      <c r="J672" s="2255" t="s">
        <v>423</v>
      </c>
      <c r="K672" s="2256"/>
      <c r="L672" s="2255" t="s">
        <v>424</v>
      </c>
      <c r="M672" s="2256"/>
      <c r="N672" s="2254" t="s">
        <v>1363</v>
      </c>
      <c r="O672" s="2254"/>
      <c r="P672" s="2254" t="s">
        <v>1364</v>
      </c>
      <c r="Q672" s="2254"/>
      <c r="R672" s="2254" t="s">
        <v>1291</v>
      </c>
      <c r="S672" s="2254"/>
      <c r="T672" s="1139" t="s">
        <v>1324</v>
      </c>
      <c r="U672" s="1141" t="s">
        <v>51</v>
      </c>
      <c r="V672" s="420"/>
    </row>
    <row r="673" spans="1:23" ht="29.1" customHeight="1">
      <c r="A673" s="420"/>
      <c r="B673" s="2272" t="str">
        <f>IF(Perfiles_usuario!B138=0,"",Perfiles_usuario!B138)</f>
        <v>OFICINA</v>
      </c>
      <c r="C673" s="2259"/>
      <c r="D673" s="2259" t="str">
        <f>IF(Perfiles_usuario!D138=0,"",Perfiles_usuario!D138)</f>
        <v>Conecta 2A</v>
      </c>
      <c r="E673" s="2259"/>
      <c r="F673" s="2259" t="str">
        <f>IF(Perfiles_usuario!F138=0,"",Perfiles_usuario!F138)</f>
        <v/>
      </c>
      <c r="G673" s="2259"/>
      <c r="H673" s="1375" t="str">
        <f>IF(Perfiles_usuario!P138=0,"",Perfiles_usuario!P138)</f>
        <v/>
      </c>
      <c r="I673" s="1375" t="str">
        <f>IF(Perfiles_usuario!R138=0,"",Perfiles_usuario!R138)</f>
        <v/>
      </c>
      <c r="J673" s="2259" t="str">
        <f>IF(Perfiles_usuario!T138=0,"",Perfiles_usuario!T138)</f>
        <v/>
      </c>
      <c r="K673" s="2259"/>
      <c r="L673" s="2259" t="str">
        <f>IF(Perfiles_usuario!V138=0,"",Perfiles_usuario!V138)</f>
        <v/>
      </c>
      <c r="M673" s="2259"/>
      <c r="N673" s="2271" t="str">
        <f>IF(Perfiles_usuario!H138=0,"",Perfiles_usuario!H138)</f>
        <v/>
      </c>
      <c r="O673" s="2271"/>
      <c r="P673" s="2271" t="str">
        <f>IF(Perfiles_usuario!J138=0,"",Perfiles_usuario!J138)</f>
        <v/>
      </c>
      <c r="Q673" s="2271"/>
      <c r="R673" s="2271" t="str">
        <f>IF(Perfiles_usuario!L138=0,"",Perfiles_usuario!L138)</f>
        <v/>
      </c>
      <c r="S673" s="2271"/>
      <c r="T673" s="1375" t="str">
        <f>IF(Perfiles_usuario!N138=0,"",Perfiles_usuario!N138)</f>
        <v/>
      </c>
      <c r="U673" s="1373">
        <f>Perfiles_usuario!X138</f>
        <v>44.95</v>
      </c>
      <c r="V673" s="420"/>
      <c r="W673" s="441"/>
    </row>
    <row r="674" spans="1:23" ht="29.1" customHeight="1">
      <c r="A674" s="420"/>
      <c r="B674" s="2272" t="str">
        <f>IF(Perfiles_usuario!B140=0,"",Perfiles_usuario!B140)</f>
        <v/>
      </c>
      <c r="C674" s="2259"/>
      <c r="D674" s="2259" t="str">
        <f>IF(Perfiles_usuario!D140=0,"",Perfiles_usuario!D140)</f>
        <v/>
      </c>
      <c r="E674" s="2259"/>
      <c r="F674" s="2259" t="str">
        <f>IF(Perfiles_usuario!F140=0,"",Perfiles_usuario!F140)</f>
        <v/>
      </c>
      <c r="G674" s="2259"/>
      <c r="H674" s="1375" t="str">
        <f>IF(Perfiles_usuario!P140=0,"",Perfiles_usuario!P140)</f>
        <v/>
      </c>
      <c r="I674" s="1375" t="str">
        <f>IF(Perfiles_usuario!R140=0,"",Perfiles_usuario!R140)</f>
        <v/>
      </c>
      <c r="J674" s="2259" t="str">
        <f>IF(Perfiles_usuario!T140=0,"",Perfiles_usuario!T140)</f>
        <v/>
      </c>
      <c r="K674" s="2259"/>
      <c r="L674" s="2259" t="str">
        <f>IF(Perfiles_usuario!V140=0,"",Perfiles_usuario!V140)</f>
        <v/>
      </c>
      <c r="M674" s="2259"/>
      <c r="N674" s="2271" t="str">
        <f>IF(Perfiles_usuario!H140=0,"",Perfiles_usuario!H140)</f>
        <v/>
      </c>
      <c r="O674" s="2271"/>
      <c r="P674" s="2271" t="str">
        <f>IF(Perfiles_usuario!J140=0,"",Perfiles_usuario!J140)</f>
        <v/>
      </c>
      <c r="Q674" s="2271"/>
      <c r="R674" s="2271" t="str">
        <f>IF(Perfiles_usuario!L140=0,"",Perfiles_usuario!L140)</f>
        <v/>
      </c>
      <c r="S674" s="2271"/>
      <c r="T674" s="1375" t="str">
        <f>IF(Perfiles_usuario!N140=0,"",Perfiles_usuario!N140)</f>
        <v/>
      </c>
      <c r="U674" s="1373">
        <f>Perfiles_usuario!X140</f>
        <v>0</v>
      </c>
      <c r="V674" s="420"/>
      <c r="W674" s="441"/>
    </row>
    <row r="675" spans="1:23" ht="29.1" customHeight="1">
      <c r="A675" s="420"/>
      <c r="B675" s="2272" t="str">
        <f>IF(Perfiles_usuario!B142=0,"",Perfiles_usuario!B142)</f>
        <v/>
      </c>
      <c r="C675" s="2259"/>
      <c r="D675" s="2259" t="str">
        <f>IF(Perfiles_usuario!D142=0,"",Perfiles_usuario!D142)</f>
        <v/>
      </c>
      <c r="E675" s="2259"/>
      <c r="F675" s="2259" t="str">
        <f>IF(Perfiles_usuario!F142=0,"",Perfiles_usuario!F142)</f>
        <v/>
      </c>
      <c r="G675" s="2259"/>
      <c r="H675" s="1375" t="str">
        <f>IF(Perfiles_usuario!P142=0,"",Perfiles_usuario!P142)</f>
        <v/>
      </c>
      <c r="I675" s="1375" t="str">
        <f>IF(Perfiles_usuario!R142=0,"",Perfiles_usuario!R142)</f>
        <v/>
      </c>
      <c r="J675" s="2259" t="str">
        <f>IF(Perfiles_usuario!T142=0,"",Perfiles_usuario!T142)</f>
        <v/>
      </c>
      <c r="K675" s="2259"/>
      <c r="L675" s="2259" t="str">
        <f>IF(Perfiles_usuario!V142=0,"",Perfiles_usuario!V142)</f>
        <v/>
      </c>
      <c r="M675" s="2259"/>
      <c r="N675" s="2271" t="str">
        <f>IF(Perfiles_usuario!H142=0,"",Perfiles_usuario!H142)</f>
        <v/>
      </c>
      <c r="O675" s="2271"/>
      <c r="P675" s="2271" t="str">
        <f>IF(Perfiles_usuario!J142=0,"",Perfiles_usuario!J142)</f>
        <v/>
      </c>
      <c r="Q675" s="2271"/>
      <c r="R675" s="2271" t="str">
        <f>IF(Perfiles_usuario!L142=0,"",Perfiles_usuario!L142)</f>
        <v/>
      </c>
      <c r="S675" s="2271"/>
      <c r="T675" s="1375" t="str">
        <f>IF(Perfiles_usuario!N142=0,"",Perfiles_usuario!N142)</f>
        <v/>
      </c>
      <c r="U675" s="1373">
        <f>Perfiles_usuario!X142</f>
        <v>0</v>
      </c>
      <c r="V675" s="420"/>
      <c r="W675" s="441"/>
    </row>
    <row r="676" spans="1:23" ht="29.1" customHeight="1">
      <c r="A676" s="420"/>
      <c r="B676" s="2272" t="str">
        <f>IF(Perfiles_usuario!B144=0,"",Perfiles_usuario!B144)</f>
        <v/>
      </c>
      <c r="C676" s="2259"/>
      <c r="D676" s="2259" t="str">
        <f>IF(Perfiles_usuario!D144=0,"",Perfiles_usuario!D144)</f>
        <v/>
      </c>
      <c r="E676" s="2259"/>
      <c r="F676" s="2259" t="str">
        <f>IF(Perfiles_usuario!F144=0,"",Perfiles_usuario!F144)</f>
        <v/>
      </c>
      <c r="G676" s="2259"/>
      <c r="H676" s="1375" t="str">
        <f>IF(Perfiles_usuario!P144=0,"",Perfiles_usuario!P144)</f>
        <v/>
      </c>
      <c r="I676" s="1375" t="str">
        <f>IF(Perfiles_usuario!R144=0,"",Perfiles_usuario!R144)</f>
        <v/>
      </c>
      <c r="J676" s="2259" t="str">
        <f>IF(Perfiles_usuario!T144=0,"",Perfiles_usuario!T144)</f>
        <v/>
      </c>
      <c r="K676" s="2259"/>
      <c r="L676" s="2259" t="str">
        <f>IF(Perfiles_usuario!V144=0,"",Perfiles_usuario!V144)</f>
        <v/>
      </c>
      <c r="M676" s="2259"/>
      <c r="N676" s="2271" t="str">
        <f>IF(Perfiles_usuario!H144=0,"",Perfiles_usuario!H144)</f>
        <v/>
      </c>
      <c r="O676" s="2271"/>
      <c r="P676" s="2271" t="str">
        <f>IF(Perfiles_usuario!J144=0,"",Perfiles_usuario!J144)</f>
        <v/>
      </c>
      <c r="Q676" s="2271"/>
      <c r="R676" s="2271" t="str">
        <f>IF(Perfiles_usuario!L144=0,"",Perfiles_usuario!L144)</f>
        <v/>
      </c>
      <c r="S676" s="2271"/>
      <c r="T676" s="1375" t="str">
        <f>IF(Perfiles_usuario!N144=0,"",Perfiles_usuario!N144)</f>
        <v/>
      </c>
      <c r="U676" s="1373">
        <f>Perfiles_usuario!X144</f>
        <v>0</v>
      </c>
      <c r="V676" s="420"/>
      <c r="W676" s="441"/>
    </row>
    <row r="677" spans="1:23" ht="29.1" customHeight="1">
      <c r="A677" s="420"/>
      <c r="B677" s="2272" t="str">
        <f>IF(Perfiles_usuario!B146=0,"",Perfiles_usuario!B146)</f>
        <v/>
      </c>
      <c r="C677" s="2259"/>
      <c r="D677" s="2259" t="str">
        <f>IF(Perfiles_usuario!D146=0,"",Perfiles_usuario!D146)</f>
        <v/>
      </c>
      <c r="E677" s="2259"/>
      <c r="F677" s="2259" t="str">
        <f>IF(Perfiles_usuario!F146=0,"",Perfiles_usuario!F146)</f>
        <v/>
      </c>
      <c r="G677" s="2259"/>
      <c r="H677" s="1375" t="str">
        <f>IF(Perfiles_usuario!P146=0,"",Perfiles_usuario!P146)</f>
        <v/>
      </c>
      <c r="I677" s="1375" t="str">
        <f>IF(Perfiles_usuario!R146=0,"",Perfiles_usuario!R146)</f>
        <v/>
      </c>
      <c r="J677" s="2259" t="str">
        <f>IF(Perfiles_usuario!T146=0,"",Perfiles_usuario!T146)</f>
        <v/>
      </c>
      <c r="K677" s="2259"/>
      <c r="L677" s="2259" t="str">
        <f>IF(Perfiles_usuario!V146=0,"",Perfiles_usuario!V146)</f>
        <v/>
      </c>
      <c r="M677" s="2259"/>
      <c r="N677" s="2271" t="str">
        <f>IF(Perfiles_usuario!H146=0,"",Perfiles_usuario!H146)</f>
        <v/>
      </c>
      <c r="O677" s="2271"/>
      <c r="P677" s="2271" t="str">
        <f>IF(Perfiles_usuario!J146=0,"",Perfiles_usuario!J146)</f>
        <v/>
      </c>
      <c r="Q677" s="2271"/>
      <c r="R677" s="2271" t="str">
        <f>IF(Perfiles_usuario!L146=0,"",Perfiles_usuario!L146)</f>
        <v/>
      </c>
      <c r="S677" s="2271"/>
      <c r="T677" s="1375" t="str">
        <f>IF(Perfiles_usuario!N146=0,"",Perfiles_usuario!N146)</f>
        <v/>
      </c>
      <c r="U677" s="1373">
        <f>Perfiles_usuario!X146</f>
        <v>0</v>
      </c>
      <c r="V677" s="420"/>
      <c r="W677" s="441"/>
    </row>
    <row r="678" spans="1:23" ht="29.1" customHeight="1">
      <c r="A678" s="420"/>
      <c r="B678" s="2272" t="str">
        <f>IF(Perfiles_usuario!B148=0,"",Perfiles_usuario!B148)</f>
        <v/>
      </c>
      <c r="C678" s="2259"/>
      <c r="D678" s="2259" t="str">
        <f>IF(Perfiles_usuario!D148=0,"",Perfiles_usuario!D148)</f>
        <v/>
      </c>
      <c r="E678" s="2259"/>
      <c r="F678" s="2259" t="str">
        <f>IF(Perfiles_usuario!F148=0,"",Perfiles_usuario!F148)</f>
        <v/>
      </c>
      <c r="G678" s="2259"/>
      <c r="H678" s="1375" t="str">
        <f>IF(Perfiles_usuario!P148=0,"",Perfiles_usuario!P148)</f>
        <v/>
      </c>
      <c r="I678" s="1375" t="str">
        <f>IF(Perfiles_usuario!R148=0,"",Perfiles_usuario!R148)</f>
        <v/>
      </c>
      <c r="J678" s="2259" t="str">
        <f>IF(Perfiles_usuario!T148=0,"",Perfiles_usuario!T148)</f>
        <v/>
      </c>
      <c r="K678" s="2259"/>
      <c r="L678" s="2259" t="str">
        <f>IF(Perfiles_usuario!V148=0,"",Perfiles_usuario!V148)</f>
        <v/>
      </c>
      <c r="M678" s="2259"/>
      <c r="N678" s="2271" t="str">
        <f>IF(Perfiles_usuario!H148=0,"",Perfiles_usuario!H148)</f>
        <v/>
      </c>
      <c r="O678" s="2271"/>
      <c r="P678" s="2271" t="str">
        <f>IF(Perfiles_usuario!J148=0,"",Perfiles_usuario!J148)</f>
        <v/>
      </c>
      <c r="Q678" s="2271"/>
      <c r="R678" s="2271" t="str">
        <f>IF(Perfiles_usuario!L148=0,"",Perfiles_usuario!L148)</f>
        <v/>
      </c>
      <c r="S678" s="2271"/>
      <c r="T678" s="1375" t="str">
        <f>IF(Perfiles_usuario!N148=0,"",Perfiles_usuario!N148)</f>
        <v/>
      </c>
      <c r="U678" s="1373">
        <f>Perfiles_usuario!X148</f>
        <v>0</v>
      </c>
      <c r="V678" s="420"/>
      <c r="W678" s="441"/>
    </row>
    <row r="679" spans="1:23" ht="29.1" customHeight="1">
      <c r="A679" s="420"/>
      <c r="B679" s="2272" t="str">
        <f>IF(Perfiles_usuario!B150=0,"",Perfiles_usuario!B150)</f>
        <v/>
      </c>
      <c r="C679" s="2259"/>
      <c r="D679" s="2259" t="str">
        <f>IF(Perfiles_usuario!D150=0,"",Perfiles_usuario!D150)</f>
        <v/>
      </c>
      <c r="E679" s="2259"/>
      <c r="F679" s="2259" t="str">
        <f>IF(Perfiles_usuario!F150=0,"",Perfiles_usuario!F150)</f>
        <v/>
      </c>
      <c r="G679" s="2259"/>
      <c r="H679" s="1375" t="str">
        <f>IF(Perfiles_usuario!P150=0,"",Perfiles_usuario!P150)</f>
        <v/>
      </c>
      <c r="I679" s="1375" t="str">
        <f>IF(Perfiles_usuario!R150=0,"",Perfiles_usuario!R150)</f>
        <v/>
      </c>
      <c r="J679" s="2259" t="str">
        <f>IF(Perfiles_usuario!T150=0,"",Perfiles_usuario!T150)</f>
        <v/>
      </c>
      <c r="K679" s="2259"/>
      <c r="L679" s="2259" t="str">
        <f>IF(Perfiles_usuario!V150=0,"",Perfiles_usuario!V150)</f>
        <v/>
      </c>
      <c r="M679" s="2259"/>
      <c r="N679" s="2271" t="str">
        <f>IF(Perfiles_usuario!H150=0,"",Perfiles_usuario!H150)</f>
        <v/>
      </c>
      <c r="O679" s="2271"/>
      <c r="P679" s="2271" t="str">
        <f>IF(Perfiles_usuario!J150=0,"",Perfiles_usuario!J150)</f>
        <v/>
      </c>
      <c r="Q679" s="2271"/>
      <c r="R679" s="2271" t="str">
        <f>IF(Perfiles_usuario!L150=0,"",Perfiles_usuario!L150)</f>
        <v/>
      </c>
      <c r="S679" s="2271"/>
      <c r="T679" s="1375" t="str">
        <f>IF(Perfiles_usuario!N150=0,"",Perfiles_usuario!N150)</f>
        <v/>
      </c>
      <c r="U679" s="1373">
        <f>Perfiles_usuario!X150</f>
        <v>0</v>
      </c>
      <c r="V679" s="420"/>
      <c r="W679" s="441"/>
    </row>
    <row r="680" spans="1:23" ht="29.1" customHeight="1">
      <c r="A680" s="420"/>
      <c r="B680" s="2272" t="str">
        <f>IF(Perfiles_usuario!B152=0,"",Perfiles_usuario!B152)</f>
        <v/>
      </c>
      <c r="C680" s="2259"/>
      <c r="D680" s="2259" t="str">
        <f>IF(Perfiles_usuario!D152=0,"",Perfiles_usuario!D152)</f>
        <v/>
      </c>
      <c r="E680" s="2259"/>
      <c r="F680" s="2259" t="str">
        <f>IF(Perfiles_usuario!F152=0,"",Perfiles_usuario!F152)</f>
        <v/>
      </c>
      <c r="G680" s="2259"/>
      <c r="H680" s="1375" t="str">
        <f>IF(Perfiles_usuario!P152=0,"",Perfiles_usuario!P152)</f>
        <v/>
      </c>
      <c r="I680" s="1375" t="str">
        <f>IF(Perfiles_usuario!R152=0,"",Perfiles_usuario!R152)</f>
        <v/>
      </c>
      <c r="J680" s="2259" t="str">
        <f>IF(Perfiles_usuario!T152=0,"",Perfiles_usuario!T152)</f>
        <v/>
      </c>
      <c r="K680" s="2259"/>
      <c r="L680" s="2259" t="str">
        <f>IF(Perfiles_usuario!V152=0,"",Perfiles_usuario!V152)</f>
        <v/>
      </c>
      <c r="M680" s="2259"/>
      <c r="N680" s="2271" t="str">
        <f>IF(Perfiles_usuario!H152=0,"",Perfiles_usuario!H152)</f>
        <v/>
      </c>
      <c r="O680" s="2271"/>
      <c r="P680" s="2271" t="str">
        <f>IF(Perfiles_usuario!J152=0,"",Perfiles_usuario!J152)</f>
        <v/>
      </c>
      <c r="Q680" s="2271"/>
      <c r="R680" s="2271" t="str">
        <f>IF(Perfiles_usuario!L152=0,"",Perfiles_usuario!L152)</f>
        <v/>
      </c>
      <c r="S680" s="2271"/>
      <c r="T680" s="1375" t="str">
        <f>IF(Perfiles_usuario!N152=0,"",Perfiles_usuario!N152)</f>
        <v/>
      </c>
      <c r="U680" s="1373">
        <f>Perfiles_usuario!X152</f>
        <v>0</v>
      </c>
      <c r="V680" s="420"/>
      <c r="W680" s="441"/>
    </row>
    <row r="681" spans="1:23" ht="29.1" customHeight="1">
      <c r="A681" s="420"/>
      <c r="B681" s="2272" t="str">
        <f>IF(Perfiles_usuario!B154=0,"",Perfiles_usuario!B154)</f>
        <v/>
      </c>
      <c r="C681" s="2259"/>
      <c r="D681" s="2259" t="str">
        <f>IF(Perfiles_usuario!D154=0,"",Perfiles_usuario!D154)</f>
        <v/>
      </c>
      <c r="E681" s="2259"/>
      <c r="F681" s="2259" t="str">
        <f>IF(Perfiles_usuario!F154=0,"",Perfiles_usuario!F154)</f>
        <v/>
      </c>
      <c r="G681" s="2259"/>
      <c r="H681" s="1375" t="str">
        <f>IF(Perfiles_usuario!P154=0,"",Perfiles_usuario!P154)</f>
        <v/>
      </c>
      <c r="I681" s="1375" t="str">
        <f>IF(Perfiles_usuario!R154=0,"",Perfiles_usuario!R154)</f>
        <v/>
      </c>
      <c r="J681" s="2259" t="str">
        <f>IF(Perfiles_usuario!T154=0,"",Perfiles_usuario!T154)</f>
        <v/>
      </c>
      <c r="K681" s="2259"/>
      <c r="L681" s="2259" t="str">
        <f>IF(Perfiles_usuario!V154=0,"",Perfiles_usuario!V154)</f>
        <v/>
      </c>
      <c r="M681" s="2259"/>
      <c r="N681" s="2271" t="str">
        <f>IF(Perfiles_usuario!H154=0,"",Perfiles_usuario!H154)</f>
        <v/>
      </c>
      <c r="O681" s="2271"/>
      <c r="P681" s="2271" t="str">
        <f>IF(Perfiles_usuario!J154=0,"",Perfiles_usuario!J154)</f>
        <v/>
      </c>
      <c r="Q681" s="2271"/>
      <c r="R681" s="2271" t="str">
        <f>IF(Perfiles_usuario!L154=0,"",Perfiles_usuario!L154)</f>
        <v/>
      </c>
      <c r="S681" s="2271"/>
      <c r="T681" s="1375" t="str">
        <f>IF(Perfiles_usuario!N154=0,"",Perfiles_usuario!N154)</f>
        <v/>
      </c>
      <c r="U681" s="1373">
        <f>Perfiles_usuario!X154</f>
        <v>0</v>
      </c>
      <c r="V681" s="420"/>
      <c r="W681" s="441"/>
    </row>
    <row r="682" spans="1:23" ht="29.1" customHeight="1">
      <c r="A682" s="420"/>
      <c r="B682" s="2272" t="str">
        <f>IF(Perfiles_usuario!B156=0,"",Perfiles_usuario!B156)</f>
        <v/>
      </c>
      <c r="C682" s="2259"/>
      <c r="D682" s="2259" t="str">
        <f>IF(Perfiles_usuario!D156=0,"",Perfiles_usuario!D156)</f>
        <v/>
      </c>
      <c r="E682" s="2259"/>
      <c r="F682" s="2259" t="str">
        <f>IF(Perfiles_usuario!F156=0,"",Perfiles_usuario!F156)</f>
        <v/>
      </c>
      <c r="G682" s="2259"/>
      <c r="H682" s="1375" t="str">
        <f>IF(Perfiles_usuario!P156=0,"",Perfiles_usuario!P156)</f>
        <v/>
      </c>
      <c r="I682" s="1375" t="str">
        <f>IF(Perfiles_usuario!R156=0,"",Perfiles_usuario!R156)</f>
        <v/>
      </c>
      <c r="J682" s="2259" t="str">
        <f>IF(Perfiles_usuario!T156=0,"",Perfiles_usuario!T156)</f>
        <v/>
      </c>
      <c r="K682" s="2259"/>
      <c r="L682" s="2259" t="str">
        <f>IF(Perfiles_usuario!V156=0,"",Perfiles_usuario!V156)</f>
        <v/>
      </c>
      <c r="M682" s="2259"/>
      <c r="N682" s="2271" t="str">
        <f>IF(Perfiles_usuario!H156=0,"",Perfiles_usuario!H156)</f>
        <v/>
      </c>
      <c r="O682" s="2271"/>
      <c r="P682" s="2271" t="str">
        <f>IF(Perfiles_usuario!J156=0,"",Perfiles_usuario!J156)</f>
        <v/>
      </c>
      <c r="Q682" s="2271"/>
      <c r="R682" s="2271" t="str">
        <f>IF(Perfiles_usuario!L156=0,"",Perfiles_usuario!L156)</f>
        <v/>
      </c>
      <c r="S682" s="2271"/>
      <c r="T682" s="1375" t="str">
        <f>IF(Perfiles_usuario!N156=0,"",Perfiles_usuario!N156)</f>
        <v/>
      </c>
      <c r="U682" s="1373">
        <f>Perfiles_usuario!X156</f>
        <v>0</v>
      </c>
      <c r="V682" s="420"/>
      <c r="W682" s="441"/>
    </row>
    <row r="683" spans="1:23" ht="29.1" customHeight="1">
      <c r="A683" s="420"/>
      <c r="B683" s="2272" t="str">
        <f>IF(Perfiles_usuario!B158=0,"",Perfiles_usuario!B158)</f>
        <v/>
      </c>
      <c r="C683" s="2259"/>
      <c r="D683" s="2259" t="str">
        <f>IF(Perfiles_usuario!D158=0,"",Perfiles_usuario!D158)</f>
        <v/>
      </c>
      <c r="E683" s="2259"/>
      <c r="F683" s="2259" t="str">
        <f>IF(Perfiles_usuario!F158=0,"",Perfiles_usuario!F158)</f>
        <v/>
      </c>
      <c r="G683" s="2259"/>
      <c r="H683" s="1375" t="str">
        <f>IF(Perfiles_usuario!P158=0,"",Perfiles_usuario!P158)</f>
        <v/>
      </c>
      <c r="I683" s="1375" t="str">
        <f>IF(Perfiles_usuario!R158=0,"",Perfiles_usuario!R158)</f>
        <v/>
      </c>
      <c r="J683" s="2259" t="str">
        <f>IF(Perfiles_usuario!T158=0,"",Perfiles_usuario!T158)</f>
        <v/>
      </c>
      <c r="K683" s="2259"/>
      <c r="L683" s="2259" t="str">
        <f>IF(Perfiles_usuario!V158=0,"",Perfiles_usuario!V158)</f>
        <v/>
      </c>
      <c r="M683" s="2259"/>
      <c r="N683" s="2271" t="str">
        <f>IF(Perfiles_usuario!H158=0,"",Perfiles_usuario!H158)</f>
        <v/>
      </c>
      <c r="O683" s="2271"/>
      <c r="P683" s="2271" t="str">
        <f>IF(Perfiles_usuario!J158=0,"",Perfiles_usuario!J158)</f>
        <v/>
      </c>
      <c r="Q683" s="2271"/>
      <c r="R683" s="2271" t="str">
        <f>IF(Perfiles_usuario!L158=0,"",Perfiles_usuario!L158)</f>
        <v/>
      </c>
      <c r="S683" s="2271"/>
      <c r="T683" s="1375" t="str">
        <f>IF(Perfiles_usuario!N158=0,"",Perfiles_usuario!N158)</f>
        <v/>
      </c>
      <c r="U683" s="1373">
        <f>Perfiles_usuario!X158</f>
        <v>0</v>
      </c>
      <c r="V683" s="420"/>
      <c r="W683" s="441"/>
    </row>
    <row r="684" spans="1:23" ht="29.1" customHeight="1">
      <c r="A684" s="441"/>
      <c r="B684" s="2272" t="str">
        <f>IF(Perfiles_usuario!B160=0,"",Perfiles_usuario!B160)</f>
        <v/>
      </c>
      <c r="C684" s="2259"/>
      <c r="D684" s="2259" t="str">
        <f>IF(Perfiles_usuario!D160=0,"",Perfiles_usuario!D160)</f>
        <v/>
      </c>
      <c r="E684" s="2259"/>
      <c r="F684" s="2259" t="str">
        <f>IF(Perfiles_usuario!F160=0,"",Perfiles_usuario!F160)</f>
        <v/>
      </c>
      <c r="G684" s="2259"/>
      <c r="H684" s="1375" t="str">
        <f>IF(Perfiles_usuario!P160=0,"",Perfiles_usuario!P160)</f>
        <v/>
      </c>
      <c r="I684" s="1375" t="str">
        <f>IF(Perfiles_usuario!R160=0,"",Perfiles_usuario!R160)</f>
        <v/>
      </c>
      <c r="J684" s="2259" t="str">
        <f>IF(Perfiles_usuario!T160=0,"",Perfiles_usuario!T160)</f>
        <v/>
      </c>
      <c r="K684" s="2259"/>
      <c r="L684" s="2259" t="str">
        <f>IF(Perfiles_usuario!V160=0,"",Perfiles_usuario!V160)</f>
        <v/>
      </c>
      <c r="M684" s="2259"/>
      <c r="N684" s="2271" t="str">
        <f>IF(Perfiles_usuario!H160=0,"",Perfiles_usuario!H160)</f>
        <v/>
      </c>
      <c r="O684" s="2271"/>
      <c r="P684" s="2271" t="str">
        <f>IF(Perfiles_usuario!J160=0,"",Perfiles_usuario!J160)</f>
        <v/>
      </c>
      <c r="Q684" s="2271"/>
      <c r="R684" s="2271" t="str">
        <f>IF(Perfiles_usuario!L160=0,"",Perfiles_usuario!L160)</f>
        <v/>
      </c>
      <c r="S684" s="2271"/>
      <c r="T684" s="1375" t="str">
        <f>IF(Perfiles_usuario!N160=0,"",Perfiles_usuario!N160)</f>
        <v/>
      </c>
      <c r="U684" s="1373">
        <f>Perfiles_usuario!X160</f>
        <v>0</v>
      </c>
      <c r="V684" s="441"/>
      <c r="W684" s="441"/>
    </row>
    <row r="685" spans="1:23" ht="29.1" customHeight="1">
      <c r="B685" s="2272" t="str">
        <f>IF(Perfiles_usuario!B162=0,"",Perfiles_usuario!B162)</f>
        <v/>
      </c>
      <c r="C685" s="2259"/>
      <c r="D685" s="2259" t="str">
        <f>IF(Perfiles_usuario!D162=0,"",Perfiles_usuario!D162)</f>
        <v/>
      </c>
      <c r="E685" s="2259"/>
      <c r="F685" s="2259" t="str">
        <f>IF(Perfiles_usuario!F162=0,"",Perfiles_usuario!F162)</f>
        <v/>
      </c>
      <c r="G685" s="2259"/>
      <c r="H685" s="1375" t="str">
        <f>IF(Perfiles_usuario!P162=0,"",Perfiles_usuario!P162)</f>
        <v/>
      </c>
      <c r="I685" s="1375" t="str">
        <f>IF(Perfiles_usuario!R162=0,"",Perfiles_usuario!R162)</f>
        <v/>
      </c>
      <c r="J685" s="2259" t="str">
        <f>IF(Perfiles_usuario!T162=0,"",Perfiles_usuario!T162)</f>
        <v/>
      </c>
      <c r="K685" s="2259"/>
      <c r="L685" s="2259" t="str">
        <f>IF(Perfiles_usuario!V162=0,"",Perfiles_usuario!V162)</f>
        <v/>
      </c>
      <c r="M685" s="2259"/>
      <c r="N685" s="2271" t="str">
        <f>IF(Perfiles_usuario!H162=0,"",Perfiles_usuario!H162)</f>
        <v/>
      </c>
      <c r="O685" s="2271"/>
      <c r="P685" s="2271" t="str">
        <f>IF(Perfiles_usuario!J162=0,"",Perfiles_usuario!J162)</f>
        <v/>
      </c>
      <c r="Q685" s="2271"/>
      <c r="R685" s="2271" t="str">
        <f>IF(Perfiles_usuario!L162=0,"",Perfiles_usuario!L162)</f>
        <v/>
      </c>
      <c r="S685" s="2271"/>
      <c r="T685" s="1375" t="str">
        <f>IF(Perfiles_usuario!N162=0,"",Perfiles_usuario!N162)</f>
        <v/>
      </c>
      <c r="U685" s="1373">
        <f>Perfiles_usuario!X162</f>
        <v>0</v>
      </c>
      <c r="V685" s="441"/>
      <c r="W685" s="441"/>
    </row>
    <row r="686" spans="1:23" ht="29.1" customHeight="1">
      <c r="B686" s="2272" t="str">
        <f>IF(Perfiles_usuario!B164=0,"",Perfiles_usuario!B164)</f>
        <v/>
      </c>
      <c r="C686" s="2259"/>
      <c r="D686" s="2259" t="str">
        <f>IF(Perfiles_usuario!D164=0,"",Perfiles_usuario!D164)</f>
        <v/>
      </c>
      <c r="E686" s="2259"/>
      <c r="F686" s="2259" t="str">
        <f>IF(Perfiles_usuario!F164=0,"",Perfiles_usuario!F164)</f>
        <v/>
      </c>
      <c r="G686" s="2259"/>
      <c r="H686" s="1375" t="str">
        <f>IF(Perfiles_usuario!P164=0,"",Perfiles_usuario!P164)</f>
        <v/>
      </c>
      <c r="I686" s="1375" t="str">
        <f>IF(Perfiles_usuario!R164=0,"",Perfiles_usuario!R164)</f>
        <v/>
      </c>
      <c r="J686" s="2259" t="str">
        <f>IF(Perfiles_usuario!T164=0,"",Perfiles_usuario!T164)</f>
        <v/>
      </c>
      <c r="K686" s="2259"/>
      <c r="L686" s="2259" t="str">
        <f>IF(Perfiles_usuario!V164=0,"",Perfiles_usuario!V164)</f>
        <v/>
      </c>
      <c r="M686" s="2259"/>
      <c r="N686" s="2271" t="str">
        <f>IF(Perfiles_usuario!H164=0,"",Perfiles_usuario!H164)</f>
        <v/>
      </c>
      <c r="O686" s="2271"/>
      <c r="P686" s="2271" t="str">
        <f>IF(Perfiles_usuario!J164=0,"",Perfiles_usuario!J164)</f>
        <v/>
      </c>
      <c r="Q686" s="2271"/>
      <c r="R686" s="2271" t="str">
        <f>IF(Perfiles_usuario!L164=0,"",Perfiles_usuario!L164)</f>
        <v/>
      </c>
      <c r="S686" s="2271"/>
      <c r="T686" s="1375" t="str">
        <f>IF(Perfiles_usuario!N164=0,"",Perfiles_usuario!N164)</f>
        <v/>
      </c>
      <c r="U686" s="1373">
        <f>Perfiles_usuario!X164</f>
        <v>0</v>
      </c>
      <c r="V686" s="441"/>
      <c r="W686" s="441"/>
    </row>
    <row r="687" spans="1:23" ht="29.1" customHeight="1">
      <c r="B687" s="2272" t="str">
        <f>IF(Perfiles_usuario!B166=0,"",Perfiles_usuario!B166)</f>
        <v/>
      </c>
      <c r="C687" s="2259"/>
      <c r="D687" s="2259" t="str">
        <f>IF(Perfiles_usuario!D166=0,"",Perfiles_usuario!D166)</f>
        <v/>
      </c>
      <c r="E687" s="2259"/>
      <c r="F687" s="2259" t="str">
        <f>IF(Perfiles_usuario!F166=0,"",Perfiles_usuario!F166)</f>
        <v/>
      </c>
      <c r="G687" s="2259"/>
      <c r="H687" s="1375" t="str">
        <f>IF(Perfiles_usuario!P166=0,"",Perfiles_usuario!P166)</f>
        <v/>
      </c>
      <c r="I687" s="1375" t="str">
        <f>IF(Perfiles_usuario!R166=0,"",Perfiles_usuario!R166)</f>
        <v/>
      </c>
      <c r="J687" s="2259" t="str">
        <f>IF(Perfiles_usuario!T166=0,"",Perfiles_usuario!T166)</f>
        <v/>
      </c>
      <c r="K687" s="2259"/>
      <c r="L687" s="2259" t="str">
        <f>IF(Perfiles_usuario!V166=0,"",Perfiles_usuario!V166)</f>
        <v/>
      </c>
      <c r="M687" s="2259"/>
      <c r="N687" s="2271" t="str">
        <f>IF(Perfiles_usuario!H166=0,"",Perfiles_usuario!H166)</f>
        <v/>
      </c>
      <c r="O687" s="2271"/>
      <c r="P687" s="2271" t="str">
        <f>IF(Perfiles_usuario!J166=0,"",Perfiles_usuario!J166)</f>
        <v/>
      </c>
      <c r="Q687" s="2271"/>
      <c r="R687" s="2271" t="str">
        <f>IF(Perfiles_usuario!L166=0,"",Perfiles_usuario!L166)</f>
        <v/>
      </c>
      <c r="S687" s="2271"/>
      <c r="T687" s="1375" t="str">
        <f>IF(Perfiles_usuario!N166=0,"",Perfiles_usuario!N166)</f>
        <v/>
      </c>
      <c r="U687" s="1373">
        <f>Perfiles_usuario!X166</f>
        <v>0</v>
      </c>
      <c r="V687" s="441"/>
      <c r="W687" s="441"/>
    </row>
    <row r="688" spans="1:23" ht="11.25" customHeight="1">
      <c r="B688" s="808"/>
      <c r="C688" s="808"/>
      <c r="D688" s="808"/>
      <c r="E688" s="808"/>
      <c r="F688" s="808"/>
      <c r="G688" s="808"/>
      <c r="H688" s="808"/>
      <c r="I688" s="808"/>
      <c r="J688" s="808"/>
      <c r="K688" s="808"/>
      <c r="L688" s="808"/>
      <c r="M688" s="808"/>
      <c r="N688" s="1386"/>
      <c r="O688" s="1386"/>
      <c r="P688" s="1386"/>
      <c r="Q688" s="1386"/>
      <c r="R688" s="1386"/>
      <c r="S688" s="1386"/>
      <c r="T688" s="808"/>
      <c r="U688" s="1387"/>
      <c r="V688" s="441"/>
      <c r="W688" s="441"/>
    </row>
    <row r="689" spans="1:23" ht="29.1" customHeight="1">
      <c r="A689" s="420"/>
      <c r="B689" s="808"/>
      <c r="C689" s="808"/>
      <c r="D689" s="808"/>
      <c r="E689" s="808"/>
      <c r="F689" s="808"/>
      <c r="G689" s="808"/>
      <c r="H689" s="808"/>
      <c r="I689" s="808"/>
      <c r="J689" s="808"/>
      <c r="K689" s="808"/>
      <c r="L689" s="808"/>
      <c r="M689" s="808"/>
      <c r="N689" s="1386"/>
      <c r="O689" s="2466" t="str">
        <f>Perfiles_usuario!R168</f>
        <v>Descuento por contratación de múltiples packs</v>
      </c>
      <c r="P689" s="2466"/>
      <c r="Q689" s="2466"/>
      <c r="R689" s="2466"/>
      <c r="S689" s="2466"/>
      <c r="T689" s="2466"/>
      <c r="U689" s="1388">
        <f>-Perfiles_usuario!V168</f>
        <v>0</v>
      </c>
      <c r="V689" s="1171"/>
      <c r="W689" s="441"/>
    </row>
    <row r="690" spans="1:23" ht="12" customHeight="1">
      <c r="A690" s="420"/>
      <c r="B690" s="1140"/>
      <c r="C690" s="1140"/>
      <c r="D690" s="1140"/>
      <c r="E690" s="1140"/>
      <c r="F690" s="1140"/>
      <c r="G690" s="1140"/>
      <c r="H690" s="1140"/>
      <c r="I690" s="1140"/>
      <c r="J690" s="1140"/>
      <c r="K690" s="1140"/>
      <c r="L690" s="1140"/>
      <c r="M690" s="1140"/>
      <c r="N690" s="475"/>
      <c r="O690" s="475"/>
      <c r="P690" s="1140"/>
      <c r="Q690" s="1179"/>
      <c r="V690" s="420"/>
      <c r="W690" s="441"/>
    </row>
    <row r="691" spans="1:23" ht="23.25">
      <c r="A691" s="420"/>
      <c r="B691" s="1140"/>
      <c r="C691" s="1140"/>
      <c r="D691" s="1140"/>
      <c r="E691" s="1140"/>
      <c r="F691" s="1140"/>
      <c r="G691" s="1140"/>
      <c r="H691" s="1140"/>
      <c r="I691" s="1140"/>
      <c r="J691" s="1140"/>
      <c r="K691" s="1140"/>
      <c r="L691" s="1140"/>
      <c r="M691" s="1140"/>
      <c r="N691" s="1140"/>
      <c r="O691" s="629"/>
      <c r="S691" s="2262" t="s">
        <v>295</v>
      </c>
      <c r="T691" s="2263"/>
      <c r="U691" s="832">
        <f>Perfiles_usuario!X168</f>
        <v>44.95</v>
      </c>
      <c r="V691" s="470"/>
      <c r="W691" s="441"/>
    </row>
    <row r="692" spans="1:23" ht="16.149999999999999" customHeight="1">
      <c r="A692" s="420"/>
      <c r="B692" s="1140"/>
      <c r="C692" s="1140"/>
      <c r="D692" s="1140"/>
      <c r="E692" s="1140"/>
      <c r="F692" s="1140"/>
      <c r="G692" s="1140"/>
      <c r="H692" s="1140"/>
      <c r="I692" s="1140"/>
      <c r="J692" s="1140"/>
      <c r="K692" s="1140"/>
      <c r="L692" s="1140"/>
      <c r="M692" s="1140"/>
      <c r="N692" s="1140"/>
      <c r="O692" s="1140"/>
      <c r="P692" s="1140"/>
      <c r="Q692" s="1140"/>
      <c r="R692" s="1140"/>
      <c r="S692" s="1140"/>
      <c r="T692" s="1140"/>
      <c r="U692" s="1140"/>
      <c r="V692" s="420"/>
    </row>
    <row r="693" spans="1:23" ht="15.75">
      <c r="A693" s="420"/>
      <c r="B693" s="420"/>
      <c r="C693" s="420"/>
      <c r="D693" s="420"/>
      <c r="E693" s="420"/>
      <c r="F693" s="420"/>
      <c r="G693" s="420"/>
      <c r="H693" s="420"/>
      <c r="I693" s="420"/>
      <c r="J693" s="420"/>
      <c r="K693" s="420"/>
      <c r="L693" s="420"/>
      <c r="M693" s="476" t="s">
        <v>1810</v>
      </c>
      <c r="N693" s="420"/>
      <c r="O693" s="420"/>
      <c r="P693" s="420"/>
      <c r="Q693" s="420"/>
      <c r="R693" s="477" t="s">
        <v>692</v>
      </c>
      <c r="S693" s="478" t="str">
        <f>$E$39</f>
        <v>ILF5_90FCORCP_B114CAGR43006</v>
      </c>
      <c r="T693" s="420"/>
      <c r="U693" s="420"/>
      <c r="V693" s="420"/>
    </row>
    <row r="694" spans="1:23">
      <c r="A694" s="420"/>
      <c r="B694" s="420"/>
      <c r="C694" s="420"/>
      <c r="D694" s="420"/>
      <c r="E694" s="420"/>
      <c r="F694" s="420"/>
      <c r="G694" s="420"/>
      <c r="H694" s="436" t="s">
        <v>691</v>
      </c>
      <c r="I694" s="420"/>
      <c r="K694" s="420"/>
      <c r="L694" s="437" t="str">
        <f>$B$11</f>
        <v>INMOBILIARIA SERVIGESTION</v>
      </c>
      <c r="M694" s="420"/>
      <c r="N694" s="420"/>
      <c r="O694" s="420"/>
      <c r="P694" s="420"/>
      <c r="Q694" s="420"/>
      <c r="R694" s="420"/>
      <c r="S694" s="420"/>
      <c r="T694" s="420"/>
      <c r="U694" s="420"/>
      <c r="V694" s="420"/>
    </row>
    <row r="695" spans="1:23" ht="34.5">
      <c r="A695" s="420"/>
      <c r="B695" s="2268" t="s">
        <v>461</v>
      </c>
      <c r="C695" s="2268"/>
      <c r="D695" s="2268"/>
      <c r="E695" s="2268"/>
      <c r="F695" s="2268"/>
      <c r="G695" s="2268"/>
      <c r="H695" s="2268"/>
      <c r="I695" s="2268"/>
      <c r="J695" s="2268"/>
      <c r="K695" s="2268"/>
      <c r="L695" s="2268"/>
      <c r="M695" s="2268"/>
      <c r="N695" s="2268"/>
      <c r="O695" s="2268"/>
      <c r="P695" s="2268"/>
      <c r="Q695" s="2268"/>
      <c r="R695" s="2268"/>
      <c r="S695" s="2268"/>
      <c r="T695" s="2268"/>
      <c r="U695" s="2268"/>
      <c r="V695" s="420"/>
    </row>
    <row r="696" spans="1:23" ht="22.9" customHeight="1">
      <c r="A696" s="420"/>
      <c r="B696" s="2269" t="s">
        <v>1114</v>
      </c>
      <c r="C696" s="2269"/>
      <c r="D696" s="2269"/>
      <c r="E696" s="2269"/>
      <c r="F696" s="2269"/>
      <c r="G696" s="2269"/>
      <c r="H696" s="2269"/>
      <c r="I696" s="2269"/>
      <c r="J696" s="2269"/>
      <c r="K696" s="2269"/>
      <c r="L696" s="2269"/>
      <c r="M696" s="2269"/>
      <c r="N696" s="2269"/>
      <c r="O696" s="2269"/>
      <c r="P696" s="2269"/>
      <c r="Q696" s="2269"/>
      <c r="R696" s="2269"/>
      <c r="S696" s="2269"/>
      <c r="T696" s="2269"/>
      <c r="U696" s="2269"/>
      <c r="V696" s="420"/>
    </row>
    <row r="697" spans="1:23" ht="16.149999999999999" customHeight="1">
      <c r="A697" s="420"/>
      <c r="B697" s="1374"/>
      <c r="C697" s="1374"/>
      <c r="D697" s="1374"/>
      <c r="E697" s="1374"/>
      <c r="F697" s="1374"/>
      <c r="G697" s="1374"/>
      <c r="H697" s="1374"/>
      <c r="I697" s="1374"/>
      <c r="J697" s="1374"/>
      <c r="K697" s="1374"/>
      <c r="L697" s="1374"/>
      <c r="M697" s="1374"/>
      <c r="N697" s="1374"/>
      <c r="O697" s="1374"/>
      <c r="Q697" s="1374"/>
      <c r="R697" s="1374"/>
      <c r="S697" s="1374"/>
      <c r="T697" s="1374"/>
      <c r="U697" s="1374"/>
      <c r="V697" s="420"/>
    </row>
    <row r="698" spans="1:23" ht="18.399999999999999" customHeight="1">
      <c r="A698" s="429"/>
      <c r="B698" s="2251"/>
      <c r="C698" s="2251"/>
      <c r="D698" s="2251"/>
      <c r="E698" s="2251"/>
      <c r="F698" s="2251"/>
      <c r="G698" s="2251"/>
      <c r="H698" s="2251"/>
      <c r="I698" s="2251"/>
      <c r="J698" s="2251"/>
      <c r="K698" s="2251"/>
      <c r="L698" s="2251"/>
      <c r="M698" s="2251"/>
      <c r="N698" s="2251"/>
      <c r="O698" s="2251"/>
      <c r="P698" s="2251"/>
      <c r="Q698" s="2251"/>
      <c r="R698" s="2251"/>
      <c r="S698" s="2251"/>
      <c r="T698" s="2251"/>
      <c r="U698" s="2251"/>
      <c r="V698" s="429"/>
    </row>
    <row r="699" spans="1:23" ht="28.9" customHeight="1">
      <c r="A699" s="420"/>
      <c r="B699" s="2252" t="s">
        <v>1218</v>
      </c>
      <c r="C699" s="2252"/>
      <c r="D699" s="2252"/>
      <c r="E699" s="2252"/>
      <c r="F699" s="2252"/>
      <c r="G699" s="2252"/>
      <c r="H699" s="2252"/>
      <c r="I699" s="2252"/>
      <c r="J699" s="2252"/>
      <c r="K699" s="2252"/>
      <c r="L699" s="1372"/>
      <c r="M699" s="1372"/>
      <c r="N699" s="1372"/>
      <c r="O699" s="1372"/>
      <c r="P699" s="1372"/>
      <c r="Q699" s="1372"/>
      <c r="R699" s="1372"/>
      <c r="S699" s="1372"/>
      <c r="T699" s="1372"/>
      <c r="U699" s="1372"/>
      <c r="V699" s="420"/>
    </row>
    <row r="700" spans="1:23" ht="40.5" customHeight="1">
      <c r="A700" s="420"/>
      <c r="B700" s="2251" t="s">
        <v>1376</v>
      </c>
      <c r="C700" s="2251"/>
      <c r="D700" s="2251"/>
      <c r="E700" s="2251"/>
      <c r="F700" s="2251"/>
      <c r="G700" s="2251"/>
      <c r="H700" s="2251"/>
      <c r="I700" s="2251"/>
      <c r="J700" s="2251"/>
      <c r="K700" s="2251"/>
      <c r="L700" s="2251"/>
      <c r="M700" s="2251"/>
      <c r="N700" s="2251"/>
      <c r="O700" s="2251"/>
      <c r="P700" s="2251"/>
      <c r="Q700" s="2251"/>
      <c r="R700" s="2251"/>
      <c r="S700" s="2251"/>
      <c r="T700" s="2251"/>
      <c r="U700" s="2251"/>
      <c r="V700" s="420"/>
    </row>
    <row r="701" spans="1:23" ht="13.5" customHeight="1">
      <c r="A701" s="420"/>
      <c r="B701" s="1372"/>
      <c r="C701" s="1372"/>
      <c r="D701" s="1372"/>
      <c r="E701" s="1372"/>
      <c r="F701" s="1372"/>
      <c r="G701" s="1372"/>
      <c r="H701" s="1372"/>
      <c r="I701" s="1372"/>
      <c r="J701" s="1372"/>
      <c r="K701" s="1372"/>
      <c r="L701" s="1372"/>
      <c r="M701" s="1372"/>
      <c r="N701" s="1372"/>
      <c r="O701" s="1372"/>
      <c r="P701" s="1372"/>
      <c r="Q701" s="1372"/>
      <c r="R701" s="1372"/>
      <c r="S701" s="1372"/>
      <c r="T701" s="1372"/>
      <c r="U701" s="1372"/>
      <c r="V701" s="420"/>
    </row>
    <row r="702" spans="1:23" ht="28.9" customHeight="1">
      <c r="A702" s="420"/>
      <c r="B702" s="2251" t="s">
        <v>1219</v>
      </c>
      <c r="C702" s="2251"/>
      <c r="D702" s="2251"/>
      <c r="E702" s="2251"/>
      <c r="F702" s="2251"/>
      <c r="G702" s="2251"/>
      <c r="H702" s="2251"/>
      <c r="I702" s="2251"/>
      <c r="J702" s="2251"/>
      <c r="K702" s="2251"/>
      <c r="L702" s="2251"/>
      <c r="M702" s="2251"/>
      <c r="N702" s="2251"/>
      <c r="O702" s="2251"/>
      <c r="P702" s="2251"/>
      <c r="Q702" s="2251"/>
      <c r="R702" s="2251"/>
      <c r="S702" s="2251"/>
      <c r="T702" s="2251"/>
      <c r="U702" s="2251"/>
      <c r="V702" s="420"/>
    </row>
    <row r="703" spans="1:23" ht="28.9" customHeight="1">
      <c r="A703" s="420"/>
      <c r="B703" s="2251" t="s">
        <v>1223</v>
      </c>
      <c r="C703" s="2251"/>
      <c r="D703" s="2251"/>
      <c r="E703" s="2251"/>
      <c r="F703" s="2251"/>
      <c r="G703" s="2251"/>
      <c r="H703" s="2251"/>
      <c r="I703" s="2251"/>
      <c r="J703" s="2251"/>
      <c r="K703" s="2251"/>
      <c r="L703" s="2251"/>
      <c r="M703" s="2251"/>
      <c r="N703" s="2251"/>
      <c r="O703" s="2251"/>
      <c r="P703" s="2251"/>
      <c r="Q703" s="2251"/>
      <c r="R703" s="2251"/>
      <c r="S703" s="2251"/>
      <c r="T703" s="2251"/>
      <c r="U703" s="2251"/>
      <c r="V703" s="420"/>
    </row>
    <row r="704" spans="1:23" ht="28.9" customHeight="1">
      <c r="A704" s="420"/>
      <c r="B704" s="2251" t="s">
        <v>1377</v>
      </c>
      <c r="C704" s="2251"/>
      <c r="D704" s="2251"/>
      <c r="E704" s="2251"/>
      <c r="F704" s="2251"/>
      <c r="G704" s="2251"/>
      <c r="H704" s="2251"/>
      <c r="I704" s="2251"/>
      <c r="J704" s="2251"/>
      <c r="K704" s="2251"/>
      <c r="L704" s="2251"/>
      <c r="M704" s="2251"/>
      <c r="N704" s="2251"/>
      <c r="O704" s="2251"/>
      <c r="P704" s="2251"/>
      <c r="Q704" s="2251"/>
      <c r="R704" s="2251"/>
      <c r="S704" s="2251"/>
      <c r="T704" s="2251"/>
      <c r="U704" s="2251"/>
      <c r="V704" s="420"/>
    </row>
    <row r="705" spans="1:23" ht="45" customHeight="1">
      <c r="A705" s="420"/>
      <c r="B705" s="2251" t="s">
        <v>1034</v>
      </c>
      <c r="C705" s="2251"/>
      <c r="D705" s="2251"/>
      <c r="E705" s="2251"/>
      <c r="F705" s="2251"/>
      <c r="G705" s="2251"/>
      <c r="H705" s="2251"/>
      <c r="I705" s="2251"/>
      <c r="J705" s="2251"/>
      <c r="K705" s="2251"/>
      <c r="L705" s="2251"/>
      <c r="M705" s="2251"/>
      <c r="N705" s="2251"/>
      <c r="O705" s="2251"/>
      <c r="P705" s="2251"/>
      <c r="Q705" s="2251"/>
      <c r="R705" s="2251"/>
      <c r="S705" s="2251"/>
      <c r="T705" s="2251"/>
      <c r="U705" s="2251"/>
      <c r="V705" s="420"/>
    </row>
    <row r="706" spans="1:23" ht="28.9" customHeight="1">
      <c r="A706" s="420"/>
      <c r="B706" s="2451" t="s">
        <v>1378</v>
      </c>
      <c r="C706" s="2451"/>
      <c r="D706" s="2451"/>
      <c r="E706" s="2451"/>
      <c r="F706" s="2451"/>
      <c r="G706" s="2451"/>
      <c r="H706" s="2451"/>
      <c r="I706" s="2451"/>
      <c r="J706" s="2451"/>
      <c r="V706" s="420"/>
    </row>
    <row r="707" spans="1:23" ht="37.5" customHeight="1">
      <c r="A707" s="420"/>
      <c r="B707" s="2451" t="s">
        <v>1035</v>
      </c>
      <c r="C707" s="2451"/>
      <c r="D707" s="2451"/>
      <c r="E707" s="2451"/>
      <c r="F707" s="2451"/>
      <c r="G707" s="2451"/>
      <c r="H707" s="2451"/>
      <c r="I707" s="2451"/>
      <c r="J707" s="2451"/>
      <c r="V707" s="420"/>
    </row>
    <row r="708" spans="1:23" ht="28.9" customHeight="1">
      <c r="A708" s="420"/>
      <c r="B708" s="2251" t="s">
        <v>1379</v>
      </c>
      <c r="C708" s="2251"/>
      <c r="D708" s="2251"/>
      <c r="E708" s="2251"/>
      <c r="F708" s="2251"/>
      <c r="G708" s="2251"/>
      <c r="H708" s="2251"/>
      <c r="I708" s="2251"/>
      <c r="J708" s="2251"/>
      <c r="K708" s="2251"/>
      <c r="L708" s="2251"/>
      <c r="M708" s="2251"/>
      <c r="N708" s="2251"/>
      <c r="O708" s="2251"/>
      <c r="P708" s="2251"/>
      <c r="Q708" s="2251"/>
      <c r="R708" s="2251"/>
      <c r="S708" s="2251"/>
      <c r="T708" s="2251"/>
      <c r="U708" s="2251"/>
      <c r="V708" s="420"/>
    </row>
    <row r="709" spans="1:23" ht="48" customHeight="1">
      <c r="A709" s="420"/>
      <c r="B709" s="2251" t="s">
        <v>1221</v>
      </c>
      <c r="C709" s="2251"/>
      <c r="D709" s="2251"/>
      <c r="E709" s="2251"/>
      <c r="F709" s="2251"/>
      <c r="G709" s="2251"/>
      <c r="H709" s="2251"/>
      <c r="I709" s="2251"/>
      <c r="J709" s="2251"/>
      <c r="K709" s="2251"/>
      <c r="L709" s="2251"/>
      <c r="M709" s="2251"/>
      <c r="N709" s="2251"/>
      <c r="O709" s="2251"/>
      <c r="P709" s="2251"/>
      <c r="Q709" s="2251"/>
      <c r="R709" s="2251"/>
      <c r="S709" s="2251"/>
      <c r="T709" s="2251"/>
      <c r="U709" s="2251"/>
      <c r="V709" s="420"/>
    </row>
    <row r="710" spans="1:23" ht="31.5" customHeight="1">
      <c r="A710" s="420"/>
      <c r="B710" s="1374"/>
      <c r="C710" s="1374"/>
      <c r="D710" s="2476" t="s">
        <v>1371</v>
      </c>
      <c r="E710" s="2477"/>
      <c r="F710" s="2477"/>
      <c r="G710" s="2477"/>
      <c r="H710" s="2478"/>
      <c r="I710" s="2476" t="s">
        <v>1372</v>
      </c>
      <c r="J710" s="2477"/>
      <c r="K710" s="2477"/>
      <c r="L710" s="2478"/>
      <c r="M710" s="2476" t="s">
        <v>1346</v>
      </c>
      <c r="N710" s="2477"/>
      <c r="O710" s="2477"/>
      <c r="P710" s="2477"/>
      <c r="Q710" s="2477"/>
      <c r="R710" s="2477"/>
      <c r="S710" s="2477"/>
      <c r="T710" s="2478"/>
      <c r="U710" s="1374"/>
      <c r="V710" s="420"/>
    </row>
    <row r="711" spans="1:23" ht="60.6" customHeight="1">
      <c r="A711" s="441"/>
      <c r="B711" s="1389" t="str">
        <f>Perfiles_usuario!B175</f>
        <v>Sede</v>
      </c>
      <c r="C711" s="1378" t="str">
        <f>Perfiles_usuario!D175</f>
        <v>Pack Conecta Pymes</v>
      </c>
      <c r="D711" s="1378" t="str">
        <f>Perfiles_usuario!F175</f>
        <v>TP Fijo
3000 minutos</v>
      </c>
      <c r="E711" s="1378" t="str">
        <f>Perfiles_usuario!H175</f>
        <v>TP Fijo
4500 minutos</v>
      </c>
      <c r="F711" s="1378" t="str">
        <f>Perfiles_usuario!J175</f>
        <v>TP Fijo
6000 minutos</v>
      </c>
      <c r="G711" s="1378" t="str">
        <f>Perfiles_usuario!N175</f>
        <v>Bono Fijo- Móvil
240 minutos</v>
      </c>
      <c r="H711" s="1378" t="str">
        <f>Perfiles_usuario!P175</f>
        <v>Bono Fijo- Móvil
600 minutos</v>
      </c>
      <c r="I711" s="1378" t="str">
        <f>Perfiles_usuario!R175</f>
        <v>Locución de bienvenida</v>
      </c>
      <c r="J711" s="1378" t="str">
        <f>Perfiles_usuario!T175</f>
        <v>SVA</v>
      </c>
      <c r="K711" s="1378" t="str">
        <f>Perfiles_usuario!V175</f>
        <v>Opción Premium</v>
      </c>
      <c r="L711" s="1378" t="str">
        <f>Perfiles_usuario!X175</f>
        <v>Línea para datáfono / alarma</v>
      </c>
      <c r="M711" s="1378" t="str">
        <f>Perfiles_usuario!Z175</f>
        <v>Avanzado 
Yealink (T24G)</v>
      </c>
      <c r="N711" s="1378" t="str">
        <f>Perfiles_usuario!AB175</f>
        <v>Avanzado 
Cisco (SPA 525)</v>
      </c>
      <c r="O711" s="1378" t="str">
        <f>Perfiles_usuario!AD175</f>
        <v>Básico 
Yealink (T21P)</v>
      </c>
      <c r="P711" s="1378" t="str">
        <f>Perfiles_usuario!AF175</f>
        <v>Básico 
Cisco (SPA 502)</v>
      </c>
      <c r="Q711" s="1378" t="str">
        <f>Perfiles_usuario!AH175</f>
        <v>Inalámbrico Panasonic</v>
      </c>
      <c r="R711" s="1378" t="str">
        <f>Perfiles_usuario!AJ175</f>
        <v>Fax 
(CISCO SPA 122 o Puerto Fritz!Box)</v>
      </c>
      <c r="S711" s="1378" t="str">
        <f>Perfiles_usuario!AL175</f>
        <v>Fax2Mail</v>
      </c>
      <c r="T711" s="1379" t="str">
        <f>Perfiles_usuario!AN175</f>
        <v>Puesto Móvil</v>
      </c>
      <c r="U711" s="1378" t="s">
        <v>51</v>
      </c>
      <c r="V711" s="466"/>
    </row>
    <row r="712" spans="1:23" ht="49.9" customHeight="1">
      <c r="B712" s="1376" t="str">
        <f>IF(Perfiles_usuario!B177=0,"",Perfiles_usuario!B177)</f>
        <v/>
      </c>
      <c r="C712" s="1375" t="str">
        <f>IF(Perfiles_usuario!D177=0,"",Perfiles_usuario!D177)</f>
        <v/>
      </c>
      <c r="D712" s="1375" t="str">
        <f>IF(Perfiles_usuario!F177=0,"",Perfiles_usuario!F177)</f>
        <v/>
      </c>
      <c r="E712" s="1375" t="str">
        <f>IF(Perfiles_usuario!H177=0,"",Perfiles_usuario!H177)</f>
        <v/>
      </c>
      <c r="F712" s="1375" t="str">
        <f>IF(Perfiles_usuario!J177=0,"",Perfiles_usuario!J177)</f>
        <v/>
      </c>
      <c r="G712" s="1377" t="str">
        <f>IF(Perfiles_usuario!N177=0,"",Perfiles_usuario!N177)</f>
        <v/>
      </c>
      <c r="H712" s="1377" t="str">
        <f>IF(Perfiles_usuario!P177=0,"",Perfiles_usuario!P177)</f>
        <v/>
      </c>
      <c r="I712" s="1377" t="str">
        <f>IF(Perfiles_usuario!R177=0,"",Perfiles_usuario!R177)</f>
        <v/>
      </c>
      <c r="J712" s="1375" t="str">
        <f>IF(Perfiles_usuario!T177=0,"",Perfiles_usuario!T177)</f>
        <v/>
      </c>
      <c r="K712" s="1375" t="str">
        <f>IF(Perfiles_usuario!V177=0,"",Perfiles_usuario!V177)</f>
        <v/>
      </c>
      <c r="L712" s="1375" t="str">
        <f>IF(Perfiles_usuario!X177=0,"",Perfiles_usuario!X177)</f>
        <v/>
      </c>
      <c r="M712" s="1375" t="str">
        <f>IF(Perfiles_usuario!Z177=0,"",Perfiles_usuario!Z177)</f>
        <v/>
      </c>
      <c r="N712" s="1375" t="str">
        <f>IF(Perfiles_usuario!AB177=0,"",Perfiles_usuario!AB177)</f>
        <v/>
      </c>
      <c r="O712" s="1375" t="str">
        <f>IF(Perfiles_usuario!AD177=0,"",Perfiles_usuario!AD177)</f>
        <v/>
      </c>
      <c r="P712" s="1375" t="str">
        <f>IF(Perfiles_usuario!AF177=0,"",Perfiles_usuario!AF177)</f>
        <v/>
      </c>
      <c r="Q712" s="1375" t="str">
        <f>IF(Perfiles_usuario!AH177=0,"",Perfiles_usuario!AH177)</f>
        <v/>
      </c>
      <c r="R712" s="1375" t="str">
        <f>IF(Perfiles_usuario!AJ177=0,"",Perfiles_usuario!AJ177)</f>
        <v/>
      </c>
      <c r="S712" s="1375" t="str">
        <f>IF(Perfiles_usuario!AL177=0,"",Perfiles_usuario!AL177)</f>
        <v/>
      </c>
      <c r="T712" s="1375" t="str">
        <f>IF(Perfiles_usuario!AN177=0,"",Perfiles_usuario!AN177)</f>
        <v/>
      </c>
      <c r="U712" s="1373">
        <f>Perfiles_usuario!AP177</f>
        <v>0</v>
      </c>
      <c r="V712" s="441"/>
      <c r="W712" s="441"/>
    </row>
    <row r="713" spans="1:23" ht="49.9" customHeight="1">
      <c r="B713" s="1376" t="str">
        <f>IF(Perfiles_usuario!B179=0,"",Perfiles_usuario!B179)</f>
        <v/>
      </c>
      <c r="C713" s="1375" t="str">
        <f>IF(Perfiles_usuario!D179=0,"",Perfiles_usuario!D179)</f>
        <v/>
      </c>
      <c r="D713" s="1375" t="str">
        <f>IF(Perfiles_usuario!F179=0,"",Perfiles_usuario!F179)</f>
        <v/>
      </c>
      <c r="E713" s="1375" t="str">
        <f>IF(Perfiles_usuario!H179=0,"",Perfiles_usuario!H179)</f>
        <v/>
      </c>
      <c r="F713" s="1375" t="str">
        <f>IF(Perfiles_usuario!J179=0,"",Perfiles_usuario!J179)</f>
        <v/>
      </c>
      <c r="G713" s="1377" t="str">
        <f>IF(Perfiles_usuario!N179=0,"",Perfiles_usuario!N179)</f>
        <v/>
      </c>
      <c r="H713" s="1377" t="str">
        <f>IF(Perfiles_usuario!P179=0,"",Perfiles_usuario!P179)</f>
        <v/>
      </c>
      <c r="I713" s="1377" t="str">
        <f>IF(Perfiles_usuario!R179=0,"",Perfiles_usuario!R179)</f>
        <v/>
      </c>
      <c r="J713" s="1375" t="str">
        <f>IF(Perfiles_usuario!T179=0,"",Perfiles_usuario!T179)</f>
        <v/>
      </c>
      <c r="K713" s="1375" t="str">
        <f>IF(Perfiles_usuario!V179=0,"",Perfiles_usuario!V179)</f>
        <v/>
      </c>
      <c r="L713" s="1375" t="str">
        <f>IF(Perfiles_usuario!X179=0,"",Perfiles_usuario!X179)</f>
        <v/>
      </c>
      <c r="M713" s="1375" t="str">
        <f>IF(Perfiles_usuario!Z179=0,"",Perfiles_usuario!Z179)</f>
        <v/>
      </c>
      <c r="N713" s="1375" t="str">
        <f>IF(Perfiles_usuario!AB179=0,"",Perfiles_usuario!AB179)</f>
        <v/>
      </c>
      <c r="O713" s="1375" t="str">
        <f>IF(Perfiles_usuario!AD179=0,"",Perfiles_usuario!AD179)</f>
        <v/>
      </c>
      <c r="P713" s="1375" t="str">
        <f>IF(Perfiles_usuario!AF179=0,"",Perfiles_usuario!AF179)</f>
        <v/>
      </c>
      <c r="Q713" s="1375" t="str">
        <f>IF(Perfiles_usuario!AH179=0,"",Perfiles_usuario!AH179)</f>
        <v/>
      </c>
      <c r="R713" s="1375" t="str">
        <f>IF(Perfiles_usuario!AJ179=0,"",Perfiles_usuario!AJ179)</f>
        <v/>
      </c>
      <c r="S713" s="1375" t="str">
        <f>IF(Perfiles_usuario!AL179=0,"",Perfiles_usuario!AL179)</f>
        <v/>
      </c>
      <c r="T713" s="1375" t="str">
        <f>IF(Perfiles_usuario!AN179=0,"",Perfiles_usuario!AN179)</f>
        <v/>
      </c>
      <c r="U713" s="1373">
        <f>Perfiles_usuario!AP179</f>
        <v>0</v>
      </c>
      <c r="V713" s="466"/>
      <c r="W713" s="441"/>
    </row>
    <row r="714" spans="1:23" ht="49.9" customHeight="1">
      <c r="B714" s="1376" t="str">
        <f>IF(Perfiles_usuario!B181=0,"",Perfiles_usuario!B181)</f>
        <v/>
      </c>
      <c r="C714" s="1375" t="str">
        <f>IF(Perfiles_usuario!D181=0,"",Perfiles_usuario!D181)</f>
        <v/>
      </c>
      <c r="D714" s="1375" t="str">
        <f>IF(Perfiles_usuario!F181=0,"",Perfiles_usuario!F181)</f>
        <v/>
      </c>
      <c r="E714" s="1375" t="str">
        <f>IF(Perfiles_usuario!H181=0,"",Perfiles_usuario!H181)</f>
        <v/>
      </c>
      <c r="F714" s="1375" t="str">
        <f>IF(Perfiles_usuario!J181=0,"",Perfiles_usuario!J181)</f>
        <v/>
      </c>
      <c r="G714" s="1377" t="str">
        <f>IF(Perfiles_usuario!N181=0,"",Perfiles_usuario!N181)</f>
        <v/>
      </c>
      <c r="H714" s="1377" t="str">
        <f>IF(Perfiles_usuario!P181=0,"",Perfiles_usuario!P181)</f>
        <v/>
      </c>
      <c r="I714" s="1377" t="str">
        <f>IF(Perfiles_usuario!R181=0,"",Perfiles_usuario!R181)</f>
        <v/>
      </c>
      <c r="J714" s="1375" t="str">
        <f>IF(Perfiles_usuario!T181=0,"",Perfiles_usuario!T181)</f>
        <v/>
      </c>
      <c r="K714" s="1375" t="str">
        <f>IF(Perfiles_usuario!V181=0,"",Perfiles_usuario!V181)</f>
        <v/>
      </c>
      <c r="L714" s="1375" t="str">
        <f>IF(Perfiles_usuario!X181=0,"",Perfiles_usuario!X181)</f>
        <v/>
      </c>
      <c r="M714" s="1375" t="str">
        <f>IF(Perfiles_usuario!Z181=0,"",Perfiles_usuario!Z181)</f>
        <v/>
      </c>
      <c r="N714" s="1375" t="str">
        <f>IF(Perfiles_usuario!AB181=0,"",Perfiles_usuario!AB181)</f>
        <v/>
      </c>
      <c r="O714" s="1375" t="str">
        <f>IF(Perfiles_usuario!AD181=0,"",Perfiles_usuario!AD181)</f>
        <v/>
      </c>
      <c r="P714" s="1375" t="str">
        <f>IF(Perfiles_usuario!AF181=0,"",Perfiles_usuario!AF181)</f>
        <v/>
      </c>
      <c r="Q714" s="1375" t="str">
        <f>IF(Perfiles_usuario!AH181=0,"",Perfiles_usuario!AH181)</f>
        <v/>
      </c>
      <c r="R714" s="1375" t="str">
        <f>IF(Perfiles_usuario!AJ181=0,"",Perfiles_usuario!AJ181)</f>
        <v/>
      </c>
      <c r="S714" s="1375" t="str">
        <f>IF(Perfiles_usuario!AL181=0,"",Perfiles_usuario!AL181)</f>
        <v/>
      </c>
      <c r="T714" s="1375" t="str">
        <f>IF(Perfiles_usuario!AN181=0,"",Perfiles_usuario!AN181)</f>
        <v/>
      </c>
      <c r="U714" s="1373">
        <f>Perfiles_usuario!AP181</f>
        <v>0</v>
      </c>
      <c r="V714" s="466"/>
      <c r="W714" s="441"/>
    </row>
    <row r="715" spans="1:23" ht="49.9" customHeight="1">
      <c r="B715" s="1376" t="str">
        <f>IF(Perfiles_usuario!B183=0,"",Perfiles_usuario!B183)</f>
        <v/>
      </c>
      <c r="C715" s="1375" t="str">
        <f>IF(Perfiles_usuario!D183=0,"",Perfiles_usuario!D183)</f>
        <v/>
      </c>
      <c r="D715" s="1375" t="str">
        <f>IF(Perfiles_usuario!F183=0,"",Perfiles_usuario!F183)</f>
        <v/>
      </c>
      <c r="E715" s="1375" t="str">
        <f>IF(Perfiles_usuario!H183=0,"",Perfiles_usuario!H183)</f>
        <v/>
      </c>
      <c r="F715" s="1375" t="str">
        <f>IF(Perfiles_usuario!J183=0,"",Perfiles_usuario!J183)</f>
        <v/>
      </c>
      <c r="G715" s="1377" t="str">
        <f>IF(Perfiles_usuario!N183=0,"",Perfiles_usuario!N183)</f>
        <v/>
      </c>
      <c r="H715" s="1377" t="str">
        <f>IF(Perfiles_usuario!P183=0,"",Perfiles_usuario!P183)</f>
        <v/>
      </c>
      <c r="I715" s="1377" t="str">
        <f>IF(Perfiles_usuario!R183=0,"",Perfiles_usuario!R183)</f>
        <v/>
      </c>
      <c r="J715" s="1375" t="str">
        <f>IF(Perfiles_usuario!T183=0,"",Perfiles_usuario!T183)</f>
        <v/>
      </c>
      <c r="K715" s="1375" t="str">
        <f>IF(Perfiles_usuario!V183=0,"",Perfiles_usuario!V183)</f>
        <v/>
      </c>
      <c r="L715" s="1375" t="str">
        <f>IF(Perfiles_usuario!X183=0,"",Perfiles_usuario!X183)</f>
        <v/>
      </c>
      <c r="M715" s="1375" t="str">
        <f>IF(Perfiles_usuario!Z183=0,"",Perfiles_usuario!Z183)</f>
        <v/>
      </c>
      <c r="N715" s="1375" t="str">
        <f>IF(Perfiles_usuario!AB183=0,"",Perfiles_usuario!AB183)</f>
        <v/>
      </c>
      <c r="O715" s="1375" t="str">
        <f>IF(Perfiles_usuario!AD183=0,"",Perfiles_usuario!AD183)</f>
        <v/>
      </c>
      <c r="P715" s="1375" t="str">
        <f>IF(Perfiles_usuario!AF183=0,"",Perfiles_usuario!AF183)</f>
        <v/>
      </c>
      <c r="Q715" s="1375" t="str">
        <f>IF(Perfiles_usuario!AH183=0,"",Perfiles_usuario!AH183)</f>
        <v/>
      </c>
      <c r="R715" s="1375" t="str">
        <f>IF(Perfiles_usuario!AJ183=0,"",Perfiles_usuario!AJ183)</f>
        <v/>
      </c>
      <c r="S715" s="1375" t="str">
        <f>IF(Perfiles_usuario!AL183=0,"",Perfiles_usuario!AL183)</f>
        <v/>
      </c>
      <c r="T715" s="1375" t="str">
        <f>IF(Perfiles_usuario!AN183=0,"",Perfiles_usuario!AN183)</f>
        <v/>
      </c>
      <c r="U715" s="1373">
        <f>Perfiles_usuario!AP183</f>
        <v>0</v>
      </c>
      <c r="V715" s="466"/>
      <c r="W715" s="441"/>
    </row>
    <row r="716" spans="1:23" ht="50.45" customHeight="1">
      <c r="A716" s="420"/>
      <c r="B716" s="1376" t="str">
        <f>IF(Perfiles_usuario!B185=0,"",Perfiles_usuario!B185)</f>
        <v/>
      </c>
      <c r="C716" s="1375" t="str">
        <f>IF(Perfiles_usuario!D185=0,"",Perfiles_usuario!D185)</f>
        <v/>
      </c>
      <c r="D716" s="1375" t="str">
        <f>IF(Perfiles_usuario!F185=0,"",Perfiles_usuario!F185)</f>
        <v/>
      </c>
      <c r="E716" s="1375" t="str">
        <f>IF(Perfiles_usuario!H185=0,"",Perfiles_usuario!H185)</f>
        <v/>
      </c>
      <c r="F716" s="1375" t="str">
        <f>IF(Perfiles_usuario!J185=0,"",Perfiles_usuario!J185)</f>
        <v/>
      </c>
      <c r="G716" s="1377" t="str">
        <f>IF(Perfiles_usuario!N185=0,"",Perfiles_usuario!N185)</f>
        <v/>
      </c>
      <c r="H716" s="1377" t="str">
        <f>IF(Perfiles_usuario!P185=0,"",Perfiles_usuario!P185)</f>
        <v/>
      </c>
      <c r="I716" s="1377" t="str">
        <f>IF(Perfiles_usuario!R185=0,"",Perfiles_usuario!R185)</f>
        <v/>
      </c>
      <c r="J716" s="1375" t="str">
        <f>IF(Perfiles_usuario!T185=0,"",Perfiles_usuario!T185)</f>
        <v/>
      </c>
      <c r="K716" s="1375" t="str">
        <f>IF(Perfiles_usuario!V185=0,"",Perfiles_usuario!V185)</f>
        <v/>
      </c>
      <c r="L716" s="1375" t="str">
        <f>IF(Perfiles_usuario!X185=0,"",Perfiles_usuario!X185)</f>
        <v/>
      </c>
      <c r="M716" s="1375" t="str">
        <f>IF(Perfiles_usuario!Z185=0,"",Perfiles_usuario!Z185)</f>
        <v/>
      </c>
      <c r="N716" s="1375" t="str">
        <f>IF(Perfiles_usuario!AB185=0,"",Perfiles_usuario!AB185)</f>
        <v/>
      </c>
      <c r="O716" s="1375" t="str">
        <f>IF(Perfiles_usuario!AD185=0,"",Perfiles_usuario!AD185)</f>
        <v/>
      </c>
      <c r="P716" s="1375" t="str">
        <f>IF(Perfiles_usuario!AF185=0,"",Perfiles_usuario!AF185)</f>
        <v/>
      </c>
      <c r="Q716" s="1375" t="str">
        <f>IF(Perfiles_usuario!AH185=0,"",Perfiles_usuario!AH185)</f>
        <v/>
      </c>
      <c r="R716" s="1375" t="str">
        <f>IF(Perfiles_usuario!AJ185=0,"",Perfiles_usuario!AJ185)</f>
        <v/>
      </c>
      <c r="S716" s="1375" t="str">
        <f>IF(Perfiles_usuario!AL185=0,"",Perfiles_usuario!AL185)</f>
        <v/>
      </c>
      <c r="T716" s="1375" t="str">
        <f>IF(Perfiles_usuario!AN185=0,"",Perfiles_usuario!AN185)</f>
        <v/>
      </c>
      <c r="U716" s="1373">
        <f>Perfiles_usuario!AP185</f>
        <v>0</v>
      </c>
      <c r="V716" s="729"/>
      <c r="W716" s="441"/>
    </row>
    <row r="717" spans="1:23" ht="50.45" customHeight="1">
      <c r="A717" s="420"/>
      <c r="B717" s="1376" t="str">
        <f>IF(Perfiles_usuario!B187=0,"",Perfiles_usuario!B187)</f>
        <v/>
      </c>
      <c r="C717" s="1375" t="str">
        <f>IF(Perfiles_usuario!D187=0,"",Perfiles_usuario!D187)</f>
        <v/>
      </c>
      <c r="D717" s="1375" t="str">
        <f>IF(Perfiles_usuario!F187=0,"",Perfiles_usuario!F187)</f>
        <v/>
      </c>
      <c r="E717" s="1375" t="str">
        <f>IF(Perfiles_usuario!H187=0,"",Perfiles_usuario!H187)</f>
        <v/>
      </c>
      <c r="F717" s="1375" t="str">
        <f>IF(Perfiles_usuario!J187=0,"",Perfiles_usuario!J187)</f>
        <v/>
      </c>
      <c r="G717" s="1377" t="str">
        <f>IF(Perfiles_usuario!N187=0,"",Perfiles_usuario!N187)</f>
        <v/>
      </c>
      <c r="H717" s="1377" t="str">
        <f>IF(Perfiles_usuario!P187=0,"",Perfiles_usuario!P187)</f>
        <v/>
      </c>
      <c r="I717" s="1377" t="str">
        <f>IF(Perfiles_usuario!R187=0,"",Perfiles_usuario!R187)</f>
        <v/>
      </c>
      <c r="J717" s="1375" t="str">
        <f>IF(Perfiles_usuario!T187=0,"",Perfiles_usuario!T187)</f>
        <v/>
      </c>
      <c r="K717" s="1375" t="str">
        <f>IF(Perfiles_usuario!V187=0,"",Perfiles_usuario!V187)</f>
        <v/>
      </c>
      <c r="L717" s="1375" t="str">
        <f>IF(Perfiles_usuario!X187=0,"",Perfiles_usuario!X187)</f>
        <v/>
      </c>
      <c r="M717" s="1375" t="str">
        <f>IF(Perfiles_usuario!Z187=0,"",Perfiles_usuario!Z187)</f>
        <v/>
      </c>
      <c r="N717" s="1375" t="str">
        <f>IF(Perfiles_usuario!AB187=0,"",Perfiles_usuario!AB187)</f>
        <v/>
      </c>
      <c r="O717" s="1375" t="str">
        <f>IF(Perfiles_usuario!AD187=0,"",Perfiles_usuario!AD187)</f>
        <v/>
      </c>
      <c r="P717" s="1375" t="str">
        <f>IF(Perfiles_usuario!AF187=0,"",Perfiles_usuario!AF187)</f>
        <v/>
      </c>
      <c r="Q717" s="1375" t="str">
        <f>IF(Perfiles_usuario!AH187=0,"",Perfiles_usuario!AH187)</f>
        <v/>
      </c>
      <c r="R717" s="1375" t="str">
        <f>IF(Perfiles_usuario!AJ187=0,"",Perfiles_usuario!AJ187)</f>
        <v/>
      </c>
      <c r="S717" s="1375" t="str">
        <f>IF(Perfiles_usuario!AL187=0,"",Perfiles_usuario!AL187)</f>
        <v/>
      </c>
      <c r="T717" s="1375" t="str">
        <f>IF(Perfiles_usuario!AN187=0,"",Perfiles_usuario!AN187)</f>
        <v/>
      </c>
      <c r="U717" s="1373">
        <f>Perfiles_usuario!AP187</f>
        <v>0</v>
      </c>
      <c r="V717" s="1171"/>
      <c r="W717" s="441"/>
    </row>
    <row r="718" spans="1:23" ht="50.45" customHeight="1">
      <c r="A718" s="420"/>
      <c r="B718" s="1376" t="str">
        <f>IF(Perfiles_usuario!B189=0,"",Perfiles_usuario!B189)</f>
        <v/>
      </c>
      <c r="C718" s="1375" t="str">
        <f>IF(Perfiles_usuario!D189=0,"",Perfiles_usuario!D189)</f>
        <v/>
      </c>
      <c r="D718" s="1375" t="str">
        <f>IF(Perfiles_usuario!F189=0,"",Perfiles_usuario!F189)</f>
        <v/>
      </c>
      <c r="E718" s="1375" t="str">
        <f>IF(Perfiles_usuario!H189=0,"",Perfiles_usuario!H189)</f>
        <v/>
      </c>
      <c r="F718" s="1375" t="str">
        <f>IF(Perfiles_usuario!J189=0,"",Perfiles_usuario!J189)</f>
        <v/>
      </c>
      <c r="G718" s="1377" t="str">
        <f>IF(Perfiles_usuario!N189=0,"",Perfiles_usuario!N189)</f>
        <v/>
      </c>
      <c r="H718" s="1377" t="str">
        <f>IF(Perfiles_usuario!P189=0,"",Perfiles_usuario!P189)</f>
        <v/>
      </c>
      <c r="I718" s="1377" t="str">
        <f>IF(Perfiles_usuario!R189=0,"",Perfiles_usuario!R189)</f>
        <v/>
      </c>
      <c r="J718" s="1375" t="str">
        <f>IF(Perfiles_usuario!T189=0,"",Perfiles_usuario!T189)</f>
        <v/>
      </c>
      <c r="K718" s="1375" t="str">
        <f>IF(Perfiles_usuario!V189=0,"",Perfiles_usuario!V189)</f>
        <v/>
      </c>
      <c r="L718" s="1375" t="str">
        <f>IF(Perfiles_usuario!X189=0,"",Perfiles_usuario!X189)</f>
        <v/>
      </c>
      <c r="M718" s="1375" t="str">
        <f>IF(Perfiles_usuario!Z189=0,"",Perfiles_usuario!Z189)</f>
        <v/>
      </c>
      <c r="N718" s="1375" t="str">
        <f>IF(Perfiles_usuario!AB189=0,"",Perfiles_usuario!AB189)</f>
        <v/>
      </c>
      <c r="O718" s="1375" t="str">
        <f>IF(Perfiles_usuario!AD189=0,"",Perfiles_usuario!AD189)</f>
        <v/>
      </c>
      <c r="P718" s="1375" t="str">
        <f>IF(Perfiles_usuario!AF189=0,"",Perfiles_usuario!AF189)</f>
        <v/>
      </c>
      <c r="Q718" s="1375" t="str">
        <f>IF(Perfiles_usuario!AH189=0,"",Perfiles_usuario!AH189)</f>
        <v/>
      </c>
      <c r="R718" s="1375" t="str">
        <f>IF(Perfiles_usuario!AJ189=0,"",Perfiles_usuario!AJ189)</f>
        <v/>
      </c>
      <c r="S718" s="1375" t="str">
        <f>IF(Perfiles_usuario!AL189=0,"",Perfiles_usuario!AL189)</f>
        <v/>
      </c>
      <c r="T718" s="1375" t="str">
        <f>IF(Perfiles_usuario!AN189=0,"",Perfiles_usuario!AN189)</f>
        <v/>
      </c>
      <c r="U718" s="1373">
        <f>Perfiles_usuario!AP189</f>
        <v>0</v>
      </c>
      <c r="V718" s="1171"/>
      <c r="W718" s="441"/>
    </row>
    <row r="719" spans="1:23" ht="50.45" customHeight="1">
      <c r="A719" s="420"/>
      <c r="B719" s="1376" t="str">
        <f>IF(Perfiles_usuario!B191=0,"",Perfiles_usuario!B191)</f>
        <v/>
      </c>
      <c r="C719" s="1375" t="str">
        <f>IF(Perfiles_usuario!D191=0,"",Perfiles_usuario!D191)</f>
        <v/>
      </c>
      <c r="D719" s="1375" t="str">
        <f>IF(Perfiles_usuario!F191=0,"",Perfiles_usuario!F191)</f>
        <v/>
      </c>
      <c r="E719" s="1375" t="str">
        <f>IF(Perfiles_usuario!H191=0,"",Perfiles_usuario!H191)</f>
        <v/>
      </c>
      <c r="F719" s="1375" t="str">
        <f>IF(Perfiles_usuario!J191=0,"",Perfiles_usuario!J191)</f>
        <v/>
      </c>
      <c r="G719" s="1377" t="str">
        <f>IF(Perfiles_usuario!N191=0,"",Perfiles_usuario!N191)</f>
        <v/>
      </c>
      <c r="H719" s="1377" t="str">
        <f>IF(Perfiles_usuario!P191=0,"",Perfiles_usuario!P191)</f>
        <v/>
      </c>
      <c r="I719" s="1377" t="str">
        <f>IF(Perfiles_usuario!R191=0,"",Perfiles_usuario!R191)</f>
        <v/>
      </c>
      <c r="J719" s="1375" t="str">
        <f>IF(Perfiles_usuario!T191=0,"",Perfiles_usuario!T191)</f>
        <v/>
      </c>
      <c r="K719" s="1375" t="str">
        <f>IF(Perfiles_usuario!V191=0,"",Perfiles_usuario!V191)</f>
        <v/>
      </c>
      <c r="L719" s="1375" t="str">
        <f>IF(Perfiles_usuario!X191=0,"",Perfiles_usuario!X191)</f>
        <v/>
      </c>
      <c r="M719" s="1375" t="str">
        <f>IF(Perfiles_usuario!Z191=0,"",Perfiles_usuario!Z191)</f>
        <v/>
      </c>
      <c r="N719" s="1375" t="str">
        <f>IF(Perfiles_usuario!AB191=0,"",Perfiles_usuario!AB191)</f>
        <v/>
      </c>
      <c r="O719" s="1375" t="str">
        <f>IF(Perfiles_usuario!AD191=0,"",Perfiles_usuario!AD191)</f>
        <v/>
      </c>
      <c r="P719" s="1375" t="str">
        <f>IF(Perfiles_usuario!AF191=0,"",Perfiles_usuario!AF191)</f>
        <v/>
      </c>
      <c r="Q719" s="1375" t="str">
        <f>IF(Perfiles_usuario!AH191=0,"",Perfiles_usuario!AH191)</f>
        <v/>
      </c>
      <c r="R719" s="1375" t="str">
        <f>IF(Perfiles_usuario!AJ191=0,"",Perfiles_usuario!AJ191)</f>
        <v/>
      </c>
      <c r="S719" s="1375" t="str">
        <f>IF(Perfiles_usuario!AL191=0,"",Perfiles_usuario!AL191)</f>
        <v/>
      </c>
      <c r="T719" s="1375" t="str">
        <f>IF(Perfiles_usuario!AN191=0,"",Perfiles_usuario!AN191)</f>
        <v/>
      </c>
      <c r="U719" s="1373">
        <f>Perfiles_usuario!AP191</f>
        <v>0</v>
      </c>
      <c r="V719" s="1171"/>
      <c r="W719" s="441"/>
    </row>
    <row r="720" spans="1:23" ht="50.45" customHeight="1">
      <c r="A720" s="420"/>
      <c r="B720" s="1376" t="str">
        <f>IF(Perfiles_usuario!B193=0,"",Perfiles_usuario!B193)</f>
        <v/>
      </c>
      <c r="C720" s="1375" t="str">
        <f>IF(Perfiles_usuario!D193=0,"",Perfiles_usuario!D193)</f>
        <v/>
      </c>
      <c r="D720" s="1375" t="str">
        <f>IF(Perfiles_usuario!F193=0,"",Perfiles_usuario!F193)</f>
        <v/>
      </c>
      <c r="E720" s="1375" t="str">
        <f>IF(Perfiles_usuario!H193=0,"",Perfiles_usuario!H193)</f>
        <v/>
      </c>
      <c r="F720" s="1375" t="str">
        <f>IF(Perfiles_usuario!J193=0,"",Perfiles_usuario!J193)</f>
        <v/>
      </c>
      <c r="G720" s="1377" t="str">
        <f>IF(Perfiles_usuario!N193=0,"",Perfiles_usuario!N193)</f>
        <v/>
      </c>
      <c r="H720" s="1377" t="str">
        <f>IF(Perfiles_usuario!P193=0,"",Perfiles_usuario!P193)</f>
        <v/>
      </c>
      <c r="I720" s="1377" t="str">
        <f>IF(Perfiles_usuario!R193=0,"",Perfiles_usuario!R193)</f>
        <v/>
      </c>
      <c r="J720" s="1375" t="str">
        <f>IF(Perfiles_usuario!T193=0,"",Perfiles_usuario!T193)</f>
        <v/>
      </c>
      <c r="K720" s="1375" t="str">
        <f>IF(Perfiles_usuario!V193=0,"",Perfiles_usuario!V193)</f>
        <v/>
      </c>
      <c r="L720" s="1375" t="str">
        <f>IF(Perfiles_usuario!X193=0,"",Perfiles_usuario!X193)</f>
        <v/>
      </c>
      <c r="M720" s="1375" t="str">
        <f>IF(Perfiles_usuario!Z193=0,"",Perfiles_usuario!Z193)</f>
        <v/>
      </c>
      <c r="N720" s="1375" t="str">
        <f>IF(Perfiles_usuario!AB193=0,"",Perfiles_usuario!AB193)</f>
        <v/>
      </c>
      <c r="O720" s="1375" t="str">
        <f>IF(Perfiles_usuario!AD193=0,"",Perfiles_usuario!AD193)</f>
        <v/>
      </c>
      <c r="P720" s="1375" t="str">
        <f>IF(Perfiles_usuario!AF193=0,"",Perfiles_usuario!AF193)</f>
        <v/>
      </c>
      <c r="Q720" s="1375" t="str">
        <f>IF(Perfiles_usuario!AH193=0,"",Perfiles_usuario!AH193)</f>
        <v/>
      </c>
      <c r="R720" s="1375" t="str">
        <f>IF(Perfiles_usuario!AJ193=0,"",Perfiles_usuario!AJ193)</f>
        <v/>
      </c>
      <c r="S720" s="1375" t="str">
        <f>IF(Perfiles_usuario!AL193=0,"",Perfiles_usuario!AL193)</f>
        <v/>
      </c>
      <c r="T720" s="1375" t="str">
        <f>IF(Perfiles_usuario!AN193=0,"",Perfiles_usuario!AN193)</f>
        <v/>
      </c>
      <c r="U720" s="1373">
        <f>Perfiles_usuario!AP193</f>
        <v>0</v>
      </c>
      <c r="V720" s="1171"/>
      <c r="W720" s="441"/>
    </row>
    <row r="721" spans="1:23" ht="50.45" customHeight="1">
      <c r="A721" s="420"/>
      <c r="B721" s="1376" t="str">
        <f>IF(Perfiles_usuario!B195=0,"",Perfiles_usuario!B195)</f>
        <v/>
      </c>
      <c r="C721" s="1375" t="str">
        <f>IF(Perfiles_usuario!D195=0,"",Perfiles_usuario!D195)</f>
        <v/>
      </c>
      <c r="D721" s="1375" t="str">
        <f>IF(Perfiles_usuario!F195=0,"",Perfiles_usuario!F195)</f>
        <v/>
      </c>
      <c r="E721" s="1375" t="str">
        <f>IF(Perfiles_usuario!H195=0,"",Perfiles_usuario!H195)</f>
        <v/>
      </c>
      <c r="F721" s="1375" t="str">
        <f>IF(Perfiles_usuario!J195=0,"",Perfiles_usuario!J195)</f>
        <v/>
      </c>
      <c r="G721" s="1377" t="str">
        <f>IF(Perfiles_usuario!N195=0,"",Perfiles_usuario!N195)</f>
        <v/>
      </c>
      <c r="H721" s="1377" t="str">
        <f>IF(Perfiles_usuario!P195=0,"",Perfiles_usuario!P195)</f>
        <v/>
      </c>
      <c r="I721" s="1377" t="str">
        <f>IF(Perfiles_usuario!R195=0,"",Perfiles_usuario!R195)</f>
        <v/>
      </c>
      <c r="J721" s="1375" t="str">
        <f>IF(Perfiles_usuario!T195=0,"",Perfiles_usuario!T195)</f>
        <v/>
      </c>
      <c r="K721" s="1375" t="str">
        <f>IF(Perfiles_usuario!V195=0,"",Perfiles_usuario!V195)</f>
        <v/>
      </c>
      <c r="L721" s="1375" t="str">
        <f>IF(Perfiles_usuario!X195=0,"",Perfiles_usuario!X195)</f>
        <v/>
      </c>
      <c r="M721" s="1375" t="str">
        <f>IF(Perfiles_usuario!Z195=0,"",Perfiles_usuario!Z195)</f>
        <v/>
      </c>
      <c r="N721" s="1375" t="str">
        <f>IF(Perfiles_usuario!AB195=0,"",Perfiles_usuario!AB195)</f>
        <v/>
      </c>
      <c r="O721" s="1375" t="str">
        <f>IF(Perfiles_usuario!AD195=0,"",Perfiles_usuario!AD195)</f>
        <v/>
      </c>
      <c r="P721" s="1375" t="str">
        <f>IF(Perfiles_usuario!AF195=0,"",Perfiles_usuario!AF195)</f>
        <v/>
      </c>
      <c r="Q721" s="1375" t="str">
        <f>IF(Perfiles_usuario!AH195=0,"",Perfiles_usuario!AH195)</f>
        <v/>
      </c>
      <c r="R721" s="1375" t="str">
        <f>IF(Perfiles_usuario!AJ195=0,"",Perfiles_usuario!AJ195)</f>
        <v/>
      </c>
      <c r="S721" s="1375" t="str">
        <f>IF(Perfiles_usuario!AL195=0,"",Perfiles_usuario!AL195)</f>
        <v/>
      </c>
      <c r="T721" s="1375" t="str">
        <f>IF(Perfiles_usuario!AN195=0,"",Perfiles_usuario!AN195)</f>
        <v/>
      </c>
      <c r="U721" s="1373">
        <f>Perfiles_usuario!AP195</f>
        <v>0</v>
      </c>
      <c r="V721" s="1171"/>
      <c r="W721" s="441"/>
    </row>
    <row r="722" spans="1:23" ht="50.45" customHeight="1">
      <c r="A722" s="420"/>
      <c r="B722" s="1376" t="str">
        <f>IF(Perfiles_usuario!B197=0,"",Perfiles_usuario!B197)</f>
        <v/>
      </c>
      <c r="C722" s="1375" t="str">
        <f>IF(Perfiles_usuario!D197=0,"",Perfiles_usuario!D197)</f>
        <v/>
      </c>
      <c r="D722" s="1375" t="str">
        <f>IF(Perfiles_usuario!F197=0,"",Perfiles_usuario!F197)</f>
        <v/>
      </c>
      <c r="E722" s="1375" t="str">
        <f>IF(Perfiles_usuario!H197=0,"",Perfiles_usuario!H197)</f>
        <v/>
      </c>
      <c r="F722" s="1375" t="str">
        <f>IF(Perfiles_usuario!J197=0,"",Perfiles_usuario!J197)</f>
        <v/>
      </c>
      <c r="G722" s="1377" t="str">
        <f>IF(Perfiles_usuario!N197=0,"",Perfiles_usuario!N197)</f>
        <v/>
      </c>
      <c r="H722" s="1377" t="str">
        <f>IF(Perfiles_usuario!P197=0,"",Perfiles_usuario!P197)</f>
        <v/>
      </c>
      <c r="I722" s="1377" t="str">
        <f>IF(Perfiles_usuario!R197=0,"",Perfiles_usuario!R197)</f>
        <v/>
      </c>
      <c r="J722" s="1375" t="str">
        <f>IF(Perfiles_usuario!T197=0,"",Perfiles_usuario!T197)</f>
        <v/>
      </c>
      <c r="K722" s="1375" t="str">
        <f>IF(Perfiles_usuario!V197=0,"",Perfiles_usuario!V197)</f>
        <v/>
      </c>
      <c r="L722" s="1375" t="str">
        <f>IF(Perfiles_usuario!X197=0,"",Perfiles_usuario!X197)</f>
        <v/>
      </c>
      <c r="M722" s="1375" t="str">
        <f>IF(Perfiles_usuario!Z197=0,"",Perfiles_usuario!Z197)</f>
        <v/>
      </c>
      <c r="N722" s="1375" t="str">
        <f>IF(Perfiles_usuario!AB197=0,"",Perfiles_usuario!AB197)</f>
        <v/>
      </c>
      <c r="O722" s="1375" t="str">
        <f>IF(Perfiles_usuario!AD197=0,"",Perfiles_usuario!AD197)</f>
        <v/>
      </c>
      <c r="P722" s="1375" t="str">
        <f>IF(Perfiles_usuario!AF197=0,"",Perfiles_usuario!AF197)</f>
        <v/>
      </c>
      <c r="Q722" s="1375" t="str">
        <f>IF(Perfiles_usuario!AH197=0,"",Perfiles_usuario!AH197)</f>
        <v/>
      </c>
      <c r="R722" s="1375" t="str">
        <f>IF(Perfiles_usuario!AJ197=0,"",Perfiles_usuario!AJ197)</f>
        <v/>
      </c>
      <c r="S722" s="1375" t="str">
        <f>IF(Perfiles_usuario!AL197=0,"",Perfiles_usuario!AL197)</f>
        <v/>
      </c>
      <c r="T722" s="1375" t="str">
        <f>IF(Perfiles_usuario!AN197=0,"",Perfiles_usuario!AN197)</f>
        <v/>
      </c>
      <c r="U722" s="1373">
        <f>Perfiles_usuario!AP197</f>
        <v>0</v>
      </c>
      <c r="V722" s="1171"/>
      <c r="W722" s="441"/>
    </row>
    <row r="723" spans="1:23" ht="50.45" customHeight="1">
      <c r="A723" s="420"/>
      <c r="B723" s="1376" t="str">
        <f>IF(Perfiles_usuario!B199=0,"",Perfiles_usuario!B199)</f>
        <v/>
      </c>
      <c r="C723" s="1375" t="str">
        <f>IF(Perfiles_usuario!D199=0,"",Perfiles_usuario!D199)</f>
        <v/>
      </c>
      <c r="D723" s="1375" t="str">
        <f>IF(Perfiles_usuario!F199=0,"",Perfiles_usuario!F199)</f>
        <v/>
      </c>
      <c r="E723" s="1375" t="str">
        <f>IF(Perfiles_usuario!H199=0,"",Perfiles_usuario!H199)</f>
        <v/>
      </c>
      <c r="F723" s="1375" t="str">
        <f>IF(Perfiles_usuario!J199=0,"",Perfiles_usuario!J199)</f>
        <v/>
      </c>
      <c r="G723" s="1377" t="str">
        <f>IF(Perfiles_usuario!N199=0,"",Perfiles_usuario!N199)</f>
        <v/>
      </c>
      <c r="H723" s="1377" t="str">
        <f>IF(Perfiles_usuario!P199=0,"",Perfiles_usuario!P199)</f>
        <v/>
      </c>
      <c r="I723" s="1377" t="str">
        <f>IF(Perfiles_usuario!R199=0,"",Perfiles_usuario!R199)</f>
        <v/>
      </c>
      <c r="J723" s="1375" t="str">
        <f>IF(Perfiles_usuario!T199=0,"",Perfiles_usuario!T199)</f>
        <v/>
      </c>
      <c r="K723" s="1375" t="str">
        <f>IF(Perfiles_usuario!V199=0,"",Perfiles_usuario!V199)</f>
        <v/>
      </c>
      <c r="L723" s="1375" t="str">
        <f>IF(Perfiles_usuario!X199=0,"",Perfiles_usuario!X199)</f>
        <v/>
      </c>
      <c r="M723" s="1375" t="str">
        <f>IF(Perfiles_usuario!Z199=0,"",Perfiles_usuario!Z199)</f>
        <v/>
      </c>
      <c r="N723" s="1375" t="str">
        <f>IF(Perfiles_usuario!AB199=0,"",Perfiles_usuario!AB199)</f>
        <v/>
      </c>
      <c r="O723" s="1375" t="str">
        <f>IF(Perfiles_usuario!AD199=0,"",Perfiles_usuario!AD199)</f>
        <v/>
      </c>
      <c r="P723" s="1375" t="str">
        <f>IF(Perfiles_usuario!AF199=0,"",Perfiles_usuario!AF199)</f>
        <v/>
      </c>
      <c r="Q723" s="1375" t="str">
        <f>IF(Perfiles_usuario!AH199=0,"",Perfiles_usuario!AH199)</f>
        <v/>
      </c>
      <c r="R723" s="1375" t="str">
        <f>IF(Perfiles_usuario!AJ199=0,"",Perfiles_usuario!AJ199)</f>
        <v/>
      </c>
      <c r="S723" s="1375" t="str">
        <f>IF(Perfiles_usuario!AL199=0,"",Perfiles_usuario!AL199)</f>
        <v/>
      </c>
      <c r="T723" s="1375" t="str">
        <f>IF(Perfiles_usuario!AN199=0,"",Perfiles_usuario!AN199)</f>
        <v/>
      </c>
      <c r="U723" s="1373">
        <f>Perfiles_usuario!AP199</f>
        <v>0</v>
      </c>
      <c r="V723" s="1171"/>
      <c r="W723" s="441"/>
    </row>
    <row r="724" spans="1:23" ht="50.45" customHeight="1">
      <c r="A724" s="420"/>
      <c r="B724" s="1376" t="str">
        <f>IF(Perfiles_usuario!B201=0,"",Perfiles_usuario!B201)</f>
        <v/>
      </c>
      <c r="C724" s="1375" t="str">
        <f>IF(Perfiles_usuario!D201=0,"",Perfiles_usuario!D201)</f>
        <v/>
      </c>
      <c r="D724" s="1375" t="str">
        <f>IF(Perfiles_usuario!F201=0,"",Perfiles_usuario!F201)</f>
        <v/>
      </c>
      <c r="E724" s="1375" t="str">
        <f>IF(Perfiles_usuario!H201=0,"",Perfiles_usuario!H201)</f>
        <v/>
      </c>
      <c r="F724" s="1375" t="str">
        <f>IF(Perfiles_usuario!J201=0,"",Perfiles_usuario!J201)</f>
        <v/>
      </c>
      <c r="G724" s="1377" t="str">
        <f>IF(Perfiles_usuario!N201=0,"",Perfiles_usuario!N201)</f>
        <v/>
      </c>
      <c r="H724" s="1377" t="str">
        <f>IF(Perfiles_usuario!P201=0,"",Perfiles_usuario!P201)</f>
        <v/>
      </c>
      <c r="I724" s="1377" t="str">
        <f>IF(Perfiles_usuario!R201=0,"",Perfiles_usuario!R201)</f>
        <v/>
      </c>
      <c r="J724" s="1375" t="str">
        <f>IF(Perfiles_usuario!T201=0,"",Perfiles_usuario!T201)</f>
        <v/>
      </c>
      <c r="K724" s="1375" t="str">
        <f>IF(Perfiles_usuario!V201=0,"",Perfiles_usuario!V201)</f>
        <v/>
      </c>
      <c r="L724" s="1375" t="str">
        <f>IF(Perfiles_usuario!X201=0,"",Perfiles_usuario!X201)</f>
        <v/>
      </c>
      <c r="M724" s="1375" t="str">
        <f>IF(Perfiles_usuario!Z201=0,"",Perfiles_usuario!Z201)</f>
        <v/>
      </c>
      <c r="N724" s="1375" t="str">
        <f>IF(Perfiles_usuario!AB201=0,"",Perfiles_usuario!AB201)</f>
        <v/>
      </c>
      <c r="O724" s="1375" t="str">
        <f>IF(Perfiles_usuario!AD201=0,"",Perfiles_usuario!AD201)</f>
        <v/>
      </c>
      <c r="P724" s="1375" t="str">
        <f>IF(Perfiles_usuario!AF201=0,"",Perfiles_usuario!AF201)</f>
        <v/>
      </c>
      <c r="Q724" s="1375" t="str">
        <f>IF(Perfiles_usuario!AH201=0,"",Perfiles_usuario!AH201)</f>
        <v/>
      </c>
      <c r="R724" s="1375" t="str">
        <f>IF(Perfiles_usuario!AJ201=0,"",Perfiles_usuario!AJ201)</f>
        <v/>
      </c>
      <c r="S724" s="1375" t="str">
        <f>IF(Perfiles_usuario!AL201=0,"",Perfiles_usuario!AL201)</f>
        <v/>
      </c>
      <c r="T724" s="1375" t="str">
        <f>IF(Perfiles_usuario!AN201=0,"",Perfiles_usuario!AN201)</f>
        <v/>
      </c>
      <c r="U724" s="1373">
        <f>Perfiles_usuario!AP201</f>
        <v>0</v>
      </c>
      <c r="V724" s="1171"/>
      <c r="W724" s="441"/>
    </row>
    <row r="725" spans="1:23" ht="50.45" customHeight="1">
      <c r="A725" s="420"/>
      <c r="B725" s="1376" t="str">
        <f>IF(Perfiles_usuario!B203=0,"",Perfiles_usuario!B203)</f>
        <v/>
      </c>
      <c r="C725" s="1375" t="str">
        <f>IF(Perfiles_usuario!D203=0,"",Perfiles_usuario!D203)</f>
        <v/>
      </c>
      <c r="D725" s="1375" t="str">
        <f>IF(Perfiles_usuario!F203=0,"",Perfiles_usuario!F203)</f>
        <v/>
      </c>
      <c r="E725" s="1375" t="str">
        <f>IF(Perfiles_usuario!H203=0,"",Perfiles_usuario!H203)</f>
        <v/>
      </c>
      <c r="F725" s="1375" t="str">
        <f>IF(Perfiles_usuario!J203=0,"",Perfiles_usuario!J203)</f>
        <v/>
      </c>
      <c r="G725" s="1377" t="str">
        <f>IF(Perfiles_usuario!N203=0,"",Perfiles_usuario!N203)</f>
        <v/>
      </c>
      <c r="H725" s="1377" t="str">
        <f>IF(Perfiles_usuario!P203=0,"",Perfiles_usuario!P203)</f>
        <v/>
      </c>
      <c r="I725" s="1377" t="str">
        <f>IF(Perfiles_usuario!R203=0,"",Perfiles_usuario!R203)</f>
        <v/>
      </c>
      <c r="J725" s="1375" t="str">
        <f>IF(Perfiles_usuario!T203=0,"",Perfiles_usuario!T203)</f>
        <v/>
      </c>
      <c r="K725" s="1375" t="str">
        <f>IF(Perfiles_usuario!V203=0,"",Perfiles_usuario!V203)</f>
        <v/>
      </c>
      <c r="L725" s="1375" t="str">
        <f>IF(Perfiles_usuario!X203=0,"",Perfiles_usuario!X203)</f>
        <v/>
      </c>
      <c r="M725" s="1375" t="str">
        <f>IF(Perfiles_usuario!Z203=0,"",Perfiles_usuario!Z203)</f>
        <v/>
      </c>
      <c r="N725" s="1375" t="str">
        <f>IF(Perfiles_usuario!AB203=0,"",Perfiles_usuario!AB203)</f>
        <v/>
      </c>
      <c r="O725" s="1375" t="str">
        <f>IF(Perfiles_usuario!AD203=0,"",Perfiles_usuario!AD203)</f>
        <v/>
      </c>
      <c r="P725" s="1375" t="str">
        <f>IF(Perfiles_usuario!AF203=0,"",Perfiles_usuario!AF203)</f>
        <v/>
      </c>
      <c r="Q725" s="1375" t="str">
        <f>IF(Perfiles_usuario!AH203=0,"",Perfiles_usuario!AH203)</f>
        <v/>
      </c>
      <c r="R725" s="1375" t="str">
        <f>IF(Perfiles_usuario!AJ203=0,"",Perfiles_usuario!AJ203)</f>
        <v/>
      </c>
      <c r="S725" s="1375" t="str">
        <f>IF(Perfiles_usuario!AL203=0,"",Perfiles_usuario!AL203)</f>
        <v/>
      </c>
      <c r="T725" s="1375" t="str">
        <f>IF(Perfiles_usuario!AN203=0,"",Perfiles_usuario!AN203)</f>
        <v/>
      </c>
      <c r="U725" s="1373">
        <f>Perfiles_usuario!AP203</f>
        <v>0</v>
      </c>
      <c r="V725" s="1171"/>
      <c r="W725" s="441"/>
    </row>
    <row r="726" spans="1:23" ht="50.45" customHeight="1">
      <c r="A726" s="420"/>
      <c r="B726" s="1376" t="str">
        <f>IF(Perfiles_usuario!B205=0,"",Perfiles_usuario!B205)</f>
        <v/>
      </c>
      <c r="C726" s="1375" t="str">
        <f>IF(Perfiles_usuario!D205=0,"",Perfiles_usuario!D205)</f>
        <v/>
      </c>
      <c r="D726" s="1375" t="str">
        <f>IF(Perfiles_usuario!F205=0,"",Perfiles_usuario!F205)</f>
        <v/>
      </c>
      <c r="E726" s="1375" t="str">
        <f>IF(Perfiles_usuario!H205=0,"",Perfiles_usuario!H205)</f>
        <v/>
      </c>
      <c r="F726" s="1375" t="str">
        <f>IF(Perfiles_usuario!J205=0,"",Perfiles_usuario!J205)</f>
        <v/>
      </c>
      <c r="G726" s="1377" t="str">
        <f>IF(Perfiles_usuario!N205=0,"",Perfiles_usuario!N205)</f>
        <v/>
      </c>
      <c r="H726" s="1377" t="str">
        <f>IF(Perfiles_usuario!P205=0,"",Perfiles_usuario!P205)</f>
        <v/>
      </c>
      <c r="I726" s="1377" t="str">
        <f>IF(Perfiles_usuario!R205=0,"",Perfiles_usuario!R205)</f>
        <v/>
      </c>
      <c r="J726" s="1375" t="str">
        <f>IF(Perfiles_usuario!T205=0,"",Perfiles_usuario!T205)</f>
        <v/>
      </c>
      <c r="K726" s="1375" t="str">
        <f>IF(Perfiles_usuario!V205=0,"",Perfiles_usuario!V205)</f>
        <v/>
      </c>
      <c r="L726" s="1375" t="str">
        <f>IF(Perfiles_usuario!X205=0,"",Perfiles_usuario!X205)</f>
        <v/>
      </c>
      <c r="M726" s="1375" t="str">
        <f>IF(Perfiles_usuario!Z205=0,"",Perfiles_usuario!Z205)</f>
        <v/>
      </c>
      <c r="N726" s="1375" t="str">
        <f>IF(Perfiles_usuario!AB205=0,"",Perfiles_usuario!AB205)</f>
        <v/>
      </c>
      <c r="O726" s="1375" t="str">
        <f>IF(Perfiles_usuario!AD205=0,"",Perfiles_usuario!AD205)</f>
        <v/>
      </c>
      <c r="P726" s="1375" t="str">
        <f>IF(Perfiles_usuario!AF205=0,"",Perfiles_usuario!AF205)</f>
        <v/>
      </c>
      <c r="Q726" s="1375" t="str">
        <f>IF(Perfiles_usuario!AH205=0,"",Perfiles_usuario!AH205)</f>
        <v/>
      </c>
      <c r="R726" s="1375" t="str">
        <f>IF(Perfiles_usuario!AJ205=0,"",Perfiles_usuario!AJ205)</f>
        <v/>
      </c>
      <c r="S726" s="1375" t="str">
        <f>IF(Perfiles_usuario!AL205=0,"",Perfiles_usuario!AL205)</f>
        <v/>
      </c>
      <c r="T726" s="1375" t="str">
        <f>IF(Perfiles_usuario!AN205=0,"",Perfiles_usuario!AN205)</f>
        <v/>
      </c>
      <c r="U726" s="1373">
        <f>Perfiles_usuario!AP205</f>
        <v>0</v>
      </c>
      <c r="V726" s="1171"/>
      <c r="W726" s="441"/>
    </row>
    <row r="727" spans="1:23" ht="27.6" customHeight="1">
      <c r="A727" s="420"/>
      <c r="V727" s="420"/>
      <c r="W727" s="441"/>
    </row>
    <row r="728" spans="1:23" ht="41.25" customHeight="1">
      <c r="A728" s="420"/>
      <c r="B728" s="420"/>
      <c r="C728" s="420"/>
      <c r="D728" s="420"/>
      <c r="E728" s="420"/>
      <c r="F728" s="420"/>
      <c r="G728" s="420"/>
      <c r="H728" s="420"/>
      <c r="I728" s="420"/>
      <c r="J728" s="420"/>
      <c r="K728" s="420"/>
      <c r="L728" s="420"/>
      <c r="M728" s="420"/>
      <c r="N728" s="420"/>
      <c r="O728" s="420"/>
      <c r="P728" s="420"/>
      <c r="Q728" s="420"/>
      <c r="S728" s="2262" t="s">
        <v>295</v>
      </c>
      <c r="T728" s="2263"/>
      <c r="U728" s="832">
        <f>Perfiles_usuario!AP207</f>
        <v>0</v>
      </c>
      <c r="V728" s="420"/>
      <c r="W728" s="441"/>
    </row>
    <row r="730" spans="1:23" ht="19.149999999999999" customHeight="1">
      <c r="B730" s="522"/>
      <c r="C730" s="585"/>
      <c r="D730" s="584"/>
      <c r="E730" s="584"/>
      <c r="F730" s="584"/>
      <c r="G730" s="586"/>
      <c r="H730" s="586"/>
      <c r="I730" s="586"/>
      <c r="J730" s="586"/>
      <c r="K730" s="587"/>
      <c r="L730" s="587"/>
      <c r="M730" s="587"/>
      <c r="N730" s="587"/>
      <c r="O730" s="587"/>
      <c r="P730" s="587"/>
      <c r="Q730" s="561"/>
      <c r="R730" s="561"/>
      <c r="S730" s="441"/>
      <c r="T730" s="441"/>
      <c r="U730" s="588"/>
      <c r="V730" s="441"/>
    </row>
    <row r="731" spans="1:23">
      <c r="A731" s="420"/>
      <c r="B731" s="420"/>
      <c r="C731" s="420"/>
      <c r="D731" s="420"/>
      <c r="E731" s="420"/>
      <c r="F731" s="420"/>
      <c r="G731" s="420"/>
      <c r="H731" s="420"/>
      <c r="I731" s="420"/>
      <c r="J731" s="420"/>
      <c r="K731" s="420"/>
      <c r="L731" s="420"/>
      <c r="M731" s="420"/>
      <c r="N731" s="420"/>
      <c r="O731" s="420"/>
      <c r="P731" s="420"/>
      <c r="Q731" s="420"/>
      <c r="R731" s="420"/>
      <c r="S731" s="420"/>
      <c r="T731" s="420"/>
      <c r="U731" s="420"/>
      <c r="V731" s="420"/>
    </row>
    <row r="732" spans="1:23" ht="15.75">
      <c r="A732" s="420"/>
      <c r="B732" s="420"/>
      <c r="C732" s="420"/>
      <c r="D732" s="420"/>
      <c r="E732" s="420"/>
      <c r="F732" s="420"/>
      <c r="G732" s="420"/>
      <c r="H732" s="420"/>
      <c r="I732" s="420"/>
      <c r="J732" s="420"/>
      <c r="K732" s="420"/>
      <c r="L732" s="420"/>
      <c r="M732" s="476" t="s">
        <v>1811</v>
      </c>
      <c r="N732" s="420"/>
      <c r="O732" s="420"/>
      <c r="P732" s="420"/>
      <c r="Q732" s="420"/>
      <c r="R732" s="477" t="s">
        <v>692</v>
      </c>
      <c r="S732" s="478" t="str">
        <f>$E$39</f>
        <v>ILF5_90FCORCP_B114CAGR43006</v>
      </c>
      <c r="T732" s="420"/>
      <c r="U732" s="420"/>
      <c r="V732" s="420"/>
    </row>
    <row r="733" spans="1:23">
      <c r="A733" s="420"/>
      <c r="B733" s="420"/>
      <c r="C733" s="420"/>
      <c r="D733" s="420"/>
      <c r="E733" s="420"/>
      <c r="F733" s="420"/>
      <c r="G733" s="420"/>
      <c r="H733" s="420"/>
      <c r="I733" s="420"/>
      <c r="J733" s="420"/>
      <c r="K733" s="420"/>
      <c r="L733" s="420"/>
      <c r="M733" s="420"/>
      <c r="N733" s="420"/>
      <c r="O733" s="420"/>
      <c r="P733" s="420"/>
      <c r="Q733" s="420"/>
      <c r="R733" s="420"/>
      <c r="S733" s="420"/>
      <c r="T733" s="420"/>
      <c r="U733" s="420"/>
      <c r="V733" s="420"/>
    </row>
    <row r="734" spans="1:23">
      <c r="A734" s="420"/>
      <c r="B734" s="420"/>
      <c r="C734" s="420"/>
      <c r="D734" s="420"/>
      <c r="E734" s="420"/>
      <c r="F734" s="420"/>
      <c r="G734" s="420"/>
      <c r="H734" s="420"/>
      <c r="I734" s="420"/>
      <c r="J734" s="420"/>
      <c r="K734" s="420"/>
      <c r="L734" s="420"/>
      <c r="M734" s="420"/>
      <c r="N734" s="420"/>
      <c r="O734" s="420"/>
      <c r="P734" s="420"/>
      <c r="Q734" s="420"/>
      <c r="R734" s="420"/>
      <c r="S734" s="420"/>
      <c r="T734" s="420"/>
      <c r="U734" s="420"/>
      <c r="V734" s="420"/>
    </row>
    <row r="735" spans="1:23">
      <c r="A735" s="420"/>
      <c r="B735" s="420"/>
      <c r="C735" s="420"/>
      <c r="D735" s="420"/>
      <c r="E735" s="420"/>
      <c r="F735" s="420"/>
      <c r="G735" s="420"/>
      <c r="H735" s="436" t="s">
        <v>691</v>
      </c>
      <c r="I735" s="420"/>
      <c r="K735" s="420"/>
      <c r="L735" s="437" t="str">
        <f>$B$11</f>
        <v>INMOBILIARIA SERVIGESTION</v>
      </c>
      <c r="M735" s="420"/>
      <c r="N735" s="420"/>
      <c r="O735" s="420"/>
      <c r="P735" s="420"/>
      <c r="Q735" s="420"/>
      <c r="R735" s="420"/>
      <c r="S735" s="420"/>
      <c r="T735" s="420"/>
      <c r="U735" s="420"/>
      <c r="V735" s="420"/>
    </row>
    <row r="736" spans="1:23" ht="34.5">
      <c r="A736" s="420"/>
      <c r="B736" s="2268" t="s">
        <v>461</v>
      </c>
      <c r="C736" s="2268"/>
      <c r="D736" s="2268"/>
      <c r="E736" s="2268"/>
      <c r="F736" s="2268"/>
      <c r="G736" s="2268"/>
      <c r="H736" s="2268"/>
      <c r="I736" s="2268"/>
      <c r="J736" s="2268"/>
      <c r="K736" s="2268"/>
      <c r="L736" s="2268"/>
      <c r="M736" s="2268"/>
      <c r="N736" s="2268"/>
      <c r="O736" s="2268"/>
      <c r="P736" s="2268"/>
      <c r="Q736" s="2268"/>
      <c r="R736" s="2268"/>
      <c r="S736" s="2268"/>
      <c r="T736" s="2268"/>
      <c r="U736" s="2268"/>
      <c r="V736" s="420"/>
    </row>
    <row r="737" spans="1:22" ht="22.9" customHeight="1">
      <c r="A737" s="420"/>
      <c r="B737" s="2269" t="s">
        <v>1774</v>
      </c>
      <c r="C737" s="2269"/>
      <c r="D737" s="2269"/>
      <c r="E737" s="2269"/>
      <c r="F737" s="2269"/>
      <c r="G737" s="2269"/>
      <c r="H737" s="2269"/>
      <c r="I737" s="2269"/>
      <c r="J737" s="2269"/>
      <c r="K737" s="2269"/>
      <c r="L737" s="2269"/>
      <c r="M737" s="2269"/>
      <c r="N737" s="2269"/>
      <c r="O737" s="2269"/>
      <c r="P737" s="2269"/>
      <c r="Q737" s="2269"/>
      <c r="R737" s="2269"/>
      <c r="S737" s="2269"/>
      <c r="T737" s="2269"/>
      <c r="U737" s="2269"/>
      <c r="V737" s="420"/>
    </row>
    <row r="738" spans="1:22" ht="6.75" customHeight="1">
      <c r="A738" s="420"/>
      <c r="B738" s="1744"/>
      <c r="C738" s="1744"/>
      <c r="D738" s="1744"/>
      <c r="E738" s="1744"/>
      <c r="F738" s="1744"/>
      <c r="G738" s="1744"/>
      <c r="H738" s="1744"/>
      <c r="I738" s="1744"/>
      <c r="J738" s="1744"/>
      <c r="K738" s="1744"/>
      <c r="L738" s="1744"/>
      <c r="M738" s="1744"/>
      <c r="N738" s="1744"/>
      <c r="O738" s="1744"/>
      <c r="Q738" s="1744"/>
      <c r="R738" s="1744"/>
      <c r="S738" s="1744"/>
      <c r="T738" s="1744"/>
      <c r="U738" s="1744"/>
      <c r="V738" s="420"/>
    </row>
    <row r="739" spans="1:22" ht="23.25">
      <c r="A739" s="420"/>
      <c r="B739" s="2252" t="s">
        <v>1753</v>
      </c>
      <c r="C739" s="2252"/>
      <c r="D739" s="2252"/>
      <c r="E739" s="2252"/>
      <c r="F739" s="2252"/>
      <c r="G739" s="2252"/>
      <c r="H739" s="2252"/>
      <c r="I739" s="2252"/>
      <c r="J739" s="2252"/>
      <c r="K739" s="2252"/>
      <c r="L739" s="1744"/>
      <c r="M739" s="1744"/>
      <c r="N739" s="1744"/>
      <c r="O739" s="1744"/>
      <c r="P739" s="1744"/>
      <c r="Q739" s="1744"/>
      <c r="R739" s="1744"/>
      <c r="S739" s="1744"/>
      <c r="T739" s="1744"/>
      <c r="U739" s="1744"/>
      <c r="V739" s="420"/>
    </row>
    <row r="740" spans="1:22" ht="30.75" customHeight="1">
      <c r="A740" s="420"/>
      <c r="B740" s="2270" t="s">
        <v>1887</v>
      </c>
      <c r="C740" s="2270"/>
      <c r="D740" s="2270"/>
      <c r="E740" s="2270"/>
      <c r="F740" s="2270"/>
      <c r="G740" s="2270"/>
      <c r="H740" s="2270"/>
      <c r="I740" s="2270"/>
      <c r="J740" s="2270"/>
      <c r="K740" s="2270"/>
      <c r="L740" s="2270"/>
      <c r="M740" s="2270"/>
      <c r="N740" s="2270"/>
      <c r="O740" s="2270"/>
      <c r="P740" s="2270"/>
      <c r="Q740" s="2270"/>
      <c r="R740" s="2270"/>
      <c r="S740" s="2270"/>
      <c r="T740" s="2270"/>
      <c r="U740" s="2270"/>
      <c r="V740" s="420"/>
    </row>
    <row r="741" spans="1:22" ht="27.6" customHeight="1">
      <c r="A741" s="420"/>
      <c r="B741" s="2266" t="s">
        <v>1776</v>
      </c>
      <c r="C741" s="2266"/>
      <c r="D741" s="2266"/>
      <c r="E741" s="2266"/>
      <c r="F741" s="2266"/>
      <c r="G741" s="2266"/>
      <c r="H741" s="2266"/>
      <c r="I741" s="2266"/>
      <c r="J741" s="2266"/>
      <c r="K741" s="2266"/>
      <c r="L741" s="2266"/>
      <c r="M741" s="2266"/>
      <c r="N741" s="2266"/>
      <c r="O741" s="2266"/>
      <c r="P741" s="2266"/>
      <c r="Q741" s="2266"/>
      <c r="R741" s="2266"/>
      <c r="S741" s="2266"/>
      <c r="T741" s="2266"/>
      <c r="U741" s="2266"/>
      <c r="V741" s="420"/>
    </row>
    <row r="742" spans="1:22" ht="27.6" customHeight="1">
      <c r="A742" s="420"/>
      <c r="B742" s="2266" t="s">
        <v>1777</v>
      </c>
      <c r="C742" s="2266"/>
      <c r="D742" s="2266"/>
      <c r="E742" s="2266"/>
      <c r="F742" s="2266"/>
      <c r="G742" s="2266"/>
      <c r="H742" s="2266"/>
      <c r="I742" s="2266"/>
      <c r="J742" s="2266"/>
      <c r="K742" s="2266"/>
      <c r="L742" s="2266"/>
      <c r="M742" s="2266"/>
      <c r="N742" s="2266"/>
      <c r="O742" s="2266"/>
      <c r="P742" s="2266"/>
      <c r="Q742" s="2266"/>
      <c r="R742" s="2266"/>
      <c r="S742" s="2266"/>
      <c r="T742" s="2266"/>
      <c r="U742" s="2266"/>
      <c r="V742" s="420"/>
    </row>
    <row r="743" spans="1:22" ht="27.6" customHeight="1">
      <c r="A743" s="420"/>
      <c r="B743" s="2266" t="s">
        <v>1778</v>
      </c>
      <c r="C743" s="2266"/>
      <c r="D743" s="2266"/>
      <c r="E743" s="2266"/>
      <c r="F743" s="2266"/>
      <c r="G743" s="2266"/>
      <c r="H743" s="2266"/>
      <c r="I743" s="2266"/>
      <c r="J743" s="2266"/>
      <c r="K743" s="2266"/>
      <c r="L743" s="2266"/>
      <c r="M743" s="2266"/>
      <c r="N743" s="2266"/>
      <c r="O743" s="2266"/>
      <c r="P743" s="2266"/>
      <c r="Q743" s="2266"/>
      <c r="R743" s="2266"/>
      <c r="S743" s="2266"/>
      <c r="T743" s="2266"/>
      <c r="U743" s="2266"/>
      <c r="V743" s="420"/>
    </row>
    <row r="744" spans="1:22" ht="27.6" customHeight="1">
      <c r="A744" s="420"/>
      <c r="B744" s="2266" t="s">
        <v>1779</v>
      </c>
      <c r="C744" s="2266"/>
      <c r="D744" s="2266"/>
      <c r="E744" s="2266"/>
      <c r="F744" s="2266"/>
      <c r="G744" s="2266"/>
      <c r="H744" s="2266"/>
      <c r="I744" s="2266"/>
      <c r="J744" s="2266"/>
      <c r="K744" s="2266"/>
      <c r="L744" s="2266"/>
      <c r="M744" s="2266"/>
      <c r="N744" s="2266"/>
      <c r="O744" s="2266"/>
      <c r="P744" s="2266"/>
      <c r="Q744" s="2266"/>
      <c r="R744" s="2266"/>
      <c r="S744" s="2266"/>
      <c r="T744" s="2266"/>
      <c r="U744" s="2266"/>
      <c r="V744" s="420"/>
    </row>
    <row r="745" spans="1:22" ht="27.6" customHeight="1">
      <c r="A745" s="420"/>
      <c r="B745" s="2266" t="s">
        <v>1780</v>
      </c>
      <c r="C745" s="2266"/>
      <c r="D745" s="2266"/>
      <c r="E745" s="2266"/>
      <c r="F745" s="2266"/>
      <c r="G745" s="2266"/>
      <c r="H745" s="2266"/>
      <c r="I745" s="2266"/>
      <c r="J745" s="2266"/>
      <c r="K745" s="2266"/>
      <c r="L745" s="2266"/>
      <c r="M745" s="2266"/>
      <c r="N745" s="2266"/>
      <c r="O745" s="2266"/>
      <c r="P745" s="2266"/>
      <c r="Q745" s="2266"/>
      <c r="R745" s="2266"/>
      <c r="S745" s="2266"/>
      <c r="T745" s="2266"/>
      <c r="U745" s="2266"/>
      <c r="V745" s="420"/>
    </row>
    <row r="746" spans="1:22" ht="27.6" customHeight="1">
      <c r="A746" s="420"/>
      <c r="B746" s="2264" t="s">
        <v>1781</v>
      </c>
      <c r="C746" s="2264"/>
      <c r="D746" s="2264"/>
      <c r="E746" s="2264"/>
      <c r="F746" s="2264"/>
      <c r="G746" s="2264"/>
      <c r="H746" s="2264"/>
      <c r="I746" s="2264"/>
      <c r="J746" s="2264"/>
      <c r="K746" s="2264"/>
      <c r="L746" s="2264"/>
      <c r="M746" s="2264"/>
      <c r="N746" s="2264"/>
      <c r="O746" s="2264"/>
      <c r="P746" s="2264"/>
      <c r="Q746" s="2264"/>
      <c r="R746" s="2264"/>
      <c r="S746" s="2264"/>
      <c r="T746" s="2264"/>
      <c r="U746" s="2264"/>
      <c r="V746" s="420"/>
    </row>
    <row r="747" spans="1:22" ht="27.6" customHeight="1">
      <c r="A747" s="420"/>
      <c r="B747" s="2264" t="s">
        <v>1782</v>
      </c>
      <c r="C747" s="2264"/>
      <c r="D747" s="2264"/>
      <c r="E747" s="2264"/>
      <c r="F747" s="2264"/>
      <c r="G747" s="2264"/>
      <c r="H747" s="2264"/>
      <c r="I747" s="2264"/>
      <c r="J747" s="2264"/>
      <c r="K747" s="2264"/>
      <c r="L747" s="2264"/>
      <c r="M747" s="2264"/>
      <c r="N747" s="2264"/>
      <c r="O747" s="2264"/>
      <c r="P747" s="2264"/>
      <c r="Q747" s="2264"/>
      <c r="R747" s="2264"/>
      <c r="S747" s="2264"/>
      <c r="T747" s="2264"/>
      <c r="U747" s="2264"/>
      <c r="V747" s="420"/>
    </row>
    <row r="748" spans="1:22" ht="27.6" customHeight="1">
      <c r="A748" s="420"/>
      <c r="B748" s="2264" t="s">
        <v>1783</v>
      </c>
      <c r="C748" s="2264"/>
      <c r="D748" s="2264"/>
      <c r="E748" s="2264"/>
      <c r="F748" s="2264"/>
      <c r="G748" s="2264"/>
      <c r="H748" s="2264"/>
      <c r="I748" s="2264"/>
      <c r="J748" s="2264"/>
      <c r="K748" s="2264"/>
      <c r="L748" s="2264"/>
      <c r="M748" s="2264"/>
      <c r="N748" s="2264"/>
      <c r="O748" s="2264"/>
      <c r="P748" s="2264"/>
      <c r="Q748" s="2264"/>
      <c r="R748" s="2264"/>
      <c r="S748" s="2264"/>
      <c r="T748" s="2264"/>
      <c r="U748" s="2264"/>
      <c r="V748" s="420"/>
    </row>
    <row r="749" spans="1:22" ht="33.6" customHeight="1">
      <c r="A749" s="420"/>
      <c r="B749" s="2265" t="s">
        <v>1784</v>
      </c>
      <c r="C749" s="2266"/>
      <c r="D749" s="2266"/>
      <c r="E749" s="2266"/>
      <c r="F749" s="2266"/>
      <c r="G749" s="2266"/>
      <c r="H749" s="2266"/>
      <c r="I749" s="2266"/>
      <c r="J749" s="2266"/>
      <c r="K749" s="2266"/>
      <c r="L749" s="1777"/>
      <c r="M749" s="1777"/>
      <c r="N749" s="1777"/>
      <c r="O749" s="1777"/>
      <c r="P749" s="1777"/>
      <c r="Q749" s="1777"/>
      <c r="R749" s="1777"/>
      <c r="S749" s="1777"/>
      <c r="T749" s="1777"/>
      <c r="U749" s="1777"/>
      <c r="V749" s="420"/>
    </row>
    <row r="750" spans="1:22" ht="22.9" customHeight="1">
      <c r="A750" s="420"/>
      <c r="B750" s="2266" t="s">
        <v>1785</v>
      </c>
      <c r="C750" s="2266"/>
      <c r="D750" s="2266"/>
      <c r="E750" s="2266"/>
      <c r="F750" s="2266"/>
      <c r="G750" s="2266"/>
      <c r="H750" s="2266"/>
      <c r="I750" s="2266"/>
      <c r="J750" s="2266"/>
      <c r="K750" s="2266"/>
      <c r="L750" s="2266"/>
      <c r="M750" s="2266"/>
      <c r="N750" s="2266"/>
      <c r="O750" s="2266"/>
      <c r="P750" s="2266"/>
      <c r="Q750" s="2266"/>
      <c r="R750" s="2266"/>
      <c r="S750" s="2266"/>
      <c r="T750" s="2266"/>
      <c r="U750" s="2266"/>
      <c r="V750" s="420"/>
    </row>
    <row r="751" spans="1:22" ht="22.15" customHeight="1">
      <c r="A751" s="420"/>
      <c r="B751" s="2267" t="s">
        <v>1786</v>
      </c>
      <c r="C751" s="2267"/>
      <c r="D751" s="2267"/>
      <c r="E751" s="2267"/>
      <c r="F751" s="2267"/>
      <c r="G751" s="2267"/>
      <c r="H751" s="2267"/>
      <c r="I751" s="2267"/>
      <c r="J751" s="2267"/>
      <c r="K751" s="2267"/>
      <c r="L751" s="2267"/>
      <c r="M751" s="2267"/>
      <c r="N751" s="2267"/>
      <c r="O751" s="2267"/>
      <c r="P751" s="2267"/>
      <c r="Q751" s="2267"/>
      <c r="R751" s="2267"/>
      <c r="S751" s="2267"/>
      <c r="T751" s="2267"/>
      <c r="U751" s="2267"/>
      <c r="V751" s="420"/>
    </row>
    <row r="752" spans="1:22" ht="8.25" customHeight="1">
      <c r="A752" s="420"/>
      <c r="V752" s="420"/>
    </row>
    <row r="753" spans="1:23" ht="23.25">
      <c r="A753" s="420"/>
      <c r="B753" s="2252" t="s">
        <v>1755</v>
      </c>
      <c r="C753" s="2252"/>
      <c r="D753" s="2252"/>
      <c r="E753" s="2252"/>
      <c r="F753" s="2252"/>
      <c r="G753" s="2252"/>
      <c r="H753" s="2252"/>
      <c r="I753" s="2252"/>
      <c r="J753" s="2252"/>
      <c r="K753" s="2252"/>
      <c r="L753" s="1744"/>
      <c r="M753" s="1744"/>
      <c r="N753" s="1744"/>
      <c r="O753" s="1744"/>
      <c r="P753" s="1744"/>
      <c r="Q753" s="1744"/>
      <c r="R753" s="1744"/>
      <c r="S753" s="1744"/>
      <c r="T753" s="1744"/>
      <c r="U753" s="1744"/>
      <c r="V753" s="420"/>
    </row>
    <row r="754" spans="1:23" ht="28.15" customHeight="1">
      <c r="A754" s="420"/>
      <c r="B754" s="2260" t="s">
        <v>1888</v>
      </c>
      <c r="C754" s="2260"/>
      <c r="D754" s="2260"/>
      <c r="E754" s="2260"/>
      <c r="F754" s="2260"/>
      <c r="G754" s="2260"/>
      <c r="H754" s="2260"/>
      <c r="I754" s="2260"/>
      <c r="J754" s="2260"/>
      <c r="K754" s="2260"/>
      <c r="L754" s="2260"/>
      <c r="M754" s="2260"/>
      <c r="N754" s="2260"/>
      <c r="O754" s="2260"/>
      <c r="P754" s="2260"/>
      <c r="Q754" s="2260"/>
      <c r="R754" s="2260"/>
      <c r="S754" s="2260"/>
      <c r="T754" s="2260"/>
      <c r="U754" s="2260"/>
      <c r="V754" s="420"/>
    </row>
    <row r="755" spans="1:23" ht="28.15" customHeight="1">
      <c r="A755" s="420"/>
      <c r="B755" s="2251" t="s">
        <v>1789</v>
      </c>
      <c r="C755" s="2251"/>
      <c r="D755" s="2251"/>
      <c r="E755" s="2251"/>
      <c r="F755" s="2251"/>
      <c r="G755" s="2251"/>
      <c r="H755" s="2251"/>
      <c r="I755" s="2251"/>
      <c r="J755" s="2251"/>
      <c r="K755" s="2251"/>
      <c r="L755" s="2251"/>
      <c r="M755" s="2251"/>
      <c r="N755" s="2251"/>
      <c r="O755" s="2251"/>
      <c r="P755" s="2251"/>
      <c r="Q755" s="2251"/>
      <c r="R755" s="2251"/>
      <c r="S755" s="2251"/>
      <c r="T755" s="2251"/>
      <c r="U755" s="2251"/>
      <c r="V755" s="420"/>
    </row>
    <row r="756" spans="1:23" ht="28.15" customHeight="1">
      <c r="A756" s="420"/>
      <c r="B756" s="2251" t="s">
        <v>1790</v>
      </c>
      <c r="C756" s="2251"/>
      <c r="D756" s="2251"/>
      <c r="E756" s="2251"/>
      <c r="F756" s="2251"/>
      <c r="G756" s="2251"/>
      <c r="H756" s="2251"/>
      <c r="I756" s="2251"/>
      <c r="J756" s="2251"/>
      <c r="K756" s="2251"/>
      <c r="L756" s="2251"/>
      <c r="M756" s="2251"/>
      <c r="N756" s="2251"/>
      <c r="O756" s="2251"/>
      <c r="P756" s="2251"/>
      <c r="Q756" s="2251"/>
      <c r="R756" s="2251"/>
      <c r="S756" s="2251"/>
      <c r="T756" s="2251"/>
      <c r="U756" s="2251"/>
      <c r="V756" s="420"/>
    </row>
    <row r="757" spans="1:23" ht="28.15" customHeight="1">
      <c r="A757" s="420"/>
      <c r="B757" s="2251" t="s">
        <v>1791</v>
      </c>
      <c r="C757" s="2251"/>
      <c r="D757" s="2251"/>
      <c r="E757" s="2251"/>
      <c r="F757" s="2251"/>
      <c r="G757" s="2251"/>
      <c r="H757" s="2251"/>
      <c r="I757" s="2251"/>
      <c r="J757" s="2251"/>
      <c r="K757" s="2251"/>
      <c r="L757" s="2251"/>
      <c r="M757" s="2251"/>
      <c r="N757" s="2251"/>
      <c r="O757" s="2251"/>
      <c r="P757" s="2251"/>
      <c r="Q757" s="2251"/>
      <c r="R757" s="2251"/>
      <c r="S757" s="2251"/>
      <c r="T757" s="2251"/>
      <c r="U757" s="2251"/>
      <c r="V757" s="420"/>
    </row>
    <row r="758" spans="1:23" ht="28.15" customHeight="1">
      <c r="A758" s="420"/>
      <c r="B758" s="2251" t="s">
        <v>1792</v>
      </c>
      <c r="C758" s="2251"/>
      <c r="D758" s="2251"/>
      <c r="E758" s="2251"/>
      <c r="F758" s="2251"/>
      <c r="G758" s="2251"/>
      <c r="H758" s="2251"/>
      <c r="I758" s="2251"/>
      <c r="J758" s="2251"/>
      <c r="K758" s="2251"/>
      <c r="L758" s="2251"/>
      <c r="M758" s="2251"/>
      <c r="N758" s="2251"/>
      <c r="O758" s="2251"/>
      <c r="P758" s="2251"/>
      <c r="Q758" s="2251"/>
      <c r="R758" s="2251"/>
      <c r="S758" s="2251"/>
      <c r="T758" s="2251"/>
      <c r="U758" s="2251"/>
      <c r="V758" s="420"/>
    </row>
    <row r="759" spans="1:23" ht="28.15" customHeight="1">
      <c r="A759" s="420"/>
      <c r="B759" s="2251" t="s">
        <v>1793</v>
      </c>
      <c r="C759" s="2251"/>
      <c r="D759" s="2251"/>
      <c r="E759" s="2251"/>
      <c r="F759" s="2251"/>
      <c r="G759" s="2251"/>
      <c r="H759" s="2251"/>
      <c r="I759" s="2251"/>
      <c r="J759" s="2251"/>
      <c r="K759" s="2251"/>
      <c r="L759" s="2251"/>
      <c r="M759" s="2251"/>
      <c r="N759" s="2251"/>
      <c r="O759" s="2251"/>
      <c r="P759" s="2251"/>
      <c r="Q759" s="2251"/>
      <c r="R759" s="2251"/>
      <c r="S759" s="2251"/>
      <c r="T759" s="2251"/>
      <c r="U759" s="2251"/>
      <c r="V759" s="420"/>
    </row>
    <row r="760" spans="1:23" ht="28.15" customHeight="1">
      <c r="A760" s="420"/>
      <c r="B760" s="2249" t="s">
        <v>1781</v>
      </c>
      <c r="C760" s="2249"/>
      <c r="D760" s="2249"/>
      <c r="E760" s="2249"/>
      <c r="F760" s="2249"/>
      <c r="G760" s="2249"/>
      <c r="H760" s="2249"/>
      <c r="I760" s="2249"/>
      <c r="J760" s="2249"/>
      <c r="K760" s="2249"/>
      <c r="L760" s="2249"/>
      <c r="M760" s="2249"/>
      <c r="N760" s="2249"/>
      <c r="O760" s="2249"/>
      <c r="P760" s="2249"/>
      <c r="Q760" s="2249"/>
      <c r="R760" s="2249"/>
      <c r="S760" s="2249"/>
      <c r="T760" s="2249"/>
      <c r="U760" s="2249"/>
      <c r="V760" s="420"/>
    </row>
    <row r="761" spans="1:23" ht="28.15" customHeight="1">
      <c r="A761" s="420"/>
      <c r="B761" s="2249" t="s">
        <v>1782</v>
      </c>
      <c r="C761" s="2249"/>
      <c r="D761" s="2249"/>
      <c r="E761" s="2249"/>
      <c r="F761" s="2249"/>
      <c r="G761" s="2249"/>
      <c r="H761" s="2249"/>
      <c r="I761" s="2249"/>
      <c r="J761" s="2249"/>
      <c r="K761" s="2249"/>
      <c r="L761" s="2249"/>
      <c r="M761" s="2249"/>
      <c r="N761" s="2249"/>
      <c r="O761" s="2249"/>
      <c r="P761" s="2249"/>
      <c r="Q761" s="2249"/>
      <c r="R761" s="2249"/>
      <c r="S761" s="2249"/>
      <c r="T761" s="2249"/>
      <c r="U761" s="2249"/>
      <c r="V761" s="420"/>
    </row>
    <row r="762" spans="1:23" ht="28.15" customHeight="1">
      <c r="A762" s="420"/>
      <c r="B762" s="2249" t="s">
        <v>1783</v>
      </c>
      <c r="C762" s="2249"/>
      <c r="D762" s="2249"/>
      <c r="E762" s="2249"/>
      <c r="F762" s="2249"/>
      <c r="G762" s="2249"/>
      <c r="H762" s="2249"/>
      <c r="I762" s="2249"/>
      <c r="J762" s="2249"/>
      <c r="K762" s="2249"/>
      <c r="L762" s="2249"/>
      <c r="M762" s="2249"/>
      <c r="N762" s="2249"/>
      <c r="O762" s="2249"/>
      <c r="P762" s="2249"/>
      <c r="Q762" s="2249"/>
      <c r="R762" s="2249"/>
      <c r="S762" s="2249"/>
      <c r="T762" s="2249"/>
      <c r="U762" s="2249"/>
      <c r="V762" s="420"/>
    </row>
    <row r="763" spans="1:23" ht="19.5" customHeight="1">
      <c r="A763" s="420"/>
      <c r="B763" s="2250" t="s">
        <v>1784</v>
      </c>
      <c r="C763" s="2251"/>
      <c r="D763" s="2251"/>
      <c r="E763" s="2251"/>
      <c r="F763" s="2251"/>
      <c r="G763" s="2251"/>
      <c r="H763" s="2251"/>
      <c r="I763" s="2251"/>
      <c r="J763" s="2251"/>
      <c r="K763" s="2251"/>
      <c r="L763" s="1743"/>
      <c r="M763" s="1743"/>
      <c r="N763" s="1743"/>
      <c r="O763" s="1743"/>
      <c r="P763" s="1743"/>
      <c r="Q763" s="1743"/>
      <c r="R763" s="1743"/>
      <c r="S763" s="1743"/>
      <c r="T763" s="1743"/>
      <c r="U763" s="1743"/>
      <c r="V763" s="420"/>
    </row>
    <row r="764" spans="1:23" ht="25.5" customHeight="1">
      <c r="A764" s="420"/>
      <c r="B764" s="2251" t="s">
        <v>1794</v>
      </c>
      <c r="C764" s="2251"/>
      <c r="D764" s="2251"/>
      <c r="E764" s="2251"/>
      <c r="F764" s="2251"/>
      <c r="G764" s="2251"/>
      <c r="H764" s="2251"/>
      <c r="I764" s="2251"/>
      <c r="J764" s="2251"/>
      <c r="K764" s="2251"/>
      <c r="L764" s="2251"/>
      <c r="M764" s="2251"/>
      <c r="N764" s="2251"/>
      <c r="O764" s="2251"/>
      <c r="P764" s="2251"/>
      <c r="Q764" s="2251"/>
      <c r="R764" s="2251"/>
      <c r="S764" s="2251"/>
      <c r="T764" s="2251"/>
      <c r="U764" s="2251"/>
      <c r="V764" s="420"/>
    </row>
    <row r="765" spans="1:23" ht="23.25">
      <c r="A765" s="420"/>
      <c r="B765" s="2252" t="s">
        <v>1795</v>
      </c>
      <c r="C765" s="2252"/>
      <c r="D765" s="2252"/>
      <c r="E765" s="2252"/>
      <c r="F765" s="2252"/>
      <c r="G765" s="2252"/>
      <c r="H765" s="2252"/>
      <c r="I765" s="2252"/>
      <c r="J765" s="2252"/>
      <c r="K765" s="2252"/>
      <c r="L765" s="2252"/>
      <c r="M765" s="2252"/>
      <c r="N765" s="2252"/>
      <c r="O765" s="2252"/>
      <c r="P765" s="2252"/>
      <c r="Q765" s="2252"/>
      <c r="R765" s="2252"/>
      <c r="S765" s="2252"/>
      <c r="T765" s="2252"/>
      <c r="U765" s="2252"/>
      <c r="V765" s="420"/>
    </row>
    <row r="766" spans="1:23" ht="12.75" customHeight="1">
      <c r="A766" s="420"/>
      <c r="B766" s="1744"/>
      <c r="C766" s="1744"/>
      <c r="D766" s="1744"/>
      <c r="E766" s="1744"/>
      <c r="F766" s="1744"/>
      <c r="G766" s="1744"/>
      <c r="H766" s="1744"/>
      <c r="I766" s="1744"/>
      <c r="J766" s="1744"/>
      <c r="K766" s="1744"/>
      <c r="L766" s="1744"/>
      <c r="M766" s="1744"/>
      <c r="N766" s="1744"/>
      <c r="O766" s="1744"/>
      <c r="P766" s="1744"/>
      <c r="Q766" s="1744"/>
      <c r="R766" s="1744"/>
      <c r="S766" s="1744"/>
      <c r="T766" s="1744"/>
      <c r="U766" s="1744"/>
      <c r="V766" s="420"/>
    </row>
    <row r="767" spans="1:23" ht="60" customHeight="1">
      <c r="A767" s="441"/>
      <c r="B767" s="2253" t="str">
        <f>Perfiles_usuario!B211</f>
        <v>Sede</v>
      </c>
      <c r="C767" s="2254"/>
      <c r="D767" s="1749" t="str">
        <f>Perfiles_usuario!D211</f>
        <v>Modalidad</v>
      </c>
      <c r="E767" s="2255" t="str">
        <f>Perfiles_usuario!F211</f>
        <v>Tipo de acceso</v>
      </c>
      <c r="F767" s="2256"/>
      <c r="G767" s="1749" t="str">
        <f>Perfiles_usuario!H211</f>
        <v>WiFi</v>
      </c>
      <c r="H767" s="1749" t="str">
        <f>Perfiles_usuario!J211</f>
        <v>Internet local dedicado</v>
      </c>
      <c r="I767" s="1749" t="str">
        <f>Perfiles_usuario!L211</f>
        <v>Internet corporativo sede central</v>
      </c>
      <c r="J767" s="1749" t="s">
        <v>1796</v>
      </c>
      <c r="K767" s="1749" t="str">
        <f>Perfiles_usuario!N211</f>
        <v>IP pública</v>
      </c>
      <c r="L767" s="1749" t="str">
        <f>Perfiles_usuario!P211</f>
        <v>Pack de 8 IPs públicas</v>
      </c>
      <c r="M767" s="1749" t="s">
        <v>1767</v>
      </c>
      <c r="N767" s="1749" t="str">
        <f>Perfiles_usuario!R211</f>
        <v>Pack 5 usuarios IPSEC</v>
      </c>
      <c r="O767" s="1749" t="str">
        <f>Perfiles_usuario!T211</f>
        <v>Pack 10 usuarios IPSEC</v>
      </c>
      <c r="P767" s="1749" t="str">
        <f>Perfiles_usuario!V211</f>
        <v>Pack 50 usuarios IPSEC</v>
      </c>
      <c r="Q767" s="1749" t="str">
        <f>Perfiles_usuario!X211</f>
        <v>Móvil</v>
      </c>
      <c r="R767" s="1749" t="str">
        <f>Perfiles_usuario!Z211</f>
        <v>Asimétrico</v>
      </c>
      <c r="S767" s="1749" t="str">
        <f>Perfiles_usuario!AB211</f>
        <v>Simétrico on net</v>
      </c>
      <c r="T767" s="1749" t="str">
        <f>Perfiles_usuario!AD211</f>
        <v>Simétrico off net</v>
      </c>
      <c r="U767" s="1749" t="s">
        <v>51</v>
      </c>
      <c r="V767" s="466"/>
      <c r="W767" s="441"/>
    </row>
    <row r="768" spans="1:23" ht="39.950000000000003" customHeight="1">
      <c r="B768" s="2257">
        <f>Perfiles_usuario!B213</f>
        <v>0</v>
      </c>
      <c r="C768" s="2258"/>
      <c r="D768" s="1745">
        <f>Perfiles_usuario!D213</f>
        <v>0</v>
      </c>
      <c r="E768" s="2259">
        <f>Perfiles_usuario!F213</f>
        <v>0</v>
      </c>
      <c r="F768" s="2259"/>
      <c r="G768" s="1745">
        <f>Perfiles_usuario!H213</f>
        <v>0</v>
      </c>
      <c r="H768" s="1745">
        <f>Perfiles_usuario!J213</f>
        <v>0</v>
      </c>
      <c r="I768" s="1745">
        <f>Perfiles_usuario!L213</f>
        <v>0</v>
      </c>
      <c r="J768" s="1745" t="str">
        <f>IF(ISBLANK(D768),"","gratis")</f>
        <v>gratis</v>
      </c>
      <c r="K768" s="1745">
        <f>Perfiles_usuario!N213</f>
        <v>0</v>
      </c>
      <c r="L768" s="1745">
        <f>Perfiles_usuario!P213</f>
        <v>0</v>
      </c>
      <c r="M768" s="1745" t="str">
        <f>IF(ISBLANK(D768),"","gratis")</f>
        <v>gratis</v>
      </c>
      <c r="N768" s="1746">
        <f>Perfiles_usuario!R213</f>
        <v>0</v>
      </c>
      <c r="O768" s="1746">
        <f>Perfiles_usuario!T213</f>
        <v>0</v>
      </c>
      <c r="P768" s="1746">
        <f>Perfiles_usuario!V213</f>
        <v>0</v>
      </c>
      <c r="Q768" s="1746">
        <f>Perfiles_usuario!X213</f>
        <v>0</v>
      </c>
      <c r="R768" s="1746">
        <f>Perfiles_usuario!Z213</f>
        <v>0</v>
      </c>
      <c r="S768" s="1746">
        <f>Perfiles_usuario!AB213</f>
        <v>0</v>
      </c>
      <c r="T768" s="1746">
        <f>Perfiles_usuario!AD213</f>
        <v>0</v>
      </c>
      <c r="U768" s="1827">
        <f>Perfiles_usuario!AF213</f>
        <v>0</v>
      </c>
      <c r="V768" s="466"/>
      <c r="W768" s="441"/>
    </row>
    <row r="769" spans="1:23" ht="39.950000000000003" customHeight="1">
      <c r="B769" s="2257">
        <f>Perfiles_usuario!B215</f>
        <v>0</v>
      </c>
      <c r="C769" s="2258"/>
      <c r="D769" s="1745">
        <f>Perfiles_usuario!D215</f>
        <v>0</v>
      </c>
      <c r="E769" s="2259">
        <f>Perfiles_usuario!F215</f>
        <v>0</v>
      </c>
      <c r="F769" s="2259"/>
      <c r="G769" s="1745">
        <f>Perfiles_usuario!H215</f>
        <v>0</v>
      </c>
      <c r="H769" s="1745">
        <f>Perfiles_usuario!J215</f>
        <v>0</v>
      </c>
      <c r="I769" s="1745">
        <f>Perfiles_usuario!L215</f>
        <v>0</v>
      </c>
      <c r="J769" s="1745" t="str">
        <f>IF(ISBLANK(#REF!),"","gratis")</f>
        <v>gratis</v>
      </c>
      <c r="K769" s="1745">
        <f>Perfiles_usuario!N215</f>
        <v>0</v>
      </c>
      <c r="L769" s="1745">
        <f>Perfiles_usuario!P215</f>
        <v>0</v>
      </c>
      <c r="M769" s="1745" t="str">
        <f>IF(ISBLANK(#REF!),"","gratis")</f>
        <v>gratis</v>
      </c>
      <c r="N769" s="1746">
        <f>Perfiles_usuario!R215</f>
        <v>0</v>
      </c>
      <c r="O769" s="1746">
        <f>Perfiles_usuario!T215</f>
        <v>0</v>
      </c>
      <c r="P769" s="1746">
        <f>Perfiles_usuario!V215</f>
        <v>0</v>
      </c>
      <c r="Q769" s="1746">
        <f>Perfiles_usuario!X215</f>
        <v>0</v>
      </c>
      <c r="R769" s="1746">
        <f>Perfiles_usuario!Z215</f>
        <v>0</v>
      </c>
      <c r="S769" s="1746">
        <f>Perfiles_usuario!AB215</f>
        <v>0</v>
      </c>
      <c r="T769" s="1746">
        <f>Perfiles_usuario!AD215</f>
        <v>0</v>
      </c>
      <c r="U769" s="1748">
        <f>Perfiles_usuario!AF215</f>
        <v>0</v>
      </c>
      <c r="V769" s="466"/>
      <c r="W769" s="441"/>
    </row>
    <row r="770" spans="1:23" ht="39.950000000000003" customHeight="1">
      <c r="B770" s="2257">
        <f>Perfiles_usuario!B217</f>
        <v>0</v>
      </c>
      <c r="C770" s="2258"/>
      <c r="D770" s="1745">
        <f>Perfiles_usuario!D217</f>
        <v>0</v>
      </c>
      <c r="E770" s="2259">
        <f>Perfiles_usuario!F217</f>
        <v>0</v>
      </c>
      <c r="F770" s="2259"/>
      <c r="G770" s="1745">
        <f>Perfiles_usuario!H217</f>
        <v>0</v>
      </c>
      <c r="H770" s="1745">
        <f>Perfiles_usuario!J217</f>
        <v>0</v>
      </c>
      <c r="I770" s="1745">
        <f>Perfiles_usuario!L217</f>
        <v>0</v>
      </c>
      <c r="J770" s="1745" t="str">
        <f>IF(ISBLANK(D769),"","gratis")</f>
        <v>gratis</v>
      </c>
      <c r="K770" s="1745">
        <f>Perfiles_usuario!N217</f>
        <v>0</v>
      </c>
      <c r="L770" s="1745">
        <f>Perfiles_usuario!P217</f>
        <v>0</v>
      </c>
      <c r="M770" s="1745" t="str">
        <f>IF(ISBLANK(D769),"","gratis")</f>
        <v>gratis</v>
      </c>
      <c r="N770" s="1746">
        <f>Perfiles_usuario!R217</f>
        <v>0</v>
      </c>
      <c r="O770" s="1746">
        <f>Perfiles_usuario!T217</f>
        <v>0</v>
      </c>
      <c r="P770" s="1746">
        <f>Perfiles_usuario!V217</f>
        <v>0</v>
      </c>
      <c r="Q770" s="1746">
        <f>Perfiles_usuario!X217</f>
        <v>0</v>
      </c>
      <c r="R770" s="1746">
        <f>Perfiles_usuario!Z217</f>
        <v>0</v>
      </c>
      <c r="S770" s="1746">
        <f>Perfiles_usuario!AB217</f>
        <v>0</v>
      </c>
      <c r="T770" s="1746">
        <f>Perfiles_usuario!AD217</f>
        <v>0</v>
      </c>
      <c r="U770" s="1748">
        <f>Perfiles_usuario!AF217</f>
        <v>0</v>
      </c>
      <c r="V770" s="466"/>
      <c r="W770" s="441"/>
    </row>
    <row r="771" spans="1:23" ht="39.950000000000003" customHeight="1">
      <c r="B771" s="2257">
        <f>Perfiles_usuario!B219</f>
        <v>0</v>
      </c>
      <c r="C771" s="2258"/>
      <c r="D771" s="1745">
        <f>Perfiles_usuario!D219</f>
        <v>0</v>
      </c>
      <c r="E771" s="2259">
        <f>Perfiles_usuario!F219</f>
        <v>0</v>
      </c>
      <c r="F771" s="2259"/>
      <c r="G771" s="1745">
        <f>Perfiles_usuario!H219</f>
        <v>0</v>
      </c>
      <c r="H771" s="1745">
        <f>Perfiles_usuario!J219</f>
        <v>0</v>
      </c>
      <c r="I771" s="1745">
        <f>Perfiles_usuario!L219</f>
        <v>0</v>
      </c>
      <c r="J771" s="1745" t="str">
        <f>IF(ISBLANK(#REF!),"","gratis")</f>
        <v>gratis</v>
      </c>
      <c r="K771" s="1745">
        <f>Perfiles_usuario!N219</f>
        <v>0</v>
      </c>
      <c r="L771" s="1745">
        <f>Perfiles_usuario!P219</f>
        <v>0</v>
      </c>
      <c r="M771" s="1745" t="str">
        <f>IF(ISBLANK(#REF!),"","gratis")</f>
        <v>gratis</v>
      </c>
      <c r="N771" s="1746">
        <f>Perfiles_usuario!R219</f>
        <v>0</v>
      </c>
      <c r="O771" s="1746">
        <f>Perfiles_usuario!T219</f>
        <v>0</v>
      </c>
      <c r="P771" s="1746">
        <f>Perfiles_usuario!V219</f>
        <v>0</v>
      </c>
      <c r="Q771" s="1746">
        <f>Perfiles_usuario!X219</f>
        <v>0</v>
      </c>
      <c r="R771" s="1746">
        <f>Perfiles_usuario!Z219</f>
        <v>0</v>
      </c>
      <c r="S771" s="1746">
        <f>Perfiles_usuario!AB219</f>
        <v>0</v>
      </c>
      <c r="T771" s="1746">
        <f>Perfiles_usuario!AD219</f>
        <v>0</v>
      </c>
      <c r="U771" s="1748">
        <f>Perfiles_usuario!AF219</f>
        <v>0</v>
      </c>
      <c r="V771" s="466"/>
      <c r="W771" s="441"/>
    </row>
    <row r="772" spans="1:23" ht="39.950000000000003" customHeight="1">
      <c r="B772" s="2257">
        <f>Perfiles_usuario!B221</f>
        <v>0</v>
      </c>
      <c r="C772" s="2258"/>
      <c r="D772" s="1745">
        <f>Perfiles_usuario!D221</f>
        <v>0</v>
      </c>
      <c r="E772" s="2259">
        <f>Perfiles_usuario!F221</f>
        <v>0</v>
      </c>
      <c r="F772" s="2259"/>
      <c r="G772" s="1745">
        <f>Perfiles_usuario!H221</f>
        <v>0</v>
      </c>
      <c r="H772" s="1745">
        <f>Perfiles_usuario!J221</f>
        <v>0</v>
      </c>
      <c r="I772" s="1745">
        <f>Perfiles_usuario!L221</f>
        <v>0</v>
      </c>
      <c r="J772" s="1745" t="str">
        <f>IF(ISBLANK(D770),"","gratis")</f>
        <v>gratis</v>
      </c>
      <c r="K772" s="1745">
        <f>Perfiles_usuario!N221</f>
        <v>0</v>
      </c>
      <c r="L772" s="1745">
        <f>Perfiles_usuario!P221</f>
        <v>0</v>
      </c>
      <c r="M772" s="1745" t="str">
        <f>IF(ISBLANK(D770),"","gratis")</f>
        <v>gratis</v>
      </c>
      <c r="N772" s="1746">
        <f>Perfiles_usuario!R221</f>
        <v>0</v>
      </c>
      <c r="O772" s="1746">
        <f>Perfiles_usuario!T221</f>
        <v>0</v>
      </c>
      <c r="P772" s="1746">
        <f>Perfiles_usuario!V221</f>
        <v>0</v>
      </c>
      <c r="Q772" s="1746">
        <f>Perfiles_usuario!X221</f>
        <v>0</v>
      </c>
      <c r="R772" s="1746">
        <f>Perfiles_usuario!Z221</f>
        <v>0</v>
      </c>
      <c r="S772" s="1746">
        <f>Perfiles_usuario!AB221</f>
        <v>0</v>
      </c>
      <c r="T772" s="1746">
        <f>Perfiles_usuario!AD221</f>
        <v>0</v>
      </c>
      <c r="U772" s="1748">
        <f>Perfiles_usuario!AF221</f>
        <v>0</v>
      </c>
      <c r="V772" s="466"/>
      <c r="W772" s="441"/>
    </row>
    <row r="773" spans="1:23" ht="39.950000000000003" customHeight="1">
      <c r="B773" s="2257">
        <f>Perfiles_usuario!B223</f>
        <v>0</v>
      </c>
      <c r="C773" s="2258"/>
      <c r="D773" s="1745">
        <f>Perfiles_usuario!D223</f>
        <v>0</v>
      </c>
      <c r="E773" s="2259">
        <f>Perfiles_usuario!F223</f>
        <v>0</v>
      </c>
      <c r="F773" s="2259"/>
      <c r="G773" s="1745">
        <f>Perfiles_usuario!H223</f>
        <v>0</v>
      </c>
      <c r="H773" s="1745">
        <f>Perfiles_usuario!J223</f>
        <v>0</v>
      </c>
      <c r="I773" s="1745">
        <f>Perfiles_usuario!L223</f>
        <v>0</v>
      </c>
      <c r="J773" s="1745" t="str">
        <f>IF(ISBLANK(#REF!),"","gratis")</f>
        <v>gratis</v>
      </c>
      <c r="K773" s="1745">
        <f>Perfiles_usuario!N223</f>
        <v>0</v>
      </c>
      <c r="L773" s="1745">
        <f>Perfiles_usuario!P223</f>
        <v>0</v>
      </c>
      <c r="M773" s="1745" t="str">
        <f>IF(ISBLANK(#REF!),"","gratis")</f>
        <v>gratis</v>
      </c>
      <c r="N773" s="1746">
        <f>Perfiles_usuario!R223</f>
        <v>0</v>
      </c>
      <c r="O773" s="1746">
        <f>Perfiles_usuario!T223</f>
        <v>0</v>
      </c>
      <c r="P773" s="1746">
        <f>Perfiles_usuario!V223</f>
        <v>0</v>
      </c>
      <c r="Q773" s="1746">
        <f>Perfiles_usuario!X223</f>
        <v>0</v>
      </c>
      <c r="R773" s="1746">
        <f>Perfiles_usuario!Z223</f>
        <v>0</v>
      </c>
      <c r="S773" s="1746">
        <f>Perfiles_usuario!AB223</f>
        <v>0</v>
      </c>
      <c r="T773" s="1746">
        <f>Perfiles_usuario!AD223</f>
        <v>0</v>
      </c>
      <c r="U773" s="1748">
        <f>Perfiles_usuario!AF223</f>
        <v>0</v>
      </c>
      <c r="V773" s="466"/>
      <c r="W773" s="441"/>
    </row>
    <row r="774" spans="1:23" ht="39.950000000000003" customHeight="1">
      <c r="B774" s="2257">
        <f>Perfiles_usuario!B225</f>
        <v>0</v>
      </c>
      <c r="C774" s="2258"/>
      <c r="D774" s="1745">
        <f>Perfiles_usuario!D225</f>
        <v>0</v>
      </c>
      <c r="E774" s="2259">
        <f>Perfiles_usuario!F225</f>
        <v>0</v>
      </c>
      <c r="F774" s="2259"/>
      <c r="G774" s="1745">
        <f>Perfiles_usuario!H225</f>
        <v>0</v>
      </c>
      <c r="H774" s="1745">
        <f>Perfiles_usuario!J225</f>
        <v>0</v>
      </c>
      <c r="I774" s="1745">
        <f>Perfiles_usuario!L225</f>
        <v>0</v>
      </c>
      <c r="J774" s="1745" t="str">
        <f>IF(ISBLANK(D771),"","gratis")</f>
        <v>gratis</v>
      </c>
      <c r="K774" s="1745">
        <f>Perfiles_usuario!N225</f>
        <v>0</v>
      </c>
      <c r="L774" s="1745">
        <f>Perfiles_usuario!P225</f>
        <v>0</v>
      </c>
      <c r="M774" s="1745" t="str">
        <f>IF(ISBLANK(D771),"","gratis")</f>
        <v>gratis</v>
      </c>
      <c r="N774" s="1746">
        <f>Perfiles_usuario!R225</f>
        <v>0</v>
      </c>
      <c r="O774" s="1746">
        <f>Perfiles_usuario!T225</f>
        <v>0</v>
      </c>
      <c r="P774" s="1746">
        <f>Perfiles_usuario!V225</f>
        <v>0</v>
      </c>
      <c r="Q774" s="1746">
        <f>Perfiles_usuario!X225</f>
        <v>0</v>
      </c>
      <c r="R774" s="1746">
        <f>Perfiles_usuario!Z225</f>
        <v>0</v>
      </c>
      <c r="S774" s="1746">
        <f>Perfiles_usuario!AB225</f>
        <v>0</v>
      </c>
      <c r="T774" s="1746">
        <f>Perfiles_usuario!AD225</f>
        <v>0</v>
      </c>
      <c r="U774" s="1748">
        <f>Perfiles_usuario!AF225</f>
        <v>0</v>
      </c>
      <c r="V774" s="466"/>
      <c r="W774" s="441"/>
    </row>
    <row r="775" spans="1:23" ht="39.950000000000003" customHeight="1">
      <c r="B775" s="2257">
        <f>Perfiles_usuario!B227</f>
        <v>0</v>
      </c>
      <c r="C775" s="2258"/>
      <c r="D775" s="1745">
        <f>Perfiles_usuario!D227</f>
        <v>0</v>
      </c>
      <c r="E775" s="2259">
        <f>Perfiles_usuario!F227</f>
        <v>0</v>
      </c>
      <c r="F775" s="2259"/>
      <c r="G775" s="1745">
        <f>Perfiles_usuario!H227</f>
        <v>0</v>
      </c>
      <c r="H775" s="1745">
        <f>Perfiles_usuario!J227</f>
        <v>0</v>
      </c>
      <c r="I775" s="1745">
        <f>Perfiles_usuario!L227</f>
        <v>0</v>
      </c>
      <c r="J775" s="1745" t="str">
        <f>IF(ISBLANK(D774),"","gratis")</f>
        <v>gratis</v>
      </c>
      <c r="K775" s="1745">
        <f>Perfiles_usuario!N227</f>
        <v>0</v>
      </c>
      <c r="L775" s="1745">
        <f>Perfiles_usuario!P227</f>
        <v>0</v>
      </c>
      <c r="M775" s="1745" t="str">
        <f>IF(ISBLANK(D774),"","gratis")</f>
        <v>gratis</v>
      </c>
      <c r="N775" s="1746">
        <f>Perfiles_usuario!R227</f>
        <v>0</v>
      </c>
      <c r="O775" s="1746">
        <f>Perfiles_usuario!T227</f>
        <v>0</v>
      </c>
      <c r="P775" s="1746">
        <f>Perfiles_usuario!V227</f>
        <v>0</v>
      </c>
      <c r="Q775" s="1746">
        <f>Perfiles_usuario!X227</f>
        <v>0</v>
      </c>
      <c r="R775" s="1746">
        <f>Perfiles_usuario!Z227</f>
        <v>0</v>
      </c>
      <c r="S775" s="1746">
        <f>Perfiles_usuario!AB227</f>
        <v>0</v>
      </c>
      <c r="T775" s="1746">
        <f>Perfiles_usuario!AD227</f>
        <v>0</v>
      </c>
      <c r="U775" s="1748">
        <f>Perfiles_usuario!AF227</f>
        <v>0</v>
      </c>
      <c r="V775" s="466"/>
      <c r="W775" s="441"/>
    </row>
    <row r="776" spans="1:23" ht="39.950000000000003" customHeight="1">
      <c r="B776" s="2257">
        <f>Perfiles_usuario!B229</f>
        <v>0</v>
      </c>
      <c r="C776" s="2258"/>
      <c r="D776" s="1745">
        <f>Perfiles_usuario!D229</f>
        <v>0</v>
      </c>
      <c r="E776" s="2259">
        <f>Perfiles_usuario!F229</f>
        <v>0</v>
      </c>
      <c r="F776" s="2259"/>
      <c r="G776" s="1745">
        <f>Perfiles_usuario!H229</f>
        <v>0</v>
      </c>
      <c r="H776" s="1745">
        <f>Perfiles_usuario!J229</f>
        <v>0</v>
      </c>
      <c r="I776" s="1745">
        <f>Perfiles_usuario!L229</f>
        <v>0</v>
      </c>
      <c r="J776" s="1745" t="str">
        <f>IF(ISBLANK(D772),"","gratis")</f>
        <v>gratis</v>
      </c>
      <c r="K776" s="1745">
        <f>Perfiles_usuario!N229</f>
        <v>0</v>
      </c>
      <c r="L776" s="1745">
        <f>Perfiles_usuario!P229</f>
        <v>0</v>
      </c>
      <c r="M776" s="1745" t="str">
        <f>IF(ISBLANK(D772),"","gratis")</f>
        <v>gratis</v>
      </c>
      <c r="N776" s="1746">
        <f>Perfiles_usuario!R229</f>
        <v>0</v>
      </c>
      <c r="O776" s="1746">
        <f>Perfiles_usuario!T229</f>
        <v>0</v>
      </c>
      <c r="P776" s="1746">
        <f>Perfiles_usuario!V229</f>
        <v>0</v>
      </c>
      <c r="Q776" s="1746">
        <f>Perfiles_usuario!X229</f>
        <v>0</v>
      </c>
      <c r="R776" s="1746">
        <f>Perfiles_usuario!Z229</f>
        <v>0</v>
      </c>
      <c r="S776" s="1746">
        <f>Perfiles_usuario!AB229</f>
        <v>0</v>
      </c>
      <c r="T776" s="1746">
        <f>Perfiles_usuario!AD229</f>
        <v>0</v>
      </c>
      <c r="U776" s="1748">
        <f>Perfiles_usuario!AF229</f>
        <v>0</v>
      </c>
      <c r="V776" s="466"/>
      <c r="W776" s="441"/>
    </row>
    <row r="777" spans="1:23" ht="39.950000000000003" customHeight="1">
      <c r="B777" s="2257">
        <f>Perfiles_usuario!B231</f>
        <v>0</v>
      </c>
      <c r="C777" s="2258"/>
      <c r="D777" s="1745">
        <f>Perfiles_usuario!D231</f>
        <v>0</v>
      </c>
      <c r="E777" s="2259">
        <f>Perfiles_usuario!F231</f>
        <v>0</v>
      </c>
      <c r="F777" s="2259"/>
      <c r="G777" s="1745">
        <f>Perfiles_usuario!H231</f>
        <v>0</v>
      </c>
      <c r="H777" s="1745">
        <f>Perfiles_usuario!J231</f>
        <v>0</v>
      </c>
      <c r="I777" s="1745">
        <f>Perfiles_usuario!L231</f>
        <v>0</v>
      </c>
      <c r="J777" s="1745" t="str">
        <f>IF(ISBLANK(D775),"","gratis")</f>
        <v>gratis</v>
      </c>
      <c r="K777" s="1745">
        <f>Perfiles_usuario!N231</f>
        <v>0</v>
      </c>
      <c r="L777" s="1745">
        <f>Perfiles_usuario!P231</f>
        <v>0</v>
      </c>
      <c r="M777" s="1745" t="str">
        <f>IF(ISBLANK(D775),"","gratis")</f>
        <v>gratis</v>
      </c>
      <c r="N777" s="1746">
        <f>Perfiles_usuario!R231</f>
        <v>0</v>
      </c>
      <c r="O777" s="1746">
        <f>Perfiles_usuario!T231</f>
        <v>0</v>
      </c>
      <c r="P777" s="1746">
        <f>Perfiles_usuario!V231</f>
        <v>0</v>
      </c>
      <c r="Q777" s="1746">
        <f>Perfiles_usuario!X231</f>
        <v>0</v>
      </c>
      <c r="R777" s="1746">
        <f>Perfiles_usuario!Z231</f>
        <v>0</v>
      </c>
      <c r="S777" s="1746">
        <f>Perfiles_usuario!AB231</f>
        <v>0</v>
      </c>
      <c r="T777" s="1746">
        <f>Perfiles_usuario!AD231</f>
        <v>0</v>
      </c>
      <c r="U777" s="1748">
        <f>Perfiles_usuario!AF231</f>
        <v>0</v>
      </c>
      <c r="V777" s="466"/>
      <c r="W777" s="441"/>
    </row>
    <row r="778" spans="1:23" ht="39.950000000000003" customHeight="1">
      <c r="A778" s="420"/>
      <c r="B778" s="2257">
        <f>Perfiles_usuario!B233</f>
        <v>0</v>
      </c>
      <c r="C778" s="2258"/>
      <c r="D778" s="1745">
        <f>Perfiles_usuario!D233</f>
        <v>0</v>
      </c>
      <c r="E778" s="2259">
        <f>Perfiles_usuario!F233</f>
        <v>0</v>
      </c>
      <c r="F778" s="2259"/>
      <c r="G778" s="1745">
        <f>Perfiles_usuario!H233</f>
        <v>0</v>
      </c>
      <c r="H778" s="1745">
        <f>Perfiles_usuario!J233</f>
        <v>0</v>
      </c>
      <c r="I778" s="1745">
        <f>Perfiles_usuario!L233</f>
        <v>0</v>
      </c>
      <c r="J778" s="1745" t="str">
        <f>IF(ISBLANK(D773),"","gratis")</f>
        <v>gratis</v>
      </c>
      <c r="K778" s="1745">
        <f>Perfiles_usuario!N233</f>
        <v>0</v>
      </c>
      <c r="L778" s="1745">
        <f>Perfiles_usuario!P233</f>
        <v>0</v>
      </c>
      <c r="M778" s="1745" t="str">
        <f>IF(ISBLANK(D773),"","gratis")</f>
        <v>gratis</v>
      </c>
      <c r="N778" s="1746">
        <f>Perfiles_usuario!R233</f>
        <v>0</v>
      </c>
      <c r="O778" s="1746">
        <f>Perfiles_usuario!T233</f>
        <v>0</v>
      </c>
      <c r="P778" s="1746">
        <f>Perfiles_usuario!V233</f>
        <v>0</v>
      </c>
      <c r="Q778" s="1746">
        <f>Perfiles_usuario!X233</f>
        <v>0</v>
      </c>
      <c r="R778" s="1746">
        <f>Perfiles_usuario!Z233</f>
        <v>0</v>
      </c>
      <c r="S778" s="1746">
        <f>Perfiles_usuario!AB233</f>
        <v>0</v>
      </c>
      <c r="T778" s="1746">
        <f>Perfiles_usuario!AD233</f>
        <v>0</v>
      </c>
      <c r="U778" s="1748">
        <f>Perfiles_usuario!AF233</f>
        <v>0</v>
      </c>
      <c r="V778" s="729"/>
      <c r="W778" s="441"/>
    </row>
    <row r="779" spans="1:23" ht="9" customHeight="1">
      <c r="A779" s="420"/>
      <c r="B779" s="1744"/>
      <c r="C779" s="1744"/>
      <c r="D779" s="1744"/>
      <c r="E779" s="1744"/>
      <c r="F779" s="1744"/>
      <c r="G779" s="1744"/>
      <c r="H779" s="1744"/>
      <c r="I779" s="1744"/>
      <c r="J779" s="1744"/>
      <c r="K779" s="1744"/>
      <c r="L779" s="1744"/>
      <c r="M779" s="1744"/>
      <c r="N779" s="1747"/>
      <c r="O779" s="1747"/>
      <c r="P779" s="1744"/>
      <c r="Q779" s="1778" t="str">
        <f>IF([6]Perfiles_usuario!X163=0,"",[6]Perfiles_usuario!X163)</f>
        <v/>
      </c>
      <c r="R779" s="2261"/>
      <c r="S779" s="2261"/>
      <c r="T779" s="2261"/>
      <c r="U779" s="1748"/>
      <c r="V779" s="420"/>
    </row>
    <row r="780" spans="1:23" ht="23.25">
      <c r="A780" s="420"/>
      <c r="B780" s="1744"/>
      <c r="C780" s="1744"/>
      <c r="D780" s="1744"/>
      <c r="E780" s="1744"/>
      <c r="F780" s="1744"/>
      <c r="G780" s="1744"/>
      <c r="H780" s="1744"/>
      <c r="I780" s="1744"/>
      <c r="J780" s="1744"/>
      <c r="K780" s="1744"/>
      <c r="L780" s="1744"/>
      <c r="M780" s="1744"/>
      <c r="N780" s="1744"/>
      <c r="O780" s="629"/>
      <c r="S780" s="2262" t="s">
        <v>295</v>
      </c>
      <c r="T780" s="2263"/>
      <c r="U780" s="832">
        <f>Perfiles_usuario!AF235</f>
        <v>0</v>
      </c>
      <c r="V780" s="470"/>
    </row>
    <row r="781" spans="1:23" ht="16.149999999999999" hidden="1" customHeight="1">
      <c r="A781" s="420"/>
      <c r="B781" s="1744"/>
      <c r="C781" s="1744"/>
      <c r="D781" s="1744"/>
      <c r="E781" s="1744"/>
      <c r="F781" s="1744"/>
      <c r="G781" s="1744"/>
      <c r="H781" s="1744"/>
      <c r="I781" s="1744"/>
      <c r="J781" s="1744"/>
      <c r="K781" s="1744"/>
      <c r="L781" s="1744"/>
      <c r="M781" s="1744"/>
      <c r="N781" s="1744"/>
      <c r="O781" s="1744"/>
      <c r="P781" s="1744"/>
      <c r="Q781" s="1744"/>
      <c r="R781" s="1744"/>
      <c r="S781" s="1744"/>
      <c r="T781" s="1744"/>
      <c r="U781" s="1744"/>
      <c r="V781" s="420"/>
    </row>
    <row r="782" spans="1:23" hidden="1">
      <c r="A782" s="420"/>
      <c r="B782" s="420"/>
      <c r="C782" s="420"/>
      <c r="D782" s="420"/>
      <c r="E782" s="420"/>
      <c r="F782" s="420"/>
      <c r="G782" s="420"/>
      <c r="H782" s="420"/>
      <c r="I782" s="420"/>
      <c r="J782" s="420"/>
      <c r="K782" s="420"/>
      <c r="L782" s="420"/>
      <c r="M782" s="420"/>
      <c r="N782" s="420"/>
      <c r="O782" s="420"/>
      <c r="P782" s="420"/>
      <c r="Q782" s="420"/>
      <c r="R782" s="420"/>
      <c r="S782" s="420"/>
      <c r="T782" s="420"/>
      <c r="U782" s="420"/>
      <c r="V782" s="420"/>
    </row>
    <row r="783" spans="1:23" hidden="1"/>
    <row r="784" spans="1:23" ht="19.149999999999999" hidden="1" customHeight="1">
      <c r="B784" s="522"/>
      <c r="C784" s="585"/>
      <c r="D784" s="584"/>
      <c r="E784" s="584"/>
      <c r="F784" s="584"/>
      <c r="G784" s="586"/>
      <c r="H784" s="586"/>
      <c r="I784" s="586"/>
      <c r="J784" s="586"/>
      <c r="K784" s="587"/>
      <c r="L784" s="587"/>
      <c r="M784" s="587"/>
      <c r="N784" s="587"/>
      <c r="O784" s="587"/>
      <c r="P784" s="587"/>
      <c r="Q784" s="561"/>
      <c r="R784" s="561"/>
      <c r="S784" s="441"/>
      <c r="T784" s="441"/>
      <c r="U784" s="588"/>
      <c r="V784" s="441"/>
    </row>
    <row r="785" spans="1:23" hidden="1">
      <c r="A785" s="420"/>
      <c r="B785" s="420"/>
      <c r="C785" s="420"/>
      <c r="D785" s="420"/>
      <c r="E785" s="420"/>
      <c r="F785" s="420"/>
      <c r="G785" s="420"/>
      <c r="H785" s="420"/>
      <c r="I785" s="420"/>
      <c r="J785" s="420"/>
      <c r="K785" s="420"/>
      <c r="L785" s="420"/>
      <c r="M785" s="420"/>
      <c r="N785" s="420"/>
      <c r="O785" s="420"/>
      <c r="P785" s="420"/>
      <c r="Q785" s="420"/>
      <c r="R785" s="420"/>
      <c r="S785" s="420"/>
      <c r="T785" s="420"/>
      <c r="U785" s="420"/>
      <c r="V785" s="420"/>
    </row>
    <row r="786" spans="1:23">
      <c r="A786" s="420"/>
      <c r="B786" s="420"/>
      <c r="C786" s="420"/>
      <c r="D786" s="420"/>
      <c r="E786" s="420"/>
      <c r="F786" s="420"/>
      <c r="G786" s="420"/>
      <c r="H786" s="420"/>
      <c r="I786" s="420"/>
      <c r="J786" s="420"/>
      <c r="K786" s="420"/>
      <c r="L786" s="420"/>
      <c r="M786" s="420"/>
      <c r="N786" s="420"/>
      <c r="O786" s="420"/>
      <c r="P786" s="420"/>
      <c r="Q786" s="420"/>
      <c r="R786" s="420"/>
      <c r="S786" s="420"/>
      <c r="T786" s="420"/>
      <c r="U786" s="420"/>
      <c r="V786" s="420"/>
    </row>
    <row r="787" spans="1:23" ht="15.75">
      <c r="A787" s="420"/>
      <c r="B787" s="420"/>
      <c r="C787" s="420"/>
      <c r="D787" s="420"/>
      <c r="E787" s="420"/>
      <c r="F787" s="420"/>
      <c r="G787" s="420"/>
      <c r="H787" s="420"/>
      <c r="I787" s="420"/>
      <c r="J787" s="420"/>
      <c r="K787" s="420"/>
      <c r="L787" s="420"/>
      <c r="M787" s="476" t="s">
        <v>1812</v>
      </c>
      <c r="N787" s="420"/>
      <c r="O787" s="420"/>
      <c r="P787" s="420"/>
      <c r="Q787" s="420"/>
      <c r="R787" s="477" t="s">
        <v>692</v>
      </c>
      <c r="S787" s="478" t="str">
        <f>$E$39</f>
        <v>ILF5_90FCORCP_B114CAGR43006</v>
      </c>
      <c r="T787" s="420"/>
      <c r="U787" s="420"/>
      <c r="V787" s="420"/>
    </row>
    <row r="788" spans="1:23">
      <c r="A788" s="420"/>
      <c r="B788" s="420"/>
      <c r="C788" s="420"/>
      <c r="D788" s="420"/>
      <c r="E788" s="420"/>
      <c r="F788" s="420"/>
      <c r="G788" s="420"/>
      <c r="H788" s="436" t="s">
        <v>691</v>
      </c>
      <c r="I788" s="420"/>
      <c r="K788" s="420"/>
      <c r="L788" s="437" t="str">
        <f>$B$11</f>
        <v>INMOBILIARIA SERVIGESTION</v>
      </c>
      <c r="M788" s="420"/>
      <c r="N788" s="420"/>
      <c r="O788" s="420"/>
      <c r="P788" s="420"/>
      <c r="Q788" s="420"/>
      <c r="R788" s="420"/>
      <c r="S788" s="420"/>
      <c r="T788" s="420"/>
      <c r="U788" s="420"/>
      <c r="V788" s="420"/>
    </row>
    <row r="789" spans="1:23" ht="34.5">
      <c r="A789" s="420"/>
      <c r="B789" s="2268" t="s">
        <v>461</v>
      </c>
      <c r="C789" s="2268"/>
      <c r="D789" s="2268"/>
      <c r="E789" s="2268"/>
      <c r="F789" s="2268"/>
      <c r="G789" s="2268"/>
      <c r="H789" s="2268"/>
      <c r="I789" s="2268"/>
      <c r="J789" s="2268"/>
      <c r="K789" s="2268"/>
      <c r="L789" s="2268"/>
      <c r="M789" s="2268"/>
      <c r="N789" s="2268"/>
      <c r="O789" s="2268"/>
      <c r="P789" s="2268"/>
      <c r="Q789" s="2268"/>
      <c r="R789" s="2268"/>
      <c r="S789" s="2268"/>
      <c r="T789" s="2268"/>
      <c r="U789" s="2268"/>
      <c r="V789" s="420"/>
    </row>
    <row r="790" spans="1:23" ht="22.9" customHeight="1">
      <c r="A790" s="420"/>
      <c r="B790" s="2269" t="s">
        <v>1108</v>
      </c>
      <c r="C790" s="2269"/>
      <c r="D790" s="2269"/>
      <c r="E790" s="2269"/>
      <c r="F790" s="2269"/>
      <c r="G790" s="2269"/>
      <c r="H790" s="2269"/>
      <c r="I790" s="2269"/>
      <c r="J790" s="2269"/>
      <c r="K790" s="2269"/>
      <c r="L790" s="2269"/>
      <c r="M790" s="2269"/>
      <c r="N790" s="2269"/>
      <c r="O790" s="2269"/>
      <c r="P790" s="2269"/>
      <c r="Q790" s="2269"/>
      <c r="R790" s="2269"/>
      <c r="S790" s="2269"/>
      <c r="T790" s="2269"/>
      <c r="U790" s="2269"/>
      <c r="V790" s="420"/>
    </row>
    <row r="791" spans="1:23" ht="23.25">
      <c r="A791" s="420"/>
      <c r="B791" s="2252" t="s">
        <v>1091</v>
      </c>
      <c r="C791" s="2252"/>
      <c r="D791" s="2252"/>
      <c r="E791" s="2252"/>
      <c r="F791" s="2252"/>
      <c r="G791" s="2252"/>
      <c r="H791" s="2252"/>
      <c r="I791" s="2252"/>
      <c r="J791" s="2252"/>
      <c r="K791" s="2252"/>
      <c r="L791" s="1142"/>
      <c r="M791" s="1142"/>
      <c r="N791" s="1142"/>
      <c r="O791" s="1142"/>
      <c r="P791" s="1142"/>
      <c r="Q791" s="1142"/>
      <c r="R791" s="1142"/>
      <c r="S791" s="1142"/>
      <c r="T791" s="1142"/>
      <c r="U791" s="1142"/>
      <c r="V791" s="420"/>
    </row>
    <row r="792" spans="1:23" ht="28.5" customHeight="1">
      <c r="A792" s="420"/>
      <c r="B792" s="2260" t="s">
        <v>1115</v>
      </c>
      <c r="C792" s="2260"/>
      <c r="D792" s="2260"/>
      <c r="E792" s="2260"/>
      <c r="F792" s="2260"/>
      <c r="G792" s="2260"/>
      <c r="H792" s="2260"/>
      <c r="I792" s="2260"/>
      <c r="J792" s="2260"/>
      <c r="K792" s="2260"/>
      <c r="L792" s="2260"/>
      <c r="M792" s="2260"/>
      <c r="N792" s="2260"/>
      <c r="O792" s="2260"/>
      <c r="P792" s="2260"/>
      <c r="Q792" s="2260"/>
      <c r="R792" s="2260"/>
      <c r="S792" s="2260"/>
      <c r="T792" s="2260"/>
      <c r="U792" s="2260"/>
      <c r="V792" s="420"/>
    </row>
    <row r="793" spans="1:23" ht="36.75" customHeight="1">
      <c r="A793" s="504"/>
      <c r="B793" s="1158"/>
      <c r="C793" s="2390" t="s">
        <v>1116</v>
      </c>
      <c r="D793" s="2390"/>
      <c r="E793" s="2390"/>
      <c r="F793" s="2390"/>
      <c r="G793" s="2390"/>
      <c r="H793" s="2390"/>
      <c r="I793" s="2390"/>
      <c r="J793" s="2390"/>
      <c r="K793" s="2390"/>
      <c r="L793" s="2390"/>
      <c r="M793" s="2390"/>
      <c r="N793" s="2390"/>
      <c r="O793" s="2390"/>
      <c r="P793" s="2390"/>
      <c r="Q793" s="2390"/>
      <c r="R793" s="2390"/>
      <c r="S793" s="2390"/>
      <c r="T793" s="2390"/>
      <c r="U793" s="1158"/>
      <c r="V793" s="1171"/>
      <c r="W793" s="441"/>
    </row>
    <row r="794" spans="1:23" ht="23.25">
      <c r="A794" s="441"/>
      <c r="B794" s="441"/>
      <c r="C794" s="2335" t="s">
        <v>1103</v>
      </c>
      <c r="D794" s="2335"/>
      <c r="E794" s="2335"/>
      <c r="F794" s="2335"/>
      <c r="G794" s="2335"/>
      <c r="H794" s="2335"/>
      <c r="I794" s="2335"/>
      <c r="J794" s="2335"/>
      <c r="K794" s="2335"/>
      <c r="L794" s="441"/>
      <c r="M794" s="2375" t="s">
        <v>1102</v>
      </c>
      <c r="N794" s="2376"/>
      <c r="O794" s="2376"/>
      <c r="P794" s="2376"/>
      <c r="Q794" s="2376"/>
      <c r="R794" s="2376"/>
      <c r="S794" s="2376"/>
      <c r="T794" s="2377"/>
      <c r="U794" s="546"/>
      <c r="V794" s="1171"/>
      <c r="W794" s="441"/>
    </row>
    <row r="795" spans="1:23" ht="135" customHeight="1">
      <c r="A795" s="441"/>
      <c r="B795" s="501" t="s">
        <v>362</v>
      </c>
      <c r="C795" s="2396" t="s">
        <v>1876</v>
      </c>
      <c r="D795" s="2397"/>
      <c r="E795" s="2397"/>
      <c r="F795" s="2397"/>
      <c r="G795" s="2397"/>
      <c r="H795" s="2397"/>
      <c r="I795" s="2397"/>
      <c r="J795" s="2397"/>
      <c r="K795" s="2398"/>
      <c r="L795" s="441"/>
      <c r="M795" s="2396" t="s">
        <v>1117</v>
      </c>
      <c r="N795" s="2397"/>
      <c r="O795" s="2397"/>
      <c r="P795" s="2397"/>
      <c r="Q795" s="2397"/>
      <c r="R795" s="2397"/>
      <c r="S795" s="2397"/>
      <c r="T795" s="2398"/>
      <c r="U795" s="546"/>
      <c r="V795" s="1171"/>
      <c r="W795" s="441"/>
    </row>
    <row r="796" spans="1:23" ht="26.25">
      <c r="A796" s="441"/>
      <c r="B796" s="524"/>
      <c r="C796" s="2399" t="s">
        <v>1119</v>
      </c>
      <c r="D796" s="2399"/>
      <c r="E796" s="2399"/>
      <c r="F796" s="2399"/>
      <c r="G796" s="2399"/>
      <c r="H796" s="1167">
        <v>10.5</v>
      </c>
      <c r="I796" s="498"/>
      <c r="J796" s="498"/>
      <c r="K796" s="498"/>
      <c r="L796" s="499"/>
      <c r="M796" s="2399" t="s">
        <v>1119</v>
      </c>
      <c r="N796" s="2399"/>
      <c r="O796" s="2399"/>
      <c r="P796" s="2399"/>
      <c r="Q796" s="2399"/>
      <c r="R796" s="1167">
        <v>4.5</v>
      </c>
      <c r="S796" s="498"/>
      <c r="T796" s="498"/>
      <c r="U796" s="1168"/>
      <c r="V796" s="1171"/>
      <c r="W796" s="441"/>
    </row>
    <row r="797" spans="1:23" customFormat="1" ht="16.5" customHeight="1">
      <c r="A797" s="325"/>
      <c r="B797" s="524"/>
      <c r="U797" s="1168"/>
      <c r="V797" s="1171"/>
      <c r="W797" s="441"/>
    </row>
    <row r="798" spans="1:23" customFormat="1" ht="54" customHeight="1">
      <c r="A798" s="325"/>
      <c r="B798" s="524"/>
      <c r="C798" s="2475" t="s">
        <v>1118</v>
      </c>
      <c r="D798" s="2475"/>
      <c r="E798" s="2475"/>
      <c r="F798" s="2475"/>
      <c r="G798" s="2475"/>
      <c r="H798" s="2475"/>
      <c r="I798" s="2475"/>
      <c r="J798" s="2475"/>
      <c r="K798" s="2475"/>
      <c r="M798" s="2541" t="s">
        <v>1120</v>
      </c>
      <c r="N798" s="2541"/>
      <c r="O798" s="2541"/>
      <c r="P798" s="2541"/>
      <c r="Q798" s="2541"/>
      <c r="R798" s="2541"/>
      <c r="S798" s="2541"/>
      <c r="T798" s="2541"/>
      <c r="U798" s="1168"/>
      <c r="V798" s="1171"/>
      <c r="W798" s="441"/>
    </row>
    <row r="799" spans="1:23" ht="27.6" customHeight="1">
      <c r="A799" s="1171"/>
      <c r="B799" s="524"/>
      <c r="C799" s="2335" t="s">
        <v>1092</v>
      </c>
      <c r="D799" s="2335"/>
      <c r="E799" s="2335"/>
      <c r="F799" s="2335"/>
      <c r="G799" s="2335"/>
      <c r="H799" s="2335"/>
      <c r="I799" s="2335"/>
      <c r="J799" s="2335"/>
      <c r="K799" s="2335"/>
      <c r="L799" s="1143"/>
      <c r="M799" s="2375" t="s">
        <v>1093</v>
      </c>
      <c r="N799" s="2376"/>
      <c r="O799" s="2376"/>
      <c r="P799" s="2376"/>
      <c r="Q799" s="2376"/>
      <c r="R799" s="2376"/>
      <c r="S799" s="2376"/>
      <c r="T799" s="2377"/>
      <c r="U799" s="1168"/>
      <c r="V799" s="1171"/>
      <c r="W799" s="441"/>
    </row>
    <row r="800" spans="1:23" ht="98.25" customHeight="1">
      <c r="A800" s="1171"/>
      <c r="B800" s="524"/>
      <c r="C800" s="2396" t="s">
        <v>1125</v>
      </c>
      <c r="D800" s="2397"/>
      <c r="E800" s="2397"/>
      <c r="F800" s="2397"/>
      <c r="G800" s="2397"/>
      <c r="H800" s="2397"/>
      <c r="I800" s="2397"/>
      <c r="J800" s="2397"/>
      <c r="K800" s="2398"/>
      <c r="L800" s="1143"/>
      <c r="M800" s="2396" t="s">
        <v>1880</v>
      </c>
      <c r="N800" s="2397"/>
      <c r="O800" s="2397"/>
      <c r="P800" s="2397"/>
      <c r="Q800" s="2397"/>
      <c r="R800" s="2397"/>
      <c r="S800" s="2397"/>
      <c r="T800" s="2398"/>
      <c r="U800" s="1168"/>
      <c r="V800" s="1171"/>
      <c r="W800" s="441"/>
    </row>
    <row r="801" spans="1:25" ht="26.25">
      <c r="A801" s="441"/>
      <c r="B801" s="524"/>
      <c r="C801" s="2399" t="s">
        <v>1119</v>
      </c>
      <c r="D801" s="2399"/>
      <c r="E801" s="2399"/>
      <c r="F801" s="2399"/>
      <c r="G801" s="2399"/>
      <c r="H801" s="1167">
        <v>10</v>
      </c>
      <c r="I801" s="498"/>
      <c r="J801" s="498"/>
      <c r="K801" s="498"/>
      <c r="L801" s="499"/>
      <c r="M801" s="2399" t="s">
        <v>1119</v>
      </c>
      <c r="N801" s="2399"/>
      <c r="O801" s="2399"/>
      <c r="P801" s="2399"/>
      <c r="Q801" s="2399"/>
      <c r="R801" s="1167">
        <v>5</v>
      </c>
      <c r="S801" s="498"/>
      <c r="T801" s="498"/>
      <c r="U801" s="1168"/>
      <c r="V801" s="1171"/>
      <c r="W801" s="441"/>
    </row>
    <row r="802" spans="1:25" ht="18" customHeight="1">
      <c r="A802" s="1171"/>
      <c r="B802" s="524"/>
      <c r="C802" s="1159"/>
      <c r="D802" s="1159"/>
      <c r="E802" s="1159"/>
      <c r="F802" s="1159"/>
      <c r="G802" s="1159"/>
      <c r="H802" s="1159"/>
      <c r="I802" s="1159"/>
      <c r="J802" s="1159"/>
      <c r="K802" s="1159"/>
      <c r="L802" s="1159"/>
      <c r="M802" s="1159"/>
      <c r="N802" s="1159"/>
      <c r="O802" s="1159"/>
      <c r="P802" s="1159"/>
      <c r="Q802" s="1159"/>
      <c r="R802" s="1159"/>
      <c r="S802" s="1159"/>
      <c r="T802" s="1159"/>
      <c r="U802" s="1168"/>
      <c r="V802" s="1171"/>
      <c r="W802" s="441"/>
    </row>
    <row r="803" spans="1:25" customFormat="1" ht="50.25" customHeight="1">
      <c r="A803" s="325"/>
      <c r="B803" s="524"/>
      <c r="C803" s="2475" t="s">
        <v>1121</v>
      </c>
      <c r="D803" s="2475"/>
      <c r="E803" s="2475"/>
      <c r="F803" s="2475"/>
      <c r="G803" s="2475"/>
      <c r="H803" s="2475"/>
      <c r="I803" s="2475"/>
      <c r="J803" s="2475"/>
      <c r="K803" s="2475"/>
      <c r="M803" s="2541" t="s">
        <v>1426</v>
      </c>
      <c r="N803" s="2541"/>
      <c r="O803" s="2541"/>
      <c r="P803" s="2541"/>
      <c r="Q803" s="2541"/>
      <c r="R803" s="2541"/>
      <c r="S803" s="2541"/>
      <c r="T803" s="2541"/>
      <c r="U803" s="1168"/>
      <c r="V803" s="1171"/>
      <c r="W803" s="441"/>
    </row>
    <row r="804" spans="1:25" ht="27.6" customHeight="1">
      <c r="A804" s="1171"/>
      <c r="B804" s="524"/>
      <c r="C804" s="2335" t="s">
        <v>1094</v>
      </c>
      <c r="D804" s="2335"/>
      <c r="E804" s="2335"/>
      <c r="F804" s="2335"/>
      <c r="G804" s="2335"/>
      <c r="H804" s="2335"/>
      <c r="I804" s="2335"/>
      <c r="J804" s="2335"/>
      <c r="K804" s="2335"/>
      <c r="L804" s="1155"/>
      <c r="M804" s="2375" t="s">
        <v>1095</v>
      </c>
      <c r="N804" s="2376"/>
      <c r="O804" s="2376"/>
      <c r="P804" s="2376"/>
      <c r="Q804" s="2376"/>
      <c r="R804" s="2376"/>
      <c r="S804" s="2376"/>
      <c r="T804" s="2377"/>
      <c r="U804" s="1168"/>
      <c r="V804" s="1171"/>
      <c r="W804" s="441"/>
    </row>
    <row r="805" spans="1:25" ht="100.5" customHeight="1">
      <c r="A805" s="1171"/>
      <c r="B805" s="524"/>
      <c r="C805" s="2396" t="s">
        <v>1126</v>
      </c>
      <c r="D805" s="2397"/>
      <c r="E805" s="2397"/>
      <c r="F805" s="2397"/>
      <c r="G805" s="2397"/>
      <c r="H805" s="2397"/>
      <c r="I805" s="2397"/>
      <c r="J805" s="2397"/>
      <c r="K805" s="2398"/>
      <c r="L805" s="1155"/>
      <c r="M805" s="2396" t="s">
        <v>1127</v>
      </c>
      <c r="N805" s="2397"/>
      <c r="O805" s="2397"/>
      <c r="P805" s="2397"/>
      <c r="Q805" s="2397"/>
      <c r="R805" s="2397"/>
      <c r="S805" s="2397"/>
      <c r="T805" s="2398"/>
      <c r="U805" s="1168"/>
      <c r="V805" s="1171"/>
      <c r="W805" s="441"/>
    </row>
    <row r="806" spans="1:25" ht="26.25">
      <c r="A806" s="441"/>
      <c r="B806" s="524"/>
      <c r="C806" s="2479" t="s">
        <v>1129</v>
      </c>
      <c r="D806" s="2479"/>
      <c r="E806" s="2479"/>
      <c r="F806" s="2479"/>
      <c r="G806" s="2479"/>
      <c r="H806" s="2468">
        <v>10</v>
      </c>
      <c r="I806" s="2543"/>
      <c r="J806" s="2543"/>
      <c r="K806" s="2544"/>
      <c r="L806" s="499"/>
      <c r="M806" s="2479" t="s">
        <v>1128</v>
      </c>
      <c r="N806" s="2480"/>
      <c r="O806" s="2480"/>
      <c r="P806" s="2480"/>
      <c r="Q806" s="2480"/>
      <c r="R806" s="2468">
        <v>15</v>
      </c>
      <c r="S806" s="2470"/>
      <c r="T806" s="2471"/>
      <c r="U806" s="1168"/>
      <c r="V806" s="1171"/>
      <c r="W806" s="441"/>
    </row>
    <row r="807" spans="1:25" ht="23.25">
      <c r="A807" s="420"/>
      <c r="B807" s="1159"/>
      <c r="C807" s="2412"/>
      <c r="D807" s="2412"/>
      <c r="E807" s="2412"/>
      <c r="F807" s="2412"/>
      <c r="G807" s="2412"/>
      <c r="H807" s="2542"/>
      <c r="I807" s="2545"/>
      <c r="J807" s="2545"/>
      <c r="K807" s="2546"/>
      <c r="L807" s="1159"/>
      <c r="M807" s="2481"/>
      <c r="N807" s="2481"/>
      <c r="O807" s="2481"/>
      <c r="P807" s="2481"/>
      <c r="Q807" s="2481"/>
      <c r="R807" s="2469"/>
      <c r="S807" s="2472"/>
      <c r="T807" s="2473"/>
      <c r="U807" s="1159"/>
      <c r="V807" s="1171"/>
      <c r="W807" s="441"/>
    </row>
    <row r="808" spans="1:25">
      <c r="A808" s="420"/>
      <c r="C808" s="601"/>
      <c r="D808" s="601"/>
      <c r="E808" s="601"/>
      <c r="F808" s="601"/>
      <c r="G808" s="601"/>
      <c r="H808" s="601"/>
      <c r="J808" s="441"/>
      <c r="K808" s="441"/>
      <c r="M808" s="441"/>
      <c r="N808" s="441"/>
      <c r="S808" s="601"/>
      <c r="T808" s="601"/>
      <c r="V808" s="1171"/>
      <c r="W808" s="441"/>
    </row>
    <row r="809" spans="1:25" ht="6" customHeight="1">
      <c r="A809" s="420"/>
      <c r="B809" s="1142"/>
      <c r="C809" s="1142"/>
      <c r="D809" s="1142"/>
      <c r="E809" s="1142"/>
      <c r="F809" s="1142"/>
      <c r="G809" s="1142"/>
      <c r="H809" s="1142"/>
      <c r="I809" s="1142"/>
      <c r="J809" s="1142"/>
      <c r="K809" s="1142"/>
      <c r="L809" s="1142"/>
      <c r="M809" s="1142"/>
      <c r="N809" s="1142"/>
      <c r="O809" s="1142"/>
      <c r="P809" s="1142"/>
      <c r="Q809" s="1142"/>
      <c r="R809" s="1142"/>
      <c r="S809" s="1142"/>
      <c r="T809" s="1142"/>
      <c r="U809" s="1142"/>
      <c r="V809" s="1171"/>
      <c r="W809" s="441"/>
    </row>
    <row r="810" spans="1:25" ht="33.75" customHeight="1">
      <c r="A810" s="441"/>
      <c r="C810" s="2534" t="s">
        <v>1087</v>
      </c>
      <c r="D810" s="2486"/>
      <c r="E810" s="2486"/>
      <c r="F810" s="2486"/>
      <c r="G810" s="2256"/>
      <c r="H810" s="2255" t="s">
        <v>1122</v>
      </c>
      <c r="I810" s="2486"/>
      <c r="J810" s="2486"/>
      <c r="K810" s="2256"/>
      <c r="L810" s="2255" t="s">
        <v>1101</v>
      </c>
      <c r="M810" s="2256"/>
      <c r="N810" s="2254" t="s">
        <v>51</v>
      </c>
      <c r="O810" s="2255"/>
      <c r="P810" s="1170"/>
      <c r="Q810"/>
      <c r="R810"/>
      <c r="S810"/>
      <c r="T810"/>
      <c r="U810"/>
      <c r="V810" s="325"/>
      <c r="W810" s="325"/>
      <c r="X810"/>
      <c r="Y810"/>
    </row>
    <row r="811" spans="1:25" ht="27.75" customHeight="1">
      <c r="C811" s="2485">
        <f>Perfiles_usuario!B242</f>
        <v>0</v>
      </c>
      <c r="D811" s="2484"/>
      <c r="E811" s="2484"/>
      <c r="F811" s="2484"/>
      <c r="G811" s="2484"/>
      <c r="H811" s="2482">
        <f>Perfiles_usuario!D242</f>
        <v>0</v>
      </c>
      <c r="I811" s="2482"/>
      <c r="J811" s="2482"/>
      <c r="K811" s="2482"/>
      <c r="L811" s="2484">
        <f>Perfiles_usuario!F242</f>
        <v>0</v>
      </c>
      <c r="M811" s="2484"/>
      <c r="N811" s="2482">
        <f>Perfiles_usuario!H242</f>
        <v>0</v>
      </c>
      <c r="O811" s="2482"/>
      <c r="P811" s="1170"/>
      <c r="Q811"/>
      <c r="R811"/>
      <c r="S811"/>
      <c r="T811"/>
      <c r="U811"/>
      <c r="V811"/>
      <c r="W811"/>
      <c r="X811"/>
      <c r="Y811"/>
    </row>
    <row r="812" spans="1:25" ht="27.75" customHeight="1">
      <c r="C812" s="2485">
        <f>Perfiles_usuario!B244</f>
        <v>0</v>
      </c>
      <c r="D812" s="2484"/>
      <c r="E812" s="2484"/>
      <c r="F812" s="2484"/>
      <c r="G812" s="2484"/>
      <c r="H812" s="2482">
        <f>Perfiles_usuario!D244</f>
        <v>0</v>
      </c>
      <c r="I812" s="2482" t="str">
        <f>IF(Perfiles_usuario!R268=0,"",Perfiles_usuario!R268)</f>
        <v/>
      </c>
      <c r="J812" s="2482" t="str">
        <f>IF(Perfiles_usuario!T268=0,"",Perfiles_usuario!T268)</f>
        <v/>
      </c>
      <c r="K812" s="2482"/>
      <c r="L812" s="2484">
        <f>Perfiles_usuario!F244</f>
        <v>0</v>
      </c>
      <c r="M812" s="2484"/>
      <c r="N812" s="2482">
        <f>Perfiles_usuario!H244</f>
        <v>0</v>
      </c>
      <c r="O812" s="2482"/>
      <c r="P812" s="1170"/>
      <c r="Q812"/>
      <c r="R812"/>
      <c r="S812"/>
      <c r="T812"/>
      <c r="U812"/>
      <c r="V812"/>
      <c r="W812"/>
      <c r="X812"/>
      <c r="Y812"/>
    </row>
    <row r="813" spans="1:25" ht="27.75" customHeight="1">
      <c r="C813" s="2485">
        <f>Perfiles_usuario!B246</f>
        <v>0</v>
      </c>
      <c r="D813" s="2484"/>
      <c r="E813" s="2484"/>
      <c r="F813" s="2484"/>
      <c r="G813" s="2484"/>
      <c r="H813" s="2482">
        <f>Perfiles_usuario!D246</f>
        <v>0</v>
      </c>
      <c r="I813" s="2482" t="str">
        <f>IF(Perfiles_usuario!R270=0,"",Perfiles_usuario!R270)</f>
        <v/>
      </c>
      <c r="J813" s="2482" t="str">
        <f>IF(Perfiles_usuario!T270=0,"",Perfiles_usuario!T270)</f>
        <v/>
      </c>
      <c r="K813" s="2482"/>
      <c r="L813" s="2484">
        <f>Perfiles_usuario!F246</f>
        <v>0</v>
      </c>
      <c r="M813" s="2484"/>
      <c r="N813" s="2482">
        <f>Perfiles_usuario!H246</f>
        <v>0</v>
      </c>
      <c r="O813" s="2482"/>
      <c r="P813" s="1170"/>
      <c r="Q813"/>
      <c r="R813"/>
      <c r="S813"/>
      <c r="T813"/>
      <c r="U813"/>
      <c r="V813"/>
      <c r="W813"/>
      <c r="X813"/>
      <c r="Y813"/>
    </row>
    <row r="814" spans="1:25" ht="27.75" customHeight="1">
      <c r="C814" s="2485">
        <f>Perfiles_usuario!B248</f>
        <v>0</v>
      </c>
      <c r="D814" s="2484"/>
      <c r="E814" s="2484"/>
      <c r="F814" s="2484"/>
      <c r="G814" s="2484"/>
      <c r="H814" s="2482">
        <f>Perfiles_usuario!D248</f>
        <v>0</v>
      </c>
      <c r="I814" s="2482" t="str">
        <f>IF(Perfiles_usuario!R272=0,"",Perfiles_usuario!R272)</f>
        <v/>
      </c>
      <c r="J814" s="2482" t="str">
        <f>IF(Perfiles_usuario!T272=0,"",Perfiles_usuario!T272)</f>
        <v/>
      </c>
      <c r="K814" s="2482"/>
      <c r="L814" s="2484">
        <f>Perfiles_usuario!F248</f>
        <v>0</v>
      </c>
      <c r="M814" s="2484"/>
      <c r="N814" s="2482">
        <f>Perfiles_usuario!H248</f>
        <v>0</v>
      </c>
      <c r="O814" s="2483"/>
      <c r="P814"/>
      <c r="Q814"/>
      <c r="R814"/>
      <c r="S814"/>
      <c r="T814"/>
      <c r="U814"/>
      <c r="V814"/>
      <c r="W814"/>
      <c r="X814"/>
      <c r="Y814"/>
    </row>
    <row r="815" spans="1:25" ht="27.75" customHeight="1">
      <c r="A815" s="420"/>
      <c r="C815" s="2485">
        <f>Perfiles_usuario!B250</f>
        <v>0</v>
      </c>
      <c r="D815" s="2484"/>
      <c r="E815" s="2484"/>
      <c r="F815" s="2484"/>
      <c r="G815" s="2484"/>
      <c r="H815" s="2482">
        <f>Perfiles_usuario!D250</f>
        <v>0</v>
      </c>
      <c r="I815" s="2482" t="str">
        <f>IF(Perfiles_usuario!R274=0,"",Perfiles_usuario!R274)</f>
        <v/>
      </c>
      <c r="J815" s="2482" t="str">
        <f>IF(Perfiles_usuario!T274=0,"",Perfiles_usuario!T274)</f>
        <v/>
      </c>
      <c r="K815" s="2482"/>
      <c r="L815" s="2484">
        <f>Perfiles_usuario!F250</f>
        <v>0</v>
      </c>
      <c r="M815" s="2484"/>
      <c r="N815" s="2482">
        <f>Perfiles_usuario!H250</f>
        <v>0</v>
      </c>
      <c r="O815" s="2483"/>
      <c r="P815"/>
      <c r="Q815"/>
      <c r="R815"/>
      <c r="S815"/>
      <c r="T815"/>
      <c r="U815"/>
      <c r="V815"/>
      <c r="W815"/>
      <c r="X815"/>
      <c r="Y815"/>
    </row>
    <row r="816" spans="1:25" ht="11.25" customHeight="1">
      <c r="A816" s="420"/>
      <c r="B816" s="1142"/>
      <c r="C816" s="1142"/>
      <c r="D816" s="1142"/>
      <c r="E816" s="1142"/>
      <c r="F816" s="1142"/>
      <c r="G816" s="1142"/>
      <c r="H816" s="1142"/>
      <c r="I816" s="1142"/>
      <c r="J816" s="1142"/>
      <c r="K816" s="1142"/>
      <c r="L816" s="1142"/>
      <c r="M816" s="1142"/>
      <c r="N816" s="1144"/>
      <c r="O816" s="798"/>
      <c r="P816" s="1142"/>
      <c r="Q816"/>
      <c r="R816"/>
      <c r="S816"/>
      <c r="T816"/>
      <c r="U816"/>
      <c r="V816" s="420"/>
    </row>
    <row r="817" spans="1:22" ht="23.25">
      <c r="A817" s="420"/>
      <c r="B817" s="1142"/>
      <c r="C817" s="1142"/>
      <c r="D817" s="1142"/>
      <c r="E817" s="1142"/>
      <c r="F817" s="1142"/>
      <c r="G817" s="1142"/>
      <c r="H817" s="1142"/>
      <c r="I817" s="1142"/>
      <c r="J817" s="1142"/>
      <c r="K817" s="1142"/>
      <c r="L817" s="2301" t="s">
        <v>295</v>
      </c>
      <c r="M817" s="2301"/>
      <c r="N817" s="2547">
        <f>Perfiles_usuario!H252</f>
        <v>0</v>
      </c>
      <c r="O817" s="2548"/>
      <c r="Q817"/>
      <c r="R817"/>
      <c r="S817"/>
      <c r="T817"/>
      <c r="U817"/>
      <c r="V817" s="470"/>
    </row>
    <row r="818" spans="1:22" ht="23.25">
      <c r="A818" s="420"/>
      <c r="B818" s="2252" t="s">
        <v>1090</v>
      </c>
      <c r="C818" s="2252"/>
      <c r="D818" s="2252"/>
      <c r="E818" s="2252"/>
      <c r="F818" s="2252"/>
      <c r="G818" s="2252"/>
      <c r="H818" s="2252"/>
      <c r="I818" s="2252"/>
      <c r="J818" s="2252"/>
      <c r="K818" s="2252"/>
      <c r="L818" s="1154"/>
      <c r="M818" s="1154"/>
      <c r="N818" s="1154"/>
      <c r="O818" s="1154"/>
      <c r="P818" s="1154"/>
      <c r="Q818" s="1154"/>
      <c r="R818" s="1154"/>
      <c r="S818" s="1154"/>
      <c r="T818" s="1154"/>
      <c r="U818" s="1154"/>
      <c r="V818" s="420"/>
    </row>
    <row r="819" spans="1:22" ht="23.25">
      <c r="A819" s="420"/>
      <c r="B819" s="2260" t="s">
        <v>1131</v>
      </c>
      <c r="C819" s="2260"/>
      <c r="D819" s="2260"/>
      <c r="E819" s="2260"/>
      <c r="F819" s="2260"/>
      <c r="G819" s="2260"/>
      <c r="H819" s="2260"/>
      <c r="I819" s="2260"/>
      <c r="J819" s="2260"/>
      <c r="K819" s="2260"/>
      <c r="L819" s="2260"/>
      <c r="M819" s="2260"/>
      <c r="N819" s="2260"/>
      <c r="O819" s="2260"/>
      <c r="P819" s="2260"/>
      <c r="Q819" s="2260"/>
      <c r="R819" s="2260"/>
      <c r="S819" s="2260"/>
      <c r="T819" s="2260"/>
      <c r="U819" s="2260"/>
      <c r="V819" s="420"/>
    </row>
    <row r="820" spans="1:22" ht="9" customHeight="1">
      <c r="A820" s="420"/>
      <c r="B820" s="1159"/>
      <c r="C820" s="1159"/>
      <c r="D820" s="1159"/>
      <c r="E820" s="1159"/>
      <c r="F820" s="1159"/>
      <c r="G820" s="1159"/>
      <c r="H820" s="1159"/>
      <c r="I820" s="1159"/>
      <c r="J820" s="1159"/>
      <c r="K820" s="1159"/>
      <c r="L820" s="1159"/>
      <c r="M820" s="1159"/>
      <c r="N820" s="1159"/>
      <c r="O820" s="1159"/>
      <c r="P820" s="1159"/>
      <c r="Q820" s="1159"/>
      <c r="R820" s="1159"/>
      <c r="S820" s="1159"/>
      <c r="T820" s="1159"/>
      <c r="U820" s="1159"/>
      <c r="V820" s="420"/>
    </row>
    <row r="821" spans="1:22" ht="22.15" customHeight="1">
      <c r="A821" s="420"/>
      <c r="B821" s="1159"/>
      <c r="C821" s="2527" t="s">
        <v>1090</v>
      </c>
      <c r="D821" s="2527"/>
      <c r="E821" s="2527"/>
      <c r="F821" s="2527"/>
      <c r="G821" s="2527"/>
      <c r="H821" s="2527"/>
      <c r="I821" s="2527"/>
      <c r="J821" s="2527"/>
      <c r="K821" s="2527"/>
      <c r="L821" s="2527"/>
      <c r="M821" s="2527"/>
      <c r="N821" s="2527"/>
      <c r="O821" s="2527"/>
      <c r="P821" s="2527"/>
      <c r="Q821" s="2527"/>
      <c r="R821" s="2527"/>
      <c r="S821" s="2527"/>
      <c r="T821" s="2528"/>
      <c r="U821" s="1159"/>
      <c r="V821" s="420"/>
    </row>
    <row r="822" spans="1:22" ht="51" customHeight="1">
      <c r="A822" s="420"/>
      <c r="B822" s="1159"/>
      <c r="C822" s="2529" t="s">
        <v>1427</v>
      </c>
      <c r="D822" s="2530"/>
      <c r="E822" s="2530"/>
      <c r="F822" s="2530"/>
      <c r="G822" s="2530"/>
      <c r="H822" s="2530"/>
      <c r="I822" s="2530"/>
      <c r="J822" s="2530"/>
      <c r="K822" s="2530"/>
      <c r="L822" s="2530"/>
      <c r="M822" s="2530"/>
      <c r="N822" s="2530"/>
      <c r="O822" s="2530"/>
      <c r="P822" s="2530"/>
      <c r="Q822" s="2530"/>
      <c r="R822" s="2530"/>
      <c r="S822" s="2530"/>
      <c r="T822" s="2531"/>
      <c r="U822" s="1172"/>
      <c r="V822" s="420"/>
    </row>
    <row r="823" spans="1:22" ht="26.25">
      <c r="A823" s="420"/>
      <c r="B823" s="1159"/>
      <c r="C823" s="2532" t="s">
        <v>1860</v>
      </c>
      <c r="D823" s="2532"/>
      <c r="E823" s="2532"/>
      <c r="F823" s="2532"/>
      <c r="G823" s="2532"/>
      <c r="H823" s="2532"/>
      <c r="I823" s="2532"/>
      <c r="J823" s="2532"/>
      <c r="K823" s="2532"/>
      <c r="L823" s="2532"/>
      <c r="M823" s="2532"/>
      <c r="N823" s="2532"/>
      <c r="O823" s="2532"/>
      <c r="P823" s="2532"/>
      <c r="Q823" s="2533"/>
      <c r="R823" s="1167">
        <v>10</v>
      </c>
      <c r="S823" s="498"/>
      <c r="T823" s="498"/>
      <c r="U823" s="1159"/>
      <c r="V823" s="420"/>
    </row>
    <row r="824" spans="1:22" ht="11.25" customHeight="1">
      <c r="A824" s="420"/>
      <c r="B824" s="1159"/>
      <c r="C824" s="1159"/>
      <c r="D824" s="1159"/>
      <c r="E824" s="1159"/>
      <c r="F824" s="1159"/>
      <c r="G824" s="1159"/>
      <c r="H824" s="1159"/>
      <c r="I824" s="1159"/>
      <c r="J824" s="1159"/>
      <c r="K824" s="1159"/>
      <c r="L824" s="1159"/>
      <c r="M824" s="1159"/>
      <c r="N824" s="1159"/>
      <c r="O824" s="1159"/>
      <c r="P824" s="484"/>
      <c r="Q824" s="484"/>
      <c r="R824" s="1159"/>
      <c r="S824" s="1159"/>
      <c r="T824" s="1159"/>
      <c r="U824" s="1159"/>
      <c r="V824" s="420"/>
    </row>
    <row r="825" spans="1:22" ht="51.75" customHeight="1">
      <c r="A825" s="420"/>
      <c r="B825" s="420"/>
      <c r="C825" s="2534" t="s">
        <v>1838</v>
      </c>
      <c r="D825" s="2486"/>
      <c r="E825" s="2255" t="s">
        <v>1088</v>
      </c>
      <c r="F825" s="2486"/>
      <c r="G825" s="2256"/>
      <c r="H825" s="2255" t="s">
        <v>217</v>
      </c>
      <c r="I825" s="2256"/>
      <c r="J825" s="2486" t="s">
        <v>293</v>
      </c>
      <c r="K825" s="2256"/>
      <c r="L825" s="2255" t="s">
        <v>1836</v>
      </c>
      <c r="M825" s="2256"/>
      <c r="N825" s="2254" t="s">
        <v>1837</v>
      </c>
      <c r="O825" s="2255"/>
      <c r="P825" s="1156" t="s">
        <v>1861</v>
      </c>
      <c r="Q825" s="1156" t="s">
        <v>1862</v>
      </c>
      <c r="R825" s="1156" t="s">
        <v>1845</v>
      </c>
      <c r="S825" s="1156" t="s">
        <v>1846</v>
      </c>
      <c r="T825" s="1157" t="s">
        <v>1104</v>
      </c>
      <c r="U825" s="420"/>
      <c r="V825" s="420"/>
    </row>
    <row r="826" spans="1:22" ht="25.5" customHeight="1">
      <c r="A826" s="420"/>
      <c r="B826" s="420"/>
      <c r="C826" s="2485">
        <f>Perfiles_usuario!B262</f>
        <v>0</v>
      </c>
      <c r="D826" s="2484"/>
      <c r="E826" s="2484" t="str">
        <f>Perfiles_usuario!D262</f>
        <v>Acceso web, API y email</v>
      </c>
      <c r="F826" s="2484"/>
      <c r="G826" s="2484"/>
      <c r="H826" s="2482">
        <v>0</v>
      </c>
      <c r="I826" s="2482"/>
      <c r="J826" s="2482">
        <f>Perfiles_usuario!F262</f>
        <v>15</v>
      </c>
      <c r="K826" s="2482"/>
      <c r="L826" s="2492">
        <f>Perfiles_usuario!H262</f>
        <v>0</v>
      </c>
      <c r="M826" s="2484"/>
      <c r="N826" s="2482">
        <f>Perfiles_usuario!J262</f>
        <v>0</v>
      </c>
      <c r="O826" s="2482"/>
      <c r="P826" s="1783">
        <f>Perfiles_usuario!L262</f>
        <v>0</v>
      </c>
      <c r="Q826" s="1783">
        <f>Perfiles_usuario!N262</f>
        <v>0</v>
      </c>
      <c r="R826" s="1783">
        <f>Perfiles_usuario!P262</f>
        <v>0</v>
      </c>
      <c r="S826" s="1783">
        <f>Perfiles_usuario!R262</f>
        <v>0</v>
      </c>
      <c r="T826" s="1799">
        <f>Perfiles_usuario!T262</f>
        <v>0</v>
      </c>
      <c r="U826" s="729"/>
      <c r="V826" s="420"/>
    </row>
    <row r="827" spans="1:22" ht="21" customHeight="1">
      <c r="P827" s="1800">
        <f>Perfiles_usuario!L266</f>
        <v>0</v>
      </c>
      <c r="Q827" s="1801">
        <f>Perfiles_usuario!N266</f>
        <v>0</v>
      </c>
      <c r="R827" s="1802">
        <f>Perfiles_usuario!P266</f>
        <v>0</v>
      </c>
      <c r="S827" s="1801">
        <f>Perfiles_usuario!R266</f>
        <v>0</v>
      </c>
      <c r="T827" s="600"/>
    </row>
    <row r="828" spans="1:22" ht="11.25" customHeight="1">
      <c r="B828" s="522"/>
      <c r="C828" s="585"/>
      <c r="D828" s="584"/>
      <c r="E828" s="584"/>
      <c r="F828" s="584"/>
      <c r="G828" s="586"/>
      <c r="H828" s="586"/>
      <c r="I828" s="586"/>
      <c r="J828" s="586"/>
      <c r="K828" s="587"/>
      <c r="L828" s="587"/>
      <c r="M828" s="587"/>
      <c r="N828" s="587"/>
      <c r="O828" s="587"/>
      <c r="P828" s="587"/>
      <c r="Q828" s="561"/>
      <c r="R828" s="1173"/>
      <c r="S828" s="441"/>
      <c r="T828" s="441"/>
      <c r="U828" s="588"/>
      <c r="V828" s="441"/>
    </row>
    <row r="829" spans="1:22" ht="15.75">
      <c r="A829" s="420"/>
      <c r="B829" s="420"/>
      <c r="C829" s="420"/>
      <c r="D829" s="420"/>
      <c r="E829" s="420"/>
      <c r="F829" s="420"/>
      <c r="G829" s="420"/>
      <c r="H829" s="420"/>
      <c r="I829" s="420"/>
      <c r="J829" s="420"/>
      <c r="K829" s="420"/>
      <c r="L829" s="420"/>
      <c r="M829" s="476" t="s">
        <v>1813</v>
      </c>
      <c r="N829" s="420"/>
      <c r="O829" s="420"/>
      <c r="P829" s="420"/>
      <c r="Q829" s="420"/>
      <c r="R829" s="477" t="s">
        <v>692</v>
      </c>
      <c r="S829" s="478" t="str">
        <f>$E$39</f>
        <v>ILF5_90FCORCP_B114CAGR43006</v>
      </c>
      <c r="T829" s="420"/>
      <c r="U829" s="420"/>
      <c r="V829" s="420"/>
    </row>
    <row r="830" spans="1:22">
      <c r="H830" s="436" t="s">
        <v>690</v>
      </c>
      <c r="I830" s="420"/>
      <c r="K830" s="420"/>
      <c r="L830" s="437" t="str">
        <f>$B$11</f>
        <v>INMOBILIARIA SERVIGESTION</v>
      </c>
    </row>
    <row r="832" spans="1:22" ht="30">
      <c r="B832" s="2395" t="s">
        <v>461</v>
      </c>
      <c r="C832" s="2395"/>
      <c r="D832" s="2395"/>
      <c r="E832" s="2395"/>
      <c r="F832" s="2395"/>
      <c r="G832" s="2395"/>
      <c r="H832" s="2395"/>
      <c r="I832" s="2395"/>
      <c r="J832" s="2395"/>
      <c r="K832" s="2395"/>
      <c r="L832" s="2395"/>
      <c r="M832" s="2395"/>
      <c r="N832" s="2395"/>
      <c r="O832" s="2395"/>
      <c r="P832" s="2395"/>
      <c r="Q832" s="2395"/>
      <c r="R832" s="2395"/>
      <c r="S832" s="2395"/>
      <c r="T832" s="2395"/>
      <c r="U832" s="2395"/>
    </row>
    <row r="833" spans="2:21" ht="22.9" customHeight="1">
      <c r="B833" s="2252" t="s">
        <v>674</v>
      </c>
      <c r="C833" s="2252"/>
      <c r="D833" s="2252"/>
      <c r="E833" s="2252"/>
      <c r="F833" s="2252"/>
      <c r="G833" s="2252"/>
      <c r="H833" s="2252"/>
      <c r="I833" s="2252"/>
      <c r="J833" s="2252"/>
      <c r="K833" s="2252"/>
      <c r="L833" s="2252"/>
      <c r="M833" s="2252"/>
      <c r="N833" s="2252"/>
      <c r="O833" s="2252"/>
      <c r="P833" s="2252"/>
      <c r="Q833" s="2252"/>
      <c r="R833" s="2252"/>
      <c r="S833" s="2252"/>
      <c r="T833" s="2252"/>
      <c r="U833" s="2252"/>
    </row>
    <row r="834" spans="2:21" ht="6.75" customHeight="1"/>
    <row r="835" spans="2:21" s="522" customFormat="1" ht="21" customHeight="1">
      <c r="B835" s="2474" t="s">
        <v>660</v>
      </c>
      <c r="C835" s="2474"/>
      <c r="D835" s="2474"/>
      <c r="E835" s="2474"/>
      <c r="F835" s="2474"/>
      <c r="G835" s="2474"/>
      <c r="H835" s="2474"/>
      <c r="I835" s="2474"/>
      <c r="J835" s="2474"/>
      <c r="K835" s="2474"/>
      <c r="L835" s="2474"/>
      <c r="M835" s="2474"/>
      <c r="N835" s="2474"/>
      <c r="O835" s="2474"/>
      <c r="P835" s="2474"/>
      <c r="Q835" s="2474"/>
      <c r="R835" s="2474"/>
      <c r="S835" s="2474"/>
      <c r="T835" s="2474"/>
      <c r="U835" s="2474"/>
    </row>
    <row r="836" spans="2:21" ht="30.6" customHeight="1">
      <c r="B836" s="2491" t="s">
        <v>1448</v>
      </c>
      <c r="C836" s="2491"/>
      <c r="D836" s="2491"/>
      <c r="E836" s="2491"/>
      <c r="F836" s="2491"/>
      <c r="G836" s="2491"/>
      <c r="H836" s="2491"/>
      <c r="I836" s="2491"/>
      <c r="J836" s="2491"/>
      <c r="K836" s="2491"/>
      <c r="L836" s="2491"/>
      <c r="M836" s="2491"/>
      <c r="N836" s="2491"/>
      <c r="O836" s="2491"/>
      <c r="P836" s="2491"/>
      <c r="Q836" s="2491"/>
      <c r="R836" s="2491"/>
      <c r="S836" s="2491"/>
      <c r="T836" s="2491"/>
      <c r="U836" s="2491"/>
    </row>
    <row r="837" spans="2:21" ht="42" customHeight="1">
      <c r="B837" s="2489" t="s">
        <v>1930</v>
      </c>
      <c r="C837" s="2489"/>
      <c r="D837" s="2489"/>
      <c r="E837" s="2489"/>
      <c r="F837" s="2489"/>
      <c r="G837" s="2489"/>
      <c r="H837" s="2489"/>
      <c r="I837" s="2489"/>
      <c r="J837" s="2489"/>
      <c r="K837" s="2489"/>
      <c r="L837" s="2489"/>
      <c r="M837" s="2489"/>
      <c r="N837" s="2489"/>
      <c r="O837" s="2489"/>
      <c r="P837" s="2489"/>
      <c r="Q837" s="2489"/>
      <c r="R837" s="2489"/>
      <c r="S837" s="2489"/>
      <c r="T837" s="2489"/>
      <c r="U837" s="2489"/>
    </row>
    <row r="838" spans="2:21" ht="31.5" customHeight="1">
      <c r="B838" s="2493" t="s">
        <v>1963</v>
      </c>
      <c r="C838" s="2493"/>
      <c r="D838" s="2493"/>
      <c r="E838" s="2493"/>
      <c r="F838" s="2493"/>
      <c r="G838" s="2493"/>
      <c r="H838" s="2493"/>
      <c r="I838" s="2493"/>
      <c r="J838" s="2493"/>
      <c r="K838" s="2493"/>
      <c r="L838" s="2493"/>
      <c r="M838" s="2493"/>
      <c r="N838" s="2493"/>
      <c r="O838" s="2493"/>
      <c r="P838" s="2493"/>
      <c r="Q838" s="2493"/>
      <c r="R838" s="2493"/>
      <c r="S838" s="2493"/>
      <c r="T838" s="2493"/>
      <c r="U838" s="2493"/>
    </row>
    <row r="839" spans="2:21" ht="60.75" customHeight="1">
      <c r="B839" s="2489" t="s">
        <v>1964</v>
      </c>
      <c r="C839" s="2489"/>
      <c r="D839" s="2489"/>
      <c r="E839" s="2489"/>
      <c r="F839" s="2489"/>
      <c r="G839" s="2489"/>
      <c r="H839" s="2489"/>
      <c r="I839" s="2489"/>
      <c r="J839" s="2489"/>
      <c r="K839" s="2489"/>
      <c r="L839" s="2489"/>
      <c r="M839" s="2489"/>
      <c r="N839" s="2489"/>
      <c r="O839" s="2489"/>
      <c r="P839" s="2489"/>
      <c r="Q839" s="2489"/>
      <c r="R839" s="2489"/>
      <c r="S839" s="2489"/>
      <c r="T839" s="2489"/>
      <c r="U839" s="2489"/>
    </row>
    <row r="840" spans="2:21" ht="17.45" customHeight="1">
      <c r="B840" s="2493" t="s">
        <v>1931</v>
      </c>
      <c r="C840" s="2493"/>
      <c r="D840" s="2493"/>
      <c r="E840" s="2493"/>
      <c r="F840" s="2493"/>
      <c r="G840" s="2493"/>
      <c r="H840" s="2493"/>
      <c r="I840" s="2493"/>
      <c r="J840" s="2493"/>
      <c r="K840" s="2493"/>
      <c r="L840" s="2493"/>
      <c r="M840" s="2493"/>
      <c r="N840" s="2493"/>
      <c r="O840" s="2493"/>
      <c r="P840" s="2493"/>
      <c r="Q840" s="2493"/>
      <c r="R840" s="2493"/>
      <c r="S840" s="2493"/>
      <c r="T840" s="2493"/>
      <c r="U840" s="2493"/>
    </row>
    <row r="841" spans="2:21" ht="17.45" customHeight="1">
      <c r="B841" s="2490" t="s">
        <v>652</v>
      </c>
      <c r="C841" s="2490"/>
      <c r="D841" s="2490"/>
      <c r="E841" s="2490"/>
      <c r="F841" s="2490"/>
      <c r="G841" s="2490"/>
      <c r="H841" s="2490"/>
      <c r="I841" s="2490"/>
      <c r="J841" s="2490"/>
      <c r="K841" s="2490"/>
      <c r="L841" s="2490"/>
      <c r="M841" s="2490"/>
      <c r="N841" s="2490"/>
      <c r="O841" s="2490"/>
      <c r="P841" s="2490"/>
      <c r="Q841" s="2490"/>
      <c r="R841" s="2490"/>
      <c r="S841" s="2490"/>
      <c r="T841" s="2490"/>
      <c r="U841" s="2490"/>
    </row>
    <row r="842" spans="2:21" ht="17.45" customHeight="1">
      <c r="B842" s="2491" t="s">
        <v>653</v>
      </c>
      <c r="C842" s="2491"/>
      <c r="D842" s="2491"/>
      <c r="E842" s="2491"/>
      <c r="F842" s="2491"/>
      <c r="G842" s="2491"/>
      <c r="H842" s="2491"/>
      <c r="I842" s="2491"/>
      <c r="J842" s="2491"/>
      <c r="K842" s="2491"/>
      <c r="L842" s="2491"/>
      <c r="M842" s="2491"/>
      <c r="N842" s="2491"/>
      <c r="O842" s="2491"/>
      <c r="P842" s="2491"/>
      <c r="Q842" s="2491"/>
      <c r="R842" s="2491"/>
      <c r="S842" s="2491"/>
      <c r="T842" s="2491"/>
      <c r="U842" s="2491"/>
    </row>
    <row r="843" spans="2:21" ht="17.45" customHeight="1">
      <c r="B843" s="2490" t="s">
        <v>654</v>
      </c>
      <c r="C843" s="2490"/>
      <c r="D843" s="2490"/>
      <c r="E843" s="2490"/>
      <c r="F843" s="2490"/>
      <c r="G843" s="2490"/>
      <c r="H843" s="2490"/>
      <c r="I843" s="2490"/>
      <c r="J843" s="2490"/>
      <c r="K843" s="2490"/>
      <c r="L843" s="2490"/>
      <c r="M843" s="2490"/>
      <c r="N843" s="2490"/>
      <c r="O843" s="2490"/>
      <c r="P843" s="2490"/>
      <c r="Q843" s="2490"/>
      <c r="R843" s="2490"/>
      <c r="S843" s="2490"/>
      <c r="T843" s="2490"/>
      <c r="U843" s="2490"/>
    </row>
    <row r="844" spans="2:21" ht="17.45" customHeight="1">
      <c r="B844" s="2491" t="s">
        <v>672</v>
      </c>
      <c r="C844" s="2491"/>
      <c r="D844" s="2491"/>
      <c r="E844" s="2491"/>
      <c r="F844" s="2491"/>
      <c r="G844" s="2491"/>
      <c r="H844" s="2491"/>
      <c r="I844" s="2491"/>
      <c r="J844" s="2491"/>
      <c r="K844" s="2491"/>
      <c r="L844" s="2491"/>
      <c r="M844" s="2491"/>
      <c r="N844" s="2491"/>
      <c r="O844" s="2491"/>
      <c r="P844" s="2491"/>
      <c r="Q844" s="2491"/>
      <c r="R844" s="2491"/>
      <c r="S844" s="2491"/>
      <c r="T844" s="2491"/>
      <c r="U844" s="2491"/>
    </row>
    <row r="845" spans="2:21" s="522" customFormat="1" ht="17.45" customHeight="1">
      <c r="B845" s="2490" t="s">
        <v>689</v>
      </c>
      <c r="C845" s="2490"/>
      <c r="D845" s="2490"/>
      <c r="E845" s="2490"/>
      <c r="F845" s="2490"/>
      <c r="G845" s="2490"/>
      <c r="H845" s="2490"/>
      <c r="I845" s="2490"/>
      <c r="J845" s="2490"/>
      <c r="K845" s="2490"/>
      <c r="L845" s="2490"/>
      <c r="M845" s="2490"/>
      <c r="N845" s="2490"/>
      <c r="O845" s="2490"/>
      <c r="P845" s="2490"/>
      <c r="Q845" s="2490"/>
      <c r="R845" s="2490"/>
      <c r="S845" s="2490"/>
      <c r="T845" s="2490"/>
      <c r="U845" s="2490"/>
    </row>
    <row r="846" spans="2:21" s="522" customFormat="1" ht="17.45" customHeight="1">
      <c r="B846" s="2491" t="s">
        <v>655</v>
      </c>
      <c r="C846" s="2491"/>
      <c r="D846" s="2491"/>
      <c r="E846" s="2491"/>
      <c r="F846" s="2491"/>
      <c r="G846" s="2491"/>
      <c r="H846" s="2491"/>
      <c r="I846" s="2491"/>
      <c r="J846" s="2491"/>
      <c r="K846" s="2491"/>
      <c r="L846" s="2491"/>
      <c r="M846" s="2491"/>
      <c r="N846" s="2491"/>
      <c r="O846" s="2491"/>
      <c r="P846" s="2491"/>
      <c r="Q846" s="2491"/>
      <c r="R846" s="2491"/>
      <c r="S846" s="2491"/>
      <c r="T846" s="2491"/>
      <c r="U846" s="2491"/>
    </row>
    <row r="847" spans="2:21" s="522" customFormat="1" ht="17.45" customHeight="1">
      <c r="B847" s="2490" t="s">
        <v>656</v>
      </c>
      <c r="C847" s="2490"/>
      <c r="D847" s="2490"/>
      <c r="E847" s="2490"/>
      <c r="F847" s="2490"/>
      <c r="G847" s="2490"/>
      <c r="H847" s="2490"/>
      <c r="I847" s="2490"/>
      <c r="J847" s="2490"/>
      <c r="K847" s="2490"/>
      <c r="L847" s="2490"/>
      <c r="M847" s="2490"/>
      <c r="N847" s="2490"/>
      <c r="O847" s="2490"/>
      <c r="P847" s="2490"/>
      <c r="Q847" s="2490"/>
      <c r="R847" s="2490"/>
      <c r="S847" s="2490"/>
      <c r="T847" s="2490"/>
      <c r="U847" s="2490"/>
    </row>
    <row r="848" spans="2:21" s="522" customFormat="1" ht="46.5" customHeight="1">
      <c r="B848" s="2494" t="s">
        <v>658</v>
      </c>
      <c r="C848" s="2494"/>
      <c r="D848" s="2494"/>
      <c r="E848" s="2494"/>
      <c r="F848" s="2494"/>
      <c r="G848" s="2494"/>
      <c r="H848" s="2494"/>
      <c r="I848" s="2494"/>
      <c r="J848" s="2494"/>
      <c r="K848" s="2494"/>
      <c r="L848" s="2494"/>
      <c r="M848" s="2494"/>
      <c r="N848" s="2494"/>
      <c r="O848" s="2494"/>
      <c r="P848" s="2494"/>
      <c r="Q848" s="2494"/>
      <c r="R848" s="2494"/>
      <c r="S848" s="2494"/>
      <c r="T848" s="2494"/>
      <c r="U848" s="2494"/>
    </row>
    <row r="849" spans="1:22" s="522" customFormat="1" ht="24.6" customHeight="1">
      <c r="B849" s="2487" t="s">
        <v>657</v>
      </c>
      <c r="C849" s="2487"/>
      <c r="D849" s="2487"/>
      <c r="E849" s="2487"/>
      <c r="F849" s="2487"/>
      <c r="G849" s="2487"/>
      <c r="H849" s="2487"/>
      <c r="I849" s="2487"/>
      <c r="J849" s="2487"/>
      <c r="K849" s="2487"/>
      <c r="L849" s="2487"/>
      <c r="M849" s="2487"/>
      <c r="N849" s="2487"/>
      <c r="O849" s="2487"/>
      <c r="P849" s="2487"/>
      <c r="Q849" s="2487"/>
      <c r="R849" s="2487"/>
      <c r="S849" s="2487"/>
      <c r="T849" s="2487"/>
      <c r="U849" s="2487"/>
    </row>
    <row r="850" spans="1:22" s="522" customFormat="1" ht="21" customHeight="1">
      <c r="B850" s="2494" t="s">
        <v>758</v>
      </c>
      <c r="C850" s="2494"/>
      <c r="D850" s="2494"/>
      <c r="E850" s="2494"/>
      <c r="F850" s="2494"/>
      <c r="G850" s="2494"/>
      <c r="H850" s="2494"/>
      <c r="I850" s="2494"/>
      <c r="J850" s="2494"/>
      <c r="K850" s="2494"/>
      <c r="L850" s="2494"/>
      <c r="M850" s="2494"/>
      <c r="N850" s="2494"/>
      <c r="O850" s="2494"/>
      <c r="P850" s="2494"/>
      <c r="Q850" s="2494"/>
      <c r="R850" s="2494"/>
      <c r="S850" s="2494"/>
      <c r="T850" s="2494"/>
      <c r="U850" s="2494"/>
    </row>
    <row r="851" spans="1:22" s="522" customFormat="1" ht="52.15" customHeight="1">
      <c r="B851" s="2487" t="s">
        <v>1449</v>
      </c>
      <c r="C851" s="2487"/>
      <c r="D851" s="2487"/>
      <c r="E851" s="2487"/>
      <c r="F851" s="2487"/>
      <c r="G851" s="2487"/>
      <c r="H851" s="2487"/>
      <c r="I851" s="2487"/>
      <c r="J851" s="2487"/>
      <c r="K851" s="2487"/>
      <c r="L851" s="2487"/>
      <c r="M851" s="2487"/>
      <c r="N851" s="2487"/>
      <c r="O851" s="2487"/>
      <c r="P851" s="2487"/>
      <c r="Q851" s="2487"/>
      <c r="R851" s="2487"/>
      <c r="S851" s="2487"/>
      <c r="T851" s="2487"/>
      <c r="U851" s="2487"/>
    </row>
    <row r="852" spans="1:22" s="522" customFormat="1" ht="45.75" customHeight="1">
      <c r="B852" s="2494" t="s">
        <v>1450</v>
      </c>
      <c r="C852" s="2494"/>
      <c r="D852" s="2494"/>
      <c r="E852" s="2494"/>
      <c r="F852" s="2494"/>
      <c r="G852" s="2494"/>
      <c r="H852" s="2494"/>
      <c r="I852" s="2494"/>
      <c r="J852" s="2494"/>
      <c r="K852" s="2494"/>
      <c r="L852" s="2494"/>
      <c r="M852" s="2494"/>
      <c r="N852" s="2494"/>
      <c r="O852" s="2494"/>
      <c r="P852" s="2494"/>
      <c r="Q852" s="2494"/>
      <c r="R852" s="2494"/>
      <c r="S852" s="2494"/>
      <c r="T852" s="2494"/>
      <c r="U852" s="2494"/>
    </row>
    <row r="853" spans="1:22" s="522" customFormat="1" ht="22.5" customHeight="1">
      <c r="B853" s="2487" t="s">
        <v>1089</v>
      </c>
      <c r="C853" s="2487"/>
      <c r="D853" s="2487"/>
      <c r="E853" s="2487"/>
      <c r="F853" s="2487"/>
      <c r="G853" s="2487"/>
      <c r="H853" s="2487"/>
      <c r="I853" s="2487"/>
      <c r="J853" s="2487"/>
      <c r="K853" s="2487"/>
      <c r="L853" s="2487"/>
      <c r="M853" s="2487"/>
      <c r="N853" s="2487"/>
      <c r="O853" s="2487"/>
      <c r="P853" s="2487"/>
      <c r="Q853" s="2487"/>
      <c r="R853" s="2487"/>
      <c r="S853" s="2487"/>
      <c r="T853" s="2487"/>
      <c r="U853" s="2487"/>
    </row>
    <row r="854" spans="1:22" s="522" customFormat="1" ht="21" customHeight="1">
      <c r="B854" s="2474" t="s">
        <v>659</v>
      </c>
      <c r="C854" s="2474"/>
      <c r="D854" s="2474"/>
      <c r="E854" s="2474"/>
      <c r="F854" s="2474"/>
      <c r="G854" s="2474"/>
      <c r="H854" s="2474"/>
      <c r="I854" s="2474"/>
      <c r="J854" s="2474"/>
      <c r="K854" s="2474"/>
      <c r="L854" s="2474"/>
      <c r="M854" s="2474"/>
      <c r="N854" s="2474"/>
      <c r="O854" s="2474"/>
      <c r="P854" s="2474"/>
      <c r="Q854" s="2474"/>
      <c r="R854" s="2474"/>
      <c r="S854" s="2474"/>
      <c r="T854" s="2474"/>
      <c r="U854" s="2474"/>
    </row>
    <row r="855" spans="1:22" s="522" customFormat="1" ht="30.75" customHeight="1">
      <c r="B855" s="2489" t="s">
        <v>1932</v>
      </c>
      <c r="C855" s="2489"/>
      <c r="D855" s="2489"/>
      <c r="E855" s="2489"/>
      <c r="F855" s="2489"/>
      <c r="G855" s="2489"/>
      <c r="H855" s="2489"/>
      <c r="I855" s="2489"/>
      <c r="J855" s="2489"/>
      <c r="K855" s="2489"/>
      <c r="L855" s="2489"/>
      <c r="M855" s="2489"/>
      <c r="N855" s="2489"/>
      <c r="O855" s="2489"/>
      <c r="P855" s="2489"/>
      <c r="Q855" s="2489"/>
      <c r="R855" s="2489"/>
      <c r="S855" s="2489"/>
      <c r="T855" s="2489"/>
      <c r="U855" s="2489"/>
    </row>
    <row r="856" spans="1:22" s="1198" customFormat="1" ht="34.5" customHeight="1">
      <c r="A856" s="437"/>
      <c r="B856" s="2489" t="s">
        <v>1933</v>
      </c>
      <c r="C856" s="2489"/>
      <c r="D856" s="2489"/>
      <c r="E856" s="2489"/>
      <c r="F856" s="2489"/>
      <c r="G856" s="2489"/>
      <c r="H856" s="2489"/>
      <c r="I856" s="2489"/>
      <c r="J856" s="2489"/>
      <c r="K856" s="2489"/>
      <c r="L856" s="2489"/>
      <c r="M856" s="2489"/>
      <c r="N856" s="2489"/>
      <c r="O856" s="2489"/>
      <c r="P856" s="2489"/>
      <c r="Q856" s="2489"/>
      <c r="R856" s="2489"/>
      <c r="S856" s="2489"/>
      <c r="T856" s="2489"/>
      <c r="U856" s="2489"/>
      <c r="V856" s="437"/>
    </row>
    <row r="857" spans="1:22" s="1198" customFormat="1" ht="47.45" customHeight="1">
      <c r="B857" s="2493" t="s">
        <v>2050</v>
      </c>
      <c r="C857" s="2493"/>
      <c r="D857" s="2493"/>
      <c r="E857" s="2493"/>
      <c r="F857" s="2493"/>
      <c r="G857" s="2493"/>
      <c r="H857" s="2493"/>
      <c r="I857" s="2493"/>
      <c r="J857" s="2493"/>
      <c r="K857" s="2493"/>
      <c r="L857" s="2493"/>
      <c r="M857" s="2493"/>
      <c r="N857" s="2493"/>
      <c r="O857" s="2493"/>
      <c r="P857" s="2493"/>
      <c r="Q857" s="2493"/>
      <c r="R857" s="2493"/>
      <c r="S857" s="2493"/>
      <c r="T857" s="2493"/>
      <c r="U857" s="2493"/>
      <c r="V857" s="437"/>
    </row>
    <row r="858" spans="1:22" s="1198" customFormat="1" ht="47.25" customHeight="1">
      <c r="A858" s="437"/>
      <c r="B858" s="2489" t="s">
        <v>2051</v>
      </c>
      <c r="C858" s="2489"/>
      <c r="D858" s="2489"/>
      <c r="E858" s="2489"/>
      <c r="F858" s="2489"/>
      <c r="G858" s="2489"/>
      <c r="H858" s="2489"/>
      <c r="I858" s="2489"/>
      <c r="J858" s="2489"/>
      <c r="K858" s="2489"/>
      <c r="L858" s="2489"/>
      <c r="M858" s="2489"/>
      <c r="N858" s="2489"/>
      <c r="O858" s="2489"/>
      <c r="P858" s="2489"/>
      <c r="Q858" s="2489"/>
      <c r="R858" s="2489"/>
      <c r="S858" s="2489"/>
      <c r="T858" s="2489"/>
      <c r="U858" s="2489"/>
      <c r="V858" s="437"/>
    </row>
    <row r="859" spans="1:22" s="437" customFormat="1" ht="30.75" customHeight="1">
      <c r="B859" s="2493" t="s">
        <v>2052</v>
      </c>
      <c r="C859" s="2493"/>
      <c r="D859" s="2493"/>
      <c r="E859" s="2493"/>
      <c r="F859" s="2493"/>
      <c r="G859" s="2493"/>
      <c r="H859" s="2493"/>
      <c r="I859" s="2493"/>
      <c r="J859" s="2493"/>
      <c r="K859" s="2493"/>
      <c r="L859" s="2493"/>
      <c r="M859" s="2493"/>
      <c r="N859" s="2493"/>
      <c r="O859" s="2493"/>
      <c r="P859" s="2493"/>
      <c r="Q859" s="2493"/>
      <c r="R859" s="2493"/>
      <c r="S859" s="2493"/>
      <c r="T859" s="2493"/>
      <c r="U859" s="2493"/>
    </row>
    <row r="860" spans="1:22" s="1198" customFormat="1" ht="34.5" customHeight="1">
      <c r="A860" s="437"/>
      <c r="B860" s="2537" t="s">
        <v>2053</v>
      </c>
      <c r="C860" s="2537"/>
      <c r="D860" s="2537"/>
      <c r="E860" s="2537"/>
      <c r="F860" s="2537"/>
      <c r="G860" s="2537"/>
      <c r="H860" s="2537"/>
      <c r="I860" s="2537"/>
      <c r="J860" s="2537"/>
      <c r="K860" s="2537"/>
      <c r="L860" s="2537"/>
      <c r="M860" s="2537"/>
      <c r="N860" s="2537"/>
      <c r="O860" s="2537"/>
      <c r="P860" s="2537"/>
      <c r="Q860" s="2537"/>
      <c r="R860" s="2537"/>
      <c r="S860" s="2537"/>
      <c r="T860" s="2537"/>
      <c r="U860" s="2537"/>
      <c r="V860" s="437"/>
    </row>
    <row r="861" spans="1:22" s="437" customFormat="1" ht="17.45" customHeight="1">
      <c r="B861" s="2493" t="s">
        <v>2054</v>
      </c>
      <c r="C861" s="2493"/>
      <c r="D861" s="2493"/>
      <c r="E861" s="2493"/>
      <c r="F861" s="2493"/>
      <c r="G861" s="2493"/>
      <c r="H861" s="2493"/>
      <c r="I861" s="2493"/>
      <c r="J861" s="2493"/>
      <c r="K861" s="2493"/>
      <c r="L861" s="2493"/>
      <c r="M861" s="2493"/>
      <c r="N861" s="2493"/>
      <c r="O861" s="2493"/>
      <c r="P861" s="2493"/>
      <c r="Q861" s="2493"/>
      <c r="R861" s="2493"/>
      <c r="S861" s="2493"/>
      <c r="T861" s="2493"/>
      <c r="U861" s="2493"/>
    </row>
    <row r="862" spans="1:22" s="1521" customFormat="1" ht="17.45" customHeight="1">
      <c r="A862" s="437"/>
      <c r="B862" s="2537" t="s">
        <v>1934</v>
      </c>
      <c r="C862" s="2537"/>
      <c r="D862" s="2537"/>
      <c r="E862" s="2537"/>
      <c r="F862" s="2537"/>
      <c r="G862" s="2537"/>
      <c r="H862" s="2537"/>
      <c r="I862" s="2537"/>
      <c r="J862" s="2537"/>
      <c r="K862" s="2537"/>
      <c r="L862" s="2537"/>
      <c r="M862" s="2537"/>
      <c r="N862" s="2537"/>
      <c r="O862" s="2537"/>
      <c r="P862" s="2537"/>
      <c r="Q862" s="2537"/>
      <c r="R862" s="2537"/>
      <c r="S862" s="2537"/>
      <c r="T862" s="2537"/>
      <c r="U862" s="2537"/>
      <c r="V862" s="437"/>
    </row>
    <row r="863" spans="1:22" s="1521" customFormat="1" ht="17.45" customHeight="1">
      <c r="A863" s="437"/>
      <c r="B863" s="2540" t="s">
        <v>1935</v>
      </c>
      <c r="C863" s="2540"/>
      <c r="D863" s="2540"/>
      <c r="E863" s="2540"/>
      <c r="F863" s="2540"/>
      <c r="G863" s="2540"/>
      <c r="H863" s="2540"/>
      <c r="I863" s="2540"/>
      <c r="J863" s="2540"/>
      <c r="K863" s="2540"/>
      <c r="L863" s="2540"/>
      <c r="M863" s="2540"/>
      <c r="N863" s="2540"/>
      <c r="O863" s="2540"/>
      <c r="P863" s="2540"/>
      <c r="Q863" s="2540"/>
      <c r="R863" s="2540"/>
      <c r="S863" s="2540"/>
      <c r="T863" s="2540"/>
      <c r="U863" s="2540"/>
      <c r="V863" s="437"/>
    </row>
    <row r="864" spans="1:22" s="673" customFormat="1" ht="17.45" customHeight="1">
      <c r="A864" s="429"/>
      <c r="B864" s="2487" t="s">
        <v>872</v>
      </c>
      <c r="C864" s="2487"/>
      <c r="D864" s="2487"/>
      <c r="E864" s="2487"/>
      <c r="F864" s="2487"/>
      <c r="G864" s="2487"/>
      <c r="H864" s="2487"/>
      <c r="I864" s="2487"/>
      <c r="J864" s="2487"/>
      <c r="K864" s="2487"/>
      <c r="L864" s="2487"/>
      <c r="M864" s="2487"/>
      <c r="N864" s="2487"/>
      <c r="O864" s="2487"/>
      <c r="P864" s="2487"/>
      <c r="Q864" s="2487"/>
      <c r="R864" s="2487"/>
      <c r="S864" s="2487"/>
      <c r="T864" s="2487"/>
      <c r="U864" s="2487"/>
      <c r="V864" s="429"/>
    </row>
    <row r="865" spans="1:22" s="429" customFormat="1" ht="17.45" customHeight="1">
      <c r="B865" s="2536" t="s">
        <v>810</v>
      </c>
      <c r="C865" s="2536"/>
      <c r="D865" s="2536"/>
      <c r="E865" s="2536"/>
      <c r="F865" s="2536"/>
      <c r="G865" s="2536"/>
      <c r="H865" s="2536"/>
      <c r="I865" s="2536"/>
      <c r="J865" s="2536"/>
      <c r="K865" s="2536"/>
      <c r="L865" s="2536"/>
      <c r="M865" s="2536"/>
      <c r="N865" s="2536"/>
      <c r="O865" s="2536"/>
      <c r="P865" s="2536"/>
      <c r="Q865" s="2536"/>
      <c r="R865" s="2536"/>
      <c r="S865" s="2536"/>
      <c r="T865" s="2536"/>
      <c r="U865" s="2536"/>
    </row>
    <row r="866" spans="1:22" s="429" customFormat="1" ht="17.45" customHeight="1">
      <c r="B866" s="2487" t="s">
        <v>1089</v>
      </c>
      <c r="C866" s="2487"/>
      <c r="D866" s="2487"/>
      <c r="E866" s="2487"/>
      <c r="F866" s="2487"/>
      <c r="G866" s="2487"/>
      <c r="H866" s="2487"/>
      <c r="I866" s="2487"/>
      <c r="J866" s="2487"/>
      <c r="K866" s="2487"/>
      <c r="L866" s="2487"/>
      <c r="M866" s="2487"/>
      <c r="N866" s="2487"/>
      <c r="O866" s="2487"/>
      <c r="P866" s="2487"/>
      <c r="Q866" s="2487"/>
      <c r="R866" s="2487"/>
      <c r="S866" s="2487"/>
      <c r="T866" s="2487"/>
      <c r="U866" s="2487"/>
    </row>
    <row r="867" spans="1:22" s="429" customFormat="1" ht="17.25" customHeight="1">
      <c r="B867" s="2474" t="s">
        <v>1896</v>
      </c>
      <c r="C867" s="2474"/>
      <c r="D867" s="2474"/>
      <c r="E867" s="2474"/>
      <c r="F867" s="2474"/>
      <c r="G867" s="2474"/>
      <c r="H867" s="2474"/>
      <c r="I867" s="2474"/>
      <c r="J867" s="2474"/>
      <c r="K867" s="2474"/>
      <c r="L867" s="2474"/>
      <c r="M867" s="2474"/>
      <c r="N867" s="2474"/>
      <c r="O867" s="2474"/>
      <c r="P867" s="2474"/>
      <c r="Q867" s="2474"/>
      <c r="R867" s="2474"/>
      <c r="S867" s="2474"/>
      <c r="T867" s="2474"/>
      <c r="U867" s="2474"/>
    </row>
    <row r="868" spans="1:22" s="673" customFormat="1" ht="57" customHeight="1">
      <c r="A868" s="429"/>
      <c r="B868" s="2536" t="s">
        <v>1899</v>
      </c>
      <c r="C868" s="2536"/>
      <c r="D868" s="2536"/>
      <c r="E868" s="2536"/>
      <c r="F868" s="2536"/>
      <c r="G868" s="2536"/>
      <c r="H868" s="2536"/>
      <c r="I868" s="2536"/>
      <c r="J868" s="2536"/>
      <c r="K868" s="2536"/>
      <c r="L868" s="2536"/>
      <c r="M868" s="2536"/>
      <c r="N868" s="2536"/>
      <c r="O868" s="2536"/>
      <c r="P868" s="2536"/>
      <c r="Q868" s="2536"/>
      <c r="R868" s="2536"/>
      <c r="S868" s="2536"/>
      <c r="T868" s="2536"/>
      <c r="U868" s="2536"/>
      <c r="V868" s="429"/>
    </row>
    <row r="869" spans="1:22" s="429" customFormat="1" ht="33" customHeight="1">
      <c r="B869" s="2487" t="s">
        <v>673</v>
      </c>
      <c r="C869" s="2487"/>
      <c r="D869" s="2487"/>
      <c r="E869" s="2487"/>
      <c r="F869" s="2487"/>
      <c r="G869" s="2487"/>
      <c r="H869" s="2487"/>
      <c r="I869" s="2487"/>
      <c r="J869" s="2487"/>
      <c r="K869" s="2487"/>
      <c r="L869" s="2487"/>
      <c r="M869" s="2487"/>
      <c r="N869" s="2487"/>
      <c r="O869" s="2487"/>
      <c r="P869" s="2487"/>
      <c r="Q869" s="2487"/>
      <c r="R869" s="2487"/>
      <c r="S869" s="2487"/>
      <c r="T869" s="2487"/>
      <c r="U869" s="2487"/>
    </row>
    <row r="870" spans="1:22" s="429" customFormat="1" ht="50.25" customHeight="1">
      <c r="B870" s="2536" t="s">
        <v>734</v>
      </c>
      <c r="C870" s="2536"/>
      <c r="D870" s="2536"/>
      <c r="E870" s="2536"/>
      <c r="F870" s="2536"/>
      <c r="G870" s="2536"/>
      <c r="H870" s="2536"/>
      <c r="I870" s="2536"/>
      <c r="J870" s="2536"/>
      <c r="K870" s="2536"/>
      <c r="L870" s="2536"/>
      <c r="M870" s="2536"/>
      <c r="N870" s="2536"/>
      <c r="O870" s="2536"/>
      <c r="P870" s="2536"/>
      <c r="Q870" s="2536"/>
      <c r="R870" s="2536"/>
      <c r="S870" s="2536"/>
      <c r="T870" s="2536"/>
      <c r="U870" s="2536"/>
    </row>
    <row r="871" spans="1:22" s="429" customFormat="1" ht="14.25" hidden="1">
      <c r="B871" s="823"/>
      <c r="C871" s="823"/>
      <c r="D871" s="823"/>
      <c r="E871" s="823"/>
      <c r="F871" s="823"/>
      <c r="G871" s="823"/>
      <c r="H871" s="823"/>
      <c r="I871" s="823"/>
      <c r="J871" s="823"/>
      <c r="K871" s="823"/>
      <c r="L871" s="823"/>
      <c r="M871" s="823"/>
      <c r="N871" s="823"/>
      <c r="O871" s="823"/>
      <c r="P871" s="823"/>
      <c r="Q871" s="823"/>
      <c r="R871" s="823"/>
      <c r="S871" s="823"/>
      <c r="T871" s="823"/>
      <c r="U871" s="823"/>
    </row>
    <row r="872" spans="1:22" ht="49.5" customHeight="1">
      <c r="B872" s="2539" t="s">
        <v>1902</v>
      </c>
      <c r="C872" s="2539"/>
      <c r="D872" s="2539"/>
      <c r="E872" s="2539"/>
      <c r="F872" s="2539"/>
      <c r="G872" s="2539"/>
      <c r="H872" s="2539"/>
      <c r="I872" s="2539"/>
      <c r="J872" s="2539"/>
      <c r="K872" s="2539"/>
      <c r="L872" s="2539"/>
      <c r="M872" s="2539"/>
      <c r="N872" s="2539"/>
      <c r="O872" s="2539"/>
      <c r="P872" s="2539"/>
      <c r="Q872" s="2539"/>
      <c r="R872" s="2539"/>
      <c r="S872" s="2539"/>
      <c r="T872" s="2539"/>
      <c r="U872" s="2539"/>
    </row>
    <row r="873" spans="1:22" ht="19.5" customHeight="1">
      <c r="B873" s="730"/>
      <c r="C873" s="730"/>
      <c r="D873" s="730"/>
      <c r="E873" s="730"/>
      <c r="F873" s="730"/>
      <c r="G873" s="730"/>
      <c r="H873" s="730"/>
      <c r="I873" s="730"/>
      <c r="J873" s="730"/>
      <c r="K873" s="730"/>
      <c r="L873" s="730"/>
      <c r="M873" s="476" t="s">
        <v>1814</v>
      </c>
      <c r="N873" s="730"/>
      <c r="O873" s="730"/>
      <c r="P873" s="730"/>
      <c r="Q873" s="730"/>
      <c r="R873" s="477" t="s">
        <v>692</v>
      </c>
      <c r="S873" s="478" t="str">
        <f>$E$39</f>
        <v>ILF5_90FCORCP_B114CAGR43006</v>
      </c>
      <c r="T873" s="730"/>
      <c r="U873" s="730"/>
    </row>
    <row r="874" spans="1:22">
      <c r="H874" s="436" t="s">
        <v>690</v>
      </c>
      <c r="I874" s="420"/>
      <c r="K874" s="420"/>
      <c r="L874" s="437" t="str">
        <f>$B$11</f>
        <v>INMOBILIARIA SERVIGESTION</v>
      </c>
    </row>
    <row r="875" spans="1:22" ht="30">
      <c r="B875" s="2395" t="s">
        <v>461</v>
      </c>
      <c r="C875" s="2395"/>
      <c r="D875" s="2395"/>
      <c r="E875" s="2395"/>
      <c r="F875" s="2395"/>
      <c r="G875" s="2395"/>
      <c r="H875" s="2395"/>
      <c r="I875" s="2395"/>
      <c r="J875" s="2395"/>
      <c r="K875" s="2395"/>
      <c r="L875" s="2395"/>
      <c r="M875" s="2395"/>
      <c r="N875" s="2395"/>
      <c r="O875" s="2395"/>
      <c r="P875" s="2395"/>
      <c r="Q875" s="2395"/>
      <c r="R875" s="2395"/>
      <c r="S875" s="2395"/>
      <c r="T875" s="2395"/>
      <c r="U875" s="2395"/>
    </row>
    <row r="876" spans="1:22" ht="22.9" customHeight="1">
      <c r="B876" s="2252" t="s">
        <v>675</v>
      </c>
      <c r="C876" s="2252"/>
      <c r="D876" s="2252"/>
      <c r="E876" s="2252"/>
      <c r="F876" s="2252"/>
      <c r="G876" s="2252"/>
      <c r="H876" s="2252"/>
      <c r="I876" s="2252"/>
      <c r="J876" s="2252"/>
      <c r="K876" s="2252"/>
      <c r="L876" s="2252"/>
      <c r="M876" s="2252"/>
      <c r="N876" s="2252"/>
      <c r="O876" s="2252"/>
      <c r="P876" s="2252"/>
      <c r="Q876" s="2252"/>
      <c r="R876" s="2252"/>
      <c r="S876" s="2252"/>
      <c r="T876" s="2252"/>
      <c r="U876" s="2252"/>
    </row>
    <row r="877" spans="1:22" s="522" customFormat="1" ht="21" customHeight="1">
      <c r="B877" s="2474" t="s">
        <v>760</v>
      </c>
      <c r="C877" s="2474"/>
      <c r="D877" s="2474"/>
      <c r="E877" s="2474"/>
      <c r="F877" s="2474"/>
      <c r="G877" s="2474"/>
      <c r="H877" s="2474"/>
      <c r="I877" s="2474"/>
      <c r="J877" s="2474"/>
      <c r="K877" s="2474"/>
      <c r="L877" s="2474"/>
      <c r="M877" s="2474"/>
      <c r="N877" s="2474"/>
      <c r="O877" s="2474"/>
      <c r="P877" s="2474"/>
      <c r="Q877" s="2474"/>
      <c r="R877" s="2474"/>
      <c r="S877" s="2474"/>
      <c r="T877" s="2474"/>
      <c r="U877" s="2474"/>
    </row>
    <row r="878" spans="1:22" s="522" customFormat="1" ht="27.75" customHeight="1">
      <c r="B878" s="2441" t="s">
        <v>1179</v>
      </c>
      <c r="C878" s="2441"/>
      <c r="D878" s="2441"/>
      <c r="E878" s="2441"/>
      <c r="F878" s="2441"/>
      <c r="G878" s="2441"/>
      <c r="H878" s="2441"/>
      <c r="I878" s="2441"/>
      <c r="J878" s="2441"/>
      <c r="K878" s="2441"/>
      <c r="L878" s="2441"/>
      <c r="M878" s="2441"/>
      <c r="N878" s="2441"/>
      <c r="O878" s="2441"/>
      <c r="P878" s="2441"/>
      <c r="Q878" s="2441"/>
      <c r="R878" s="2441"/>
      <c r="S878" s="2441"/>
      <c r="T878" s="2441"/>
      <c r="U878" s="2441"/>
    </row>
    <row r="879" spans="1:22" s="522" customFormat="1" ht="18.75" customHeight="1">
      <c r="B879" s="2440" t="s">
        <v>1936</v>
      </c>
      <c r="C879" s="2440"/>
      <c r="D879" s="2440"/>
      <c r="E879" s="2440"/>
      <c r="F879" s="2440"/>
      <c r="G879" s="2440"/>
      <c r="H879" s="2440"/>
      <c r="I879" s="2440"/>
      <c r="J879" s="2440"/>
      <c r="K879" s="2440"/>
      <c r="L879" s="2440"/>
      <c r="M879" s="2440"/>
      <c r="N879" s="2440"/>
      <c r="O879" s="2440"/>
      <c r="P879" s="2440"/>
      <c r="Q879" s="2440"/>
      <c r="R879" s="2440"/>
      <c r="S879" s="2440"/>
      <c r="T879" s="2440"/>
      <c r="U879" s="2440"/>
    </row>
    <row r="880" spans="1:22" s="522" customFormat="1" ht="18.75" customHeight="1">
      <c r="B880" s="2538" t="s">
        <v>1937</v>
      </c>
      <c r="C880" s="2538"/>
      <c r="D880" s="2538"/>
      <c r="E880" s="2538"/>
      <c r="F880" s="2538"/>
      <c r="G880" s="2538"/>
      <c r="H880" s="2538"/>
      <c r="I880" s="2538"/>
      <c r="J880" s="2538"/>
      <c r="K880" s="2538"/>
      <c r="L880" s="2538"/>
      <c r="M880" s="2538"/>
      <c r="N880" s="2538"/>
      <c r="O880" s="2538"/>
      <c r="P880" s="2538"/>
      <c r="Q880" s="2538"/>
      <c r="R880" s="2538"/>
      <c r="S880" s="2538"/>
      <c r="T880" s="2538"/>
      <c r="U880" s="2538"/>
    </row>
    <row r="881" spans="1:22" s="522" customFormat="1" ht="18.75" customHeight="1">
      <c r="B881" s="2440" t="s">
        <v>2026</v>
      </c>
      <c r="C881" s="2440"/>
      <c r="D881" s="2440"/>
      <c r="E881" s="2440"/>
      <c r="F881" s="2440"/>
      <c r="G881" s="2440"/>
      <c r="H881" s="2440"/>
      <c r="I881" s="2440"/>
      <c r="J881" s="2440"/>
      <c r="K881" s="2440"/>
      <c r="L881" s="2440"/>
      <c r="M881" s="2440"/>
      <c r="N881" s="2440"/>
      <c r="O881" s="2440"/>
      <c r="P881" s="2440"/>
      <c r="Q881" s="2440"/>
      <c r="R881" s="2440"/>
      <c r="S881" s="2440"/>
      <c r="T881" s="2440"/>
      <c r="U881" s="2440"/>
    </row>
    <row r="882" spans="1:22" s="732" customFormat="1" ht="18.75" customHeight="1">
      <c r="B882" s="2491" t="s">
        <v>2055</v>
      </c>
      <c r="C882" s="2491"/>
      <c r="D882" s="2491"/>
      <c r="E882" s="2491"/>
      <c r="F882" s="2491"/>
      <c r="G882" s="2491"/>
      <c r="H882" s="2491"/>
      <c r="I882" s="2491"/>
      <c r="J882" s="2491"/>
      <c r="K882" s="2491"/>
      <c r="L882" s="2491"/>
      <c r="M882" s="2491"/>
      <c r="N882" s="2491"/>
      <c r="O882" s="2491"/>
      <c r="P882" s="2491"/>
      <c r="Q882" s="2491"/>
      <c r="R882" s="2491"/>
      <c r="S882" s="2491"/>
      <c r="T882" s="2491"/>
      <c r="U882" s="2491"/>
    </row>
    <row r="883" spans="1:22" s="522" customFormat="1" ht="51" hidden="1" customHeight="1">
      <c r="B883" s="1196"/>
      <c r="C883" s="1196"/>
      <c r="D883" s="1196"/>
      <c r="E883" s="1196"/>
      <c r="F883" s="1196"/>
      <c r="G883" s="1196"/>
      <c r="H883" s="1196"/>
      <c r="I883" s="1196"/>
      <c r="J883" s="1196"/>
      <c r="K883" s="1196"/>
      <c r="L883" s="1196"/>
      <c r="M883" s="1196"/>
      <c r="N883" s="1196"/>
      <c r="O883" s="1196"/>
      <c r="P883" s="1196"/>
      <c r="Q883" s="1196"/>
      <c r="R883" s="1196"/>
      <c r="S883" s="1196"/>
      <c r="T883" s="1196"/>
      <c r="U883" s="1196"/>
    </row>
    <row r="884" spans="1:22" s="522" customFormat="1" ht="17.25" customHeight="1">
      <c r="B884" s="2474" t="s">
        <v>1178</v>
      </c>
      <c r="C884" s="2474"/>
      <c r="D884" s="2474"/>
      <c r="E884" s="2474"/>
      <c r="F884" s="2474"/>
      <c r="G884" s="2474"/>
      <c r="H884" s="2474"/>
      <c r="I884" s="2474"/>
      <c r="J884" s="2474"/>
      <c r="K884" s="2474"/>
      <c r="L884" s="2474"/>
      <c r="M884" s="2474"/>
      <c r="N884" s="2474"/>
      <c r="O884" s="2474"/>
      <c r="P884" s="2474"/>
      <c r="Q884" s="2474"/>
      <c r="R884" s="2474"/>
      <c r="S884" s="2474"/>
      <c r="T884" s="2474"/>
      <c r="U884" s="2474"/>
    </row>
    <row r="885" spans="1:22" customFormat="1" ht="63" customHeight="1">
      <c r="B885" s="2441" t="s">
        <v>2049</v>
      </c>
      <c r="C885" s="2441"/>
      <c r="D885" s="2441"/>
      <c r="E885" s="2441"/>
      <c r="F885" s="2441"/>
      <c r="G885" s="2441"/>
      <c r="H885" s="2441"/>
      <c r="I885" s="2441"/>
      <c r="J885" s="2441"/>
      <c r="K885" s="2441"/>
      <c r="L885" s="2441"/>
      <c r="M885" s="2441"/>
      <c r="N885" s="2441"/>
      <c r="O885" s="2441"/>
      <c r="P885" s="2441"/>
      <c r="Q885" s="2441"/>
      <c r="R885" s="2441"/>
      <c r="S885" s="2441"/>
      <c r="T885" s="2441"/>
      <c r="U885" s="2441"/>
    </row>
    <row r="886" spans="1:22" s="522" customFormat="1" ht="27" customHeight="1">
      <c r="B886" s="2501" t="s">
        <v>1226</v>
      </c>
      <c r="C886" s="2501"/>
      <c r="D886" s="2501"/>
      <c r="E886" s="2501"/>
      <c r="F886" s="2501"/>
      <c r="G886" s="2501"/>
      <c r="H886" s="2501"/>
      <c r="I886" s="2501"/>
      <c r="J886" s="2501"/>
      <c r="K886" s="2501"/>
      <c r="L886" s="2501"/>
      <c r="M886" s="2501"/>
      <c r="N886" s="2501"/>
      <c r="O886" s="2501"/>
      <c r="P886" s="2501"/>
      <c r="Q886" s="2501"/>
      <c r="R886" s="2501"/>
      <c r="S886" s="2501"/>
      <c r="T886" s="2501"/>
      <c r="U886" s="2501"/>
    </row>
    <row r="887" spans="1:22" s="429" customFormat="1" ht="61.5" customHeight="1">
      <c r="B887" s="2488" t="s">
        <v>1892</v>
      </c>
      <c r="C887" s="2488"/>
      <c r="D887" s="2488"/>
      <c r="E887" s="2488"/>
      <c r="F887" s="2488"/>
      <c r="G887" s="2488"/>
      <c r="H887" s="2488"/>
      <c r="I887" s="2488"/>
      <c r="J887" s="2488"/>
      <c r="K887" s="2488"/>
      <c r="L887" s="2488"/>
      <c r="M887" s="2488"/>
      <c r="N887" s="2488"/>
      <c r="O887" s="2488"/>
      <c r="P887" s="2488"/>
      <c r="Q887" s="2488"/>
      <c r="R887" s="2488"/>
      <c r="S887" s="2488"/>
      <c r="T887" s="2488"/>
      <c r="U887" s="2488"/>
    </row>
    <row r="888" spans="1:22" s="429" customFormat="1" ht="146.25" customHeight="1">
      <c r="B888" s="2441" t="s">
        <v>1891</v>
      </c>
      <c r="C888" s="2441"/>
      <c r="D888" s="2441"/>
      <c r="E888" s="2441"/>
      <c r="F888" s="2441"/>
      <c r="G888" s="2441"/>
      <c r="H888" s="2441"/>
      <c r="I888" s="2441"/>
      <c r="J888" s="2441"/>
      <c r="K888" s="2441"/>
      <c r="L888" s="2441"/>
      <c r="M888" s="2441"/>
      <c r="N888" s="2441"/>
      <c r="O888" s="2441"/>
      <c r="P888" s="2441"/>
      <c r="Q888" s="2441"/>
      <c r="R888" s="2441"/>
      <c r="S888" s="2441"/>
      <c r="T888" s="2441"/>
      <c r="U888" s="2441"/>
    </row>
    <row r="889" spans="1:22" s="429" customFormat="1" ht="61.5" customHeight="1">
      <c r="B889" s="2488" t="s">
        <v>1451</v>
      </c>
      <c r="C889" s="2488"/>
      <c r="D889" s="2488"/>
      <c r="E889" s="2488"/>
      <c r="F889" s="2488"/>
      <c r="G889" s="2488"/>
      <c r="H889" s="2488"/>
      <c r="I889" s="2488"/>
      <c r="J889" s="2488"/>
      <c r="K889" s="2488"/>
      <c r="L889" s="2488"/>
      <c r="M889" s="2488"/>
      <c r="N889" s="2488"/>
      <c r="O889" s="2488"/>
      <c r="P889" s="2488"/>
      <c r="Q889" s="2488"/>
      <c r="R889" s="2488"/>
      <c r="S889" s="2488"/>
      <c r="T889" s="2488"/>
      <c r="U889" s="2488"/>
    </row>
    <row r="890" spans="1:22" s="522" customFormat="1" ht="21.75" customHeight="1">
      <c r="B890" s="2501" t="s">
        <v>1816</v>
      </c>
      <c r="C890" s="2501"/>
      <c r="D890" s="2501"/>
      <c r="E890" s="2501"/>
      <c r="F890" s="2501"/>
      <c r="G890" s="2501"/>
      <c r="H890" s="2501"/>
      <c r="I890" s="2501"/>
      <c r="J890" s="2501"/>
      <c r="K890" s="2501"/>
      <c r="L890" s="2501"/>
      <c r="M890" s="2501"/>
      <c r="N890" s="2501"/>
      <c r="O890" s="2501"/>
      <c r="P890" s="2501"/>
      <c r="Q890" s="2501"/>
      <c r="R890" s="2501"/>
      <c r="S890" s="2501"/>
      <c r="T890" s="2501"/>
      <c r="U890" s="2501"/>
    </row>
    <row r="891" spans="1:22" s="429" customFormat="1" ht="30.75" customHeight="1">
      <c r="B891" s="2441" t="s">
        <v>1817</v>
      </c>
      <c r="C891" s="2441"/>
      <c r="D891" s="2441"/>
      <c r="E891" s="2441"/>
      <c r="F891" s="2441"/>
      <c r="G891" s="2441"/>
      <c r="H891" s="2441"/>
      <c r="I891" s="2441"/>
      <c r="J891" s="2441"/>
      <c r="K891" s="2441"/>
      <c r="L891" s="2441"/>
      <c r="M891" s="2441"/>
      <c r="N891" s="2441"/>
      <c r="O891" s="2441"/>
      <c r="P891" s="2441"/>
      <c r="Q891" s="2441"/>
      <c r="R891" s="2441"/>
      <c r="S891" s="2441"/>
      <c r="T891" s="2441"/>
      <c r="U891" s="2441"/>
    </row>
    <row r="892" spans="1:22" s="429" customFormat="1" ht="88.5" customHeight="1">
      <c r="B892" s="2441" t="s">
        <v>1854</v>
      </c>
      <c r="C892" s="2441"/>
      <c r="D892" s="2441"/>
      <c r="E892" s="2441"/>
      <c r="F892" s="2441"/>
      <c r="G892" s="2441"/>
      <c r="H892" s="2441"/>
      <c r="I892" s="2441"/>
      <c r="J892" s="2441"/>
      <c r="K892" s="2441"/>
      <c r="L892" s="2441"/>
      <c r="M892" s="2441"/>
      <c r="N892" s="2441"/>
      <c r="O892" s="2441"/>
      <c r="P892" s="2441"/>
      <c r="Q892" s="2441"/>
      <c r="R892" s="2441"/>
      <c r="S892" s="2441"/>
      <c r="T892" s="2441"/>
      <c r="U892" s="2441"/>
    </row>
    <row r="893" spans="1:22" s="522" customFormat="1" ht="21.75" customHeight="1">
      <c r="B893" s="2501" t="s">
        <v>949</v>
      </c>
      <c r="C893" s="2501"/>
      <c r="D893" s="2501"/>
      <c r="E893" s="2501"/>
      <c r="F893" s="2501"/>
      <c r="G893" s="2501"/>
      <c r="H893" s="2501"/>
      <c r="I893" s="2501"/>
      <c r="J893" s="2501"/>
      <c r="K893" s="2501"/>
      <c r="L893" s="2501"/>
      <c r="M893" s="2501"/>
      <c r="N893" s="2501"/>
      <c r="O893" s="2501"/>
      <c r="P893" s="2501"/>
      <c r="Q893" s="2501"/>
      <c r="R893" s="2501"/>
      <c r="S893" s="2501"/>
      <c r="T893" s="2501"/>
      <c r="U893" s="2501"/>
      <c r="V893" s="429"/>
    </row>
    <row r="894" spans="1:22" s="733" customFormat="1" ht="33.75" customHeight="1">
      <c r="A894" s="429"/>
      <c r="B894" s="2441" t="s">
        <v>953</v>
      </c>
      <c r="C894" s="2441"/>
      <c r="D894" s="2441"/>
      <c r="E894" s="2441"/>
      <c r="F894" s="2441"/>
      <c r="G894" s="2441"/>
      <c r="H894" s="2441"/>
      <c r="I894" s="2441"/>
      <c r="J894" s="2441"/>
      <c r="K894" s="2441"/>
      <c r="L894" s="2441"/>
      <c r="M894" s="2441"/>
      <c r="N894" s="2441"/>
      <c r="O894" s="2441"/>
      <c r="P894" s="2441"/>
      <c r="Q894" s="2441"/>
      <c r="R894" s="2441"/>
      <c r="S894" s="2441"/>
      <c r="T894" s="2441"/>
      <c r="U894" s="2441"/>
      <c r="V894" s="429"/>
    </row>
    <row r="895" spans="1:22" s="733" customFormat="1" ht="33.75" customHeight="1">
      <c r="A895" s="429"/>
      <c r="B895" s="2488" t="s">
        <v>954</v>
      </c>
      <c r="C895" s="2488"/>
      <c r="D895" s="2488"/>
      <c r="E895" s="2488"/>
      <c r="F895" s="2488"/>
      <c r="G895" s="2488"/>
      <c r="H895" s="2488"/>
      <c r="I895" s="2488"/>
      <c r="J895" s="2488"/>
      <c r="K895" s="2488"/>
      <c r="L895" s="2488"/>
      <c r="M895" s="2488"/>
      <c r="N895" s="2488"/>
      <c r="O895" s="2488"/>
      <c r="P895" s="2488"/>
      <c r="Q895" s="2488"/>
      <c r="R895" s="2488"/>
      <c r="S895" s="2488"/>
      <c r="T895" s="2488"/>
      <c r="U895" s="2488"/>
      <c r="V895" s="429"/>
    </row>
    <row r="896" spans="1:22" s="733" customFormat="1" ht="16.149999999999999" customHeight="1">
      <c r="A896" s="429"/>
      <c r="B896" s="2441" t="s">
        <v>955</v>
      </c>
      <c r="C896" s="2441"/>
      <c r="D896" s="2441"/>
      <c r="E896" s="2441"/>
      <c r="F896" s="2441"/>
      <c r="G896" s="2441"/>
      <c r="H896" s="2441"/>
      <c r="I896" s="2441"/>
      <c r="J896" s="2441"/>
      <c r="K896" s="2441"/>
      <c r="L896" s="2441"/>
      <c r="M896" s="2441"/>
      <c r="N896" s="2441"/>
      <c r="O896" s="2441"/>
      <c r="P896" s="2441"/>
      <c r="Q896" s="2441"/>
      <c r="R896" s="2441"/>
      <c r="S896" s="2441"/>
      <c r="T896" s="2441"/>
      <c r="U896" s="2441"/>
      <c r="V896" s="429"/>
    </row>
    <row r="897" spans="1:22" s="733" customFormat="1" ht="51" customHeight="1">
      <c r="A897" s="429"/>
      <c r="B897" s="2440" t="s">
        <v>1938</v>
      </c>
      <c r="C897" s="2440"/>
      <c r="D897" s="2440"/>
      <c r="E897" s="2440"/>
      <c r="F897" s="2440"/>
      <c r="G897" s="2440"/>
      <c r="H897" s="2440"/>
      <c r="I897" s="2440"/>
      <c r="J897" s="2440"/>
      <c r="K897" s="2440"/>
      <c r="L897" s="2440"/>
      <c r="M897" s="2440"/>
      <c r="N897" s="2440"/>
      <c r="O897" s="2440"/>
      <c r="P897" s="2440"/>
      <c r="Q897" s="2440"/>
      <c r="R897" s="2440"/>
      <c r="S897" s="2440"/>
      <c r="T897" s="2440"/>
      <c r="U897" s="2440"/>
      <c r="V897" s="429"/>
    </row>
    <row r="898" spans="1:22" s="522" customFormat="1" ht="17.25" customHeight="1">
      <c r="B898" s="2501" t="s">
        <v>1135</v>
      </c>
      <c r="C898" s="2501"/>
      <c r="D898" s="2501"/>
      <c r="E898" s="2501"/>
      <c r="F898" s="2501"/>
      <c r="G898" s="2501"/>
      <c r="H898" s="2501"/>
      <c r="I898" s="2501"/>
      <c r="J898" s="2501"/>
      <c r="K898" s="2501"/>
      <c r="L898" s="2501"/>
      <c r="M898" s="2501"/>
      <c r="N898" s="2501"/>
      <c r="O898" s="2501"/>
      <c r="P898" s="2501"/>
      <c r="Q898" s="2501"/>
      <c r="R898" s="2501"/>
      <c r="S898" s="2501"/>
      <c r="T898" s="2501"/>
      <c r="U898" s="2501"/>
      <c r="V898" s="429"/>
    </row>
    <row r="899" spans="1:22" s="522" customFormat="1" ht="42" customHeight="1">
      <c r="B899" s="2441" t="s">
        <v>2065</v>
      </c>
      <c r="C899" s="2441"/>
      <c r="D899" s="2441"/>
      <c r="E899" s="2441"/>
      <c r="F899" s="2441"/>
      <c r="G899" s="2441"/>
      <c r="H899" s="2441"/>
      <c r="I899" s="2441"/>
      <c r="J899" s="2441"/>
      <c r="K899" s="2441"/>
      <c r="L899" s="2441"/>
      <c r="M899" s="2441"/>
      <c r="N899" s="2441"/>
      <c r="O899" s="2441"/>
      <c r="P899" s="2441"/>
      <c r="Q899" s="2441"/>
      <c r="R899" s="2441"/>
      <c r="S899" s="2441"/>
      <c r="T899" s="2441"/>
      <c r="U899" s="2441"/>
      <c r="V899" s="429"/>
    </row>
    <row r="900" spans="1:22" s="734" customFormat="1" ht="18" customHeight="1">
      <c r="A900" s="429"/>
      <c r="B900" s="2501" t="s">
        <v>912</v>
      </c>
      <c r="C900" s="2501"/>
      <c r="D900" s="2501"/>
      <c r="E900" s="2501"/>
      <c r="F900" s="2501"/>
      <c r="G900" s="2501"/>
      <c r="H900" s="2501"/>
      <c r="I900" s="2501"/>
      <c r="J900" s="2501"/>
      <c r="K900" s="2501"/>
      <c r="L900" s="2501"/>
      <c r="M900" s="2501"/>
      <c r="N900" s="2501"/>
      <c r="O900" s="2501"/>
      <c r="P900" s="2501"/>
      <c r="Q900" s="2501"/>
      <c r="R900" s="2501"/>
      <c r="S900" s="2501"/>
      <c r="T900" s="2501"/>
      <c r="U900" s="2501"/>
      <c r="V900" s="429"/>
    </row>
    <row r="901" spans="1:22" s="733" customFormat="1" ht="59.25" customHeight="1">
      <c r="A901" s="429"/>
      <c r="B901" s="2488" t="s">
        <v>959</v>
      </c>
      <c r="C901" s="2488"/>
      <c r="D901" s="2488"/>
      <c r="E901" s="2488"/>
      <c r="F901" s="2488"/>
      <c r="G901" s="2488"/>
      <c r="H901" s="2488"/>
      <c r="I901" s="2488"/>
      <c r="J901" s="2488"/>
      <c r="K901" s="2488"/>
      <c r="L901" s="2488"/>
      <c r="M901" s="2488"/>
      <c r="N901" s="2488"/>
      <c r="O901" s="2488"/>
      <c r="P901" s="2488"/>
      <c r="Q901" s="2488"/>
      <c r="R901" s="2488"/>
      <c r="S901" s="2488"/>
      <c r="T901" s="2488"/>
      <c r="U901" s="2488"/>
      <c r="V901" s="429"/>
    </row>
    <row r="902" spans="1:22" s="470" customFormat="1" ht="34.5" customHeight="1">
      <c r="B902" s="2504" t="s">
        <v>1956</v>
      </c>
      <c r="C902" s="2504"/>
      <c r="D902" s="2504"/>
      <c r="E902" s="2504"/>
      <c r="F902" s="2504"/>
      <c r="G902" s="2504"/>
      <c r="H902" s="2504"/>
      <c r="I902" s="2504"/>
      <c r="J902" s="2504"/>
      <c r="K902" s="2504"/>
      <c r="L902" s="2504"/>
      <c r="M902" s="2504"/>
      <c r="N902" s="2504"/>
      <c r="O902" s="2504"/>
      <c r="P902" s="2504"/>
      <c r="Q902" s="2504"/>
      <c r="R902" s="2504"/>
      <c r="S902" s="2504"/>
      <c r="T902" s="2504"/>
      <c r="U902" s="2504"/>
    </row>
    <row r="903" spans="1:22" s="522" customFormat="1" ht="45.75" customHeight="1">
      <c r="B903" s="2488" t="s">
        <v>1902</v>
      </c>
      <c r="C903" s="2488"/>
      <c r="D903" s="2488"/>
      <c r="E903" s="2488"/>
      <c r="F903" s="2488"/>
      <c r="G903" s="2488"/>
      <c r="H903" s="2488"/>
      <c r="I903" s="2488"/>
      <c r="J903" s="2488"/>
      <c r="K903" s="2488"/>
      <c r="L903" s="2488"/>
      <c r="M903" s="2488"/>
      <c r="N903" s="2488"/>
      <c r="O903" s="2488"/>
      <c r="P903" s="2488"/>
      <c r="Q903" s="2488"/>
      <c r="R903" s="2488"/>
      <c r="S903" s="2488"/>
      <c r="T903" s="2488"/>
      <c r="U903" s="2488"/>
    </row>
    <row r="904" spans="1:22" s="522" customFormat="1" ht="23.25" customHeight="1">
      <c r="B904" s="2535" t="str">
        <f>IF(Perfiles_usuario!R282&gt;0,IF(Perfiles_usuario!J17="Cartera Orange","","Abono de penalizaciones"),"")</f>
        <v>Abono de penalizaciones</v>
      </c>
      <c r="C904" s="2535"/>
      <c r="D904" s="2535"/>
      <c r="E904" s="2535"/>
      <c r="F904" s="2535"/>
      <c r="G904" s="2535"/>
      <c r="H904" s="2535"/>
      <c r="I904" s="492"/>
      <c r="J904" s="492"/>
      <c r="K904" s="492"/>
      <c r="L904" s="492"/>
      <c r="M904" s="492"/>
      <c r="N904" s="492"/>
      <c r="O904" s="492"/>
      <c r="P904" s="492"/>
      <c r="Q904" s="492"/>
      <c r="R904" s="492"/>
      <c r="S904" s="492"/>
      <c r="T904" s="492"/>
      <c r="U904" s="735"/>
    </row>
    <row r="905" spans="1:22" s="1198" customFormat="1" ht="21" customHeight="1">
      <c r="B905" s="2502" t="str">
        <f>IF(Perfiles_usuario!J17="Cartera Orange","",IF(Perfiles_usuario!$R$282=0,"",CONCATENATE(CONCATENATE("En el supuesto de que  ",$B$11," deba hacer frente a penalización por cancelación anticipada de sus Contratos de servicios de telecomunicación con su actual operador, ORANGE se compromete a aplicar dicho importe como descuento en factura"), CONCATENATE(", con un máximo de ",ROUND(Perfiles_usuario!$R$282,0)," €"))))</f>
        <v>En el supuesto de que  INMOBILIARIA SERVIGESTION deba hacer frente a penalización por cancelación anticipada de sus Contratos de servicios de telecomunicación con su actual operador, ORANGE se compromete a aplicar dicho importe como descuento en factura, con un máximo de 452 €</v>
      </c>
      <c r="C905" s="2502"/>
      <c r="D905" s="2502"/>
      <c r="E905" s="2502"/>
      <c r="F905" s="2502"/>
      <c r="G905" s="2502"/>
      <c r="H905" s="2502"/>
      <c r="I905" s="2502"/>
      <c r="J905" s="2502"/>
      <c r="K905" s="2502"/>
      <c r="L905" s="2502"/>
      <c r="M905" s="2502"/>
      <c r="N905" s="2502"/>
      <c r="O905" s="2502"/>
      <c r="P905" s="2502"/>
      <c r="Q905" s="2502"/>
      <c r="R905" s="2502"/>
      <c r="S905" s="2502"/>
      <c r="T905" s="2502"/>
      <c r="U905" s="2502"/>
    </row>
    <row r="906" spans="1:22" s="1198" customFormat="1" ht="18.75" customHeight="1">
      <c r="B906" s="2502" t="str">
        <f>IF(Perfiles_usuario!J17="Cartera Orange","",IF(Perfiles_usuario!$R$282=0,"",CONCATENATE("Si ",B11, " no contrata el producto ",Calculos_cuotas!W140," dicha cantidad se verá reducida en ", Calculos_cuotas!V140, "€.")))</f>
        <v>Si INMOBILIARIA SERVIGESTION no contrata el producto Conecta 2A dicha cantidad se verá reducida en 80€.</v>
      </c>
      <c r="C906" s="2502"/>
      <c r="D906" s="2502"/>
      <c r="E906" s="2502"/>
      <c r="F906" s="2502"/>
      <c r="G906" s="2502"/>
      <c r="H906" s="2502"/>
      <c r="I906" s="2502"/>
      <c r="J906" s="2502"/>
      <c r="K906" s="2502"/>
      <c r="L906" s="2502"/>
      <c r="M906" s="2502"/>
      <c r="N906" s="2502"/>
      <c r="O906" s="2502"/>
      <c r="P906" s="2502"/>
      <c r="Q906" s="2502"/>
      <c r="R906" s="2502"/>
      <c r="S906" s="2502"/>
      <c r="T906" s="2502"/>
      <c r="U906" s="2502"/>
    </row>
    <row r="907" spans="1:22" s="1198" customFormat="1" ht="45" customHeight="1">
      <c r="B907" s="2502"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INMOBILIARIA SERVIGESTION deberá acreditar la cuantía y pago de la correspondiente penalización a su actual operador para que dicho descuento sea aplicado. Si el valor efectivamente abonado es inferior al máximo descuento en factura, el descuento que se aplicará será lo efectivamente abonado por INMOBILIARIA SERVIGESTION. El descuento se realizará, en una sola factura, tras la recepción en ORANGE de los documentos acreditativos del pago de la penalización en un plazo inferior a 6 meses, contados a partir del comienzo de la activación de los servicios. </v>
      </c>
      <c r="C907" s="2502"/>
      <c r="D907" s="2502"/>
      <c r="E907" s="2502"/>
      <c r="F907" s="2502"/>
      <c r="G907" s="2502"/>
      <c r="H907" s="2502"/>
      <c r="I907" s="2502"/>
      <c r="J907" s="2502"/>
      <c r="K907" s="2502"/>
      <c r="L907" s="2502"/>
      <c r="M907" s="2502"/>
      <c r="N907" s="2502"/>
      <c r="O907" s="2502"/>
      <c r="P907" s="2502"/>
      <c r="Q907" s="2502"/>
      <c r="R907" s="2502"/>
      <c r="S907" s="2502"/>
      <c r="T907" s="2502"/>
      <c r="U907" s="2502"/>
    </row>
    <row r="908" spans="1:22" s="1198" customFormat="1" ht="42.75" customHeight="1">
      <c r="B908" s="2502"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INMOBILIARIA SERVIGESTION se compromete a portar 6 líneas móviles y a permanecer de alta en el servicio móvil Empresas de ORANGE con 8 líneas móviles, manteniendo la tarifa y los productos y módulos contratados en la presente hoja de condiciones durante un mínimo de 12 meses. Dicho descuento está condicionado al mantenimiento del nº de líneas y nº de líneas activas facilitados por el cliente.</v>
      </c>
      <c r="C908" s="2502"/>
      <c r="D908" s="2502"/>
      <c r="E908" s="2502"/>
      <c r="F908" s="2502"/>
      <c r="G908" s="2502"/>
      <c r="H908" s="2502"/>
      <c r="I908" s="2502"/>
      <c r="J908" s="2502"/>
      <c r="K908" s="2502"/>
      <c r="L908" s="2502"/>
      <c r="M908" s="2502"/>
      <c r="N908" s="2502"/>
      <c r="O908" s="2502"/>
      <c r="P908" s="2502"/>
      <c r="Q908" s="2502"/>
      <c r="R908" s="2502"/>
      <c r="S908" s="2502"/>
      <c r="T908" s="2502"/>
      <c r="U908" s="2502"/>
    </row>
    <row r="909" spans="1:22" s="1524" customFormat="1" ht="27.75" customHeight="1">
      <c r="B909" s="2502"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INMOBILIARIA SERVIGESTION desee cancelar, total o parcialmente, o modificar sustancialmente los servicios regulados por el Contrato Empresas de ORANGE tras la activación de los mismos y antes del abono del descuento, éste no se efectuará.</v>
      </c>
      <c r="C909" s="2502"/>
      <c r="D909" s="2502"/>
      <c r="E909" s="2502"/>
      <c r="F909" s="2502"/>
      <c r="G909" s="2502"/>
      <c r="H909" s="2502"/>
      <c r="I909" s="2502"/>
      <c r="J909" s="2502"/>
      <c r="K909" s="2502"/>
      <c r="L909" s="2502"/>
      <c r="M909" s="2502"/>
      <c r="N909" s="2502"/>
      <c r="O909" s="2502"/>
      <c r="P909" s="2502"/>
      <c r="Q909" s="2502"/>
      <c r="R909" s="2502"/>
      <c r="S909" s="2502"/>
      <c r="T909" s="2502"/>
      <c r="U909" s="2502"/>
    </row>
    <row r="910" spans="1:22" ht="3" customHeight="1"/>
    <row r="911" spans="1:22" ht="21" customHeight="1">
      <c r="B911" s="2252" t="s">
        <v>676</v>
      </c>
      <c r="C911" s="2252"/>
      <c r="D911" s="2252"/>
      <c r="E911" s="2252"/>
      <c r="F911" s="2252"/>
      <c r="G911" s="2252"/>
      <c r="H911" s="2252"/>
      <c r="I911" s="2252"/>
      <c r="J911" s="2252"/>
      <c r="K911" s="2252"/>
      <c r="L911" s="2252"/>
      <c r="M911" s="2252"/>
      <c r="N911" s="2252"/>
      <c r="O911" s="2252"/>
      <c r="P911" s="2252"/>
      <c r="Q911" s="2252"/>
      <c r="R911" s="2252"/>
      <c r="S911" s="2252"/>
      <c r="T911" s="2252"/>
      <c r="U911" s="2252"/>
    </row>
    <row r="912" spans="1:22" ht="33.75" customHeight="1">
      <c r="B912" s="2503" t="s">
        <v>677</v>
      </c>
      <c r="C912" s="2503"/>
      <c r="D912" s="2503"/>
      <c r="E912" s="2503"/>
      <c r="F912" s="2503"/>
      <c r="G912" s="2503"/>
      <c r="H912" s="2503"/>
      <c r="I912" s="2503"/>
      <c r="J912" s="2503"/>
      <c r="K912" s="2503"/>
      <c r="L912" s="2503"/>
      <c r="M912" s="2503"/>
      <c r="N912" s="2503"/>
      <c r="O912" s="2503"/>
      <c r="P912" s="2503"/>
      <c r="Q912" s="2503"/>
      <c r="R912" s="2503"/>
      <c r="S912" s="2503"/>
      <c r="T912" s="2503"/>
      <c r="U912" s="2503"/>
    </row>
    <row r="913" spans="2:22" ht="6" customHeight="1">
      <c r="B913" s="736"/>
      <c r="D913" s="736"/>
      <c r="E913" s="736"/>
      <c r="F913" s="736"/>
      <c r="G913" s="736"/>
      <c r="H913" s="736"/>
      <c r="I913" s="737"/>
      <c r="J913" s="736"/>
      <c r="K913" s="736"/>
      <c r="L913" s="736"/>
      <c r="M913" s="736"/>
      <c r="N913" s="736"/>
      <c r="O913" s="736"/>
      <c r="P913" s="736"/>
      <c r="Q913" s="736"/>
      <c r="R913" s="736"/>
      <c r="S913" s="736"/>
      <c r="T913" s="736"/>
      <c r="U913" s="736"/>
    </row>
    <row r="914" spans="2:22" ht="65.25" customHeight="1">
      <c r="B914" s="522"/>
      <c r="C914" s="738" t="s">
        <v>668</v>
      </c>
      <c r="D914" s="584"/>
      <c r="E914" s="584"/>
      <c r="F914" s="584"/>
      <c r="G914" s="2498" t="s">
        <v>678</v>
      </c>
      <c r="H914" s="2499"/>
      <c r="I914" s="2499"/>
      <c r="J914" s="2499"/>
      <c r="K914" s="2499"/>
      <c r="L914" s="2499"/>
      <c r="M914" s="2499"/>
      <c r="N914" s="2499"/>
      <c r="O914" s="2499"/>
      <c r="P914" s="2500"/>
      <c r="Q914" s="561"/>
      <c r="R914" s="561"/>
      <c r="S914" s="441"/>
      <c r="T914" s="441"/>
      <c r="U914" s="588"/>
      <c r="V914" s="441"/>
    </row>
    <row r="915" spans="2:22" ht="15.75">
      <c r="M915" s="476" t="s">
        <v>1815</v>
      </c>
      <c r="R915" s="477" t="s">
        <v>692</v>
      </c>
      <c r="S915" s="478" t="str">
        <f>$E$39</f>
        <v>ILF5_90FCORCP_B114CAGR43006</v>
      </c>
    </row>
  </sheetData>
  <sheetProtection algorithmName="SHA-512" hashValue="5Rvoe9O3vr5v1NtybtsJldqZYnu3pDrsOl54gh6oreBYD6bJb1QZo+y9OTXifgex4RtJvdaLKxYl1I0wVORGXQ==" saltValue="UV6HQzzdG8L8YSusFnDRog==" spinCount="100000" sheet="1" selectLockedCells="1" selectUnlockedCells="1"/>
  <mergeCells count="982">
    <mergeCell ref="M513:O513"/>
    <mergeCell ref="M514:O514"/>
    <mergeCell ref="M515:O515"/>
    <mergeCell ref="M516:O516"/>
    <mergeCell ref="M518:O518"/>
    <mergeCell ref="M519:O519"/>
    <mergeCell ref="M520:O520"/>
    <mergeCell ref="H517:J517"/>
    <mergeCell ref="K517:L517"/>
    <mergeCell ref="M517:O517"/>
    <mergeCell ref="H513:J513"/>
    <mergeCell ref="H514:J514"/>
    <mergeCell ref="H515:J515"/>
    <mergeCell ref="H516:J516"/>
    <mergeCell ref="H518:J518"/>
    <mergeCell ref="H519:J519"/>
    <mergeCell ref="H520:J520"/>
    <mergeCell ref="K513:L513"/>
    <mergeCell ref="K514:L514"/>
    <mergeCell ref="K515:L515"/>
    <mergeCell ref="K516:L516"/>
    <mergeCell ref="K518:L518"/>
    <mergeCell ref="K519:L519"/>
    <mergeCell ref="K520:L520"/>
    <mergeCell ref="O378:P378"/>
    <mergeCell ref="O379:P379"/>
    <mergeCell ref="O380:P380"/>
    <mergeCell ref="B838:U838"/>
    <mergeCell ref="B855:U855"/>
    <mergeCell ref="O372:P372"/>
    <mergeCell ref="O373:P373"/>
    <mergeCell ref="O374:P374"/>
    <mergeCell ref="O375:P375"/>
    <mergeCell ref="O376:P376"/>
    <mergeCell ref="N683:O683"/>
    <mergeCell ref="N681:O681"/>
    <mergeCell ref="F681:G681"/>
    <mergeCell ref="J681:K681"/>
    <mergeCell ref="L681:M681"/>
    <mergeCell ref="P681:Q681"/>
    <mergeCell ref="R681:S681"/>
    <mergeCell ref="B676:C676"/>
    <mergeCell ref="D676:E676"/>
    <mergeCell ref="F676:G676"/>
    <mergeCell ref="J676:K676"/>
    <mergeCell ref="L676:M676"/>
    <mergeCell ref="N676:O676"/>
    <mergeCell ref="P676:Q676"/>
    <mergeCell ref="O362:P362"/>
    <mergeCell ref="O363:P363"/>
    <mergeCell ref="O364:P364"/>
    <mergeCell ref="O365:P365"/>
    <mergeCell ref="O366:P366"/>
    <mergeCell ref="O367:P367"/>
    <mergeCell ref="O370:P370"/>
    <mergeCell ref="O371:P371"/>
    <mergeCell ref="O377:P377"/>
    <mergeCell ref="O347:P347"/>
    <mergeCell ref="Q347:R347"/>
    <mergeCell ref="O348:P348"/>
    <mergeCell ref="Q348:R348"/>
    <mergeCell ref="O349:P349"/>
    <mergeCell ref="Q349:R349"/>
    <mergeCell ref="Q350:R350"/>
    <mergeCell ref="Q351:R351"/>
    <mergeCell ref="O355:P355"/>
    <mergeCell ref="Q352:R352"/>
    <mergeCell ref="O350:P351"/>
    <mergeCell ref="Q342:R342"/>
    <mergeCell ref="O343:P343"/>
    <mergeCell ref="Q343:R343"/>
    <mergeCell ref="O344:P344"/>
    <mergeCell ref="Q344:R344"/>
    <mergeCell ref="O345:P345"/>
    <mergeCell ref="Q345:R345"/>
    <mergeCell ref="O346:P346"/>
    <mergeCell ref="Q346:R346"/>
    <mergeCell ref="O342:P342"/>
    <mergeCell ref="O356:P356"/>
    <mergeCell ref="Q353:R353"/>
    <mergeCell ref="O357:P357"/>
    <mergeCell ref="Q354:R354"/>
    <mergeCell ref="O358:P358"/>
    <mergeCell ref="Q355:R355"/>
    <mergeCell ref="O359:P359"/>
    <mergeCell ref="Q356:R356"/>
    <mergeCell ref="O360:P360"/>
    <mergeCell ref="Q357:R357"/>
    <mergeCell ref="O352:P354"/>
    <mergeCell ref="O361:P361"/>
    <mergeCell ref="Q358:R358"/>
    <mergeCell ref="L817:M817"/>
    <mergeCell ref="N817:O817"/>
    <mergeCell ref="C803:K803"/>
    <mergeCell ref="M803:T803"/>
    <mergeCell ref="B867:U867"/>
    <mergeCell ref="B868:U868"/>
    <mergeCell ref="Q459:U459"/>
    <mergeCell ref="P683:Q683"/>
    <mergeCell ref="R683:S683"/>
    <mergeCell ref="B684:C684"/>
    <mergeCell ref="D684:E684"/>
    <mergeCell ref="F684:G684"/>
    <mergeCell ref="J684:K684"/>
    <mergeCell ref="L684:M684"/>
    <mergeCell ref="N684:O684"/>
    <mergeCell ref="P684:Q684"/>
    <mergeCell ref="R684:S684"/>
    <mergeCell ref="B683:C683"/>
    <mergeCell ref="D683:E683"/>
    <mergeCell ref="F683:G683"/>
    <mergeCell ref="J683:K683"/>
    <mergeCell ref="L683:M683"/>
    <mergeCell ref="B678:C678"/>
    <mergeCell ref="D678:E678"/>
    <mergeCell ref="F678:G678"/>
    <mergeCell ref="J678:K678"/>
    <mergeCell ref="L678:M678"/>
    <mergeCell ref="N678:O678"/>
    <mergeCell ref="P678:Q678"/>
    <mergeCell ref="L685:M685"/>
    <mergeCell ref="B687:C687"/>
    <mergeCell ref="D687:E687"/>
    <mergeCell ref="P682:Q682"/>
    <mergeCell ref="B679:C679"/>
    <mergeCell ref="D679:E679"/>
    <mergeCell ref="F679:G679"/>
    <mergeCell ref="J679:K679"/>
    <mergeCell ref="L679:M679"/>
    <mergeCell ref="N679:O679"/>
    <mergeCell ref="P679:Q679"/>
    <mergeCell ref="F687:G687"/>
    <mergeCell ref="J687:K687"/>
    <mergeCell ref="L687:M687"/>
    <mergeCell ref="D686:E686"/>
    <mergeCell ref="F686:G686"/>
    <mergeCell ref="J686:K686"/>
    <mergeCell ref="R682:S682"/>
    <mergeCell ref="N685:O685"/>
    <mergeCell ref="P685:Q685"/>
    <mergeCell ref="B707:J707"/>
    <mergeCell ref="B708:U708"/>
    <mergeCell ref="M710:T710"/>
    <mergeCell ref="B698:U698"/>
    <mergeCell ref="R679:S679"/>
    <mergeCell ref="B680:C680"/>
    <mergeCell ref="D680:E680"/>
    <mergeCell ref="F680:G680"/>
    <mergeCell ref="J680:K680"/>
    <mergeCell ref="L680:M680"/>
    <mergeCell ref="N680:O680"/>
    <mergeCell ref="P680:Q680"/>
    <mergeCell ref="R680:S680"/>
    <mergeCell ref="B681:C681"/>
    <mergeCell ref="D681:E681"/>
    <mergeCell ref="B682:C682"/>
    <mergeCell ref="D682:E682"/>
    <mergeCell ref="F682:G682"/>
    <mergeCell ref="J682:K682"/>
    <mergeCell ref="L682:M682"/>
    <mergeCell ref="N682:O682"/>
    <mergeCell ref="B849:U849"/>
    <mergeCell ref="B851:U851"/>
    <mergeCell ref="B841:U841"/>
    <mergeCell ref="B847:U847"/>
    <mergeCell ref="L811:M811"/>
    <mergeCell ref="N811:O811"/>
    <mergeCell ref="M798:T798"/>
    <mergeCell ref="C793:T793"/>
    <mergeCell ref="B850:U850"/>
    <mergeCell ref="C801:G801"/>
    <mergeCell ref="M801:Q801"/>
    <mergeCell ref="M799:T799"/>
    <mergeCell ref="B836:U836"/>
    <mergeCell ref="C799:K799"/>
    <mergeCell ref="C800:K800"/>
    <mergeCell ref="L814:M814"/>
    <mergeCell ref="C810:G810"/>
    <mergeCell ref="L812:M812"/>
    <mergeCell ref="B839:U839"/>
    <mergeCell ref="C806:G807"/>
    <mergeCell ref="H806:H807"/>
    <mergeCell ref="I806:K807"/>
    <mergeCell ref="C811:G811"/>
    <mergeCell ref="C812:G812"/>
    <mergeCell ref="M804:T804"/>
    <mergeCell ref="B904:H904"/>
    <mergeCell ref="B854:U854"/>
    <mergeCell ref="B843:U843"/>
    <mergeCell ref="B846:U846"/>
    <mergeCell ref="B848:U848"/>
    <mergeCell ref="B870:U870"/>
    <mergeCell ref="B893:U893"/>
    <mergeCell ref="B894:U894"/>
    <mergeCell ref="B895:U895"/>
    <mergeCell ref="B861:U861"/>
    <mergeCell ref="B857:U857"/>
    <mergeCell ref="B860:U860"/>
    <mergeCell ref="B858:U858"/>
    <mergeCell ref="B880:U880"/>
    <mergeCell ref="B890:U890"/>
    <mergeCell ref="B859:U859"/>
    <mergeCell ref="B872:U872"/>
    <mergeCell ref="B865:U865"/>
    <mergeCell ref="B869:U869"/>
    <mergeCell ref="B862:U862"/>
    <mergeCell ref="B866:U866"/>
    <mergeCell ref="B863:U863"/>
    <mergeCell ref="B864:U864"/>
    <mergeCell ref="C665:K665"/>
    <mergeCell ref="B626:U626"/>
    <mergeCell ref="N498:O498"/>
    <mergeCell ref="B545:C545"/>
    <mergeCell ref="N501:O501"/>
    <mergeCell ref="J501:M501"/>
    <mergeCell ref="J498:M498"/>
    <mergeCell ref="B837:U837"/>
    <mergeCell ref="B818:K818"/>
    <mergeCell ref="C821:T821"/>
    <mergeCell ref="C822:T822"/>
    <mergeCell ref="C823:Q823"/>
    <mergeCell ref="J825:K825"/>
    <mergeCell ref="N826:O826"/>
    <mergeCell ref="H825:I825"/>
    <mergeCell ref="H826:I826"/>
    <mergeCell ref="C825:D825"/>
    <mergeCell ref="C826:D826"/>
    <mergeCell ref="E825:G825"/>
    <mergeCell ref="E826:G826"/>
    <mergeCell ref="B832:U832"/>
    <mergeCell ref="B833:U833"/>
    <mergeCell ref="H814:K814"/>
    <mergeCell ref="C814:G814"/>
    <mergeCell ref="E355:F355"/>
    <mergeCell ref="L674:M674"/>
    <mergeCell ref="N674:O674"/>
    <mergeCell ref="P674:Q674"/>
    <mergeCell ref="B666:U666"/>
    <mergeCell ref="B648:U648"/>
    <mergeCell ref="B649:U649"/>
    <mergeCell ref="B650:U650"/>
    <mergeCell ref="C651:K651"/>
    <mergeCell ref="C652:K652"/>
    <mergeCell ref="C653:K653"/>
    <mergeCell ref="B669:U669"/>
    <mergeCell ref="B670:U670"/>
    <mergeCell ref="B658:K658"/>
    <mergeCell ref="B659:U659"/>
    <mergeCell ref="B657:K657"/>
    <mergeCell ref="B655:U655"/>
    <mergeCell ref="B656:U656"/>
    <mergeCell ref="D672:E672"/>
    <mergeCell ref="F672:G672"/>
    <mergeCell ref="J672:K672"/>
    <mergeCell ref="L672:M672"/>
    <mergeCell ref="B662:U662"/>
    <mergeCell ref="P672:Q672"/>
    <mergeCell ref="K511:L511"/>
    <mergeCell ref="C356:D356"/>
    <mergeCell ref="B488:H488"/>
    <mergeCell ref="B489:T489"/>
    <mergeCell ref="H491:K491"/>
    <mergeCell ref="B497:T497"/>
    <mergeCell ref="E357:F357"/>
    <mergeCell ref="G357:H357"/>
    <mergeCell ref="G342:H342"/>
    <mergeCell ref="K352:L352"/>
    <mergeCell ref="E347:F347"/>
    <mergeCell ref="G351:H351"/>
    <mergeCell ref="K351:L351"/>
    <mergeCell ref="E351:F351"/>
    <mergeCell ref="E353:F353"/>
    <mergeCell ref="G349:H349"/>
    <mergeCell ref="I349:J349"/>
    <mergeCell ref="K349:L349"/>
    <mergeCell ref="E349:F349"/>
    <mergeCell ref="E345:F345"/>
    <mergeCell ref="G352:H352"/>
    <mergeCell ref="E346:F346"/>
    <mergeCell ref="K345:L345"/>
    <mergeCell ref="G356:H356"/>
    <mergeCell ref="I354:J354"/>
    <mergeCell ref="C347:D347"/>
    <mergeCell ref="K346:L346"/>
    <mergeCell ref="C346:D346"/>
    <mergeCell ref="I351:J351"/>
    <mergeCell ref="H511:J511"/>
    <mergeCell ref="H512:J512"/>
    <mergeCell ref="C379:D379"/>
    <mergeCell ref="I535:J535"/>
    <mergeCell ref="C505:T505"/>
    <mergeCell ref="K512:L512"/>
    <mergeCell ref="M511:O511"/>
    <mergeCell ref="M512:O512"/>
    <mergeCell ref="H521:J521"/>
    <mergeCell ref="K521:L521"/>
    <mergeCell ref="M521:O521"/>
    <mergeCell ref="H522:J522"/>
    <mergeCell ref="K522:L522"/>
    <mergeCell ref="M522:O522"/>
    <mergeCell ref="N499:O499"/>
    <mergeCell ref="N500:O500"/>
    <mergeCell ref="J500:M500"/>
    <mergeCell ref="B496:H496"/>
    <mergeCell ref="B510:T510"/>
    <mergeCell ref="C581:D581"/>
    <mergeCell ref="C663:K663"/>
    <mergeCell ref="R672:S672"/>
    <mergeCell ref="P687:Q687"/>
    <mergeCell ref="AB298:AD298"/>
    <mergeCell ref="Q299:Q301"/>
    <mergeCell ref="Z300:Z302"/>
    <mergeCell ref="O316:P316"/>
    <mergeCell ref="G348:H348"/>
    <mergeCell ref="I348:J348"/>
    <mergeCell ref="K348:L348"/>
    <mergeCell ref="G347:H347"/>
    <mergeCell ref="G344:H344"/>
    <mergeCell ref="I344:J344"/>
    <mergeCell ref="K344:L344"/>
    <mergeCell ref="K340:L340"/>
    <mergeCell ref="T308:T309"/>
    <mergeCell ref="T310:T311"/>
    <mergeCell ref="G346:H346"/>
    <mergeCell ref="Z298:AA299"/>
    <mergeCell ref="G345:H345"/>
    <mergeCell ref="I347:J347"/>
    <mergeCell ref="C336:M336"/>
    <mergeCell ref="C349:D349"/>
    <mergeCell ref="B642:U642"/>
    <mergeCell ref="S691:T691"/>
    <mergeCell ref="B677:C677"/>
    <mergeCell ref="D677:E677"/>
    <mergeCell ref="F677:G677"/>
    <mergeCell ref="J677:K677"/>
    <mergeCell ref="B646:U646"/>
    <mergeCell ref="B660:U660"/>
    <mergeCell ref="E613:J613"/>
    <mergeCell ref="K613:L613"/>
    <mergeCell ref="N677:O677"/>
    <mergeCell ref="R677:S677"/>
    <mergeCell ref="B645:K645"/>
    <mergeCell ref="N686:O686"/>
    <mergeCell ref="B685:C685"/>
    <mergeCell ref="D685:E685"/>
    <mergeCell ref="F685:G685"/>
    <mergeCell ref="L686:M686"/>
    <mergeCell ref="R678:S678"/>
    <mergeCell ref="R676:S676"/>
    <mergeCell ref="L677:M677"/>
    <mergeCell ref="P677:Q677"/>
    <mergeCell ref="J685:K685"/>
    <mergeCell ref="F674:G674"/>
    <mergeCell ref="G914:P914"/>
    <mergeCell ref="B876:U876"/>
    <mergeCell ref="B877:U877"/>
    <mergeCell ref="B887:U887"/>
    <mergeCell ref="B886:U886"/>
    <mergeCell ref="B907:U907"/>
    <mergeCell ref="B908:U908"/>
    <mergeCell ref="B881:U881"/>
    <mergeCell ref="B891:U891"/>
    <mergeCell ref="B892:U892"/>
    <mergeCell ref="B909:U909"/>
    <mergeCell ref="B900:U900"/>
    <mergeCell ref="B901:U901"/>
    <mergeCell ref="B906:U906"/>
    <mergeCell ref="B911:U911"/>
    <mergeCell ref="B912:U912"/>
    <mergeCell ref="B884:U884"/>
    <mergeCell ref="B898:U898"/>
    <mergeCell ref="B905:U905"/>
    <mergeCell ref="B899:U899"/>
    <mergeCell ref="B903:U903"/>
    <mergeCell ref="B896:U896"/>
    <mergeCell ref="B897:U897"/>
    <mergeCell ref="B902:U902"/>
    <mergeCell ref="M575:N575"/>
    <mergeCell ref="K573:L573"/>
    <mergeCell ref="M573:N573"/>
    <mergeCell ref="B574:C574"/>
    <mergeCell ref="B575:C575"/>
    <mergeCell ref="E575:G575"/>
    <mergeCell ref="H575:J575"/>
    <mergeCell ref="K575:L575"/>
    <mergeCell ref="E348:F348"/>
    <mergeCell ref="E350:F350"/>
    <mergeCell ref="B543:C543"/>
    <mergeCell ref="B547:C547"/>
    <mergeCell ref="J502:M502"/>
    <mergeCell ref="I546:J546"/>
    <mergeCell ref="N502:O502"/>
    <mergeCell ref="M574:N574"/>
    <mergeCell ref="B531:U531"/>
    <mergeCell ref="B540:C540"/>
    <mergeCell ref="I545:J545"/>
    <mergeCell ref="B542:C542"/>
    <mergeCell ref="B523:U523"/>
    <mergeCell ref="B548:C548"/>
    <mergeCell ref="B571:C571"/>
    <mergeCell ref="K571:L571"/>
    <mergeCell ref="B853:U853"/>
    <mergeCell ref="B889:U889"/>
    <mergeCell ref="B791:K791"/>
    <mergeCell ref="B789:U789"/>
    <mergeCell ref="B790:U790"/>
    <mergeCell ref="B856:U856"/>
    <mergeCell ref="B845:U845"/>
    <mergeCell ref="B844:U844"/>
    <mergeCell ref="B842:U842"/>
    <mergeCell ref="B888:U888"/>
    <mergeCell ref="B885:U885"/>
    <mergeCell ref="N814:O814"/>
    <mergeCell ref="J826:K826"/>
    <mergeCell ref="L825:M825"/>
    <mergeCell ref="N825:O825"/>
    <mergeCell ref="L826:M826"/>
    <mergeCell ref="B819:U819"/>
    <mergeCell ref="C805:K805"/>
    <mergeCell ref="H811:K811"/>
    <mergeCell ref="H812:K812"/>
    <mergeCell ref="H813:K813"/>
    <mergeCell ref="B882:U882"/>
    <mergeCell ref="B840:U840"/>
    <mergeCell ref="B852:U852"/>
    <mergeCell ref="N815:O815"/>
    <mergeCell ref="L813:M813"/>
    <mergeCell ref="N813:O813"/>
    <mergeCell ref="H815:K815"/>
    <mergeCell ref="C815:G815"/>
    <mergeCell ref="N812:O812"/>
    <mergeCell ref="N810:O810"/>
    <mergeCell ref="L815:M815"/>
    <mergeCell ref="H810:K810"/>
    <mergeCell ref="C813:G813"/>
    <mergeCell ref="R806:R807"/>
    <mergeCell ref="S806:T807"/>
    <mergeCell ref="B835:U835"/>
    <mergeCell ref="B661:U661"/>
    <mergeCell ref="C794:K794"/>
    <mergeCell ref="C795:K795"/>
    <mergeCell ref="M795:T795"/>
    <mergeCell ref="C796:G796"/>
    <mergeCell ref="M796:Q796"/>
    <mergeCell ref="J673:K673"/>
    <mergeCell ref="L673:M673"/>
    <mergeCell ref="B695:U695"/>
    <mergeCell ref="M794:T794"/>
    <mergeCell ref="C798:K798"/>
    <mergeCell ref="M800:T800"/>
    <mergeCell ref="C804:K804"/>
    <mergeCell ref="P686:Q686"/>
    <mergeCell ref="R686:S686"/>
    <mergeCell ref="N687:O687"/>
    <mergeCell ref="B792:U792"/>
    <mergeCell ref="D710:H710"/>
    <mergeCell ref="I710:L710"/>
    <mergeCell ref="M806:Q807"/>
    <mergeCell ref="B672:C672"/>
    <mergeCell ref="K576:L576"/>
    <mergeCell ref="B556:U556"/>
    <mergeCell ref="M570:N570"/>
    <mergeCell ref="B644:U644"/>
    <mergeCell ref="B641:U641"/>
    <mergeCell ref="B654:U654"/>
    <mergeCell ref="M805:T805"/>
    <mergeCell ref="R685:S685"/>
    <mergeCell ref="B686:C686"/>
    <mergeCell ref="K569:L569"/>
    <mergeCell ref="C664:K664"/>
    <mergeCell ref="B709:U709"/>
    <mergeCell ref="B699:K699"/>
    <mergeCell ref="B700:U700"/>
    <mergeCell ref="B702:U702"/>
    <mergeCell ref="B703:U703"/>
    <mergeCell ref="B704:U704"/>
    <mergeCell ref="B705:U705"/>
    <mergeCell ref="B696:U696"/>
    <mergeCell ref="R687:S687"/>
    <mergeCell ref="O689:T689"/>
    <mergeCell ref="M586:T586"/>
    <mergeCell ref="M576:N576"/>
    <mergeCell ref="B576:C576"/>
    <mergeCell ref="E571:J571"/>
    <mergeCell ref="B567:U567"/>
    <mergeCell ref="K574:L574"/>
    <mergeCell ref="I540:J540"/>
    <mergeCell ref="B573:C573"/>
    <mergeCell ref="I550:J550"/>
    <mergeCell ref="B538:C538"/>
    <mergeCell ref="B532:U532"/>
    <mergeCell ref="M569:N569"/>
    <mergeCell ref="M571:N571"/>
    <mergeCell ref="B572:C572"/>
    <mergeCell ref="K570:L570"/>
    <mergeCell ref="M572:N572"/>
    <mergeCell ref="I543:J543"/>
    <mergeCell ref="B544:C544"/>
    <mergeCell ref="I544:J544"/>
    <mergeCell ref="I547:J547"/>
    <mergeCell ref="E572:J572"/>
    <mergeCell ref="E573:J573"/>
    <mergeCell ref="E574:J574"/>
    <mergeCell ref="K572:L572"/>
    <mergeCell ref="I541:J541"/>
    <mergeCell ref="B539:C539"/>
    <mergeCell ref="I539:J539"/>
    <mergeCell ref="P110:T110"/>
    <mergeCell ref="B112:U112"/>
    <mergeCell ref="H113:I114"/>
    <mergeCell ref="B65:U65"/>
    <mergeCell ref="I536:J536"/>
    <mergeCell ref="B535:C535"/>
    <mergeCell ref="B552:C552"/>
    <mergeCell ref="B553:C553"/>
    <mergeCell ref="J503:M503"/>
    <mergeCell ref="C340:D340"/>
    <mergeCell ref="L305:O306"/>
    <mergeCell ref="C325:Q325"/>
    <mergeCell ref="C330:Q330"/>
    <mergeCell ref="G343:H343"/>
    <mergeCell ref="E354:F354"/>
    <mergeCell ref="K353:L353"/>
    <mergeCell ref="I346:J346"/>
    <mergeCell ref="C352:D352"/>
    <mergeCell ref="C350:D350"/>
    <mergeCell ref="I350:J350"/>
    <mergeCell ref="K347:L347"/>
    <mergeCell ref="C354:D354"/>
    <mergeCell ref="E352:F352"/>
    <mergeCell ref="C351:D351"/>
    <mergeCell ref="B84:U84"/>
    <mergeCell ref="D85:H85"/>
    <mergeCell ref="E25:I25"/>
    <mergeCell ref="E26:I26"/>
    <mergeCell ref="E27:I27"/>
    <mergeCell ref="J85:N85"/>
    <mergeCell ref="P71:T71"/>
    <mergeCell ref="D72:H80"/>
    <mergeCell ref="J72:N80"/>
    <mergeCell ref="B875:U875"/>
    <mergeCell ref="B879:U879"/>
    <mergeCell ref="B878:U878"/>
    <mergeCell ref="C580:J580"/>
    <mergeCell ref="C446:S446"/>
    <mergeCell ref="C353:D353"/>
    <mergeCell ref="B164:U164"/>
    <mergeCell ref="B165:U165"/>
    <mergeCell ref="C180:G180"/>
    <mergeCell ref="I356:J356"/>
    <mergeCell ref="C176:T176"/>
    <mergeCell ref="B167:U167"/>
    <mergeCell ref="C178:K178"/>
    <mergeCell ref="M171:T171"/>
    <mergeCell ref="C171:K171"/>
    <mergeCell ref="L170:S170"/>
    <mergeCell ref="C169:T169"/>
    <mergeCell ref="C195:T195"/>
    <mergeCell ref="C182:T182"/>
    <mergeCell ref="S728:T728"/>
    <mergeCell ref="B706:J706"/>
    <mergeCell ref="L810:M810"/>
    <mergeCell ref="D673:E673"/>
    <mergeCell ref="F673:G673"/>
    <mergeCell ref="E17:I17"/>
    <mergeCell ref="E18:I18"/>
    <mergeCell ref="D101:H109"/>
    <mergeCell ref="D100:H100"/>
    <mergeCell ref="J101:N109"/>
    <mergeCell ref="P101:T109"/>
    <mergeCell ref="J100:N100"/>
    <mergeCell ref="P100:T100"/>
    <mergeCell ref="P72:T80"/>
    <mergeCell ref="B99:U99"/>
    <mergeCell ref="B67:U67"/>
    <mergeCell ref="B69:K69"/>
    <mergeCell ref="D71:H71"/>
    <mergeCell ref="E22:I22"/>
    <mergeCell ref="E23:I23"/>
    <mergeCell ref="E33:I33"/>
    <mergeCell ref="B70:U70"/>
    <mergeCell ref="J71:N71"/>
    <mergeCell ref="B83:K83"/>
    <mergeCell ref="P86:T94"/>
    <mergeCell ref="P85:T85"/>
    <mergeCell ref="J86:N94"/>
    <mergeCell ref="D86:H94"/>
    <mergeCell ref="B97:K97"/>
    <mergeCell ref="I360:J360"/>
    <mergeCell ref="C361:D361"/>
    <mergeCell ref="C172:K172"/>
    <mergeCell ref="C143:N143"/>
    <mergeCell ref="C144:N144"/>
    <mergeCell ref="L113:M114"/>
    <mergeCell ref="N113:O114"/>
    <mergeCell ref="C130:S130"/>
    <mergeCell ref="C128:S128"/>
    <mergeCell ref="C132:S132"/>
    <mergeCell ref="C133:S133"/>
    <mergeCell ref="M134:N134"/>
    <mergeCell ref="C137:N137"/>
    <mergeCell ref="C140:N140"/>
    <mergeCell ref="H134:J134"/>
    <mergeCell ref="J113:K114"/>
    <mergeCell ref="C131:S131"/>
    <mergeCell ref="B134:G134"/>
    <mergeCell ref="C149:T149"/>
    <mergeCell ref="C151:T151"/>
    <mergeCell ref="C337:M337"/>
    <mergeCell ref="K338:L338"/>
    <mergeCell ref="C342:D342"/>
    <mergeCell ref="G341:H341"/>
    <mergeCell ref="I365:J365"/>
    <mergeCell ref="G368:H368"/>
    <mergeCell ref="I368:J368"/>
    <mergeCell ref="G366:H366"/>
    <mergeCell ref="I366:J366"/>
    <mergeCell ref="I369:J369"/>
    <mergeCell ref="C374:D374"/>
    <mergeCell ref="G371:H371"/>
    <mergeCell ref="G369:H369"/>
    <mergeCell ref="E569:J569"/>
    <mergeCell ref="E570:J570"/>
    <mergeCell ref="C375:D375"/>
    <mergeCell ref="C369:D369"/>
    <mergeCell ref="B443:U443"/>
    <mergeCell ref="B439:U439"/>
    <mergeCell ref="B441:U441"/>
    <mergeCell ref="G372:H372"/>
    <mergeCell ref="B461:U461"/>
    <mergeCell ref="C459:H459"/>
    <mergeCell ref="B484:U484"/>
    <mergeCell ref="J459:O459"/>
    <mergeCell ref="J460:O460"/>
    <mergeCell ref="B483:U483"/>
    <mergeCell ref="Q460:U460"/>
    <mergeCell ref="C460:H460"/>
    <mergeCell ref="N503:O503"/>
    <mergeCell ref="B569:C569"/>
    <mergeCell ref="B570:C570"/>
    <mergeCell ref="B564:U564"/>
    <mergeCell ref="G374:H374"/>
    <mergeCell ref="N555:U555"/>
    <mergeCell ref="I537:J537"/>
    <mergeCell ref="I538:J538"/>
    <mergeCell ref="B98:U98"/>
    <mergeCell ref="C145:N145"/>
    <mergeCell ref="B280:U280"/>
    <mergeCell ref="B8:U8"/>
    <mergeCell ref="B10:U10"/>
    <mergeCell ref="B11:U11"/>
    <mergeCell ref="E19:I19"/>
    <mergeCell ref="E20:I20"/>
    <mergeCell ref="E21:I21"/>
    <mergeCell ref="B212:U212"/>
    <mergeCell ref="B213:U213"/>
    <mergeCell ref="B215:U215"/>
    <mergeCell ref="B121:U121"/>
    <mergeCell ref="B122:U122"/>
    <mergeCell ref="B124:U124"/>
    <mergeCell ref="B126:K126"/>
    <mergeCell ref="B127:U127"/>
    <mergeCell ref="C129:T129"/>
    <mergeCell ref="P111:T111"/>
    <mergeCell ref="B9:U9"/>
    <mergeCell ref="E32:I32"/>
    <mergeCell ref="E16:I16"/>
    <mergeCell ref="B135:T135"/>
    <mergeCell ref="C179:K179"/>
    <mergeCell ref="I357:J357"/>
    <mergeCell ref="L254:T254"/>
    <mergeCell ref="C173:G173"/>
    <mergeCell ref="M172:T172"/>
    <mergeCell ref="L177:S177"/>
    <mergeCell ref="M178:T178"/>
    <mergeCell ref="M179:T179"/>
    <mergeCell ref="D31:I31"/>
    <mergeCell ref="B64:U64"/>
    <mergeCell ref="B41:I51"/>
    <mergeCell ref="E338:F338"/>
    <mergeCell ref="B322:U322"/>
    <mergeCell ref="E274:S274"/>
    <mergeCell ref="L286:O286"/>
    <mergeCell ref="C289:D289"/>
    <mergeCell ref="S297:U297"/>
    <mergeCell ref="M272:Q272"/>
    <mergeCell ref="C338:D338"/>
    <mergeCell ref="C286:I286"/>
    <mergeCell ref="C295:I295"/>
    <mergeCell ref="C284:J284"/>
    <mergeCell ref="Q286:U286"/>
    <mergeCell ref="C290:D290"/>
    <mergeCell ref="C271:K271"/>
    <mergeCell ref="K342:L342"/>
    <mergeCell ref="C355:D355"/>
    <mergeCell ref="I345:J345"/>
    <mergeCell ref="C341:D341"/>
    <mergeCell ref="E341:F341"/>
    <mergeCell ref="O337:S337"/>
    <mergeCell ref="L284:U284"/>
    <mergeCell ref="C254:J254"/>
    <mergeCell ref="B321:U321"/>
    <mergeCell ref="I352:J352"/>
    <mergeCell ref="G350:H350"/>
    <mergeCell ref="E342:F342"/>
    <mergeCell ref="C348:D348"/>
    <mergeCell ref="I338:J338"/>
    <mergeCell ref="M271:T271"/>
    <mergeCell ref="C272:G272"/>
    <mergeCell ref="C345:D345"/>
    <mergeCell ref="G353:H353"/>
    <mergeCell ref="I353:J353"/>
    <mergeCell ref="C344:D344"/>
    <mergeCell ref="E344:F344"/>
    <mergeCell ref="E343:F343"/>
    <mergeCell ref="G354:H354"/>
    <mergeCell ref="K350:L350"/>
    <mergeCell ref="B243:U243"/>
    <mergeCell ref="B235:U235"/>
    <mergeCell ref="B227:U227"/>
    <mergeCell ref="B188:U188"/>
    <mergeCell ref="M270:T270"/>
    <mergeCell ref="C255:T255"/>
    <mergeCell ref="Q310:R311"/>
    <mergeCell ref="S310:S311"/>
    <mergeCell ref="B198:U198"/>
    <mergeCell ref="C201:T203"/>
    <mergeCell ref="Q295:U295"/>
    <mergeCell ref="B249:U249"/>
    <mergeCell ref="B261:U261"/>
    <mergeCell ref="B262:U262"/>
    <mergeCell ref="B265:U265"/>
    <mergeCell ref="C268:T268"/>
    <mergeCell ref="O336:S336"/>
    <mergeCell ref="L269:S269"/>
    <mergeCell ref="B266:U266"/>
    <mergeCell ref="O338:P338"/>
    <mergeCell ref="Q338:R338"/>
    <mergeCell ref="O340:P340"/>
    <mergeCell ref="Q340:R340"/>
    <mergeCell ref="O341:P341"/>
    <mergeCell ref="Q341:R341"/>
    <mergeCell ref="E340:F340"/>
    <mergeCell ref="K341:L341"/>
    <mergeCell ref="G340:H340"/>
    <mergeCell ref="G338:H338"/>
    <mergeCell ref="I341:J341"/>
    <mergeCell ref="I340:J340"/>
    <mergeCell ref="G355:H355"/>
    <mergeCell ref="C192:T194"/>
    <mergeCell ref="B204:K204"/>
    <mergeCell ref="C270:K270"/>
    <mergeCell ref="B236:U236"/>
    <mergeCell ref="B240:U240"/>
    <mergeCell ref="B231:U231"/>
    <mergeCell ref="B226:U226"/>
    <mergeCell ref="K343:L343"/>
    <mergeCell ref="I343:J343"/>
    <mergeCell ref="C343:D343"/>
    <mergeCell ref="L295:O298"/>
    <mergeCell ref="Q305:T306"/>
    <mergeCell ref="B244:U244"/>
    <mergeCell ref="B250:U250"/>
    <mergeCell ref="I342:J342"/>
    <mergeCell ref="B216:U216"/>
    <mergeCell ref="B217:U217"/>
    <mergeCell ref="S288:U288"/>
    <mergeCell ref="Q290:R290"/>
    <mergeCell ref="Q291:Q293"/>
    <mergeCell ref="Q308:R309"/>
    <mergeCell ref="S308:S309"/>
    <mergeCell ref="N309:O309"/>
    <mergeCell ref="B397:U397"/>
    <mergeCell ref="B399:K399"/>
    <mergeCell ref="B400:U400"/>
    <mergeCell ref="M180:Q180"/>
    <mergeCell ref="B224:U224"/>
    <mergeCell ref="B232:U232"/>
    <mergeCell ref="C183:T183"/>
    <mergeCell ref="I355:J355"/>
    <mergeCell ref="E356:F356"/>
    <mergeCell ref="G379:H379"/>
    <mergeCell ref="C378:D378"/>
    <mergeCell ref="G378:H378"/>
    <mergeCell ref="C359:D359"/>
    <mergeCell ref="G359:H359"/>
    <mergeCell ref="C357:D357"/>
    <mergeCell ref="C363:D363"/>
    <mergeCell ref="C366:D366"/>
    <mergeCell ref="C364:D364"/>
    <mergeCell ref="C358:D358"/>
    <mergeCell ref="I363:J363"/>
    <mergeCell ref="C362:D362"/>
    <mergeCell ref="E358:F358"/>
    <mergeCell ref="G358:H358"/>
    <mergeCell ref="I358:J358"/>
    <mergeCell ref="C377:D377"/>
    <mergeCell ref="G361:H361"/>
    <mergeCell ref="I361:J361"/>
    <mergeCell ref="O368:P369"/>
    <mergeCell ref="G377:H377"/>
    <mergeCell ref="C456:S456"/>
    <mergeCell ref="B438:U438"/>
    <mergeCell ref="C401:T401"/>
    <mergeCell ref="C402:S402"/>
    <mergeCell ref="C403:S403"/>
    <mergeCell ref="C404:S404"/>
    <mergeCell ref="G380:H380"/>
    <mergeCell ref="C405:S405"/>
    <mergeCell ref="C380:D380"/>
    <mergeCell ref="B407:T407"/>
    <mergeCell ref="B451:K451"/>
    <mergeCell ref="B442:E442"/>
    <mergeCell ref="C445:S445"/>
    <mergeCell ref="C454:S454"/>
    <mergeCell ref="C453:S453"/>
    <mergeCell ref="C444:S444"/>
    <mergeCell ref="C447:S447"/>
    <mergeCell ref="B394:U394"/>
    <mergeCell ref="B395:U395"/>
    <mergeCell ref="I359:J359"/>
    <mergeCell ref="G362:H362"/>
    <mergeCell ref="I362:J362"/>
    <mergeCell ref="I367:J367"/>
    <mergeCell ref="G367:H367"/>
    <mergeCell ref="C376:D376"/>
    <mergeCell ref="C371:D371"/>
    <mergeCell ref="C372:D372"/>
    <mergeCell ref="C373:D373"/>
    <mergeCell ref="G373:H373"/>
    <mergeCell ref="G376:H376"/>
    <mergeCell ref="I364:J364"/>
    <mergeCell ref="G375:H375"/>
    <mergeCell ref="I370:J370"/>
    <mergeCell ref="C370:D370"/>
    <mergeCell ref="C365:D365"/>
    <mergeCell ref="G365:H365"/>
    <mergeCell ref="G363:H363"/>
    <mergeCell ref="C360:D360"/>
    <mergeCell ref="G364:H364"/>
    <mergeCell ref="C367:D367"/>
    <mergeCell ref="G360:H360"/>
    <mergeCell ref="G370:H370"/>
    <mergeCell ref="C368:D368"/>
    <mergeCell ref="B486:U486"/>
    <mergeCell ref="B536:C536"/>
    <mergeCell ref="B530:U530"/>
    <mergeCell ref="B452:U452"/>
    <mergeCell ref="I554:J554"/>
    <mergeCell ref="P552:P553"/>
    <mergeCell ref="K554:M554"/>
    <mergeCell ref="C506:T506"/>
    <mergeCell ref="B533:U533"/>
    <mergeCell ref="B546:C546"/>
    <mergeCell ref="B537:C537"/>
    <mergeCell ref="B509:P509"/>
    <mergeCell ref="B550:C550"/>
    <mergeCell ref="I549:J549"/>
    <mergeCell ref="S552:S553"/>
    <mergeCell ref="I548:J548"/>
    <mergeCell ref="I552:M552"/>
    <mergeCell ref="B541:C541"/>
    <mergeCell ref="C455:S455"/>
    <mergeCell ref="B458:U458"/>
    <mergeCell ref="C457:S457"/>
    <mergeCell ref="C493:T493"/>
    <mergeCell ref="C499:F499"/>
    <mergeCell ref="J499:M499"/>
    <mergeCell ref="B621:U621"/>
    <mergeCell ref="B623:U623"/>
    <mergeCell ref="C629:J629"/>
    <mergeCell ref="B566:U566"/>
    <mergeCell ref="B563:U563"/>
    <mergeCell ref="B549:C549"/>
    <mergeCell ref="I542:J542"/>
    <mergeCell ref="B555:C555"/>
    <mergeCell ref="M582:T582"/>
    <mergeCell ref="M583:T583"/>
    <mergeCell ref="H594:O594"/>
    <mergeCell ref="H595:O595"/>
    <mergeCell ref="C582:J582"/>
    <mergeCell ref="C583:J583"/>
    <mergeCell ref="C586:J586"/>
    <mergeCell ref="B579:U579"/>
    <mergeCell ref="K610:L610"/>
    <mergeCell ref="M610:N610"/>
    <mergeCell ref="B611:C611"/>
    <mergeCell ref="E611:J611"/>
    <mergeCell ref="K611:L611"/>
    <mergeCell ref="M611:N611"/>
    <mergeCell ref="K612:L612"/>
    <mergeCell ref="M612:N612"/>
    <mergeCell ref="B613:C613"/>
    <mergeCell ref="C587:J587"/>
    <mergeCell ref="M587:T587"/>
    <mergeCell ref="B603:U603"/>
    <mergeCell ref="B604:U604"/>
    <mergeCell ref="B606:U606"/>
    <mergeCell ref="B607:U607"/>
    <mergeCell ref="B609:C609"/>
    <mergeCell ref="E609:J609"/>
    <mergeCell ref="K609:L609"/>
    <mergeCell ref="M609:N609"/>
    <mergeCell ref="B610:C610"/>
    <mergeCell ref="E610:J610"/>
    <mergeCell ref="B612:C612"/>
    <mergeCell ref="E612:J612"/>
    <mergeCell ref="M613:N613"/>
    <mergeCell ref="B592:U592"/>
    <mergeCell ref="N675:O675"/>
    <mergeCell ref="P675:Q675"/>
    <mergeCell ref="B673:C673"/>
    <mergeCell ref="R673:S673"/>
    <mergeCell ref="B674:C674"/>
    <mergeCell ref="D674:E674"/>
    <mergeCell ref="N673:O673"/>
    <mergeCell ref="B667:U667"/>
    <mergeCell ref="B668:U668"/>
    <mergeCell ref="P673:Q673"/>
    <mergeCell ref="N672:O672"/>
    <mergeCell ref="F675:G675"/>
    <mergeCell ref="R674:S674"/>
    <mergeCell ref="J675:K675"/>
    <mergeCell ref="L675:M675"/>
    <mergeCell ref="J674:K674"/>
    <mergeCell ref="R675:S675"/>
    <mergeCell ref="B675:C675"/>
    <mergeCell ref="D675:E675"/>
    <mergeCell ref="B748:U748"/>
    <mergeCell ref="B749:K749"/>
    <mergeCell ref="B750:U750"/>
    <mergeCell ref="B751:U751"/>
    <mergeCell ref="B736:U736"/>
    <mergeCell ref="B737:U737"/>
    <mergeCell ref="B739:K739"/>
    <mergeCell ref="B740:U740"/>
    <mergeCell ref="B741:U741"/>
    <mergeCell ref="B742:U742"/>
    <mergeCell ref="B743:U743"/>
    <mergeCell ref="B746:U746"/>
    <mergeCell ref="B747:U747"/>
    <mergeCell ref="B744:U744"/>
    <mergeCell ref="B745:U745"/>
    <mergeCell ref="R779:T779"/>
    <mergeCell ref="S780:T780"/>
    <mergeCell ref="B774:C774"/>
    <mergeCell ref="B776:C776"/>
    <mergeCell ref="B775:C775"/>
    <mergeCell ref="B777:C777"/>
    <mergeCell ref="B778:C778"/>
    <mergeCell ref="E776:F776"/>
    <mergeCell ref="E777:F777"/>
    <mergeCell ref="E778:F778"/>
    <mergeCell ref="B771:C771"/>
    <mergeCell ref="E771:F771"/>
    <mergeCell ref="E774:F774"/>
    <mergeCell ref="B772:C772"/>
    <mergeCell ref="E772:F772"/>
    <mergeCell ref="E775:F775"/>
    <mergeCell ref="B773:C773"/>
    <mergeCell ref="E773:F773"/>
    <mergeCell ref="B769:C769"/>
    <mergeCell ref="E769:F769"/>
    <mergeCell ref="B770:C770"/>
    <mergeCell ref="E770:F770"/>
    <mergeCell ref="B762:U762"/>
    <mergeCell ref="B763:K763"/>
    <mergeCell ref="B764:U764"/>
    <mergeCell ref="B765:U765"/>
    <mergeCell ref="B767:C767"/>
    <mergeCell ref="E767:F767"/>
    <mergeCell ref="B768:C768"/>
    <mergeCell ref="E768:F768"/>
    <mergeCell ref="B753:K753"/>
    <mergeCell ref="B754:U754"/>
    <mergeCell ref="B755:U755"/>
    <mergeCell ref="B756:U756"/>
    <mergeCell ref="B757:U757"/>
    <mergeCell ref="B758:U758"/>
    <mergeCell ref="B759:U759"/>
    <mergeCell ref="B760:U760"/>
    <mergeCell ref="B761:U761"/>
  </mergeCells>
  <conditionalFormatting sqref="M338">
    <cfRule type="expression" dxfId="31" priority="5" stopIfTrue="1">
      <formula>#REF!=" "</formula>
    </cfRule>
  </conditionalFormatting>
  <conditionalFormatting sqref="O337">
    <cfRule type="expression" dxfId="30" priority="6" stopIfTrue="1">
      <formula>#REF!=" "</formula>
    </cfRule>
  </conditionalFormatting>
  <conditionalFormatting sqref="S338">
    <cfRule type="expression" dxfId="29" priority="3" stopIfTrue="1">
      <formula>#REF!=" "</formula>
    </cfRule>
  </conditionalFormatting>
  <conditionalFormatting sqref="Q338">
    <cfRule type="expression" dxfId="28" priority="2" stopIfTrue="1">
      <formula>#REF!=" "</formula>
    </cfRule>
  </conditionalFormatting>
  <conditionalFormatting sqref="O338">
    <cfRule type="expression" dxfId="27" priority="1" stopIfTrue="1">
      <formula>#REF!=" "</formula>
    </cfRule>
  </conditionalFormatting>
  <hyperlinks>
    <hyperlink ref="P110:T110" r:id="rId1" display="Descárguesela ya desde Google Play"/>
    <hyperlink ref="P111:T111" r:id="rId2" display="Descárguesela ya desde App Store"/>
  </hyperlinks>
  <printOptions horizontalCentered="1" verticalCentered="1"/>
  <pageMargins left="0.39370078740157483" right="0.39370078740157483" top="0" bottom="0" header="0" footer="0"/>
  <pageSetup paperSize="9" scale="39" fitToHeight="0" orientation="landscape" r:id="rId3"/>
  <headerFooter alignWithMargins="0"/>
  <rowBreaks count="18" manualBreakCount="18">
    <brk id="60" max="21" man="1"/>
    <brk id="117" max="21" man="1"/>
    <brk id="161" max="21" man="1"/>
    <brk id="208" max="21" man="1"/>
    <brk id="259" max="21" man="1"/>
    <brk id="319" max="21" man="1"/>
    <brk id="392" max="21" man="1"/>
    <brk id="435" max="21" man="1"/>
    <brk id="481" max="21" man="1"/>
    <brk id="527" max="21" man="1"/>
    <brk id="558" max="21" man="1"/>
    <brk id="599" max="21" man="1"/>
    <brk id="639" max="21" man="1"/>
    <brk id="693" max="21" man="1"/>
    <brk id="734" max="21" man="1"/>
    <brk id="787" max="21" man="1"/>
    <brk id="829" max="21" man="1"/>
    <brk id="873" max="21" man="1"/>
  </rowBreaks>
  <drawing r:id="rId4"/>
  <extLst>
    <ext xmlns:x14="http://schemas.microsoft.com/office/spreadsheetml/2009/9/main" uri="{78C0D931-6437-407d-A8EE-F0AAD7539E65}">
      <x14:conditionalFormattings>
        <x14:conditionalFormatting xmlns:xm="http://schemas.microsoft.com/office/excel/2006/main">
          <x14:cfRule type="expression" priority="4" id="{E2EA3C8A-37DD-4853-9631-610A5072FAD0}">
            <xm:f>Calculos_cuotas!$V$106&gt;0</xm:f>
            <x14:dxf>
              <font>
                <b/>
                <i val="0"/>
              </font>
              <fill>
                <patternFill>
                  <bgColor theme="9" tint="0.79998168889431442"/>
                </patternFill>
              </fill>
            </x14:dxf>
          </x14:cfRule>
          <xm:sqref>C505:T505</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AD805"/>
  <sheetViews>
    <sheetView showGridLines="0" showOutlineSymbols="0" view="pageBreakPreview" topLeftCell="A398" zoomScale="39" zoomScaleNormal="70" zoomScaleSheetLayoutView="39" zoomScalePageLayoutView="25" workbookViewId="0">
      <selection activeCell="B790" sqref="B790:U790"/>
    </sheetView>
  </sheetViews>
  <sheetFormatPr baseColWidth="10" defaultColWidth="11.42578125" defaultRowHeight="12.75"/>
  <cols>
    <col min="1" max="1" width="7.140625" style="422" customWidth="1"/>
    <col min="2" max="2" width="14" style="422" customWidth="1"/>
    <col min="3" max="3" width="19.42578125" style="422" customWidth="1"/>
    <col min="4" max="4" width="15.140625" style="422" customWidth="1"/>
    <col min="5" max="5" width="16.7109375" style="422" customWidth="1"/>
    <col min="6" max="6" width="15.140625" style="422" customWidth="1"/>
    <col min="7" max="7" width="16" style="422" customWidth="1"/>
    <col min="8" max="8" width="18.28515625" style="422" bestFit="1" customWidth="1"/>
    <col min="9" max="9" width="14.5703125" style="422" customWidth="1"/>
    <col min="10" max="10" width="15.5703125" style="422" customWidth="1"/>
    <col min="11" max="11" width="13.140625" style="422" customWidth="1"/>
    <col min="12" max="12" width="15.28515625" style="422" customWidth="1"/>
    <col min="13" max="13" width="17.28515625" style="422" customWidth="1"/>
    <col min="14" max="14" width="17.85546875" style="422" customWidth="1"/>
    <col min="15" max="15" width="16.7109375" style="422" customWidth="1"/>
    <col min="16" max="16" width="18.140625" style="422" customWidth="1"/>
    <col min="17" max="17" width="17.85546875" style="422" customWidth="1"/>
    <col min="18" max="18" width="20.28515625" style="422" customWidth="1"/>
    <col min="19" max="19" width="17.7109375" style="422" customWidth="1"/>
    <col min="20" max="20" width="17.42578125" style="422" customWidth="1"/>
    <col min="21" max="21" width="17.85546875" style="422" customWidth="1"/>
    <col min="22" max="22" width="2.8554687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268" t="s">
        <v>667</v>
      </c>
      <c r="C8" s="2268"/>
      <c r="D8" s="2268"/>
      <c r="E8" s="2268"/>
      <c r="F8" s="2268"/>
      <c r="G8" s="2268"/>
      <c r="H8" s="2268"/>
      <c r="I8" s="2268"/>
      <c r="J8" s="2268"/>
      <c r="K8" s="2268"/>
      <c r="L8" s="2268"/>
      <c r="M8" s="2268"/>
      <c r="N8" s="2268"/>
      <c r="O8" s="2268"/>
      <c r="P8" s="2268"/>
      <c r="Q8" s="2268"/>
      <c r="R8" s="2268"/>
      <c r="S8" s="2268"/>
      <c r="T8" s="2268"/>
      <c r="U8" s="2268"/>
    </row>
    <row r="9" spans="1:21" s="416" customFormat="1" ht="34.5">
      <c r="A9" s="415"/>
      <c r="B9" s="2268" t="s">
        <v>696</v>
      </c>
      <c r="C9" s="2268"/>
      <c r="D9" s="2268"/>
      <c r="E9" s="2268"/>
      <c r="F9" s="2268"/>
      <c r="G9" s="2268"/>
      <c r="H9" s="2268"/>
      <c r="I9" s="2268"/>
      <c r="J9" s="2268"/>
      <c r="K9" s="2268"/>
      <c r="L9" s="2268"/>
      <c r="M9" s="2268"/>
      <c r="N9" s="2268"/>
      <c r="O9" s="2268"/>
      <c r="P9" s="2268"/>
      <c r="Q9" s="2268"/>
      <c r="R9" s="2268"/>
      <c r="S9" s="2268"/>
      <c r="T9" s="2268"/>
      <c r="U9" s="2268"/>
    </row>
    <row r="10" spans="1:21" s="416" customFormat="1" ht="34.5">
      <c r="A10" s="415"/>
      <c r="B10" s="2268"/>
      <c r="C10" s="2268"/>
      <c r="D10" s="2268"/>
      <c r="E10" s="2268"/>
      <c r="F10" s="2268"/>
      <c r="G10" s="2268"/>
      <c r="H10" s="2268"/>
      <c r="I10" s="2268"/>
      <c r="J10" s="2268"/>
      <c r="K10" s="2268"/>
      <c r="L10" s="2268"/>
      <c r="M10" s="2268"/>
      <c r="N10" s="2268"/>
      <c r="O10" s="2268"/>
      <c r="P10" s="2268"/>
      <c r="Q10" s="2268"/>
      <c r="R10" s="2268"/>
      <c r="S10" s="2268"/>
      <c r="T10" s="2268"/>
      <c r="U10" s="2268"/>
    </row>
    <row r="11" spans="1:21" s="416" customFormat="1" ht="34.5">
      <c r="A11" s="415"/>
      <c r="B11" s="2414" t="str">
        <f>'Seleccion de oferta'!E9</f>
        <v>INMOBILIARIA SERVIGESTION</v>
      </c>
      <c r="C11" s="2414"/>
      <c r="D11" s="2414"/>
      <c r="E11" s="2414"/>
      <c r="F11" s="2414"/>
      <c r="G11" s="2414"/>
      <c r="H11" s="2414"/>
      <c r="I11" s="2414"/>
      <c r="J11" s="2414"/>
      <c r="K11" s="2414"/>
      <c r="L11" s="2414"/>
      <c r="M11" s="2414"/>
      <c r="N11" s="2414"/>
      <c r="O11" s="2414"/>
      <c r="P11" s="2414"/>
      <c r="Q11" s="2414"/>
      <c r="R11" s="2414"/>
      <c r="S11" s="2414"/>
      <c r="T11" s="2414"/>
      <c r="U11" s="2414"/>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15" t="str">
        <f>'Seleccion de oferta'!E11</f>
        <v>B11412343</v>
      </c>
      <c r="F16" s="2415"/>
      <c r="G16" s="2415"/>
      <c r="H16" s="2415"/>
      <c r="I16" s="2415"/>
    </row>
    <row r="17" spans="1:22" s="416" customFormat="1" ht="25.9" customHeight="1">
      <c r="A17" s="415"/>
      <c r="B17" s="417" t="s">
        <v>187</v>
      </c>
      <c r="C17" s="418"/>
      <c r="D17" s="419"/>
      <c r="E17" s="2415" t="str">
        <f>'Seleccion de oferta'!E13</f>
        <v>PLAZA ESPAÑA Nº1, EDIFICIO ESPAÑA PLANTA 1º OFICINA 2</v>
      </c>
      <c r="F17" s="2415"/>
      <c r="G17" s="2415"/>
      <c r="H17" s="2415"/>
      <c r="I17" s="2415"/>
    </row>
    <row r="18" spans="1:22" s="416" customFormat="1" ht="25.9" customHeight="1">
      <c r="A18" s="415"/>
      <c r="B18" s="417" t="s">
        <v>646</v>
      </c>
      <c r="C18" s="418"/>
      <c r="D18" s="419"/>
      <c r="E18" s="2415" t="str">
        <f>'Seleccion de oferta'!E15</f>
        <v>CHICLANA</v>
      </c>
      <c r="F18" s="2415"/>
      <c r="G18" s="2415"/>
      <c r="H18" s="2415"/>
      <c r="I18" s="2415"/>
    </row>
    <row r="19" spans="1:22" ht="25.9" customHeight="1">
      <c r="A19" s="420"/>
      <c r="B19" s="417" t="s">
        <v>647</v>
      </c>
      <c r="C19" s="421"/>
      <c r="D19" s="421"/>
      <c r="E19" s="2415" t="str">
        <f>'Seleccion de oferta'!E17</f>
        <v>CADIZ</v>
      </c>
      <c r="F19" s="2415"/>
      <c r="G19" s="2415"/>
      <c r="H19" s="2415"/>
      <c r="I19" s="2415"/>
      <c r="V19" s="420"/>
    </row>
    <row r="20" spans="1:22" ht="25.9" customHeight="1">
      <c r="A20" s="420"/>
      <c r="B20" s="417" t="s">
        <v>644</v>
      </c>
      <c r="C20" s="423"/>
      <c r="D20" s="421"/>
      <c r="E20" s="2415" t="str">
        <f>'Seleccion de oferta'!E19</f>
        <v>MANUEL</v>
      </c>
      <c r="F20" s="2415"/>
      <c r="G20" s="2415"/>
      <c r="H20" s="2415"/>
      <c r="I20" s="2415"/>
      <c r="J20" s="424"/>
      <c r="K20" s="424"/>
      <c r="L20" s="424"/>
      <c r="M20" s="424"/>
      <c r="N20" s="424"/>
      <c r="O20" s="424"/>
      <c r="P20" s="424"/>
      <c r="Q20" s="424"/>
      <c r="R20" s="424"/>
      <c r="S20" s="424"/>
      <c r="T20" s="424"/>
      <c r="U20" s="424"/>
      <c r="V20" s="420"/>
    </row>
    <row r="21" spans="1:22" ht="25.9" customHeight="1">
      <c r="A21" s="420"/>
      <c r="B21" s="425" t="s">
        <v>645</v>
      </c>
      <c r="C21" s="426"/>
      <c r="D21" s="421"/>
      <c r="E21" s="2415">
        <f>'Seleccion de oferta'!E21</f>
        <v>956535624</v>
      </c>
      <c r="F21" s="2415"/>
      <c r="G21" s="2415"/>
      <c r="H21" s="2415"/>
      <c r="I21" s="2415"/>
      <c r="J21" s="757"/>
      <c r="K21" s="757"/>
      <c r="L21" s="757"/>
      <c r="M21" s="757"/>
      <c r="N21" s="757"/>
      <c r="O21" s="757"/>
      <c r="P21" s="757"/>
      <c r="Q21" s="757"/>
      <c r="R21" s="757"/>
      <c r="S21" s="757"/>
      <c r="T21" s="757"/>
      <c r="U21" s="757"/>
      <c r="V21" s="420"/>
    </row>
    <row r="22" spans="1:22" ht="60"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15" t="str">
        <f>'Seleccion de oferta'!E30:G30</f>
        <v>JOSE LUIS PARRA</v>
      </c>
      <c r="F23" s="2415"/>
      <c r="G23" s="2415"/>
      <c r="H23" s="2415"/>
      <c r="I23" s="2415"/>
      <c r="J23" s="428"/>
      <c r="V23" s="420"/>
    </row>
    <row r="24" spans="1:22" ht="25.9" customHeight="1">
      <c r="A24" s="429"/>
      <c r="B24" s="417" t="s">
        <v>645</v>
      </c>
      <c r="C24" s="418"/>
      <c r="D24" s="419"/>
      <c r="E24" s="2439">
        <f>'Seleccion de oferta'!E34</f>
        <v>630836774</v>
      </c>
      <c r="F24" s="2415"/>
      <c r="G24" s="2415"/>
      <c r="H24" s="2415"/>
      <c r="I24" s="2415"/>
      <c r="J24" s="428"/>
      <c r="V24" s="429"/>
    </row>
    <row r="25" spans="1:22" s="416" customFormat="1" ht="23.25">
      <c r="A25" s="415"/>
      <c r="B25" s="417" t="s">
        <v>650</v>
      </c>
      <c r="C25" s="418"/>
      <c r="D25" s="419"/>
      <c r="E25" s="2415" t="str">
        <f>'Seleccion de oferta'!E42:G42</f>
        <v>GRUPO PROMOVIL</v>
      </c>
      <c r="F25" s="2415"/>
      <c r="G25" s="2415"/>
      <c r="H25" s="2415"/>
      <c r="I25" s="2415"/>
      <c r="J25" s="428"/>
    </row>
    <row r="26" spans="1:22" s="416" customFormat="1" ht="25.9" customHeight="1">
      <c r="A26" s="415"/>
      <c r="B26" s="417"/>
      <c r="C26" s="422"/>
      <c r="D26" s="2404"/>
      <c r="E26" s="2404"/>
      <c r="F26" s="2404"/>
      <c r="G26" s="2404"/>
      <c r="H26" s="2404"/>
      <c r="I26" s="2404"/>
      <c r="J26" s="428"/>
    </row>
    <row r="27" spans="1:22" s="416" customFormat="1" ht="25.9" customHeight="1">
      <c r="A27" s="415"/>
      <c r="J27" s="428"/>
    </row>
    <row r="28" spans="1:22" s="416" customFormat="1" ht="25.9" customHeight="1">
      <c r="A28" s="415"/>
      <c r="J28" s="428"/>
    </row>
    <row r="29" spans="1:22" s="416" customFormat="1" ht="25.9" customHeight="1">
      <c r="A29" s="415"/>
      <c r="B29" s="417" t="s">
        <v>669</v>
      </c>
      <c r="C29" s="424"/>
      <c r="D29" s="430"/>
      <c r="E29" s="2417">
        <f>'Seleccion de oferta'!E50</f>
        <v>43006</v>
      </c>
      <c r="F29" s="2417"/>
      <c r="G29" s="2417"/>
      <c r="H29" s="2417"/>
      <c r="I29" s="2417"/>
      <c r="J29" s="428"/>
    </row>
    <row r="30" spans="1:22" s="416" customFormat="1" ht="25.9" customHeight="1">
      <c r="A30" s="415"/>
      <c r="B30" s="417" t="s">
        <v>670</v>
      </c>
      <c r="C30" s="757"/>
      <c r="D30" s="431"/>
      <c r="E30" s="2417">
        <f>'Seleccion de oferta'!E52</f>
        <v>43008</v>
      </c>
      <c r="F30" s="2417"/>
      <c r="G30" s="2417"/>
      <c r="H30" s="2417"/>
      <c r="I30" s="2417"/>
      <c r="J30" s="428"/>
    </row>
    <row r="31" spans="1:22" s="416" customFormat="1" ht="25.9" customHeight="1">
      <c r="A31" s="415"/>
      <c r="B31" s="417" t="s">
        <v>692</v>
      </c>
      <c r="C31" s="757"/>
      <c r="D31" s="431"/>
      <c r="E31" s="763" t="str">
        <f>CONCATENATE("ILF5_90FCOSCP_",MID(E16,1,4),MID(E19,1,2),MID(E25,1,2),E29)</f>
        <v>ILF5_90FCOSCP_B114CAGR43006</v>
      </c>
      <c r="F31" s="763"/>
      <c r="G31" s="763"/>
      <c r="H31" s="763"/>
      <c r="I31" s="763"/>
      <c r="J31" s="428"/>
    </row>
    <row r="32" spans="1:22" s="416" customFormat="1" ht="25.9" customHeight="1">
      <c r="A32" s="415"/>
      <c r="B32" s="417"/>
      <c r="C32" s="757"/>
      <c r="D32" s="431"/>
      <c r="E32" s="763"/>
      <c r="F32" s="763"/>
      <c r="G32" s="763"/>
      <c r="H32" s="763"/>
      <c r="I32" s="763"/>
      <c r="J32" s="428"/>
    </row>
    <row r="33" spans="1:21" s="416" customFormat="1" ht="24" customHeight="1">
      <c r="A33" s="415"/>
      <c r="B33" s="417"/>
      <c r="C33" s="757"/>
      <c r="D33" s="433"/>
      <c r="E33" s="764"/>
      <c r="F33" s="764"/>
      <c r="G33" s="764"/>
      <c r="H33" s="764"/>
      <c r="I33" s="764"/>
      <c r="J33" s="428"/>
    </row>
    <row r="34" spans="1:21" s="416" customFormat="1" ht="25.9" customHeight="1">
      <c r="A34" s="415"/>
      <c r="B34" s="2569" t="s">
        <v>684</v>
      </c>
      <c r="C34" s="2569"/>
      <c r="D34" s="2569"/>
      <c r="E34" s="2569"/>
      <c r="F34" s="2569"/>
      <c r="G34" s="2569"/>
      <c r="H34" s="2569"/>
      <c r="I34" s="2569"/>
      <c r="J34" s="428"/>
    </row>
    <row r="35" spans="1:21" s="416" customFormat="1" ht="25.9" customHeight="1">
      <c r="A35" s="415"/>
      <c r="B35" s="2569"/>
      <c r="C35" s="2569"/>
      <c r="D35" s="2569"/>
      <c r="E35" s="2569"/>
      <c r="F35" s="2569"/>
      <c r="G35" s="2569"/>
      <c r="H35" s="2569"/>
      <c r="I35" s="2569"/>
      <c r="J35" s="428"/>
    </row>
    <row r="36" spans="1:21" s="416" customFormat="1" ht="25.9" customHeight="1">
      <c r="A36" s="415"/>
      <c r="B36" s="2569"/>
      <c r="C36" s="2569"/>
      <c r="D36" s="2569"/>
      <c r="E36" s="2569"/>
      <c r="F36" s="2569"/>
      <c r="G36" s="2569"/>
      <c r="H36" s="2569"/>
      <c r="I36" s="2569"/>
    </row>
    <row r="37" spans="1:21" s="416" customFormat="1" ht="25.9" customHeight="1">
      <c r="A37" s="415"/>
      <c r="B37" s="2569"/>
      <c r="C37" s="2569"/>
      <c r="D37" s="2569"/>
      <c r="E37" s="2569"/>
      <c r="F37" s="2569"/>
      <c r="G37" s="2569"/>
      <c r="H37" s="2569"/>
      <c r="I37" s="2569"/>
      <c r="J37" s="435"/>
      <c r="K37" s="435"/>
      <c r="L37" s="435"/>
      <c r="M37" s="435"/>
      <c r="N37" s="435"/>
      <c r="O37" s="435"/>
      <c r="P37" s="435"/>
      <c r="Q37" s="435"/>
      <c r="R37" s="435"/>
      <c r="S37" s="435"/>
      <c r="T37" s="435"/>
      <c r="U37" s="435"/>
    </row>
    <row r="38" spans="1:21" s="416" customFormat="1" ht="23.25">
      <c r="B38" s="2569"/>
      <c r="C38" s="2569"/>
      <c r="D38" s="2569"/>
      <c r="E38" s="2569"/>
      <c r="F38" s="2569"/>
      <c r="G38" s="2569"/>
      <c r="H38" s="2569"/>
      <c r="I38" s="2569"/>
      <c r="J38" s="428"/>
      <c r="K38" s="428"/>
      <c r="L38" s="428"/>
      <c r="M38" s="428"/>
      <c r="N38" s="428"/>
      <c r="O38" s="428"/>
      <c r="P38" s="428"/>
      <c r="Q38" s="428"/>
      <c r="R38" s="428"/>
      <c r="S38" s="428"/>
      <c r="T38" s="428"/>
      <c r="U38" s="428"/>
    </row>
    <row r="39" spans="1:21" s="416" customFormat="1">
      <c r="B39" s="2569"/>
      <c r="C39" s="2569"/>
      <c r="D39" s="2569"/>
      <c r="E39" s="2569"/>
      <c r="F39" s="2569"/>
      <c r="G39" s="2569"/>
      <c r="H39" s="2569"/>
      <c r="I39" s="2569"/>
    </row>
    <row r="40" spans="1:21" s="416" customFormat="1">
      <c r="B40" s="2569"/>
      <c r="C40" s="2569"/>
      <c r="D40" s="2569"/>
      <c r="E40" s="2569"/>
      <c r="F40" s="2569"/>
      <c r="G40" s="2569"/>
      <c r="H40" s="2569"/>
      <c r="I40" s="2569"/>
    </row>
    <row r="41" spans="1:21" s="416" customFormat="1">
      <c r="B41" s="2569"/>
      <c r="C41" s="2569"/>
      <c r="D41" s="2569"/>
      <c r="E41" s="2569"/>
      <c r="F41" s="2569"/>
      <c r="G41" s="2569"/>
      <c r="H41" s="2569"/>
      <c r="I41" s="2569"/>
    </row>
    <row r="42" spans="1:21" s="416" customFormat="1">
      <c r="B42" s="2569"/>
      <c r="C42" s="2569"/>
      <c r="D42" s="2569"/>
      <c r="E42" s="2569"/>
      <c r="F42" s="2569"/>
      <c r="G42" s="2569"/>
      <c r="H42" s="2569"/>
      <c r="I42" s="2569"/>
    </row>
    <row r="43" spans="1:21" s="416" customFormat="1">
      <c r="B43" s="2569"/>
      <c r="C43" s="2569"/>
      <c r="D43" s="2569"/>
      <c r="E43" s="2569"/>
      <c r="F43" s="2569"/>
      <c r="G43" s="2569"/>
      <c r="H43" s="2569"/>
      <c r="I43" s="2569"/>
    </row>
    <row r="44" spans="1:21" s="416" customFormat="1">
      <c r="B44" s="2569"/>
      <c r="C44" s="2569"/>
      <c r="D44" s="2569"/>
      <c r="E44" s="2569"/>
      <c r="F44" s="2569"/>
      <c r="G44" s="2569"/>
      <c r="H44" s="2569"/>
      <c r="I44" s="2569"/>
    </row>
    <row r="45" spans="1:21" s="416" customFormat="1">
      <c r="B45" s="2569"/>
      <c r="C45" s="2569"/>
      <c r="D45" s="2569"/>
      <c r="E45" s="2569"/>
      <c r="F45" s="2569"/>
      <c r="G45" s="2569"/>
      <c r="H45" s="2569"/>
      <c r="I45" s="2569"/>
    </row>
    <row r="46" spans="1:21" s="416" customFormat="1">
      <c r="B46" s="2569"/>
      <c r="C46" s="2569"/>
      <c r="D46" s="2569"/>
      <c r="E46" s="2569"/>
      <c r="F46" s="2569"/>
      <c r="G46" s="2569"/>
      <c r="H46" s="2569"/>
      <c r="I46" s="2569"/>
    </row>
    <row r="47" spans="1:21" s="416" customFormat="1">
      <c r="B47" s="2569"/>
      <c r="C47" s="2569"/>
      <c r="D47" s="2569"/>
      <c r="E47" s="2569"/>
      <c r="F47" s="2569"/>
      <c r="G47" s="2569"/>
      <c r="H47" s="2569"/>
      <c r="I47" s="2569"/>
    </row>
    <row r="48" spans="1:21" s="416" customFormat="1">
      <c r="B48" s="2569"/>
      <c r="C48" s="2569"/>
      <c r="D48" s="2569"/>
      <c r="E48" s="2569"/>
      <c r="F48" s="2569"/>
      <c r="G48" s="2569"/>
      <c r="H48" s="2569"/>
      <c r="I48" s="2569"/>
    </row>
    <row r="49" spans="1:22" s="416" customFormat="1">
      <c r="B49" s="2569"/>
      <c r="C49" s="2569"/>
      <c r="D49" s="2569"/>
      <c r="E49" s="2569"/>
      <c r="F49" s="2569"/>
      <c r="G49" s="2569"/>
      <c r="H49" s="2569"/>
      <c r="I49" s="2569"/>
    </row>
    <row r="50" spans="1:22" s="416" customFormat="1">
      <c r="B50" s="2569"/>
      <c r="C50" s="2569"/>
      <c r="D50" s="2569"/>
      <c r="E50" s="2569"/>
      <c r="F50" s="2569"/>
      <c r="G50" s="2569"/>
      <c r="H50" s="2569"/>
      <c r="I50" s="2569"/>
    </row>
    <row r="51" spans="1:22" s="416" customFormat="1">
      <c r="B51" s="2569"/>
      <c r="C51" s="2569"/>
      <c r="D51" s="2569"/>
      <c r="E51" s="2569"/>
      <c r="F51" s="2569"/>
      <c r="G51" s="2569"/>
      <c r="H51" s="2569"/>
      <c r="I51" s="2569"/>
    </row>
    <row r="52" spans="1:22" s="416" customFormat="1"/>
    <row r="53" spans="1:22" s="416" customFormat="1"/>
    <row r="54" spans="1:22" s="416" customFormat="1"/>
    <row r="55" spans="1:22" s="416" customFormat="1"/>
    <row r="56" spans="1:22" s="416" customFormat="1"/>
    <row r="57" spans="1:22" s="416" customFormat="1"/>
    <row r="58" spans="1:22" s="416" customFormat="1"/>
    <row r="59" spans="1:22" s="416" customFormat="1"/>
    <row r="60" spans="1:22" s="416" customFormat="1"/>
    <row r="61" spans="1:22" s="416" customFormat="1"/>
    <row r="62" spans="1:22">
      <c r="A62" s="420"/>
      <c r="B62" s="420"/>
      <c r="C62" s="420"/>
      <c r="D62" s="420"/>
      <c r="E62" s="420"/>
      <c r="F62" s="420"/>
      <c r="G62" s="420"/>
      <c r="H62" s="436" t="s">
        <v>690</v>
      </c>
      <c r="I62" s="420"/>
      <c r="K62" s="420"/>
      <c r="L62" s="437" t="str">
        <f>$B$11</f>
        <v>INMOBILIARIA SERVIGESTION</v>
      </c>
      <c r="M62" s="420"/>
      <c r="N62" s="420"/>
      <c r="O62" s="420"/>
      <c r="P62" s="420"/>
      <c r="Q62" s="420"/>
      <c r="R62" s="420"/>
      <c r="S62" s="420"/>
      <c r="T62" s="420"/>
      <c r="U62" s="420"/>
      <c r="V62" s="420"/>
    </row>
    <row r="63" spans="1:22" ht="34.5">
      <c r="A63" s="420"/>
      <c r="B63" s="2268" t="s">
        <v>461</v>
      </c>
      <c r="C63" s="2268"/>
      <c r="D63" s="2268"/>
      <c r="E63" s="2268"/>
      <c r="F63" s="2268"/>
      <c r="G63" s="2268"/>
      <c r="H63" s="2268"/>
      <c r="I63" s="2268"/>
      <c r="J63" s="2268"/>
      <c r="K63" s="2268"/>
      <c r="L63" s="2268"/>
      <c r="M63" s="2268"/>
      <c r="N63" s="2268"/>
      <c r="O63" s="2268"/>
      <c r="P63" s="2268"/>
      <c r="Q63" s="2268"/>
      <c r="R63" s="2268"/>
      <c r="S63" s="2268"/>
      <c r="T63" s="2268"/>
      <c r="U63" s="2268"/>
      <c r="V63" s="420"/>
    </row>
    <row r="64" spans="1:22" ht="22.9" customHeight="1">
      <c r="A64" s="420"/>
      <c r="B64" s="2269" t="s">
        <v>885</v>
      </c>
      <c r="C64" s="2269"/>
      <c r="D64" s="2269"/>
      <c r="E64" s="2269"/>
      <c r="F64" s="2269"/>
      <c r="G64" s="2269"/>
      <c r="H64" s="2269"/>
      <c r="I64" s="2269"/>
      <c r="J64" s="2269"/>
      <c r="K64" s="2269"/>
      <c r="L64" s="2269"/>
      <c r="M64" s="2269"/>
      <c r="N64" s="2269"/>
      <c r="O64" s="2269"/>
      <c r="P64" s="2269"/>
      <c r="Q64" s="2269"/>
      <c r="R64" s="2269"/>
      <c r="S64" s="2269"/>
      <c r="T64" s="2269"/>
      <c r="U64" s="2269"/>
      <c r="V64" s="420"/>
    </row>
    <row r="65" spans="1:22" ht="16.149999999999999" customHeight="1">
      <c r="A65" s="420"/>
      <c r="B65" s="757"/>
      <c r="C65" s="757"/>
      <c r="D65" s="757"/>
      <c r="E65" s="757"/>
      <c r="F65" s="757"/>
      <c r="G65" s="757"/>
      <c r="H65" s="757"/>
      <c r="I65" s="757"/>
      <c r="J65" s="757"/>
      <c r="K65" s="757"/>
      <c r="L65" s="757"/>
      <c r="M65" s="757"/>
      <c r="N65" s="757"/>
      <c r="O65" s="757"/>
      <c r="Q65" s="757"/>
      <c r="R65" s="757"/>
      <c r="S65" s="757"/>
      <c r="T65" s="757"/>
      <c r="U65" s="757"/>
      <c r="V65" s="420"/>
    </row>
    <row r="66" spans="1:22" ht="18.399999999999999" customHeight="1">
      <c r="A66" s="429"/>
      <c r="B66" s="2251"/>
      <c r="C66" s="2251"/>
      <c r="D66" s="2251"/>
      <c r="E66" s="2251"/>
      <c r="F66" s="2251"/>
      <c r="G66" s="2251"/>
      <c r="H66" s="2251"/>
      <c r="I66" s="2251"/>
      <c r="J66" s="2251"/>
      <c r="K66" s="2251"/>
      <c r="L66" s="2251"/>
      <c r="M66" s="2251"/>
      <c r="N66" s="2251"/>
      <c r="O66" s="2251"/>
      <c r="P66" s="2251"/>
      <c r="Q66" s="2251"/>
      <c r="R66" s="2251"/>
      <c r="S66" s="2251"/>
      <c r="T66" s="2251"/>
      <c r="U66" s="2251"/>
      <c r="V66" s="429"/>
    </row>
    <row r="67" spans="1:22" ht="23.25">
      <c r="A67" s="420"/>
      <c r="B67" s="757"/>
      <c r="C67" s="757"/>
      <c r="D67" s="757"/>
      <c r="E67" s="757"/>
      <c r="F67" s="757"/>
      <c r="G67" s="757"/>
      <c r="H67" s="757"/>
      <c r="I67" s="757"/>
      <c r="J67" s="757"/>
      <c r="K67" s="757"/>
      <c r="L67" s="757"/>
      <c r="M67" s="757"/>
      <c r="N67" s="757"/>
      <c r="O67" s="757"/>
      <c r="P67" s="757"/>
      <c r="Q67" s="757"/>
      <c r="R67" s="757"/>
      <c r="S67" s="757"/>
      <c r="T67" s="757"/>
      <c r="U67" s="757"/>
      <c r="V67" s="420"/>
    </row>
    <row r="68" spans="1:22" ht="23.25" customHeight="1">
      <c r="A68" s="420"/>
      <c r="B68" s="2325" t="s">
        <v>886</v>
      </c>
      <c r="C68" s="2326"/>
      <c r="D68" s="2326"/>
      <c r="E68" s="2326"/>
      <c r="F68" s="2326"/>
      <c r="G68" s="2326"/>
      <c r="H68" s="2326"/>
      <c r="I68" s="2326"/>
      <c r="J68" s="2326"/>
      <c r="K68" s="2326"/>
      <c r="L68" s="745"/>
      <c r="M68" s="745"/>
      <c r="N68" s="745"/>
      <c r="O68" s="745"/>
      <c r="P68" s="745"/>
      <c r="Q68" s="745"/>
      <c r="R68" s="745"/>
      <c r="S68" s="745"/>
      <c r="T68" s="745"/>
      <c r="U68" s="439"/>
      <c r="V68" s="420"/>
    </row>
    <row r="69" spans="1:22" ht="23.25" customHeight="1">
      <c r="A69" s="420"/>
      <c r="B69" s="2297" t="s">
        <v>887</v>
      </c>
      <c r="C69" s="2288"/>
      <c r="D69" s="2288"/>
      <c r="E69" s="2288"/>
      <c r="F69" s="2288"/>
      <c r="G69" s="2288"/>
      <c r="H69" s="2288"/>
      <c r="I69" s="2288"/>
      <c r="J69" s="2288"/>
      <c r="K69" s="2288"/>
      <c r="L69" s="2288"/>
      <c r="M69" s="2288"/>
      <c r="N69" s="2288"/>
      <c r="O69" s="2288"/>
      <c r="P69" s="2288"/>
      <c r="Q69" s="2288"/>
      <c r="R69" s="2288"/>
      <c r="S69" s="2288"/>
      <c r="T69" s="2288"/>
      <c r="U69" s="2298"/>
      <c r="V69" s="420"/>
    </row>
    <row r="70" spans="1:22" ht="63" customHeight="1">
      <c r="A70" s="420"/>
      <c r="B70" s="742"/>
      <c r="C70" s="441"/>
      <c r="D70" s="2437" t="s">
        <v>889</v>
      </c>
      <c r="E70" s="2437"/>
      <c r="F70" s="2437"/>
      <c r="G70" s="2437"/>
      <c r="H70" s="2437"/>
      <c r="I70" s="441"/>
      <c r="J70" s="2437" t="s">
        <v>888</v>
      </c>
      <c r="K70" s="2437"/>
      <c r="L70" s="2437"/>
      <c r="M70" s="2437"/>
      <c r="N70" s="2437"/>
      <c r="O70" s="441"/>
      <c r="P70" s="2437" t="s">
        <v>890</v>
      </c>
      <c r="Q70" s="2437"/>
      <c r="R70" s="2437"/>
      <c r="S70" s="2437"/>
      <c r="T70" s="2437"/>
      <c r="U70" s="442"/>
      <c r="V70" s="420"/>
    </row>
    <row r="71" spans="1:22" s="416" customFormat="1" ht="13.15" customHeight="1">
      <c r="A71" s="415"/>
      <c r="B71" s="443"/>
      <c r="C71" s="444"/>
      <c r="D71" s="2436" t="s">
        <v>962</v>
      </c>
      <c r="E71" s="2436"/>
      <c r="F71" s="2436"/>
      <c r="G71" s="2436"/>
      <c r="H71" s="2436"/>
      <c r="I71" s="444"/>
      <c r="J71" s="2436" t="s">
        <v>963</v>
      </c>
      <c r="K71" s="2436"/>
      <c r="L71" s="2436"/>
      <c r="M71" s="2436"/>
      <c r="N71" s="2436"/>
      <c r="O71" s="444"/>
      <c r="P71" s="2436" t="s">
        <v>964</v>
      </c>
      <c r="Q71" s="2436"/>
      <c r="R71" s="2436"/>
      <c r="S71" s="2436"/>
      <c r="T71" s="2436"/>
      <c r="U71" s="445"/>
    </row>
    <row r="72" spans="1:22" s="416" customFormat="1" ht="13.15" customHeight="1">
      <c r="A72" s="415"/>
      <c r="B72" s="443"/>
      <c r="C72" s="444"/>
      <c r="D72" s="2436"/>
      <c r="E72" s="2436"/>
      <c r="F72" s="2436"/>
      <c r="G72" s="2436"/>
      <c r="H72" s="2436"/>
      <c r="I72" s="444"/>
      <c r="J72" s="2436"/>
      <c r="K72" s="2436"/>
      <c r="L72" s="2436"/>
      <c r="M72" s="2436"/>
      <c r="N72" s="2436"/>
      <c r="O72" s="444"/>
      <c r="P72" s="2436"/>
      <c r="Q72" s="2436"/>
      <c r="R72" s="2436"/>
      <c r="S72" s="2436"/>
      <c r="T72" s="2436"/>
      <c r="U72" s="445"/>
    </row>
    <row r="73" spans="1:22" s="416" customFormat="1" ht="13.15" customHeight="1">
      <c r="A73" s="415"/>
      <c r="B73" s="443"/>
      <c r="C73" s="444"/>
      <c r="D73" s="2436"/>
      <c r="E73" s="2436"/>
      <c r="F73" s="2436"/>
      <c r="G73" s="2436"/>
      <c r="H73" s="2436"/>
      <c r="I73" s="444"/>
      <c r="J73" s="2436"/>
      <c r="K73" s="2436"/>
      <c r="L73" s="2436"/>
      <c r="M73" s="2436"/>
      <c r="N73" s="2436"/>
      <c r="O73" s="444"/>
      <c r="P73" s="2436"/>
      <c r="Q73" s="2436"/>
      <c r="R73" s="2436"/>
      <c r="S73" s="2436"/>
      <c r="T73" s="2436"/>
      <c r="U73" s="445"/>
    </row>
    <row r="74" spans="1:22" s="416" customFormat="1" ht="25.9" customHeight="1">
      <c r="A74" s="415"/>
      <c r="B74" s="446"/>
      <c r="C74" s="444"/>
      <c r="D74" s="2436"/>
      <c r="E74" s="2436"/>
      <c r="F74" s="2436"/>
      <c r="G74" s="2436"/>
      <c r="H74" s="2436"/>
      <c r="I74" s="444"/>
      <c r="J74" s="2436"/>
      <c r="K74" s="2436"/>
      <c r="L74" s="2436"/>
      <c r="M74" s="2436"/>
      <c r="N74" s="2436"/>
      <c r="O74" s="444"/>
      <c r="P74" s="2436"/>
      <c r="Q74" s="2436"/>
      <c r="R74" s="2436"/>
      <c r="S74" s="2436"/>
      <c r="T74" s="2436"/>
      <c r="U74" s="445"/>
    </row>
    <row r="75" spans="1:22" s="416" customFormat="1" ht="25.9" customHeight="1">
      <c r="A75" s="415"/>
      <c r="B75" s="447"/>
      <c r="C75" s="448"/>
      <c r="D75" s="2436"/>
      <c r="E75" s="2436"/>
      <c r="F75" s="2436"/>
      <c r="G75" s="2436"/>
      <c r="H75" s="2436"/>
      <c r="I75" s="449"/>
      <c r="J75" s="2436"/>
      <c r="K75" s="2436"/>
      <c r="L75" s="2436"/>
      <c r="M75" s="2436"/>
      <c r="N75" s="2436"/>
      <c r="O75" s="444"/>
      <c r="P75" s="2436"/>
      <c r="Q75" s="2436"/>
      <c r="R75" s="2436"/>
      <c r="S75" s="2436"/>
      <c r="T75" s="2436"/>
      <c r="U75" s="445"/>
    </row>
    <row r="76" spans="1:22" s="416" customFormat="1" ht="25.9" customHeight="1">
      <c r="A76" s="415"/>
      <c r="B76" s="447"/>
      <c r="C76" s="448"/>
      <c r="D76" s="2436"/>
      <c r="E76" s="2436"/>
      <c r="F76" s="2436"/>
      <c r="G76" s="2436"/>
      <c r="H76" s="2436"/>
      <c r="I76" s="449"/>
      <c r="J76" s="2436"/>
      <c r="K76" s="2436"/>
      <c r="L76" s="2436"/>
      <c r="M76" s="2436"/>
      <c r="N76" s="2436"/>
      <c r="O76" s="444"/>
      <c r="P76" s="2436"/>
      <c r="Q76" s="2436"/>
      <c r="R76" s="2436"/>
      <c r="S76" s="2436"/>
      <c r="T76" s="2436"/>
      <c r="U76" s="445"/>
    </row>
    <row r="77" spans="1:22" s="416" customFormat="1" ht="25.9" customHeight="1">
      <c r="A77" s="415"/>
      <c r="B77" s="447"/>
      <c r="C77" s="448"/>
      <c r="D77" s="2436"/>
      <c r="E77" s="2436"/>
      <c r="F77" s="2436"/>
      <c r="G77" s="2436"/>
      <c r="H77" s="2436"/>
      <c r="I77" s="449"/>
      <c r="J77" s="2436"/>
      <c r="K77" s="2436"/>
      <c r="L77" s="2436"/>
      <c r="M77" s="2436"/>
      <c r="N77" s="2436"/>
      <c r="O77" s="444"/>
      <c r="P77" s="2436"/>
      <c r="Q77" s="2436"/>
      <c r="R77" s="2436"/>
      <c r="S77" s="2436"/>
      <c r="T77" s="2436"/>
      <c r="U77" s="445"/>
    </row>
    <row r="78" spans="1:22" ht="25.9" customHeight="1">
      <c r="A78" s="420"/>
      <c r="B78" s="447"/>
      <c r="C78" s="450"/>
      <c r="D78" s="2436"/>
      <c r="E78" s="2436"/>
      <c r="F78" s="2436"/>
      <c r="G78" s="2436"/>
      <c r="H78" s="2436"/>
      <c r="I78" s="449"/>
      <c r="J78" s="2436"/>
      <c r="K78" s="2436"/>
      <c r="L78" s="2436"/>
      <c r="M78" s="2436"/>
      <c r="N78" s="2436"/>
      <c r="O78" s="441"/>
      <c r="P78" s="2436"/>
      <c r="Q78" s="2436"/>
      <c r="R78" s="2436"/>
      <c r="S78" s="2436"/>
      <c r="T78" s="2436"/>
      <c r="U78" s="451"/>
      <c r="V78" s="420"/>
    </row>
    <row r="79" spans="1:22" ht="25.9" customHeight="1">
      <c r="A79" s="420"/>
      <c r="B79" s="447"/>
      <c r="C79" s="452"/>
      <c r="D79" s="2436"/>
      <c r="E79" s="2436"/>
      <c r="F79" s="2436"/>
      <c r="G79" s="2436"/>
      <c r="H79" s="2436"/>
      <c r="I79" s="449"/>
      <c r="J79" s="2436"/>
      <c r="K79" s="2436"/>
      <c r="L79" s="2436"/>
      <c r="M79" s="2436"/>
      <c r="N79" s="2436"/>
      <c r="O79" s="453"/>
      <c r="P79" s="2436"/>
      <c r="Q79" s="2436"/>
      <c r="R79" s="2436"/>
      <c r="S79" s="2436"/>
      <c r="T79" s="2436"/>
      <c r="U79" s="454"/>
      <c r="V79" s="420"/>
    </row>
    <row r="80" spans="1:22" ht="25.9" customHeight="1">
      <c r="A80" s="420"/>
      <c r="B80" s="455"/>
      <c r="C80" s="456"/>
      <c r="D80" s="457"/>
      <c r="E80" s="458"/>
      <c r="F80" s="458"/>
      <c r="G80" s="458"/>
      <c r="H80" s="458"/>
      <c r="I80" s="458"/>
      <c r="J80" s="459"/>
      <c r="K80" s="459"/>
      <c r="L80" s="459"/>
      <c r="M80" s="459"/>
      <c r="N80" s="459"/>
      <c r="O80" s="459"/>
      <c r="P80" s="459"/>
      <c r="Q80" s="459"/>
      <c r="R80" s="459"/>
      <c r="S80" s="459"/>
      <c r="T80" s="459"/>
      <c r="U80" s="460"/>
      <c r="V80" s="420"/>
    </row>
    <row r="81" spans="1:22" ht="21" customHeight="1">
      <c r="A81" s="420"/>
      <c r="C81" s="428"/>
      <c r="D81" s="428"/>
      <c r="E81" s="428"/>
      <c r="F81" s="428"/>
      <c r="G81" s="428"/>
      <c r="H81" s="428"/>
      <c r="I81" s="428"/>
      <c r="J81" s="428"/>
      <c r="K81" s="428"/>
      <c r="L81" s="428"/>
      <c r="M81" s="428"/>
      <c r="N81" s="428"/>
      <c r="O81" s="428"/>
      <c r="P81" s="428"/>
      <c r="Q81" s="428"/>
      <c r="R81" s="428"/>
      <c r="S81" s="428"/>
      <c r="T81" s="428"/>
      <c r="U81" s="428"/>
      <c r="V81" s="420"/>
    </row>
    <row r="82" spans="1:22" ht="23.25" customHeight="1">
      <c r="A82" s="420"/>
      <c r="B82" s="2325" t="s">
        <v>913</v>
      </c>
      <c r="C82" s="2326"/>
      <c r="D82" s="2326"/>
      <c r="E82" s="2326"/>
      <c r="F82" s="2326"/>
      <c r="G82" s="2326"/>
      <c r="H82" s="2326"/>
      <c r="I82" s="2326"/>
      <c r="J82" s="2326"/>
      <c r="K82" s="2326"/>
      <c r="L82" s="745"/>
      <c r="M82" s="745"/>
      <c r="N82" s="745"/>
      <c r="O82" s="745"/>
      <c r="P82" s="745"/>
      <c r="Q82" s="745"/>
      <c r="R82" s="745"/>
      <c r="S82" s="745"/>
      <c r="T82" s="745"/>
      <c r="U82" s="439"/>
      <c r="V82" s="420"/>
    </row>
    <row r="83" spans="1:22" ht="23.25" customHeight="1">
      <c r="A83" s="420"/>
      <c r="B83" s="2297" t="s">
        <v>914</v>
      </c>
      <c r="C83" s="2288"/>
      <c r="D83" s="2288"/>
      <c r="E83" s="2288"/>
      <c r="F83" s="2288"/>
      <c r="G83" s="2288"/>
      <c r="H83" s="2288"/>
      <c r="I83" s="2288"/>
      <c r="J83" s="2288"/>
      <c r="K83" s="2288"/>
      <c r="L83" s="2288"/>
      <c r="M83" s="2288"/>
      <c r="N83" s="2288"/>
      <c r="O83" s="2288"/>
      <c r="P83" s="2288"/>
      <c r="Q83" s="2288"/>
      <c r="R83" s="2288"/>
      <c r="S83" s="2288"/>
      <c r="T83" s="2288"/>
      <c r="U83" s="2298"/>
      <c r="V83" s="420"/>
    </row>
    <row r="84" spans="1:22" ht="63" customHeight="1">
      <c r="A84" s="420"/>
      <c r="B84" s="742"/>
      <c r="C84" s="441"/>
      <c r="D84" s="2437" t="s">
        <v>915</v>
      </c>
      <c r="E84" s="2437"/>
      <c r="F84" s="2437"/>
      <c r="G84" s="2437"/>
      <c r="H84" s="2437"/>
      <c r="I84" s="441"/>
      <c r="J84" s="2437" t="s">
        <v>924</v>
      </c>
      <c r="K84" s="2437"/>
      <c r="L84" s="2437"/>
      <c r="M84" s="2437"/>
      <c r="N84" s="2437"/>
      <c r="O84" s="441"/>
      <c r="P84" s="2437" t="s">
        <v>916</v>
      </c>
      <c r="Q84" s="2437"/>
      <c r="R84" s="2437"/>
      <c r="S84" s="2437"/>
      <c r="T84" s="2437"/>
      <c r="U84" s="442"/>
      <c r="V84" s="420"/>
    </row>
    <row r="85" spans="1:22" s="416" customFormat="1" ht="13.15" customHeight="1">
      <c r="A85" s="415"/>
      <c r="B85" s="443"/>
      <c r="C85" s="444"/>
      <c r="D85" s="2436" t="s">
        <v>965</v>
      </c>
      <c r="E85" s="2436"/>
      <c r="F85" s="2436"/>
      <c r="G85" s="2436"/>
      <c r="H85" s="2436"/>
      <c r="I85" s="444"/>
      <c r="J85" s="2436" t="s">
        <v>966</v>
      </c>
      <c r="K85" s="2436"/>
      <c r="L85" s="2436"/>
      <c r="M85" s="2436"/>
      <c r="N85" s="2436"/>
      <c r="O85" s="444"/>
      <c r="P85" s="2436" t="s">
        <v>967</v>
      </c>
      <c r="Q85" s="2436"/>
      <c r="R85" s="2436"/>
      <c r="S85" s="2436"/>
      <c r="T85" s="2436"/>
      <c r="U85" s="445"/>
    </row>
    <row r="86" spans="1:22" s="416" customFormat="1" ht="13.15" customHeight="1">
      <c r="A86" s="415"/>
      <c r="B86" s="443"/>
      <c r="C86" s="444"/>
      <c r="D86" s="2436"/>
      <c r="E86" s="2436"/>
      <c r="F86" s="2436"/>
      <c r="G86" s="2436"/>
      <c r="H86" s="2436"/>
      <c r="I86" s="444"/>
      <c r="J86" s="2436"/>
      <c r="K86" s="2436"/>
      <c r="L86" s="2436"/>
      <c r="M86" s="2436"/>
      <c r="N86" s="2436"/>
      <c r="O86" s="444"/>
      <c r="P86" s="2436"/>
      <c r="Q86" s="2436"/>
      <c r="R86" s="2436"/>
      <c r="S86" s="2436"/>
      <c r="T86" s="2436"/>
      <c r="U86" s="445"/>
    </row>
    <row r="87" spans="1:22" s="416" customFormat="1" ht="13.15" customHeight="1">
      <c r="A87" s="415"/>
      <c r="B87" s="443"/>
      <c r="C87" s="444"/>
      <c r="D87" s="2436"/>
      <c r="E87" s="2436"/>
      <c r="F87" s="2436"/>
      <c r="G87" s="2436"/>
      <c r="H87" s="2436"/>
      <c r="I87" s="444"/>
      <c r="J87" s="2436"/>
      <c r="K87" s="2436"/>
      <c r="L87" s="2436"/>
      <c r="M87" s="2436"/>
      <c r="N87" s="2436"/>
      <c r="O87" s="444"/>
      <c r="P87" s="2436"/>
      <c r="Q87" s="2436"/>
      <c r="R87" s="2436"/>
      <c r="S87" s="2436"/>
      <c r="T87" s="2436"/>
      <c r="U87" s="445"/>
    </row>
    <row r="88" spans="1:22" s="416" customFormat="1" ht="25.9" customHeight="1">
      <c r="A88" s="415"/>
      <c r="B88" s="446"/>
      <c r="C88" s="444"/>
      <c r="D88" s="2436"/>
      <c r="E88" s="2436"/>
      <c r="F88" s="2436"/>
      <c r="G88" s="2436"/>
      <c r="H88" s="2436"/>
      <c r="I88" s="444"/>
      <c r="J88" s="2436"/>
      <c r="K88" s="2436"/>
      <c r="L88" s="2436"/>
      <c r="M88" s="2436"/>
      <c r="N88" s="2436"/>
      <c r="O88" s="444"/>
      <c r="P88" s="2436"/>
      <c r="Q88" s="2436"/>
      <c r="R88" s="2436"/>
      <c r="S88" s="2436"/>
      <c r="T88" s="2436"/>
      <c r="U88" s="445"/>
    </row>
    <row r="89" spans="1:22" s="416" customFormat="1" ht="25.9" customHeight="1">
      <c r="A89" s="415"/>
      <c r="B89" s="447"/>
      <c r="C89" s="448"/>
      <c r="D89" s="2436"/>
      <c r="E89" s="2436"/>
      <c r="F89" s="2436"/>
      <c r="G89" s="2436"/>
      <c r="H89" s="2436"/>
      <c r="I89" s="449"/>
      <c r="J89" s="2436"/>
      <c r="K89" s="2436"/>
      <c r="L89" s="2436"/>
      <c r="M89" s="2436"/>
      <c r="N89" s="2436"/>
      <c r="O89" s="444"/>
      <c r="P89" s="2436"/>
      <c r="Q89" s="2436"/>
      <c r="R89" s="2436"/>
      <c r="S89" s="2436"/>
      <c r="T89" s="2436"/>
      <c r="U89" s="445"/>
    </row>
    <row r="90" spans="1:22" s="416" customFormat="1" ht="25.9" customHeight="1">
      <c r="A90" s="415"/>
      <c r="B90" s="461"/>
      <c r="C90" s="462"/>
      <c r="D90" s="2436"/>
      <c r="E90" s="2436"/>
      <c r="F90" s="2436"/>
      <c r="G90" s="2436"/>
      <c r="H90" s="2436"/>
      <c r="I90" s="462"/>
      <c r="J90" s="2436"/>
      <c r="K90" s="2436"/>
      <c r="L90" s="2436"/>
      <c r="M90" s="2436"/>
      <c r="N90" s="2436"/>
      <c r="O90" s="444"/>
      <c r="P90" s="2436"/>
      <c r="Q90" s="2436"/>
      <c r="R90" s="2436"/>
      <c r="S90" s="2436"/>
      <c r="T90" s="2436"/>
      <c r="U90" s="445"/>
    </row>
    <row r="91" spans="1:22" s="416" customFormat="1" ht="25.9" customHeight="1">
      <c r="A91" s="415"/>
      <c r="B91" s="461"/>
      <c r="C91" s="462"/>
      <c r="D91" s="2436"/>
      <c r="E91" s="2436"/>
      <c r="F91" s="2436"/>
      <c r="G91" s="2436"/>
      <c r="H91" s="2436"/>
      <c r="I91" s="462"/>
      <c r="J91" s="2436"/>
      <c r="K91" s="2436"/>
      <c r="L91" s="2436"/>
      <c r="M91" s="2436"/>
      <c r="N91" s="2436"/>
      <c r="O91" s="444"/>
      <c r="P91" s="2436"/>
      <c r="Q91" s="2436"/>
      <c r="R91" s="2436"/>
      <c r="S91" s="2436"/>
      <c r="T91" s="2436"/>
      <c r="U91" s="445"/>
    </row>
    <row r="92" spans="1:22" ht="25.9" customHeight="1">
      <c r="A92" s="420"/>
      <c r="B92" s="461"/>
      <c r="C92" s="462"/>
      <c r="D92" s="2436"/>
      <c r="E92" s="2436"/>
      <c r="F92" s="2436"/>
      <c r="G92" s="2436"/>
      <c r="H92" s="2436"/>
      <c r="I92" s="462"/>
      <c r="J92" s="2436"/>
      <c r="K92" s="2436"/>
      <c r="L92" s="2436"/>
      <c r="M92" s="2436"/>
      <c r="N92" s="2436"/>
      <c r="O92" s="441"/>
      <c r="P92" s="2436"/>
      <c r="Q92" s="2436"/>
      <c r="R92" s="2436"/>
      <c r="S92" s="2436"/>
      <c r="T92" s="2436"/>
      <c r="U92" s="451"/>
      <c r="V92" s="420"/>
    </row>
    <row r="93" spans="1:22" ht="13.9" customHeight="1">
      <c r="A93" s="420"/>
      <c r="B93" s="461"/>
      <c r="C93" s="462"/>
      <c r="D93" s="2436"/>
      <c r="E93" s="2436"/>
      <c r="F93" s="2436"/>
      <c r="G93" s="2436"/>
      <c r="H93" s="2436"/>
      <c r="I93" s="462"/>
      <c r="J93" s="2436"/>
      <c r="K93" s="2436"/>
      <c r="L93" s="2436"/>
      <c r="M93" s="2436"/>
      <c r="N93" s="2436"/>
      <c r="O93" s="453"/>
      <c r="P93" s="2436"/>
      <c r="Q93" s="2436"/>
      <c r="R93" s="2436"/>
      <c r="S93" s="2436"/>
      <c r="T93" s="2436"/>
      <c r="U93" s="454"/>
      <c r="V93" s="420"/>
    </row>
    <row r="94" spans="1:22" ht="25.9" customHeight="1">
      <c r="A94" s="420"/>
      <c r="B94" s="463"/>
      <c r="C94" s="464"/>
      <c r="D94" s="464"/>
      <c r="E94" s="464"/>
      <c r="F94" s="464"/>
      <c r="G94" s="464"/>
      <c r="H94" s="464"/>
      <c r="I94" s="464"/>
      <c r="J94" s="459"/>
      <c r="K94" s="459"/>
      <c r="L94" s="459"/>
      <c r="M94" s="459"/>
      <c r="N94" s="459"/>
      <c r="O94" s="459"/>
      <c r="P94" s="459"/>
      <c r="Q94" s="459"/>
      <c r="R94" s="459"/>
      <c r="S94" s="459"/>
      <c r="T94" s="459"/>
      <c r="U94" s="460"/>
      <c r="V94" s="420"/>
    </row>
    <row r="95" spans="1:22" ht="33" customHeight="1">
      <c r="A95" s="420"/>
      <c r="B95" s="465"/>
      <c r="C95" s="465"/>
      <c r="D95" s="465"/>
      <c r="E95" s="465"/>
      <c r="F95" s="465"/>
      <c r="G95" s="465"/>
      <c r="H95" s="465"/>
      <c r="I95" s="465"/>
      <c r="J95" s="428"/>
      <c r="K95" s="428"/>
      <c r="L95" s="428"/>
      <c r="M95" s="428"/>
      <c r="N95" s="428"/>
      <c r="O95" s="428"/>
      <c r="P95" s="428"/>
      <c r="Q95" s="428"/>
      <c r="R95" s="428"/>
      <c r="S95" s="428"/>
      <c r="T95" s="428"/>
      <c r="U95" s="428"/>
      <c r="V95" s="420"/>
    </row>
    <row r="96" spans="1:22" ht="23.25" customHeight="1">
      <c r="A96" s="420"/>
      <c r="B96" s="2325" t="s">
        <v>917</v>
      </c>
      <c r="C96" s="2326"/>
      <c r="D96" s="2326"/>
      <c r="E96" s="2326"/>
      <c r="F96" s="2326"/>
      <c r="G96" s="2326"/>
      <c r="H96" s="2326"/>
      <c r="I96" s="2326"/>
      <c r="J96" s="2326"/>
      <c r="K96" s="2326"/>
      <c r="L96" s="745"/>
      <c r="M96" s="745"/>
      <c r="N96" s="745"/>
      <c r="O96" s="745"/>
      <c r="P96" s="745"/>
      <c r="Q96" s="745"/>
      <c r="R96" s="745"/>
      <c r="S96" s="745"/>
      <c r="T96" s="745"/>
      <c r="U96" s="439"/>
      <c r="V96" s="420"/>
    </row>
    <row r="97" spans="1:22" ht="23.25" customHeight="1">
      <c r="A97" s="420"/>
      <c r="B97" s="2297" t="s">
        <v>918</v>
      </c>
      <c r="C97" s="2288"/>
      <c r="D97" s="2288"/>
      <c r="E97" s="2288"/>
      <c r="F97" s="2288"/>
      <c r="G97" s="2288"/>
      <c r="H97" s="2288"/>
      <c r="I97" s="2288"/>
      <c r="J97" s="2288"/>
      <c r="K97" s="2288"/>
      <c r="L97" s="2288"/>
      <c r="M97" s="2288"/>
      <c r="N97" s="2288"/>
      <c r="O97" s="2288"/>
      <c r="P97" s="2288"/>
      <c r="Q97" s="2288"/>
      <c r="R97" s="2288"/>
      <c r="S97" s="2288"/>
      <c r="T97" s="2288"/>
      <c r="U97" s="2298"/>
      <c r="V97" s="420"/>
    </row>
    <row r="98" spans="1:22" ht="33" customHeight="1">
      <c r="A98" s="420"/>
      <c r="B98" s="2297" t="s">
        <v>919</v>
      </c>
      <c r="C98" s="2288"/>
      <c r="D98" s="2288"/>
      <c r="E98" s="2288"/>
      <c r="F98" s="2288"/>
      <c r="G98" s="2288"/>
      <c r="H98" s="2288"/>
      <c r="I98" s="2288"/>
      <c r="J98" s="2288"/>
      <c r="K98" s="2288"/>
      <c r="L98" s="2288"/>
      <c r="M98" s="2288"/>
      <c r="N98" s="2288"/>
      <c r="O98" s="2288"/>
      <c r="P98" s="2288"/>
      <c r="Q98" s="2288"/>
      <c r="R98" s="2288"/>
      <c r="S98" s="2288"/>
      <c r="T98" s="2288"/>
      <c r="U98" s="2298"/>
      <c r="V98" s="420"/>
    </row>
    <row r="99" spans="1:22" ht="39" customHeight="1">
      <c r="A99" s="420"/>
      <c r="B99" s="466"/>
      <c r="C99" s="441"/>
      <c r="D99" s="2437" t="s">
        <v>920</v>
      </c>
      <c r="E99" s="2437"/>
      <c r="F99" s="2437"/>
      <c r="G99" s="2437"/>
      <c r="H99" s="2437"/>
      <c r="I99" s="441"/>
      <c r="J99" s="2437" t="s">
        <v>921</v>
      </c>
      <c r="K99" s="2437"/>
      <c r="L99" s="2437"/>
      <c r="M99" s="2437"/>
      <c r="N99" s="2437"/>
      <c r="O99" s="441"/>
      <c r="P99" s="2437" t="s">
        <v>922</v>
      </c>
      <c r="Q99" s="2437"/>
      <c r="R99" s="2437"/>
      <c r="S99" s="2437"/>
      <c r="T99" s="2437"/>
      <c r="U99" s="451"/>
      <c r="V99" s="420"/>
    </row>
    <row r="100" spans="1:22" s="416" customFormat="1" ht="13.15" customHeight="1">
      <c r="A100" s="415"/>
      <c r="B100" s="443"/>
      <c r="C100" s="444"/>
      <c r="D100" s="2436" t="s">
        <v>968</v>
      </c>
      <c r="E100" s="2436"/>
      <c r="F100" s="2436"/>
      <c r="G100" s="2436"/>
      <c r="H100" s="2436"/>
      <c r="I100" s="444"/>
      <c r="J100" s="2436" t="s">
        <v>969</v>
      </c>
      <c r="K100" s="2436"/>
      <c r="L100" s="2436"/>
      <c r="M100" s="2436"/>
      <c r="N100" s="2436"/>
      <c r="O100" s="444"/>
      <c r="P100" s="2438" t="s">
        <v>1003</v>
      </c>
      <c r="Q100" s="2438"/>
      <c r="R100" s="2438"/>
      <c r="S100" s="2438"/>
      <c r="T100" s="2438"/>
      <c r="U100" s="445"/>
    </row>
    <row r="101" spans="1:22" s="416" customFormat="1" ht="13.15" customHeight="1">
      <c r="A101" s="415"/>
      <c r="B101" s="443"/>
      <c r="C101" s="444"/>
      <c r="D101" s="2436"/>
      <c r="E101" s="2436"/>
      <c r="F101" s="2436"/>
      <c r="G101" s="2436"/>
      <c r="H101" s="2436"/>
      <c r="I101" s="444"/>
      <c r="J101" s="2436"/>
      <c r="K101" s="2436"/>
      <c r="L101" s="2436"/>
      <c r="M101" s="2436"/>
      <c r="N101" s="2436"/>
      <c r="O101" s="444"/>
      <c r="P101" s="2438"/>
      <c r="Q101" s="2438"/>
      <c r="R101" s="2438"/>
      <c r="S101" s="2438"/>
      <c r="T101" s="2438"/>
      <c r="U101" s="445"/>
    </row>
    <row r="102" spans="1:22" s="416" customFormat="1" ht="13.15" customHeight="1">
      <c r="A102" s="415"/>
      <c r="B102" s="443"/>
      <c r="C102" s="444"/>
      <c r="D102" s="2436"/>
      <c r="E102" s="2436"/>
      <c r="F102" s="2436"/>
      <c r="G102" s="2436"/>
      <c r="H102" s="2436"/>
      <c r="I102" s="444"/>
      <c r="J102" s="2436"/>
      <c r="K102" s="2436"/>
      <c r="L102" s="2436"/>
      <c r="M102" s="2436"/>
      <c r="N102" s="2436"/>
      <c r="O102" s="444"/>
      <c r="P102" s="2438"/>
      <c r="Q102" s="2438"/>
      <c r="R102" s="2438"/>
      <c r="S102" s="2438"/>
      <c r="T102" s="2438"/>
      <c r="U102" s="445"/>
    </row>
    <row r="103" spans="1:22" s="416" customFormat="1" ht="25.9" customHeight="1">
      <c r="A103" s="415"/>
      <c r="B103" s="446"/>
      <c r="C103" s="444"/>
      <c r="D103" s="2436"/>
      <c r="E103" s="2436"/>
      <c r="F103" s="2436"/>
      <c r="G103" s="2436"/>
      <c r="H103" s="2436"/>
      <c r="I103" s="444"/>
      <c r="J103" s="2436"/>
      <c r="K103" s="2436"/>
      <c r="L103" s="2436"/>
      <c r="M103" s="2436"/>
      <c r="N103" s="2436"/>
      <c r="O103" s="444"/>
      <c r="P103" s="2438"/>
      <c r="Q103" s="2438"/>
      <c r="R103" s="2438"/>
      <c r="S103" s="2438"/>
      <c r="T103" s="2438"/>
      <c r="U103" s="445"/>
    </row>
    <row r="104" spans="1:22" s="416" customFormat="1" ht="25.9" customHeight="1">
      <c r="A104" s="415"/>
      <c r="B104" s="447"/>
      <c r="C104" s="448"/>
      <c r="D104" s="2436"/>
      <c r="E104" s="2436"/>
      <c r="F104" s="2436"/>
      <c r="G104" s="2436"/>
      <c r="H104" s="2436"/>
      <c r="I104" s="449"/>
      <c r="J104" s="2436"/>
      <c r="K104" s="2436"/>
      <c r="L104" s="2436"/>
      <c r="M104" s="2436"/>
      <c r="N104" s="2436"/>
      <c r="O104" s="444"/>
      <c r="P104" s="2438"/>
      <c r="Q104" s="2438"/>
      <c r="R104" s="2438"/>
      <c r="S104" s="2438"/>
      <c r="T104" s="2438"/>
      <c r="U104" s="445"/>
    </row>
    <row r="105" spans="1:22" s="416" customFormat="1" ht="25.9" customHeight="1">
      <c r="A105" s="415"/>
      <c r="B105" s="461"/>
      <c r="C105" s="462"/>
      <c r="D105" s="2436"/>
      <c r="E105" s="2436"/>
      <c r="F105" s="2436"/>
      <c r="G105" s="2436"/>
      <c r="H105" s="2436"/>
      <c r="I105" s="462"/>
      <c r="J105" s="2436"/>
      <c r="K105" s="2436"/>
      <c r="L105" s="2436"/>
      <c r="M105" s="2436"/>
      <c r="N105" s="2436"/>
      <c r="O105" s="444"/>
      <c r="P105" s="2438"/>
      <c r="Q105" s="2438"/>
      <c r="R105" s="2438"/>
      <c r="S105" s="2438"/>
      <c r="T105" s="2438"/>
      <c r="U105" s="445"/>
    </row>
    <row r="106" spans="1:22" s="416" customFormat="1" ht="25.9" customHeight="1">
      <c r="A106" s="415"/>
      <c r="B106" s="461"/>
      <c r="C106" s="462"/>
      <c r="D106" s="2436"/>
      <c r="E106" s="2436"/>
      <c r="F106" s="2436"/>
      <c r="G106" s="2436"/>
      <c r="H106" s="2436"/>
      <c r="I106" s="462"/>
      <c r="J106" s="2436"/>
      <c r="K106" s="2436"/>
      <c r="L106" s="2436"/>
      <c r="M106" s="2436"/>
      <c r="N106" s="2436"/>
      <c r="O106" s="444"/>
      <c r="P106" s="2438"/>
      <c r="Q106" s="2438"/>
      <c r="R106" s="2438"/>
      <c r="S106" s="2438"/>
      <c r="T106" s="2438"/>
      <c r="U106" s="445"/>
    </row>
    <row r="107" spans="1:22" ht="25.9" customHeight="1">
      <c r="A107" s="420"/>
      <c r="B107" s="461"/>
      <c r="C107" s="462"/>
      <c r="D107" s="2436"/>
      <c r="E107" s="2436"/>
      <c r="F107" s="2436"/>
      <c r="G107" s="2436"/>
      <c r="H107" s="2436"/>
      <c r="I107" s="462"/>
      <c r="J107" s="2436"/>
      <c r="K107" s="2436"/>
      <c r="L107" s="2436"/>
      <c r="M107" s="2436"/>
      <c r="N107" s="2436"/>
      <c r="O107" s="441"/>
      <c r="P107" s="2438"/>
      <c r="Q107" s="2438"/>
      <c r="R107" s="2438"/>
      <c r="S107" s="2438"/>
      <c r="T107" s="2438"/>
      <c r="U107" s="451"/>
      <c r="V107" s="420"/>
    </row>
    <row r="108" spans="1:22" ht="25.9" customHeight="1">
      <c r="A108" s="420"/>
      <c r="B108" s="461"/>
      <c r="C108" s="462"/>
      <c r="D108" s="2436"/>
      <c r="E108" s="2436"/>
      <c r="F108" s="2436"/>
      <c r="G108" s="2436"/>
      <c r="H108" s="2436"/>
      <c r="I108" s="462"/>
      <c r="J108" s="2436"/>
      <c r="K108" s="2436"/>
      <c r="L108" s="2436"/>
      <c r="M108" s="2436"/>
      <c r="N108" s="2436"/>
      <c r="O108" s="453"/>
      <c r="P108" s="2438"/>
      <c r="Q108" s="2438"/>
      <c r="R108" s="2438"/>
      <c r="S108" s="2438"/>
      <c r="T108" s="2438"/>
      <c r="U108" s="454"/>
      <c r="V108" s="420"/>
    </row>
    <row r="109" spans="1:22" s="429" customFormat="1" ht="25.9" customHeight="1">
      <c r="A109" s="420"/>
      <c r="B109" s="461"/>
      <c r="C109" s="462"/>
      <c r="D109" s="467"/>
      <c r="E109" s="467"/>
      <c r="F109" s="467"/>
      <c r="G109" s="467"/>
      <c r="H109" s="467"/>
      <c r="I109" s="462"/>
      <c r="J109" s="467"/>
      <c r="K109" s="467"/>
      <c r="L109" s="467"/>
      <c r="M109" s="467"/>
      <c r="N109" s="467"/>
      <c r="O109" s="453"/>
      <c r="P109" s="2416" t="s">
        <v>923</v>
      </c>
      <c r="Q109" s="2416"/>
      <c r="R109" s="2416"/>
      <c r="S109" s="2416"/>
      <c r="T109" s="2416"/>
      <c r="U109" s="454"/>
      <c r="V109" s="420"/>
    </row>
    <row r="110" spans="1:22" s="429" customFormat="1" ht="25.9" customHeight="1">
      <c r="A110" s="420"/>
      <c r="B110" s="461"/>
      <c r="C110" s="462"/>
      <c r="D110" s="467"/>
      <c r="E110" s="467"/>
      <c r="F110" s="467"/>
      <c r="G110" s="467"/>
      <c r="H110" s="467"/>
      <c r="I110" s="462"/>
      <c r="J110" s="467"/>
      <c r="K110" s="467"/>
      <c r="L110" s="467"/>
      <c r="M110" s="467"/>
      <c r="N110" s="467"/>
      <c r="O110" s="453"/>
      <c r="P110" s="2416" t="s">
        <v>1005</v>
      </c>
      <c r="Q110" s="2416"/>
      <c r="R110" s="2416"/>
      <c r="S110" s="2416"/>
      <c r="T110" s="2416"/>
      <c r="U110" s="454"/>
      <c r="V110" s="420"/>
    </row>
    <row r="111" spans="1:22" ht="33" customHeight="1">
      <c r="A111" s="420"/>
      <c r="B111" s="2297" t="s">
        <v>971</v>
      </c>
      <c r="C111" s="2288"/>
      <c r="D111" s="2288"/>
      <c r="E111" s="2288"/>
      <c r="F111" s="2288"/>
      <c r="G111" s="2288"/>
      <c r="H111" s="2288"/>
      <c r="I111" s="2288"/>
      <c r="J111" s="2288"/>
      <c r="K111" s="2288"/>
      <c r="L111" s="2288"/>
      <c r="M111" s="2288"/>
      <c r="N111" s="2288"/>
      <c r="O111" s="2288"/>
      <c r="P111" s="2288"/>
      <c r="Q111" s="2288"/>
      <c r="R111" s="2288"/>
      <c r="S111" s="2288"/>
      <c r="T111" s="2288"/>
      <c r="U111" s="2298"/>
      <c r="V111" s="420"/>
    </row>
    <row r="112" spans="1:22" ht="33" customHeight="1">
      <c r="A112" s="420"/>
      <c r="B112" s="742"/>
      <c r="C112" s="743"/>
      <c r="D112" s="743"/>
      <c r="E112" s="743"/>
      <c r="F112" s="743"/>
      <c r="G112" s="743"/>
      <c r="H112" s="2423" t="s">
        <v>972</v>
      </c>
      <c r="I112" s="2424"/>
      <c r="J112" s="2423" t="s">
        <v>973</v>
      </c>
      <c r="K112" s="2424"/>
      <c r="L112" s="2423" t="s">
        <v>974</v>
      </c>
      <c r="M112" s="2424"/>
      <c r="N112" s="2423" t="s">
        <v>975</v>
      </c>
      <c r="O112" s="2424"/>
      <c r="P112" s="743"/>
      <c r="Q112" s="743"/>
      <c r="R112" s="743"/>
      <c r="S112" s="743"/>
      <c r="T112" s="743"/>
      <c r="U112" s="744"/>
      <c r="V112" s="420"/>
    </row>
    <row r="113" spans="1:22" ht="33" customHeight="1">
      <c r="A113" s="420"/>
      <c r="B113" s="742"/>
      <c r="C113" s="743"/>
      <c r="D113" s="743"/>
      <c r="E113" s="743"/>
      <c r="F113" s="743"/>
      <c r="G113" s="743"/>
      <c r="H113" s="2425"/>
      <c r="I113" s="2426"/>
      <c r="J113" s="2425"/>
      <c r="K113" s="2426"/>
      <c r="L113" s="2425"/>
      <c r="M113" s="2426"/>
      <c r="N113" s="2425"/>
      <c r="O113" s="2426"/>
      <c r="P113" s="743"/>
      <c r="Q113" s="743"/>
      <c r="R113" s="743"/>
      <c r="S113" s="743"/>
      <c r="T113" s="743"/>
      <c r="U113" s="744"/>
      <c r="V113" s="420"/>
    </row>
    <row r="114" spans="1:22" s="470" customFormat="1" ht="33" customHeight="1">
      <c r="B114" s="471"/>
      <c r="C114" s="472"/>
      <c r="D114" s="472"/>
      <c r="E114" s="472"/>
      <c r="F114" s="472"/>
      <c r="G114" s="472"/>
      <c r="H114" s="472"/>
      <c r="I114" s="472"/>
      <c r="J114" s="472"/>
      <c r="K114" s="472"/>
      <c r="L114" s="472"/>
      <c r="M114" s="472"/>
      <c r="N114" s="472"/>
      <c r="O114" s="472"/>
      <c r="P114" s="472"/>
      <c r="Q114" s="472"/>
      <c r="R114" s="472"/>
      <c r="S114" s="472"/>
      <c r="T114" s="472"/>
      <c r="U114" s="473"/>
    </row>
    <row r="115" spans="1:22" s="470" customFormat="1" ht="33" customHeight="1">
      <c r="B115" s="629"/>
      <c r="C115" s="629"/>
      <c r="D115" s="629"/>
      <c r="E115" s="629"/>
      <c r="F115" s="629"/>
      <c r="G115" s="629"/>
      <c r="H115" s="629"/>
      <c r="I115" s="629"/>
      <c r="J115" s="629"/>
      <c r="K115" s="629"/>
      <c r="L115" s="629"/>
      <c r="M115" s="629"/>
      <c r="N115" s="629"/>
      <c r="O115" s="629"/>
      <c r="P115" s="629"/>
      <c r="Q115" s="629"/>
      <c r="R115" s="629"/>
      <c r="S115" s="629"/>
      <c r="T115" s="629"/>
      <c r="U115" s="629"/>
    </row>
    <row r="116" spans="1:22" ht="23.25">
      <c r="A116" s="420"/>
      <c r="B116" s="475"/>
      <c r="C116" s="475"/>
      <c r="D116" s="475"/>
      <c r="E116" s="475"/>
      <c r="F116" s="475"/>
      <c r="G116" s="475"/>
      <c r="H116" s="475"/>
      <c r="I116" s="475"/>
      <c r="J116" s="475"/>
      <c r="K116" s="475"/>
      <c r="L116" s="475"/>
      <c r="M116" s="476" t="s">
        <v>1387</v>
      </c>
      <c r="N116" s="475"/>
      <c r="O116" s="475"/>
      <c r="P116" s="475"/>
      <c r="Q116" s="475"/>
      <c r="R116" s="477" t="s">
        <v>692</v>
      </c>
      <c r="S116" s="478" t="str">
        <f>$E$31</f>
        <v>ILF5_90FCOSCP_B114CAGR43006</v>
      </c>
      <c r="T116" s="475"/>
      <c r="U116" s="475"/>
      <c r="V116" s="420"/>
    </row>
    <row r="117" spans="1:22" s="416" customFormat="1"/>
    <row r="118" spans="1:22" s="416" customFormat="1"/>
    <row r="119" spans="1:22">
      <c r="A119" s="420"/>
      <c r="B119" s="420"/>
      <c r="C119" s="420"/>
      <c r="D119" s="420"/>
      <c r="E119" s="420"/>
      <c r="F119" s="420"/>
      <c r="G119" s="420"/>
      <c r="H119" s="436" t="s">
        <v>690</v>
      </c>
      <c r="I119" s="420"/>
      <c r="K119" s="420"/>
      <c r="L119" s="437" t="str">
        <f>$B$11</f>
        <v>INMOBILIARIA SERVIGESTION</v>
      </c>
      <c r="M119" s="420"/>
      <c r="N119" s="420"/>
      <c r="O119" s="420"/>
      <c r="P119" s="420"/>
      <c r="Q119" s="420"/>
      <c r="R119" s="420"/>
      <c r="S119" s="420"/>
      <c r="T119" s="420"/>
      <c r="U119" s="420"/>
      <c r="V119" s="420"/>
    </row>
    <row r="120" spans="1:22" ht="34.5">
      <c r="A120" s="420"/>
      <c r="B120" s="2268" t="s">
        <v>461</v>
      </c>
      <c r="C120" s="2268"/>
      <c r="D120" s="2268"/>
      <c r="E120" s="2268"/>
      <c r="F120" s="2268"/>
      <c r="G120" s="2268"/>
      <c r="H120" s="2268"/>
      <c r="I120" s="2268"/>
      <c r="J120" s="2268"/>
      <c r="K120" s="2268"/>
      <c r="L120" s="2268"/>
      <c r="M120" s="2268"/>
      <c r="N120" s="2268"/>
      <c r="O120" s="2268"/>
      <c r="P120" s="2268"/>
      <c r="Q120" s="2268"/>
      <c r="R120" s="2268"/>
      <c r="S120" s="2268"/>
      <c r="T120" s="2268"/>
      <c r="U120" s="2268"/>
      <c r="V120" s="420"/>
    </row>
    <row r="121" spans="1:22" ht="22.9" customHeight="1">
      <c r="A121" s="420"/>
      <c r="B121" s="2269" t="s">
        <v>741</v>
      </c>
      <c r="C121" s="2269"/>
      <c r="D121" s="2269"/>
      <c r="E121" s="2269"/>
      <c r="F121" s="2269"/>
      <c r="G121" s="2269"/>
      <c r="H121" s="2269"/>
      <c r="I121" s="2269"/>
      <c r="J121" s="2269"/>
      <c r="K121" s="2269"/>
      <c r="L121" s="2269"/>
      <c r="M121" s="2269"/>
      <c r="N121" s="2269"/>
      <c r="O121" s="2269"/>
      <c r="P121" s="2269"/>
      <c r="Q121" s="2269"/>
      <c r="R121" s="2269"/>
      <c r="S121" s="2269"/>
      <c r="T121" s="2269"/>
      <c r="U121" s="2269"/>
      <c r="V121" s="420"/>
    </row>
    <row r="122" spans="1:22" ht="16.149999999999999" customHeight="1">
      <c r="A122" s="420"/>
      <c r="B122" s="757"/>
      <c r="C122" s="757"/>
      <c r="D122" s="757"/>
      <c r="E122" s="757"/>
      <c r="F122" s="757"/>
      <c r="G122" s="757"/>
      <c r="H122" s="757"/>
      <c r="I122" s="757"/>
      <c r="J122" s="757"/>
      <c r="K122" s="757"/>
      <c r="L122" s="757"/>
      <c r="M122" s="757"/>
      <c r="N122" s="757"/>
      <c r="O122" s="757"/>
      <c r="Q122" s="757"/>
      <c r="R122" s="757"/>
      <c r="S122" s="757"/>
      <c r="T122" s="757"/>
      <c r="U122" s="757"/>
      <c r="V122" s="420"/>
    </row>
    <row r="123" spans="1:22" ht="18.399999999999999" customHeight="1">
      <c r="A123" s="429"/>
      <c r="B123" s="2251"/>
      <c r="C123" s="2251"/>
      <c r="D123" s="2251"/>
      <c r="E123" s="2251"/>
      <c r="F123" s="2251"/>
      <c r="G123" s="2251"/>
      <c r="H123" s="2251"/>
      <c r="I123" s="2251"/>
      <c r="J123" s="2251"/>
      <c r="K123" s="2251"/>
      <c r="L123" s="2251"/>
      <c r="M123" s="2251"/>
      <c r="N123" s="2251"/>
      <c r="O123" s="2251"/>
      <c r="P123" s="2251"/>
      <c r="Q123" s="2251"/>
      <c r="R123" s="2251"/>
      <c r="S123" s="2251"/>
      <c r="T123" s="2251"/>
      <c r="U123" s="2251"/>
      <c r="V123" s="429"/>
    </row>
    <row r="124" spans="1:22" ht="23.25">
      <c r="A124" s="420"/>
      <c r="B124" s="757"/>
      <c r="C124" s="757"/>
      <c r="D124" s="757"/>
      <c r="E124" s="757"/>
      <c r="F124" s="757"/>
      <c r="G124" s="757"/>
      <c r="H124" s="757"/>
      <c r="I124" s="757"/>
      <c r="J124" s="757"/>
      <c r="K124" s="757"/>
      <c r="L124" s="757"/>
      <c r="M124" s="757"/>
      <c r="N124" s="757"/>
      <c r="O124" s="757"/>
      <c r="P124" s="757"/>
      <c r="Q124" s="757"/>
      <c r="R124" s="757"/>
      <c r="S124" s="757"/>
      <c r="T124" s="757"/>
      <c r="U124" s="757"/>
      <c r="V124" s="420"/>
    </row>
    <row r="125" spans="1:22" ht="23.25" customHeight="1">
      <c r="A125" s="420"/>
      <c r="B125" s="2325" t="s">
        <v>743</v>
      </c>
      <c r="C125" s="2326"/>
      <c r="D125" s="2326"/>
      <c r="E125" s="2326"/>
      <c r="F125" s="2326"/>
      <c r="G125" s="2326"/>
      <c r="H125" s="2326"/>
      <c r="I125" s="2326"/>
      <c r="J125" s="2326"/>
      <c r="K125" s="2326"/>
      <c r="L125" s="745"/>
      <c r="M125" s="745"/>
      <c r="N125" s="745"/>
      <c r="O125" s="745"/>
      <c r="P125" s="745"/>
      <c r="Q125" s="745"/>
      <c r="R125" s="745"/>
      <c r="S125" s="745"/>
      <c r="T125" s="745"/>
      <c r="U125" s="439"/>
      <c r="V125" s="420"/>
    </row>
    <row r="126" spans="1:22" ht="23.25" customHeight="1">
      <c r="A126" s="420"/>
      <c r="B126" s="2297" t="s">
        <v>742</v>
      </c>
      <c r="C126" s="2288"/>
      <c r="D126" s="2288"/>
      <c r="E126" s="2288"/>
      <c r="F126" s="2288"/>
      <c r="G126" s="2288"/>
      <c r="H126" s="2288"/>
      <c r="I126" s="2288"/>
      <c r="J126" s="2288"/>
      <c r="K126" s="2288"/>
      <c r="L126" s="2288"/>
      <c r="M126" s="2288"/>
      <c r="N126" s="2288"/>
      <c r="O126" s="2288"/>
      <c r="P126" s="2288"/>
      <c r="Q126" s="2288"/>
      <c r="R126" s="2288"/>
      <c r="S126" s="2288"/>
      <c r="T126" s="2288"/>
      <c r="U126" s="2298"/>
      <c r="V126" s="420"/>
    </row>
    <row r="127" spans="1:22" ht="45" customHeight="1">
      <c r="A127" s="420"/>
      <c r="B127" s="742"/>
      <c r="C127" s="2288" t="s">
        <v>1381</v>
      </c>
      <c r="D127" s="2288"/>
      <c r="E127" s="2288"/>
      <c r="F127" s="2288"/>
      <c r="G127" s="2288"/>
      <c r="H127" s="2288"/>
      <c r="I127" s="2288"/>
      <c r="J127" s="2288"/>
      <c r="K127" s="2288"/>
      <c r="L127" s="2288"/>
      <c r="M127" s="2288"/>
      <c r="N127" s="2288"/>
      <c r="O127" s="2288"/>
      <c r="P127" s="2288"/>
      <c r="Q127" s="2288"/>
      <c r="R127" s="2288"/>
      <c r="S127" s="2288"/>
      <c r="T127" s="1177"/>
      <c r="U127" s="442"/>
      <c r="V127" s="420"/>
    </row>
    <row r="128" spans="1:22" ht="45" customHeight="1">
      <c r="A128" s="420"/>
      <c r="B128" s="1176"/>
      <c r="C128" s="2288" t="s">
        <v>1109</v>
      </c>
      <c r="D128" s="2288"/>
      <c r="E128" s="2288"/>
      <c r="F128" s="2288"/>
      <c r="G128" s="2288"/>
      <c r="H128" s="2288"/>
      <c r="I128" s="2288"/>
      <c r="J128" s="2288"/>
      <c r="K128" s="2288"/>
      <c r="L128" s="2288"/>
      <c r="M128" s="2288"/>
      <c r="N128" s="2288"/>
      <c r="O128" s="2288"/>
      <c r="P128" s="2288"/>
      <c r="Q128" s="2288"/>
      <c r="R128" s="2288"/>
      <c r="S128" s="2288"/>
      <c r="T128" s="2288"/>
      <c r="U128" s="442"/>
      <c r="V128" s="420"/>
    </row>
    <row r="129" spans="1:22" ht="36" customHeight="1">
      <c r="A129" s="420"/>
      <c r="B129" s="742"/>
      <c r="C129" s="2288" t="s">
        <v>1055</v>
      </c>
      <c r="D129" s="2288"/>
      <c r="E129" s="2288"/>
      <c r="F129" s="2288"/>
      <c r="G129" s="2288"/>
      <c r="H129" s="2288"/>
      <c r="I129" s="2288"/>
      <c r="J129" s="2288"/>
      <c r="K129" s="2288"/>
      <c r="L129" s="2288"/>
      <c r="M129" s="2288"/>
      <c r="N129" s="2288"/>
      <c r="O129" s="2288"/>
      <c r="P129" s="2288"/>
      <c r="Q129" s="2288"/>
      <c r="R129" s="2288"/>
      <c r="S129" s="2288"/>
      <c r="T129" s="479"/>
      <c r="U129" s="442"/>
      <c r="V129" s="420"/>
    </row>
    <row r="130" spans="1:22" ht="36" customHeight="1">
      <c r="A130" s="420"/>
      <c r="B130" s="742"/>
      <c r="C130" s="2288" t="s">
        <v>1139</v>
      </c>
      <c r="D130" s="2288"/>
      <c r="E130" s="2288"/>
      <c r="F130" s="2288"/>
      <c r="G130" s="2288"/>
      <c r="H130" s="2288"/>
      <c r="I130" s="2288"/>
      <c r="J130" s="2288"/>
      <c r="K130" s="2288"/>
      <c r="L130" s="2288"/>
      <c r="M130" s="2288"/>
      <c r="N130" s="2288"/>
      <c r="O130" s="2288"/>
      <c r="P130" s="2288"/>
      <c r="Q130" s="2288"/>
      <c r="R130" s="2288"/>
      <c r="S130" s="2288"/>
      <c r="T130" s="480"/>
      <c r="U130" s="442"/>
      <c r="V130" s="420"/>
    </row>
    <row r="131" spans="1:22" ht="36" customHeight="1">
      <c r="A131" s="420"/>
      <c r="B131" s="742"/>
      <c r="C131" s="2288" t="s">
        <v>1056</v>
      </c>
      <c r="D131" s="2288"/>
      <c r="E131" s="2288"/>
      <c r="F131" s="2288"/>
      <c r="G131" s="2288"/>
      <c r="H131" s="2288"/>
      <c r="I131" s="2288"/>
      <c r="J131" s="2288"/>
      <c r="K131" s="2288"/>
      <c r="L131" s="2288"/>
      <c r="M131" s="2288"/>
      <c r="N131" s="2288"/>
      <c r="O131" s="2288"/>
      <c r="P131" s="2288"/>
      <c r="Q131" s="2288"/>
      <c r="R131" s="2288"/>
      <c r="S131" s="2288"/>
      <c r="T131" s="475"/>
      <c r="U131" s="442"/>
      <c r="V131" s="420"/>
    </row>
    <row r="132" spans="1:22" ht="23.25" customHeight="1" thickBot="1">
      <c r="A132" s="420"/>
      <c r="B132" s="742"/>
      <c r="C132" s="2288"/>
      <c r="D132" s="2288"/>
      <c r="E132" s="2288"/>
      <c r="F132" s="2288"/>
      <c r="G132" s="2288"/>
      <c r="H132" s="2288"/>
      <c r="I132" s="2288"/>
      <c r="J132" s="2288"/>
      <c r="K132" s="2288"/>
      <c r="L132" s="2288"/>
      <c r="M132" s="2288"/>
      <c r="N132" s="2288"/>
      <c r="O132" s="2288"/>
      <c r="P132" s="2288"/>
      <c r="Q132" s="2288"/>
      <c r="R132" s="2288"/>
      <c r="S132" s="2288"/>
      <c r="T132" s="475"/>
      <c r="U132" s="442"/>
      <c r="V132" s="420"/>
    </row>
    <row r="133" spans="1:22" ht="44.25" customHeight="1" thickBot="1">
      <c r="A133" s="420"/>
      <c r="B133" s="2431" t="s">
        <v>744</v>
      </c>
      <c r="C133" s="2428"/>
      <c r="D133" s="2428"/>
      <c r="E133" s="2428"/>
      <c r="F133" s="2428"/>
      <c r="G133" s="2432"/>
      <c r="H133" s="2429" t="s">
        <v>743</v>
      </c>
      <c r="I133" s="2430"/>
      <c r="J133" s="2430"/>
      <c r="K133" s="481">
        <f>Calculos_cuotas!O5</f>
        <v>201</v>
      </c>
      <c r="L133" s="482"/>
      <c r="M133" s="2427" t="s">
        <v>747</v>
      </c>
      <c r="N133" s="2428"/>
      <c r="O133" s="743"/>
      <c r="P133" s="743"/>
      <c r="Q133" s="743"/>
      <c r="R133" s="743"/>
      <c r="S133" s="743"/>
      <c r="T133" s="743"/>
      <c r="U133" s="744"/>
      <c r="V133" s="420"/>
    </row>
    <row r="134" spans="1:22" ht="12.75" customHeight="1">
      <c r="A134" s="420"/>
      <c r="B134" s="2297"/>
      <c r="C134" s="2288"/>
      <c r="D134" s="2288"/>
      <c r="E134" s="2288"/>
      <c r="F134" s="2288"/>
      <c r="G134" s="2288"/>
      <c r="H134" s="2288"/>
      <c r="I134" s="2288"/>
      <c r="J134" s="2288"/>
      <c r="K134" s="2288"/>
      <c r="L134" s="2288"/>
      <c r="M134" s="2288"/>
      <c r="N134" s="2288"/>
      <c r="O134" s="2288"/>
      <c r="P134" s="2288"/>
      <c r="Q134" s="2288"/>
      <c r="R134" s="2288"/>
      <c r="S134" s="2288"/>
      <c r="T134" s="2288"/>
      <c r="U134" s="442"/>
      <c r="V134" s="420"/>
    </row>
    <row r="135" spans="1:22" ht="28.5" customHeight="1">
      <c r="A135" s="420"/>
      <c r="B135" s="742"/>
      <c r="C135" s="483" t="s">
        <v>751</v>
      </c>
      <c r="O135" s="484"/>
      <c r="P135" s="484"/>
      <c r="Q135" s="484"/>
      <c r="R135" s="484"/>
      <c r="S135" s="484"/>
      <c r="T135" s="484"/>
      <c r="U135" s="442"/>
      <c r="V135" s="420"/>
    </row>
    <row r="136" spans="1:22" ht="69" customHeight="1">
      <c r="A136" s="420"/>
      <c r="B136" s="742"/>
      <c r="C136" s="2413" t="str">
        <f>CONCATENATE((Calculos_cuotas!F3+Calculos_cuotas!F4)," líneas móviles con tarifas planas de voz y datos en ",SUM(Calculos_cuotas!V137:Z137)," de ellas, que incluyen un total de ",Calculos_cuotas!P2," minutos y una capacidad de ",Calculos_cuotas!Q2," GB de datos al mes con velocidad 4G en ",SUM(Calculos_cuotas!V137:Y137), " de las líneas.")</f>
        <v>5 líneas móviles con tarifas planas de voz y datos en 4 de ellas, que incluyen un total de 24000 minutos y una capacidad de 12,5 GB de datos al mes con velocidad 4G en 4 de las líneas.</v>
      </c>
      <c r="D136" s="2413"/>
      <c r="E136" s="2413"/>
      <c r="F136" s="2413"/>
      <c r="G136" s="2413"/>
      <c r="H136" s="2413"/>
      <c r="I136" s="2413"/>
      <c r="J136" s="2413"/>
      <c r="K136" s="2413"/>
      <c r="L136" s="2413"/>
      <c r="M136" s="2413"/>
      <c r="N136" s="2413"/>
      <c r="O136" s="484"/>
      <c r="P136" s="484"/>
      <c r="Q136" s="484"/>
      <c r="R136" s="484"/>
      <c r="S136" s="484"/>
      <c r="T136" s="479"/>
      <c r="U136" s="442"/>
      <c r="V136" s="420"/>
    </row>
    <row r="137" spans="1:22" ht="19.5" customHeight="1">
      <c r="A137" s="420"/>
      <c r="B137" s="742"/>
      <c r="O137" s="484"/>
      <c r="P137" s="484"/>
      <c r="Q137" s="484"/>
      <c r="R137" s="484"/>
      <c r="S137" s="484"/>
      <c r="T137" s="480"/>
      <c r="U137" s="442"/>
      <c r="V137" s="420"/>
    </row>
    <row r="138" spans="1:22" ht="36" customHeight="1">
      <c r="A138" s="420"/>
      <c r="B138" s="742"/>
      <c r="C138" s="483" t="s">
        <v>752</v>
      </c>
      <c r="O138" s="484"/>
      <c r="P138" s="484"/>
      <c r="Q138" s="484"/>
      <c r="R138" s="484"/>
      <c r="S138" s="484"/>
      <c r="T138" s="475"/>
      <c r="U138" s="442"/>
      <c r="V138" s="420"/>
    </row>
    <row r="139" spans="1:22" ht="52.5" customHeight="1">
      <c r="A139" s="420"/>
      <c r="B139" s="485"/>
      <c r="C139" s="2413" t="str">
        <f>CONCATENATE("Producto de telefonía fija e Internet para ",Calculos_cuotas!R2,IF(Calculos_cuotas!R2=1," sede"," sedes")," de su empresa, con un total de ",Calculos_cuotas!S2," líneas fijas de voz y",IF(OR(Calculos_cuotas!U1335&gt;0,SUM(Calculos_cuotas!Z99:AC99)&gt;0)," funcionalidades de centralita, ", " "),IF(Calculos_cuotas!T2&gt;0,Calculos_cuotas!T2," "),IF(Calculos_cuotas!T2&gt;0," teléfonos fijos, y ",""),"fibra hasta 500Mbps o Internet ADSL máxima velocidad.")</f>
        <v>Producto de telefonía fija e Internet para 1 sede de su empresa, con un total de 2 líneas fijas de voz y  fibra hasta 500Mbps o Internet ADSL máxima velocidad.</v>
      </c>
      <c r="D139" s="2413"/>
      <c r="E139" s="2413"/>
      <c r="F139" s="2413"/>
      <c r="G139" s="2413"/>
      <c r="H139" s="2413"/>
      <c r="I139" s="2413"/>
      <c r="J139" s="2413"/>
      <c r="K139" s="2413"/>
      <c r="L139" s="2413"/>
      <c r="M139" s="2413"/>
      <c r="N139" s="2413"/>
      <c r="O139" s="475"/>
      <c r="P139" s="475"/>
      <c r="Q139" s="475"/>
      <c r="R139" s="475"/>
      <c r="S139" s="475"/>
      <c r="T139" s="475"/>
      <c r="U139" s="442"/>
      <c r="V139" s="420"/>
    </row>
    <row r="140" spans="1:22" ht="23.25">
      <c r="A140" s="420"/>
      <c r="B140" s="485"/>
      <c r="C140" s="475"/>
      <c r="D140" s="475"/>
      <c r="E140" s="475"/>
      <c r="F140" s="475"/>
      <c r="G140" s="475"/>
      <c r="H140" s="475"/>
      <c r="I140" s="475"/>
      <c r="J140" s="475"/>
      <c r="K140" s="475"/>
      <c r="L140" s="475"/>
      <c r="M140" s="475"/>
      <c r="N140" s="475"/>
      <c r="O140" s="475"/>
      <c r="P140" s="475"/>
      <c r="Q140" s="475"/>
      <c r="R140" s="475"/>
      <c r="S140" s="475"/>
      <c r="T140" s="475"/>
      <c r="U140" s="442"/>
      <c r="V140" s="420"/>
    </row>
    <row r="141" spans="1:22" ht="23.25">
      <c r="A141" s="420"/>
      <c r="B141" s="485"/>
      <c r="C141" s="475"/>
      <c r="D141" s="475"/>
      <c r="E141" s="475"/>
      <c r="F141" s="475"/>
      <c r="G141" s="475"/>
      <c r="H141" s="475"/>
      <c r="I141" s="475"/>
      <c r="J141" s="475"/>
      <c r="K141" s="475"/>
      <c r="L141" s="475"/>
      <c r="M141" s="475"/>
      <c r="N141" s="475"/>
      <c r="O141" s="475"/>
      <c r="P141" s="475"/>
      <c r="Q141" s="475"/>
      <c r="R141" s="475"/>
      <c r="S141" s="475"/>
      <c r="T141" s="475"/>
      <c r="U141" s="442"/>
      <c r="V141" s="420"/>
    </row>
    <row r="142" spans="1:22" ht="26.25">
      <c r="A142" s="420"/>
      <c r="B142" s="485"/>
      <c r="C142" s="483" t="str">
        <f>IF(Perfiles_usuario!D274&lt;&gt;0,"Servicios digitales","")</f>
        <v/>
      </c>
      <c r="D142" s="475"/>
      <c r="E142" s="475"/>
      <c r="F142" s="475"/>
      <c r="G142" s="475"/>
      <c r="H142" s="475"/>
      <c r="I142" s="475"/>
      <c r="J142" s="475"/>
      <c r="K142" s="475"/>
      <c r="L142" s="475"/>
      <c r="M142" s="475"/>
      <c r="N142" s="475"/>
      <c r="O142" s="475"/>
      <c r="P142" s="475"/>
      <c r="Q142" s="475"/>
      <c r="R142" s="475"/>
      <c r="S142" s="475"/>
      <c r="T142" s="475"/>
      <c r="U142" s="442"/>
      <c r="V142" s="420"/>
    </row>
    <row r="143" spans="1:22" ht="25.5">
      <c r="A143" s="420"/>
      <c r="B143" s="485"/>
      <c r="C143" s="2413" t="str">
        <f>IF(Perfiles_usuario!D274&lt;&gt;0,CONCATENATE(Calculos_cuotas!C300," licencias de servicios digitales para mejorar la productividad de su empresa."),"")</f>
        <v/>
      </c>
      <c r="D143" s="2413"/>
      <c r="E143" s="2413"/>
      <c r="F143" s="2413"/>
      <c r="G143" s="2413"/>
      <c r="H143" s="2413"/>
      <c r="I143" s="2413"/>
      <c r="J143" s="2413"/>
      <c r="K143" s="2413"/>
      <c r="L143" s="2413"/>
      <c r="M143" s="2413"/>
      <c r="N143" s="2413"/>
      <c r="O143" s="475"/>
      <c r="P143" s="475"/>
      <c r="Q143" s="475"/>
      <c r="R143" s="475"/>
      <c r="S143" s="475"/>
      <c r="T143" s="475"/>
      <c r="U143" s="442"/>
      <c r="V143" s="420"/>
    </row>
    <row r="144" spans="1:22" ht="23.25">
      <c r="A144" s="420"/>
      <c r="B144" s="485"/>
      <c r="C144" s="475"/>
      <c r="D144" s="475"/>
      <c r="E144" s="475"/>
      <c r="F144" s="475"/>
      <c r="G144" s="475"/>
      <c r="H144" s="475"/>
      <c r="I144" s="475"/>
      <c r="J144" s="475"/>
      <c r="K144" s="475"/>
      <c r="L144" s="475"/>
      <c r="M144" s="475"/>
      <c r="N144" s="475"/>
      <c r="O144" s="475"/>
      <c r="P144" s="475"/>
      <c r="Q144" s="475"/>
      <c r="R144" s="475"/>
      <c r="S144" s="475"/>
      <c r="T144" s="475"/>
      <c r="U144" s="442"/>
      <c r="V144" s="420"/>
    </row>
    <row r="145" spans="1:22" ht="23.25">
      <c r="A145" s="420"/>
      <c r="B145" s="485"/>
      <c r="C145" s="475"/>
      <c r="D145" s="475"/>
      <c r="E145" s="475"/>
      <c r="F145" s="475"/>
      <c r="G145" s="475"/>
      <c r="H145" s="475"/>
      <c r="I145" s="475"/>
      <c r="J145" s="475"/>
      <c r="K145" s="475"/>
      <c r="L145" s="475"/>
      <c r="M145" s="475"/>
      <c r="N145" s="475"/>
      <c r="O145" s="475"/>
      <c r="P145" s="475"/>
      <c r="Q145" s="475"/>
      <c r="R145" s="475"/>
      <c r="S145" s="475"/>
      <c r="T145" s="475"/>
      <c r="U145" s="442"/>
      <c r="V145" s="420"/>
    </row>
    <row r="146" spans="1:22" ht="23.25">
      <c r="A146" s="420"/>
      <c r="B146" s="485"/>
      <c r="C146" s="475"/>
      <c r="D146" s="475"/>
      <c r="E146" s="475"/>
      <c r="F146" s="475"/>
      <c r="G146" s="475"/>
      <c r="H146" s="475"/>
      <c r="I146" s="475"/>
      <c r="J146" s="475"/>
      <c r="K146" s="475"/>
      <c r="L146" s="475"/>
      <c r="M146" s="475"/>
      <c r="N146" s="475"/>
      <c r="O146" s="475"/>
      <c r="P146" s="475"/>
      <c r="Q146" s="475"/>
      <c r="R146" s="475"/>
      <c r="S146" s="475"/>
      <c r="T146" s="475"/>
      <c r="U146" s="442"/>
      <c r="V146" s="420"/>
    </row>
    <row r="147" spans="1:22" ht="70.5" customHeight="1">
      <c r="A147" s="420"/>
      <c r="B147" s="485"/>
      <c r="C147" s="2346" t="s">
        <v>1143</v>
      </c>
      <c r="D147" s="2346"/>
      <c r="E147" s="2346"/>
      <c r="F147" s="2346"/>
      <c r="G147" s="2346"/>
      <c r="H147" s="2346"/>
      <c r="I147" s="2346"/>
      <c r="J147" s="2346"/>
      <c r="K147" s="2346"/>
      <c r="L147" s="2346"/>
      <c r="M147" s="2346"/>
      <c r="N147" s="2346"/>
      <c r="O147" s="2346"/>
      <c r="P147" s="2346"/>
      <c r="Q147" s="2346"/>
      <c r="R147" s="2346"/>
      <c r="S147" s="2346"/>
      <c r="T147" s="2346"/>
      <c r="U147" s="442"/>
      <c r="V147" s="420"/>
    </row>
    <row r="148" spans="1:22" ht="17.25" customHeight="1">
      <c r="A148" s="420"/>
      <c r="B148" s="485"/>
      <c r="C148" s="475"/>
      <c r="D148" s="475"/>
      <c r="E148" s="475"/>
      <c r="F148" s="475"/>
      <c r="G148" s="475"/>
      <c r="H148" s="475"/>
      <c r="I148" s="475"/>
      <c r="J148" s="475"/>
      <c r="K148" s="475"/>
      <c r="L148" s="475"/>
      <c r="M148" s="475"/>
      <c r="N148" s="475"/>
      <c r="O148" s="475"/>
      <c r="P148" s="475"/>
      <c r="Q148" s="475"/>
      <c r="R148" s="475"/>
      <c r="S148" s="475"/>
      <c r="T148" s="475"/>
      <c r="U148" s="442"/>
      <c r="V148" s="420"/>
    </row>
    <row r="149" spans="1:22" ht="45.75" customHeight="1">
      <c r="A149" s="420"/>
      <c r="B149" s="485"/>
      <c r="C149" s="2346" t="s">
        <v>1144</v>
      </c>
      <c r="D149" s="2346"/>
      <c r="E149" s="2346"/>
      <c r="F149" s="2346"/>
      <c r="G149" s="2346"/>
      <c r="H149" s="2346"/>
      <c r="I149" s="2346"/>
      <c r="J149" s="2346"/>
      <c r="K149" s="2346"/>
      <c r="L149" s="2346"/>
      <c r="M149" s="2346"/>
      <c r="N149" s="2346"/>
      <c r="O149" s="2346"/>
      <c r="P149" s="2346"/>
      <c r="Q149" s="2346"/>
      <c r="R149" s="2346"/>
      <c r="S149" s="2346"/>
      <c r="T149" s="2346"/>
      <c r="U149" s="442"/>
      <c r="V149" s="420"/>
    </row>
    <row r="150" spans="1:22" ht="45.75" customHeight="1">
      <c r="A150" s="420"/>
      <c r="B150" s="485"/>
      <c r="C150" s="750"/>
      <c r="D150" s="750"/>
      <c r="E150" s="750"/>
      <c r="F150" s="750"/>
      <c r="G150" s="750"/>
      <c r="H150" s="750"/>
      <c r="I150" s="750"/>
      <c r="J150" s="750"/>
      <c r="K150" s="750"/>
      <c r="L150" s="750"/>
      <c r="M150" s="750"/>
      <c r="N150" s="750"/>
      <c r="O150" s="750"/>
      <c r="P150" s="750"/>
      <c r="Q150" s="750"/>
      <c r="R150" s="750"/>
      <c r="S150" s="750"/>
      <c r="T150" s="750"/>
      <c r="U150" s="442"/>
      <c r="V150" s="420"/>
    </row>
    <row r="151" spans="1:22" ht="45.75" customHeight="1">
      <c r="A151" s="420"/>
      <c r="B151" s="485"/>
      <c r="C151" s="750"/>
      <c r="D151" s="750"/>
      <c r="E151" s="750"/>
      <c r="F151" s="750"/>
      <c r="G151" s="750"/>
      <c r="H151" s="750"/>
      <c r="I151" s="750"/>
      <c r="J151" s="750"/>
      <c r="K151" s="750"/>
      <c r="L151" s="750"/>
      <c r="M151" s="750"/>
      <c r="N151" s="750"/>
      <c r="O151" s="750"/>
      <c r="P151" s="750"/>
      <c r="Q151" s="750"/>
      <c r="R151" s="750"/>
      <c r="S151" s="750"/>
      <c r="T151" s="750"/>
      <c r="U151" s="442"/>
      <c r="V151" s="420"/>
    </row>
    <row r="152" spans="1:22" ht="45.75" customHeight="1">
      <c r="A152" s="420"/>
      <c r="B152" s="485"/>
      <c r="C152" s="750"/>
      <c r="D152" s="750"/>
      <c r="E152" s="750"/>
      <c r="F152" s="750"/>
      <c r="G152" s="750"/>
      <c r="H152" s="750"/>
      <c r="I152" s="750"/>
      <c r="J152" s="750"/>
      <c r="K152" s="750"/>
      <c r="L152" s="750"/>
      <c r="M152" s="750"/>
      <c r="N152" s="750"/>
      <c r="O152" s="750"/>
      <c r="P152" s="750"/>
      <c r="Q152" s="750"/>
      <c r="R152" s="750"/>
      <c r="S152" s="750"/>
      <c r="T152" s="750"/>
      <c r="U152" s="442"/>
      <c r="V152" s="420"/>
    </row>
    <row r="153" spans="1:22" ht="45.75" customHeight="1">
      <c r="A153" s="420"/>
      <c r="B153" s="485"/>
      <c r="C153" s="750"/>
      <c r="D153" s="750"/>
      <c r="E153" s="750"/>
      <c r="F153" s="750"/>
      <c r="G153" s="750"/>
      <c r="H153" s="750"/>
      <c r="I153" s="750"/>
      <c r="J153" s="750"/>
      <c r="K153" s="750"/>
      <c r="L153" s="750"/>
      <c r="M153" s="750"/>
      <c r="N153" s="750"/>
      <c r="O153" s="750"/>
      <c r="P153" s="750"/>
      <c r="Q153" s="750"/>
      <c r="R153" s="750"/>
      <c r="S153" s="750"/>
      <c r="T153" s="750"/>
      <c r="U153" s="442"/>
      <c r="V153" s="420"/>
    </row>
    <row r="154" spans="1:22" ht="23.25">
      <c r="A154" s="420"/>
      <c r="B154" s="485"/>
      <c r="C154" s="475"/>
      <c r="D154" s="475"/>
      <c r="E154" s="475"/>
      <c r="F154" s="475"/>
      <c r="G154" s="475"/>
      <c r="H154" s="475"/>
      <c r="I154" s="475"/>
      <c r="J154" s="475"/>
      <c r="K154" s="475"/>
      <c r="L154" s="475"/>
      <c r="M154" s="475"/>
      <c r="N154" s="475"/>
      <c r="O154" s="475"/>
      <c r="P154" s="475"/>
      <c r="Q154" s="475"/>
      <c r="R154" s="475"/>
      <c r="S154" s="475"/>
      <c r="T154" s="475"/>
      <c r="U154" s="442"/>
      <c r="V154" s="420"/>
    </row>
    <row r="155" spans="1:22" ht="23.25">
      <c r="A155" s="420"/>
      <c r="B155" s="487"/>
      <c r="C155" s="459"/>
      <c r="D155" s="459"/>
      <c r="E155" s="459"/>
      <c r="F155" s="459"/>
      <c r="G155" s="459"/>
      <c r="H155" s="459"/>
      <c r="I155" s="459"/>
      <c r="J155" s="459"/>
      <c r="K155" s="459"/>
      <c r="L155" s="459"/>
      <c r="M155" s="459"/>
      <c r="N155" s="459"/>
      <c r="O155" s="459"/>
      <c r="P155" s="459"/>
      <c r="Q155" s="459"/>
      <c r="R155" s="459"/>
      <c r="S155" s="459"/>
      <c r="T155" s="459"/>
      <c r="U155" s="460"/>
      <c r="V155" s="420"/>
    </row>
    <row r="156" spans="1:22" ht="23.25">
      <c r="A156" s="420"/>
      <c r="B156" s="474" t="s">
        <v>664</v>
      </c>
      <c r="C156" s="475"/>
      <c r="D156" s="475"/>
      <c r="E156" s="475"/>
      <c r="F156" s="475"/>
      <c r="G156" s="475"/>
      <c r="H156" s="475"/>
      <c r="I156" s="475"/>
      <c r="J156" s="475"/>
      <c r="K156" s="475"/>
      <c r="L156" s="475"/>
      <c r="M156" s="475"/>
      <c r="N156" s="475"/>
      <c r="O156" s="475"/>
      <c r="P156" s="475"/>
      <c r="Q156" s="475"/>
      <c r="R156" s="475"/>
      <c r="S156" s="475"/>
      <c r="T156" s="475"/>
      <c r="U156" s="475"/>
      <c r="V156" s="420"/>
    </row>
    <row r="157" spans="1:22" ht="23.25">
      <c r="A157" s="420"/>
      <c r="B157" s="475"/>
      <c r="C157" s="475"/>
      <c r="D157" s="475"/>
      <c r="E157" s="475"/>
      <c r="F157" s="475"/>
      <c r="G157" s="475"/>
      <c r="H157" s="475"/>
      <c r="I157" s="475"/>
      <c r="J157" s="475"/>
      <c r="K157" s="475"/>
      <c r="L157" s="475"/>
      <c r="M157" s="475"/>
      <c r="N157" s="475"/>
      <c r="O157" s="475"/>
      <c r="P157" s="475"/>
      <c r="Q157" s="475"/>
      <c r="R157" s="475"/>
      <c r="S157" s="475"/>
      <c r="T157" s="475"/>
      <c r="U157" s="475"/>
      <c r="V157" s="420"/>
    </row>
    <row r="158" spans="1:22" ht="23.25">
      <c r="A158" s="420"/>
      <c r="B158" s="475"/>
      <c r="C158" s="475"/>
      <c r="D158" s="475"/>
      <c r="E158" s="475"/>
      <c r="F158" s="475"/>
      <c r="G158" s="475"/>
      <c r="H158" s="475"/>
      <c r="I158" s="475"/>
      <c r="J158" s="475"/>
      <c r="K158" s="475"/>
      <c r="L158" s="475"/>
      <c r="M158" s="475"/>
      <c r="N158" s="475"/>
      <c r="O158" s="475"/>
      <c r="P158" s="475"/>
      <c r="Q158" s="475"/>
      <c r="R158" s="475"/>
      <c r="S158" s="475"/>
      <c r="T158" s="475"/>
      <c r="U158" s="475"/>
      <c r="V158" s="420"/>
    </row>
    <row r="159" spans="1:22" ht="23.25">
      <c r="A159" s="420"/>
      <c r="C159" s="475"/>
      <c r="D159" s="475"/>
      <c r="E159" s="475"/>
      <c r="F159" s="475"/>
      <c r="G159" s="475"/>
      <c r="H159" s="475"/>
      <c r="I159" s="475"/>
      <c r="J159" s="475"/>
      <c r="K159" s="475"/>
      <c r="L159" s="475"/>
      <c r="M159" s="475"/>
      <c r="N159" s="475"/>
      <c r="O159" s="475"/>
      <c r="P159" s="475"/>
      <c r="Q159" s="475"/>
      <c r="R159" s="475"/>
      <c r="S159" s="475"/>
      <c r="T159" s="475"/>
      <c r="U159" s="475"/>
      <c r="V159" s="420"/>
    </row>
    <row r="160" spans="1:22" ht="23.25">
      <c r="A160" s="420"/>
      <c r="B160" s="475"/>
      <c r="C160" s="475"/>
      <c r="D160" s="475"/>
      <c r="E160" s="475"/>
      <c r="F160" s="475"/>
      <c r="G160" s="475"/>
      <c r="H160" s="475"/>
      <c r="I160" s="475"/>
      <c r="J160" s="475"/>
      <c r="K160" s="475"/>
      <c r="L160" s="475"/>
      <c r="M160" s="476" t="s">
        <v>1388</v>
      </c>
      <c r="N160" s="475"/>
      <c r="O160" s="475"/>
      <c r="P160" s="475"/>
      <c r="Q160" s="475"/>
      <c r="R160" s="477" t="s">
        <v>692</v>
      </c>
      <c r="S160" s="478" t="str">
        <f>$E$31</f>
        <v>ILF5_90FCOSCP_B114CAGR43006</v>
      </c>
      <c r="T160" s="475"/>
      <c r="U160" s="475"/>
      <c r="V160" s="420"/>
    </row>
    <row r="161" spans="1:22" ht="23.25">
      <c r="A161" s="420"/>
      <c r="B161" s="475"/>
      <c r="C161" s="475"/>
      <c r="D161" s="475"/>
      <c r="E161" s="475"/>
      <c r="F161" s="475"/>
      <c r="G161" s="475"/>
      <c r="H161" s="475"/>
      <c r="I161" s="475"/>
      <c r="J161" s="475"/>
      <c r="K161" s="475"/>
      <c r="L161" s="475"/>
      <c r="M161" s="475"/>
      <c r="N161" s="475"/>
      <c r="O161" s="475"/>
      <c r="P161" s="475"/>
      <c r="Q161" s="475"/>
      <c r="R161" s="475"/>
      <c r="S161" s="475"/>
      <c r="T161" s="475"/>
      <c r="U161" s="475"/>
      <c r="V161" s="420"/>
    </row>
    <row r="162" spans="1:22">
      <c r="A162" s="420"/>
      <c r="B162" s="420"/>
      <c r="C162" s="420"/>
      <c r="D162" s="420"/>
      <c r="E162" s="420"/>
      <c r="F162" s="420"/>
      <c r="G162" s="420"/>
      <c r="H162" s="436" t="s">
        <v>690</v>
      </c>
      <c r="I162" s="420"/>
      <c r="K162" s="420"/>
      <c r="L162" s="437" t="str">
        <f>$B$11</f>
        <v>INMOBILIARIA SERVIGESTION</v>
      </c>
      <c r="M162" s="420"/>
      <c r="N162" s="420"/>
      <c r="O162" s="420"/>
      <c r="P162" s="420"/>
      <c r="Q162" s="420"/>
      <c r="R162" s="420"/>
      <c r="S162" s="420"/>
      <c r="T162" s="420"/>
      <c r="U162" s="420"/>
      <c r="V162" s="420"/>
    </row>
    <row r="163" spans="1:22" ht="34.5">
      <c r="A163" s="420"/>
      <c r="B163" s="2268" t="s">
        <v>461</v>
      </c>
      <c r="C163" s="2268"/>
      <c r="D163" s="2268"/>
      <c r="E163" s="2268"/>
      <c r="F163" s="2268"/>
      <c r="G163" s="2268"/>
      <c r="H163" s="2268"/>
      <c r="I163" s="2268"/>
      <c r="J163" s="2268"/>
      <c r="K163" s="2268"/>
      <c r="L163" s="2268"/>
      <c r="M163" s="2268"/>
      <c r="N163" s="2268"/>
      <c r="O163" s="2268"/>
      <c r="P163" s="2268"/>
      <c r="Q163" s="2268"/>
      <c r="R163" s="2268"/>
      <c r="S163" s="2268"/>
      <c r="T163" s="2268"/>
      <c r="U163" s="2268"/>
      <c r="V163" s="420"/>
    </row>
    <row r="164" spans="1:22" ht="22.9" customHeight="1">
      <c r="A164" s="420"/>
      <c r="B164" s="2269" t="s">
        <v>1084</v>
      </c>
      <c r="C164" s="2269"/>
      <c r="D164" s="2269"/>
      <c r="E164" s="2269"/>
      <c r="F164" s="2269"/>
      <c r="G164" s="2269"/>
      <c r="H164" s="2269"/>
      <c r="I164" s="2269"/>
      <c r="J164" s="2269"/>
      <c r="K164" s="2269"/>
      <c r="L164" s="2269"/>
      <c r="M164" s="2269"/>
      <c r="N164" s="2269"/>
      <c r="O164" s="2269"/>
      <c r="P164" s="2269"/>
      <c r="Q164" s="2269"/>
      <c r="R164" s="2269"/>
      <c r="S164" s="2269"/>
      <c r="T164" s="2269"/>
      <c r="U164" s="2269"/>
      <c r="V164" s="420"/>
    </row>
    <row r="165" spans="1:22" ht="16.149999999999999" customHeight="1">
      <c r="A165" s="420"/>
      <c r="B165" s="459"/>
      <c r="C165" s="459"/>
      <c r="D165" s="459"/>
      <c r="E165" s="459"/>
      <c r="F165" s="459"/>
      <c r="G165" s="459"/>
      <c r="H165" s="459"/>
      <c r="I165" s="459"/>
      <c r="J165" s="459"/>
      <c r="K165" s="459"/>
      <c r="L165" s="459"/>
      <c r="M165" s="459"/>
      <c r="N165" s="459"/>
      <c r="O165" s="459"/>
      <c r="P165" s="488"/>
      <c r="Q165" s="459"/>
      <c r="R165" s="459"/>
      <c r="S165" s="459"/>
      <c r="T165" s="459"/>
      <c r="U165" s="459"/>
      <c r="V165" s="420"/>
    </row>
    <row r="166" spans="1:22" ht="102" customHeight="1">
      <c r="A166" s="489"/>
      <c r="B166" s="2444" t="s">
        <v>1908</v>
      </c>
      <c r="C166" s="2445"/>
      <c r="D166" s="2445"/>
      <c r="E166" s="2445"/>
      <c r="F166" s="2445"/>
      <c r="G166" s="2445"/>
      <c r="H166" s="2445"/>
      <c r="I166" s="2445"/>
      <c r="J166" s="2445"/>
      <c r="K166" s="2445"/>
      <c r="L166" s="2445"/>
      <c r="M166" s="2445"/>
      <c r="N166" s="2445"/>
      <c r="O166" s="2445"/>
      <c r="P166" s="2445"/>
      <c r="Q166" s="2445"/>
      <c r="R166" s="2445"/>
      <c r="S166" s="2445"/>
      <c r="T166" s="2445"/>
      <c r="U166" s="2446"/>
      <c r="V166" s="490"/>
    </row>
    <row r="167" spans="1:22" ht="13.9" customHeight="1">
      <c r="A167" s="489"/>
      <c r="B167" s="1887"/>
      <c r="C167" s="1887"/>
      <c r="D167" s="1887"/>
      <c r="E167" s="1887"/>
      <c r="F167" s="1887"/>
      <c r="G167" s="1887"/>
      <c r="H167" s="1887"/>
      <c r="I167" s="1887"/>
      <c r="J167" s="1887"/>
      <c r="K167" s="1887"/>
      <c r="L167" s="1887"/>
      <c r="M167" s="1887"/>
      <c r="N167" s="1887"/>
      <c r="O167" s="1887"/>
      <c r="P167" s="1887"/>
      <c r="Q167" s="1887"/>
      <c r="R167" s="1887"/>
      <c r="S167" s="1887"/>
      <c r="T167" s="1887"/>
      <c r="U167" s="1887"/>
      <c r="V167" s="490"/>
    </row>
    <row r="168" spans="1:22" ht="36.75" customHeight="1">
      <c r="A168" s="489"/>
      <c r="B168" s="1887"/>
      <c r="C168" s="2443" t="s">
        <v>784</v>
      </c>
      <c r="D168" s="2443"/>
      <c r="E168" s="2443"/>
      <c r="F168" s="2443"/>
      <c r="G168" s="2443"/>
      <c r="H168" s="2443"/>
      <c r="I168" s="2443"/>
      <c r="J168" s="2443"/>
      <c r="K168" s="2443"/>
      <c r="L168" s="2443"/>
      <c r="M168" s="2443"/>
      <c r="N168" s="2443"/>
      <c r="O168" s="2443"/>
      <c r="P168" s="2443"/>
      <c r="Q168" s="2443"/>
      <c r="R168" s="2443"/>
      <c r="S168" s="2443"/>
      <c r="T168" s="2443"/>
      <c r="U168" s="1887"/>
      <c r="V168" s="490"/>
    </row>
    <row r="169" spans="1:22" ht="22.15" customHeight="1">
      <c r="A169" s="451"/>
      <c r="B169" s="1862"/>
      <c r="C169" s="1862"/>
      <c r="D169" s="1862"/>
      <c r="E169" s="1862"/>
      <c r="F169" s="1862"/>
      <c r="G169" s="1862"/>
      <c r="H169" s="1862"/>
      <c r="I169" s="1862"/>
      <c r="J169" s="1862"/>
      <c r="K169" s="1862"/>
      <c r="L169" s="2400"/>
      <c r="M169" s="2400"/>
      <c r="N169" s="2400"/>
      <c r="O169" s="2400"/>
      <c r="P169" s="2400"/>
      <c r="Q169" s="2400"/>
      <c r="R169" s="2400"/>
      <c r="S169" s="2400"/>
      <c r="T169" s="1862"/>
      <c r="U169" s="1863"/>
      <c r="V169" s="493"/>
    </row>
    <row r="170" spans="1:22" ht="23.25">
      <c r="B170" s="1864"/>
      <c r="C170" s="2401" t="s">
        <v>1083</v>
      </c>
      <c r="D170" s="2401"/>
      <c r="E170" s="2401"/>
      <c r="F170" s="2401"/>
      <c r="G170" s="2401"/>
      <c r="H170" s="2401"/>
      <c r="I170" s="2401"/>
      <c r="J170" s="2401"/>
      <c r="K170" s="2401"/>
      <c r="L170" s="1865"/>
      <c r="M170" s="2447" t="s">
        <v>1988</v>
      </c>
      <c r="N170" s="2448"/>
      <c r="O170" s="2448"/>
      <c r="P170" s="2448"/>
      <c r="Q170" s="2448"/>
      <c r="R170" s="2448"/>
      <c r="S170" s="2448"/>
      <c r="T170" s="2449"/>
      <c r="U170" s="1866"/>
      <c r="V170" s="441"/>
    </row>
    <row r="171" spans="1:22" ht="108.75" customHeight="1">
      <c r="B171" s="495" t="s">
        <v>362</v>
      </c>
      <c r="C171" s="2396" t="s">
        <v>1909</v>
      </c>
      <c r="D171" s="2397"/>
      <c r="E171" s="2397"/>
      <c r="F171" s="2397"/>
      <c r="G171" s="2397"/>
      <c r="H171" s="2397"/>
      <c r="I171" s="2397"/>
      <c r="J171" s="2397"/>
      <c r="K171" s="2398"/>
      <c r="L171" s="1867"/>
      <c r="M171" s="2396" t="s">
        <v>1989</v>
      </c>
      <c r="N171" s="2397"/>
      <c r="O171" s="2397"/>
      <c r="P171" s="2397"/>
      <c r="Q171" s="2397"/>
      <c r="R171" s="2397"/>
      <c r="S171" s="2397"/>
      <c r="T171" s="2398"/>
      <c r="U171" s="1866"/>
      <c r="V171" s="441"/>
    </row>
    <row r="172" spans="1:22" ht="26.25">
      <c r="A172" s="441"/>
      <c r="B172" s="1868"/>
      <c r="C172" s="2327" t="s">
        <v>783</v>
      </c>
      <c r="D172" s="2327"/>
      <c r="E172" s="2327"/>
      <c r="F172" s="2327"/>
      <c r="G172" s="2327"/>
      <c r="H172" s="1869">
        <v>24</v>
      </c>
      <c r="I172" s="1870"/>
      <c r="J172" s="1870"/>
      <c r="K172" s="1870"/>
      <c r="L172" s="1871"/>
      <c r="M172" s="1872" t="s">
        <v>783</v>
      </c>
      <c r="N172" s="1873"/>
      <c r="O172" s="1874"/>
      <c r="P172" s="1874"/>
      <c r="Q172" s="1874"/>
      <c r="R172" s="1869">
        <v>32</v>
      </c>
      <c r="S172" s="1875"/>
      <c r="T172" s="1875"/>
      <c r="U172" s="1876"/>
    </row>
    <row r="173" spans="1:22" ht="10.9" customHeight="1">
      <c r="A173" s="441"/>
      <c r="B173" s="1877"/>
      <c r="C173" s="501"/>
      <c r="D173" s="501"/>
      <c r="E173" s="501"/>
      <c r="F173" s="501"/>
      <c r="G173" s="501"/>
      <c r="H173" s="501"/>
      <c r="I173" s="501"/>
      <c r="J173" s="501"/>
      <c r="K173" s="501"/>
      <c r="L173" s="501"/>
      <c r="M173" s="501"/>
      <c r="N173" s="501"/>
      <c r="O173" s="501"/>
      <c r="P173" s="501"/>
      <c r="Q173" s="501"/>
      <c r="R173" s="501"/>
      <c r="S173" s="501"/>
      <c r="T173" s="501"/>
      <c r="U173" s="502"/>
    </row>
    <row r="174" spans="1:22" ht="15.6" customHeight="1">
      <c r="A174" s="441"/>
      <c r="B174" s="495"/>
      <c r="C174" s="501"/>
      <c r="D174" s="501"/>
      <c r="E174" s="501"/>
      <c r="F174" s="501"/>
      <c r="G174" s="501"/>
      <c r="H174" s="501"/>
      <c r="I174" s="501"/>
      <c r="J174" s="501"/>
      <c r="K174" s="501"/>
      <c r="L174" s="501"/>
      <c r="M174" s="501"/>
      <c r="N174" s="501"/>
      <c r="O174" s="1871"/>
      <c r="P174" s="1878"/>
      <c r="Q174" s="501"/>
      <c r="R174" s="501"/>
      <c r="S174" s="501"/>
      <c r="T174" s="501"/>
      <c r="U174" s="502"/>
    </row>
    <row r="175" spans="1:22" s="429" customFormat="1" ht="99.75" customHeight="1">
      <c r="A175" s="504"/>
      <c r="B175" s="1879"/>
      <c r="C175" s="2443" t="s">
        <v>786</v>
      </c>
      <c r="D175" s="2443"/>
      <c r="E175" s="2443"/>
      <c r="F175" s="2443"/>
      <c r="G175" s="2443"/>
      <c r="H175" s="2443"/>
      <c r="I175" s="2443"/>
      <c r="J175" s="2443"/>
      <c r="K175" s="2443"/>
      <c r="L175" s="2443"/>
      <c r="M175" s="2443"/>
      <c r="N175" s="2443"/>
      <c r="O175" s="2443"/>
      <c r="P175" s="2443"/>
      <c r="Q175" s="2443"/>
      <c r="R175" s="2443"/>
      <c r="S175" s="2443"/>
      <c r="T175" s="2443"/>
      <c r="U175" s="505"/>
    </row>
    <row r="176" spans="1:22" s="429" customFormat="1" ht="20.25" customHeight="1">
      <c r="A176" s="504"/>
      <c r="B176" s="1879"/>
      <c r="C176" s="1862"/>
      <c r="D176" s="1862"/>
      <c r="E176" s="1862"/>
      <c r="F176" s="1862"/>
      <c r="G176" s="1862"/>
      <c r="H176" s="1862"/>
      <c r="I176" s="1862"/>
      <c r="J176" s="1862"/>
      <c r="K176" s="1862"/>
      <c r="L176" s="2400"/>
      <c r="M176" s="2400"/>
      <c r="N176" s="2400"/>
      <c r="O176" s="2400"/>
      <c r="P176" s="2400"/>
      <c r="Q176" s="2400"/>
      <c r="R176" s="2400"/>
      <c r="S176" s="2400"/>
      <c r="T176" s="1862"/>
      <c r="U176" s="505"/>
      <c r="V176" s="504"/>
    </row>
    <row r="177" spans="2:23" s="429" customFormat="1" ht="24" customHeight="1">
      <c r="B177" s="1880"/>
      <c r="C177" s="2401" t="s">
        <v>1986</v>
      </c>
      <c r="D177" s="2401"/>
      <c r="E177" s="2401"/>
      <c r="F177" s="2401"/>
      <c r="G177" s="2401"/>
      <c r="H177" s="2401"/>
      <c r="I177" s="2401"/>
      <c r="J177" s="2401"/>
      <c r="K177" s="2401"/>
      <c r="L177" s="1881"/>
      <c r="M177" s="2401" t="s">
        <v>1984</v>
      </c>
      <c r="N177" s="2401"/>
      <c r="O177" s="2401"/>
      <c r="P177" s="2401"/>
      <c r="Q177" s="2401"/>
      <c r="R177" s="2401"/>
      <c r="S177" s="2401"/>
      <c r="T177" s="2401"/>
      <c r="U177" s="505"/>
    </row>
    <row r="178" spans="2:23" s="429" customFormat="1" ht="154.5" customHeight="1">
      <c r="B178" s="1882"/>
      <c r="C178" s="2396" t="s">
        <v>1987</v>
      </c>
      <c r="D178" s="2402"/>
      <c r="E178" s="2402"/>
      <c r="F178" s="2402"/>
      <c r="G178" s="2402"/>
      <c r="H178" s="2402"/>
      <c r="I178" s="2402"/>
      <c r="J178" s="2402"/>
      <c r="K178" s="2403"/>
      <c r="L178" s="507"/>
      <c r="M178" s="2396" t="s">
        <v>1985</v>
      </c>
      <c r="N178" s="2402"/>
      <c r="O178" s="2402"/>
      <c r="P178" s="2402"/>
      <c r="Q178" s="2402"/>
      <c r="R178" s="2402"/>
      <c r="S178" s="2402"/>
      <c r="T178" s="2403"/>
      <c r="U178" s="505"/>
      <c r="V178" s="490"/>
      <c r="W178" s="504"/>
    </row>
    <row r="179" spans="2:23" s="429" customFormat="1" ht="27" customHeight="1">
      <c r="B179" s="1883"/>
      <c r="C179" s="2327" t="s">
        <v>783</v>
      </c>
      <c r="D179" s="2327"/>
      <c r="E179" s="2327"/>
      <c r="F179" s="2327"/>
      <c r="G179" s="2327"/>
      <c r="H179" s="1884">
        <v>53</v>
      </c>
      <c r="I179" s="1869"/>
      <c r="J179" s="1869"/>
      <c r="K179" s="1869"/>
      <c r="L179" s="1885"/>
      <c r="M179" s="2327" t="s">
        <v>783</v>
      </c>
      <c r="N179" s="2327"/>
      <c r="O179" s="2327"/>
      <c r="P179" s="2327"/>
      <c r="Q179" s="2327"/>
      <c r="R179" s="1884">
        <v>73</v>
      </c>
      <c r="S179" s="1869"/>
      <c r="T179" s="1869"/>
      <c r="U179" s="505"/>
      <c r="V179" s="490"/>
      <c r="W179" s="504"/>
    </row>
    <row r="180" spans="2:23" s="429" customFormat="1" ht="12" customHeight="1">
      <c r="B180" s="509"/>
      <c r="C180" s="1886"/>
      <c r="D180" s="1886"/>
      <c r="E180" s="510"/>
      <c r="F180" s="510"/>
      <c r="G180" s="510"/>
      <c r="H180" s="510"/>
      <c r="I180" s="510"/>
      <c r="J180" s="510"/>
      <c r="K180" s="510"/>
      <c r="L180" s="510"/>
      <c r="M180" s="510"/>
      <c r="N180" s="510"/>
      <c r="O180" s="1887"/>
      <c r="P180" s="1887"/>
      <c r="Q180" s="510"/>
      <c r="R180" s="510"/>
      <c r="S180" s="510"/>
      <c r="T180" s="510"/>
      <c r="U180" s="505"/>
      <c r="V180" s="504"/>
    </row>
    <row r="181" spans="2:23" s="429" customFormat="1" ht="60.75" customHeight="1">
      <c r="B181" s="1879"/>
      <c r="C181" s="2450" t="s">
        <v>1910</v>
      </c>
      <c r="D181" s="2450"/>
      <c r="E181" s="2450"/>
      <c r="F181" s="2450"/>
      <c r="G181" s="2450"/>
      <c r="H181" s="2450"/>
      <c r="I181" s="2450"/>
      <c r="J181" s="2450"/>
      <c r="K181" s="2450"/>
      <c r="L181" s="2450"/>
      <c r="M181" s="2450"/>
      <c r="N181" s="2450"/>
      <c r="O181" s="2450"/>
      <c r="P181" s="2450"/>
      <c r="Q181" s="2450"/>
      <c r="R181" s="2450"/>
      <c r="S181" s="2450"/>
      <c r="T181" s="2450"/>
      <c r="U181" s="505"/>
    </row>
    <row r="182" spans="2:23" s="429" customFormat="1" ht="52.5" customHeight="1">
      <c r="B182" s="1880"/>
      <c r="C182" s="2328" t="s">
        <v>976</v>
      </c>
      <c r="D182" s="2328"/>
      <c r="E182" s="2328"/>
      <c r="F182" s="2328"/>
      <c r="G182" s="2328"/>
      <c r="H182" s="2328"/>
      <c r="I182" s="2328"/>
      <c r="J182" s="2328"/>
      <c r="K182" s="2328"/>
      <c r="L182" s="2328"/>
      <c r="M182" s="2328"/>
      <c r="N182" s="2328"/>
      <c r="O182" s="2328"/>
      <c r="P182" s="2328"/>
      <c r="Q182" s="2328"/>
      <c r="R182" s="2328"/>
      <c r="S182" s="2328"/>
      <c r="T182" s="2328"/>
      <c r="U182" s="1888"/>
    </row>
    <row r="183" spans="2:23" s="429" customFormat="1" ht="6" customHeight="1">
      <c r="B183" s="506"/>
      <c r="C183" s="504"/>
      <c r="D183" s="512"/>
      <c r="E183" s="513"/>
      <c r="F183" s="513"/>
      <c r="G183" s="513"/>
      <c r="H183" s="513"/>
      <c r="I183" s="513"/>
      <c r="J183" s="514"/>
      <c r="K183" s="513"/>
      <c r="L183" s="513"/>
      <c r="M183" s="513"/>
      <c r="N183" s="512"/>
      <c r="O183" s="513"/>
      <c r="P183" s="512"/>
      <c r="Q183" s="504"/>
      <c r="R183" s="513"/>
      <c r="S183" s="514"/>
      <c r="T183" s="514"/>
      <c r="U183" s="511"/>
    </row>
    <row r="184" spans="2:23" ht="19.149999999999999" customHeight="1">
      <c r="B184" s="515"/>
      <c r="C184" s="488"/>
      <c r="D184" s="516"/>
      <c r="E184" s="517"/>
      <c r="F184" s="517"/>
      <c r="G184" s="517"/>
      <c r="H184" s="517"/>
      <c r="I184" s="517"/>
      <c r="J184" s="518"/>
      <c r="K184" s="517"/>
      <c r="L184" s="517"/>
      <c r="M184" s="517"/>
      <c r="N184" s="516"/>
      <c r="O184" s="517"/>
      <c r="P184" s="516"/>
      <c r="Q184" s="488"/>
      <c r="R184" s="517"/>
      <c r="S184" s="518"/>
      <c r="T184" s="518"/>
      <c r="U184" s="519"/>
    </row>
    <row r="185" spans="2:23" ht="17.45" customHeight="1">
      <c r="B185" s="520" t="s">
        <v>785</v>
      </c>
      <c r="C185" s="521"/>
      <c r="D185" s="521"/>
      <c r="E185" s="521"/>
      <c r="F185" s="521"/>
      <c r="G185" s="521"/>
      <c r="H185" s="521"/>
      <c r="I185" s="521"/>
      <c r="J185" s="521"/>
      <c r="K185" s="521"/>
      <c r="L185" s="521"/>
      <c r="M185" s="521"/>
      <c r="N185" s="521"/>
      <c r="O185" s="479"/>
      <c r="P185" s="479"/>
      <c r="Q185" s="521"/>
      <c r="R185" s="521"/>
      <c r="S185" s="521"/>
      <c r="T185" s="521"/>
      <c r="U185" s="521"/>
      <c r="V185" s="441"/>
    </row>
    <row r="186" spans="2:23" ht="19.149999999999999" customHeight="1">
      <c r="B186" s="522"/>
      <c r="C186" s="522"/>
      <c r="D186" s="522"/>
      <c r="E186" s="522"/>
      <c r="F186" s="522"/>
      <c r="G186" s="522"/>
      <c r="H186" s="522"/>
      <c r="I186" s="499"/>
      <c r="J186" s="523"/>
      <c r="K186" s="499"/>
      <c r="L186" s="499"/>
      <c r="M186" s="499"/>
      <c r="N186" s="524"/>
      <c r="O186" s="499"/>
      <c r="P186" s="524"/>
      <c r="Q186" s="441"/>
      <c r="R186" s="499"/>
      <c r="S186" s="523"/>
      <c r="T186" s="523"/>
      <c r="U186" s="499"/>
    </row>
    <row r="187" spans="2:23" ht="26.45" customHeight="1">
      <c r="B187" s="2269" t="s">
        <v>1073</v>
      </c>
      <c r="C187" s="2269"/>
      <c r="D187" s="2269"/>
      <c r="E187" s="2269"/>
      <c r="F187" s="2269"/>
      <c r="G187" s="2269"/>
      <c r="H187" s="2269"/>
      <c r="I187" s="2269"/>
      <c r="J187" s="2269"/>
      <c r="K187" s="2269"/>
      <c r="L187" s="2269"/>
      <c r="M187" s="2269"/>
      <c r="N187" s="2269"/>
      <c r="O187" s="2269"/>
      <c r="P187" s="2269"/>
      <c r="Q187" s="2269"/>
      <c r="R187" s="2269"/>
      <c r="S187" s="2269"/>
      <c r="T187" s="2269"/>
      <c r="U187" s="2269"/>
      <c r="V187" s="441"/>
    </row>
    <row r="188" spans="2:23" ht="6.6" customHeight="1">
      <c r="B188" s="520"/>
      <c r="C188" s="521"/>
      <c r="D188" s="521"/>
      <c r="E188" s="521"/>
      <c r="F188" s="521"/>
      <c r="G188" s="521"/>
      <c r="H188" s="521"/>
      <c r="I188" s="521"/>
      <c r="J188" s="521"/>
      <c r="K188" s="521"/>
      <c r="L188" s="521"/>
      <c r="M188" s="521"/>
      <c r="N188" s="521"/>
      <c r="O188" s="479"/>
      <c r="P188" s="479"/>
      <c r="Q188" s="521"/>
      <c r="R188" s="521"/>
      <c r="S188" s="521"/>
      <c r="T188" s="521"/>
      <c r="U188" s="521"/>
      <c r="V188" s="441"/>
    </row>
    <row r="189" spans="2:23" ht="3.75" customHeight="1">
      <c r="B189" s="912"/>
      <c r="C189" s="913"/>
      <c r="D189" s="913"/>
      <c r="E189" s="913"/>
      <c r="F189" s="913"/>
      <c r="G189" s="913"/>
      <c r="H189" s="913"/>
      <c r="I189" s="913"/>
      <c r="J189" s="913"/>
      <c r="K189" s="913"/>
      <c r="L189" s="913"/>
      <c r="M189" s="913"/>
      <c r="N189" s="913"/>
      <c r="O189" s="914"/>
      <c r="P189" s="914"/>
      <c r="Q189" s="913"/>
      <c r="R189" s="913"/>
      <c r="S189" s="913"/>
      <c r="T189" s="913"/>
      <c r="U189" s="915"/>
      <c r="V189" s="441"/>
    </row>
    <row r="190" spans="2:23" ht="4.5" customHeight="1">
      <c r="B190" s="916"/>
      <c r="C190" s="513"/>
      <c r="D190" s="513"/>
      <c r="E190" s="513"/>
      <c r="F190" s="513"/>
      <c r="G190" s="513"/>
      <c r="H190" s="513"/>
      <c r="I190" s="513"/>
      <c r="J190" s="513"/>
      <c r="K190" s="513"/>
      <c r="L190" s="513"/>
      <c r="M190" s="513"/>
      <c r="N190" s="513"/>
      <c r="O190" s="479"/>
      <c r="P190" s="479"/>
      <c r="Q190" s="513"/>
      <c r="R190" s="513"/>
      <c r="S190" s="513"/>
      <c r="T190" s="513"/>
      <c r="U190" s="511"/>
      <c r="V190" s="441"/>
    </row>
    <row r="191" spans="2:23" ht="17.45" customHeight="1">
      <c r="B191" s="916"/>
      <c r="C191" s="2332" t="s">
        <v>1075</v>
      </c>
      <c r="D191" s="2332"/>
      <c r="E191" s="2332"/>
      <c r="F191" s="2332"/>
      <c r="G191" s="2332"/>
      <c r="H191" s="2332"/>
      <c r="I191" s="2332"/>
      <c r="J191" s="2332"/>
      <c r="K191" s="2332"/>
      <c r="L191" s="2332"/>
      <c r="M191" s="2332"/>
      <c r="N191" s="2332"/>
      <c r="O191" s="2332"/>
      <c r="P191" s="2332"/>
      <c r="Q191" s="2332"/>
      <c r="R191" s="2332"/>
      <c r="S191" s="2332"/>
      <c r="T191" s="2332"/>
      <c r="U191" s="511"/>
      <c r="V191" s="441"/>
    </row>
    <row r="192" spans="2:23" ht="17.45" customHeight="1">
      <c r="B192" s="916"/>
      <c r="C192" s="2332"/>
      <c r="D192" s="2332"/>
      <c r="E192" s="2332"/>
      <c r="F192" s="2332"/>
      <c r="G192" s="2332"/>
      <c r="H192" s="2332"/>
      <c r="I192" s="2332"/>
      <c r="J192" s="2332"/>
      <c r="K192" s="2332"/>
      <c r="L192" s="2332"/>
      <c r="M192" s="2332"/>
      <c r="N192" s="2332"/>
      <c r="O192" s="2332"/>
      <c r="P192" s="2332"/>
      <c r="Q192" s="2332"/>
      <c r="R192" s="2332"/>
      <c r="S192" s="2332"/>
      <c r="T192" s="2332"/>
      <c r="U192" s="511"/>
      <c r="V192" s="441"/>
    </row>
    <row r="193" spans="1:22" ht="36.75" customHeight="1">
      <c r="B193" s="916"/>
      <c r="C193" s="2332"/>
      <c r="D193" s="2332"/>
      <c r="E193" s="2332"/>
      <c r="F193" s="2332"/>
      <c r="G193" s="2332"/>
      <c r="H193" s="2332"/>
      <c r="I193" s="2332"/>
      <c r="J193" s="2332"/>
      <c r="K193" s="2332"/>
      <c r="L193" s="2332"/>
      <c r="M193" s="2332"/>
      <c r="N193" s="2332"/>
      <c r="O193" s="2332"/>
      <c r="P193" s="2332"/>
      <c r="Q193" s="2332"/>
      <c r="R193" s="2332"/>
      <c r="S193" s="2332"/>
      <c r="T193" s="2332"/>
      <c r="U193" s="511"/>
      <c r="V193" s="441"/>
    </row>
    <row r="194" spans="1:22" ht="22.15" customHeight="1">
      <c r="B194" s="916"/>
      <c r="C194" s="2332" t="s">
        <v>1074</v>
      </c>
      <c r="D194" s="2332"/>
      <c r="E194" s="2332"/>
      <c r="F194" s="2332"/>
      <c r="G194" s="2332"/>
      <c r="H194" s="2332"/>
      <c r="I194" s="2332"/>
      <c r="J194" s="2332"/>
      <c r="K194" s="2332"/>
      <c r="L194" s="2332"/>
      <c r="M194" s="2332"/>
      <c r="N194" s="2332"/>
      <c r="O194" s="2332"/>
      <c r="P194" s="2332"/>
      <c r="Q194" s="2332"/>
      <c r="R194" s="2332"/>
      <c r="S194" s="2332"/>
      <c r="T194" s="2332"/>
      <c r="U194" s="511"/>
      <c r="V194" s="441"/>
    </row>
    <row r="195" spans="1:22" ht="4.5" customHeight="1">
      <c r="B195" s="917"/>
      <c r="C195" s="918"/>
      <c r="D195" s="918"/>
      <c r="E195" s="918"/>
      <c r="F195" s="918"/>
      <c r="G195" s="918"/>
      <c r="H195" s="918"/>
      <c r="I195" s="918"/>
      <c r="J195" s="918"/>
      <c r="K195" s="918"/>
      <c r="L195" s="918"/>
      <c r="M195" s="918"/>
      <c r="N195" s="918"/>
      <c r="O195" s="919"/>
      <c r="P195" s="919"/>
      <c r="Q195" s="918"/>
      <c r="R195" s="918"/>
      <c r="S195" s="918"/>
      <c r="T195" s="918"/>
      <c r="U195" s="920"/>
      <c r="V195" s="441"/>
    </row>
    <row r="196" spans="1:22" ht="17.45" customHeight="1">
      <c r="B196" s="1977"/>
      <c r="C196" s="513"/>
      <c r="D196" s="513"/>
      <c r="E196" s="513"/>
      <c r="F196" s="513"/>
      <c r="G196" s="513"/>
      <c r="H196" s="513"/>
      <c r="I196" s="513"/>
      <c r="J196" s="513"/>
      <c r="K196" s="513"/>
      <c r="L196" s="513"/>
      <c r="M196" s="513"/>
      <c r="N196" s="513"/>
      <c r="O196" s="479"/>
      <c r="P196" s="479"/>
      <c r="Q196" s="513"/>
      <c r="R196" s="513"/>
      <c r="S196" s="513"/>
      <c r="T196" s="513"/>
      <c r="U196" s="513"/>
      <c r="V196" s="441"/>
    </row>
    <row r="197" spans="1:22" ht="26.25" customHeight="1">
      <c r="B197" s="2269" t="s">
        <v>1950</v>
      </c>
      <c r="C197" s="2269"/>
      <c r="D197" s="2269"/>
      <c r="E197" s="2269"/>
      <c r="F197" s="2269"/>
      <c r="G197" s="2269"/>
      <c r="H197" s="2269"/>
      <c r="I197" s="2269"/>
      <c r="J197" s="2269"/>
      <c r="K197" s="2269"/>
      <c r="L197" s="2269"/>
      <c r="M197" s="2269"/>
      <c r="N197" s="2269"/>
      <c r="O197" s="2269"/>
      <c r="P197" s="2269"/>
      <c r="Q197" s="2269"/>
      <c r="R197" s="2269"/>
      <c r="S197" s="2269"/>
      <c r="T197" s="2269"/>
      <c r="U197" s="2269"/>
      <c r="V197" s="441"/>
    </row>
    <row r="198" spans="1:22" ht="4.5" customHeight="1">
      <c r="B198" s="1850"/>
      <c r="C198" s="1850"/>
      <c r="D198" s="1850"/>
      <c r="E198" s="1850"/>
      <c r="F198" s="1850"/>
      <c r="G198" s="1850"/>
      <c r="H198" s="1850"/>
      <c r="I198" s="1850"/>
      <c r="J198" s="1850"/>
      <c r="K198" s="1850"/>
      <c r="L198" s="1850"/>
      <c r="M198" s="1850"/>
      <c r="N198" s="1850"/>
      <c r="O198" s="1850"/>
      <c r="P198" s="1850"/>
      <c r="Q198" s="1850"/>
      <c r="R198" s="1850"/>
      <c r="S198" s="1850"/>
      <c r="T198" s="1850"/>
      <c r="U198" s="1850"/>
      <c r="V198" s="441"/>
    </row>
    <row r="199" spans="1:22" ht="8.25" customHeight="1">
      <c r="B199" s="912"/>
      <c r="C199" s="913"/>
      <c r="D199" s="913"/>
      <c r="E199" s="913"/>
      <c r="F199" s="913"/>
      <c r="G199" s="913"/>
      <c r="H199" s="913"/>
      <c r="I199" s="913"/>
      <c r="J199" s="913"/>
      <c r="K199" s="913"/>
      <c r="L199" s="913"/>
      <c r="M199" s="913"/>
      <c r="N199" s="913"/>
      <c r="O199" s="914"/>
      <c r="P199" s="914"/>
      <c r="Q199" s="913"/>
      <c r="R199" s="913"/>
      <c r="S199" s="913"/>
      <c r="T199" s="913"/>
      <c r="U199" s="915"/>
      <c r="V199" s="441"/>
    </row>
    <row r="200" spans="1:22" ht="17.45" customHeight="1">
      <c r="B200" s="916"/>
      <c r="C200" s="2346" t="s">
        <v>1951</v>
      </c>
      <c r="D200" s="2346"/>
      <c r="E200" s="2346"/>
      <c r="F200" s="2346"/>
      <c r="G200" s="2346"/>
      <c r="H200" s="2346"/>
      <c r="I200" s="2346"/>
      <c r="J200" s="2346"/>
      <c r="K200" s="2346"/>
      <c r="L200" s="2346"/>
      <c r="M200" s="2346"/>
      <c r="N200" s="2346"/>
      <c r="O200" s="2346"/>
      <c r="P200" s="2346"/>
      <c r="Q200" s="2346"/>
      <c r="R200" s="2346"/>
      <c r="S200" s="2346"/>
      <c r="T200" s="2346"/>
      <c r="U200" s="511"/>
      <c r="V200" s="441"/>
    </row>
    <row r="201" spans="1:22" ht="34.5" customHeight="1">
      <c r="A201" s="420"/>
      <c r="B201" s="916"/>
      <c r="C201" s="2346"/>
      <c r="D201" s="2346"/>
      <c r="E201" s="2346"/>
      <c r="F201" s="2346"/>
      <c r="G201" s="2346"/>
      <c r="H201" s="2346"/>
      <c r="I201" s="2346"/>
      <c r="J201" s="2346"/>
      <c r="K201" s="2346"/>
      <c r="L201" s="2346"/>
      <c r="M201" s="2346"/>
      <c r="N201" s="2346"/>
      <c r="O201" s="2346"/>
      <c r="P201" s="2346"/>
      <c r="Q201" s="2346"/>
      <c r="R201" s="2346"/>
      <c r="S201" s="2346"/>
      <c r="T201" s="2346"/>
      <c r="U201" s="511"/>
      <c r="V201" s="420"/>
    </row>
    <row r="202" spans="1:22" ht="3.75" customHeight="1">
      <c r="B202" s="2333"/>
      <c r="C202" s="2334"/>
      <c r="D202" s="2334"/>
      <c r="E202" s="2334"/>
      <c r="F202" s="2334"/>
      <c r="G202" s="2334"/>
      <c r="H202" s="2334"/>
      <c r="I202" s="2334"/>
      <c r="J202" s="2334"/>
      <c r="K202" s="2334"/>
      <c r="L202" s="1978"/>
      <c r="M202" s="1978"/>
      <c r="N202" s="1978"/>
      <c r="O202" s="1978"/>
      <c r="P202" s="1978"/>
      <c r="Q202" s="1978"/>
      <c r="R202" s="1978"/>
      <c r="S202" s="1978"/>
      <c r="T202" s="1978"/>
      <c r="U202" s="1979"/>
    </row>
    <row r="203" spans="1:22" ht="15" customHeight="1">
      <c r="B203" s="1854"/>
      <c r="C203" s="1854"/>
      <c r="D203" s="1854"/>
      <c r="E203" s="1854"/>
      <c r="F203" s="1854"/>
      <c r="G203" s="1854"/>
      <c r="H203" s="1854"/>
      <c r="I203" s="1854"/>
      <c r="J203" s="1854"/>
      <c r="K203" s="1854"/>
      <c r="L203" s="1854"/>
      <c r="M203" s="1854"/>
      <c r="N203" s="1854"/>
      <c r="O203" s="1854"/>
      <c r="P203" s="1854"/>
      <c r="Q203" s="1854"/>
      <c r="R203" s="1854"/>
      <c r="S203" s="1854"/>
      <c r="T203" s="1854"/>
      <c r="U203" s="1854"/>
    </row>
    <row r="204" spans="1:22" ht="3.75" customHeight="1">
      <c r="B204" s="1854"/>
      <c r="C204" s="1854"/>
      <c r="D204" s="1854"/>
      <c r="E204" s="1854"/>
      <c r="F204" s="1854"/>
      <c r="G204" s="1854"/>
      <c r="H204" s="1854"/>
      <c r="I204" s="1854"/>
      <c r="J204" s="1854"/>
      <c r="K204" s="1854"/>
      <c r="L204" s="1854"/>
      <c r="M204" s="1854"/>
      <c r="N204" s="1854"/>
      <c r="O204" s="1854"/>
      <c r="P204" s="1854"/>
      <c r="Q204" s="1854"/>
      <c r="R204" s="1854"/>
      <c r="S204" s="1854"/>
      <c r="T204" s="1854"/>
      <c r="U204" s="1854"/>
    </row>
    <row r="205" spans="1:22" ht="15.75">
      <c r="A205" s="420"/>
      <c r="B205" s="420"/>
      <c r="C205" s="420"/>
      <c r="D205" s="420"/>
      <c r="E205" s="420"/>
      <c r="F205" s="420"/>
      <c r="G205" s="420"/>
      <c r="H205" s="420"/>
      <c r="I205" s="420"/>
      <c r="J205" s="420"/>
      <c r="K205" s="420"/>
      <c r="L205" s="420"/>
      <c r="M205" s="476" t="s">
        <v>1389</v>
      </c>
      <c r="N205" s="420"/>
      <c r="O205" s="420"/>
      <c r="P205" s="420"/>
      <c r="Q205" s="420"/>
      <c r="R205" s="477" t="s">
        <v>692</v>
      </c>
      <c r="S205" s="478" t="str">
        <f>$E$31</f>
        <v>ILF5_90FCOSCP_B114CAGR43006</v>
      </c>
      <c r="T205" s="420"/>
      <c r="U205" s="420"/>
      <c r="V205" s="420"/>
    </row>
    <row r="206" spans="1:22">
      <c r="A206" s="420"/>
      <c r="B206" s="420"/>
      <c r="C206" s="420"/>
      <c r="D206" s="420"/>
      <c r="E206" s="420"/>
      <c r="F206" s="420"/>
      <c r="G206" s="420"/>
      <c r="H206" s="420"/>
      <c r="I206" s="420"/>
      <c r="J206" s="420"/>
      <c r="K206" s="420"/>
      <c r="L206" s="420"/>
      <c r="M206" s="420"/>
      <c r="N206" s="420"/>
      <c r="O206" s="420"/>
      <c r="P206" s="420"/>
      <c r="Q206" s="420"/>
      <c r="R206" s="420"/>
      <c r="S206" s="420"/>
      <c r="T206" s="420"/>
      <c r="U206" s="420"/>
      <c r="V206" s="420"/>
    </row>
    <row r="208" spans="1:22">
      <c r="A208" s="420"/>
      <c r="B208" s="420"/>
      <c r="C208" s="420"/>
      <c r="D208" s="420"/>
      <c r="E208" s="420"/>
      <c r="F208" s="420"/>
      <c r="G208" s="420"/>
      <c r="H208" s="436" t="s">
        <v>690</v>
      </c>
      <c r="I208" s="420"/>
      <c r="K208" s="420"/>
      <c r="L208" s="437" t="str">
        <f>$B$11</f>
        <v>INMOBILIARIA SERVIGESTION</v>
      </c>
      <c r="M208" s="420"/>
      <c r="N208" s="420"/>
      <c r="O208" s="420"/>
      <c r="P208" s="420"/>
      <c r="Q208" s="420"/>
      <c r="R208" s="420"/>
      <c r="S208" s="420"/>
      <c r="T208" s="420"/>
      <c r="U208" s="420"/>
      <c r="V208" s="420"/>
    </row>
    <row r="209" spans="1:22">
      <c r="A209" s="420"/>
      <c r="B209" s="420"/>
      <c r="C209" s="420"/>
      <c r="D209" s="420"/>
      <c r="E209" s="420"/>
      <c r="F209" s="420"/>
      <c r="G209" s="420"/>
      <c r="H209" s="420"/>
      <c r="I209" s="420"/>
      <c r="J209" s="420"/>
      <c r="K209" s="420"/>
      <c r="L209" s="420"/>
      <c r="M209" s="420"/>
      <c r="N209" s="420"/>
      <c r="O209" s="420"/>
      <c r="P209" s="420"/>
      <c r="Q209" s="420"/>
      <c r="R209" s="420"/>
      <c r="S209" s="420"/>
      <c r="T209" s="420"/>
      <c r="U209" s="420"/>
      <c r="V209" s="420"/>
    </row>
    <row r="210" spans="1:22" ht="34.5">
      <c r="A210" s="420"/>
      <c r="B210" s="2268" t="s">
        <v>461</v>
      </c>
      <c r="C210" s="2268"/>
      <c r="D210" s="2268"/>
      <c r="E210" s="2268"/>
      <c r="F210" s="2268"/>
      <c r="G210" s="2268"/>
      <c r="H210" s="2268"/>
      <c r="I210" s="2268"/>
      <c r="J210" s="2268"/>
      <c r="K210" s="2268"/>
      <c r="L210" s="2268"/>
      <c r="M210" s="2268"/>
      <c r="N210" s="2268"/>
      <c r="O210" s="2268"/>
      <c r="P210" s="2268"/>
      <c r="Q210" s="2268"/>
      <c r="R210" s="2268"/>
      <c r="S210" s="2268"/>
      <c r="T210" s="2268"/>
      <c r="U210" s="2268"/>
      <c r="V210" s="420"/>
    </row>
    <row r="211" spans="1:22" ht="22.9" customHeight="1">
      <c r="A211" s="420"/>
      <c r="B211" s="2269" t="s">
        <v>814</v>
      </c>
      <c r="C211" s="2269"/>
      <c r="D211" s="2269"/>
      <c r="E211" s="2269"/>
      <c r="F211" s="2269"/>
      <c r="G211" s="2269"/>
      <c r="H211" s="2269"/>
      <c r="I211" s="2269"/>
      <c r="J211" s="2269"/>
      <c r="K211" s="2269"/>
      <c r="L211" s="2269"/>
      <c r="M211" s="2269"/>
      <c r="N211" s="2269"/>
      <c r="O211" s="2269"/>
      <c r="P211" s="2269"/>
      <c r="Q211" s="2269"/>
      <c r="R211" s="2269"/>
      <c r="S211" s="2269"/>
      <c r="T211" s="2269"/>
      <c r="U211" s="2269"/>
      <c r="V211" s="420"/>
    </row>
    <row r="212" spans="1:22" ht="16.149999999999999" customHeight="1">
      <c r="A212" s="420"/>
      <c r="B212" s="757"/>
      <c r="C212" s="757"/>
      <c r="D212" s="757"/>
      <c r="E212" s="757"/>
      <c r="F212" s="757"/>
      <c r="G212" s="757"/>
      <c r="H212" s="757"/>
      <c r="I212" s="757"/>
      <c r="J212" s="757"/>
      <c r="K212" s="757"/>
      <c r="L212" s="757"/>
      <c r="M212" s="757"/>
      <c r="N212" s="757"/>
      <c r="O212" s="757"/>
      <c r="P212" s="757"/>
      <c r="Q212" s="757"/>
      <c r="R212" s="757"/>
      <c r="S212" s="757"/>
      <c r="T212" s="757"/>
      <c r="U212" s="757"/>
      <c r="V212" s="420"/>
    </row>
    <row r="213" spans="1:22" ht="39.75" customHeight="1">
      <c r="A213" s="420"/>
      <c r="B213" s="2287" t="s">
        <v>789</v>
      </c>
      <c r="C213" s="2287"/>
      <c r="D213" s="2287"/>
      <c r="E213" s="2287"/>
      <c r="F213" s="2287"/>
      <c r="G213" s="2287"/>
      <c r="H213" s="2287"/>
      <c r="I213" s="2287"/>
      <c r="J213" s="2287"/>
      <c r="K213" s="2287"/>
      <c r="L213" s="2287"/>
      <c r="M213" s="2287"/>
      <c r="N213" s="2287"/>
      <c r="O213" s="2287"/>
      <c r="P213" s="2287"/>
      <c r="Q213" s="2287"/>
      <c r="R213" s="2287"/>
      <c r="S213" s="2287"/>
      <c r="T213" s="2287"/>
      <c r="U213" s="2287"/>
      <c r="V213" s="420"/>
    </row>
    <row r="214" spans="1:22" ht="22.15" customHeight="1">
      <c r="A214" s="441"/>
      <c r="B214" s="2566" t="s">
        <v>791</v>
      </c>
      <c r="C214" s="2567"/>
      <c r="D214" s="2567"/>
      <c r="E214" s="2567"/>
      <c r="F214" s="2567"/>
      <c r="G214" s="2567"/>
      <c r="H214" s="2567"/>
      <c r="I214" s="2567"/>
      <c r="J214" s="2567"/>
      <c r="K214" s="2567"/>
      <c r="L214" s="2567"/>
      <c r="M214" s="2567"/>
      <c r="N214" s="2567"/>
      <c r="O214" s="2567"/>
      <c r="P214" s="2567"/>
      <c r="Q214" s="2567"/>
      <c r="R214" s="2567"/>
      <c r="S214" s="2567"/>
      <c r="T214" s="2567"/>
      <c r="U214" s="2568"/>
    </row>
    <row r="215" spans="1:22" ht="48" customHeight="1">
      <c r="B215" s="2329" t="s">
        <v>1911</v>
      </c>
      <c r="C215" s="2330"/>
      <c r="D215" s="2330"/>
      <c r="E215" s="2330"/>
      <c r="F215" s="2330"/>
      <c r="G215" s="2330"/>
      <c r="H215" s="2330"/>
      <c r="I215" s="2330"/>
      <c r="J215" s="2330"/>
      <c r="K215" s="2330"/>
      <c r="L215" s="2330"/>
      <c r="M215" s="2330"/>
      <c r="N215" s="2330"/>
      <c r="O215" s="2330"/>
      <c r="P215" s="2330"/>
      <c r="Q215" s="2330"/>
      <c r="R215" s="2330"/>
      <c r="S215" s="2330"/>
      <c r="T215" s="2330"/>
      <c r="U215" s="2331"/>
      <c r="V215" s="441"/>
    </row>
    <row r="216" spans="1:22">
      <c r="B216" s="1889"/>
      <c r="C216" s="1890"/>
      <c r="D216" s="1890"/>
      <c r="E216" s="1890"/>
      <c r="F216" s="1890"/>
      <c r="G216" s="1890"/>
      <c r="H216" s="1890"/>
      <c r="I216" s="1890"/>
      <c r="J216" s="1890"/>
      <c r="K216" s="1890"/>
      <c r="L216" s="1890"/>
      <c r="M216" s="1890"/>
      <c r="N216" s="1890"/>
      <c r="O216" s="1890"/>
      <c r="P216" s="1890"/>
      <c r="Q216" s="1890"/>
      <c r="R216" s="1890"/>
      <c r="S216" s="1890"/>
      <c r="T216" s="1890"/>
      <c r="U216" s="1891"/>
      <c r="V216" s="441"/>
    </row>
    <row r="217" spans="1:22" ht="23.25">
      <c r="A217" s="441"/>
      <c r="B217" s="1892"/>
      <c r="C217" s="1893"/>
      <c r="D217" s="1894"/>
      <c r="E217" s="1895" t="s">
        <v>469</v>
      </c>
      <c r="F217" s="1896" t="s">
        <v>470</v>
      </c>
      <c r="G217" s="1897"/>
      <c r="H217" s="1897"/>
      <c r="I217" s="1897"/>
      <c r="J217" s="1898"/>
      <c r="K217" s="1894"/>
      <c r="L217" s="1894"/>
      <c r="M217" s="1895" t="s">
        <v>471</v>
      </c>
      <c r="N217" s="1899">
        <v>0</v>
      </c>
      <c r="O217" s="1898"/>
      <c r="P217" s="1865"/>
      <c r="Q217" s="1900" t="s">
        <v>472</v>
      </c>
      <c r="R217" s="1901" t="s">
        <v>790</v>
      </c>
      <c r="S217" s="1898"/>
      <c r="T217" s="1898"/>
      <c r="U217" s="1902"/>
    </row>
    <row r="218" spans="1:22" ht="23.25">
      <c r="A218" s="441"/>
      <c r="B218" s="1892"/>
      <c r="C218" s="1893"/>
      <c r="D218" s="1894"/>
      <c r="E218" s="1895"/>
      <c r="F218" s="1896"/>
      <c r="G218" s="1897"/>
      <c r="H218" s="1897"/>
      <c r="I218" s="1897"/>
      <c r="J218" s="1898"/>
      <c r="K218" s="1894"/>
      <c r="L218" s="1894"/>
      <c r="M218" s="1895"/>
      <c r="N218" s="1899"/>
      <c r="O218" s="1898"/>
      <c r="P218" s="1865"/>
      <c r="Q218" s="1900"/>
      <c r="R218" s="1901" t="s">
        <v>1912</v>
      </c>
      <c r="S218" s="1898"/>
      <c r="T218" s="1898"/>
      <c r="U218" s="1902"/>
    </row>
    <row r="219" spans="1:22" ht="20.25">
      <c r="A219" s="441"/>
      <c r="B219" s="534"/>
      <c r="C219" s="535"/>
      <c r="D219" s="536"/>
      <c r="E219" s="537"/>
      <c r="F219" s="537"/>
      <c r="G219" s="537"/>
      <c r="H219" s="537"/>
      <c r="I219" s="537"/>
      <c r="J219" s="488"/>
      <c r="K219" s="538"/>
      <c r="L219" s="539"/>
      <c r="M219" s="539"/>
      <c r="N219" s="540"/>
      <c r="O219" s="488"/>
      <c r="P219" s="541"/>
      <c r="Q219" s="542"/>
      <c r="R219" s="543"/>
      <c r="S219" s="488"/>
      <c r="T219" s="488"/>
      <c r="U219" s="544"/>
    </row>
    <row r="220" spans="1:22">
      <c r="B220" s="441"/>
      <c r="C220" s="441"/>
      <c r="D220" s="441"/>
      <c r="E220" s="441"/>
      <c r="F220" s="441"/>
      <c r="G220" s="441"/>
      <c r="H220" s="441"/>
      <c r="I220" s="441"/>
      <c r="J220" s="441"/>
      <c r="K220" s="441"/>
      <c r="L220" s="441"/>
      <c r="M220" s="441"/>
      <c r="N220" s="441"/>
      <c r="O220" s="441"/>
      <c r="P220" s="441"/>
      <c r="Q220" s="441"/>
      <c r="R220" s="441"/>
      <c r="S220" s="441"/>
      <c r="T220" s="441"/>
    </row>
    <row r="221" spans="1:22">
      <c r="B221" s="441"/>
      <c r="C221" s="441"/>
      <c r="D221" s="441"/>
      <c r="E221" s="441"/>
      <c r="F221" s="441"/>
      <c r="G221" s="441"/>
      <c r="H221" s="441"/>
      <c r="I221" s="441"/>
      <c r="J221" s="441"/>
      <c r="K221" s="441"/>
      <c r="L221" s="441"/>
      <c r="M221" s="441"/>
      <c r="N221" s="441"/>
      <c r="O221" s="441"/>
      <c r="P221" s="441"/>
      <c r="Q221" s="441"/>
      <c r="R221" s="441"/>
      <c r="S221" s="441"/>
      <c r="T221" s="441"/>
    </row>
    <row r="222" spans="1:22" s="521" customFormat="1" ht="25.5" customHeight="1">
      <c r="B222" s="2251" t="s">
        <v>977</v>
      </c>
      <c r="C222" s="2251"/>
      <c r="D222" s="2251"/>
      <c r="E222" s="2251"/>
      <c r="F222" s="2251"/>
      <c r="G222" s="2251"/>
      <c r="H222" s="2251"/>
      <c r="I222" s="2251"/>
      <c r="J222" s="2251"/>
      <c r="K222" s="2251"/>
      <c r="L222" s="2251"/>
      <c r="M222" s="2251"/>
      <c r="N222" s="2251"/>
      <c r="O222" s="2251"/>
      <c r="P222" s="2251"/>
      <c r="Q222" s="2251"/>
      <c r="R222" s="2251"/>
      <c r="S222" s="2251"/>
      <c r="T222" s="2251"/>
      <c r="U222" s="2251"/>
    </row>
    <row r="223" spans="1:22" s="521" customFormat="1" ht="8.4499999999999993" customHeight="1">
      <c r="B223" s="746"/>
      <c r="C223" s="746"/>
      <c r="D223" s="746"/>
      <c r="E223" s="746"/>
      <c r="F223" s="746"/>
      <c r="G223" s="746"/>
      <c r="H223" s="746"/>
      <c r="I223" s="746"/>
      <c r="J223" s="746"/>
      <c r="K223" s="746"/>
      <c r="L223" s="746"/>
      <c r="M223" s="746"/>
      <c r="N223" s="746"/>
      <c r="O223" s="746"/>
      <c r="P223" s="746"/>
      <c r="Q223" s="746"/>
      <c r="R223" s="746"/>
      <c r="S223" s="746"/>
      <c r="T223" s="746"/>
      <c r="U223" s="746"/>
    </row>
    <row r="224" spans="1:22" ht="22.15" customHeight="1">
      <c r="A224" s="441"/>
      <c r="B224" s="2342" t="s">
        <v>1913</v>
      </c>
      <c r="C224" s="2343"/>
      <c r="D224" s="2343"/>
      <c r="E224" s="2343"/>
      <c r="F224" s="2343"/>
      <c r="G224" s="2343"/>
      <c r="H224" s="2343"/>
      <c r="I224" s="2343"/>
      <c r="J224" s="2343"/>
      <c r="K224" s="2343"/>
      <c r="L224" s="2343"/>
      <c r="M224" s="2343"/>
      <c r="N224" s="2343"/>
      <c r="O224" s="2343"/>
      <c r="P224" s="2343"/>
      <c r="Q224" s="2343"/>
      <c r="R224" s="2343"/>
      <c r="S224" s="2343"/>
      <c r="T224" s="2343"/>
      <c r="U224" s="2344"/>
    </row>
    <row r="225" spans="1:22" ht="54.6" customHeight="1">
      <c r="B225" s="2336" t="s">
        <v>1914</v>
      </c>
      <c r="C225" s="2337"/>
      <c r="D225" s="2337"/>
      <c r="E225" s="2337"/>
      <c r="F225" s="2337"/>
      <c r="G225" s="2337"/>
      <c r="H225" s="2337"/>
      <c r="I225" s="2337"/>
      <c r="J225" s="2337"/>
      <c r="K225" s="2337"/>
      <c r="L225" s="2337"/>
      <c r="M225" s="2337"/>
      <c r="N225" s="2337"/>
      <c r="O225" s="2337"/>
      <c r="P225" s="2337"/>
      <c r="Q225" s="2337"/>
      <c r="R225" s="2337"/>
      <c r="S225" s="2337"/>
      <c r="T225" s="2337"/>
      <c r="U225" s="2338"/>
      <c r="V225" s="441"/>
    </row>
    <row r="226" spans="1:22">
      <c r="B226" s="1864"/>
      <c r="C226" s="1865"/>
      <c r="D226" s="1865"/>
      <c r="E226" s="1865"/>
      <c r="F226" s="1865"/>
      <c r="G226" s="1865"/>
      <c r="H226" s="1865"/>
      <c r="I226" s="1865"/>
      <c r="J226" s="1865"/>
      <c r="K226" s="1865"/>
      <c r="L226" s="1865"/>
      <c r="M226" s="1865"/>
      <c r="N226" s="1865"/>
      <c r="O226" s="1865"/>
      <c r="P226" s="1865"/>
      <c r="Q226" s="1865"/>
      <c r="R226" s="1865"/>
      <c r="S226" s="1865"/>
      <c r="T226" s="1865"/>
      <c r="U226" s="1915"/>
      <c r="V226" s="441"/>
    </row>
    <row r="227" spans="1:22" ht="23.25">
      <c r="A227" s="441"/>
      <c r="B227" s="1864"/>
      <c r="C227" s="1865"/>
      <c r="D227" s="1865"/>
      <c r="E227" s="1895" t="s">
        <v>474</v>
      </c>
      <c r="F227" s="1916" t="s">
        <v>475</v>
      </c>
      <c r="G227" s="1917"/>
      <c r="H227" s="1865"/>
      <c r="I227" s="1916"/>
      <c r="J227" s="1916"/>
      <c r="K227" s="1918"/>
      <c r="L227" s="1894"/>
      <c r="M227" s="1895" t="s">
        <v>476</v>
      </c>
      <c r="N227" s="1919">
        <v>7.0000000000000007E-2</v>
      </c>
      <c r="O227" s="1865"/>
      <c r="P227" s="1865"/>
      <c r="Q227" s="1920" t="s">
        <v>472</v>
      </c>
      <c r="R227" s="1921" t="s">
        <v>473</v>
      </c>
      <c r="S227" s="1865"/>
      <c r="T227" s="1865"/>
      <c r="U227" s="1915"/>
    </row>
    <row r="228" spans="1:22" ht="10.9" customHeight="1">
      <c r="A228" s="441"/>
      <c r="B228" s="1922"/>
      <c r="C228" s="1923"/>
      <c r="D228" s="1924"/>
      <c r="E228" s="1924"/>
      <c r="F228" s="1924"/>
      <c r="G228" s="1924"/>
      <c r="H228" s="1924"/>
      <c r="I228" s="1924"/>
      <c r="J228" s="1924"/>
      <c r="K228" s="1924"/>
      <c r="L228" s="1924"/>
      <c r="M228" s="1924"/>
      <c r="N228" s="1871"/>
      <c r="O228" s="1918"/>
      <c r="P228" s="1894"/>
      <c r="Q228" s="1894"/>
      <c r="R228" s="1925"/>
      <c r="S228" s="1918"/>
      <c r="T228" s="1918"/>
      <c r="U228" s="1926"/>
    </row>
    <row r="229" spans="1:22" ht="22.15" customHeight="1">
      <c r="A229" s="441"/>
      <c r="B229" s="2329" t="s">
        <v>681</v>
      </c>
      <c r="C229" s="2330"/>
      <c r="D229" s="2330"/>
      <c r="E229" s="2330"/>
      <c r="F229" s="2330"/>
      <c r="G229" s="2330"/>
      <c r="H229" s="2330"/>
      <c r="I229" s="2330"/>
      <c r="J229" s="2330"/>
      <c r="K229" s="2330"/>
      <c r="L229" s="2330"/>
      <c r="M229" s="2330"/>
      <c r="N229" s="2330"/>
      <c r="O229" s="2330"/>
      <c r="P229" s="2330"/>
      <c r="Q229" s="2330"/>
      <c r="R229" s="2330"/>
      <c r="S229" s="2330"/>
      <c r="T229" s="2330"/>
      <c r="U229" s="2331"/>
    </row>
    <row r="230" spans="1:22" ht="21" customHeight="1">
      <c r="A230" s="441"/>
      <c r="B230" s="2329" t="s">
        <v>477</v>
      </c>
      <c r="C230" s="2330"/>
      <c r="D230" s="2330"/>
      <c r="E230" s="2330"/>
      <c r="F230" s="2330"/>
      <c r="G230" s="2330"/>
      <c r="H230" s="2330"/>
      <c r="I230" s="2330"/>
      <c r="J230" s="2330"/>
      <c r="K230" s="2330"/>
      <c r="L230" s="2330"/>
      <c r="M230" s="2330"/>
      <c r="N230" s="2330"/>
      <c r="O230" s="2330"/>
      <c r="P230" s="2330"/>
      <c r="Q230" s="2330"/>
      <c r="R230" s="2330"/>
      <c r="S230" s="2330"/>
      <c r="T230" s="2330"/>
      <c r="U230" s="2331"/>
    </row>
    <row r="231" spans="1:22" ht="21" customHeight="1">
      <c r="A231" s="441"/>
      <c r="B231" s="1927"/>
      <c r="C231" s="1928"/>
      <c r="D231" s="1928"/>
      <c r="E231" s="1928"/>
      <c r="F231" s="1928"/>
      <c r="G231" s="1928"/>
      <c r="H231" s="1928"/>
      <c r="I231" s="1928"/>
      <c r="J231" s="1928"/>
      <c r="K231" s="1928"/>
      <c r="L231" s="1928"/>
      <c r="M231" s="1928"/>
      <c r="N231" s="1928"/>
      <c r="O231" s="1928"/>
      <c r="P231" s="1928"/>
      <c r="Q231" s="1928"/>
      <c r="R231" s="1928"/>
      <c r="S231" s="1928"/>
      <c r="T231" s="1928"/>
      <c r="U231" s="1929"/>
    </row>
    <row r="232" spans="1:22" ht="21" customHeight="1">
      <c r="A232" s="441"/>
      <c r="B232" s="1930"/>
      <c r="C232" s="1930"/>
      <c r="D232" s="1930"/>
      <c r="E232" s="1930"/>
      <c r="F232" s="1930"/>
      <c r="G232" s="1930"/>
      <c r="H232" s="1930"/>
      <c r="I232" s="1930"/>
      <c r="J232" s="1930"/>
      <c r="K232" s="1930"/>
      <c r="L232" s="1930"/>
      <c r="M232" s="1930"/>
      <c r="N232" s="1930"/>
      <c r="O232" s="1930"/>
      <c r="P232" s="1930"/>
      <c r="Q232" s="1930"/>
      <c r="R232" s="1930"/>
      <c r="S232" s="1930"/>
      <c r="T232" s="1930"/>
      <c r="U232" s="1930"/>
    </row>
    <row r="233" spans="1:22" ht="19.149999999999999" customHeight="1">
      <c r="B233" s="2342" t="s">
        <v>1915</v>
      </c>
      <c r="C233" s="2343"/>
      <c r="D233" s="2343"/>
      <c r="E233" s="2343"/>
      <c r="F233" s="2343"/>
      <c r="G233" s="2343"/>
      <c r="H233" s="2343"/>
      <c r="I233" s="2343"/>
      <c r="J233" s="2343"/>
      <c r="K233" s="2343"/>
      <c r="L233" s="2343"/>
      <c r="M233" s="2343"/>
      <c r="N233" s="2343"/>
      <c r="O233" s="2343"/>
      <c r="P233" s="2343"/>
      <c r="Q233" s="2343"/>
      <c r="R233" s="2343"/>
      <c r="S233" s="2343"/>
      <c r="T233" s="2343"/>
      <c r="U233" s="2344"/>
    </row>
    <row r="234" spans="1:22" ht="24.75" customHeight="1">
      <c r="B234" s="2336" t="s">
        <v>1916</v>
      </c>
      <c r="C234" s="2337"/>
      <c r="D234" s="2337"/>
      <c r="E234" s="2337"/>
      <c r="F234" s="2337"/>
      <c r="G234" s="2337"/>
      <c r="H234" s="2337"/>
      <c r="I234" s="2337"/>
      <c r="J234" s="2337"/>
      <c r="K234" s="2337"/>
      <c r="L234" s="2337"/>
      <c r="M234" s="2337"/>
      <c r="N234" s="2337"/>
      <c r="O234" s="2337"/>
      <c r="P234" s="2337"/>
      <c r="Q234" s="2337"/>
      <c r="R234" s="2337"/>
      <c r="S234" s="2337"/>
      <c r="T234" s="2337"/>
      <c r="U234" s="2338"/>
      <c r="V234" s="441"/>
    </row>
    <row r="235" spans="1:22">
      <c r="B235" s="1864"/>
      <c r="C235" s="1865"/>
      <c r="D235" s="1865"/>
      <c r="E235" s="1865"/>
      <c r="F235" s="1865"/>
      <c r="G235" s="1865"/>
      <c r="H235" s="1865"/>
      <c r="I235" s="1865"/>
      <c r="J235" s="1865"/>
      <c r="K235" s="1865"/>
      <c r="L235" s="1865"/>
      <c r="M235" s="1865"/>
      <c r="N235" s="1865"/>
      <c r="O235" s="1865"/>
      <c r="P235" s="1865"/>
      <c r="Q235" s="1865"/>
      <c r="R235" s="1865"/>
      <c r="S235" s="1865"/>
      <c r="T235" s="1865"/>
      <c r="U235" s="1915"/>
      <c r="V235" s="441"/>
    </row>
    <row r="236" spans="1:22" ht="23.25">
      <c r="B236" s="1864"/>
      <c r="C236" s="1865"/>
      <c r="D236" s="1923"/>
      <c r="E236" s="1895" t="s">
        <v>478</v>
      </c>
      <c r="F236" s="1896" t="s">
        <v>479</v>
      </c>
      <c r="G236" s="1865"/>
      <c r="H236" s="1865"/>
      <c r="I236" s="1865"/>
      <c r="J236" s="1865"/>
      <c r="K236" s="1865"/>
      <c r="L236" s="1865"/>
      <c r="M236" s="1865"/>
      <c r="N236" s="1865"/>
      <c r="O236" s="1865"/>
      <c r="P236" s="1865"/>
      <c r="Q236" s="1900" t="s">
        <v>472</v>
      </c>
      <c r="R236" s="1896" t="s">
        <v>480</v>
      </c>
      <c r="S236" s="1865"/>
      <c r="T236" s="1865"/>
      <c r="U236" s="1915"/>
      <c r="V236" s="441"/>
    </row>
    <row r="237" spans="1:22">
      <c r="B237" s="1864"/>
      <c r="C237" s="1865"/>
      <c r="D237" s="1865"/>
      <c r="E237" s="1865"/>
      <c r="F237" s="1865"/>
      <c r="G237" s="1865"/>
      <c r="H237" s="1865"/>
      <c r="I237" s="1865"/>
      <c r="J237" s="1865"/>
      <c r="K237" s="1865"/>
      <c r="L237" s="1865"/>
      <c r="M237" s="1865"/>
      <c r="N237" s="1865"/>
      <c r="O237" s="1865"/>
      <c r="P237" s="1865"/>
      <c r="Q237" s="1865"/>
      <c r="R237" s="1865"/>
      <c r="S237" s="1865"/>
      <c r="T237" s="1865"/>
      <c r="U237" s="1915"/>
      <c r="V237" s="441"/>
    </row>
    <row r="238" spans="1:22" ht="20.45" customHeight="1">
      <c r="B238" s="2339" t="s">
        <v>481</v>
      </c>
      <c r="C238" s="2340"/>
      <c r="D238" s="2340"/>
      <c r="E238" s="2340"/>
      <c r="F238" s="2340"/>
      <c r="G238" s="2340"/>
      <c r="H238" s="2340"/>
      <c r="I238" s="2340"/>
      <c r="J238" s="2340"/>
      <c r="K238" s="2340"/>
      <c r="L238" s="2340"/>
      <c r="M238" s="2340"/>
      <c r="N238" s="2340"/>
      <c r="O238" s="2340"/>
      <c r="P238" s="2340"/>
      <c r="Q238" s="2340"/>
      <c r="R238" s="2340"/>
      <c r="S238" s="2340"/>
      <c r="T238" s="2340"/>
      <c r="U238" s="2341"/>
      <c r="V238" s="441"/>
    </row>
    <row r="239" spans="1:22" ht="18">
      <c r="B239" s="1931"/>
      <c r="C239" s="1913"/>
      <c r="D239" s="1907"/>
      <c r="E239" s="1907"/>
      <c r="F239" s="1907"/>
      <c r="G239" s="1906"/>
      <c r="H239" s="1906"/>
      <c r="I239" s="1906"/>
      <c r="J239" s="1906"/>
      <c r="K239" s="1906"/>
      <c r="L239" s="1906"/>
      <c r="M239" s="1906"/>
      <c r="N239" s="1909"/>
      <c r="O239" s="1908"/>
      <c r="P239" s="1907"/>
      <c r="Q239" s="1907"/>
      <c r="R239" s="1932"/>
      <c r="S239" s="1908"/>
      <c r="T239" s="1908"/>
      <c r="U239" s="1933"/>
      <c r="V239" s="441"/>
    </row>
    <row r="240" spans="1:22" ht="23.25">
      <c r="A240" s="441"/>
      <c r="B240" s="1852"/>
      <c r="C240" s="1852"/>
      <c r="D240" s="1852"/>
      <c r="E240" s="1852"/>
      <c r="F240" s="1852"/>
      <c r="G240" s="1852"/>
      <c r="H240" s="1852"/>
      <c r="I240" s="1852"/>
      <c r="J240" s="1852"/>
      <c r="K240" s="1852"/>
      <c r="L240" s="1852"/>
      <c r="M240" s="1852"/>
      <c r="N240" s="1852"/>
      <c r="O240" s="1852"/>
      <c r="P240" s="1852"/>
      <c r="Q240" s="1852"/>
      <c r="R240" s="1852"/>
      <c r="S240" s="1852"/>
      <c r="T240" s="1852"/>
      <c r="U240" s="1852"/>
    </row>
    <row r="241" spans="1:22" ht="22.15" customHeight="1">
      <c r="B241" s="2342" t="s">
        <v>1917</v>
      </c>
      <c r="C241" s="2343"/>
      <c r="D241" s="2343"/>
      <c r="E241" s="2343"/>
      <c r="F241" s="2343"/>
      <c r="G241" s="2343"/>
      <c r="H241" s="2343"/>
      <c r="I241" s="2343"/>
      <c r="J241" s="2343"/>
      <c r="K241" s="2343"/>
      <c r="L241" s="2343"/>
      <c r="M241" s="2343"/>
      <c r="N241" s="2343"/>
      <c r="O241" s="2343"/>
      <c r="P241" s="2343"/>
      <c r="Q241" s="2343"/>
      <c r="R241" s="2343"/>
      <c r="S241" s="2343"/>
      <c r="T241" s="2343"/>
      <c r="U241" s="2344"/>
      <c r="V241" s="441"/>
    </row>
    <row r="242" spans="1:22" ht="22.15" customHeight="1">
      <c r="B242" s="2336" t="s">
        <v>1918</v>
      </c>
      <c r="C242" s="2337"/>
      <c r="D242" s="2337"/>
      <c r="E242" s="2337"/>
      <c r="F242" s="2337"/>
      <c r="G242" s="2337"/>
      <c r="H242" s="2337"/>
      <c r="I242" s="2337"/>
      <c r="J242" s="2337"/>
      <c r="K242" s="2337"/>
      <c r="L242" s="2337"/>
      <c r="M242" s="2337"/>
      <c r="N242" s="2337"/>
      <c r="O242" s="2337"/>
      <c r="P242" s="2337"/>
      <c r="Q242" s="2337"/>
      <c r="R242" s="2337"/>
      <c r="S242" s="2337"/>
      <c r="T242" s="2337"/>
      <c r="U242" s="2338"/>
      <c r="V242" s="441"/>
    </row>
    <row r="243" spans="1:22">
      <c r="B243" s="1864"/>
      <c r="C243" s="1865"/>
      <c r="D243" s="1865"/>
      <c r="E243" s="1865"/>
      <c r="F243" s="1865"/>
      <c r="G243" s="1865"/>
      <c r="H243" s="1865"/>
      <c r="I243" s="1865"/>
      <c r="J243" s="1865"/>
      <c r="K243" s="1865"/>
      <c r="L243" s="1865"/>
      <c r="M243" s="1865"/>
      <c r="N243" s="1865"/>
      <c r="O243" s="1865"/>
      <c r="P243" s="1865"/>
      <c r="Q243" s="1865"/>
      <c r="R243" s="1865"/>
      <c r="S243" s="1865"/>
      <c r="T243" s="1865"/>
      <c r="U243" s="1915"/>
    </row>
    <row r="244" spans="1:22" ht="23.25">
      <c r="B244" s="1864"/>
      <c r="C244" s="1934"/>
      <c r="D244" s="1923"/>
      <c r="E244" s="1935" t="s">
        <v>482</v>
      </c>
      <c r="F244" s="1917" t="s">
        <v>883</v>
      </c>
      <c r="G244" s="1865"/>
      <c r="H244" s="1923"/>
      <c r="I244" s="563"/>
      <c r="J244" s="1923"/>
      <c r="K244" s="1923"/>
      <c r="L244" s="564"/>
      <c r="M244" s="1924"/>
      <c r="N244" s="1894"/>
      <c r="O244" s="1925"/>
      <c r="P244" s="1865"/>
      <c r="Q244" s="1920" t="s">
        <v>472</v>
      </c>
      <c r="R244" s="1921" t="s">
        <v>473</v>
      </c>
      <c r="S244" s="1865"/>
      <c r="T244" s="1865"/>
      <c r="U244" s="1915"/>
    </row>
    <row r="245" spans="1:22" ht="23.25">
      <c r="B245" s="1931"/>
      <c r="C245" s="1913"/>
      <c r="D245" s="1904"/>
      <c r="E245" s="1936"/>
      <c r="F245" s="1937"/>
      <c r="G245" s="1907"/>
      <c r="H245" s="1904"/>
      <c r="I245" s="567"/>
      <c r="J245" s="1904"/>
      <c r="K245" s="1904"/>
      <c r="L245" s="568"/>
      <c r="M245" s="1906"/>
      <c r="N245" s="1909"/>
      <c r="O245" s="1932"/>
      <c r="P245" s="1938"/>
      <c r="Q245" s="1939"/>
      <c r="R245" s="1913"/>
      <c r="S245" s="1907"/>
      <c r="T245" s="1907"/>
      <c r="U245" s="1914"/>
    </row>
    <row r="246" spans="1:22" ht="20.25">
      <c r="B246" s="441"/>
      <c r="C246" s="561"/>
      <c r="D246" s="552"/>
      <c r="E246" s="552"/>
      <c r="F246" s="545"/>
      <c r="G246" s="441"/>
      <c r="H246" s="553"/>
      <c r="I246" s="553"/>
      <c r="J246" s="553"/>
      <c r="K246" s="571"/>
      <c r="L246" s="553"/>
      <c r="M246" s="553"/>
      <c r="N246" s="548"/>
      <c r="O246" s="554"/>
      <c r="P246" s="572"/>
      <c r="Q246" s="573"/>
      <c r="R246" s="561"/>
      <c r="S246" s="441"/>
      <c r="T246" s="441"/>
      <c r="U246" s="441"/>
    </row>
    <row r="247" spans="1:22" ht="22.15" customHeight="1">
      <c r="A247" s="441"/>
      <c r="B247" s="2304" t="s">
        <v>483</v>
      </c>
      <c r="C247" s="2305"/>
      <c r="D247" s="2305"/>
      <c r="E247" s="2305"/>
      <c r="F247" s="2305"/>
      <c r="G247" s="2305"/>
      <c r="H247" s="2305"/>
      <c r="I247" s="2305"/>
      <c r="J247" s="2305"/>
      <c r="K247" s="2305"/>
      <c r="L247" s="2305"/>
      <c r="M247" s="2305"/>
      <c r="N247" s="2305"/>
      <c r="O247" s="2305"/>
      <c r="P247" s="2305"/>
      <c r="Q247" s="2305"/>
      <c r="R247" s="2305"/>
      <c r="S247" s="2305"/>
      <c r="T247" s="2305"/>
      <c r="U247" s="2386"/>
    </row>
    <row r="248" spans="1:22" ht="22.15" customHeight="1">
      <c r="A248" s="441"/>
      <c r="B248" s="2345" t="s">
        <v>484</v>
      </c>
      <c r="C248" s="2346"/>
      <c r="D248" s="2346"/>
      <c r="E248" s="2346"/>
      <c r="F248" s="2346"/>
      <c r="G248" s="2346"/>
      <c r="H248" s="2346"/>
      <c r="I248" s="2346"/>
      <c r="J248" s="2346"/>
      <c r="K248" s="2346"/>
      <c r="L248" s="2346"/>
      <c r="M248" s="2346"/>
      <c r="N248" s="2346"/>
      <c r="O248" s="2346"/>
      <c r="P248" s="2346"/>
      <c r="Q248" s="2346"/>
      <c r="R248" s="2346"/>
      <c r="S248" s="2346"/>
      <c r="T248" s="2346"/>
      <c r="U248" s="2347"/>
    </row>
    <row r="249" spans="1:22" ht="23.25">
      <c r="A249" s="441"/>
      <c r="B249" s="749"/>
      <c r="C249" s="750"/>
      <c r="D249" s="750"/>
      <c r="E249" s="750"/>
      <c r="F249" s="750"/>
      <c r="G249" s="750"/>
      <c r="H249" s="750"/>
      <c r="I249" s="750"/>
      <c r="J249" s="750"/>
      <c r="K249" s="750"/>
      <c r="L249" s="750"/>
      <c r="M249" s="750"/>
      <c r="N249" s="750"/>
      <c r="O249" s="750"/>
      <c r="P249" s="750"/>
      <c r="Q249" s="750"/>
      <c r="R249" s="750"/>
      <c r="S249" s="750"/>
      <c r="T249" s="750"/>
      <c r="U249" s="751"/>
    </row>
    <row r="250" spans="1:22" ht="23.25">
      <c r="A250" s="441"/>
      <c r="B250" s="749"/>
      <c r="C250" s="576" t="s">
        <v>485</v>
      </c>
      <c r="D250" s="441"/>
      <c r="F250" s="577">
        <v>5</v>
      </c>
      <c r="G250" s="546"/>
      <c r="H250" s="441"/>
      <c r="I250" s="545"/>
      <c r="J250" s="545"/>
      <c r="K250" s="547"/>
      <c r="L250" s="576" t="s">
        <v>486</v>
      </c>
      <c r="Q250" s="577" t="s">
        <v>685</v>
      </c>
      <c r="R250" s="545"/>
      <c r="S250" s="545"/>
      <c r="T250" s="545"/>
      <c r="U250" s="451"/>
    </row>
    <row r="251" spans="1:22" ht="23.25">
      <c r="A251" s="441"/>
      <c r="B251" s="749"/>
      <c r="C251" s="750"/>
      <c r="D251" s="441"/>
      <c r="E251" s="531"/>
      <c r="F251" s="577"/>
      <c r="G251" s="546"/>
      <c r="H251" s="441"/>
      <c r="I251" s="545"/>
      <c r="J251" s="545"/>
      <c r="K251" s="547"/>
      <c r="L251" s="750"/>
      <c r="M251" s="441"/>
      <c r="N251" s="531"/>
      <c r="P251" s="546"/>
      <c r="Q251" s="577" t="s">
        <v>686</v>
      </c>
      <c r="R251" s="545"/>
      <c r="S251" s="545"/>
      <c r="T251" s="545"/>
      <c r="U251" s="451"/>
    </row>
    <row r="252" spans="1:22" ht="63.6" customHeight="1">
      <c r="A252" s="441"/>
      <c r="B252" s="578"/>
      <c r="C252" s="2378" t="s">
        <v>489</v>
      </c>
      <c r="D252" s="2378"/>
      <c r="E252" s="2378"/>
      <c r="F252" s="2378"/>
      <c r="G252" s="2378"/>
      <c r="H252" s="2378"/>
      <c r="I252" s="2378"/>
      <c r="J252" s="2378"/>
      <c r="K252" s="579"/>
      <c r="L252" s="2378" t="s">
        <v>490</v>
      </c>
      <c r="M252" s="2378"/>
      <c r="N252" s="2378"/>
      <c r="O252" s="2378"/>
      <c r="P252" s="2378"/>
      <c r="Q252" s="2378"/>
      <c r="R252" s="2378"/>
      <c r="S252" s="2378"/>
      <c r="T252" s="2378"/>
      <c r="U252" s="751"/>
    </row>
    <row r="253" spans="1:22" s="522" customFormat="1" ht="100.15" customHeight="1">
      <c r="B253" s="578"/>
      <c r="C253" s="2378" t="s">
        <v>815</v>
      </c>
      <c r="D253" s="2378"/>
      <c r="E253" s="2378"/>
      <c r="F253" s="2378"/>
      <c r="G253" s="2378"/>
      <c r="H253" s="2378"/>
      <c r="I253" s="2378"/>
      <c r="J253" s="2378"/>
      <c r="K253" s="2378"/>
      <c r="L253" s="2378"/>
      <c r="M253" s="2378"/>
      <c r="N253" s="2378"/>
      <c r="O253" s="2378"/>
      <c r="P253" s="2378"/>
      <c r="Q253" s="2378"/>
      <c r="R253" s="2378"/>
      <c r="S253" s="2378"/>
      <c r="T253" s="2378"/>
      <c r="U253" s="580"/>
    </row>
    <row r="254" spans="1:22" ht="22.9" customHeight="1">
      <c r="A254" s="441"/>
      <c r="B254" s="581"/>
      <c r="C254" s="488"/>
      <c r="D254" s="582"/>
      <c r="E254" s="582"/>
      <c r="F254" s="582"/>
      <c r="G254" s="543"/>
      <c r="H254" s="543"/>
      <c r="I254" s="543"/>
      <c r="J254" s="543"/>
      <c r="K254" s="543"/>
      <c r="L254" s="543"/>
      <c r="M254" s="543"/>
      <c r="N254" s="543"/>
      <c r="O254" s="543"/>
      <c r="P254" s="543"/>
      <c r="Q254" s="543"/>
      <c r="R254" s="543"/>
      <c r="S254" s="543"/>
      <c r="T254" s="543"/>
      <c r="U254" s="557"/>
    </row>
    <row r="255" spans="1:22" ht="23.25">
      <c r="A255" s="441"/>
      <c r="B255" s="520"/>
      <c r="C255" s="583"/>
      <c r="D255" s="583"/>
      <c r="E255" s="583"/>
      <c r="F255" s="583"/>
      <c r="G255" s="561"/>
      <c r="H255" s="561"/>
      <c r="I255" s="561"/>
      <c r="J255" s="561"/>
      <c r="K255" s="561"/>
      <c r="L255" s="561"/>
      <c r="M255" s="561"/>
      <c r="N255" s="561"/>
      <c r="O255" s="561"/>
      <c r="P255" s="561"/>
      <c r="Q255" s="561"/>
      <c r="R255" s="561"/>
      <c r="S255" s="561"/>
      <c r="T255" s="561"/>
      <c r="U255" s="750"/>
    </row>
    <row r="256" spans="1:22" ht="20.25" customHeight="1">
      <c r="B256" s="522"/>
      <c r="C256" s="584"/>
      <c r="D256" s="584"/>
      <c r="E256" s="584"/>
      <c r="F256" s="584"/>
      <c r="G256" s="522"/>
      <c r="H256" s="522"/>
      <c r="I256" s="522"/>
      <c r="J256" s="522"/>
      <c r="K256" s="522"/>
      <c r="L256" s="522"/>
      <c r="M256" s="476" t="s">
        <v>1390</v>
      </c>
      <c r="N256" s="522"/>
      <c r="O256" s="522"/>
      <c r="P256" s="522"/>
      <c r="Q256" s="522"/>
      <c r="R256" s="477" t="s">
        <v>692</v>
      </c>
      <c r="S256" s="478" t="str">
        <f>$E$31</f>
        <v>ILF5_90FCOSCP_B114CAGR43006</v>
      </c>
      <c r="T256" s="522"/>
    </row>
    <row r="257" spans="1:22" ht="16.899999999999999" customHeight="1">
      <c r="B257" s="522"/>
      <c r="C257" s="585"/>
      <c r="D257" s="584"/>
      <c r="E257" s="584"/>
      <c r="F257" s="584"/>
      <c r="G257" s="586"/>
      <c r="H257" s="586"/>
      <c r="I257" s="586"/>
      <c r="J257" s="586"/>
      <c r="K257" s="587"/>
      <c r="L257" s="587"/>
      <c r="M257" s="587"/>
      <c r="N257" s="587"/>
      <c r="O257" s="587"/>
      <c r="P257" s="587"/>
      <c r="Q257" s="561"/>
      <c r="R257" s="561"/>
      <c r="S257" s="441"/>
      <c r="T257" s="441"/>
      <c r="U257" s="588"/>
      <c r="V257" s="441"/>
    </row>
    <row r="258" spans="1:22">
      <c r="A258" s="420"/>
      <c r="B258" s="420"/>
      <c r="C258" s="420"/>
      <c r="D258" s="420"/>
      <c r="E258" s="420"/>
      <c r="F258" s="420"/>
      <c r="G258" s="420"/>
      <c r="H258" s="436" t="s">
        <v>690</v>
      </c>
      <c r="I258" s="420"/>
      <c r="K258" s="420"/>
      <c r="L258" s="437" t="str">
        <f>$B$11</f>
        <v>INMOBILIARIA SERVIGESTION</v>
      </c>
      <c r="M258" s="420"/>
      <c r="N258" s="420"/>
      <c r="O258" s="420"/>
      <c r="P258" s="420"/>
      <c r="Q258" s="420"/>
      <c r="R258" s="420"/>
      <c r="S258" s="420"/>
      <c r="T258" s="420"/>
      <c r="U258" s="420"/>
      <c r="V258" s="420"/>
    </row>
    <row r="259" spans="1:22" ht="34.5">
      <c r="A259" s="420"/>
      <c r="B259" s="2268" t="s">
        <v>461</v>
      </c>
      <c r="C259" s="2268"/>
      <c r="D259" s="2268"/>
      <c r="E259" s="2268"/>
      <c r="F259" s="2268"/>
      <c r="G259" s="2268"/>
      <c r="H259" s="2268"/>
      <c r="I259" s="2268"/>
      <c r="J259" s="2268"/>
      <c r="K259" s="2268"/>
      <c r="L259" s="2268"/>
      <c r="M259" s="2268"/>
      <c r="N259" s="2268"/>
      <c r="O259" s="2268"/>
      <c r="P259" s="2268"/>
      <c r="Q259" s="2268"/>
      <c r="R259" s="2268"/>
      <c r="S259" s="2268"/>
      <c r="T259" s="2268"/>
      <c r="U259" s="2268"/>
      <c r="V259" s="420"/>
    </row>
    <row r="260" spans="1:22" ht="22.9" customHeight="1">
      <c r="A260" s="420"/>
      <c r="B260" s="2269" t="s">
        <v>728</v>
      </c>
      <c r="C260" s="2269"/>
      <c r="D260" s="2269"/>
      <c r="E260" s="2269"/>
      <c r="F260" s="2269"/>
      <c r="G260" s="2269"/>
      <c r="H260" s="2269"/>
      <c r="I260" s="2269"/>
      <c r="J260" s="2269"/>
      <c r="K260" s="2269"/>
      <c r="L260" s="2269"/>
      <c r="M260" s="2269"/>
      <c r="N260" s="2269"/>
      <c r="O260" s="2269"/>
      <c r="P260" s="2269"/>
      <c r="Q260" s="2269"/>
      <c r="R260" s="2269"/>
      <c r="S260" s="2269"/>
      <c r="T260" s="2269"/>
      <c r="U260" s="2269"/>
      <c r="V260" s="420"/>
    </row>
    <row r="261" spans="1:22" ht="16.149999999999999" customHeight="1">
      <c r="A261" s="420"/>
      <c r="B261" s="757"/>
      <c r="C261" s="757"/>
      <c r="D261" s="757"/>
      <c r="E261" s="757"/>
      <c r="F261" s="757"/>
      <c r="G261" s="757"/>
      <c r="H261" s="757"/>
      <c r="I261" s="757"/>
      <c r="J261" s="757"/>
      <c r="K261" s="757"/>
      <c r="L261" s="757"/>
      <c r="M261" s="757"/>
      <c r="N261" s="757"/>
      <c r="O261" s="757"/>
      <c r="Q261" s="757"/>
      <c r="R261" s="757"/>
      <c r="S261" s="757"/>
      <c r="T261" s="757"/>
      <c r="U261" s="757"/>
      <c r="V261" s="420"/>
    </row>
    <row r="262" spans="1:22" ht="24.6" customHeight="1">
      <c r="A262" s="504"/>
      <c r="B262" s="2387" t="s">
        <v>893</v>
      </c>
      <c r="C262" s="2388"/>
      <c r="D262" s="2388"/>
      <c r="E262" s="2388"/>
      <c r="F262" s="2388"/>
      <c r="G262" s="2388"/>
      <c r="H262" s="2388"/>
      <c r="I262" s="2388"/>
      <c r="J262" s="2388"/>
      <c r="K262" s="2388"/>
      <c r="L262" s="2388"/>
      <c r="M262" s="2388"/>
      <c r="N262" s="2388"/>
      <c r="O262" s="2388"/>
      <c r="P262" s="2388"/>
      <c r="Q262" s="2388"/>
      <c r="R262" s="2388"/>
      <c r="S262" s="2388"/>
      <c r="T262" s="2388"/>
      <c r="U262" s="2389"/>
      <c r="V262" s="504"/>
    </row>
    <row r="263" spans="1:22" ht="102" customHeight="1">
      <c r="A263" s="504"/>
      <c r="B263" s="2366" t="s">
        <v>1990</v>
      </c>
      <c r="C263" s="2367"/>
      <c r="D263" s="2367"/>
      <c r="E263" s="2367"/>
      <c r="F263" s="2367"/>
      <c r="G263" s="2367"/>
      <c r="H263" s="2367"/>
      <c r="I263" s="2367"/>
      <c r="J263" s="2367"/>
      <c r="K263" s="2367"/>
      <c r="L263" s="2367"/>
      <c r="M263" s="2367"/>
      <c r="N263" s="2367"/>
      <c r="O263" s="2367"/>
      <c r="P263" s="2367"/>
      <c r="Q263" s="2367"/>
      <c r="R263" s="2367"/>
      <c r="S263" s="2367"/>
      <c r="T263" s="2367"/>
      <c r="U263" s="2368"/>
      <c r="V263" s="504"/>
    </row>
    <row r="264" spans="1:22" ht="13.9" customHeight="1">
      <c r="A264" s="504"/>
      <c r="B264" s="778"/>
      <c r="C264" s="777"/>
      <c r="D264" s="777"/>
      <c r="E264" s="777"/>
      <c r="F264" s="777"/>
      <c r="G264" s="777"/>
      <c r="H264" s="777"/>
      <c r="I264" s="777"/>
      <c r="J264" s="777"/>
      <c r="K264" s="777"/>
      <c r="L264" s="777"/>
      <c r="M264" s="777"/>
      <c r="N264" s="777"/>
      <c r="O264" s="777"/>
      <c r="P264" s="777"/>
      <c r="Q264" s="777"/>
      <c r="R264" s="777"/>
      <c r="S264" s="777"/>
      <c r="T264" s="777"/>
      <c r="U264" s="781"/>
      <c r="V264" s="504"/>
    </row>
    <row r="265" spans="1:22" ht="36.75" customHeight="1">
      <c r="A265" s="504"/>
      <c r="B265" s="778"/>
      <c r="C265" s="2390" t="s">
        <v>956</v>
      </c>
      <c r="D265" s="2390"/>
      <c r="E265" s="2390"/>
      <c r="F265" s="2390"/>
      <c r="G265" s="2390"/>
      <c r="H265" s="2390"/>
      <c r="I265" s="2390"/>
      <c r="J265" s="2390"/>
      <c r="K265" s="2390"/>
      <c r="L265" s="2390"/>
      <c r="M265" s="2390"/>
      <c r="N265" s="2390"/>
      <c r="O265" s="2390"/>
      <c r="P265" s="2390"/>
      <c r="Q265" s="2390"/>
      <c r="R265" s="2390"/>
      <c r="S265" s="2390"/>
      <c r="T265" s="2390"/>
      <c r="U265" s="781"/>
      <c r="V265" s="504"/>
    </row>
    <row r="266" spans="1:22" ht="22.15" customHeight="1">
      <c r="A266" s="441"/>
      <c r="B266" s="508"/>
      <c r="C266" s="784"/>
      <c r="D266" s="784"/>
      <c r="E266" s="784"/>
      <c r="F266" s="784"/>
      <c r="G266" s="784"/>
      <c r="H266" s="784"/>
      <c r="I266" s="784"/>
      <c r="J266" s="784"/>
      <c r="K266" s="784"/>
      <c r="L266" s="2365"/>
      <c r="M266" s="2365"/>
      <c r="N266" s="2365"/>
      <c r="O266" s="2365"/>
      <c r="P266" s="2365"/>
      <c r="Q266" s="2365"/>
      <c r="R266" s="2365"/>
      <c r="S266" s="2365"/>
      <c r="T266" s="784"/>
      <c r="U266" s="589"/>
      <c r="V266" s="492"/>
    </row>
    <row r="267" spans="1:22" ht="23.25">
      <c r="B267" s="466"/>
      <c r="C267" s="2335" t="s">
        <v>933</v>
      </c>
      <c r="D267" s="2335"/>
      <c r="E267" s="2335"/>
      <c r="F267" s="2335"/>
      <c r="G267" s="2335"/>
      <c r="H267" s="2335"/>
      <c r="I267" s="2335"/>
      <c r="J267" s="2335"/>
      <c r="K267" s="2335"/>
      <c r="L267" s="441"/>
      <c r="M267" s="2375" t="s">
        <v>910</v>
      </c>
      <c r="N267" s="2376"/>
      <c r="O267" s="2376"/>
      <c r="P267" s="2376"/>
      <c r="Q267" s="2376"/>
      <c r="R267" s="2376"/>
      <c r="S267" s="2376"/>
      <c r="T267" s="2377"/>
      <c r="U267" s="494"/>
      <c r="V267" s="441"/>
    </row>
    <row r="268" spans="1:22" ht="137.44999999999999" customHeight="1">
      <c r="B268" s="495" t="s">
        <v>362</v>
      </c>
      <c r="C268" s="2396" t="s">
        <v>935</v>
      </c>
      <c r="D268" s="2397"/>
      <c r="E268" s="2397"/>
      <c r="F268" s="2397"/>
      <c r="G268" s="2397"/>
      <c r="H268" s="2397"/>
      <c r="I268" s="2397"/>
      <c r="J268" s="2397"/>
      <c r="K268" s="2398"/>
      <c r="L268" s="441"/>
      <c r="M268" s="2396" t="s">
        <v>937</v>
      </c>
      <c r="N268" s="2397"/>
      <c r="O268" s="2397"/>
      <c r="P268" s="2397"/>
      <c r="Q268" s="2397"/>
      <c r="R268" s="2397"/>
      <c r="S268" s="2397"/>
      <c r="T268" s="2398"/>
      <c r="U268" s="494"/>
      <c r="V268" s="441"/>
    </row>
    <row r="269" spans="1:22" ht="26.25">
      <c r="A269" s="441"/>
      <c r="B269" s="496"/>
      <c r="C269" s="2399" t="s">
        <v>934</v>
      </c>
      <c r="D269" s="2399"/>
      <c r="E269" s="2399"/>
      <c r="F269" s="2399"/>
      <c r="G269" s="2399"/>
      <c r="H269" s="497">
        <v>30</v>
      </c>
      <c r="I269" s="498"/>
      <c r="J269" s="498"/>
      <c r="K269" s="498"/>
      <c r="L269" s="499"/>
      <c r="M269" s="2399" t="s">
        <v>934</v>
      </c>
      <c r="N269" s="2399"/>
      <c r="O269" s="2399"/>
      <c r="P269" s="2399"/>
      <c r="Q269" s="2399"/>
      <c r="R269" s="497">
        <v>10</v>
      </c>
      <c r="S269" s="498"/>
      <c r="T269" s="498"/>
      <c r="U269" s="590"/>
    </row>
    <row r="270" spans="1:22" ht="16.149999999999999" customHeight="1">
      <c r="A270" s="420"/>
      <c r="B270" s="485"/>
      <c r="C270" s="475"/>
      <c r="D270" s="475"/>
      <c r="E270" s="475"/>
      <c r="F270" s="475"/>
      <c r="G270" s="475"/>
      <c r="H270" s="475"/>
      <c r="I270" s="475"/>
      <c r="J270" s="475"/>
      <c r="K270" s="475"/>
      <c r="L270" s="475"/>
      <c r="M270" s="475"/>
      <c r="N270" s="475"/>
      <c r="O270" s="475"/>
      <c r="P270" s="441"/>
      <c r="Q270" s="475"/>
      <c r="R270" s="475"/>
      <c r="S270" s="475"/>
      <c r="T270" s="475"/>
      <c r="U270" s="442"/>
      <c r="V270" s="420"/>
    </row>
    <row r="271" spans="1:22" ht="22.15" customHeight="1">
      <c r="A271" s="420"/>
      <c r="B271" s="485"/>
      <c r="C271" s="441"/>
      <c r="D271" s="441"/>
      <c r="E271" s="2406" t="s">
        <v>936</v>
      </c>
      <c r="F271" s="2406"/>
      <c r="G271" s="2406"/>
      <c r="H271" s="2406"/>
      <c r="I271" s="2406"/>
      <c r="J271" s="2406"/>
      <c r="K271" s="2406"/>
      <c r="L271" s="2406"/>
      <c r="M271" s="2406"/>
      <c r="N271" s="2406"/>
      <c r="O271" s="2406"/>
      <c r="P271" s="2406"/>
      <c r="Q271" s="2406"/>
      <c r="R271" s="2406"/>
      <c r="S271" s="2406"/>
      <c r="T271" s="475"/>
      <c r="U271" s="442"/>
      <c r="V271" s="420"/>
    </row>
    <row r="272" spans="1:22" ht="16.149999999999999" customHeight="1">
      <c r="A272" s="420"/>
      <c r="B272" s="485"/>
      <c r="C272" s="441"/>
      <c r="D272" s="441"/>
      <c r="E272" s="591" t="s">
        <v>525</v>
      </c>
      <c r="F272" s="592" t="s">
        <v>543</v>
      </c>
      <c r="G272" s="593" t="s">
        <v>550</v>
      </c>
      <c r="H272" s="593" t="s">
        <v>558</v>
      </c>
      <c r="I272" s="593" t="s">
        <v>580</v>
      </c>
      <c r="J272" s="593" t="s">
        <v>613</v>
      </c>
      <c r="K272" s="593" t="s">
        <v>549</v>
      </c>
      <c r="L272" s="593" t="s">
        <v>622</v>
      </c>
      <c r="M272" s="593" t="s">
        <v>624</v>
      </c>
      <c r="N272" s="593" t="s">
        <v>628</v>
      </c>
      <c r="O272" s="593" t="s">
        <v>928</v>
      </c>
      <c r="P272" s="593" t="s">
        <v>588</v>
      </c>
      <c r="Q272" s="593" t="s">
        <v>930</v>
      </c>
      <c r="R272" s="593" t="s">
        <v>596</v>
      </c>
      <c r="S272" s="594" t="s">
        <v>638</v>
      </c>
      <c r="T272" s="475"/>
      <c r="U272" s="442"/>
      <c r="V272" s="420"/>
    </row>
    <row r="273" spans="1:22">
      <c r="B273" s="466"/>
      <c r="C273" s="592"/>
      <c r="D273" s="592"/>
      <c r="E273" s="591" t="s">
        <v>520</v>
      </c>
      <c r="F273" s="593" t="s">
        <v>548</v>
      </c>
      <c r="G273" s="593" t="s">
        <v>554</v>
      </c>
      <c r="H273" s="593" t="s">
        <v>575</v>
      </c>
      <c r="I273" s="593" t="s">
        <v>595</v>
      </c>
      <c r="J273" s="593" t="s">
        <v>926</v>
      </c>
      <c r="K273" s="593" t="s">
        <v>559</v>
      </c>
      <c r="L273" s="593" t="s">
        <v>567</v>
      </c>
      <c r="M273" s="593" t="s">
        <v>927</v>
      </c>
      <c r="N273" s="593" t="s">
        <v>630</v>
      </c>
      <c r="O273" s="593" t="s">
        <v>929</v>
      </c>
      <c r="P273" s="593" t="s">
        <v>581</v>
      </c>
      <c r="Q273" s="593" t="s">
        <v>586</v>
      </c>
      <c r="R273" s="595" t="s">
        <v>600</v>
      </c>
      <c r="S273" s="596"/>
      <c r="T273" s="597"/>
      <c r="U273" s="451"/>
    </row>
    <row r="274" spans="1:22" ht="7.15" customHeight="1">
      <c r="B274" s="466"/>
      <c r="C274" s="441"/>
      <c r="D274" s="441"/>
      <c r="E274" s="598"/>
      <c r="F274" s="598"/>
      <c r="G274" s="598"/>
      <c r="H274" s="598"/>
      <c r="I274" s="598"/>
      <c r="J274" s="598"/>
      <c r="K274" s="598"/>
      <c r="L274" s="598"/>
      <c r="M274" s="598"/>
      <c r="N274" s="598"/>
      <c r="O274" s="598"/>
      <c r="P274" s="598"/>
      <c r="Q274" s="598"/>
      <c r="R274" s="598"/>
      <c r="S274" s="441"/>
      <c r="T274" s="441"/>
      <c r="U274" s="451"/>
    </row>
    <row r="275" spans="1:22" ht="16.149999999999999" customHeight="1">
      <c r="A275" s="420"/>
      <c r="B275" s="487"/>
      <c r="C275" s="459"/>
      <c r="D275" s="459"/>
      <c r="E275" s="459"/>
      <c r="F275" s="459"/>
      <c r="G275" s="459"/>
      <c r="H275" s="459"/>
      <c r="I275" s="459"/>
      <c r="J275" s="459"/>
      <c r="K275" s="459"/>
      <c r="L275" s="459"/>
      <c r="M275" s="459"/>
      <c r="N275" s="459"/>
      <c r="O275" s="459"/>
      <c r="P275" s="488"/>
      <c r="Q275" s="459"/>
      <c r="R275" s="459"/>
      <c r="S275" s="459"/>
      <c r="T275" s="459"/>
      <c r="U275" s="460"/>
      <c r="V275" s="420"/>
    </row>
    <row r="276" spans="1:22" ht="16.149999999999999" customHeight="1">
      <c r="A276" s="420"/>
      <c r="B276" s="780"/>
      <c r="C276" s="780"/>
      <c r="D276" s="780"/>
      <c r="E276" s="780"/>
      <c r="F276" s="780"/>
      <c r="G276" s="780"/>
      <c r="H276" s="780"/>
      <c r="I276" s="780"/>
      <c r="J276" s="780"/>
      <c r="K276" s="780"/>
      <c r="L276" s="780"/>
      <c r="M276" s="780"/>
      <c r="N276" s="780"/>
      <c r="O276" s="780"/>
      <c r="Q276" s="780"/>
      <c r="R276" s="780"/>
      <c r="S276" s="780"/>
      <c r="T276" s="780"/>
      <c r="U276" s="780"/>
      <c r="V276" s="420"/>
    </row>
    <row r="277" spans="1:22" ht="50.25" customHeight="1">
      <c r="A277" s="429"/>
      <c r="B277" s="2251" t="s">
        <v>792</v>
      </c>
      <c r="C277" s="2251"/>
      <c r="D277" s="2251"/>
      <c r="E277" s="2251"/>
      <c r="F277" s="2251"/>
      <c r="G277" s="2251"/>
      <c r="H277" s="2251"/>
      <c r="I277" s="2251"/>
      <c r="J277" s="2251"/>
      <c r="K277" s="2251"/>
      <c r="L277" s="2251"/>
      <c r="M277" s="2251"/>
      <c r="N277" s="2251"/>
      <c r="O277" s="2251"/>
      <c r="P277" s="2251"/>
      <c r="Q277" s="2251"/>
      <c r="R277" s="2251"/>
      <c r="S277" s="2251"/>
      <c r="T277" s="2251"/>
      <c r="U277" s="2251"/>
      <c r="V277" s="429"/>
    </row>
    <row r="278" spans="1:22" ht="16.149999999999999" customHeight="1">
      <c r="A278" s="420"/>
      <c r="B278" s="757"/>
      <c r="C278" s="757"/>
      <c r="D278" s="757"/>
      <c r="E278" s="757"/>
      <c r="F278" s="757"/>
      <c r="G278" s="757"/>
      <c r="H278" s="757"/>
      <c r="I278" s="757"/>
      <c r="J278" s="757"/>
      <c r="K278" s="757"/>
      <c r="L278" s="757"/>
      <c r="M278" s="757"/>
      <c r="N278" s="757"/>
      <c r="O278" s="757"/>
      <c r="P278" s="757"/>
      <c r="Q278" s="757"/>
      <c r="R278" s="757"/>
      <c r="S278" s="757"/>
      <c r="T278" s="757"/>
      <c r="U278" s="757"/>
      <c r="V278" s="420"/>
    </row>
    <row r="279" spans="1:22" ht="22.9" customHeight="1">
      <c r="B279" s="600"/>
      <c r="C279" s="601"/>
      <c r="D279" s="601"/>
      <c r="E279" s="601"/>
      <c r="F279" s="601"/>
      <c r="G279" s="601"/>
      <c r="H279" s="601"/>
      <c r="I279" s="601"/>
      <c r="J279" s="601"/>
      <c r="K279" s="601"/>
      <c r="L279" s="601"/>
      <c r="M279" s="601"/>
      <c r="N279" s="601"/>
      <c r="O279" s="601"/>
      <c r="P279" s="601"/>
      <c r="Q279" s="601"/>
      <c r="R279" s="601"/>
      <c r="S279" s="601"/>
      <c r="T279" s="747"/>
      <c r="U279" s="603"/>
      <c r="V279" s="441"/>
    </row>
    <row r="280" spans="1:22" ht="16.149999999999999" customHeight="1">
      <c r="A280" s="420"/>
      <c r="B280" s="485"/>
      <c r="C280" s="441"/>
      <c r="D280" s="441"/>
      <c r="E280" s="441"/>
      <c r="F280" s="441"/>
      <c r="G280" s="441"/>
      <c r="H280" s="441"/>
      <c r="I280" s="441"/>
      <c r="J280" s="441"/>
      <c r="K280" s="475"/>
      <c r="L280" s="475"/>
      <c r="M280" s="604"/>
      <c r="N280" s="605"/>
      <c r="O280" s="605"/>
      <c r="P280" s="606"/>
      <c r="Q280" s="607"/>
      <c r="R280" s="475"/>
      <c r="S280" s="475"/>
      <c r="T280" s="475"/>
      <c r="U280" s="442"/>
      <c r="V280" s="420"/>
    </row>
    <row r="281" spans="1:22" ht="46.9" customHeight="1">
      <c r="A281" s="420"/>
      <c r="B281" s="466"/>
      <c r="C281" s="2412" t="s">
        <v>492</v>
      </c>
      <c r="D281" s="2412"/>
      <c r="E281" s="2412"/>
      <c r="F281" s="2412"/>
      <c r="G281" s="2412"/>
      <c r="H281" s="2412"/>
      <c r="I281" s="2412"/>
      <c r="J281" s="2412"/>
      <c r="K281" s="741"/>
      <c r="L281" s="2392" t="s">
        <v>493</v>
      </c>
      <c r="M281" s="2393"/>
      <c r="N281" s="2393"/>
      <c r="O281" s="2393"/>
      <c r="P281" s="2393"/>
      <c r="Q281" s="2393"/>
      <c r="R281" s="2393"/>
      <c r="S281" s="2393"/>
      <c r="T281" s="2393"/>
      <c r="U281" s="2394"/>
      <c r="V281" s="420"/>
    </row>
    <row r="282" spans="1:22" ht="30" customHeight="1">
      <c r="A282" s="420"/>
      <c r="B282" s="485"/>
      <c r="C282" s="754"/>
      <c r="D282" s="754"/>
      <c r="E282" s="754"/>
      <c r="F282" s="754"/>
      <c r="G282" s="754"/>
      <c r="H282" s="754"/>
      <c r="I282" s="754"/>
      <c r="J282" s="754"/>
      <c r="K282" s="475"/>
      <c r="L282" s="475"/>
      <c r="M282" s="609"/>
      <c r="N282" s="609"/>
      <c r="O282" s="609"/>
      <c r="P282" s="609"/>
      <c r="Q282" s="609"/>
      <c r="R282" s="609"/>
      <c r="S282" s="609"/>
      <c r="T282" s="609"/>
      <c r="U282" s="442"/>
      <c r="V282" s="420"/>
    </row>
    <row r="283" spans="1:22" ht="22.15" customHeight="1">
      <c r="A283" s="420"/>
      <c r="B283" s="485"/>
      <c r="C283" s="2411" t="s">
        <v>494</v>
      </c>
      <c r="D283" s="2411"/>
      <c r="E283" s="2411"/>
      <c r="F283" s="2411"/>
      <c r="G283" s="2411"/>
      <c r="H283" s="2411"/>
      <c r="I283" s="2411"/>
      <c r="J283" s="561"/>
      <c r="K283" s="475"/>
      <c r="L283" s="2308" t="s">
        <v>495</v>
      </c>
      <c r="M283" s="2308"/>
      <c r="N283" s="2308"/>
      <c r="O283" s="2308"/>
      <c r="P283" s="610"/>
      <c r="Q283" s="2308" t="s">
        <v>501</v>
      </c>
      <c r="R283" s="2308"/>
      <c r="S283" s="2308"/>
      <c r="T283" s="2308"/>
      <c r="U283" s="2385"/>
      <c r="V283" s="420"/>
    </row>
    <row r="284" spans="1:22" ht="16.5" customHeight="1">
      <c r="A284" s="420"/>
      <c r="B284" s="485"/>
      <c r="C284" s="772"/>
      <c r="D284" s="772"/>
      <c r="E284" s="772"/>
      <c r="F284" s="772"/>
      <c r="G284" s="772"/>
      <c r="H284" s="772"/>
      <c r="I284" s="772"/>
      <c r="J284" s="561"/>
      <c r="K284" s="475"/>
      <c r="L284" s="475"/>
      <c r="M284" s="782"/>
      <c r="N284" s="782"/>
      <c r="O284" s="782"/>
      <c r="P284" s="782"/>
      <c r="Q284" s="782"/>
      <c r="R284" s="782"/>
      <c r="S284" s="782"/>
      <c r="T284" s="782"/>
      <c r="U284" s="442"/>
      <c r="V284" s="420"/>
    </row>
    <row r="285" spans="1:22" ht="27" customHeight="1">
      <c r="A285" s="420"/>
      <c r="B285" s="485"/>
      <c r="C285" s="548"/>
      <c r="D285" s="612"/>
      <c r="E285" s="771" t="s">
        <v>311</v>
      </c>
      <c r="F285" s="771" t="s">
        <v>312</v>
      </c>
      <c r="G285" s="771" t="s">
        <v>327</v>
      </c>
      <c r="H285" s="771" t="s">
        <v>496</v>
      </c>
      <c r="I285" s="771" t="s">
        <v>497</v>
      </c>
      <c r="J285" s="771" t="s">
        <v>498</v>
      </c>
      <c r="K285" s="475"/>
      <c r="L285" s="1940"/>
      <c r="M285" s="1941" t="s">
        <v>1919</v>
      </c>
      <c r="N285" s="1942" t="s">
        <v>312</v>
      </c>
      <c r="O285" s="1942" t="s">
        <v>327</v>
      </c>
      <c r="P285" s="1865"/>
      <c r="Q285" s="1894"/>
      <c r="R285" s="1894"/>
      <c r="S285" s="2351" t="s">
        <v>502</v>
      </c>
      <c r="T285" s="2352"/>
      <c r="U285" s="2353"/>
      <c r="V285" s="548"/>
    </row>
    <row r="286" spans="1:22" ht="25.5" customHeight="1">
      <c r="A286" s="420"/>
      <c r="B286" s="485"/>
      <c r="C286" s="2407" t="s">
        <v>499</v>
      </c>
      <c r="D286" s="2407"/>
      <c r="E286" s="614">
        <f t="shared" ref="E286:J286" si="0">0.45*(1-0.45)</f>
        <v>0.24750000000000003</v>
      </c>
      <c r="F286" s="614">
        <f t="shared" si="0"/>
        <v>0.24750000000000003</v>
      </c>
      <c r="G286" s="614">
        <f t="shared" si="0"/>
        <v>0.24750000000000003</v>
      </c>
      <c r="H286" s="614">
        <f t="shared" si="0"/>
        <v>0.24750000000000003</v>
      </c>
      <c r="I286" s="614">
        <f t="shared" si="0"/>
        <v>0.24750000000000003</v>
      </c>
      <c r="J286" s="614">
        <f t="shared" si="0"/>
        <v>0.24750000000000003</v>
      </c>
      <c r="K286" s="475"/>
      <c r="L286" s="1943" t="s">
        <v>938</v>
      </c>
      <c r="M286" s="615">
        <v>0</v>
      </c>
      <c r="N286" s="614">
        <v>0.82499999999999996</v>
      </c>
      <c r="O286" s="614">
        <f>N286</f>
        <v>0.82499999999999996</v>
      </c>
      <c r="P286" s="1865"/>
      <c r="Q286" s="1944"/>
      <c r="R286" s="1944"/>
      <c r="S286" s="1941" t="s">
        <v>1919</v>
      </c>
      <c r="T286" s="1942" t="s">
        <v>312</v>
      </c>
      <c r="U286" s="1942" t="s">
        <v>327</v>
      </c>
      <c r="V286" s="548"/>
    </row>
    <row r="287" spans="1:22" ht="25.5" customHeight="1">
      <c r="A287" s="420"/>
      <c r="B287" s="485"/>
      <c r="C287" s="2407" t="s">
        <v>500</v>
      </c>
      <c r="D287" s="2407"/>
      <c r="E287" s="616">
        <v>0.26400000000000001</v>
      </c>
      <c r="F287" s="616">
        <v>0.39600000000000002</v>
      </c>
      <c r="G287" s="616">
        <v>0.42899999999999999</v>
      </c>
      <c r="H287" s="616">
        <v>0.627</v>
      </c>
      <c r="I287" s="616">
        <v>0.75900000000000001</v>
      </c>
      <c r="J287" s="616">
        <v>0.89100000000000001</v>
      </c>
      <c r="K287" s="475"/>
      <c r="L287" s="1943" t="s">
        <v>939</v>
      </c>
      <c r="M287" s="1945" t="s">
        <v>1920</v>
      </c>
      <c r="N287" s="1946">
        <v>0.77</v>
      </c>
      <c r="O287" s="1946">
        <v>1.21</v>
      </c>
      <c r="P287" s="1865"/>
      <c r="Q287" s="2354" t="s">
        <v>503</v>
      </c>
      <c r="R287" s="2354"/>
      <c r="S287" s="1947" t="s">
        <v>1921</v>
      </c>
      <c r="T287" s="1948">
        <v>1.5</v>
      </c>
      <c r="U287" s="1948">
        <v>1.5</v>
      </c>
      <c r="V287" s="548"/>
    </row>
    <row r="288" spans="1:22" ht="23.25" customHeight="1">
      <c r="A288" s="420"/>
      <c r="B288" s="485"/>
      <c r="C288" s="548"/>
      <c r="D288" s="548"/>
      <c r="E288" s="548"/>
      <c r="F288" s="548"/>
      <c r="G288" s="548"/>
      <c r="H288" s="548"/>
      <c r="I288" s="548"/>
      <c r="J288" s="548"/>
      <c r="K288" s="475"/>
      <c r="L288" s="1940"/>
      <c r="M288" s="1865"/>
      <c r="N288" s="1865"/>
      <c r="O288" s="1865"/>
      <c r="P288" s="1865"/>
      <c r="Q288" s="2355" t="s">
        <v>506</v>
      </c>
      <c r="R288" s="1941" t="s">
        <v>1919</v>
      </c>
      <c r="S288" s="1947" t="s">
        <v>1921</v>
      </c>
      <c r="T288" s="1948">
        <v>1.4</v>
      </c>
      <c r="U288" s="1948">
        <v>2.6</v>
      </c>
      <c r="V288" s="548"/>
    </row>
    <row r="289" spans="1:30" ht="23.25">
      <c r="A289" s="420"/>
      <c r="B289" s="485"/>
      <c r="C289" s="548"/>
      <c r="D289" s="548"/>
      <c r="E289" s="548"/>
      <c r="F289" s="548"/>
      <c r="G289" s="548"/>
      <c r="H289" s="548"/>
      <c r="I289" s="548"/>
      <c r="J289" s="548"/>
      <c r="K289" s="475"/>
      <c r="L289" s="1940"/>
      <c r="M289" s="1867"/>
      <c r="N289" s="1867"/>
      <c r="O289" s="1867"/>
      <c r="P289" s="1949"/>
      <c r="Q289" s="2355"/>
      <c r="R289" s="1950" t="s">
        <v>312</v>
      </c>
      <c r="S289" s="1947">
        <v>1.26</v>
      </c>
      <c r="T289" s="1948">
        <v>1.4</v>
      </c>
      <c r="U289" s="1948">
        <v>2.6</v>
      </c>
      <c r="V289" s="548"/>
    </row>
    <row r="290" spans="1:30" ht="16.149999999999999" customHeight="1">
      <c r="A290" s="420"/>
      <c r="B290" s="485"/>
      <c r="C290" s="548"/>
      <c r="D290" s="548"/>
      <c r="E290" s="548"/>
      <c r="F290" s="548"/>
      <c r="G290" s="548"/>
      <c r="H290" s="548"/>
      <c r="I290" s="548"/>
      <c r="J290" s="548"/>
      <c r="K290" s="475"/>
      <c r="L290" s="1940"/>
      <c r="M290" s="1867"/>
      <c r="N290" s="1867"/>
      <c r="O290" s="1867"/>
      <c r="P290" s="1865"/>
      <c r="Q290" s="2355"/>
      <c r="R290" s="1950" t="s">
        <v>327</v>
      </c>
      <c r="S290" s="1947">
        <v>2.3400000000000003</v>
      </c>
      <c r="T290" s="1948">
        <v>2.6</v>
      </c>
      <c r="U290" s="1948">
        <v>2.6</v>
      </c>
      <c r="V290" s="548"/>
    </row>
    <row r="291" spans="1:30" ht="24" customHeight="1">
      <c r="A291" s="420"/>
      <c r="B291" s="485"/>
      <c r="C291" s="441"/>
      <c r="D291" s="441"/>
      <c r="E291" s="441"/>
      <c r="F291" s="441"/>
      <c r="G291" s="441"/>
      <c r="H291" s="441"/>
      <c r="I291" s="441"/>
      <c r="J291" s="441"/>
      <c r="K291" s="475"/>
      <c r="L291" s="475"/>
      <c r="M291" s="441"/>
      <c r="N291" s="441"/>
      <c r="O291" s="441"/>
      <c r="P291" s="441"/>
      <c r="Q291" s="441"/>
      <c r="R291" s="618"/>
      <c r="S291" s="441"/>
      <c r="T291" s="441"/>
      <c r="U291" s="442"/>
      <c r="V291" s="548"/>
    </row>
    <row r="292" spans="1:30" ht="22.15" customHeight="1">
      <c r="A292" s="420"/>
      <c r="B292" s="485"/>
      <c r="C292" s="2411" t="s">
        <v>234</v>
      </c>
      <c r="D292" s="2411"/>
      <c r="E292" s="2411"/>
      <c r="F292" s="2411"/>
      <c r="G292" s="2411"/>
      <c r="H292" s="2411"/>
      <c r="I292" s="2411"/>
      <c r="J292" s="441"/>
      <c r="K292" s="475"/>
      <c r="L292" s="2308" t="s">
        <v>510</v>
      </c>
      <c r="M292" s="2308"/>
      <c r="N292" s="2308"/>
      <c r="O292" s="2308"/>
      <c r="P292" s="610"/>
      <c r="Q292" s="2308" t="s">
        <v>507</v>
      </c>
      <c r="R292" s="2308"/>
      <c r="S292" s="2308"/>
      <c r="T292" s="2308"/>
      <c r="U292" s="2385"/>
      <c r="V292" s="548"/>
    </row>
    <row r="293" spans="1:30" s="437" customFormat="1" ht="27.75" customHeight="1">
      <c r="A293" s="785"/>
      <c r="B293" s="786"/>
      <c r="C293" s="619"/>
      <c r="D293" s="619"/>
      <c r="E293" s="619"/>
      <c r="F293" s="619"/>
      <c r="G293" s="619"/>
      <c r="H293" s="619"/>
      <c r="I293" s="619"/>
      <c r="J293" s="619"/>
      <c r="K293" s="787"/>
      <c r="L293" s="2308"/>
      <c r="M293" s="2308"/>
      <c r="N293" s="2308"/>
      <c r="O293" s="2308"/>
      <c r="P293" s="441"/>
      <c r="Q293" s="441"/>
      <c r="R293" s="1856"/>
      <c r="S293" s="1856"/>
      <c r="T293" s="1856"/>
      <c r="U293" s="442"/>
      <c r="V293" s="548"/>
    </row>
    <row r="294" spans="1:30" s="437" customFormat="1" ht="27.75" customHeight="1">
      <c r="A294" s="785"/>
      <c r="B294" s="786"/>
      <c r="C294" s="743"/>
      <c r="D294" s="619"/>
      <c r="E294" s="621" t="s">
        <v>504</v>
      </c>
      <c r="F294" s="622" t="s">
        <v>1007</v>
      </c>
      <c r="G294" s="546"/>
      <c r="H294" s="619"/>
      <c r="I294" s="545"/>
      <c r="J294" s="619"/>
      <c r="K294" s="787"/>
      <c r="L294" s="2308"/>
      <c r="M294" s="2308"/>
      <c r="N294" s="2308"/>
      <c r="O294" s="2308"/>
      <c r="P294" s="624"/>
      <c r="Q294" s="1951"/>
      <c r="R294" s="1952"/>
      <c r="S294" s="2408" t="s">
        <v>508</v>
      </c>
      <c r="T294" s="2409"/>
      <c r="U294" s="2410"/>
      <c r="V294" s="548"/>
    </row>
    <row r="295" spans="1:30" s="437" customFormat="1" ht="27.75" customHeight="1">
      <c r="A295" s="785"/>
      <c r="B295" s="786"/>
      <c r="C295" s="619"/>
      <c r="D295" s="619"/>
      <c r="E295" s="619"/>
      <c r="F295" s="619"/>
      <c r="G295" s="619"/>
      <c r="H295" s="619"/>
      <c r="I295" s="619"/>
      <c r="J295" s="619"/>
      <c r="K295" s="787"/>
      <c r="L295" s="2308"/>
      <c r="M295" s="2308"/>
      <c r="N295" s="2308"/>
      <c r="O295" s="2308"/>
      <c r="P295" s="624"/>
      <c r="Q295" s="1951"/>
      <c r="R295" s="1953"/>
      <c r="S295" s="1941" t="s">
        <v>1919</v>
      </c>
      <c r="T295" s="1954" t="s">
        <v>312</v>
      </c>
      <c r="U295" s="1954" t="s">
        <v>327</v>
      </c>
      <c r="V295" s="548"/>
    </row>
    <row r="296" spans="1:30" s="437" customFormat="1" ht="27.75" customHeight="1">
      <c r="A296" s="785"/>
      <c r="B296" s="786"/>
      <c r="C296" s="619"/>
      <c r="D296" s="619"/>
      <c r="E296" s="619"/>
      <c r="F296" s="619"/>
      <c r="G296" s="619"/>
      <c r="H296" s="619"/>
      <c r="I296" s="619"/>
      <c r="J296" s="619"/>
      <c r="K296" s="787"/>
      <c r="L296" s="1855"/>
      <c r="M296" s="624"/>
      <c r="N296" s="624"/>
      <c r="O296" s="624"/>
      <c r="P296" s="624"/>
      <c r="Q296" s="2506" t="s">
        <v>509</v>
      </c>
      <c r="R296" s="1941" t="s">
        <v>1919</v>
      </c>
      <c r="S296" s="1947" t="s">
        <v>1921</v>
      </c>
      <c r="T296" s="1948">
        <v>1</v>
      </c>
      <c r="U296" s="1948">
        <v>1</v>
      </c>
      <c r="V296" s="548"/>
    </row>
    <row r="297" spans="1:30" ht="24" customHeight="1">
      <c r="A297" s="420"/>
      <c r="B297" s="485"/>
      <c r="C297" s="441"/>
      <c r="D297" s="441"/>
      <c r="E297" s="441"/>
      <c r="F297" s="441"/>
      <c r="G297" s="441"/>
      <c r="H297" s="441"/>
      <c r="I297" s="441"/>
      <c r="J297" s="441"/>
      <c r="K297" s="475"/>
      <c r="L297" s="1855"/>
      <c r="M297" s="624"/>
      <c r="N297" s="624"/>
      <c r="O297" s="624"/>
      <c r="P297" s="624"/>
      <c r="Q297" s="2506"/>
      <c r="R297" s="1954" t="s">
        <v>312</v>
      </c>
      <c r="S297" s="1948">
        <v>1</v>
      </c>
      <c r="T297" s="1948">
        <v>1</v>
      </c>
      <c r="U297" s="1948">
        <v>1</v>
      </c>
      <c r="V297" s="548"/>
    </row>
    <row r="298" spans="1:30" ht="23.25">
      <c r="A298" s="420"/>
      <c r="B298" s="485"/>
      <c r="C298" s="548"/>
      <c r="D298" s="548"/>
      <c r="E298" s="548"/>
      <c r="F298" s="548"/>
      <c r="G298" s="548"/>
      <c r="H298" s="548"/>
      <c r="I298" s="548"/>
      <c r="J298" s="548"/>
      <c r="K298" s="475"/>
      <c r="L298" s="1855"/>
      <c r="M298" s="624"/>
      <c r="N298" s="624"/>
      <c r="O298" s="624"/>
      <c r="P298" s="624"/>
      <c r="Q298" s="2506"/>
      <c r="R298" s="1954" t="s">
        <v>327</v>
      </c>
      <c r="S298" s="1948">
        <v>1</v>
      </c>
      <c r="T298" s="1948">
        <v>1</v>
      </c>
      <c r="U298" s="1948">
        <v>1</v>
      </c>
      <c r="V298" s="548"/>
    </row>
    <row r="299" spans="1:30" ht="17.45" customHeight="1">
      <c r="A299" s="420"/>
      <c r="B299" s="485"/>
      <c r="C299" s="548"/>
      <c r="D299" s="548"/>
      <c r="E299" s="548"/>
      <c r="F299" s="548"/>
      <c r="G299" s="548"/>
      <c r="H299" s="548"/>
      <c r="I299" s="548"/>
      <c r="J299" s="548"/>
      <c r="K299" s="475"/>
      <c r="L299" s="623"/>
      <c r="M299" s="783"/>
      <c r="N299" s="561"/>
      <c r="O299" s="561"/>
      <c r="P299" s="561"/>
      <c r="Q299" s="561"/>
      <c r="R299" s="561"/>
      <c r="S299" s="561"/>
      <c r="T299" s="561"/>
      <c r="U299" s="442"/>
      <c r="V299" s="420"/>
    </row>
    <row r="300" spans="1:30" s="625" customFormat="1" ht="24" customHeight="1">
      <c r="A300" s="620"/>
      <c r="B300" s="508"/>
      <c r="C300" s="623"/>
      <c r="D300" s="623"/>
      <c r="E300" s="623"/>
      <c r="F300" s="623"/>
      <c r="G300" s="623"/>
      <c r="H300" s="623"/>
      <c r="I300" s="623"/>
      <c r="J300" s="623"/>
      <c r="K300" s="741"/>
      <c r="L300" s="2308" t="s">
        <v>986</v>
      </c>
      <c r="M300" s="2308"/>
      <c r="N300" s="2308"/>
      <c r="O300" s="2308"/>
      <c r="P300" s="561"/>
      <c r="Q300" s="2308" t="s">
        <v>987</v>
      </c>
      <c r="R300" s="2308"/>
      <c r="S300" s="2308"/>
      <c r="T300" s="2308"/>
      <c r="U300" s="442"/>
      <c r="V300" s="620"/>
      <c r="Z300" s="2505"/>
      <c r="AA300" s="2505"/>
      <c r="AB300" s="775"/>
      <c r="AC300" s="775"/>
      <c r="AD300" s="775"/>
    </row>
    <row r="301" spans="1:30" s="625" customFormat="1" ht="24" customHeight="1">
      <c r="A301" s="620"/>
      <c r="B301" s="508"/>
      <c r="C301" s="623"/>
      <c r="D301" s="623"/>
      <c r="E301" s="623"/>
      <c r="F301" s="623"/>
      <c r="G301" s="623"/>
      <c r="H301" s="623"/>
      <c r="I301" s="623"/>
      <c r="J301" s="623"/>
      <c r="K301" s="741"/>
      <c r="L301" s="2308"/>
      <c r="M301" s="2308"/>
      <c r="N301" s="2308"/>
      <c r="O301" s="2308"/>
      <c r="P301" s="561"/>
      <c r="Q301" s="2308"/>
      <c r="R301" s="2308"/>
      <c r="S301" s="2308"/>
      <c r="T301" s="2308"/>
      <c r="U301" s="599"/>
      <c r="V301" s="620"/>
      <c r="Z301" s="2505"/>
      <c r="AA301" s="775"/>
      <c r="AB301" s="627"/>
      <c r="AC301" s="627"/>
      <c r="AD301" s="627"/>
    </row>
    <row r="302" spans="1:30" s="625" customFormat="1" ht="51" customHeight="1">
      <c r="A302" s="620"/>
      <c r="B302" s="508"/>
      <c r="C302" s="623"/>
      <c r="D302" s="623"/>
      <c r="E302" s="623"/>
      <c r="F302" s="623"/>
      <c r="G302" s="623"/>
      <c r="H302" s="623"/>
      <c r="I302" s="623"/>
      <c r="J302" s="623"/>
      <c r="K302" s="741"/>
      <c r="L302" s="1867"/>
      <c r="M302" s="1867"/>
      <c r="N302" s="1867"/>
      <c r="O302" s="1867"/>
      <c r="P302" s="1865"/>
      <c r="Q302" s="1951"/>
      <c r="R302" s="1865"/>
      <c r="S302" s="1986" t="s">
        <v>1922</v>
      </c>
      <c r="T302" s="1986" t="s">
        <v>1962</v>
      </c>
      <c r="U302" s="1976"/>
      <c r="V302" s="1955"/>
      <c r="W302" s="422"/>
      <c r="Z302" s="2505"/>
      <c r="AA302" s="775"/>
      <c r="AB302" s="627"/>
      <c r="AC302" s="627"/>
      <c r="AD302" s="627"/>
    </row>
    <row r="303" spans="1:30" ht="18" customHeight="1">
      <c r="A303" s="420"/>
      <c r="B303" s="485"/>
      <c r="C303" s="548"/>
      <c r="D303" s="548"/>
      <c r="E303" s="548"/>
      <c r="F303" s="548"/>
      <c r="G303" s="548"/>
      <c r="H303" s="548"/>
      <c r="I303" s="548"/>
      <c r="J303" s="548"/>
      <c r="K303" s="475"/>
      <c r="L303" s="1956"/>
      <c r="M303" s="1941" t="s">
        <v>1919</v>
      </c>
      <c r="N303" s="1942" t="s">
        <v>312</v>
      </c>
      <c r="O303" s="1942" t="s">
        <v>327</v>
      </c>
      <c r="P303" s="1934"/>
      <c r="Q303" s="2356" t="s">
        <v>960</v>
      </c>
      <c r="R303" s="2357"/>
      <c r="S303" s="2360">
        <v>1</v>
      </c>
      <c r="T303" s="2360">
        <v>8</v>
      </c>
      <c r="U303" s="599"/>
      <c r="V303" s="599"/>
      <c r="Z303" s="2505"/>
      <c r="AA303" s="775"/>
      <c r="AB303" s="627"/>
      <c r="AC303" s="627"/>
      <c r="AD303" s="627"/>
    </row>
    <row r="304" spans="1:30" ht="18" customHeight="1">
      <c r="A304" s="429"/>
      <c r="B304" s="633"/>
      <c r="C304" s="634"/>
      <c r="D304" s="634"/>
      <c r="E304" s="634"/>
      <c r="F304" s="634"/>
      <c r="G304" s="634"/>
      <c r="H304" s="634"/>
      <c r="I304" s="634"/>
      <c r="J304" s="634"/>
      <c r="K304" s="634"/>
      <c r="L304" s="1957" t="s">
        <v>988</v>
      </c>
      <c r="M304" s="1947" t="s">
        <v>1921</v>
      </c>
      <c r="N304" s="2362" t="s">
        <v>957</v>
      </c>
      <c r="O304" s="2363"/>
      <c r="P304" s="1958"/>
      <c r="Q304" s="2358"/>
      <c r="R304" s="2359"/>
      <c r="S304" s="2361"/>
      <c r="T304" s="2361"/>
      <c r="U304" s="599"/>
      <c r="V304" s="599"/>
    </row>
    <row r="305" spans="1:30" ht="18" customHeight="1">
      <c r="A305" s="429"/>
      <c r="B305" s="633"/>
      <c r="C305" s="634"/>
      <c r="D305" s="634"/>
      <c r="E305" s="634"/>
      <c r="F305" s="634"/>
      <c r="G305" s="634"/>
      <c r="H305" s="634"/>
      <c r="I305" s="634"/>
      <c r="J305" s="634"/>
      <c r="K305" s="634"/>
      <c r="L305" s="1867"/>
      <c r="M305" s="1959"/>
      <c r="N305" s="1959"/>
      <c r="O305" s="1959"/>
      <c r="P305" s="1959"/>
      <c r="Q305" s="2379" t="s">
        <v>961</v>
      </c>
      <c r="R305" s="2380"/>
      <c r="S305" s="2383">
        <v>4.5</v>
      </c>
      <c r="T305" s="2360">
        <v>30</v>
      </c>
      <c r="U305" s="1960"/>
      <c r="V305" s="1960"/>
    </row>
    <row r="306" spans="1:30" ht="18" customHeight="1">
      <c r="A306" s="429"/>
      <c r="B306" s="633"/>
      <c r="C306" s="634"/>
      <c r="D306" s="634"/>
      <c r="E306" s="634"/>
      <c r="F306" s="634"/>
      <c r="G306" s="634"/>
      <c r="H306" s="634"/>
      <c r="I306" s="634"/>
      <c r="J306" s="634"/>
      <c r="K306" s="634"/>
      <c r="L306" s="1961"/>
      <c r="M306" s="1961"/>
      <c r="N306" s="1961"/>
      <c r="O306" s="1961"/>
      <c r="P306" s="1959"/>
      <c r="Q306" s="2381"/>
      <c r="R306" s="2382"/>
      <c r="S306" s="2384"/>
      <c r="T306" s="2361"/>
      <c r="U306" s="1960"/>
      <c r="V306" s="1960"/>
    </row>
    <row r="307" spans="1:30" ht="8.25" customHeight="1">
      <c r="A307" s="429"/>
      <c r="B307" s="639"/>
      <c r="C307" s="640"/>
      <c r="D307" s="640"/>
      <c r="E307" s="640"/>
      <c r="F307" s="640"/>
      <c r="G307" s="640"/>
      <c r="H307" s="640"/>
      <c r="I307" s="640"/>
      <c r="J307" s="640"/>
      <c r="K307" s="640"/>
      <c r="L307" s="640"/>
      <c r="M307" s="640"/>
      <c r="N307" s="640"/>
      <c r="O307" s="2507"/>
      <c r="P307" s="2507"/>
      <c r="Q307" s="1857"/>
      <c r="R307" s="1857"/>
      <c r="S307" s="1857"/>
      <c r="T307" s="1857"/>
      <c r="U307" s="642"/>
      <c r="V307" s="429"/>
      <c r="AB307" s="643"/>
      <c r="AC307" s="643"/>
      <c r="AD307" s="643"/>
    </row>
    <row r="308" spans="1:30" ht="19.149999999999999" customHeight="1">
      <c r="B308" s="520" t="s">
        <v>699</v>
      </c>
      <c r="C308" s="644"/>
      <c r="D308" s="644"/>
      <c r="E308" s="644"/>
      <c r="F308" s="644"/>
      <c r="G308" s="644"/>
      <c r="H308" s="644"/>
      <c r="I308" s="644"/>
      <c r="J308" s="644"/>
      <c r="K308" s="644"/>
      <c r="L308" s="1858"/>
      <c r="M308" s="1858"/>
      <c r="N308" s="1858"/>
      <c r="O308" s="645"/>
      <c r="P308" s="645"/>
      <c r="Q308" s="645"/>
      <c r="R308" s="645"/>
      <c r="S308" s="645"/>
      <c r="T308" s="645"/>
      <c r="U308" s="1858"/>
    </row>
    <row r="309" spans="1:30" ht="18.75">
      <c r="B309" s="644"/>
      <c r="C309" s="2570"/>
      <c r="D309" s="2570"/>
      <c r="E309" s="2570"/>
      <c r="F309" s="2570"/>
      <c r="G309" s="2570"/>
      <c r="H309" s="2570"/>
      <c r="I309" s="2570"/>
      <c r="J309" s="2570"/>
      <c r="K309" s="2570"/>
      <c r="L309" s="2570"/>
      <c r="M309" s="2570"/>
      <c r="N309" s="2570"/>
      <c r="O309" s="2570"/>
      <c r="P309" s="2570"/>
      <c r="Q309" s="2570"/>
      <c r="R309" s="2570"/>
      <c r="S309" s="2570"/>
      <c r="T309" s="644"/>
      <c r="U309" s="644"/>
    </row>
    <row r="310" spans="1:30" ht="16.899999999999999" customHeight="1">
      <c r="B310" s="522"/>
      <c r="C310" s="585"/>
      <c r="D310" s="584"/>
      <c r="E310" s="584"/>
      <c r="F310" s="584"/>
      <c r="G310" s="586"/>
      <c r="H310" s="586"/>
      <c r="I310" s="586"/>
      <c r="J310" s="586"/>
      <c r="K310" s="587"/>
      <c r="L310" s="587"/>
      <c r="M310" s="476" t="s">
        <v>1391</v>
      </c>
      <c r="N310" s="587"/>
      <c r="O310" s="587"/>
      <c r="P310" s="587"/>
      <c r="Q310" s="561"/>
      <c r="R310" s="477" t="s">
        <v>692</v>
      </c>
      <c r="S310" s="478" t="str">
        <f>$E$31</f>
        <v>ILF5_90FCOSCP_B114CAGR43006</v>
      </c>
      <c r="T310" s="441"/>
      <c r="U310" s="588"/>
      <c r="V310" s="441"/>
    </row>
    <row r="311" spans="1:30" ht="16.899999999999999" customHeight="1">
      <c r="B311" s="522"/>
      <c r="C311" s="585"/>
      <c r="D311" s="584"/>
      <c r="E311" s="584"/>
      <c r="F311" s="584"/>
      <c r="G311" s="586"/>
      <c r="H311" s="586"/>
      <c r="I311" s="586"/>
      <c r="J311" s="586"/>
      <c r="K311" s="587"/>
      <c r="L311" s="587"/>
      <c r="M311" s="587"/>
      <c r="N311" s="587"/>
      <c r="O311" s="587"/>
      <c r="P311" s="587"/>
      <c r="Q311" s="561"/>
      <c r="R311" s="561"/>
      <c r="S311" s="441"/>
      <c r="T311" s="441"/>
      <c r="U311" s="588"/>
      <c r="V311" s="441"/>
    </row>
    <row r="312" spans="1:30">
      <c r="H312" s="436" t="s">
        <v>691</v>
      </c>
      <c r="I312" s="420"/>
      <c r="K312" s="420"/>
      <c r="L312" s="437" t="str">
        <f>$B$11</f>
        <v>INMOBILIARIA SERVIGESTION</v>
      </c>
    </row>
    <row r="313" spans="1:30" ht="30">
      <c r="B313" s="2395" t="s">
        <v>461</v>
      </c>
      <c r="C313" s="2395"/>
      <c r="D313" s="2395"/>
      <c r="E313" s="2395"/>
      <c r="F313" s="2395"/>
      <c r="G313" s="2395"/>
      <c r="H313" s="2395"/>
      <c r="I313" s="2395"/>
      <c r="J313" s="2395"/>
      <c r="K313" s="2395"/>
      <c r="L313" s="2395"/>
      <c r="M313" s="2395"/>
      <c r="N313" s="2395"/>
      <c r="O313" s="2395"/>
      <c r="P313" s="2395"/>
      <c r="Q313" s="2395"/>
      <c r="R313" s="2395"/>
      <c r="S313" s="2395"/>
      <c r="T313" s="2395"/>
      <c r="U313" s="2395"/>
    </row>
    <row r="314" spans="1:30" ht="22.9" customHeight="1">
      <c r="B314" s="2269" t="s">
        <v>793</v>
      </c>
      <c r="C314" s="2269"/>
      <c r="D314" s="2269"/>
      <c r="E314" s="2269"/>
      <c r="F314" s="2269"/>
      <c r="G314" s="2269"/>
      <c r="H314" s="2269"/>
      <c r="I314" s="2269"/>
      <c r="J314" s="2269"/>
      <c r="K314" s="2269"/>
      <c r="L314" s="2269"/>
      <c r="M314" s="2269"/>
      <c r="N314" s="2269"/>
      <c r="O314" s="2269"/>
      <c r="P314" s="2269"/>
      <c r="Q314" s="2269"/>
      <c r="R314" s="2269"/>
      <c r="S314" s="2269"/>
      <c r="T314" s="2269"/>
      <c r="U314" s="2269"/>
    </row>
    <row r="317" spans="1:30" ht="23.25">
      <c r="C317" s="2456" t="s">
        <v>1923</v>
      </c>
      <c r="D317" s="2456"/>
      <c r="E317" s="2456"/>
      <c r="F317" s="2456"/>
      <c r="G317" s="2456"/>
      <c r="H317" s="2456"/>
      <c r="I317" s="2456"/>
      <c r="J317" s="2456"/>
      <c r="K317" s="2456"/>
      <c r="L317" s="2456"/>
      <c r="M317" s="2456"/>
      <c r="N317" s="2456"/>
      <c r="O317" s="2456"/>
      <c r="P317" s="2456"/>
      <c r="Q317" s="2456"/>
      <c r="R317" s="1137"/>
      <c r="S317" s="470"/>
    </row>
    <row r="318" spans="1:30" ht="15">
      <c r="C318" s="1962" t="s">
        <v>516</v>
      </c>
      <c r="D318" s="1963" t="s">
        <v>539</v>
      </c>
      <c r="E318" s="1964" t="s">
        <v>546</v>
      </c>
      <c r="F318" s="1964" t="s">
        <v>551</v>
      </c>
      <c r="G318" s="1964" t="s">
        <v>561</v>
      </c>
      <c r="H318" s="1964" t="s">
        <v>577</v>
      </c>
      <c r="I318" s="1964" t="s">
        <v>582</v>
      </c>
      <c r="J318" s="1964" t="s">
        <v>601</v>
      </c>
      <c r="K318" s="1964" t="s">
        <v>662</v>
      </c>
      <c r="L318" s="1964" t="s">
        <v>611</v>
      </c>
      <c r="M318" s="1964" t="s">
        <v>620</v>
      </c>
      <c r="N318" s="1964" t="s">
        <v>627</v>
      </c>
      <c r="O318" s="1964" t="s">
        <v>633</v>
      </c>
      <c r="P318" s="1964" t="s">
        <v>663</v>
      </c>
      <c r="Q318" s="1965" t="s">
        <v>640</v>
      </c>
      <c r="R318" s="1136"/>
      <c r="S318" s="647"/>
    </row>
    <row r="319" spans="1:30" ht="15">
      <c r="C319" s="1962" t="s">
        <v>522</v>
      </c>
      <c r="D319" s="1963" t="s">
        <v>363</v>
      </c>
      <c r="E319" s="1964" t="s">
        <v>541</v>
      </c>
      <c r="F319" s="1964" t="s">
        <v>661</v>
      </c>
      <c r="G319" s="1964" t="s">
        <v>566</v>
      </c>
      <c r="H319" s="1964" t="s">
        <v>590</v>
      </c>
      <c r="I319" s="1964" t="s">
        <v>587</v>
      </c>
      <c r="J319" s="1964" t="s">
        <v>604</v>
      </c>
      <c r="K319" s="1964" t="s">
        <v>571</v>
      </c>
      <c r="L319" s="1964" t="s">
        <v>614</v>
      </c>
      <c r="M319" s="1964" t="s">
        <v>623</v>
      </c>
      <c r="N319" s="1867" t="s">
        <v>629</v>
      </c>
      <c r="O319" s="1964" t="s">
        <v>635</v>
      </c>
      <c r="P319" s="1964" t="s">
        <v>583</v>
      </c>
      <c r="Q319" s="1965" t="s">
        <v>641</v>
      </c>
      <c r="R319" s="1136"/>
      <c r="S319" s="647"/>
    </row>
    <row r="320" spans="1:30" ht="15">
      <c r="C320" s="1962" t="s">
        <v>529</v>
      </c>
      <c r="D320" s="1963" t="s">
        <v>534</v>
      </c>
      <c r="E320" s="1964" t="s">
        <v>545</v>
      </c>
      <c r="F320" s="1964" t="s">
        <v>556</v>
      </c>
      <c r="G320" s="1964" t="s">
        <v>572</v>
      </c>
      <c r="H320" s="1964" t="s">
        <v>603</v>
      </c>
      <c r="I320" s="1964" t="s">
        <v>597</v>
      </c>
      <c r="J320" s="1964" t="s">
        <v>552</v>
      </c>
      <c r="K320" s="1964" t="s">
        <v>565</v>
      </c>
      <c r="L320" s="1964" t="s">
        <v>617</v>
      </c>
      <c r="M320" s="1964" t="s">
        <v>619</v>
      </c>
      <c r="N320" s="1964" t="s">
        <v>631</v>
      </c>
      <c r="O320" s="1964" t="s">
        <v>1924</v>
      </c>
      <c r="P320" s="1964" t="s">
        <v>639</v>
      </c>
      <c r="Q320" s="1965" t="s">
        <v>642</v>
      </c>
      <c r="R320" s="595"/>
      <c r="S320" s="647"/>
    </row>
    <row r="321" spans="3:21">
      <c r="C321" s="598"/>
      <c r="D321" s="598"/>
      <c r="E321" s="598"/>
      <c r="F321" s="598"/>
      <c r="G321" s="598"/>
      <c r="H321" s="598"/>
      <c r="I321" s="598"/>
      <c r="J321" s="598"/>
      <c r="K321" s="598"/>
      <c r="L321" s="598"/>
      <c r="M321" s="598"/>
      <c r="N321" s="598"/>
      <c r="O321" s="598"/>
      <c r="P321" s="598"/>
      <c r="Q321" s="598"/>
      <c r="R321" s="441"/>
    </row>
    <row r="322" spans="3:21" ht="23.25">
      <c r="C322" s="2457" t="s">
        <v>925</v>
      </c>
      <c r="D322" s="2457"/>
      <c r="E322" s="2457"/>
      <c r="F322" s="2457"/>
      <c r="G322" s="2457"/>
      <c r="H322" s="2457"/>
      <c r="I322" s="2457"/>
      <c r="J322" s="2457"/>
      <c r="K322" s="2457"/>
      <c r="L322" s="2457"/>
      <c r="M322" s="2457"/>
      <c r="N322" s="2457"/>
      <c r="O322" s="2457"/>
      <c r="P322" s="2457"/>
      <c r="Q322" s="2457"/>
      <c r="R322" s="1137"/>
      <c r="S322" s="470"/>
    </row>
    <row r="323" spans="3:21" ht="15">
      <c r="C323" s="591" t="s">
        <v>525</v>
      </c>
      <c r="D323" s="592" t="s">
        <v>543</v>
      </c>
      <c r="E323" s="646" t="s">
        <v>550</v>
      </c>
      <c r="F323" s="646" t="s">
        <v>558</v>
      </c>
      <c r="G323" s="646" t="s">
        <v>580</v>
      </c>
      <c r="H323" s="646" t="s">
        <v>613</v>
      </c>
      <c r="I323" s="646" t="s">
        <v>549</v>
      </c>
      <c r="J323" s="646" t="s">
        <v>622</v>
      </c>
      <c r="K323" s="646" t="s">
        <v>624</v>
      </c>
      <c r="L323" s="646" t="s">
        <v>628</v>
      </c>
      <c r="M323" s="646" t="s">
        <v>928</v>
      </c>
      <c r="N323" s="646" t="s">
        <v>588</v>
      </c>
      <c r="O323" s="646" t="s">
        <v>930</v>
      </c>
      <c r="P323" s="646" t="s">
        <v>596</v>
      </c>
      <c r="Q323" s="593" t="s">
        <v>638</v>
      </c>
      <c r="R323" s="1136"/>
      <c r="S323" s="647"/>
    </row>
    <row r="324" spans="3:21" ht="15">
      <c r="C324" s="591" t="s">
        <v>520</v>
      </c>
      <c r="D324" s="592" t="s">
        <v>548</v>
      </c>
      <c r="E324" s="646" t="s">
        <v>554</v>
      </c>
      <c r="F324" s="646" t="s">
        <v>575</v>
      </c>
      <c r="G324" s="646" t="s">
        <v>595</v>
      </c>
      <c r="H324" s="646" t="s">
        <v>926</v>
      </c>
      <c r="I324" s="646" t="s">
        <v>559</v>
      </c>
      <c r="J324" s="646" t="s">
        <v>567</v>
      </c>
      <c r="K324" s="646" t="s">
        <v>927</v>
      </c>
      <c r="L324" s="646" t="s">
        <v>630</v>
      </c>
      <c r="M324" s="646" t="s">
        <v>929</v>
      </c>
      <c r="N324" s="646" t="s">
        <v>581</v>
      </c>
      <c r="O324" s="646" t="s">
        <v>586</v>
      </c>
      <c r="P324" s="646" t="s">
        <v>600</v>
      </c>
      <c r="Q324" s="646"/>
      <c r="R324" s="1136"/>
      <c r="S324" s="647"/>
    </row>
    <row r="325" spans="3:21">
      <c r="C325" s="598"/>
      <c r="D325" s="598"/>
      <c r="E325" s="598"/>
      <c r="F325" s="598"/>
      <c r="G325" s="598"/>
      <c r="H325" s="598"/>
      <c r="I325" s="598"/>
      <c r="J325" s="598"/>
      <c r="K325" s="598"/>
      <c r="L325" s="598"/>
      <c r="M325" s="598"/>
      <c r="N325" s="598"/>
      <c r="O325" s="598"/>
      <c r="P325" s="598"/>
      <c r="Q325" s="598"/>
      <c r="R325" s="441"/>
    </row>
    <row r="326" spans="3:21" ht="50.45" customHeight="1">
      <c r="C326" s="2364" t="s">
        <v>794</v>
      </c>
      <c r="D326" s="2364"/>
      <c r="E326" s="2364"/>
      <c r="F326" s="2364"/>
      <c r="G326" s="2364"/>
      <c r="H326" s="2364"/>
      <c r="I326" s="2364"/>
      <c r="J326" s="2364"/>
      <c r="K326" s="2364"/>
      <c r="L326" s="2364"/>
      <c r="M326" s="2364"/>
      <c r="O326" s="2364" t="s">
        <v>794</v>
      </c>
      <c r="P326" s="2364"/>
      <c r="Q326" s="2364"/>
      <c r="R326" s="2364"/>
      <c r="S326" s="2364"/>
    </row>
    <row r="327" spans="3:21" ht="60" customHeight="1">
      <c r="C327" s="2433" t="s">
        <v>931</v>
      </c>
      <c r="D327" s="2434"/>
      <c r="E327" s="2434"/>
      <c r="F327" s="2434"/>
      <c r="G327" s="2434"/>
      <c r="H327" s="2434"/>
      <c r="I327" s="2434"/>
      <c r="J327" s="2434"/>
      <c r="K327" s="2434"/>
      <c r="L327" s="2434"/>
      <c r="M327" s="2435"/>
      <c r="O327" s="2391" t="s">
        <v>932</v>
      </c>
      <c r="P327" s="2391"/>
      <c r="Q327" s="2391"/>
      <c r="R327" s="2391"/>
      <c r="S327" s="2391"/>
      <c r="T327" s="470"/>
      <c r="U327" s="470"/>
    </row>
    <row r="328" spans="3:21" ht="22.9" customHeight="1">
      <c r="C328" s="2374" t="s">
        <v>311</v>
      </c>
      <c r="D328" s="2374"/>
      <c r="E328" s="2374" t="s">
        <v>312</v>
      </c>
      <c r="F328" s="2374"/>
      <c r="G328" s="2374" t="s">
        <v>327</v>
      </c>
      <c r="H328" s="2374"/>
      <c r="I328" s="2374" t="s">
        <v>496</v>
      </c>
      <c r="J328" s="2374"/>
      <c r="K328" s="2374" t="s">
        <v>515</v>
      </c>
      <c r="L328" s="2374"/>
      <c r="M328" s="648" t="s">
        <v>498</v>
      </c>
      <c r="O328" s="2369" t="s">
        <v>1919</v>
      </c>
      <c r="P328" s="2369"/>
      <c r="Q328" s="2369" t="s">
        <v>312</v>
      </c>
      <c r="R328" s="2369"/>
      <c r="S328" s="1840" t="s">
        <v>327</v>
      </c>
      <c r="T328" s="470"/>
      <c r="U328" s="470"/>
    </row>
    <row r="329" spans="3:21">
      <c r="C329" s="649"/>
      <c r="D329" s="650"/>
      <c r="E329" s="649"/>
      <c r="F329" s="650"/>
      <c r="G329" s="649"/>
      <c r="H329" s="650"/>
      <c r="I329" s="649"/>
      <c r="J329" s="650"/>
      <c r="K329" s="649"/>
      <c r="L329" s="650"/>
      <c r="M329" s="651"/>
      <c r="O329" s="1966"/>
      <c r="P329" s="1967"/>
      <c r="Q329" s="1966"/>
      <c r="R329" s="1967"/>
      <c r="S329" s="651"/>
      <c r="T329" s="522"/>
    </row>
    <row r="330" spans="3:21" ht="15">
      <c r="C330" s="2314" t="s">
        <v>516</v>
      </c>
      <c r="D330" s="2313"/>
      <c r="E330" s="2312" t="s">
        <v>517</v>
      </c>
      <c r="F330" s="2313"/>
      <c r="G330" s="2312" t="s">
        <v>518</v>
      </c>
      <c r="H330" s="2313"/>
      <c r="I330" s="2312" t="s">
        <v>519</v>
      </c>
      <c r="J330" s="2313"/>
      <c r="K330" s="2312" t="s">
        <v>520</v>
      </c>
      <c r="L330" s="2313"/>
      <c r="M330" s="652" t="s">
        <v>521</v>
      </c>
      <c r="N330" s="441"/>
      <c r="O330" s="2370" t="s">
        <v>516</v>
      </c>
      <c r="P330" s="2371"/>
      <c r="Q330" s="2372" t="s">
        <v>517</v>
      </c>
      <c r="R330" s="2373"/>
      <c r="S330" s="653" t="s">
        <v>521</v>
      </c>
      <c r="T330" s="647"/>
    </row>
    <row r="331" spans="3:21" ht="15">
      <c r="C331" s="2314" t="s">
        <v>522</v>
      </c>
      <c r="D331" s="2313"/>
      <c r="E331" s="2312" t="s">
        <v>523</v>
      </c>
      <c r="F331" s="2313"/>
      <c r="G331" s="2312" t="s">
        <v>524</v>
      </c>
      <c r="H331" s="2313"/>
      <c r="I331" s="2312" t="s">
        <v>525</v>
      </c>
      <c r="J331" s="2313"/>
      <c r="K331" s="2312" t="s">
        <v>526</v>
      </c>
      <c r="L331" s="2313" t="s">
        <v>362</v>
      </c>
      <c r="M331" s="652" t="s">
        <v>527</v>
      </c>
      <c r="N331" s="441"/>
      <c r="O331" s="2370" t="s">
        <v>522</v>
      </c>
      <c r="P331" s="2371"/>
      <c r="Q331" s="2372" t="s">
        <v>528</v>
      </c>
      <c r="R331" s="2373"/>
      <c r="S331" s="653" t="s">
        <v>527</v>
      </c>
      <c r="T331" s="647"/>
    </row>
    <row r="332" spans="3:21" ht="15">
      <c r="C332" s="2314" t="s">
        <v>529</v>
      </c>
      <c r="D332" s="2313"/>
      <c r="E332" s="2312" t="s">
        <v>530</v>
      </c>
      <c r="F332" s="2313"/>
      <c r="G332" s="2312" t="s">
        <v>531</v>
      </c>
      <c r="H332" s="2313"/>
      <c r="I332" s="2312" t="s">
        <v>532</v>
      </c>
      <c r="J332" s="2313"/>
      <c r="K332" s="2312" t="s">
        <v>533</v>
      </c>
      <c r="L332" s="2313" t="s">
        <v>362</v>
      </c>
      <c r="M332" s="652"/>
      <c r="N332" s="441"/>
      <c r="O332" s="2370" t="s">
        <v>529</v>
      </c>
      <c r="P332" s="2371"/>
      <c r="Q332" s="2372" t="s">
        <v>1925</v>
      </c>
      <c r="R332" s="2373"/>
      <c r="S332" s="653" t="s">
        <v>362</v>
      </c>
      <c r="T332" s="647"/>
    </row>
    <row r="333" spans="3:21" ht="15">
      <c r="C333" s="2314" t="s">
        <v>534</v>
      </c>
      <c r="D333" s="2313"/>
      <c r="E333" s="2312" t="s">
        <v>535</v>
      </c>
      <c r="F333" s="2313"/>
      <c r="G333" s="2312" t="s">
        <v>536</v>
      </c>
      <c r="H333" s="2313"/>
      <c r="I333" s="2312" t="s">
        <v>537</v>
      </c>
      <c r="J333" s="2313"/>
      <c r="K333" s="2312" t="s">
        <v>538</v>
      </c>
      <c r="L333" s="2313" t="s">
        <v>362</v>
      </c>
      <c r="M333" s="652"/>
      <c r="N333" s="441"/>
      <c r="O333" s="2370" t="s">
        <v>539</v>
      </c>
      <c r="P333" s="2371"/>
      <c r="Q333" s="2372" t="s">
        <v>540</v>
      </c>
      <c r="R333" s="2373"/>
      <c r="S333" s="653" t="s">
        <v>362</v>
      </c>
      <c r="T333" s="647"/>
    </row>
    <row r="334" spans="3:21" ht="15">
      <c r="C334" s="2314" t="s">
        <v>541</v>
      </c>
      <c r="D334" s="2313"/>
      <c r="E334" s="2312" t="s">
        <v>539</v>
      </c>
      <c r="F334" s="2313"/>
      <c r="G334" s="2312" t="s">
        <v>542</v>
      </c>
      <c r="H334" s="2313"/>
      <c r="I334" s="2312" t="s">
        <v>543</v>
      </c>
      <c r="J334" s="2313"/>
      <c r="K334" s="2312" t="s">
        <v>544</v>
      </c>
      <c r="L334" s="2313" t="s">
        <v>362</v>
      </c>
      <c r="M334" s="652"/>
      <c r="N334" s="441"/>
      <c r="O334" s="2370" t="s">
        <v>546</v>
      </c>
      <c r="P334" s="2371"/>
      <c r="Q334" s="2372" t="s">
        <v>535</v>
      </c>
      <c r="R334" s="2373"/>
      <c r="S334" s="653" t="s">
        <v>362</v>
      </c>
      <c r="T334" s="647"/>
    </row>
    <row r="335" spans="3:21" ht="15">
      <c r="C335" s="2314" t="s">
        <v>545</v>
      </c>
      <c r="D335" s="2313"/>
      <c r="E335" s="2312" t="s">
        <v>546</v>
      </c>
      <c r="F335" s="2313"/>
      <c r="G335" s="2312" t="s">
        <v>547</v>
      </c>
      <c r="H335" s="2313"/>
      <c r="I335" s="2312" t="s">
        <v>548</v>
      </c>
      <c r="J335" s="2313"/>
      <c r="K335" s="2312" t="s">
        <v>549</v>
      </c>
      <c r="L335" s="2313" t="s">
        <v>362</v>
      </c>
      <c r="M335" s="652"/>
      <c r="N335" s="441"/>
      <c r="O335" s="2370" t="s">
        <v>534</v>
      </c>
      <c r="P335" s="2371"/>
      <c r="Q335" s="2372" t="s">
        <v>550</v>
      </c>
      <c r="R335" s="2373"/>
      <c r="S335" s="653" t="s">
        <v>362</v>
      </c>
      <c r="T335" s="647"/>
    </row>
    <row r="336" spans="3:21" ht="15.6" customHeight="1">
      <c r="C336" s="2314" t="s">
        <v>551</v>
      </c>
      <c r="D336" s="2313"/>
      <c r="E336" s="2312" t="s">
        <v>552</v>
      </c>
      <c r="F336" s="2313"/>
      <c r="G336" s="2312" t="s">
        <v>553</v>
      </c>
      <c r="H336" s="2313"/>
      <c r="I336" s="2312" t="s">
        <v>554</v>
      </c>
      <c r="J336" s="2313"/>
      <c r="K336" s="2312" t="s">
        <v>555</v>
      </c>
      <c r="L336" s="2313" t="s">
        <v>362</v>
      </c>
      <c r="M336" s="652"/>
      <c r="N336" s="441"/>
      <c r="O336" s="2370" t="s">
        <v>541</v>
      </c>
      <c r="P336" s="2371"/>
      <c r="Q336" s="2372" t="s">
        <v>137</v>
      </c>
      <c r="R336" s="2373"/>
      <c r="S336" s="653" t="s">
        <v>362</v>
      </c>
      <c r="T336" s="647"/>
    </row>
    <row r="337" spans="3:20" ht="15.6" customHeight="1">
      <c r="C337" s="2314" t="s">
        <v>556</v>
      </c>
      <c r="D337" s="2313"/>
      <c r="E337" s="2312" t="s">
        <v>557</v>
      </c>
      <c r="F337" s="2313"/>
      <c r="G337" s="2312" t="s">
        <v>550</v>
      </c>
      <c r="H337" s="2313"/>
      <c r="I337" s="2312" t="s">
        <v>558</v>
      </c>
      <c r="J337" s="2313"/>
      <c r="K337" s="2312" t="s">
        <v>559</v>
      </c>
      <c r="L337" s="2313" t="s">
        <v>362</v>
      </c>
      <c r="M337" s="652"/>
      <c r="N337" s="441"/>
      <c r="O337" s="2370" t="s">
        <v>556</v>
      </c>
      <c r="P337" s="2371"/>
      <c r="Q337" s="2372" t="s">
        <v>552</v>
      </c>
      <c r="R337" s="2373"/>
      <c r="S337" s="653" t="s">
        <v>362</v>
      </c>
      <c r="T337" s="647"/>
    </row>
    <row r="338" spans="3:20" ht="15.6" customHeight="1">
      <c r="C338" s="2314" t="s">
        <v>561</v>
      </c>
      <c r="D338" s="2313"/>
      <c r="E338" s="2312" t="s">
        <v>562</v>
      </c>
      <c r="F338" s="2313"/>
      <c r="G338" s="2312" t="s">
        <v>137</v>
      </c>
      <c r="H338" s="2313"/>
      <c r="I338" s="2312" t="s">
        <v>563</v>
      </c>
      <c r="J338" s="2313"/>
      <c r="K338" s="2312" t="s">
        <v>564</v>
      </c>
      <c r="L338" s="2313" t="s">
        <v>362</v>
      </c>
      <c r="M338" s="652"/>
      <c r="N338" s="441"/>
      <c r="O338" s="2370" t="s">
        <v>545</v>
      </c>
      <c r="P338" s="2371"/>
      <c r="Q338" s="2372" t="s">
        <v>560</v>
      </c>
      <c r="R338" s="2373"/>
      <c r="S338" s="653" t="s">
        <v>362</v>
      </c>
      <c r="T338" s="647"/>
    </row>
    <row r="339" spans="3:20" ht="15.6" customHeight="1">
      <c r="C339" s="2314" t="s">
        <v>566</v>
      </c>
      <c r="D339" s="2313"/>
      <c r="E339" s="2312" t="s">
        <v>567</v>
      </c>
      <c r="F339" s="2313"/>
      <c r="G339" s="2312" t="s">
        <v>568</v>
      </c>
      <c r="H339" s="2313"/>
      <c r="I339" s="2312" t="s">
        <v>569</v>
      </c>
      <c r="J339" s="2313"/>
      <c r="K339" s="2312" t="s">
        <v>570</v>
      </c>
      <c r="L339" s="2313" t="s">
        <v>362</v>
      </c>
      <c r="M339" s="652"/>
      <c r="N339" s="441"/>
      <c r="O339" s="2370" t="s">
        <v>551</v>
      </c>
      <c r="P339" s="2371"/>
      <c r="Q339" s="2372" t="s">
        <v>565</v>
      </c>
      <c r="R339" s="2373"/>
      <c r="S339" s="653" t="s">
        <v>362</v>
      </c>
      <c r="T339" s="647"/>
    </row>
    <row r="340" spans="3:20" ht="15.6" customHeight="1">
      <c r="C340" s="2314" t="s">
        <v>572</v>
      </c>
      <c r="D340" s="2313"/>
      <c r="E340" s="2312" t="s">
        <v>573</v>
      </c>
      <c r="F340" s="2313"/>
      <c r="G340" s="2312" t="s">
        <v>574</v>
      </c>
      <c r="H340" s="2313"/>
      <c r="I340" s="2312" t="s">
        <v>575</v>
      </c>
      <c r="J340" s="2313"/>
      <c r="K340" s="2312" t="s">
        <v>576</v>
      </c>
      <c r="L340" s="2313" t="s">
        <v>362</v>
      </c>
      <c r="M340" s="652"/>
      <c r="N340" s="441"/>
      <c r="O340" s="2317" t="s">
        <v>1926</v>
      </c>
      <c r="P340" s="2318"/>
      <c r="Q340" s="2372" t="s">
        <v>571</v>
      </c>
      <c r="R340" s="2373"/>
      <c r="S340" s="653" t="s">
        <v>362</v>
      </c>
      <c r="T340" s="647"/>
    </row>
    <row r="341" spans="3:20" ht="15">
      <c r="C341" s="2314" t="s">
        <v>577</v>
      </c>
      <c r="D341" s="2313"/>
      <c r="E341" s="2312" t="s">
        <v>578</v>
      </c>
      <c r="F341" s="2313"/>
      <c r="G341" s="2312" t="s">
        <v>579</v>
      </c>
      <c r="H341" s="2313"/>
      <c r="I341" s="2312" t="s">
        <v>580</v>
      </c>
      <c r="J341" s="2313"/>
      <c r="K341" s="2312" t="s">
        <v>581</v>
      </c>
      <c r="L341" s="2313" t="s">
        <v>362</v>
      </c>
      <c r="M341" s="652"/>
      <c r="N341" s="441"/>
      <c r="O341" s="2319"/>
      <c r="P341" s="2320"/>
      <c r="Q341" s="2372" t="s">
        <v>562</v>
      </c>
      <c r="R341" s="2373"/>
      <c r="S341" s="653" t="s">
        <v>362</v>
      </c>
      <c r="T341" s="647"/>
    </row>
    <row r="342" spans="3:20" ht="15.6" customHeight="1">
      <c r="C342" s="2314" t="s">
        <v>582</v>
      </c>
      <c r="D342" s="2313"/>
      <c r="E342" s="2312" t="s">
        <v>583</v>
      </c>
      <c r="F342" s="2313"/>
      <c r="G342" s="2312" t="s">
        <v>584</v>
      </c>
      <c r="H342" s="2313"/>
      <c r="I342" s="2312" t="s">
        <v>585</v>
      </c>
      <c r="J342" s="2313"/>
      <c r="K342" s="2312" t="s">
        <v>586</v>
      </c>
      <c r="L342" s="2313" t="s">
        <v>362</v>
      </c>
      <c r="M342" s="652"/>
      <c r="N342" s="441"/>
      <c r="O342" s="2317" t="s">
        <v>1927</v>
      </c>
      <c r="P342" s="2551"/>
      <c r="Q342" s="2372" t="s">
        <v>567</v>
      </c>
      <c r="R342" s="2373"/>
      <c r="S342" s="653" t="s">
        <v>362</v>
      </c>
      <c r="T342" s="647"/>
    </row>
    <row r="343" spans="3:20" ht="15">
      <c r="C343" s="2314" t="s">
        <v>587</v>
      </c>
      <c r="D343" s="2313"/>
      <c r="E343" s="2312" t="s">
        <v>588</v>
      </c>
      <c r="F343" s="2313"/>
      <c r="G343" s="2312" t="s">
        <v>589</v>
      </c>
      <c r="H343" s="2313"/>
      <c r="I343" s="2312" t="s">
        <v>590</v>
      </c>
      <c r="J343" s="2313"/>
      <c r="K343" s="2312" t="s">
        <v>591</v>
      </c>
      <c r="L343" s="2313" t="s">
        <v>362</v>
      </c>
      <c r="M343" s="652"/>
      <c r="N343" s="441"/>
      <c r="O343" s="2552"/>
      <c r="P343" s="2551"/>
      <c r="Q343" s="2372" t="s">
        <v>625</v>
      </c>
      <c r="R343" s="2373"/>
      <c r="S343" s="653" t="s">
        <v>362</v>
      </c>
      <c r="T343" s="647"/>
    </row>
    <row r="344" spans="3:20" ht="15">
      <c r="C344" s="2314" t="s">
        <v>571</v>
      </c>
      <c r="D344" s="2313"/>
      <c r="E344" s="2312" t="s">
        <v>593</v>
      </c>
      <c r="F344" s="2313"/>
      <c r="G344" s="2312" t="s">
        <v>594</v>
      </c>
      <c r="H344" s="2313"/>
      <c r="I344" s="2312" t="s">
        <v>595</v>
      </c>
      <c r="J344" s="2313"/>
      <c r="K344" s="753" t="s">
        <v>362</v>
      </c>
      <c r="L344" s="655" t="s">
        <v>362</v>
      </c>
      <c r="M344" s="652"/>
      <c r="N344" s="441"/>
      <c r="O344" s="2552"/>
      <c r="P344" s="2551"/>
      <c r="Q344" s="2372" t="s">
        <v>578</v>
      </c>
      <c r="R344" s="2373"/>
      <c r="S344" s="653" t="s">
        <v>362</v>
      </c>
      <c r="T344" s="647"/>
    </row>
    <row r="345" spans="3:20" ht="15.6" customHeight="1">
      <c r="C345" s="2314" t="s">
        <v>597</v>
      </c>
      <c r="D345" s="2313"/>
      <c r="E345" s="2312" t="s">
        <v>592</v>
      </c>
      <c r="F345" s="2313"/>
      <c r="G345" s="2312" t="s">
        <v>598</v>
      </c>
      <c r="H345" s="2313"/>
      <c r="I345" s="2312" t="s">
        <v>599</v>
      </c>
      <c r="J345" s="2313"/>
      <c r="K345" s="753" t="s">
        <v>362</v>
      </c>
      <c r="L345" s="655" t="s">
        <v>362</v>
      </c>
      <c r="M345" s="652"/>
      <c r="N345" s="441"/>
      <c r="O345" s="2370" t="s">
        <v>577</v>
      </c>
      <c r="P345" s="2371"/>
      <c r="Q345" s="2372" t="s">
        <v>592</v>
      </c>
      <c r="R345" s="2373"/>
      <c r="S345" s="653" t="s">
        <v>362</v>
      </c>
      <c r="T345" s="647"/>
    </row>
    <row r="346" spans="3:20" ht="15.6" customHeight="1">
      <c r="C346" s="2314" t="s">
        <v>601</v>
      </c>
      <c r="D346" s="2313"/>
      <c r="E346" s="2312" t="s">
        <v>596</v>
      </c>
      <c r="F346" s="2313"/>
      <c r="G346" s="2312" t="s">
        <v>602</v>
      </c>
      <c r="H346" s="2313"/>
      <c r="I346" s="2312" t="s">
        <v>603</v>
      </c>
      <c r="J346" s="2313"/>
      <c r="K346" s="753" t="s">
        <v>362</v>
      </c>
      <c r="L346" s="655" t="s">
        <v>362</v>
      </c>
      <c r="M346" s="652"/>
      <c r="N346" s="441"/>
      <c r="O346" s="2370" t="s">
        <v>587</v>
      </c>
      <c r="P346" s="2371"/>
      <c r="Q346" s="2372" t="s">
        <v>641</v>
      </c>
      <c r="R346" s="2373"/>
      <c r="S346" s="653" t="s">
        <v>362</v>
      </c>
      <c r="T346" s="647"/>
    </row>
    <row r="347" spans="3:20" ht="15.6" customHeight="1">
      <c r="C347" s="2314" t="s">
        <v>604</v>
      </c>
      <c r="D347" s="2313"/>
      <c r="E347" s="2312" t="s">
        <v>600</v>
      </c>
      <c r="F347" s="2313"/>
      <c r="G347" s="2312" t="s">
        <v>605</v>
      </c>
      <c r="H347" s="2313"/>
      <c r="I347" s="2312" t="s">
        <v>606</v>
      </c>
      <c r="J347" s="2313"/>
      <c r="K347" s="753" t="s">
        <v>362</v>
      </c>
      <c r="L347" s="655" t="s">
        <v>362</v>
      </c>
      <c r="M347" s="652"/>
      <c r="N347" s="441"/>
      <c r="O347" s="2370" t="s">
        <v>597</v>
      </c>
      <c r="P347" s="2371"/>
      <c r="Q347" s="2372" t="s">
        <v>596</v>
      </c>
      <c r="R347" s="2373"/>
      <c r="S347" s="653" t="s">
        <v>362</v>
      </c>
      <c r="T347" s="647"/>
    </row>
    <row r="348" spans="3:20" ht="15">
      <c r="C348" s="2314" t="s">
        <v>607</v>
      </c>
      <c r="D348" s="2313"/>
      <c r="E348" s="2312" t="s">
        <v>608</v>
      </c>
      <c r="F348" s="2313"/>
      <c r="G348" s="2312" t="s">
        <v>609</v>
      </c>
      <c r="H348" s="2313"/>
      <c r="I348" s="2312" t="s">
        <v>610</v>
      </c>
      <c r="J348" s="2313"/>
      <c r="K348" s="753" t="s">
        <v>362</v>
      </c>
      <c r="L348" s="655" t="s">
        <v>362</v>
      </c>
      <c r="M348" s="652"/>
      <c r="N348" s="441"/>
      <c r="O348" s="2370" t="s">
        <v>601</v>
      </c>
      <c r="P348" s="2371"/>
      <c r="Q348" s="2372" t="s">
        <v>600</v>
      </c>
      <c r="R348" s="2373"/>
      <c r="S348" s="653" t="s">
        <v>362</v>
      </c>
      <c r="T348" s="647"/>
    </row>
    <row r="349" spans="3:20" ht="15">
      <c r="C349" s="2314" t="s">
        <v>611</v>
      </c>
      <c r="D349" s="2313"/>
      <c r="E349" s="578"/>
      <c r="F349" s="580"/>
      <c r="G349" s="2312" t="s">
        <v>612</v>
      </c>
      <c r="H349" s="2313"/>
      <c r="I349" s="2312" t="s">
        <v>613</v>
      </c>
      <c r="J349" s="2313"/>
      <c r="K349" s="753" t="s">
        <v>362</v>
      </c>
      <c r="L349" s="655" t="s">
        <v>362</v>
      </c>
      <c r="M349" s="652"/>
      <c r="N349" s="441"/>
      <c r="O349" s="2370" t="s">
        <v>604</v>
      </c>
      <c r="P349" s="2371"/>
      <c r="Q349" s="1968"/>
      <c r="R349" s="1969"/>
      <c r="S349" s="653" t="s">
        <v>362</v>
      </c>
      <c r="T349" s="647"/>
    </row>
    <row r="350" spans="3:20" ht="15">
      <c r="C350" s="2314" t="s">
        <v>614</v>
      </c>
      <c r="D350" s="2313"/>
      <c r="E350" s="578"/>
      <c r="F350" s="580"/>
      <c r="G350" s="2312" t="s">
        <v>615</v>
      </c>
      <c r="H350" s="2313"/>
      <c r="I350" s="2312" t="s">
        <v>616</v>
      </c>
      <c r="J350" s="2313"/>
      <c r="K350" s="753" t="s">
        <v>362</v>
      </c>
      <c r="L350" s="655" t="s">
        <v>362</v>
      </c>
      <c r="M350" s="652"/>
      <c r="N350" s="441"/>
      <c r="O350" s="2370" t="s">
        <v>611</v>
      </c>
      <c r="P350" s="2371"/>
      <c r="Q350" s="1968"/>
      <c r="R350" s="1969"/>
      <c r="S350" s="653" t="s">
        <v>362</v>
      </c>
      <c r="T350" s="647"/>
    </row>
    <row r="351" spans="3:20" ht="15">
      <c r="C351" s="2314" t="s">
        <v>617</v>
      </c>
      <c r="D351" s="2313"/>
      <c r="E351" s="578"/>
      <c r="F351" s="580"/>
      <c r="G351" s="2312" t="s">
        <v>618</v>
      </c>
      <c r="H351" s="2313"/>
      <c r="I351" s="2312" t="s">
        <v>619</v>
      </c>
      <c r="J351" s="2313"/>
      <c r="K351" s="753" t="s">
        <v>362</v>
      </c>
      <c r="L351" s="655" t="s">
        <v>362</v>
      </c>
      <c r="M351" s="652"/>
      <c r="N351" s="441"/>
      <c r="O351" s="2370" t="s">
        <v>614</v>
      </c>
      <c r="P351" s="2371"/>
      <c r="Q351" s="1968"/>
      <c r="R351" s="1969"/>
      <c r="S351" s="653" t="s">
        <v>362</v>
      </c>
      <c r="T351" s="647"/>
    </row>
    <row r="352" spans="3:20" ht="15">
      <c r="C352" s="2314" t="s">
        <v>620</v>
      </c>
      <c r="D352" s="2313"/>
      <c r="E352" s="578"/>
      <c r="F352" s="580"/>
      <c r="G352" s="2312" t="s">
        <v>621</v>
      </c>
      <c r="H352" s="2313"/>
      <c r="I352" s="2312" t="s">
        <v>622</v>
      </c>
      <c r="J352" s="2313"/>
      <c r="K352" s="753" t="s">
        <v>362</v>
      </c>
      <c r="L352" s="655" t="s">
        <v>362</v>
      </c>
      <c r="M352" s="652"/>
      <c r="N352" s="441"/>
      <c r="O352" s="2370" t="s">
        <v>617</v>
      </c>
      <c r="P352" s="2371"/>
      <c r="Q352" s="1968"/>
      <c r="R352" s="1969"/>
      <c r="S352" s="653" t="s">
        <v>362</v>
      </c>
      <c r="T352" s="647"/>
    </row>
    <row r="353" spans="3:20" ht="15" customHeight="1">
      <c r="C353" s="2314" t="s">
        <v>623</v>
      </c>
      <c r="D353" s="2313"/>
      <c r="E353" s="578"/>
      <c r="F353" s="580"/>
      <c r="G353" s="2312"/>
      <c r="H353" s="2313"/>
      <c r="I353" s="2312" t="s">
        <v>624</v>
      </c>
      <c r="J353" s="2313"/>
      <c r="K353" s="753" t="s">
        <v>362</v>
      </c>
      <c r="L353" s="655" t="s">
        <v>362</v>
      </c>
      <c r="M353" s="652"/>
      <c r="N353" s="441"/>
      <c r="O353" s="2370" t="s">
        <v>620</v>
      </c>
      <c r="P353" s="2371"/>
      <c r="Q353" s="1968"/>
      <c r="R353" s="1969"/>
      <c r="S353" s="653" t="s">
        <v>362</v>
      </c>
      <c r="T353" s="647"/>
    </row>
    <row r="354" spans="3:20" ht="15.6" customHeight="1">
      <c r="C354" s="2314" t="s">
        <v>625</v>
      </c>
      <c r="D354" s="2313"/>
      <c r="E354" s="578"/>
      <c r="F354" s="580"/>
      <c r="G354" s="2312"/>
      <c r="H354" s="2313"/>
      <c r="I354" s="2312" t="s">
        <v>626</v>
      </c>
      <c r="J354" s="2313"/>
      <c r="K354" s="753" t="s">
        <v>362</v>
      </c>
      <c r="L354" s="655" t="s">
        <v>362</v>
      </c>
      <c r="M354" s="652"/>
      <c r="N354" s="441"/>
      <c r="O354" s="2370" t="s">
        <v>623</v>
      </c>
      <c r="P354" s="2371"/>
      <c r="Q354" s="1968"/>
      <c r="R354" s="1969"/>
      <c r="S354" s="653" t="s">
        <v>362</v>
      </c>
      <c r="T354" s="647"/>
    </row>
    <row r="355" spans="3:20" ht="15">
      <c r="C355" s="2314" t="s">
        <v>627</v>
      </c>
      <c r="D355" s="2313"/>
      <c r="E355" s="578"/>
      <c r="F355" s="580"/>
      <c r="G355" s="2312"/>
      <c r="H355" s="2313"/>
      <c r="I355" s="2312" t="s">
        <v>628</v>
      </c>
      <c r="J355" s="2313"/>
      <c r="K355" s="753" t="s">
        <v>362</v>
      </c>
      <c r="L355" s="655" t="s">
        <v>362</v>
      </c>
      <c r="M355" s="652"/>
      <c r="N355" s="441"/>
      <c r="O355" s="2370" t="s">
        <v>627</v>
      </c>
      <c r="P355" s="2371"/>
      <c r="Q355" s="1968"/>
      <c r="R355" s="1969"/>
      <c r="S355" s="653" t="s">
        <v>362</v>
      </c>
      <c r="T355" s="647"/>
    </row>
    <row r="356" spans="3:20" ht="15.6" customHeight="1">
      <c r="C356" s="2314" t="s">
        <v>629</v>
      </c>
      <c r="D356" s="2313"/>
      <c r="E356" s="578"/>
      <c r="F356" s="580"/>
      <c r="G356" s="2312"/>
      <c r="H356" s="2313"/>
      <c r="I356" s="2312" t="s">
        <v>630</v>
      </c>
      <c r="J356" s="2313"/>
      <c r="K356" s="753" t="s">
        <v>362</v>
      </c>
      <c r="L356" s="655" t="s">
        <v>362</v>
      </c>
      <c r="M356" s="652"/>
      <c r="N356" s="441"/>
      <c r="O356" s="2370" t="s">
        <v>629</v>
      </c>
      <c r="P356" s="2371"/>
      <c r="Q356" s="1968"/>
      <c r="R356" s="1969"/>
      <c r="S356" s="653" t="s">
        <v>362</v>
      </c>
      <c r="T356" s="647"/>
    </row>
    <row r="357" spans="3:20" ht="15.6" customHeight="1">
      <c r="C357" s="2314" t="s">
        <v>631</v>
      </c>
      <c r="D357" s="2313"/>
      <c r="E357" s="578"/>
      <c r="F357" s="580"/>
      <c r="G357" s="2312"/>
      <c r="H357" s="2313"/>
      <c r="I357" s="2312" t="s">
        <v>632</v>
      </c>
      <c r="J357" s="2313"/>
      <c r="K357" s="753" t="s">
        <v>362</v>
      </c>
      <c r="L357" s="655" t="s">
        <v>362</v>
      </c>
      <c r="M357" s="652"/>
      <c r="N357" s="441"/>
      <c r="O357" s="2370" t="s">
        <v>631</v>
      </c>
      <c r="P357" s="2371"/>
      <c r="Q357" s="1968"/>
      <c r="R357" s="1969"/>
      <c r="S357" s="653" t="s">
        <v>362</v>
      </c>
      <c r="T357" s="647"/>
    </row>
    <row r="358" spans="3:20" ht="15.6" customHeight="1">
      <c r="C358" s="2314" t="s">
        <v>633</v>
      </c>
      <c r="D358" s="2313"/>
      <c r="E358" s="578"/>
      <c r="F358" s="580"/>
      <c r="G358" s="2312"/>
      <c r="H358" s="2313"/>
      <c r="I358" s="2312" t="s">
        <v>634</v>
      </c>
      <c r="J358" s="2313"/>
      <c r="K358" s="753" t="s">
        <v>362</v>
      </c>
      <c r="L358" s="655" t="s">
        <v>362</v>
      </c>
      <c r="M358" s="652"/>
      <c r="N358" s="441"/>
      <c r="O358" s="2317" t="s">
        <v>1928</v>
      </c>
      <c r="P358" s="2318"/>
      <c r="Q358" s="1968"/>
      <c r="R358" s="1969"/>
      <c r="S358" s="653" t="s">
        <v>362</v>
      </c>
      <c r="T358" s="647"/>
    </row>
    <row r="359" spans="3:20" ht="15">
      <c r="C359" s="2314" t="s">
        <v>635</v>
      </c>
      <c r="D359" s="2313"/>
      <c r="E359" s="578"/>
      <c r="F359" s="580"/>
      <c r="G359" s="2312"/>
      <c r="H359" s="2313"/>
      <c r="I359" s="2312" t="s">
        <v>636</v>
      </c>
      <c r="J359" s="2313"/>
      <c r="K359" s="753" t="s">
        <v>362</v>
      </c>
      <c r="L359" s="655" t="s">
        <v>362</v>
      </c>
      <c r="M359" s="652"/>
      <c r="N359" s="441"/>
      <c r="O359" s="2319"/>
      <c r="P359" s="2320"/>
      <c r="Q359" s="1968"/>
      <c r="R359" s="1969"/>
      <c r="S359" s="653" t="s">
        <v>362</v>
      </c>
      <c r="T359" s="647"/>
    </row>
    <row r="360" spans="3:20" ht="15">
      <c r="C360" s="2314" t="s">
        <v>637</v>
      </c>
      <c r="D360" s="2313"/>
      <c r="E360" s="578"/>
      <c r="F360" s="580"/>
      <c r="G360" s="2312"/>
      <c r="H360" s="2313"/>
      <c r="I360" s="2312" t="s">
        <v>638</v>
      </c>
      <c r="J360" s="2313"/>
      <c r="K360" s="753" t="s">
        <v>362</v>
      </c>
      <c r="L360" s="655" t="s">
        <v>362</v>
      </c>
      <c r="M360" s="652"/>
      <c r="N360" s="441"/>
      <c r="O360" s="2370" t="s">
        <v>1929</v>
      </c>
      <c r="P360" s="2371"/>
      <c r="Q360" s="1968"/>
      <c r="R360" s="1969"/>
      <c r="S360" s="653" t="s">
        <v>362</v>
      </c>
      <c r="T360" s="647"/>
    </row>
    <row r="361" spans="3:20" ht="15">
      <c r="C361" s="2314" t="s">
        <v>639</v>
      </c>
      <c r="D361" s="2313"/>
      <c r="E361" s="578"/>
      <c r="F361" s="580"/>
      <c r="G361" s="2312"/>
      <c r="H361" s="2313"/>
      <c r="I361" s="753" t="s">
        <v>362</v>
      </c>
      <c r="J361" s="655"/>
      <c r="K361" s="753" t="s">
        <v>362</v>
      </c>
      <c r="L361" s="655" t="s">
        <v>362</v>
      </c>
      <c r="M361" s="652"/>
      <c r="N361" s="441"/>
      <c r="O361" s="2370" t="s">
        <v>637</v>
      </c>
      <c r="P361" s="2371"/>
      <c r="Q361" s="1968"/>
      <c r="R361" s="1969"/>
      <c r="S361" s="653" t="s">
        <v>362</v>
      </c>
      <c r="T361" s="647"/>
    </row>
    <row r="362" spans="3:20" ht="15" customHeight="1">
      <c r="C362" s="2314" t="s">
        <v>640</v>
      </c>
      <c r="D362" s="2313"/>
      <c r="E362" s="578"/>
      <c r="F362" s="580"/>
      <c r="G362" s="2312"/>
      <c r="H362" s="2313"/>
      <c r="I362" s="753" t="s">
        <v>362</v>
      </c>
      <c r="J362" s="655"/>
      <c r="K362" s="753" t="s">
        <v>362</v>
      </c>
      <c r="L362" s="655" t="s">
        <v>362</v>
      </c>
      <c r="M362" s="652"/>
      <c r="N362" s="441"/>
      <c r="O362" s="2370" t="s">
        <v>583</v>
      </c>
      <c r="P362" s="2371"/>
      <c r="Q362" s="1968"/>
      <c r="R362" s="1969"/>
      <c r="S362" s="653" t="s">
        <v>362</v>
      </c>
      <c r="T362" s="647"/>
    </row>
    <row r="363" spans="3:20" ht="15.6" customHeight="1">
      <c r="C363" s="2314" t="s">
        <v>641</v>
      </c>
      <c r="D363" s="2313"/>
      <c r="E363" s="578"/>
      <c r="F363" s="580"/>
      <c r="G363" s="2312"/>
      <c r="H363" s="2313"/>
      <c r="I363" s="753" t="s">
        <v>362</v>
      </c>
      <c r="J363" s="655"/>
      <c r="K363" s="753" t="s">
        <v>362</v>
      </c>
      <c r="L363" s="752" t="s">
        <v>362</v>
      </c>
      <c r="M363" s="652"/>
      <c r="N363" s="441"/>
      <c r="O363" s="2370" t="s">
        <v>640</v>
      </c>
      <c r="P363" s="2371"/>
      <c r="Q363" s="1968"/>
      <c r="R363" s="1969"/>
      <c r="S363" s="653" t="s">
        <v>362</v>
      </c>
      <c r="T363" s="647"/>
    </row>
    <row r="364" spans="3:20" ht="15.6" customHeight="1">
      <c r="C364" s="2314" t="s">
        <v>642</v>
      </c>
      <c r="D364" s="2313"/>
      <c r="E364" s="578"/>
      <c r="F364" s="580"/>
      <c r="G364" s="2312"/>
      <c r="H364" s="2313"/>
      <c r="I364" s="753" t="s">
        <v>362</v>
      </c>
      <c r="J364" s="655"/>
      <c r="K364" s="753" t="s">
        <v>362</v>
      </c>
      <c r="L364" s="655" t="s">
        <v>362</v>
      </c>
      <c r="M364" s="652"/>
      <c r="N364" s="441"/>
      <c r="O364" s="2372"/>
      <c r="P364" s="2373"/>
      <c r="Q364" s="1968"/>
      <c r="R364" s="1969"/>
      <c r="S364" s="653" t="s">
        <v>362</v>
      </c>
      <c r="T364" s="647"/>
    </row>
    <row r="365" spans="3:20" ht="15.6" customHeight="1">
      <c r="C365" s="2314"/>
      <c r="D365" s="2313"/>
      <c r="E365" s="578"/>
      <c r="F365" s="580"/>
      <c r="G365" s="2312"/>
      <c r="H365" s="2313"/>
      <c r="I365" s="753" t="s">
        <v>362</v>
      </c>
      <c r="J365" s="655"/>
      <c r="K365" s="753" t="s">
        <v>362</v>
      </c>
      <c r="L365" s="655"/>
      <c r="M365" s="652"/>
      <c r="N365" s="441"/>
      <c r="O365" s="2372"/>
      <c r="P365" s="2373"/>
      <c r="Q365" s="1968"/>
      <c r="R365" s="1969"/>
      <c r="S365" s="653" t="s">
        <v>362</v>
      </c>
      <c r="T365" s="647"/>
    </row>
    <row r="366" spans="3:20" ht="15">
      <c r="C366" s="2314"/>
      <c r="D366" s="2313"/>
      <c r="E366" s="578"/>
      <c r="F366" s="580"/>
      <c r="G366" s="2312"/>
      <c r="H366" s="2313"/>
      <c r="I366" s="656"/>
      <c r="J366" s="655"/>
      <c r="K366" s="656"/>
      <c r="L366" s="655"/>
      <c r="M366" s="652"/>
      <c r="N366" s="441"/>
      <c r="O366" s="2372"/>
      <c r="P366" s="2373"/>
      <c r="Q366" s="1968"/>
      <c r="R366" s="1969"/>
      <c r="S366" s="653" t="s">
        <v>362</v>
      </c>
      <c r="T366" s="647"/>
    </row>
    <row r="367" spans="3:20" ht="15.6" customHeight="1">
      <c r="C367" s="2315" t="s">
        <v>858</v>
      </c>
      <c r="D367" s="2316"/>
      <c r="E367" s="578"/>
      <c r="F367" s="580"/>
      <c r="G367" s="2312"/>
      <c r="H367" s="2313"/>
      <c r="I367" s="656"/>
      <c r="J367" s="655"/>
      <c r="K367" s="656"/>
      <c r="L367" s="655"/>
      <c r="M367" s="652"/>
      <c r="N367" s="441"/>
      <c r="O367" s="2372"/>
      <c r="P367" s="2373"/>
      <c r="Q367" s="1968"/>
      <c r="R367" s="1969"/>
      <c r="S367" s="653" t="s">
        <v>362</v>
      </c>
      <c r="T367" s="647"/>
    </row>
    <row r="368" spans="3:20" ht="15">
      <c r="C368" s="2315" t="s">
        <v>643</v>
      </c>
      <c r="D368" s="2316"/>
      <c r="E368" s="578"/>
      <c r="F368" s="580"/>
      <c r="G368" s="2312"/>
      <c r="H368" s="2313"/>
      <c r="I368" s="656"/>
      <c r="J368" s="655"/>
      <c r="K368" s="656"/>
      <c r="L368" s="655"/>
      <c r="M368" s="652"/>
      <c r="N368" s="441"/>
      <c r="O368" s="2372"/>
      <c r="P368" s="2373"/>
      <c r="Q368" s="1968"/>
      <c r="R368" s="1969"/>
      <c r="S368" s="653" t="s">
        <v>362</v>
      </c>
      <c r="T368" s="647"/>
    </row>
    <row r="369" spans="1:22" ht="15">
      <c r="C369" s="2315"/>
      <c r="D369" s="2316"/>
      <c r="E369" s="578"/>
      <c r="F369" s="580"/>
      <c r="G369" s="2312"/>
      <c r="H369" s="2313"/>
      <c r="I369" s="658"/>
      <c r="J369" s="655"/>
      <c r="K369" s="659"/>
      <c r="L369" s="655"/>
      <c r="M369" s="652"/>
      <c r="N369" s="441"/>
      <c r="O369" s="2372"/>
      <c r="P369" s="2373"/>
      <c r="Q369" s="1970"/>
      <c r="R369" s="1969"/>
      <c r="S369" s="653" t="s">
        <v>362</v>
      </c>
      <c r="T369" s="647"/>
    </row>
    <row r="370" spans="1:22" ht="15">
      <c r="C370" s="2323"/>
      <c r="D370" s="2324"/>
      <c r="E370" s="581"/>
      <c r="F370" s="660"/>
      <c r="G370" s="2321"/>
      <c r="H370" s="2322"/>
      <c r="I370" s="661"/>
      <c r="J370" s="662"/>
      <c r="K370" s="663"/>
      <c r="L370" s="662"/>
      <c r="M370" s="664"/>
      <c r="N370" s="441"/>
      <c r="O370" s="2553"/>
      <c r="P370" s="2554"/>
      <c r="Q370" s="1971"/>
      <c r="R370" s="1972"/>
      <c r="S370" s="665" t="s">
        <v>362</v>
      </c>
      <c r="T370" s="647"/>
    </row>
    <row r="371" spans="1:22" ht="15">
      <c r="C371" s="441"/>
      <c r="D371" s="441"/>
      <c r="E371" s="441"/>
      <c r="F371" s="441"/>
      <c r="G371" s="441"/>
      <c r="H371" s="441"/>
      <c r="I371" s="441"/>
      <c r="J371" s="441"/>
      <c r="K371" s="441"/>
      <c r="L371" s="441"/>
      <c r="M371" s="441"/>
      <c r="N371" s="666"/>
      <c r="O371" s="441"/>
      <c r="P371" s="441"/>
      <c r="Q371" s="441"/>
      <c r="R371" s="441"/>
      <c r="S371" s="441"/>
    </row>
    <row r="372" spans="1:22" ht="15">
      <c r="C372" s="441"/>
      <c r="D372" s="441"/>
      <c r="E372" s="441"/>
      <c r="F372" s="441"/>
      <c r="G372" s="441"/>
      <c r="H372" s="441"/>
      <c r="I372" s="441"/>
      <c r="J372" s="441"/>
      <c r="K372" s="441"/>
      <c r="L372" s="441"/>
      <c r="M372" s="441"/>
      <c r="N372" s="666"/>
      <c r="O372" s="441"/>
      <c r="P372" s="441"/>
      <c r="Q372" s="441"/>
      <c r="R372" s="441"/>
      <c r="S372" s="441"/>
    </row>
    <row r="373" spans="1:22" ht="15">
      <c r="C373" s="441"/>
      <c r="D373" s="441"/>
      <c r="E373" s="441"/>
      <c r="F373" s="441"/>
      <c r="G373" s="441"/>
      <c r="H373" s="441"/>
      <c r="I373" s="441"/>
      <c r="J373" s="441"/>
      <c r="K373" s="441"/>
      <c r="L373" s="441"/>
      <c r="M373" s="441"/>
      <c r="N373" s="666"/>
      <c r="O373" s="441"/>
      <c r="P373" s="441"/>
      <c r="Q373" s="441"/>
      <c r="R373" s="441"/>
      <c r="S373" s="441"/>
    </row>
    <row r="374" spans="1:22" ht="15">
      <c r="C374" s="441"/>
      <c r="D374" s="441"/>
      <c r="E374" s="441"/>
      <c r="F374" s="441"/>
      <c r="G374" s="441"/>
      <c r="H374" s="441"/>
      <c r="I374" s="441"/>
      <c r="J374" s="441"/>
      <c r="K374" s="441"/>
      <c r="L374" s="441"/>
      <c r="M374" s="441"/>
      <c r="N374" s="666"/>
      <c r="O374" s="441"/>
      <c r="P374" s="441"/>
      <c r="Q374" s="441"/>
      <c r="R374" s="441"/>
      <c r="S374" s="441"/>
    </row>
    <row r="375" spans="1:22" ht="15">
      <c r="C375" s="441"/>
      <c r="D375" s="441"/>
      <c r="E375" s="441"/>
      <c r="F375" s="441"/>
      <c r="G375" s="441"/>
      <c r="H375" s="441"/>
      <c r="I375" s="441"/>
      <c r="J375" s="441"/>
      <c r="K375" s="441"/>
      <c r="L375" s="441"/>
      <c r="M375" s="441"/>
      <c r="N375" s="666"/>
      <c r="O375" s="441"/>
      <c r="P375" s="441"/>
      <c r="Q375" s="441"/>
      <c r="R375" s="441"/>
      <c r="S375" s="441"/>
    </row>
    <row r="378" spans="1:22" ht="19.149999999999999" customHeight="1">
      <c r="B378" s="522"/>
      <c r="C378" s="585"/>
      <c r="D378" s="584"/>
      <c r="E378" s="584"/>
      <c r="F378" s="584"/>
      <c r="G378" s="586"/>
      <c r="H378" s="586"/>
      <c r="I378" s="586"/>
      <c r="J378" s="586"/>
      <c r="K378" s="587"/>
      <c r="L378" s="587"/>
      <c r="M378" s="587"/>
      <c r="N378" s="587"/>
      <c r="O378" s="587"/>
      <c r="P378" s="587"/>
      <c r="Q378" s="561"/>
      <c r="R378" s="561"/>
      <c r="S378" s="441"/>
      <c r="T378" s="441"/>
      <c r="U378" s="588"/>
      <c r="V378" s="441"/>
    </row>
    <row r="380" spans="1:22" ht="15.75">
      <c r="M380" s="476" t="s">
        <v>1392</v>
      </c>
      <c r="R380" s="477" t="s">
        <v>692</v>
      </c>
      <c r="S380" s="478" t="str">
        <f>$E$31</f>
        <v>ILF5_90FCOSCP_B114CAGR43006</v>
      </c>
    </row>
    <row r="383" spans="1:22" ht="16.899999999999999" customHeight="1">
      <c r="B383" s="522"/>
      <c r="C383" s="585"/>
      <c r="D383" s="584"/>
      <c r="E383" s="584"/>
      <c r="F383" s="584"/>
      <c r="G383" s="586"/>
      <c r="H383" s="436" t="s">
        <v>690</v>
      </c>
      <c r="I383" s="420"/>
      <c r="K383" s="420"/>
      <c r="L383" s="437" t="str">
        <f>$B$11</f>
        <v>INMOBILIARIA SERVIGESTION</v>
      </c>
      <c r="M383" s="587"/>
      <c r="N383" s="587"/>
      <c r="O383" s="587"/>
      <c r="P383" s="587"/>
      <c r="Q383" s="561"/>
      <c r="R383" s="561"/>
      <c r="S383" s="441"/>
      <c r="T383" s="441"/>
      <c r="U383" s="588"/>
      <c r="V383" s="441"/>
    </row>
    <row r="384" spans="1:22" ht="34.5">
      <c r="A384" s="420"/>
      <c r="B384" s="2268" t="s">
        <v>461</v>
      </c>
      <c r="C384" s="2268"/>
      <c r="D384" s="2268"/>
      <c r="E384" s="2268"/>
      <c r="F384" s="2268"/>
      <c r="G384" s="2268"/>
      <c r="H384" s="2268"/>
      <c r="I384" s="2268"/>
      <c r="J384" s="2268"/>
      <c r="K384" s="2268"/>
      <c r="L384" s="2268"/>
      <c r="M384" s="2268"/>
      <c r="N384" s="2268"/>
      <c r="O384" s="2268"/>
      <c r="P384" s="2268"/>
      <c r="Q384" s="2268"/>
      <c r="R384" s="2268"/>
      <c r="S384" s="2268"/>
      <c r="T384" s="2268"/>
      <c r="U384" s="2268"/>
      <c r="V384" s="420"/>
    </row>
    <row r="385" spans="1:22" ht="22.9" customHeight="1">
      <c r="A385" s="420"/>
      <c r="B385" s="2269" t="s">
        <v>816</v>
      </c>
      <c r="C385" s="2269"/>
      <c r="D385" s="2269"/>
      <c r="E385" s="2269"/>
      <c r="F385" s="2269"/>
      <c r="G385" s="2269"/>
      <c r="H385" s="2269"/>
      <c r="I385" s="2269"/>
      <c r="J385" s="2269"/>
      <c r="K385" s="2269"/>
      <c r="L385" s="2269"/>
      <c r="M385" s="2269"/>
      <c r="N385" s="2269"/>
      <c r="O385" s="2269"/>
      <c r="P385" s="2269"/>
      <c r="Q385" s="2269"/>
      <c r="R385" s="2269"/>
      <c r="S385" s="2269"/>
      <c r="T385" s="2269"/>
      <c r="U385" s="2269"/>
      <c r="V385" s="420"/>
    </row>
    <row r="386" spans="1:22" ht="16.149999999999999" customHeight="1">
      <c r="A386" s="420"/>
      <c r="B386" s="757"/>
      <c r="C386" s="757"/>
      <c r="D386" s="757"/>
      <c r="E386" s="757"/>
      <c r="F386" s="757"/>
      <c r="G386" s="757"/>
      <c r="H386" s="757"/>
      <c r="I386" s="757"/>
      <c r="J386" s="757"/>
      <c r="K386" s="757"/>
      <c r="L386" s="757"/>
      <c r="M386" s="757"/>
      <c r="N386" s="757"/>
      <c r="O386" s="757"/>
      <c r="Q386" s="757"/>
      <c r="R386" s="757"/>
      <c r="S386" s="757"/>
      <c r="T386" s="757"/>
      <c r="U386" s="757"/>
      <c r="V386" s="420"/>
    </row>
    <row r="387" spans="1:22" ht="38.25" customHeight="1">
      <c r="A387" s="429"/>
      <c r="B387" s="2251"/>
      <c r="C387" s="2251"/>
      <c r="D387" s="2251"/>
      <c r="E387" s="2251"/>
      <c r="F387" s="2251"/>
      <c r="G387" s="2251"/>
      <c r="H387" s="2251"/>
      <c r="I387" s="2251"/>
      <c r="J387" s="2251"/>
      <c r="K387" s="2251"/>
      <c r="L387" s="2251"/>
      <c r="M387" s="2251"/>
      <c r="N387" s="2251"/>
      <c r="O387" s="2251"/>
      <c r="P387" s="2251"/>
      <c r="Q387" s="2251"/>
      <c r="R387" s="2251"/>
      <c r="S387" s="2251"/>
      <c r="T387" s="2251"/>
      <c r="U387" s="2251"/>
      <c r="V387" s="429"/>
    </row>
    <row r="388" spans="1:22" ht="16.149999999999999" customHeight="1">
      <c r="A388" s="420"/>
      <c r="B388" s="757"/>
      <c r="C388" s="757"/>
      <c r="D388" s="757"/>
      <c r="E388" s="757"/>
      <c r="F388" s="757"/>
      <c r="G388" s="757"/>
      <c r="H388" s="757"/>
      <c r="I388" s="757"/>
      <c r="J388" s="757"/>
      <c r="K388" s="757"/>
      <c r="L388" s="757"/>
      <c r="M388" s="757"/>
      <c r="N388" s="757"/>
      <c r="O388" s="757"/>
      <c r="P388" s="757"/>
      <c r="Q388" s="757"/>
      <c r="R388" s="757"/>
      <c r="S388" s="757"/>
      <c r="T388" s="757"/>
      <c r="U388" s="757"/>
      <c r="V388" s="420"/>
    </row>
    <row r="389" spans="1:22" ht="22.15" customHeight="1">
      <c r="A389" s="441"/>
      <c r="B389" s="2304" t="s">
        <v>708</v>
      </c>
      <c r="C389" s="2305"/>
      <c r="D389" s="2305"/>
      <c r="E389" s="2305"/>
      <c r="F389" s="2305"/>
      <c r="G389" s="2305"/>
      <c r="H389" s="2305"/>
      <c r="I389" s="678"/>
      <c r="J389" s="678"/>
      <c r="K389" s="678"/>
      <c r="L389" s="678"/>
      <c r="M389" s="678"/>
      <c r="N389" s="678"/>
      <c r="O389" s="678"/>
      <c r="P389" s="678"/>
      <c r="Q389" s="678"/>
      <c r="R389" s="678"/>
      <c r="S389" s="678"/>
      <c r="T389" s="678"/>
      <c r="U389" s="603"/>
    </row>
    <row r="390" spans="1:22" ht="46.5" customHeight="1">
      <c r="A390" s="441"/>
      <c r="B390" s="2523" t="s">
        <v>738</v>
      </c>
      <c r="C390" s="2303"/>
      <c r="D390" s="2303"/>
      <c r="E390" s="2303"/>
      <c r="F390" s="2303"/>
      <c r="G390" s="2303"/>
      <c r="H390" s="2303"/>
      <c r="I390" s="2303"/>
      <c r="J390" s="2303"/>
      <c r="K390" s="2303"/>
      <c r="L390" s="2303"/>
      <c r="M390" s="2303"/>
      <c r="N390" s="2303"/>
      <c r="O390" s="2303"/>
      <c r="P390" s="2303"/>
      <c r="Q390" s="2303"/>
      <c r="R390" s="2303"/>
      <c r="S390" s="2303"/>
      <c r="T390" s="2303"/>
      <c r="U390" s="679"/>
    </row>
    <row r="391" spans="1:22" ht="10.5" customHeight="1">
      <c r="A391" s="441"/>
      <c r="B391" s="680"/>
      <c r="C391" s="681"/>
      <c r="D391" s="681"/>
      <c r="E391" s="681"/>
      <c r="F391" s="681"/>
      <c r="G391" s="681"/>
      <c r="H391" s="681"/>
      <c r="I391" s="681"/>
      <c r="J391" s="681"/>
      <c r="K391" s="681"/>
      <c r="L391" s="681"/>
      <c r="M391" s="681"/>
      <c r="N391" s="681"/>
      <c r="O391" s="681"/>
      <c r="P391" s="681"/>
      <c r="Q391" s="681"/>
      <c r="R391" s="681"/>
      <c r="S391" s="681"/>
      <c r="T391" s="681"/>
      <c r="U391" s="679"/>
    </row>
    <row r="392" spans="1:22" ht="33" customHeight="1">
      <c r="A392" s="441"/>
      <c r="B392" s="680"/>
      <c r="D392" s="682"/>
      <c r="E392" s="682"/>
      <c r="F392" s="682"/>
      <c r="G392" s="682"/>
      <c r="H392" s="2524" t="s">
        <v>511</v>
      </c>
      <c r="I392" s="2524"/>
      <c r="J392" s="2524"/>
      <c r="K392" s="2524"/>
      <c r="L392" s="683">
        <f>Calculos_cuotas!W47</f>
        <v>0.15</v>
      </c>
      <c r="M392" s="684"/>
      <c r="N392" s="681"/>
      <c r="O392" s="681"/>
      <c r="P392" s="681"/>
      <c r="Q392" s="681"/>
      <c r="R392" s="681"/>
      <c r="S392" s="681"/>
      <c r="T392" s="681"/>
      <c r="U392" s="679"/>
    </row>
    <row r="393" spans="1:22" ht="12" customHeight="1">
      <c r="A393" s="441"/>
      <c r="B393" s="680"/>
      <c r="C393" s="681"/>
      <c r="D393" s="681"/>
      <c r="E393" s="681"/>
      <c r="F393" s="681"/>
      <c r="G393" s="681"/>
      <c r="H393" s="681"/>
      <c r="I393" s="681"/>
      <c r="J393" s="681"/>
      <c r="K393" s="681"/>
      <c r="L393" s="681"/>
      <c r="M393" s="681"/>
      <c r="N393" s="681"/>
      <c r="O393" s="681"/>
      <c r="P393" s="681"/>
      <c r="Q393" s="681"/>
      <c r="R393" s="681"/>
      <c r="S393" s="681"/>
      <c r="T393" s="681"/>
      <c r="U393" s="679"/>
    </row>
    <row r="394" spans="1:22" ht="63" customHeight="1">
      <c r="A394" s="441"/>
      <c r="B394" s="680"/>
      <c r="C394" s="2303" t="s">
        <v>817</v>
      </c>
      <c r="D394" s="2303"/>
      <c r="E394" s="2303"/>
      <c r="F394" s="2303"/>
      <c r="G394" s="2303"/>
      <c r="H394" s="2303"/>
      <c r="I394" s="2303"/>
      <c r="J394" s="2303"/>
      <c r="K394" s="2303"/>
      <c r="L394" s="2303"/>
      <c r="M394" s="2303"/>
      <c r="N394" s="2303"/>
      <c r="O394" s="2303"/>
      <c r="P394" s="2303"/>
      <c r="Q394" s="2303"/>
      <c r="R394" s="2303"/>
      <c r="S394" s="2303"/>
      <c r="T394" s="2303"/>
      <c r="U394" s="679"/>
    </row>
    <row r="395" spans="1:22" ht="22.15" customHeight="1">
      <c r="A395" s="441"/>
      <c r="B395" s="685"/>
      <c r="C395" s="686"/>
      <c r="D395" s="686"/>
      <c r="E395" s="686"/>
      <c r="F395" s="686"/>
      <c r="G395" s="686"/>
      <c r="H395" s="686"/>
      <c r="I395" s="686"/>
      <c r="J395" s="686"/>
      <c r="K395" s="686"/>
      <c r="L395" s="686"/>
      <c r="M395" s="686"/>
      <c r="N395" s="686"/>
      <c r="O395" s="686"/>
      <c r="P395" s="686"/>
      <c r="Q395" s="686"/>
      <c r="R395" s="686"/>
      <c r="S395" s="686"/>
      <c r="T395" s="686"/>
      <c r="U395" s="687"/>
    </row>
    <row r="396" spans="1:22" ht="22.15" customHeight="1">
      <c r="A396" s="441"/>
      <c r="B396" s="688" t="s">
        <v>671</v>
      </c>
      <c r="C396" s="681"/>
      <c r="D396" s="681"/>
      <c r="E396" s="681"/>
      <c r="F396" s="681"/>
      <c r="G396" s="681"/>
      <c r="H396" s="681"/>
      <c r="I396" s="681"/>
      <c r="J396" s="681"/>
      <c r="K396" s="681"/>
      <c r="L396" s="681"/>
      <c r="M396" s="681"/>
      <c r="N396" s="681"/>
      <c r="O396" s="681"/>
      <c r="P396" s="681"/>
      <c r="Q396" s="681"/>
      <c r="R396" s="681"/>
      <c r="S396" s="681"/>
      <c r="T396" s="681"/>
      <c r="U396" s="681"/>
    </row>
    <row r="397" spans="1:22" ht="22.15" customHeight="1">
      <c r="A397" s="441"/>
      <c r="B397" s="688"/>
      <c r="C397" s="681"/>
      <c r="D397" s="681"/>
      <c r="E397" s="681"/>
      <c r="F397" s="681"/>
      <c r="G397" s="681"/>
      <c r="H397" s="681"/>
      <c r="I397" s="681"/>
      <c r="J397" s="681"/>
      <c r="K397" s="681"/>
      <c r="L397" s="681"/>
      <c r="M397" s="681"/>
      <c r="N397" s="681"/>
      <c r="O397" s="681"/>
      <c r="P397" s="681"/>
      <c r="Q397" s="681"/>
      <c r="R397" s="681"/>
      <c r="S397" s="681"/>
      <c r="T397" s="681"/>
      <c r="U397" s="681"/>
    </row>
    <row r="398" spans="1:22" ht="22.15" customHeight="1">
      <c r="A398" s="441"/>
      <c r="B398" s="688"/>
      <c r="C398" s="681"/>
      <c r="D398" s="681"/>
      <c r="E398" s="681"/>
      <c r="F398" s="681"/>
      <c r="G398" s="681"/>
      <c r="H398" s="681"/>
      <c r="I398" s="681"/>
      <c r="J398" s="681"/>
      <c r="K398" s="681"/>
      <c r="L398" s="681"/>
      <c r="M398" s="681"/>
      <c r="N398" s="681"/>
      <c r="O398" s="681"/>
      <c r="P398" s="681"/>
      <c r="Q398" s="681"/>
      <c r="R398" s="681"/>
      <c r="S398" s="681"/>
      <c r="T398" s="681"/>
      <c r="U398" s="681"/>
    </row>
    <row r="399" spans="1:22" ht="22.15" customHeight="1">
      <c r="A399" s="441"/>
      <c r="B399" s="688"/>
      <c r="C399" s="681"/>
      <c r="D399" s="681"/>
      <c r="E399" s="681"/>
      <c r="F399" s="681"/>
      <c r="G399" s="681"/>
      <c r="H399" s="681"/>
      <c r="I399" s="681"/>
      <c r="J399" s="681"/>
      <c r="K399" s="681"/>
      <c r="L399" s="681"/>
      <c r="M399" s="681"/>
      <c r="N399" s="681"/>
      <c r="O399" s="681"/>
      <c r="P399" s="681"/>
      <c r="Q399" s="681"/>
      <c r="R399" s="681"/>
      <c r="S399" s="681"/>
      <c r="T399" s="681"/>
      <c r="U399" s="681"/>
    </row>
    <row r="400" spans="1:22" ht="22.15" customHeight="1">
      <c r="A400" s="441"/>
      <c r="B400" s="2304" t="s">
        <v>1848</v>
      </c>
      <c r="C400" s="2305"/>
      <c r="D400" s="2305"/>
      <c r="E400" s="2305"/>
      <c r="F400" s="2305"/>
      <c r="G400" s="2305"/>
      <c r="H400" s="2305"/>
      <c r="I400" s="2305"/>
      <c r="J400" s="2305"/>
      <c r="K400" s="2305"/>
      <c r="L400" s="2305"/>
      <c r="M400" s="2305"/>
      <c r="N400" s="2305"/>
      <c r="O400" s="2305"/>
      <c r="P400" s="2305"/>
      <c r="Q400" s="678"/>
      <c r="R400" s="678"/>
      <c r="S400" s="678"/>
      <c r="T400" s="678"/>
      <c r="U400" s="603"/>
    </row>
    <row r="401" spans="1:22" ht="51.75" customHeight="1">
      <c r="A401" s="441"/>
      <c r="B401" s="2345" t="s">
        <v>1856</v>
      </c>
      <c r="C401" s="2346"/>
      <c r="D401" s="2346"/>
      <c r="E401" s="2346"/>
      <c r="F401" s="2346"/>
      <c r="G401" s="2346"/>
      <c r="H401" s="2346"/>
      <c r="I401" s="2346"/>
      <c r="J401" s="2346"/>
      <c r="K401" s="2346"/>
      <c r="L401" s="2346"/>
      <c r="M401" s="2346"/>
      <c r="N401" s="2346"/>
      <c r="O401" s="2346"/>
      <c r="P401" s="2346"/>
      <c r="Q401" s="2346"/>
      <c r="R401" s="2346"/>
      <c r="S401" s="2346"/>
      <c r="T401" s="2346"/>
      <c r="U401" s="679"/>
    </row>
    <row r="402" spans="1:22" ht="17.100000000000001" customHeight="1">
      <c r="A402" s="441"/>
      <c r="B402" s="680"/>
      <c r="C402" s="681"/>
      <c r="D402" s="681"/>
      <c r="E402" s="681"/>
      <c r="F402" s="681"/>
      <c r="G402" s="681"/>
      <c r="H402" s="2508" t="s">
        <v>1087</v>
      </c>
      <c r="I402" s="2508"/>
      <c r="J402" s="2509"/>
      <c r="K402" s="2514" t="s">
        <v>220</v>
      </c>
      <c r="L402" s="2509"/>
      <c r="M402" s="2514" t="s">
        <v>1850</v>
      </c>
      <c r="N402" s="2508"/>
      <c r="O402" s="2508"/>
      <c r="P402" s="504"/>
      <c r="Q402" s="1798"/>
      <c r="R402" s="681"/>
      <c r="S402" s="681"/>
      <c r="T402" s="681"/>
      <c r="U402" s="679"/>
    </row>
    <row r="403" spans="1:22" ht="17.100000000000001" customHeight="1">
      <c r="A403" s="441"/>
      <c r="B403" s="680"/>
      <c r="C403" s="681"/>
      <c r="D403" s="681"/>
      <c r="E403" s="681"/>
      <c r="F403" s="681"/>
      <c r="G403" s="681"/>
      <c r="H403" s="2510" t="str">
        <f>Oferta_OptimaRPV!H512</f>
        <v>Conecta Pymes 2A</v>
      </c>
      <c r="I403" s="2511"/>
      <c r="J403" s="2512"/>
      <c r="K403" s="2513">
        <f>Oferta_OptimaRPV!K512</f>
        <v>0.1</v>
      </c>
      <c r="L403" s="2513"/>
      <c r="M403" s="2515">
        <f>Oferta_OptimaRPV!M512</f>
        <v>20</v>
      </c>
      <c r="N403" s="2516"/>
      <c r="O403" s="2516"/>
      <c r="P403" s="681"/>
      <c r="Q403" s="681"/>
      <c r="R403" s="681"/>
      <c r="S403" s="681"/>
      <c r="T403" s="681"/>
      <c r="U403" s="679"/>
    </row>
    <row r="404" spans="1:22" ht="17.100000000000001" customHeight="1">
      <c r="A404" s="441"/>
      <c r="B404" s="680"/>
      <c r="C404" s="681"/>
      <c r="D404" s="681"/>
      <c r="E404" s="681"/>
      <c r="F404" s="681"/>
      <c r="G404" s="681"/>
      <c r="H404" s="2510" t="str">
        <f>Oferta_OptimaRPV!H513</f>
        <v>Resto Conecta Pymes 2A y 3A</v>
      </c>
      <c r="I404" s="2511"/>
      <c r="J404" s="2512"/>
      <c r="K404" s="2513">
        <f>Oferta_OptimaRPV!K513</f>
        <v>0.1</v>
      </c>
      <c r="L404" s="2513"/>
      <c r="M404" s="2515">
        <f>Oferta_OptimaRPV!M513</f>
        <v>35</v>
      </c>
      <c r="N404" s="2516"/>
      <c r="O404" s="2516"/>
      <c r="P404" s="681"/>
      <c r="Q404" s="681"/>
      <c r="R404" s="681"/>
      <c r="S404" s="681"/>
      <c r="T404" s="681"/>
      <c r="U404" s="679"/>
    </row>
    <row r="405" spans="1:22" ht="17.100000000000001" customHeight="1">
      <c r="A405" s="441"/>
      <c r="B405" s="680"/>
      <c r="C405" s="681"/>
      <c r="D405" s="681"/>
      <c r="E405" s="681"/>
      <c r="F405" s="681"/>
      <c r="G405" s="681"/>
      <c r="H405" s="2510" t="str">
        <f>Oferta_OptimaRPV!H514</f>
        <v>Conecta Pymes 2D</v>
      </c>
      <c r="I405" s="2511"/>
      <c r="J405" s="2512"/>
      <c r="K405" s="2513">
        <f>Oferta_OptimaRPV!K514</f>
        <v>0.1</v>
      </c>
      <c r="L405" s="2513"/>
      <c r="M405" s="2515">
        <f>Oferta_OptimaRPV!M514</f>
        <v>35</v>
      </c>
      <c r="N405" s="2516"/>
      <c r="O405" s="2516"/>
      <c r="P405" s="681"/>
      <c r="Q405" s="681"/>
      <c r="R405" s="681"/>
      <c r="S405" s="681"/>
      <c r="T405" s="681"/>
      <c r="U405" s="679"/>
    </row>
    <row r="406" spans="1:22" ht="17.100000000000001" customHeight="1">
      <c r="A406" s="441"/>
      <c r="B406" s="680"/>
      <c r="C406" s="681"/>
      <c r="D406" s="681"/>
      <c r="E406" s="681"/>
      <c r="F406" s="681"/>
      <c r="G406" s="681"/>
      <c r="H406" s="2510" t="str">
        <f>Oferta_OptimaRPV!H515</f>
        <v>Conecta Pymes IP</v>
      </c>
      <c r="I406" s="2511"/>
      <c r="J406" s="2512"/>
      <c r="K406" s="2513">
        <f>Oferta_OptimaRPV!K515</f>
        <v>0.1</v>
      </c>
      <c r="L406" s="2513"/>
      <c r="M406" s="2515">
        <f>Oferta_OptimaRPV!M515</f>
        <v>80</v>
      </c>
      <c r="N406" s="2516"/>
      <c r="O406" s="2516"/>
      <c r="P406" s="681"/>
      <c r="Q406" s="681"/>
      <c r="R406" s="681"/>
      <c r="S406" s="681"/>
      <c r="T406" s="681"/>
      <c r="U406" s="679"/>
    </row>
    <row r="407" spans="1:22" ht="17.100000000000001" customHeight="1">
      <c r="A407" s="441"/>
      <c r="B407" s="680"/>
      <c r="C407" s="681"/>
      <c r="D407" s="681"/>
      <c r="E407" s="681"/>
      <c r="F407" s="681"/>
      <c r="G407" s="681"/>
      <c r="H407" s="2510" t="str">
        <f>Oferta_OptimaRPV!H516</f>
        <v>Conecta Pymes 4A</v>
      </c>
      <c r="I407" s="2511"/>
      <c r="J407" s="2512"/>
      <c r="K407" s="2513">
        <f>Oferta_OptimaRPV!K516</f>
        <v>0.1</v>
      </c>
      <c r="L407" s="2513"/>
      <c r="M407" s="2515">
        <f>Oferta_OptimaRPV!M516</f>
        <v>80</v>
      </c>
      <c r="N407" s="2516"/>
      <c r="O407" s="2516"/>
      <c r="P407" s="681"/>
      <c r="Q407" s="681"/>
      <c r="R407" s="681"/>
      <c r="S407" s="681"/>
      <c r="T407" s="681"/>
      <c r="U407" s="679"/>
    </row>
    <row r="408" spans="1:22" ht="17.100000000000001" customHeight="1">
      <c r="A408" s="441"/>
      <c r="B408" s="680"/>
      <c r="C408" s="681"/>
      <c r="D408" s="681"/>
      <c r="E408" s="681"/>
      <c r="F408" s="681"/>
      <c r="G408" s="681"/>
      <c r="H408" s="2510" t="str">
        <f>Oferta_OptimaRPV!H517</f>
        <v>Conecta Pymes 4D</v>
      </c>
      <c r="I408" s="2511"/>
      <c r="J408" s="2512"/>
      <c r="K408" s="2513">
        <f>Oferta_OptimaRPV!K517</f>
        <v>0.1</v>
      </c>
      <c r="L408" s="2513"/>
      <c r="M408" s="2515">
        <f>Oferta_OptimaRPV!M517</f>
        <v>80</v>
      </c>
      <c r="N408" s="2516"/>
      <c r="O408" s="2516"/>
      <c r="P408" s="681"/>
      <c r="Q408" s="681"/>
      <c r="R408" s="681"/>
      <c r="S408" s="681"/>
      <c r="T408" s="681"/>
      <c r="U408" s="679"/>
    </row>
    <row r="409" spans="1:22" ht="17.100000000000001" customHeight="1">
      <c r="A409" s="441"/>
      <c r="B409" s="680"/>
      <c r="C409" s="681"/>
      <c r="D409" s="681"/>
      <c r="E409" s="681"/>
      <c r="F409" s="681"/>
      <c r="G409" s="681"/>
      <c r="H409" s="2510" t="str">
        <f>Oferta_OptimaRPV!H518</f>
        <v>Conecta Pymes 6D</v>
      </c>
      <c r="I409" s="2511"/>
      <c r="J409" s="2512"/>
      <c r="K409" s="2513">
        <f>Oferta_OptimaRPV!K518</f>
        <v>0.1</v>
      </c>
      <c r="L409" s="2513"/>
      <c r="M409" s="2515">
        <f>Oferta_OptimaRPV!M518</f>
        <v>80</v>
      </c>
      <c r="N409" s="2516"/>
      <c r="O409" s="2516"/>
      <c r="P409" s="681"/>
      <c r="Q409" s="681"/>
      <c r="R409" s="681"/>
      <c r="S409" s="681"/>
      <c r="T409" s="681"/>
      <c r="U409" s="679"/>
    </row>
    <row r="410" spans="1:22" ht="17.100000000000001" customHeight="1">
      <c r="A410" s="441"/>
      <c r="B410" s="680"/>
      <c r="C410" s="681"/>
      <c r="D410" s="681"/>
      <c r="E410" s="681"/>
      <c r="F410" s="681"/>
      <c r="G410" s="681"/>
      <c r="H410" s="2510" t="str">
        <f>Oferta_OptimaRPV!H519</f>
        <v>Conecta Pymes 8D</v>
      </c>
      <c r="I410" s="2511"/>
      <c r="J410" s="2512"/>
      <c r="K410" s="2513">
        <f>Oferta_OptimaRPV!K519</f>
        <v>0.1</v>
      </c>
      <c r="L410" s="2513"/>
      <c r="M410" s="2515">
        <f>Oferta_OptimaRPV!M519</f>
        <v>80</v>
      </c>
      <c r="N410" s="2516"/>
      <c r="O410" s="2516"/>
      <c r="P410" s="681"/>
      <c r="Q410" s="681"/>
      <c r="R410" s="681"/>
      <c r="S410" s="681"/>
      <c r="T410" s="681"/>
      <c r="U410" s="679"/>
    </row>
    <row r="411" spans="1:22" ht="17.100000000000001" customHeight="1">
      <c r="A411" s="441"/>
      <c r="B411" s="680"/>
      <c r="C411" s="681"/>
      <c r="D411" s="681"/>
      <c r="E411" s="681"/>
      <c r="F411" s="681"/>
      <c r="G411" s="681"/>
      <c r="H411" s="2510" t="str">
        <f>Oferta_OptimaRPV!H520</f>
        <v>Conecta Pymes Centralita</v>
      </c>
      <c r="I411" s="2511"/>
      <c r="J411" s="2512"/>
      <c r="K411" s="2513">
        <f>Oferta_OptimaRPV!K520</f>
        <v>0.1</v>
      </c>
      <c r="L411" s="2513"/>
      <c r="M411" s="2515">
        <f>Oferta_OptimaRPV!M520</f>
        <v>80</v>
      </c>
      <c r="N411" s="2516"/>
      <c r="O411" s="2516"/>
      <c r="P411" s="681"/>
      <c r="Q411" s="681"/>
      <c r="R411" s="681"/>
      <c r="S411" s="681"/>
      <c r="T411" s="681"/>
      <c r="U411" s="679"/>
    </row>
    <row r="412" spans="1:22" ht="17.100000000000001" customHeight="1">
      <c r="B412" s="680"/>
      <c r="C412" s="681"/>
      <c r="D412" s="681"/>
      <c r="E412" s="681"/>
      <c r="F412" s="681"/>
      <c r="G412" s="681"/>
      <c r="H412" s="2510" t="str">
        <f>Oferta_OptimaRPV!H521</f>
        <v>Servicios Avanzados de Fijo ("SAF")</v>
      </c>
      <c r="I412" s="2511"/>
      <c r="J412" s="2512"/>
      <c r="K412" s="2513">
        <f>Oferta_OptimaRPV!K521</f>
        <v>0.1</v>
      </c>
      <c r="L412" s="2513"/>
      <c r="M412" s="2515">
        <f>Oferta_OptimaRPV!M521</f>
        <v>60</v>
      </c>
      <c r="N412" s="2516"/>
      <c r="O412" s="2516"/>
      <c r="P412" s="681"/>
      <c r="Q412" s="681"/>
      <c r="R412" s="681"/>
      <c r="S412" s="681"/>
      <c r="T412" s="681"/>
      <c r="U412" s="679"/>
      <c r="V412" s="522"/>
    </row>
    <row r="413" spans="1:22" ht="17.100000000000001" customHeight="1">
      <c r="B413" s="680"/>
      <c r="C413" s="441"/>
      <c r="D413" s="1810"/>
      <c r="E413" s="1810"/>
      <c r="F413" s="1810"/>
      <c r="G413" s="1810"/>
      <c r="H413" s="2510" t="str">
        <f>Oferta_OptimaRPV!H522</f>
        <v>Servicios digitales</v>
      </c>
      <c r="I413" s="2511"/>
      <c r="J413" s="2512"/>
      <c r="K413" s="2513">
        <f>Oferta_OptimaRPV!K522</f>
        <v>0</v>
      </c>
      <c r="L413" s="2513"/>
      <c r="M413" s="2515" t="str">
        <f>Oferta_OptimaRPV!M522</f>
        <v>NA</v>
      </c>
      <c r="N413" s="2516"/>
      <c r="O413" s="2516"/>
      <c r="P413" s="1810"/>
      <c r="Q413" s="1810"/>
      <c r="R413" s="1810"/>
      <c r="S413" s="1810"/>
      <c r="T413" s="1810"/>
      <c r="U413" s="679"/>
      <c r="V413" s="522"/>
    </row>
    <row r="414" spans="1:22" ht="89.25" customHeight="1">
      <c r="A414" s="522"/>
      <c r="B414" s="2496" t="s">
        <v>1857</v>
      </c>
      <c r="C414" s="2287"/>
      <c r="D414" s="2287"/>
      <c r="E414" s="2287"/>
      <c r="F414" s="2287"/>
      <c r="G414" s="2287"/>
      <c r="H414" s="2287"/>
      <c r="I414" s="2287"/>
      <c r="J414" s="2287"/>
      <c r="K414" s="2287"/>
      <c r="L414" s="2287"/>
      <c r="M414" s="2287"/>
      <c r="N414" s="2287"/>
      <c r="O414" s="2287"/>
      <c r="P414" s="2287"/>
      <c r="Q414" s="2287"/>
      <c r="R414" s="2287"/>
      <c r="S414" s="2287"/>
      <c r="T414" s="2287"/>
      <c r="U414" s="2497"/>
      <c r="V414" s="522"/>
    </row>
    <row r="415" spans="1:22">
      <c r="B415" s="691"/>
      <c r="C415" s="691"/>
      <c r="D415" s="691"/>
      <c r="E415" s="691"/>
      <c r="F415" s="691"/>
      <c r="G415" s="691"/>
      <c r="H415" s="691"/>
      <c r="I415" s="691"/>
      <c r="J415" s="691"/>
      <c r="K415" s="691"/>
      <c r="L415" s="691"/>
      <c r="M415" s="691"/>
      <c r="N415" s="691"/>
      <c r="O415" s="691"/>
      <c r="P415" s="691"/>
      <c r="Q415" s="691"/>
      <c r="R415" s="691"/>
      <c r="S415" s="691"/>
      <c r="T415" s="691"/>
      <c r="U415" s="522"/>
      <c r="V415" s="522"/>
    </row>
    <row r="416" spans="1:22">
      <c r="B416" s="691"/>
      <c r="C416" s="691"/>
      <c r="D416" s="691"/>
      <c r="E416" s="691"/>
      <c r="F416" s="691"/>
      <c r="G416" s="691"/>
      <c r="H416" s="691"/>
      <c r="I416" s="691"/>
      <c r="J416" s="691"/>
      <c r="K416" s="691"/>
      <c r="L416" s="691"/>
      <c r="M416" s="691"/>
      <c r="N416" s="691"/>
      <c r="O416" s="691"/>
      <c r="P416" s="691"/>
      <c r="Q416" s="691"/>
      <c r="R416" s="691"/>
      <c r="S416" s="691"/>
      <c r="T416" s="691"/>
      <c r="U416" s="522"/>
      <c r="V416" s="522"/>
    </row>
    <row r="417" spans="1:22">
      <c r="B417" s="691"/>
      <c r="C417" s="691"/>
      <c r="D417" s="691"/>
      <c r="E417" s="691"/>
      <c r="F417" s="691"/>
      <c r="G417" s="691"/>
      <c r="H417" s="691"/>
      <c r="I417" s="691"/>
      <c r="J417" s="691"/>
      <c r="K417" s="691"/>
      <c r="L417" s="691"/>
      <c r="M417" s="691"/>
      <c r="N417" s="691"/>
      <c r="O417" s="691"/>
      <c r="P417" s="691"/>
      <c r="Q417" s="691"/>
      <c r="R417" s="691"/>
      <c r="S417" s="691"/>
      <c r="T417" s="691"/>
      <c r="U417" s="522"/>
      <c r="V417" s="522"/>
    </row>
    <row r="418" spans="1:22">
      <c r="B418" s="691"/>
      <c r="C418" s="691"/>
      <c r="D418" s="691"/>
      <c r="E418" s="691"/>
      <c r="F418" s="691"/>
      <c r="G418" s="691"/>
      <c r="H418" s="691"/>
      <c r="I418" s="691"/>
      <c r="J418" s="691"/>
      <c r="K418" s="691"/>
      <c r="L418" s="691"/>
      <c r="M418" s="691"/>
      <c r="N418" s="691"/>
      <c r="O418" s="691"/>
      <c r="P418" s="691"/>
      <c r="Q418" s="691"/>
      <c r="R418" s="691"/>
      <c r="S418" s="691"/>
      <c r="T418" s="691"/>
      <c r="U418" s="522"/>
      <c r="V418" s="522"/>
    </row>
    <row r="419" spans="1:22">
      <c r="B419" s="691"/>
      <c r="C419" s="691"/>
      <c r="D419" s="691"/>
      <c r="E419" s="691"/>
      <c r="F419" s="691"/>
      <c r="G419" s="691"/>
      <c r="H419" s="691"/>
      <c r="I419" s="691"/>
      <c r="J419" s="691"/>
      <c r="K419" s="691"/>
      <c r="L419" s="691"/>
      <c r="M419" s="691"/>
      <c r="N419" s="691"/>
      <c r="O419" s="691"/>
      <c r="P419" s="691"/>
      <c r="Q419" s="691"/>
      <c r="R419" s="691"/>
      <c r="S419" s="691"/>
      <c r="T419" s="691"/>
      <c r="U419" s="522"/>
      <c r="V419" s="522"/>
    </row>
    <row r="420" spans="1:22">
      <c r="B420" s="691"/>
      <c r="C420" s="691"/>
      <c r="D420" s="691"/>
      <c r="E420" s="691"/>
      <c r="F420" s="691"/>
      <c r="G420" s="691"/>
      <c r="H420" s="691"/>
      <c r="I420" s="691"/>
      <c r="J420" s="691"/>
      <c r="K420" s="691"/>
      <c r="L420" s="691"/>
      <c r="M420" s="691"/>
      <c r="N420" s="691"/>
      <c r="O420" s="691"/>
      <c r="P420" s="691"/>
      <c r="Q420" s="691"/>
      <c r="R420" s="691"/>
      <c r="S420" s="691"/>
      <c r="T420" s="691"/>
      <c r="U420" s="522"/>
      <c r="V420" s="522"/>
    </row>
    <row r="421" spans="1:22">
      <c r="B421" s="691"/>
      <c r="C421" s="691"/>
      <c r="D421" s="691"/>
      <c r="E421" s="691"/>
      <c r="F421" s="691"/>
      <c r="G421" s="691"/>
      <c r="H421" s="691"/>
      <c r="I421" s="691"/>
      <c r="J421" s="691"/>
      <c r="K421" s="691"/>
      <c r="L421" s="691"/>
      <c r="M421" s="691"/>
      <c r="N421" s="691"/>
      <c r="O421" s="691"/>
      <c r="P421" s="691"/>
      <c r="Q421" s="691"/>
      <c r="R421" s="691"/>
      <c r="S421" s="691"/>
      <c r="T421" s="691"/>
      <c r="U421" s="522"/>
      <c r="V421" s="522"/>
    </row>
    <row r="423" spans="1:22" ht="19.149999999999999" customHeight="1">
      <c r="B423" s="522"/>
      <c r="C423" s="585"/>
      <c r="D423" s="584"/>
      <c r="E423" s="584"/>
      <c r="F423" s="584"/>
      <c r="G423" s="586"/>
      <c r="H423" s="586"/>
      <c r="I423" s="586"/>
      <c r="J423" s="586"/>
      <c r="K423" s="587"/>
      <c r="L423" s="587"/>
      <c r="M423" s="476" t="s">
        <v>1393</v>
      </c>
      <c r="N423" s="587"/>
      <c r="O423" s="587"/>
      <c r="P423" s="587"/>
      <c r="Q423" s="561"/>
      <c r="R423" s="477" t="s">
        <v>692</v>
      </c>
      <c r="S423" s="478" t="str">
        <f>$E$31</f>
        <v>ILF5_90FCOSCP_B114CAGR43006</v>
      </c>
      <c r="T423" s="441"/>
      <c r="U423" s="588"/>
      <c r="V423" s="441"/>
    </row>
    <row r="424" spans="1:22" ht="19.149999999999999" customHeight="1">
      <c r="B424" s="522"/>
      <c r="C424" s="585"/>
      <c r="D424" s="584"/>
      <c r="E424" s="584"/>
      <c r="F424" s="584"/>
      <c r="G424" s="586"/>
      <c r="H424" s="586"/>
      <c r="I424" s="586"/>
      <c r="J424" s="586"/>
      <c r="K424" s="587"/>
      <c r="L424" s="587"/>
      <c r="M424" s="587"/>
      <c r="N424" s="587"/>
      <c r="O424" s="587"/>
      <c r="P424" s="587"/>
      <c r="Q424" s="561"/>
      <c r="R424" s="561"/>
      <c r="S424" s="441"/>
      <c r="T424" s="441"/>
      <c r="U424" s="588"/>
      <c r="V424" s="441"/>
    </row>
    <row r="425" spans="1:22">
      <c r="A425" s="420"/>
      <c r="B425" s="420"/>
      <c r="C425" s="420"/>
      <c r="D425" s="420"/>
      <c r="E425" s="420"/>
      <c r="F425" s="420"/>
      <c r="G425" s="420"/>
      <c r="H425" s="420"/>
      <c r="I425" s="420"/>
      <c r="K425" s="420"/>
      <c r="L425" s="420"/>
      <c r="M425" s="420"/>
      <c r="N425" s="420"/>
      <c r="O425" s="420"/>
      <c r="P425" s="420"/>
      <c r="Q425" s="420"/>
      <c r="R425" s="420"/>
      <c r="S425" s="420"/>
      <c r="T425" s="420"/>
      <c r="U425" s="420"/>
      <c r="V425" s="420"/>
    </row>
    <row r="426" spans="1:22">
      <c r="A426" s="420"/>
      <c r="B426" s="420"/>
      <c r="C426" s="420"/>
      <c r="D426" s="420"/>
      <c r="E426" s="420"/>
      <c r="F426" s="420"/>
      <c r="G426" s="420"/>
      <c r="H426" s="436" t="s">
        <v>690</v>
      </c>
      <c r="I426" s="420"/>
      <c r="K426" s="420"/>
      <c r="L426" s="437" t="str">
        <f>$B$11</f>
        <v>INMOBILIARIA SERVIGESTION</v>
      </c>
      <c r="M426" s="420"/>
      <c r="N426" s="420"/>
      <c r="P426" s="420"/>
      <c r="Q426" s="420"/>
      <c r="S426" s="420"/>
      <c r="T426" s="420"/>
      <c r="V426" s="437"/>
    </row>
    <row r="427" spans="1:22" ht="34.5">
      <c r="A427" s="420"/>
      <c r="B427" s="2268" t="s">
        <v>461</v>
      </c>
      <c r="C427" s="2268"/>
      <c r="D427" s="2268"/>
      <c r="E427" s="2268"/>
      <c r="F427" s="2268"/>
      <c r="G427" s="2268"/>
      <c r="H427" s="2268"/>
      <c r="I427" s="2268"/>
      <c r="J427" s="2268"/>
      <c r="K427" s="2268"/>
      <c r="L427" s="2268"/>
      <c r="M427" s="2268"/>
      <c r="N427" s="2268"/>
      <c r="O427" s="2268"/>
      <c r="P427" s="2268"/>
      <c r="Q427" s="2268"/>
      <c r="R427" s="2268"/>
      <c r="S427" s="2268"/>
      <c r="T427" s="2268"/>
      <c r="U427" s="2268"/>
      <c r="V427" s="420"/>
    </row>
    <row r="428" spans="1:22" ht="22.9" customHeight="1">
      <c r="A428" s="420"/>
      <c r="B428" s="2269" t="s">
        <v>808</v>
      </c>
      <c r="C428" s="2269"/>
      <c r="D428" s="2269"/>
      <c r="E428" s="2269"/>
      <c r="F428" s="2269"/>
      <c r="G428" s="2269"/>
      <c r="H428" s="2269"/>
      <c r="I428" s="2269"/>
      <c r="J428" s="2269"/>
      <c r="K428" s="2269"/>
      <c r="L428" s="2269"/>
      <c r="M428" s="2269"/>
      <c r="N428" s="2269"/>
      <c r="O428" s="2269"/>
      <c r="P428" s="2269"/>
      <c r="Q428" s="2269"/>
      <c r="R428" s="2269"/>
      <c r="S428" s="2269"/>
      <c r="T428" s="2269"/>
      <c r="U428" s="2269"/>
      <c r="V428" s="420"/>
    </row>
    <row r="429" spans="1:22" ht="21" customHeight="1">
      <c r="A429" s="420"/>
      <c r="B429" s="2251" t="s">
        <v>711</v>
      </c>
      <c r="C429" s="2251"/>
      <c r="D429" s="2251"/>
      <c r="E429" s="2251"/>
      <c r="F429" s="2251"/>
      <c r="G429" s="2251"/>
      <c r="H429" s="2251"/>
      <c r="I429" s="2251"/>
      <c r="J429" s="2251"/>
      <c r="K429" s="2251"/>
      <c r="L429" s="2251"/>
      <c r="M429" s="2251"/>
      <c r="N429" s="2251"/>
      <c r="O429" s="2251"/>
      <c r="P429" s="2251"/>
      <c r="Q429" s="2251"/>
      <c r="R429" s="2251"/>
      <c r="S429" s="2251"/>
      <c r="T429" s="2251"/>
      <c r="U429" s="2251"/>
      <c r="V429" s="420"/>
    </row>
    <row r="430" spans="1:22" ht="22.15" customHeight="1">
      <c r="A430" s="420"/>
      <c r="B430" s="2279" t="s">
        <v>712</v>
      </c>
      <c r="C430" s="2279"/>
      <c r="D430" s="2279"/>
      <c r="E430" s="2279"/>
      <c r="F430" s="2279"/>
      <c r="G430" s="2279"/>
      <c r="H430" s="2279"/>
      <c r="I430" s="2279"/>
      <c r="J430" s="2279"/>
      <c r="K430" s="2279"/>
      <c r="L430" s="2279"/>
      <c r="M430" s="2279"/>
      <c r="N430" s="2279"/>
      <c r="O430" s="2279"/>
      <c r="P430" s="2279"/>
      <c r="Q430" s="2279"/>
      <c r="R430" s="2279"/>
      <c r="S430" s="2279"/>
      <c r="T430" s="2279"/>
      <c r="U430" s="2279"/>
      <c r="V430" s="420"/>
    </row>
    <row r="431" spans="1:22" ht="7.15" customHeight="1">
      <c r="A431" s="429"/>
      <c r="V431" s="429"/>
    </row>
    <row r="432" spans="1:22" ht="72.75" customHeight="1">
      <c r="A432" s="441"/>
      <c r="B432" s="2534" t="s">
        <v>462</v>
      </c>
      <c r="C432" s="2256"/>
      <c r="D432" s="758" t="s">
        <v>463</v>
      </c>
      <c r="E432" s="758" t="s">
        <v>464</v>
      </c>
      <c r="F432" s="758" t="s">
        <v>468</v>
      </c>
      <c r="G432" s="758" t="s">
        <v>465</v>
      </c>
      <c r="H432" s="758" t="s">
        <v>693</v>
      </c>
      <c r="I432" s="2255" t="s">
        <v>763</v>
      </c>
      <c r="J432" s="2256"/>
      <c r="K432" s="758" t="s">
        <v>339</v>
      </c>
      <c r="L432" s="758" t="s">
        <v>444</v>
      </c>
      <c r="M432" s="758" t="s">
        <v>651</v>
      </c>
      <c r="N432" s="758" t="s">
        <v>51</v>
      </c>
      <c r="O432" s="758" t="s">
        <v>694</v>
      </c>
      <c r="P432" s="758" t="s">
        <v>714</v>
      </c>
      <c r="Q432" s="758" t="s">
        <v>807</v>
      </c>
      <c r="R432" s="758" t="s">
        <v>806</v>
      </c>
      <c r="S432" s="758" t="s">
        <v>811</v>
      </c>
      <c r="T432" s="758" t="s">
        <v>715</v>
      </c>
      <c r="U432" s="761" t="s">
        <v>295</v>
      </c>
    </row>
    <row r="433" spans="2:22" ht="48.75" customHeight="1">
      <c r="B433" s="2272" t="str">
        <f>IF(Perfiles_usuario!B39=0,"",Perfiles_usuario!B39)</f>
        <v>LINEA JEFE</v>
      </c>
      <c r="C433" s="2259"/>
      <c r="D433" s="770">
        <f>IF(Perfiles_usuario!D39=0,"",Perfiles_usuario!D39)</f>
        <v>1</v>
      </c>
      <c r="E433" s="770">
        <f>IF(Perfiles_usuario!D39=0,"",Perfiles_usuario!F39)</f>
        <v>1</v>
      </c>
      <c r="F433" s="770" t="str">
        <f>IF(Perfiles_usuario!D39=0,"","incluidas")</f>
        <v>incluidas</v>
      </c>
      <c r="G433" s="770" t="str">
        <f>IF(Perfiles_usuario!D39=0,"","incluidos")</f>
        <v>incluidos</v>
      </c>
      <c r="H433" s="770" t="str">
        <f>IF(B433&lt;&gt;"","No","")</f>
        <v>No</v>
      </c>
      <c r="I433" s="2259" t="str">
        <f>IF(Perfiles_usuario!D39=0,"",Perfiles_usuario!H39)</f>
        <v>Ilimitada+8GB</v>
      </c>
      <c r="J433" s="2259"/>
      <c r="K433" s="770" t="str">
        <f>IF(Perfiles_usuario!J39=0,"",Perfiles_usuario!J39)</f>
        <v/>
      </c>
      <c r="L433" s="770" t="str">
        <f>IF(Perfiles_usuario!D39=0,"",IF(Perfiles_usuario!N39="","No",Perfiles_usuario!N39))</f>
        <v>No</v>
      </c>
      <c r="M433" s="695">
        <f>IF(Perfiles_usuario!D39=0,"",Perfiles_usuario!P39)</f>
        <v>53</v>
      </c>
      <c r="N433" s="695">
        <f>IF(Perfiles_usuario!D39=0,"",Perfiles_usuario!R39)</f>
        <v>53</v>
      </c>
      <c r="O433" s="696">
        <f>IF(Perfiles_usuario!D39=0,"",Perfiles_usuario!V39)</f>
        <v>0</v>
      </c>
      <c r="P433" s="696">
        <f>IF(Perfiles_usuario!$D39=0,"",Perfiles_usuario!X39)</f>
        <v>0.1</v>
      </c>
      <c r="Q433" s="695">
        <f>IF(Perfiles_usuario!$D39=0,"",Perfiles_usuario!Z39)</f>
        <v>47.7</v>
      </c>
      <c r="R433" s="695">
        <f>IF(Perfiles_usuario!$D39=0,"",Perfiles_usuario!AB39)</f>
        <v>47.7</v>
      </c>
      <c r="S433" s="696">
        <f>IF(Perfiles_usuario!$D39=0,"",Perfiles_usuario!AD39)</f>
        <v>0.1</v>
      </c>
      <c r="T433" s="695">
        <f>IF(Perfiles_usuario!D39=0,"",Perfiles_usuario!AF39)</f>
        <v>42.400000000000006</v>
      </c>
      <c r="U433" s="697">
        <f>IF(Perfiles_usuario!D39=0,"",Perfiles_usuario!AH39)</f>
        <v>42.400000000000006</v>
      </c>
      <c r="V433" s="441"/>
    </row>
    <row r="434" spans="2:22" ht="49.9" customHeight="1">
      <c r="B434" s="2272" t="str">
        <f>IF(Perfiles_usuario!B42=0,"",Perfiles_usuario!B42)</f>
        <v>ILIMITADA</v>
      </c>
      <c r="C434" s="2259"/>
      <c r="D434" s="756">
        <f>IF(Perfiles_usuario!D42=0,"",Perfiles_usuario!D42)</f>
        <v>1</v>
      </c>
      <c r="E434" s="756">
        <f>IF(Perfiles_usuario!D42=0,"",Perfiles_usuario!F42)</f>
        <v>1</v>
      </c>
      <c r="F434" s="756" t="str">
        <f>IF(Perfiles_usuario!D42=0,"","incluidas")</f>
        <v>incluidas</v>
      </c>
      <c r="G434" s="756" t="str">
        <f>IF(Perfiles_usuario!D42=0,"","incluidos")</f>
        <v>incluidos</v>
      </c>
      <c r="H434" s="1517" t="str">
        <f t="shared" ref="H434:H447" si="1">IF(B434&lt;&gt;"","No","")</f>
        <v>No</v>
      </c>
      <c r="I434" s="2259" t="str">
        <f>IF(Perfiles_usuario!D42=0,"",Perfiles_usuario!H42)</f>
        <v>Ilimitada+8GB</v>
      </c>
      <c r="J434" s="2259"/>
      <c r="K434" s="756" t="str">
        <f>IF(Perfiles_usuario!J42=0,"",Perfiles_usuario!J42)</f>
        <v/>
      </c>
      <c r="L434" s="756" t="str">
        <f>IF(Perfiles_usuario!D42=0,"",IF(Perfiles_usuario!N42="","No",Perfiles_usuario!N42))</f>
        <v>No</v>
      </c>
      <c r="M434" s="699">
        <f>IF(Perfiles_usuario!D42=0,"",Perfiles_usuario!P42)</f>
        <v>53</v>
      </c>
      <c r="N434" s="699">
        <f>IF(Perfiles_usuario!D42=0,"",Perfiles_usuario!R42)</f>
        <v>53</v>
      </c>
      <c r="O434" s="700">
        <f>IF(Perfiles_usuario!D42=0,"",Perfiles_usuario!V42)</f>
        <v>0</v>
      </c>
      <c r="P434" s="700">
        <f>IF(Perfiles_usuario!D42=0,"",Perfiles_usuario!X42)</f>
        <v>0.1</v>
      </c>
      <c r="Q434" s="699">
        <f>IF(Perfiles_usuario!$D42=0,"",Perfiles_usuario!Z42)</f>
        <v>47.7</v>
      </c>
      <c r="R434" s="699">
        <f>IF(Perfiles_usuario!$D42=0,"",Perfiles_usuario!AB42)</f>
        <v>47.7</v>
      </c>
      <c r="S434" s="700">
        <f>IF(Perfiles_usuario!$D42=0,"",Perfiles_usuario!AD42)</f>
        <v>0.1</v>
      </c>
      <c r="T434" s="699">
        <f>IF(Perfiles_usuario!D42=0,"",Perfiles_usuario!AF42)</f>
        <v>42.400000000000006</v>
      </c>
      <c r="U434" s="701">
        <f>IF(Perfiles_usuario!D42=0,"",Perfiles_usuario!AH42)</f>
        <v>42.400000000000006</v>
      </c>
      <c r="V434" s="441"/>
    </row>
    <row r="435" spans="2:22" ht="49.9" customHeight="1">
      <c r="B435" s="2272" t="str">
        <f>IF(Perfiles_usuario!B45=0,"",Perfiles_usuario!B45)</f>
        <v>ILIMITADA</v>
      </c>
      <c r="C435" s="2259"/>
      <c r="D435" s="756">
        <f>IF(Perfiles_usuario!D45=0,"",Perfiles_usuario!D45)</f>
        <v>1</v>
      </c>
      <c r="E435" s="756">
        <f>IF(Perfiles_usuario!D45=0,"",Perfiles_usuario!F45)</f>
        <v>1</v>
      </c>
      <c r="F435" s="756" t="str">
        <f>IF(Perfiles_usuario!D45=0,"","incluidas")</f>
        <v>incluidas</v>
      </c>
      <c r="G435" s="756" t="str">
        <f>IF(Perfiles_usuario!D45=0,"","incluidos")</f>
        <v>incluidos</v>
      </c>
      <c r="H435" s="1517" t="str">
        <f t="shared" si="1"/>
        <v>No</v>
      </c>
      <c r="I435" s="2259" t="str">
        <f>IF(Perfiles_usuario!D45=0,"",Perfiles_usuario!H45)</f>
        <v>Ilimitada+8GB</v>
      </c>
      <c r="J435" s="2259"/>
      <c r="K435" s="756" t="str">
        <f>IF(Perfiles_usuario!J45=0,"",Perfiles_usuario!J45)</f>
        <v/>
      </c>
      <c r="L435" s="756" t="str">
        <f>IF(Perfiles_usuario!D45=0,"",IF(Perfiles_usuario!N45="","No",Perfiles_usuario!N45))</f>
        <v>No</v>
      </c>
      <c r="M435" s="699">
        <f>IF(Perfiles_usuario!D45=0,"",Perfiles_usuario!P45)</f>
        <v>53</v>
      </c>
      <c r="N435" s="699">
        <f>IF(Perfiles_usuario!D45=0,"",Perfiles_usuario!R45)</f>
        <v>53</v>
      </c>
      <c r="O435" s="700">
        <f>IF(Perfiles_usuario!D45=0,"",Perfiles_usuario!V45)</f>
        <v>0</v>
      </c>
      <c r="P435" s="700">
        <f>IF(Perfiles_usuario!D45=0,"",Perfiles_usuario!X45)</f>
        <v>0.1</v>
      </c>
      <c r="Q435" s="699">
        <f>IF(Perfiles_usuario!$D45=0,"",Perfiles_usuario!Z45)</f>
        <v>47.7</v>
      </c>
      <c r="R435" s="699">
        <f>IF(Perfiles_usuario!$D45=0,"",Perfiles_usuario!AB45)</f>
        <v>47.7</v>
      </c>
      <c r="S435" s="700">
        <f>IF(Perfiles_usuario!$D45=0,"",Perfiles_usuario!AD45)</f>
        <v>0.1</v>
      </c>
      <c r="T435" s="699">
        <f>IF(Perfiles_usuario!D45=0,"",Perfiles_usuario!AF45)</f>
        <v>42.400000000000006</v>
      </c>
      <c r="U435" s="701">
        <f>IF(Perfiles_usuario!D45=0,"",Perfiles_usuario!AH45)</f>
        <v>42.400000000000006</v>
      </c>
    </row>
    <row r="436" spans="2:22" ht="49.9" customHeight="1">
      <c r="B436" s="2272" t="str">
        <f>IF(Perfiles_usuario!B48=0,"",Perfiles_usuario!B48)</f>
        <v>ILIMITADA CV</v>
      </c>
      <c r="C436" s="2259"/>
      <c r="D436" s="756">
        <f>IF(Perfiles_usuario!D48=0,"",Perfiles_usuario!D48)</f>
        <v>1</v>
      </c>
      <c r="E436" s="756">
        <f>IF(Perfiles_usuario!D48=0,"",Perfiles_usuario!F48)</f>
        <v>0</v>
      </c>
      <c r="F436" s="756" t="str">
        <f>IF(Perfiles_usuario!D48=0,"","incluidas")</f>
        <v>incluidas</v>
      </c>
      <c r="G436" s="756" t="str">
        <f>IF(Perfiles_usuario!D48=0,"","incluidos")</f>
        <v>incluidos</v>
      </c>
      <c r="H436" s="1517" t="str">
        <f t="shared" si="1"/>
        <v>No</v>
      </c>
      <c r="I436" s="2259" t="str">
        <f>IF(Perfiles_usuario!D48=0,"",Perfiles_usuario!H48)</f>
        <v>Ilimitada+1GB</v>
      </c>
      <c r="J436" s="2259"/>
      <c r="K436" s="756" t="str">
        <f>IF(Perfiles_usuario!J48=0,"",Perfiles_usuario!J48)</f>
        <v>Agente Centralita Virtual</v>
      </c>
      <c r="L436" s="756" t="str">
        <f>IF(Perfiles_usuario!D48=0,"",IF(Perfiles_usuario!N48="","No",Perfiles_usuario!N48))</f>
        <v>No</v>
      </c>
      <c r="M436" s="699">
        <f>IF(Perfiles_usuario!D48=0,"",Perfiles_usuario!P48)</f>
        <v>29</v>
      </c>
      <c r="N436" s="699">
        <f>IF(Perfiles_usuario!D48=0,"",Perfiles_usuario!R48)</f>
        <v>29</v>
      </c>
      <c r="O436" s="700">
        <f>IF(Perfiles_usuario!D48=0,"",Perfiles_usuario!V48)</f>
        <v>0</v>
      </c>
      <c r="P436" s="700">
        <f>IF(Perfiles_usuario!D48=0,"",Perfiles_usuario!X48)</f>
        <v>0.1</v>
      </c>
      <c r="Q436" s="699">
        <f>IF(Perfiles_usuario!$D48=0,"",Perfiles_usuario!Z48)</f>
        <v>26.1</v>
      </c>
      <c r="R436" s="699">
        <f>IF(Perfiles_usuario!$D48=0,"",Perfiles_usuario!AB48)</f>
        <v>26.1</v>
      </c>
      <c r="S436" s="700">
        <f>IF(Perfiles_usuario!$D48=0,"",Perfiles_usuario!AD48)</f>
        <v>0.1</v>
      </c>
      <c r="T436" s="699">
        <f>IF(Perfiles_usuario!D48=0,"",Perfiles_usuario!AF48)</f>
        <v>23.200000000000003</v>
      </c>
      <c r="U436" s="701">
        <f>IF(Perfiles_usuario!D48=0,"",Perfiles_usuario!AH48)</f>
        <v>23.200000000000003</v>
      </c>
      <c r="V436" s="441"/>
    </row>
    <row r="437" spans="2:22" ht="49.9" customHeight="1">
      <c r="B437" s="2272" t="str">
        <f>IF(Perfiles_usuario!B51=0,"",Perfiles_usuario!B51)</f>
        <v>1 NUEVA</v>
      </c>
      <c r="C437" s="2259"/>
      <c r="D437" s="756">
        <f>IF(Perfiles_usuario!D51=0,"",Perfiles_usuario!D51)</f>
        <v>1</v>
      </c>
      <c r="E437" s="756">
        <f>IF(Perfiles_usuario!D51=0,"",Perfiles_usuario!F51)</f>
        <v>0</v>
      </c>
      <c r="F437" s="756" t="str">
        <f>IF(Perfiles_usuario!D51=0,"","incluidas")</f>
        <v>incluidas</v>
      </c>
      <c r="G437" s="756" t="str">
        <f>IF(Perfiles_usuario!D51=0,"","incluidos")</f>
        <v>incluidos</v>
      </c>
      <c r="H437" s="1517" t="str">
        <f t="shared" si="1"/>
        <v>No</v>
      </c>
      <c r="I437" s="2259" t="str">
        <f>IF(Perfiles_usuario!D51=0,"",Perfiles_usuario!H51)</f>
        <v>Sin tarifa plana (0-50 min)</v>
      </c>
      <c r="J437" s="2259"/>
      <c r="K437" s="756" t="str">
        <f>IF(Perfiles_usuario!J51=0,"",Perfiles_usuario!J51)</f>
        <v/>
      </c>
      <c r="L437" s="756" t="str">
        <f>IF(Perfiles_usuario!D51=0,"",IF(Perfiles_usuario!N51="","No",Perfiles_usuario!N51))</f>
        <v>No</v>
      </c>
      <c r="M437" s="699">
        <f>IF(Perfiles_usuario!D51=0,"",Perfiles_usuario!P51)</f>
        <v>6</v>
      </c>
      <c r="N437" s="699">
        <f>IF(Perfiles_usuario!D51=0,"",Perfiles_usuario!R51)</f>
        <v>6</v>
      </c>
      <c r="O437" s="700">
        <f>IF(Perfiles_usuario!D51=0,"",Perfiles_usuario!V51)</f>
        <v>0</v>
      </c>
      <c r="P437" s="700">
        <f>IF(Perfiles_usuario!D51=0,"",Perfiles_usuario!X51)</f>
        <v>0.1</v>
      </c>
      <c r="Q437" s="699">
        <f>IF(Perfiles_usuario!$D51=0,"",Perfiles_usuario!Z51)</f>
        <v>5.4</v>
      </c>
      <c r="R437" s="699">
        <f>IF(Perfiles_usuario!$D51=0,"",Perfiles_usuario!AB51)</f>
        <v>5.4</v>
      </c>
      <c r="S437" s="700">
        <f>IF(Perfiles_usuario!$D51=0,"",Perfiles_usuario!AD51)</f>
        <v>0.1</v>
      </c>
      <c r="T437" s="699">
        <f>IF(Perfiles_usuario!D51=0,"",Perfiles_usuario!AF51)</f>
        <v>4.8000000000000007</v>
      </c>
      <c r="U437" s="701">
        <f>IF(Perfiles_usuario!D51=0,"",Perfiles_usuario!AH51)</f>
        <v>4.8000000000000007</v>
      </c>
    </row>
    <row r="438" spans="2:22" ht="49.9" customHeight="1">
      <c r="B438" s="2272" t="str">
        <f>IF(Perfiles_usuario!B54=0,"",Perfiles_usuario!B54)</f>
        <v/>
      </c>
      <c r="C438" s="2259"/>
      <c r="D438" s="756" t="str">
        <f>IF(Perfiles_usuario!D54=0,"",Perfiles_usuario!D54)</f>
        <v/>
      </c>
      <c r="E438" s="756" t="str">
        <f>IF(Perfiles_usuario!D54=0,"",Perfiles_usuario!F54)</f>
        <v/>
      </c>
      <c r="F438" s="756" t="str">
        <f>IF(Perfiles_usuario!D54=0,"","incluidas")</f>
        <v/>
      </c>
      <c r="G438" s="756" t="str">
        <f>IF(Perfiles_usuario!D54=0,"","incluidos")</f>
        <v/>
      </c>
      <c r="H438" s="1517" t="str">
        <f t="shared" si="1"/>
        <v/>
      </c>
      <c r="I438" s="2259" t="str">
        <f>IF(Perfiles_usuario!D54=0,"",Perfiles_usuario!H54)</f>
        <v/>
      </c>
      <c r="J438" s="2259"/>
      <c r="K438" s="756" t="str">
        <f>IF(Perfiles_usuario!J54=0,"",Perfiles_usuario!J54)</f>
        <v/>
      </c>
      <c r="L438" s="756" t="str">
        <f>IF(Perfiles_usuario!D54=0,"",IF(Perfiles_usuario!N54="","No",Perfiles_usuario!N54))</f>
        <v/>
      </c>
      <c r="M438" s="699" t="str">
        <f>IF(Perfiles_usuario!D54=0,"",Perfiles_usuario!P54)</f>
        <v/>
      </c>
      <c r="N438" s="699" t="str">
        <f>IF(Perfiles_usuario!D54=0,"",Perfiles_usuario!R54)</f>
        <v/>
      </c>
      <c r="O438" s="700" t="str">
        <f>IF(Perfiles_usuario!D54=0,"",Perfiles_usuario!V54)</f>
        <v/>
      </c>
      <c r="P438" s="700" t="str">
        <f>IF(Perfiles_usuario!D54=0,"",Perfiles_usuario!X54)</f>
        <v/>
      </c>
      <c r="Q438" s="699" t="str">
        <f>IF(Perfiles_usuario!$D54=0,"",Perfiles_usuario!Z54)</f>
        <v/>
      </c>
      <c r="R438" s="699" t="str">
        <f>IF(Perfiles_usuario!$D54=0,"",Perfiles_usuario!AB54)</f>
        <v/>
      </c>
      <c r="S438" s="700" t="str">
        <f>IF(Perfiles_usuario!$D54=0,"",Perfiles_usuario!AD54)</f>
        <v/>
      </c>
      <c r="T438" s="699" t="str">
        <f>IF(Perfiles_usuario!D54=0,"",Perfiles_usuario!AF54)</f>
        <v/>
      </c>
      <c r="U438" s="701" t="str">
        <f>IF(Perfiles_usuario!D54=0,"",Perfiles_usuario!AH54)</f>
        <v/>
      </c>
    </row>
    <row r="439" spans="2:22" ht="49.9" customHeight="1">
      <c r="B439" s="2272" t="str">
        <f>IF(Perfiles_usuario!B57=0,"",Perfiles_usuario!B57)</f>
        <v/>
      </c>
      <c r="C439" s="2259"/>
      <c r="D439" s="756" t="str">
        <f>IF(Perfiles_usuario!D57=0,"",Perfiles_usuario!D57)</f>
        <v/>
      </c>
      <c r="E439" s="756" t="str">
        <f>IF(Perfiles_usuario!D57=0,"",Perfiles_usuario!F57)</f>
        <v/>
      </c>
      <c r="F439" s="756" t="str">
        <f>IF(Perfiles_usuario!D57=0,"","incluidas")</f>
        <v/>
      </c>
      <c r="G439" s="756" t="str">
        <f>IF(Perfiles_usuario!D57=0,"","incluidos")</f>
        <v/>
      </c>
      <c r="H439" s="1517" t="str">
        <f t="shared" si="1"/>
        <v/>
      </c>
      <c r="I439" s="2259" t="str">
        <f>IF(Perfiles_usuario!D57=0,"",Perfiles_usuario!H57)</f>
        <v/>
      </c>
      <c r="J439" s="2259"/>
      <c r="K439" s="756" t="str">
        <f>IF(Perfiles_usuario!J57=0,"",Perfiles_usuario!J57)</f>
        <v/>
      </c>
      <c r="L439" s="756" t="str">
        <f>IF(Perfiles_usuario!D57=0,"",IF(Perfiles_usuario!N57="","No",Perfiles_usuario!N57))</f>
        <v/>
      </c>
      <c r="M439" s="699" t="str">
        <f>IF(Perfiles_usuario!D57=0,"",Perfiles_usuario!P57)</f>
        <v/>
      </c>
      <c r="N439" s="699" t="str">
        <f>IF(Perfiles_usuario!D57=0,"",Perfiles_usuario!R57)</f>
        <v/>
      </c>
      <c r="O439" s="700" t="str">
        <f>IF(Perfiles_usuario!D57=0,"",Perfiles_usuario!V57)</f>
        <v/>
      </c>
      <c r="P439" s="700" t="str">
        <f>IF(Perfiles_usuario!D57=0,"",Perfiles_usuario!X57)</f>
        <v/>
      </c>
      <c r="Q439" s="699" t="str">
        <f>IF(Perfiles_usuario!$D57=0,"",Perfiles_usuario!Z57)</f>
        <v/>
      </c>
      <c r="R439" s="699" t="str">
        <f>IF(Perfiles_usuario!$D57=0,"",Perfiles_usuario!AB57)</f>
        <v/>
      </c>
      <c r="S439" s="700" t="str">
        <f>IF(Perfiles_usuario!$D57=0,"",Perfiles_usuario!AD57)</f>
        <v/>
      </c>
      <c r="T439" s="699" t="str">
        <f>IF(Perfiles_usuario!D57=0,"",Perfiles_usuario!AF57)</f>
        <v/>
      </c>
      <c r="U439" s="701" t="str">
        <f>IF(Perfiles_usuario!D57=0,"",Perfiles_usuario!AH57)</f>
        <v/>
      </c>
      <c r="V439" s="441"/>
    </row>
    <row r="440" spans="2:22" ht="49.9" customHeight="1">
      <c r="B440" s="2272" t="str">
        <f>IF(Perfiles_usuario!B60=0,"",Perfiles_usuario!B60)</f>
        <v/>
      </c>
      <c r="C440" s="2259"/>
      <c r="D440" s="756" t="str">
        <f>IF(Perfiles_usuario!D60=0,"",Perfiles_usuario!D60)</f>
        <v/>
      </c>
      <c r="E440" s="756" t="str">
        <f>IF(Perfiles_usuario!D60=0,"",Perfiles_usuario!F60)</f>
        <v/>
      </c>
      <c r="F440" s="756" t="str">
        <f>IF(Perfiles_usuario!D60=0,"","incluidas")</f>
        <v/>
      </c>
      <c r="G440" s="756" t="str">
        <f>IF(Perfiles_usuario!D60=0,"","incluidos")</f>
        <v/>
      </c>
      <c r="H440" s="1517" t="str">
        <f t="shared" si="1"/>
        <v/>
      </c>
      <c r="I440" s="2259" t="str">
        <f>IF(Perfiles_usuario!D60=0,"",Perfiles_usuario!H60)</f>
        <v/>
      </c>
      <c r="J440" s="2259"/>
      <c r="K440" s="756" t="str">
        <f>IF(Perfiles_usuario!J60=0,"",Perfiles_usuario!J60)</f>
        <v/>
      </c>
      <c r="L440" s="756" t="str">
        <f>IF(Perfiles_usuario!D60=0,"",IF(Perfiles_usuario!N60="","No",Perfiles_usuario!N60))</f>
        <v/>
      </c>
      <c r="M440" s="699" t="str">
        <f>IF(Perfiles_usuario!D60=0,"",Perfiles_usuario!P60)</f>
        <v/>
      </c>
      <c r="N440" s="699" t="str">
        <f>IF(Perfiles_usuario!D60=0,"",Perfiles_usuario!R60)</f>
        <v/>
      </c>
      <c r="O440" s="700" t="str">
        <f>IF(Perfiles_usuario!D60=0,"",Perfiles_usuario!V60)</f>
        <v/>
      </c>
      <c r="P440" s="700" t="str">
        <f>IF(Perfiles_usuario!D60=0,"",Perfiles_usuario!X60)</f>
        <v/>
      </c>
      <c r="Q440" s="699" t="str">
        <f>IF(Perfiles_usuario!$D60=0,"",Perfiles_usuario!Z60)</f>
        <v/>
      </c>
      <c r="R440" s="699" t="str">
        <f>IF(Perfiles_usuario!$D60=0,"",Perfiles_usuario!AB60)</f>
        <v/>
      </c>
      <c r="S440" s="700" t="str">
        <f>IF(Perfiles_usuario!$D60=0,"",Perfiles_usuario!AD60)</f>
        <v/>
      </c>
      <c r="T440" s="699" t="str">
        <f>IF(Perfiles_usuario!D60=0,"",Perfiles_usuario!AF60)</f>
        <v/>
      </c>
      <c r="U440" s="701" t="str">
        <f>IF(Perfiles_usuario!D60=0,"",Perfiles_usuario!AH60)</f>
        <v/>
      </c>
      <c r="V440" s="441"/>
    </row>
    <row r="441" spans="2:22" ht="49.9" customHeight="1">
      <c r="B441" s="2272" t="str">
        <f>IF(Perfiles_usuario!B63=0,"",Perfiles_usuario!B63)</f>
        <v/>
      </c>
      <c r="C441" s="2259"/>
      <c r="D441" s="756" t="str">
        <f>IF(Perfiles_usuario!D63=0,"",Perfiles_usuario!D63)</f>
        <v/>
      </c>
      <c r="E441" s="756" t="str">
        <f>IF(Perfiles_usuario!D63=0,"",Perfiles_usuario!F63)</f>
        <v/>
      </c>
      <c r="F441" s="756" t="str">
        <f>IF(Perfiles_usuario!D63=0,"","incluidas")</f>
        <v/>
      </c>
      <c r="G441" s="756" t="str">
        <f>IF(Perfiles_usuario!D63=0,"","incluidos")</f>
        <v/>
      </c>
      <c r="H441" s="1517" t="str">
        <f t="shared" si="1"/>
        <v/>
      </c>
      <c r="I441" s="2259" t="str">
        <f>IF(Perfiles_usuario!D63=0,"",Perfiles_usuario!H63)</f>
        <v/>
      </c>
      <c r="J441" s="2259"/>
      <c r="K441" s="756" t="str">
        <f>IF(Perfiles_usuario!J63=0,"",Perfiles_usuario!J63)</f>
        <v/>
      </c>
      <c r="L441" s="756" t="str">
        <f>IF(Perfiles_usuario!D63=0,"",IF(Perfiles_usuario!N63="","No",Perfiles_usuario!N63))</f>
        <v/>
      </c>
      <c r="M441" s="699" t="str">
        <f>IF(Perfiles_usuario!D63=0,"",Perfiles_usuario!P63)</f>
        <v/>
      </c>
      <c r="N441" s="699" t="str">
        <f>IF(Perfiles_usuario!D63=0,"",Perfiles_usuario!R63)</f>
        <v/>
      </c>
      <c r="O441" s="700" t="str">
        <f>IF(Perfiles_usuario!D63=0,"",Perfiles_usuario!V63)</f>
        <v/>
      </c>
      <c r="P441" s="700" t="str">
        <f>IF(Perfiles_usuario!D63=0,"",Perfiles_usuario!X63)</f>
        <v/>
      </c>
      <c r="Q441" s="699" t="str">
        <f>IF(Perfiles_usuario!$D63=0,"",Perfiles_usuario!Z63)</f>
        <v/>
      </c>
      <c r="R441" s="699" t="str">
        <f>IF(Perfiles_usuario!$D63=0,"",Perfiles_usuario!AB63)</f>
        <v/>
      </c>
      <c r="S441" s="700" t="str">
        <f>IF(Perfiles_usuario!$D63=0,"",Perfiles_usuario!AD63)</f>
        <v/>
      </c>
      <c r="T441" s="699" t="str">
        <f>IF(Perfiles_usuario!D63=0,"",Perfiles_usuario!AF63)</f>
        <v/>
      </c>
      <c r="U441" s="701" t="str">
        <f>IF(Perfiles_usuario!D63=0,"",Perfiles_usuario!AH63)</f>
        <v/>
      </c>
      <c r="V441" s="441"/>
    </row>
    <row r="442" spans="2:22" ht="49.9" customHeight="1">
      <c r="B442" s="2272" t="str">
        <f>IF(Perfiles_usuario!B66=0,"",Perfiles_usuario!B66)</f>
        <v/>
      </c>
      <c r="C442" s="2259"/>
      <c r="D442" s="756" t="str">
        <f>IF(Perfiles_usuario!D66=0,"",Perfiles_usuario!D66)</f>
        <v/>
      </c>
      <c r="E442" s="756" t="str">
        <f>IF(Perfiles_usuario!D66=0,"",Perfiles_usuario!F66)</f>
        <v/>
      </c>
      <c r="F442" s="756" t="str">
        <f>IF(Perfiles_usuario!D66=0,"","incluidas")</f>
        <v/>
      </c>
      <c r="G442" s="756" t="str">
        <f>IF(Perfiles_usuario!D66=0,"","incluidos")</f>
        <v/>
      </c>
      <c r="H442" s="1517" t="str">
        <f t="shared" si="1"/>
        <v/>
      </c>
      <c r="I442" s="2259" t="str">
        <f>IF(Perfiles_usuario!D66=0,"",Perfiles_usuario!H66)</f>
        <v/>
      </c>
      <c r="J442" s="2259"/>
      <c r="K442" s="756" t="str">
        <f>IF(Perfiles_usuario!J66=0,"",Perfiles_usuario!J66)</f>
        <v/>
      </c>
      <c r="L442" s="756" t="str">
        <f>IF(Perfiles_usuario!D66=0,"",IF(Perfiles_usuario!N66="","No",Perfiles_usuario!N66))</f>
        <v/>
      </c>
      <c r="M442" s="699" t="str">
        <f>IF(Perfiles_usuario!D66=0,"",Perfiles_usuario!P66)</f>
        <v/>
      </c>
      <c r="N442" s="699" t="str">
        <f>IF(Perfiles_usuario!D66=0,"",Perfiles_usuario!R66)</f>
        <v/>
      </c>
      <c r="O442" s="700" t="str">
        <f>IF(Perfiles_usuario!D66=0,"",Perfiles_usuario!V66)</f>
        <v/>
      </c>
      <c r="P442" s="700" t="str">
        <f>IF(Perfiles_usuario!D66=0,"",Perfiles_usuario!X66)</f>
        <v/>
      </c>
      <c r="Q442" s="699" t="str">
        <f>IF(Perfiles_usuario!$D66=0,"",Perfiles_usuario!Z66)</f>
        <v/>
      </c>
      <c r="R442" s="699" t="str">
        <f>IF(Perfiles_usuario!$D66=0,"",Perfiles_usuario!AB66)</f>
        <v/>
      </c>
      <c r="S442" s="700" t="str">
        <f>IF(Perfiles_usuario!$D66=0,"",Perfiles_usuario!AD66)</f>
        <v/>
      </c>
      <c r="T442" s="699" t="str">
        <f>IF(Perfiles_usuario!D66=0,"",Perfiles_usuario!AF66)</f>
        <v/>
      </c>
      <c r="U442" s="701" t="str">
        <f>IF(Perfiles_usuario!D66=0,"",Perfiles_usuario!AH66)</f>
        <v/>
      </c>
      <c r="V442" s="441"/>
    </row>
    <row r="443" spans="2:22" ht="49.9" customHeight="1">
      <c r="B443" s="2272" t="str">
        <f>IF(Perfiles_usuario!B68=0,"",Perfiles_usuario!B68)</f>
        <v/>
      </c>
      <c r="C443" s="2259"/>
      <c r="D443" s="756" t="str">
        <f>IF(Perfiles_usuario!D68=0,"",Perfiles_usuario!D68)</f>
        <v/>
      </c>
      <c r="E443" s="756" t="str">
        <f>IF(Perfiles_usuario!D68=0,"",Perfiles_usuario!F68)</f>
        <v/>
      </c>
      <c r="F443" s="756" t="str">
        <f>IF(Perfiles_usuario!D68=0,"","incluidas")</f>
        <v/>
      </c>
      <c r="G443" s="756" t="str">
        <f>IF(Perfiles_usuario!D68=0,"","incluidos")</f>
        <v/>
      </c>
      <c r="H443" s="1517" t="str">
        <f t="shared" si="1"/>
        <v/>
      </c>
      <c r="I443" s="2259" t="str">
        <f>IF(Perfiles_usuario!D68=0,"",Perfiles_usuario!H68)</f>
        <v/>
      </c>
      <c r="J443" s="2259"/>
      <c r="K443" s="756" t="str">
        <f>IF(Perfiles_usuario!J68=0,"",Perfiles_usuario!J68)</f>
        <v/>
      </c>
      <c r="L443" s="756" t="str">
        <f>IF(Perfiles_usuario!D68=0,"",IF(Perfiles_usuario!N68="","No",Perfiles_usuario!N68))</f>
        <v/>
      </c>
      <c r="M443" s="699" t="str">
        <f>IF(Perfiles_usuario!D68=0,"",Perfiles_usuario!P68)</f>
        <v/>
      </c>
      <c r="N443" s="699" t="str">
        <f>IF(Perfiles_usuario!D68=0,"",Perfiles_usuario!R68)</f>
        <v/>
      </c>
      <c r="O443" s="700" t="str">
        <f>IF(Perfiles_usuario!D68=0,"",Perfiles_usuario!V68)</f>
        <v/>
      </c>
      <c r="P443" s="700" t="str">
        <f>IF(Perfiles_usuario!D68=0,"",Perfiles_usuario!X68)</f>
        <v/>
      </c>
      <c r="Q443" s="699" t="str">
        <f>IF(Perfiles_usuario!$D68=0,"",Perfiles_usuario!Z68)</f>
        <v/>
      </c>
      <c r="R443" s="699" t="str">
        <f>IF(Perfiles_usuario!$D68=0,"",Perfiles_usuario!AB68)</f>
        <v/>
      </c>
      <c r="S443" s="700" t="str">
        <f>IF(Perfiles_usuario!$D68=0,"",Perfiles_usuario!AD68)</f>
        <v/>
      </c>
      <c r="T443" s="699" t="str">
        <f>IF(Perfiles_usuario!D68=0,"",Perfiles_usuario!AF68)</f>
        <v/>
      </c>
      <c r="U443" s="701" t="str">
        <f>IF(Perfiles_usuario!D68=0,"",Perfiles_usuario!AH68)</f>
        <v/>
      </c>
      <c r="V443" s="441"/>
    </row>
    <row r="444" spans="2:22" ht="49.9" customHeight="1">
      <c r="B444" s="2272" t="str">
        <f>IF(Perfiles_usuario!B70=0,"",Perfiles_usuario!B70)</f>
        <v/>
      </c>
      <c r="C444" s="2259"/>
      <c r="D444" s="756" t="str">
        <f>IF(Perfiles_usuario!D70=0,"",Perfiles_usuario!D70)</f>
        <v/>
      </c>
      <c r="E444" s="756" t="str">
        <f>IF(Perfiles_usuario!D70=0,"",Perfiles_usuario!F70)</f>
        <v/>
      </c>
      <c r="F444" s="756" t="str">
        <f>IF(Perfiles_usuario!D70=0,"","incluidas")</f>
        <v/>
      </c>
      <c r="G444" s="756" t="str">
        <f>IF(Perfiles_usuario!D70=0,"","incluidos")</f>
        <v/>
      </c>
      <c r="H444" s="1517" t="str">
        <f t="shared" si="1"/>
        <v/>
      </c>
      <c r="I444" s="2259" t="str">
        <f>IF(Perfiles_usuario!D70=0,"",Perfiles_usuario!H70)</f>
        <v/>
      </c>
      <c r="J444" s="2259"/>
      <c r="K444" s="756" t="str">
        <f>IF(Perfiles_usuario!J70=0,"",Perfiles_usuario!J70)</f>
        <v/>
      </c>
      <c r="L444" s="756" t="str">
        <f>IF(Perfiles_usuario!D70=0,"",IF(Perfiles_usuario!N70="","No",Perfiles_usuario!N70))</f>
        <v/>
      </c>
      <c r="M444" s="699" t="str">
        <f>IF(Perfiles_usuario!D70=0,"",Perfiles_usuario!P70)</f>
        <v/>
      </c>
      <c r="N444" s="699" t="str">
        <f>IF(Perfiles_usuario!D70=0,"",Perfiles_usuario!R70)</f>
        <v/>
      </c>
      <c r="O444" s="700" t="str">
        <f>IF(Perfiles_usuario!D70=0,"",Perfiles_usuario!V70)</f>
        <v/>
      </c>
      <c r="P444" s="700" t="str">
        <f>IF(Perfiles_usuario!D70=0,"",Perfiles_usuario!X70)</f>
        <v/>
      </c>
      <c r="Q444" s="699" t="str">
        <f>IF(Perfiles_usuario!$D70=0,"",Perfiles_usuario!Z70)</f>
        <v/>
      </c>
      <c r="R444" s="699" t="str">
        <f>IF(Perfiles_usuario!$D70=0,"",Perfiles_usuario!AB70)</f>
        <v/>
      </c>
      <c r="S444" s="700" t="str">
        <f>IF(Perfiles_usuario!$D70=0,"",Perfiles_usuario!AD70)</f>
        <v/>
      </c>
      <c r="T444" s="699" t="str">
        <f>IF(Perfiles_usuario!D70=0,"",Perfiles_usuario!AF70)</f>
        <v/>
      </c>
      <c r="U444" s="701" t="str">
        <f>IF(Perfiles_usuario!D70=0,"",Perfiles_usuario!AH70)</f>
        <v/>
      </c>
      <c r="V444" s="441"/>
    </row>
    <row r="445" spans="2:22" ht="49.9" customHeight="1">
      <c r="B445" s="2272" t="str">
        <f>IF(Perfiles_usuario!B72=0,"",Perfiles_usuario!B72)</f>
        <v/>
      </c>
      <c r="C445" s="2259"/>
      <c r="D445" s="756" t="str">
        <f>IF(Perfiles_usuario!D72=0,"",Perfiles_usuario!D72)</f>
        <v/>
      </c>
      <c r="E445" s="756" t="str">
        <f>IF(Perfiles_usuario!D72=0,"",Perfiles_usuario!F72)</f>
        <v/>
      </c>
      <c r="F445" s="756" t="str">
        <f>IF(Perfiles_usuario!D72=0,"","incluidas")</f>
        <v/>
      </c>
      <c r="G445" s="756" t="str">
        <f>IF(Perfiles_usuario!D72=0,"","incluidos")</f>
        <v/>
      </c>
      <c r="H445" s="1517" t="str">
        <f t="shared" si="1"/>
        <v/>
      </c>
      <c r="I445" s="2259" t="str">
        <f>IF(Perfiles_usuario!D72=0,"",Perfiles_usuario!H72)</f>
        <v/>
      </c>
      <c r="J445" s="2259"/>
      <c r="K445" s="756" t="str">
        <f>IF(Perfiles_usuario!J72=0,"",Perfiles_usuario!J72)</f>
        <v/>
      </c>
      <c r="L445" s="756" t="str">
        <f>IF(Perfiles_usuario!D72=0,"",IF(Perfiles_usuario!N72="","No",Perfiles_usuario!N72))</f>
        <v/>
      </c>
      <c r="M445" s="699" t="str">
        <f>IF(Perfiles_usuario!D72=0,"",Perfiles_usuario!P72)</f>
        <v/>
      </c>
      <c r="N445" s="699" t="str">
        <f>IF(Perfiles_usuario!D72=0,"",Perfiles_usuario!R72)</f>
        <v/>
      </c>
      <c r="O445" s="700" t="str">
        <f>IF(Perfiles_usuario!D72=0,"",Perfiles_usuario!V72)</f>
        <v/>
      </c>
      <c r="P445" s="700" t="str">
        <f>IF(Perfiles_usuario!D72=0,"",Perfiles_usuario!X72)</f>
        <v/>
      </c>
      <c r="Q445" s="699" t="str">
        <f>IF(Perfiles_usuario!$D72=0,"",Perfiles_usuario!Z72)</f>
        <v/>
      </c>
      <c r="R445" s="699" t="str">
        <f>IF(Perfiles_usuario!$D72=0,"",Perfiles_usuario!AB72)</f>
        <v/>
      </c>
      <c r="S445" s="700" t="str">
        <f>IF(Perfiles_usuario!$D72=0,"",Perfiles_usuario!AD72)</f>
        <v/>
      </c>
      <c r="T445" s="699" t="str">
        <f>IF(Perfiles_usuario!D72=0,"",Perfiles_usuario!AF72)</f>
        <v/>
      </c>
      <c r="U445" s="701" t="str">
        <f>IF(Perfiles_usuario!D72=0,"",Perfiles_usuario!AH72)</f>
        <v/>
      </c>
      <c r="V445" s="441"/>
    </row>
    <row r="446" spans="2:22" ht="49.9" customHeight="1">
      <c r="B446" s="2272" t="str">
        <f>IF(Perfiles_usuario!B74=0,"",Perfiles_usuario!B74)</f>
        <v/>
      </c>
      <c r="C446" s="2259"/>
      <c r="D446" s="756" t="str">
        <f>IF(Perfiles_usuario!D74=0,"",Perfiles_usuario!D74)</f>
        <v/>
      </c>
      <c r="E446" s="756" t="str">
        <f>IF(Perfiles_usuario!D74=0,"",Perfiles_usuario!F74)</f>
        <v/>
      </c>
      <c r="F446" s="756" t="str">
        <f>IF(Perfiles_usuario!D74=0,"","incluidas")</f>
        <v/>
      </c>
      <c r="G446" s="756" t="str">
        <f>IF(Perfiles_usuario!D74=0,"","incluidos")</f>
        <v/>
      </c>
      <c r="H446" s="1517" t="str">
        <f t="shared" si="1"/>
        <v/>
      </c>
      <c r="I446" s="2259" t="str">
        <f>IF(Perfiles_usuario!D74=0,"",Perfiles_usuario!H74)</f>
        <v/>
      </c>
      <c r="J446" s="2259"/>
      <c r="K446" s="756" t="str">
        <f>IF(Perfiles_usuario!J74=0,"",Perfiles_usuario!J74)</f>
        <v/>
      </c>
      <c r="L446" s="756" t="str">
        <f>IF(Perfiles_usuario!D74=0,"",IF(Perfiles_usuario!N74="","No",Perfiles_usuario!N74))</f>
        <v/>
      </c>
      <c r="M446" s="699" t="str">
        <f>IF(Perfiles_usuario!D74=0,"",Perfiles_usuario!P74)</f>
        <v/>
      </c>
      <c r="N446" s="699" t="str">
        <f>IF(Perfiles_usuario!D74=0,"",Perfiles_usuario!R74)</f>
        <v/>
      </c>
      <c r="O446" s="700" t="str">
        <f>IF(Perfiles_usuario!D74=0,"",Perfiles_usuario!V74)</f>
        <v/>
      </c>
      <c r="P446" s="700" t="str">
        <f>IF(Perfiles_usuario!D74=0,"",Perfiles_usuario!X74)</f>
        <v/>
      </c>
      <c r="Q446" s="699" t="str">
        <f>IF(Perfiles_usuario!$D74=0,"",Perfiles_usuario!Z74)</f>
        <v/>
      </c>
      <c r="R446" s="699" t="str">
        <f>IF(Perfiles_usuario!$D74=0,"",Perfiles_usuario!AB74)</f>
        <v/>
      </c>
      <c r="S446" s="700" t="str">
        <f>IF(Perfiles_usuario!$D74=0,"",Perfiles_usuario!AD74)</f>
        <v/>
      </c>
      <c r="T446" s="699" t="str">
        <f>IF(Perfiles_usuario!D74=0,"",Perfiles_usuario!AF74)</f>
        <v/>
      </c>
      <c r="U446" s="701" t="str">
        <f>IF(Perfiles_usuario!D74=0,"",Perfiles_usuario!AH74)</f>
        <v/>
      </c>
      <c r="V446" s="441"/>
    </row>
    <row r="447" spans="2:22" ht="49.9" customHeight="1">
      <c r="B447" s="2272" t="str">
        <f>IF(Perfiles_usuario!B76=0,"",Perfiles_usuario!B76)</f>
        <v/>
      </c>
      <c r="C447" s="2259"/>
      <c r="D447" s="756" t="str">
        <f>IF(Perfiles_usuario!D76=0,"",Perfiles_usuario!D76)</f>
        <v/>
      </c>
      <c r="E447" s="756" t="str">
        <f>IF(Perfiles_usuario!D76=0,"",Perfiles_usuario!F76)</f>
        <v/>
      </c>
      <c r="F447" s="756" t="str">
        <f>IF(Perfiles_usuario!D76=0,"","incluidas")</f>
        <v/>
      </c>
      <c r="G447" s="756" t="str">
        <f>IF(Perfiles_usuario!D76=0,"","incluidos")</f>
        <v/>
      </c>
      <c r="H447" s="1517" t="str">
        <f t="shared" si="1"/>
        <v/>
      </c>
      <c r="I447" s="2259" t="str">
        <f>IF(Perfiles_usuario!D76=0,"",Perfiles_usuario!H76)</f>
        <v/>
      </c>
      <c r="J447" s="2259"/>
      <c r="K447" s="756" t="str">
        <f>IF(Perfiles_usuario!J76=0,"",Perfiles_usuario!J76)</f>
        <v/>
      </c>
      <c r="L447" s="756" t="str">
        <f>IF(Perfiles_usuario!D76=0,"",IF(Perfiles_usuario!N76="","No",Perfiles_usuario!N76))</f>
        <v/>
      </c>
      <c r="M447" s="699" t="str">
        <f>IF(Perfiles_usuario!D76=0,"",Perfiles_usuario!P76)</f>
        <v/>
      </c>
      <c r="N447" s="699" t="str">
        <f>IF(Perfiles_usuario!D76=0,"",Perfiles_usuario!R76)</f>
        <v/>
      </c>
      <c r="O447" s="700" t="str">
        <f>IF(Perfiles_usuario!D76=0,"",Perfiles_usuario!V76)</f>
        <v/>
      </c>
      <c r="P447" s="700" t="str">
        <f>IF(Perfiles_usuario!D76=0,"",Perfiles_usuario!X76)</f>
        <v/>
      </c>
      <c r="Q447" s="699" t="str">
        <f>IF(Perfiles_usuario!$D76=0,"",Perfiles_usuario!Z76)</f>
        <v/>
      </c>
      <c r="R447" s="699" t="str">
        <f>IF(Perfiles_usuario!$D76=0,"",Perfiles_usuario!AB76)</f>
        <v/>
      </c>
      <c r="S447" s="700" t="str">
        <f>IF(Perfiles_usuario!$D76=0,"",Perfiles_usuario!AD76)</f>
        <v/>
      </c>
      <c r="T447" s="699" t="str">
        <f>IF(Perfiles_usuario!D76=0,"",Perfiles_usuario!AF76)</f>
        <v/>
      </c>
      <c r="U447" s="701" t="str">
        <f>IF(Perfiles_usuario!D76=0,"",Perfiles_usuario!AH76)</f>
        <v/>
      </c>
      <c r="V447" s="441"/>
    </row>
    <row r="448" spans="2:22" ht="7.15" customHeight="1"/>
    <row r="449" spans="1:22" ht="35.25" customHeight="1">
      <c r="B449" s="2452" t="s">
        <v>721</v>
      </c>
      <c r="C449" s="2453"/>
      <c r="D449" s="702">
        <f>Perfiles_usuario!D79</f>
        <v>0</v>
      </c>
      <c r="E449" s="703">
        <f>Perfiles_usuario!F79</f>
        <v>0</v>
      </c>
      <c r="I449" s="2571" t="s">
        <v>680</v>
      </c>
      <c r="J449" s="2571"/>
      <c r="K449" s="2571"/>
      <c r="L449" s="2571"/>
      <c r="M449" s="2572"/>
      <c r="N449" s="789">
        <f>Perfiles_usuario!R78</f>
        <v>0</v>
      </c>
      <c r="P449" s="2300" t="s">
        <v>803</v>
      </c>
      <c r="S449" s="2300" t="s">
        <v>812</v>
      </c>
      <c r="U449" s="705"/>
    </row>
    <row r="450" spans="1:22" ht="38.25" customHeight="1">
      <c r="B450" s="2573" t="s">
        <v>722</v>
      </c>
      <c r="C450" s="2574"/>
      <c r="D450" s="702">
        <f>Perfiles_usuario!D81</f>
        <v>3</v>
      </c>
      <c r="E450" s="703">
        <f>Perfiles_usuario!F81</f>
        <v>3</v>
      </c>
      <c r="P450" s="2300"/>
      <c r="Q450" s="706"/>
      <c r="R450" s="705"/>
      <c r="S450" s="2306"/>
      <c r="U450" s="705"/>
    </row>
    <row r="451" spans="1:22" ht="25.9" customHeight="1">
      <c r="F451" s="561"/>
      <c r="G451" s="561"/>
      <c r="H451" s="561"/>
      <c r="I451" s="2299"/>
      <c r="J451" s="2299"/>
      <c r="K451" s="2301" t="s">
        <v>802</v>
      </c>
      <c r="L451" s="2301"/>
      <c r="M451" s="2302"/>
      <c r="N451" s="707">
        <f>Perfiles_usuario!R82</f>
        <v>194</v>
      </c>
      <c r="O451" s="708"/>
      <c r="P451" s="709">
        <f>Perfiles_usuario!$X$78</f>
        <v>0.1</v>
      </c>
      <c r="Q451" s="762" t="s">
        <v>804</v>
      </c>
      <c r="R451" s="707">
        <f>Perfiles_usuario!AB82</f>
        <v>174.60000000000002</v>
      </c>
      <c r="S451" s="711">
        <f>Perfiles_usuario!AD78</f>
        <v>0.1</v>
      </c>
      <c r="T451" s="762" t="s">
        <v>805</v>
      </c>
      <c r="U451" s="755">
        <f>Perfiles_usuario!AH82</f>
        <v>155.20000000000005</v>
      </c>
    </row>
    <row r="452" spans="1:22" s="470" customFormat="1" ht="31.5" customHeight="1">
      <c r="B452" s="2273" t="s">
        <v>679</v>
      </c>
      <c r="C452" s="2274"/>
      <c r="D452" s="713">
        <f>SUM(D433:D447)+SUM(D449:D450)</f>
        <v>8</v>
      </c>
      <c r="E452" s="714">
        <f>SUM(E433:E447)+SUM(E449:E450)</f>
        <v>6</v>
      </c>
      <c r="N452" s="2422" t="str">
        <f>IF(Perfiles_usuario!$R$83="Aplica consumo mínimo","Estos totales incluyen la aplicación de consumos mínimos pues el total de facturación estimada no alcanza el mínimo exigido","")</f>
        <v/>
      </c>
      <c r="O452" s="2422"/>
      <c r="P452" s="2422"/>
      <c r="Q452" s="2422"/>
      <c r="R452" s="2422"/>
      <c r="S452" s="2422"/>
      <c r="T452" s="2422"/>
      <c r="U452" s="2422"/>
    </row>
    <row r="453" spans="1:22" ht="33" customHeight="1">
      <c r="B453" s="2465" t="s">
        <v>820</v>
      </c>
      <c r="C453" s="2465"/>
      <c r="D453" s="2465"/>
      <c r="E453" s="2465"/>
      <c r="F453" s="2465"/>
      <c r="G453" s="2465"/>
      <c r="H453" s="2465"/>
      <c r="I453" s="2465"/>
      <c r="J453" s="2465"/>
      <c r="K453" s="2465"/>
      <c r="L453" s="2465"/>
      <c r="M453" s="2465"/>
      <c r="N453" s="2465"/>
      <c r="O453" s="2465"/>
      <c r="P453" s="2465"/>
      <c r="Q453" s="2465"/>
      <c r="R453" s="2465"/>
      <c r="S453" s="2465"/>
      <c r="T453" s="2465"/>
      <c r="U453" s="2465"/>
    </row>
    <row r="454" spans="1:22" ht="15.75">
      <c r="M454" s="476" t="s">
        <v>1394</v>
      </c>
      <c r="R454" s="477" t="s">
        <v>692</v>
      </c>
      <c r="S454" s="478" t="str">
        <f>$E$31</f>
        <v>ILF5_90FCOSCP_B114CAGR43006</v>
      </c>
      <c r="T454" s="470"/>
      <c r="U454" s="470"/>
      <c r="V454" s="470"/>
    </row>
    <row r="455" spans="1:22" ht="22.9" customHeight="1">
      <c r="B455" s="522"/>
      <c r="C455" s="769"/>
      <c r="D455" s="561"/>
      <c r="E455" s="561"/>
      <c r="F455" s="561"/>
      <c r="G455" s="586"/>
      <c r="H455" s="586"/>
      <c r="I455" s="586"/>
      <c r="J455" s="586"/>
      <c r="K455" s="587"/>
      <c r="L455" s="587"/>
      <c r="M455" s="587"/>
      <c r="N455" s="587"/>
      <c r="O455" s="587"/>
      <c r="P455" s="587"/>
      <c r="Q455" s="561"/>
      <c r="R455" s="561"/>
      <c r="S455" s="441"/>
      <c r="T455" s="441"/>
      <c r="U455" s="588"/>
      <c r="V455" s="441"/>
    </row>
    <row r="456" spans="1:22" ht="11.45" customHeight="1">
      <c r="B456" s="522"/>
      <c r="C456" s="769"/>
      <c r="D456" s="561"/>
      <c r="E456" s="561"/>
      <c r="F456" s="561"/>
      <c r="G456" s="586"/>
      <c r="H456" s="586"/>
      <c r="I456" s="586"/>
      <c r="J456" s="586"/>
      <c r="K456" s="587"/>
      <c r="L456" s="587"/>
      <c r="M456" s="587"/>
      <c r="N456" s="587"/>
      <c r="O456" s="587"/>
      <c r="P456" s="587"/>
      <c r="Q456" s="561"/>
      <c r="R456" s="561"/>
      <c r="S456" s="441"/>
      <c r="T456" s="441"/>
      <c r="U456" s="588"/>
      <c r="V456" s="441"/>
    </row>
    <row r="457" spans="1:22">
      <c r="H457" s="436" t="s">
        <v>690</v>
      </c>
      <c r="I457" s="420"/>
      <c r="K457" s="420"/>
      <c r="L457" s="437" t="str">
        <f>$B$11</f>
        <v>INMOBILIARIA SERVIGESTION</v>
      </c>
      <c r="S457" s="420"/>
      <c r="T457" s="420"/>
      <c r="V457" s="437"/>
    </row>
    <row r="458" spans="1:22">
      <c r="A458" s="420"/>
      <c r="B458" s="420"/>
      <c r="C458" s="420"/>
      <c r="D458" s="420"/>
      <c r="E458" s="420"/>
      <c r="F458" s="420"/>
      <c r="G458" s="420"/>
      <c r="H458" s="420"/>
      <c r="I458" s="420"/>
      <c r="J458" s="420"/>
      <c r="K458" s="420"/>
      <c r="L458" s="420"/>
      <c r="M458" s="420"/>
      <c r="N458" s="420"/>
      <c r="O458" s="420"/>
      <c r="P458" s="420"/>
      <c r="Q458" s="420"/>
      <c r="R458" s="420"/>
      <c r="S458" s="420"/>
      <c r="T458" s="420"/>
      <c r="U458" s="420"/>
      <c r="V458" s="420"/>
    </row>
    <row r="459" spans="1:22">
      <c r="A459" s="420"/>
      <c r="B459" s="420"/>
      <c r="C459" s="420"/>
      <c r="D459" s="420"/>
      <c r="E459" s="420"/>
      <c r="F459" s="420"/>
      <c r="G459" s="420"/>
      <c r="H459" s="420"/>
      <c r="I459" s="420"/>
      <c r="J459" s="420"/>
      <c r="K459" s="420"/>
      <c r="L459" s="420"/>
      <c r="M459" s="420"/>
      <c r="N459" s="420"/>
      <c r="O459" s="420"/>
      <c r="P459" s="420"/>
      <c r="Q459" s="420"/>
      <c r="R459" s="420"/>
      <c r="S459" s="420"/>
      <c r="T459" s="420"/>
      <c r="U459" s="420"/>
      <c r="V459" s="420"/>
    </row>
    <row r="460" spans="1:22" ht="34.5">
      <c r="A460" s="420"/>
      <c r="B460" s="2268" t="s">
        <v>461</v>
      </c>
      <c r="C460" s="2268"/>
      <c r="D460" s="2268"/>
      <c r="E460" s="2268"/>
      <c r="F460" s="2268"/>
      <c r="G460" s="2268"/>
      <c r="H460" s="2268"/>
      <c r="I460" s="2268"/>
      <c r="J460" s="2268"/>
      <c r="K460" s="2268"/>
      <c r="L460" s="2268"/>
      <c r="M460" s="2268"/>
      <c r="N460" s="2268"/>
      <c r="O460" s="2268"/>
      <c r="P460" s="2268"/>
      <c r="Q460" s="2268"/>
      <c r="R460" s="2268"/>
      <c r="S460" s="2268"/>
      <c r="T460" s="2268"/>
      <c r="U460" s="2268"/>
      <c r="V460" s="420"/>
    </row>
    <row r="461" spans="1:22" ht="22.9" customHeight="1">
      <c r="A461" s="420"/>
      <c r="B461" s="2269" t="s">
        <v>876</v>
      </c>
      <c r="C461" s="2269"/>
      <c r="D461" s="2269"/>
      <c r="E461" s="2269"/>
      <c r="F461" s="2269"/>
      <c r="G461" s="2269"/>
      <c r="H461" s="2269"/>
      <c r="I461" s="2269"/>
      <c r="J461" s="2269"/>
      <c r="K461" s="2269"/>
      <c r="L461" s="2269"/>
      <c r="M461" s="2269"/>
      <c r="N461" s="2269"/>
      <c r="O461" s="2269"/>
      <c r="P461" s="2269"/>
      <c r="Q461" s="2269"/>
      <c r="R461" s="2269"/>
      <c r="S461" s="2269"/>
      <c r="T461" s="2269"/>
      <c r="U461" s="2269"/>
      <c r="V461" s="420"/>
    </row>
    <row r="462" spans="1:22" ht="9.75" customHeight="1">
      <c r="A462" s="420"/>
      <c r="B462" s="757"/>
      <c r="C462" s="757"/>
      <c r="D462" s="757"/>
      <c r="E462" s="757"/>
      <c r="F462" s="757"/>
      <c r="G462" s="757"/>
      <c r="H462" s="757"/>
      <c r="I462" s="757"/>
      <c r="J462" s="757"/>
      <c r="K462" s="757"/>
      <c r="L462" s="757"/>
      <c r="M462" s="757"/>
      <c r="N462" s="757"/>
      <c r="O462" s="757"/>
      <c r="P462" s="757"/>
      <c r="Q462" s="757"/>
      <c r="R462" s="757"/>
      <c r="S462" s="757"/>
      <c r="T462" s="757"/>
      <c r="U462" s="757"/>
      <c r="V462" s="420"/>
    </row>
    <row r="463" spans="1:22" ht="22.15" customHeight="1">
      <c r="A463" s="420"/>
      <c r="B463" s="2279" t="s">
        <v>408</v>
      </c>
      <c r="C463" s="2279"/>
      <c r="D463" s="2279"/>
      <c r="E463" s="2279"/>
      <c r="F463" s="2279"/>
      <c r="G463" s="2279"/>
      <c r="H463" s="2279"/>
      <c r="I463" s="2279"/>
      <c r="J463" s="2279"/>
      <c r="K463" s="2279"/>
      <c r="L463" s="2279"/>
      <c r="M463" s="2279"/>
      <c r="N463" s="2279"/>
      <c r="O463" s="2279"/>
      <c r="P463" s="2279"/>
      <c r="Q463" s="2279"/>
      <c r="R463" s="2279"/>
      <c r="S463" s="2279"/>
      <c r="T463" s="2279"/>
      <c r="U463" s="2279"/>
      <c r="V463" s="420"/>
    </row>
    <row r="464" spans="1:22" ht="22.9" customHeight="1">
      <c r="B464" s="2251" t="s">
        <v>466</v>
      </c>
      <c r="C464" s="2251"/>
      <c r="D464" s="2251"/>
      <c r="E464" s="2251"/>
      <c r="F464" s="2251"/>
      <c r="G464" s="2251"/>
      <c r="H464" s="2251"/>
      <c r="I464" s="2251"/>
      <c r="J464" s="2251"/>
      <c r="K464" s="2251"/>
      <c r="L464" s="2251"/>
      <c r="M464" s="2251"/>
      <c r="N464" s="2251"/>
      <c r="O464" s="2251"/>
      <c r="P464" s="2251"/>
      <c r="Q464" s="2251"/>
      <c r="R464" s="2251"/>
      <c r="S464" s="2251"/>
      <c r="T464" s="2251"/>
      <c r="U464" s="2251"/>
      <c r="V464" s="441"/>
    </row>
    <row r="465" spans="2:22" ht="10.9" customHeight="1">
      <c r="B465" s="715"/>
      <c r="C465" s="715"/>
      <c r="D465" s="715"/>
      <c r="E465" s="715"/>
      <c r="F465" s="715"/>
      <c r="G465" s="715"/>
      <c r="H465" s="715"/>
      <c r="I465" s="715"/>
      <c r="J465" s="715"/>
      <c r="K465" s="715"/>
      <c r="L465" s="715"/>
      <c r="M465" s="715"/>
      <c r="N465" s="715"/>
      <c r="O465" s="715"/>
      <c r="P465" s="715"/>
      <c r="Q465" s="715"/>
      <c r="R465" s="715"/>
      <c r="S465" s="715"/>
      <c r="T465" s="715"/>
      <c r="U465" s="715"/>
      <c r="V465" s="441"/>
    </row>
    <row r="466" spans="2:22" ht="42.6" customHeight="1">
      <c r="B466" s="2534" t="s">
        <v>462</v>
      </c>
      <c r="C466" s="2256"/>
      <c r="D466" s="758" t="s">
        <v>463</v>
      </c>
      <c r="E466" s="2254" t="s">
        <v>1380</v>
      </c>
      <c r="F466" s="2254"/>
      <c r="G466" s="2254"/>
      <c r="H466" s="2254"/>
      <c r="I466" s="2254"/>
      <c r="J466" s="2254"/>
      <c r="K466" s="2254" t="s">
        <v>467</v>
      </c>
      <c r="L466" s="2254"/>
      <c r="M466" s="2254" t="s">
        <v>295</v>
      </c>
      <c r="N466" s="2280"/>
      <c r="V466" s="441"/>
    </row>
    <row r="467" spans="2:22" ht="46.9" customHeight="1">
      <c r="B467" s="2575" t="str">
        <f>IF(Perfiles_usuario!B91=0,"",Perfiles_usuario!B91)</f>
        <v/>
      </c>
      <c r="C467" s="2458"/>
      <c r="D467" s="760" t="str">
        <f>IF(Perfiles_usuario!D91=0,"",Perfiles_usuario!D91)</f>
        <v/>
      </c>
      <c r="E467" s="2282" t="str">
        <f>IF(Perfiles_usuario!D91=0,"",Perfiles_usuario!F91)</f>
        <v/>
      </c>
      <c r="F467" s="2282"/>
      <c r="G467" s="2282"/>
      <c r="H467" s="2282"/>
      <c r="I467" s="2282"/>
      <c r="J467" s="2282"/>
      <c r="K467" s="2292" t="str">
        <f>IF(Perfiles_usuario!D91=0,"",Perfiles_usuario!J91)</f>
        <v/>
      </c>
      <c r="L467" s="2292"/>
      <c r="M467" s="2292" t="str">
        <f>IF(Perfiles_usuario!D91=0,"",Perfiles_usuario!L91)</f>
        <v/>
      </c>
      <c r="N467" s="2293"/>
      <c r="O467" s="522"/>
      <c r="P467" s="522"/>
      <c r="Q467" s="522"/>
      <c r="R467" s="522"/>
      <c r="S467" s="522"/>
      <c r="T467" s="522"/>
      <c r="U467" s="522"/>
      <c r="V467" s="441"/>
    </row>
    <row r="468" spans="2:22" ht="46.9" customHeight="1">
      <c r="B468" s="2460" t="str">
        <f>IF(Perfiles_usuario!B93=0,"",Perfiles_usuario!B93)</f>
        <v/>
      </c>
      <c r="C468" s="2461"/>
      <c r="D468" s="759" t="str">
        <f>IF(Perfiles_usuario!D93=0,"",Perfiles_usuario!D93)</f>
        <v/>
      </c>
      <c r="E468" s="2458" t="str">
        <f>IF(Perfiles_usuario!D93=0,"",Perfiles_usuario!F93)</f>
        <v/>
      </c>
      <c r="F468" s="2458"/>
      <c r="G468" s="2458"/>
      <c r="H468" s="2458"/>
      <c r="I468" s="2458"/>
      <c r="J468" s="2458"/>
      <c r="K468" s="2459" t="str">
        <f>IF(Perfiles_usuario!D93=0,"",Perfiles_usuario!J93)</f>
        <v/>
      </c>
      <c r="L468" s="2459"/>
      <c r="M468" s="2459" t="str">
        <f>IF(Perfiles_usuario!D93=0,"",Perfiles_usuario!L93)</f>
        <v/>
      </c>
      <c r="N468" s="2462"/>
      <c r="O468" s="522"/>
      <c r="P468" s="522"/>
      <c r="Q468" s="522"/>
      <c r="R468" s="522"/>
      <c r="S468" s="522"/>
      <c r="T468" s="522"/>
      <c r="U468" s="522"/>
      <c r="V468" s="441"/>
    </row>
    <row r="469" spans="2:22" ht="46.9" customHeight="1">
      <c r="B469" s="2460" t="str">
        <f>IF(Perfiles_usuario!B95=0,"",Perfiles_usuario!B95)</f>
        <v/>
      </c>
      <c r="C469" s="2461"/>
      <c r="D469" s="759" t="str">
        <f>IF(Perfiles_usuario!D95=0,"",Perfiles_usuario!D95)</f>
        <v/>
      </c>
      <c r="E469" s="2458" t="str">
        <f>IF(Perfiles_usuario!D95=0,"",Perfiles_usuario!F95)</f>
        <v/>
      </c>
      <c r="F469" s="2458"/>
      <c r="G469" s="2458"/>
      <c r="H469" s="2458"/>
      <c r="I469" s="2458"/>
      <c r="J469" s="2458"/>
      <c r="K469" s="2459" t="str">
        <f>IF(Perfiles_usuario!D95=0,"",Perfiles_usuario!J95)</f>
        <v/>
      </c>
      <c r="L469" s="2459"/>
      <c r="M469" s="2459" t="str">
        <f>IF(Perfiles_usuario!D95=0,"",Perfiles_usuario!L95)</f>
        <v/>
      </c>
      <c r="N469" s="2462"/>
      <c r="O469" s="522"/>
      <c r="P469" s="522"/>
      <c r="Q469" s="522"/>
      <c r="R469" s="522"/>
      <c r="S469" s="522"/>
      <c r="T469" s="522"/>
      <c r="U469" s="522"/>
      <c r="V469" s="441"/>
    </row>
    <row r="470" spans="2:22" ht="46.9" customHeight="1">
      <c r="B470" s="2460" t="str">
        <f>IF(Perfiles_usuario!B97=0,"",Perfiles_usuario!B97)</f>
        <v/>
      </c>
      <c r="C470" s="2461"/>
      <c r="D470" s="759" t="str">
        <f>IF(Perfiles_usuario!D97=0,"",Perfiles_usuario!D97)</f>
        <v/>
      </c>
      <c r="E470" s="2458" t="str">
        <f>IF(Perfiles_usuario!D97=0,"",Perfiles_usuario!F97)</f>
        <v/>
      </c>
      <c r="F470" s="2458"/>
      <c r="G470" s="2458"/>
      <c r="H470" s="2458"/>
      <c r="I470" s="2458"/>
      <c r="J470" s="2458"/>
      <c r="K470" s="2459" t="str">
        <f>IF(Perfiles_usuario!D97=0,"",Perfiles_usuario!J97)</f>
        <v/>
      </c>
      <c r="L470" s="2459"/>
      <c r="M470" s="2459" t="str">
        <f>IF(Perfiles_usuario!D97=0,"",Perfiles_usuario!L97)</f>
        <v/>
      </c>
      <c r="N470" s="2462"/>
      <c r="O470" s="522"/>
      <c r="P470" s="522"/>
      <c r="Q470" s="522"/>
      <c r="R470" s="522"/>
      <c r="S470" s="522"/>
      <c r="T470" s="522"/>
      <c r="U470" s="522"/>
      <c r="V470" s="441"/>
    </row>
    <row r="471" spans="2:22" ht="46.9" customHeight="1">
      <c r="B471" s="2460" t="str">
        <f>IF(Perfiles_usuario!B99=0,"",Perfiles_usuario!B99)</f>
        <v/>
      </c>
      <c r="C471" s="2461"/>
      <c r="D471" s="759" t="str">
        <f>IF(Perfiles_usuario!D99=0,"",Perfiles_usuario!D99)</f>
        <v/>
      </c>
      <c r="E471" s="2458" t="str">
        <f>IF(Perfiles_usuario!D99=0,"",Perfiles_usuario!F99)</f>
        <v/>
      </c>
      <c r="F471" s="2458"/>
      <c r="G471" s="2458"/>
      <c r="H471" s="2458"/>
      <c r="I471" s="2458"/>
      <c r="J471" s="2458"/>
      <c r="K471" s="2459" t="str">
        <f>IF(Perfiles_usuario!D99=0,"",Perfiles_usuario!J99)</f>
        <v/>
      </c>
      <c r="L471" s="2459"/>
      <c r="M471" s="2459" t="str">
        <f>IF(Perfiles_usuario!D99=0,"",Perfiles_usuario!L99)</f>
        <v/>
      </c>
      <c r="N471" s="2462"/>
      <c r="O471" s="522"/>
      <c r="P471" s="522"/>
      <c r="Q471" s="522"/>
      <c r="R471" s="522"/>
      <c r="S471" s="522"/>
      <c r="T471" s="522"/>
      <c r="U471" s="522"/>
      <c r="V471" s="441"/>
    </row>
    <row r="472" spans="2:22" ht="9.6" customHeight="1">
      <c r="B472" s="2576"/>
      <c r="C472" s="2576"/>
      <c r="D472" s="767"/>
      <c r="E472" s="2495"/>
      <c r="F472" s="2495"/>
      <c r="G472" s="2495"/>
      <c r="H472" s="2495"/>
      <c r="I472" s="2495"/>
      <c r="J472" s="2495"/>
      <c r="K472" s="2495"/>
      <c r="L472" s="2495"/>
      <c r="M472" s="2495"/>
      <c r="N472" s="2495"/>
      <c r="O472" s="561"/>
      <c r="P472" s="522"/>
      <c r="Q472" s="522"/>
      <c r="R472" s="522"/>
      <c r="S472" s="522"/>
      <c r="T472" s="522"/>
      <c r="U472" s="522"/>
      <c r="V472" s="441"/>
    </row>
    <row r="473" spans="2:22" ht="31.15" customHeight="1">
      <c r="B473" s="2273" t="s">
        <v>683</v>
      </c>
      <c r="C473" s="2274"/>
      <c r="D473" s="719">
        <f>SUM(Perfiles_usuario!D91:D99)</f>
        <v>0</v>
      </c>
      <c r="E473" s="522"/>
      <c r="F473" s="522"/>
      <c r="G473" s="522"/>
      <c r="H473" s="522"/>
      <c r="I473" s="522"/>
      <c r="J473" s="522"/>
      <c r="K473" s="2463" t="s">
        <v>295</v>
      </c>
      <c r="L473" s="2464"/>
      <c r="M473" s="2285" t="str">
        <f>IF(Perfiles_usuario!L101=0,"",Perfiles_usuario!L101)</f>
        <v/>
      </c>
      <c r="N473" s="2286"/>
      <c r="O473" s="522"/>
      <c r="P473" s="522"/>
      <c r="Q473" s="522"/>
      <c r="R473" s="522"/>
      <c r="S473" s="522"/>
      <c r="T473" s="522"/>
      <c r="U473" s="522"/>
      <c r="V473" s="441"/>
    </row>
    <row r="474" spans="2:22" ht="22.9" customHeight="1">
      <c r="B474" s="522"/>
      <c r="C474" s="522"/>
      <c r="D474" s="522"/>
      <c r="E474" s="522"/>
      <c r="F474" s="522"/>
      <c r="G474" s="522"/>
      <c r="H474" s="522"/>
      <c r="I474" s="522"/>
      <c r="J474" s="522"/>
      <c r="K474" s="522"/>
      <c r="L474" s="522"/>
      <c r="M474" s="522"/>
      <c r="N474" s="522"/>
      <c r="O474" s="522"/>
      <c r="P474" s="522"/>
      <c r="Q474" s="522"/>
      <c r="R474" s="522"/>
      <c r="S474" s="522"/>
      <c r="T474" s="522"/>
      <c r="U474" s="522"/>
      <c r="V474" s="441"/>
    </row>
    <row r="475" spans="2:22" ht="33.6" customHeight="1">
      <c r="B475" s="522"/>
      <c r="C475" s="769"/>
      <c r="D475" s="561"/>
      <c r="E475" s="561"/>
      <c r="F475" s="561"/>
      <c r="G475" s="586"/>
      <c r="H475" s="586"/>
      <c r="I475" s="586"/>
      <c r="J475" s="586"/>
      <c r="K475" s="587"/>
      <c r="L475" s="587"/>
      <c r="M475" s="587"/>
      <c r="N475" s="587"/>
      <c r="O475" s="587"/>
      <c r="P475" s="587"/>
      <c r="Q475" s="561"/>
      <c r="R475" s="561"/>
      <c r="S475" s="441"/>
      <c r="T475" s="441"/>
      <c r="U475" s="588"/>
      <c r="V475" s="441"/>
    </row>
    <row r="476" spans="2:22" ht="22.9" customHeight="1">
      <c r="B476" s="2251" t="s">
        <v>983</v>
      </c>
      <c r="C476" s="2251"/>
      <c r="D476" s="2251"/>
      <c r="E476" s="2251"/>
      <c r="F476" s="2251"/>
      <c r="G476" s="2251"/>
      <c r="H476" s="2251"/>
      <c r="I476" s="2251"/>
      <c r="J476" s="2251"/>
      <c r="K476" s="2251"/>
      <c r="L476" s="2251"/>
      <c r="M476" s="2251"/>
      <c r="N476" s="2251"/>
      <c r="O476" s="2251"/>
      <c r="P476" s="2251"/>
      <c r="Q476" s="2251"/>
      <c r="R476" s="2251"/>
      <c r="S476" s="2251"/>
      <c r="T476" s="2251"/>
      <c r="U476" s="2251"/>
      <c r="V476" s="441"/>
    </row>
    <row r="477" spans="2:22" ht="22.9" customHeight="1">
      <c r="B477" s="600"/>
      <c r="C477" s="2442"/>
      <c r="D477" s="2442"/>
      <c r="E477" s="2442"/>
      <c r="F477" s="2442"/>
      <c r="G477" s="2442"/>
      <c r="H477" s="2442"/>
      <c r="I477" s="2442"/>
      <c r="J477" s="2442"/>
      <c r="K477" s="601"/>
      <c r="L477" s="601"/>
      <c r="M477" s="601"/>
      <c r="N477" s="601"/>
      <c r="O477" s="601"/>
      <c r="P477" s="601"/>
      <c r="Q477" s="601"/>
      <c r="R477" s="601"/>
      <c r="S477" s="601"/>
      <c r="T477" s="601"/>
      <c r="U477" s="603"/>
      <c r="V477" s="441"/>
    </row>
    <row r="478" spans="2:22" ht="22.9" customHeight="1">
      <c r="B478" s="495"/>
      <c r="C478" s="2290"/>
      <c r="D478" s="2290"/>
      <c r="E478" s="501"/>
      <c r="F478" s="501"/>
      <c r="G478" s="501"/>
      <c r="H478" s="501"/>
      <c r="I478" s="501"/>
      <c r="J478" s="501"/>
      <c r="K478" s="501"/>
      <c r="L478" s="501"/>
      <c r="M478" s="501"/>
      <c r="N478" s="501"/>
      <c r="O478" s="479"/>
      <c r="P478" s="479"/>
      <c r="Q478" s="501"/>
      <c r="R478" s="501"/>
      <c r="S478" s="501"/>
      <c r="T478" s="501"/>
      <c r="U478" s="502"/>
      <c r="V478" s="441"/>
    </row>
    <row r="479" spans="2:22" ht="22.9" customHeight="1">
      <c r="B479" s="466"/>
      <c r="C479" s="2290" t="s">
        <v>759</v>
      </c>
      <c r="D479" s="2290"/>
      <c r="E479" s="2290" t="s">
        <v>399</v>
      </c>
      <c r="F479" s="2290"/>
      <c r="G479" s="2290"/>
      <c r="H479" s="2290"/>
      <c r="I479" s="2290"/>
      <c r="J479" s="2290"/>
      <c r="K479" s="720"/>
      <c r="L479" s="720"/>
      <c r="M479" s="2290" t="s">
        <v>1867</v>
      </c>
      <c r="N479" s="2290"/>
      <c r="O479" s="2290"/>
      <c r="P479" s="2290"/>
      <c r="Q479" s="2290"/>
      <c r="R479" s="2290"/>
      <c r="S479" s="2290"/>
      <c r="T479" s="2290"/>
      <c r="U479" s="721"/>
      <c r="V479" s="441"/>
    </row>
    <row r="480" spans="2:22" ht="65.45" customHeight="1">
      <c r="B480" s="466"/>
      <c r="C480" s="2275" t="s">
        <v>984</v>
      </c>
      <c r="D480" s="2275"/>
      <c r="E480" s="2275"/>
      <c r="F480" s="2275"/>
      <c r="G480" s="2275"/>
      <c r="H480" s="2275"/>
      <c r="I480" s="2275"/>
      <c r="J480" s="2275"/>
      <c r="K480" s="501"/>
      <c r="L480" s="501"/>
      <c r="M480" s="2275" t="s">
        <v>1881</v>
      </c>
      <c r="N480" s="2275"/>
      <c r="O480" s="2275"/>
      <c r="P480" s="2275"/>
      <c r="Q480" s="2275"/>
      <c r="R480" s="2275"/>
      <c r="S480" s="2275"/>
      <c r="T480" s="2275"/>
      <c r="U480" s="502"/>
      <c r="V480" s="441"/>
    </row>
    <row r="481" spans="1:22" ht="22.9" customHeight="1">
      <c r="B481" s="496"/>
      <c r="C481" s="441"/>
      <c r="D481" s="524" t="s">
        <v>491</v>
      </c>
      <c r="E481" s="499"/>
      <c r="F481" s="499"/>
      <c r="G481" s="499"/>
      <c r="H481" s="499"/>
      <c r="I481" s="499"/>
      <c r="J481" s="523">
        <v>35</v>
      </c>
      <c r="K481" s="499"/>
      <c r="L481" s="499"/>
      <c r="M481" s="492"/>
      <c r="N481" s="524" t="s">
        <v>491</v>
      </c>
      <c r="O481" s="499"/>
      <c r="P481" s="524"/>
      <c r="Q481" s="441"/>
      <c r="R481" s="499"/>
      <c r="S481" s="728">
        <v>7.35</v>
      </c>
      <c r="T481" s="492"/>
      <c r="U481" s="722"/>
      <c r="V481" s="441"/>
    </row>
    <row r="482" spans="1:22" ht="22.9" customHeight="1">
      <c r="B482" s="500"/>
      <c r="C482" s="499"/>
      <c r="D482" s="499"/>
      <c r="E482" s="499"/>
      <c r="F482" s="499"/>
      <c r="G482" s="499"/>
      <c r="H482" s="499"/>
      <c r="I482" s="499"/>
      <c r="J482" s="499"/>
      <c r="K482" s="499"/>
      <c r="L482" s="499"/>
      <c r="M482" s="499"/>
      <c r="N482" s="723"/>
      <c r="O482" s="724"/>
      <c r="P482" s="725"/>
      <c r="Q482" s="499"/>
      <c r="R482" s="503"/>
      <c r="S482" s="503"/>
      <c r="T482" s="503"/>
      <c r="U482" s="726"/>
      <c r="V482" s="441"/>
    </row>
    <row r="483" spans="1:22" ht="22.9" customHeight="1">
      <c r="B483" s="727"/>
      <c r="C483" s="2290" t="s">
        <v>1213</v>
      </c>
      <c r="D483" s="2290"/>
      <c r="E483" s="2290" t="s">
        <v>399</v>
      </c>
      <c r="F483" s="2290"/>
      <c r="G483" s="2290"/>
      <c r="H483" s="2290"/>
      <c r="I483" s="2290"/>
      <c r="J483" s="2290"/>
      <c r="K483" s="720"/>
      <c r="L483" s="720"/>
      <c r="M483" s="2467" t="s">
        <v>1078</v>
      </c>
      <c r="N483" s="2467"/>
      <c r="O483" s="2467"/>
      <c r="P483" s="2467"/>
      <c r="Q483" s="2467"/>
      <c r="R483" s="2467"/>
      <c r="S483" s="2467"/>
      <c r="T483" s="2467"/>
      <c r="U483" s="721"/>
      <c r="V483" s="441"/>
    </row>
    <row r="484" spans="1:22" ht="90" customHeight="1">
      <c r="B484" s="466"/>
      <c r="C484" s="2275" t="s">
        <v>1883</v>
      </c>
      <c r="D484" s="2275"/>
      <c r="E484" s="2275"/>
      <c r="F484" s="2275"/>
      <c r="G484" s="2275"/>
      <c r="H484" s="2275"/>
      <c r="I484" s="2275"/>
      <c r="J484" s="2275"/>
      <c r="K484" s="501"/>
      <c r="L484" s="501"/>
      <c r="M484" s="2276" t="s">
        <v>1975</v>
      </c>
      <c r="N484" s="2277"/>
      <c r="O484" s="2277"/>
      <c r="P484" s="2277"/>
      <c r="Q484" s="2277"/>
      <c r="R484" s="2277"/>
      <c r="S484" s="2277"/>
      <c r="T484" s="2278"/>
      <c r="U484" s="502"/>
      <c r="V484" s="441"/>
    </row>
    <row r="485" spans="1:22" ht="22.9" customHeight="1">
      <c r="B485" s="496"/>
      <c r="C485" s="441"/>
      <c r="D485" s="524" t="s">
        <v>491</v>
      </c>
      <c r="E485" s="499"/>
      <c r="F485" s="499"/>
      <c r="G485" s="499"/>
      <c r="H485" s="499"/>
      <c r="I485" s="499"/>
      <c r="J485" s="728">
        <v>20.619834710743802</v>
      </c>
      <c r="K485" s="499"/>
      <c r="L485" s="499"/>
      <c r="M485" s="561"/>
      <c r="N485" s="524" t="s">
        <v>491</v>
      </c>
      <c r="O485" s="586"/>
      <c r="P485" s="586"/>
      <c r="Q485" s="441"/>
      <c r="S485" s="728">
        <v>53.64</v>
      </c>
      <c r="T485" s="441"/>
      <c r="U485" s="722"/>
      <c r="V485" s="441"/>
    </row>
    <row r="486" spans="1:22" ht="22.9" customHeight="1">
      <c r="B486" s="515"/>
      <c r="C486" s="488"/>
      <c r="D486" s="516"/>
      <c r="E486" s="517"/>
      <c r="F486" s="517"/>
      <c r="G486" s="517"/>
      <c r="H486" s="517"/>
      <c r="I486" s="517"/>
      <c r="J486" s="518"/>
      <c r="K486" s="517"/>
      <c r="L486" s="517"/>
      <c r="M486" s="517"/>
      <c r="N486" s="516"/>
      <c r="O486" s="517"/>
      <c r="P486" s="516"/>
      <c r="Q486" s="488"/>
      <c r="R486" s="517"/>
      <c r="S486" s="518"/>
      <c r="T486" s="518"/>
      <c r="U486" s="519"/>
      <c r="V486" s="441"/>
    </row>
    <row r="487" spans="1:22" ht="22.9" customHeight="1">
      <c r="B487" s="520" t="s">
        <v>699</v>
      </c>
      <c r="C487" s="441"/>
      <c r="D487" s="480"/>
      <c r="E487" s="499"/>
      <c r="F487" s="499"/>
      <c r="G487" s="499"/>
      <c r="H487" s="499"/>
      <c r="I487" s="499"/>
      <c r="J487" s="523"/>
      <c r="K487" s="499"/>
      <c r="L487" s="499"/>
      <c r="M487" s="524"/>
      <c r="O487" s="499"/>
      <c r="P487" s="524"/>
      <c r="Q487" s="524"/>
      <c r="R487" s="499"/>
      <c r="S487" s="523"/>
      <c r="T487" s="523"/>
      <c r="U487" s="499"/>
      <c r="V487" s="441"/>
    </row>
    <row r="488" spans="1:22" ht="22.9" customHeight="1">
      <c r="A488" s="441"/>
      <c r="B488" s="524"/>
      <c r="C488" s="441"/>
      <c r="D488" s="480"/>
      <c r="E488" s="499"/>
      <c r="F488" s="499"/>
      <c r="G488" s="470"/>
      <c r="H488" s="470"/>
      <c r="I488" s="470"/>
      <c r="J488" s="470"/>
      <c r="K488" s="470"/>
      <c r="L488" s="470"/>
      <c r="M488" s="470"/>
      <c r="N488" s="470"/>
      <c r="O488" s="470"/>
      <c r="P488" s="470"/>
      <c r="Q488" s="524"/>
      <c r="R488" s="499"/>
      <c r="S488" s="523"/>
      <c r="T488" s="523"/>
      <c r="U488" s="499"/>
      <c r="V488" s="441"/>
    </row>
    <row r="489" spans="1:22" ht="22.9" customHeight="1">
      <c r="A489" s="441"/>
      <c r="B489" s="2287" t="s">
        <v>985</v>
      </c>
      <c r="C489" s="2287"/>
      <c r="D489" s="2287"/>
      <c r="E489" s="2287"/>
      <c r="F489" s="2287"/>
      <c r="G489" s="2287"/>
      <c r="H489" s="2287"/>
      <c r="I489" s="2287"/>
      <c r="J489" s="2287"/>
      <c r="K489" s="2287"/>
      <c r="L489" s="2287"/>
      <c r="M489" s="2287"/>
      <c r="N489" s="2287"/>
      <c r="O489" s="2287"/>
      <c r="P489" s="2287"/>
      <c r="Q489" s="2287"/>
      <c r="R489" s="2287"/>
      <c r="S489" s="2287"/>
      <c r="T489" s="2287"/>
      <c r="U489" s="2287"/>
      <c r="V489" s="441"/>
    </row>
    <row r="490" spans="1:22" ht="22.9" customHeight="1">
      <c r="A490" s="441"/>
      <c r="B490" s="1197"/>
      <c r="C490" s="1195"/>
      <c r="D490" s="1195"/>
      <c r="E490" s="1195"/>
      <c r="F490" s="1195"/>
      <c r="G490" s="1195"/>
      <c r="H490" s="1195"/>
      <c r="I490" s="1195"/>
      <c r="J490" s="1195"/>
      <c r="K490" s="1195"/>
      <c r="L490" s="601"/>
      <c r="M490" s="1195"/>
      <c r="N490" s="1195"/>
      <c r="O490" s="1195"/>
      <c r="P490" s="1195"/>
      <c r="Q490" s="1195"/>
      <c r="R490" s="1195"/>
      <c r="S490" s="1195"/>
      <c r="T490" s="1195"/>
      <c r="U490" s="603"/>
      <c r="V490" s="441"/>
    </row>
    <row r="491" spans="1:22" ht="22.9" customHeight="1">
      <c r="A491" s="441"/>
      <c r="B491" s="495"/>
      <c r="H491" s="2291" t="s">
        <v>1079</v>
      </c>
      <c r="I491" s="2291"/>
      <c r="J491" s="2291"/>
      <c r="K491" s="2291"/>
      <c r="L491" s="2291"/>
      <c r="M491" s="2291"/>
      <c r="N491" s="2291"/>
      <c r="O491" s="2291"/>
      <c r="U491" s="502"/>
      <c r="V491" s="441"/>
    </row>
    <row r="492" spans="1:22" ht="66.599999999999994" customHeight="1">
      <c r="A492" s="441"/>
      <c r="B492" s="466"/>
      <c r="H492" s="2275" t="s">
        <v>1968</v>
      </c>
      <c r="I492" s="2275"/>
      <c r="J492" s="2275"/>
      <c r="K492" s="2275"/>
      <c r="L492" s="2275"/>
      <c r="M492" s="2275"/>
      <c r="N492" s="2275"/>
      <c r="O492" s="2275"/>
      <c r="U492" s="721"/>
      <c r="V492" s="441"/>
    </row>
    <row r="493" spans="1:22" ht="22.9" customHeight="1">
      <c r="B493" s="466"/>
      <c r="C493" s="808"/>
      <c r="E493" s="561"/>
      <c r="F493" s="561"/>
      <c r="G493" s="586"/>
      <c r="H493" s="524" t="s">
        <v>491</v>
      </c>
      <c r="I493" s="441"/>
      <c r="K493" s="587"/>
      <c r="L493" s="587"/>
      <c r="N493" s="728">
        <v>33.020000000000003</v>
      </c>
      <c r="U493" s="502"/>
      <c r="V493" s="441"/>
    </row>
    <row r="494" spans="1:22" ht="22.9" customHeight="1">
      <c r="B494" s="515"/>
      <c r="C494" s="488"/>
      <c r="D494" s="488"/>
      <c r="E494" s="488"/>
      <c r="F494" s="488"/>
      <c r="G494" s="488"/>
      <c r="H494" s="488"/>
      <c r="I494" s="488"/>
      <c r="J494" s="488"/>
      <c r="K494" s="488"/>
      <c r="L494" s="488"/>
      <c r="M494" s="488"/>
      <c r="N494" s="488"/>
      <c r="O494" s="488"/>
      <c r="P494" s="488"/>
      <c r="Q494" s="488"/>
      <c r="R494" s="488"/>
      <c r="S494" s="488"/>
      <c r="T494" s="488"/>
      <c r="U494" s="519"/>
      <c r="V494" s="441"/>
    </row>
    <row r="495" spans="1:22" ht="22.9" customHeight="1">
      <c r="B495" s="520" t="s">
        <v>699</v>
      </c>
      <c r="C495" s="769"/>
      <c r="D495" s="561"/>
      <c r="E495" s="561"/>
      <c r="F495" s="561"/>
      <c r="G495" s="586"/>
      <c r="H495" s="586"/>
      <c r="I495" s="586"/>
      <c r="J495" s="586"/>
      <c r="K495" s="587"/>
      <c r="L495" s="587"/>
      <c r="M495" s="476" t="s">
        <v>1395</v>
      </c>
      <c r="N495" s="587"/>
      <c r="O495" s="587"/>
      <c r="P495" s="587"/>
      <c r="Q495" s="561"/>
      <c r="R495" s="477" t="s">
        <v>692</v>
      </c>
      <c r="S495" s="478" t="str">
        <f>$E$31</f>
        <v>ILF5_90FCOSCP_B114CAGR43006</v>
      </c>
      <c r="T495" s="441"/>
      <c r="U495" s="588"/>
      <c r="V495" s="441"/>
    </row>
    <row r="496" spans="1:22" ht="16.899999999999999" customHeight="1">
      <c r="B496" s="522"/>
      <c r="C496" s="585"/>
      <c r="D496" s="584"/>
      <c r="E496" s="584"/>
      <c r="F496" s="584"/>
      <c r="G496" s="586"/>
      <c r="H496" s="436"/>
      <c r="I496" s="420"/>
      <c r="K496" s="420"/>
      <c r="L496" s="437"/>
      <c r="M496" s="587"/>
      <c r="N496" s="587"/>
      <c r="O496" s="587"/>
      <c r="P496" s="587"/>
      <c r="Q496" s="561"/>
      <c r="R496" s="561"/>
      <c r="S496" s="441"/>
      <c r="T496" s="441"/>
      <c r="U496" s="588"/>
      <c r="V496" s="441"/>
    </row>
    <row r="497" spans="2:22" ht="19.5">
      <c r="B497" s="522"/>
      <c r="C497" s="585"/>
      <c r="D497" s="584"/>
      <c r="E497" s="584"/>
      <c r="F497" s="584"/>
      <c r="G497" s="586"/>
      <c r="H497" s="436"/>
      <c r="I497" s="420"/>
      <c r="K497" s="420"/>
      <c r="L497" s="437"/>
      <c r="M497" s="587"/>
      <c r="N497" s="587"/>
      <c r="O497" s="587"/>
      <c r="P497" s="587"/>
      <c r="Q497" s="561"/>
      <c r="R497" s="561"/>
      <c r="S497" s="441"/>
      <c r="T497" s="441"/>
      <c r="U497" s="588"/>
      <c r="V497" s="441"/>
    </row>
    <row r="498" spans="2:22">
      <c r="H498" s="436" t="s">
        <v>690</v>
      </c>
      <c r="I498" s="420"/>
      <c r="K498" s="420"/>
      <c r="L498" s="437" t="str">
        <f>$B$11</f>
        <v>INMOBILIARIA SERVIGESTION</v>
      </c>
      <c r="S498" s="420"/>
      <c r="T498" s="420"/>
      <c r="V498" s="441"/>
    </row>
    <row r="499" spans="2:22" ht="22.9" customHeight="1">
      <c r="B499" s="420"/>
      <c r="C499" s="420"/>
      <c r="D499" s="420"/>
      <c r="E499" s="420"/>
      <c r="F499" s="420"/>
      <c r="G499" s="420"/>
      <c r="H499" s="420"/>
      <c r="I499" s="420"/>
      <c r="J499" s="420"/>
      <c r="K499" s="420"/>
      <c r="L499" s="420"/>
      <c r="M499" s="420"/>
      <c r="N499" s="420"/>
      <c r="O499" s="420"/>
      <c r="P499" s="420"/>
      <c r="Q499" s="420"/>
      <c r="R499" s="420"/>
      <c r="S499" s="420"/>
      <c r="T499" s="420"/>
      <c r="U499" s="420"/>
      <c r="V499" s="441"/>
    </row>
    <row r="500" spans="2:22" ht="16.149999999999999" customHeight="1">
      <c r="B500" s="420"/>
      <c r="C500" s="420"/>
      <c r="D500" s="420"/>
      <c r="E500" s="420"/>
      <c r="F500" s="420"/>
      <c r="G500" s="420"/>
      <c r="H500" s="420"/>
      <c r="I500" s="420"/>
      <c r="J500" s="420"/>
      <c r="K500" s="420"/>
      <c r="L500" s="420"/>
      <c r="M500" s="420"/>
      <c r="N500" s="420"/>
      <c r="O500" s="420"/>
      <c r="P500" s="420"/>
      <c r="Q500" s="420"/>
      <c r="R500" s="420"/>
      <c r="S500" s="420"/>
      <c r="T500" s="420"/>
      <c r="U500" s="420"/>
      <c r="V500" s="441"/>
    </row>
    <row r="501" spans="2:22" ht="35.1" customHeight="1">
      <c r="B501" s="2268" t="s">
        <v>461</v>
      </c>
      <c r="C501" s="2268"/>
      <c r="D501" s="2268"/>
      <c r="E501" s="2268"/>
      <c r="F501" s="2268"/>
      <c r="G501" s="2268"/>
      <c r="H501" s="2268"/>
      <c r="I501" s="2268"/>
      <c r="J501" s="2268"/>
      <c r="K501" s="2268"/>
      <c r="L501" s="2268"/>
      <c r="M501" s="2268"/>
      <c r="N501" s="2268"/>
      <c r="O501" s="2268"/>
      <c r="P501" s="2268"/>
      <c r="Q501" s="2268"/>
      <c r="R501" s="2268"/>
      <c r="S501" s="2268"/>
      <c r="T501" s="2268"/>
      <c r="U501" s="2268"/>
      <c r="V501" s="441"/>
    </row>
    <row r="502" spans="2:22" ht="30" customHeight="1">
      <c r="B502" s="2269" t="s">
        <v>1191</v>
      </c>
      <c r="C502" s="2269"/>
      <c r="D502" s="2269"/>
      <c r="E502" s="2269"/>
      <c r="F502" s="2269"/>
      <c r="G502" s="2269"/>
      <c r="H502" s="2269"/>
      <c r="I502" s="2269"/>
      <c r="J502" s="2269"/>
      <c r="K502" s="2269"/>
      <c r="L502" s="2269"/>
      <c r="M502" s="2269"/>
      <c r="N502" s="2269"/>
      <c r="O502" s="2269"/>
      <c r="P502" s="2269"/>
      <c r="Q502" s="2269"/>
      <c r="R502" s="2269"/>
      <c r="S502" s="2269"/>
      <c r="T502" s="2269"/>
      <c r="U502" s="2269"/>
      <c r="V502" s="441"/>
    </row>
    <row r="503" spans="2:22" ht="22.15" customHeight="1">
      <c r="B503" s="1236"/>
      <c r="C503" s="1236"/>
      <c r="D503" s="1236"/>
      <c r="E503" s="1236"/>
      <c r="F503" s="1236"/>
      <c r="G503" s="1236"/>
      <c r="H503" s="1236"/>
      <c r="I503" s="1236"/>
      <c r="J503" s="1236"/>
      <c r="K503" s="1236"/>
      <c r="L503" s="1236"/>
      <c r="M503" s="1236"/>
      <c r="N503" s="1236"/>
      <c r="O503" s="1236"/>
      <c r="P503" s="1236"/>
      <c r="Q503" s="1236"/>
      <c r="R503" s="1236"/>
      <c r="S503" s="1236"/>
      <c r="T503" s="1236"/>
      <c r="U503" s="1236"/>
      <c r="V503" s="441"/>
    </row>
    <row r="504" spans="2:22" ht="61.15" customHeight="1">
      <c r="B504" s="2279" t="s">
        <v>1195</v>
      </c>
      <c r="C504" s="2279"/>
      <c r="D504" s="2279"/>
      <c r="E504" s="2279"/>
      <c r="F504" s="2279"/>
      <c r="G504" s="2279"/>
      <c r="H504" s="2279"/>
      <c r="I504" s="2279"/>
      <c r="J504" s="2279"/>
      <c r="K504" s="2279"/>
      <c r="L504" s="2279"/>
      <c r="M504" s="2279"/>
      <c r="N504" s="2279"/>
      <c r="O504" s="2279"/>
      <c r="P504" s="2279"/>
      <c r="Q504" s="2279"/>
      <c r="R504" s="2279"/>
      <c r="S504" s="2279"/>
      <c r="T504" s="2279"/>
      <c r="U504" s="2279"/>
      <c r="V504" s="441"/>
    </row>
    <row r="505" spans="2:22" ht="22.5" customHeight="1">
      <c r="B505" s="2251" t="s">
        <v>1196</v>
      </c>
      <c r="C505" s="2251"/>
      <c r="D505" s="2251"/>
      <c r="E505" s="2251"/>
      <c r="F505" s="2251"/>
      <c r="G505" s="2251"/>
      <c r="H505" s="2251"/>
      <c r="I505" s="2251"/>
      <c r="J505" s="2251"/>
      <c r="K505" s="2251"/>
      <c r="L505" s="2251"/>
      <c r="M505" s="2251"/>
      <c r="N505" s="2251"/>
      <c r="O505" s="2251"/>
      <c r="P505" s="2251"/>
      <c r="Q505" s="2251"/>
      <c r="R505" s="2251"/>
      <c r="S505" s="2251"/>
      <c r="T505" s="2251"/>
      <c r="U505" s="2251"/>
      <c r="V505" s="441"/>
    </row>
    <row r="506" spans="2:22" ht="29.45" customHeight="1">
      <c r="B506" s="902"/>
      <c r="C506" s="902"/>
      <c r="D506" s="902"/>
      <c r="E506" s="902"/>
      <c r="F506" s="902"/>
      <c r="G506" s="902"/>
      <c r="H506" s="902"/>
      <c r="I506" s="902"/>
      <c r="J506" s="902"/>
      <c r="K506" s="902"/>
      <c r="L506" s="902"/>
      <c r="M506" s="902"/>
      <c r="N506" s="902"/>
      <c r="O506" s="902"/>
      <c r="P506" s="902"/>
      <c r="Q506" s="902"/>
      <c r="R506" s="902"/>
      <c r="S506" s="902"/>
      <c r="T506" s="902"/>
      <c r="U506" s="902"/>
      <c r="V506" s="441"/>
    </row>
    <row r="507" spans="2:22" ht="42" customHeight="1">
      <c r="B507" s="2253" t="s">
        <v>462</v>
      </c>
      <c r="C507" s="2254"/>
      <c r="D507" s="1238" t="s">
        <v>463</v>
      </c>
      <c r="E507" s="2254" t="s">
        <v>875</v>
      </c>
      <c r="F507" s="2254"/>
      <c r="G507" s="2254"/>
      <c r="H507" s="2254"/>
      <c r="I507" s="2254"/>
      <c r="J507" s="2254"/>
      <c r="K507" s="2254" t="s">
        <v>467</v>
      </c>
      <c r="L507" s="2254"/>
      <c r="M507" s="2254" t="s">
        <v>295</v>
      </c>
      <c r="N507" s="2280"/>
      <c r="V507" s="441"/>
    </row>
    <row r="508" spans="2:22" ht="42" customHeight="1">
      <c r="B508" s="2294" t="str">
        <f>IF(Perfiles_usuario!$B$107=0,"",Perfiles_usuario!$B$107)</f>
        <v/>
      </c>
      <c r="C508" s="2295"/>
      <c r="D508" s="1237" t="str">
        <f>IF(Perfiles_usuario!$D$107=0,"",Perfiles_usuario!$D$107)</f>
        <v/>
      </c>
      <c r="E508" s="2282" t="str">
        <f>IF(Perfiles_usuario!$D$107=0,"",Perfiles_usuario!$F$107)</f>
        <v/>
      </c>
      <c r="F508" s="2282"/>
      <c r="G508" s="2282"/>
      <c r="H508" s="2282"/>
      <c r="I508" s="2282"/>
      <c r="J508" s="2282"/>
      <c r="K508" s="2292" t="str">
        <f>IF(Perfiles_usuario!$D$107=0,"",Perfiles_usuario!$J$107)</f>
        <v/>
      </c>
      <c r="L508" s="2292"/>
      <c r="M508" s="2292" t="str">
        <f>IF(Perfiles_usuario!$D$107=0,"",Perfiles_usuario!$L$107)</f>
        <v/>
      </c>
      <c r="N508" s="2293"/>
      <c r="O508" s="522"/>
      <c r="P508" s="522"/>
      <c r="Q508" s="522"/>
      <c r="R508" s="522"/>
      <c r="S508" s="522"/>
      <c r="T508" s="522"/>
      <c r="U508" s="522"/>
      <c r="V508" s="441"/>
    </row>
    <row r="509" spans="2:22" ht="42" customHeight="1">
      <c r="B509" s="2294" t="str">
        <f>IF(Perfiles_usuario!$B$109=0,"",Perfiles_usuario!$B$109)</f>
        <v/>
      </c>
      <c r="C509" s="2295"/>
      <c r="D509" s="1237" t="str">
        <f>IF(Perfiles_usuario!$D$109=0,"",Perfiles_usuario!$D$109)</f>
        <v/>
      </c>
      <c r="E509" s="2282" t="str">
        <f>IF(Perfiles_usuario!$D$109=0,"",Perfiles_usuario!$F$109)</f>
        <v/>
      </c>
      <c r="F509" s="2282"/>
      <c r="G509" s="2282"/>
      <c r="H509" s="2282"/>
      <c r="I509" s="2282"/>
      <c r="J509" s="2282"/>
      <c r="K509" s="2292" t="str">
        <f>IF(Perfiles_usuario!$D$109=0,"",Perfiles_usuario!$J$109)</f>
        <v/>
      </c>
      <c r="L509" s="2292"/>
      <c r="M509" s="2292" t="str">
        <f>IF(Perfiles_usuario!$D$109=0,"",Perfiles_usuario!$L$109)</f>
        <v/>
      </c>
      <c r="N509" s="2293"/>
      <c r="O509" s="522"/>
      <c r="P509" s="522"/>
      <c r="Q509" s="522"/>
      <c r="R509" s="522"/>
      <c r="S509" s="522"/>
      <c r="T509" s="522"/>
      <c r="U509" s="522"/>
      <c r="V509" s="441"/>
    </row>
    <row r="510" spans="2:22" ht="42" customHeight="1">
      <c r="B510" s="2283"/>
      <c r="C510" s="2283"/>
      <c r="D510" s="1245"/>
      <c r="E510" s="2284"/>
      <c r="F510" s="2284"/>
      <c r="G510" s="2284"/>
      <c r="H510" s="2284"/>
      <c r="I510" s="2284"/>
      <c r="J510" s="2284"/>
      <c r="K510" s="2296"/>
      <c r="L510" s="2296"/>
      <c r="M510" s="2296"/>
      <c r="N510" s="2296"/>
      <c r="O510" s="522"/>
      <c r="P510" s="522"/>
      <c r="Q510" s="522"/>
      <c r="R510" s="522"/>
      <c r="S510" s="522"/>
      <c r="T510" s="522"/>
      <c r="U510" s="522"/>
      <c r="V510" s="441"/>
    </row>
    <row r="511" spans="2:22" ht="42" customHeight="1">
      <c r="B511" s="2273" t="s">
        <v>1192</v>
      </c>
      <c r="C511" s="2274"/>
      <c r="D511" s="719">
        <f>SUM(Perfiles_usuario!$D$107:$D$109)</f>
        <v>0</v>
      </c>
      <c r="E511" s="2284"/>
      <c r="F511" s="2284"/>
      <c r="G511" s="2284"/>
      <c r="H511" s="2284"/>
      <c r="I511" s="2284"/>
      <c r="J511" s="2284"/>
      <c r="K511" s="2463" t="s">
        <v>295</v>
      </c>
      <c r="L511" s="2464"/>
      <c r="M511" s="2285" t="str">
        <f>IF(Perfiles_usuario!$L$111=0,"",Perfiles_usuario!$L$111)</f>
        <v/>
      </c>
      <c r="N511" s="2286"/>
      <c r="O511" s="522"/>
      <c r="P511" s="522"/>
      <c r="Q511" s="522"/>
      <c r="R511" s="522"/>
      <c r="S511" s="522"/>
      <c r="T511" s="522"/>
      <c r="U511" s="522"/>
      <c r="V511" s="441"/>
    </row>
    <row r="512" spans="2:22" ht="27.6" customHeight="1">
      <c r="B512" s="522"/>
      <c r="C512" s="585"/>
      <c r="D512" s="584"/>
      <c r="E512" s="584"/>
      <c r="F512" s="584"/>
      <c r="G512" s="586"/>
      <c r="H512" s="436"/>
      <c r="I512" s="420"/>
      <c r="K512" s="420"/>
      <c r="L512" s="437"/>
      <c r="M512" s="587"/>
      <c r="N512" s="587"/>
      <c r="O512" s="587"/>
      <c r="P512" s="587"/>
      <c r="Q512" s="561"/>
      <c r="R512" s="561"/>
      <c r="S512" s="441"/>
      <c r="T512" s="441"/>
      <c r="U512" s="588"/>
      <c r="V512" s="441"/>
    </row>
    <row r="513" spans="2:22" ht="27.6" customHeight="1">
      <c r="B513" s="522"/>
      <c r="C513" s="585"/>
      <c r="D513" s="584"/>
      <c r="E513" s="584"/>
      <c r="F513" s="584"/>
      <c r="G513" s="586"/>
      <c r="H513" s="436"/>
      <c r="I513" s="420"/>
      <c r="K513" s="420"/>
      <c r="L513" s="437"/>
      <c r="M513" s="587"/>
      <c r="N513" s="587"/>
      <c r="O513" s="587"/>
      <c r="P513" s="587"/>
      <c r="Q513" s="561"/>
      <c r="R513" s="561"/>
      <c r="S513" s="441"/>
      <c r="T513" s="441"/>
      <c r="U513" s="588"/>
      <c r="V513" s="441"/>
    </row>
    <row r="514" spans="2:22" ht="27.6" customHeight="1">
      <c r="B514" s="522"/>
      <c r="C514" s="585"/>
      <c r="D514" s="584"/>
      <c r="E514" s="584"/>
      <c r="F514" s="584"/>
      <c r="G514" s="586"/>
      <c r="H514" s="436"/>
      <c r="I514" s="420"/>
      <c r="K514" s="420"/>
      <c r="L514" s="437"/>
      <c r="M514" s="587"/>
      <c r="N514" s="587"/>
      <c r="O514" s="587"/>
      <c r="P514" s="587"/>
      <c r="Q514" s="561"/>
      <c r="R514" s="561"/>
      <c r="S514" s="441"/>
      <c r="T514" s="441"/>
      <c r="U514" s="588"/>
      <c r="V514" s="441"/>
    </row>
    <row r="515" spans="2:22" ht="33.6" customHeight="1">
      <c r="B515" s="522"/>
      <c r="C515" s="585"/>
      <c r="D515" s="584"/>
      <c r="E515" s="584"/>
      <c r="F515" s="584"/>
      <c r="G515" s="586"/>
      <c r="H515" s="436"/>
      <c r="I515" s="420"/>
      <c r="K515" s="420"/>
      <c r="L515" s="437"/>
      <c r="M515" s="587"/>
      <c r="N515" s="587"/>
      <c r="O515" s="587"/>
      <c r="P515" s="587"/>
      <c r="Q515" s="561"/>
      <c r="R515" s="561"/>
      <c r="S515" s="441"/>
      <c r="T515" s="441"/>
      <c r="U515" s="588"/>
      <c r="V515" s="441"/>
    </row>
    <row r="516" spans="2:22" ht="22.9" customHeight="1">
      <c r="V516" s="441"/>
    </row>
    <row r="517" spans="2:22" ht="22.15" customHeight="1">
      <c r="U517" s="588"/>
      <c r="V517" s="441"/>
    </row>
    <row r="518" spans="2:22" ht="22.15" customHeight="1">
      <c r="B518" s="522"/>
      <c r="C518" s="585"/>
      <c r="D518" s="584"/>
      <c r="E518" s="584"/>
      <c r="F518" s="584"/>
      <c r="G518" s="586"/>
      <c r="H518" s="436"/>
      <c r="I518" s="420"/>
      <c r="K518" s="420"/>
      <c r="L518" s="437"/>
      <c r="M518" s="587"/>
      <c r="N518" s="587"/>
      <c r="O518" s="587"/>
      <c r="P518" s="587"/>
      <c r="Q518" s="561"/>
      <c r="R518" s="561"/>
      <c r="S518" s="441"/>
      <c r="T518" s="441"/>
      <c r="U518" s="588"/>
      <c r="V518" s="441"/>
    </row>
    <row r="519" spans="2:22" ht="88.5" customHeight="1">
      <c r="B519" s="2288" t="s">
        <v>1386</v>
      </c>
      <c r="C519" s="2288"/>
      <c r="D519" s="2288"/>
      <c r="E519" s="2288"/>
      <c r="F519" s="2288"/>
      <c r="G519" s="2288"/>
      <c r="H519" s="2288"/>
      <c r="I519" s="2288"/>
      <c r="J519" s="2288"/>
      <c r="K519" s="2288"/>
      <c r="L519" s="2288"/>
      <c r="M519" s="2288"/>
      <c r="N519" s="2288"/>
      <c r="O519" s="2288"/>
      <c r="P519" s="2288"/>
      <c r="Q519" s="2288"/>
      <c r="R519" s="2288"/>
      <c r="S519" s="2288"/>
      <c r="T519" s="2288"/>
      <c r="U519" s="2288"/>
      <c r="V519" s="441"/>
    </row>
    <row r="520" spans="2:22" ht="22.15" customHeight="1">
      <c r="B520" s="522"/>
      <c r="C520" s="585"/>
      <c r="D520" s="584"/>
      <c r="E520" s="584"/>
      <c r="F520" s="584"/>
      <c r="G520" s="586"/>
      <c r="H520" s="436"/>
      <c r="I520" s="420"/>
      <c r="K520" s="420"/>
      <c r="L520" s="437"/>
      <c r="M520" s="587"/>
      <c r="N520" s="587"/>
      <c r="O520" s="587"/>
      <c r="P520" s="587"/>
      <c r="Q520" s="561"/>
      <c r="R520" s="561"/>
      <c r="S520" s="441"/>
      <c r="T520" s="441"/>
      <c r="U520" s="588"/>
      <c r="V520" s="441"/>
    </row>
    <row r="521" spans="2:22" ht="75.75" customHeight="1">
      <c r="B521" s="2288" t="s">
        <v>1193</v>
      </c>
      <c r="C521" s="2288"/>
      <c r="D521" s="2288"/>
      <c r="E521" s="2288"/>
      <c r="F521" s="2288"/>
      <c r="G521" s="2288"/>
      <c r="H521" s="2288"/>
      <c r="I521" s="2288"/>
      <c r="J521" s="2288"/>
      <c r="K521" s="2288"/>
      <c r="L521" s="2288"/>
      <c r="M521" s="2288"/>
      <c r="N521" s="2288"/>
      <c r="O521" s="2288"/>
      <c r="P521" s="2288"/>
      <c r="Q521" s="2288"/>
      <c r="R521" s="2288"/>
      <c r="S521" s="2288"/>
      <c r="T521" s="2288"/>
      <c r="U521" s="2288"/>
      <c r="V521" s="441"/>
    </row>
    <row r="522" spans="2:22" ht="28.15" customHeight="1">
      <c r="B522" s="522"/>
      <c r="K522" s="420"/>
      <c r="L522" s="437"/>
      <c r="U522" s="588"/>
      <c r="V522" s="441"/>
    </row>
    <row r="523" spans="2:22" ht="28.15" customHeight="1">
      <c r="V523" s="441"/>
    </row>
    <row r="524" spans="2:22" ht="45.75" customHeight="1">
      <c r="B524" s="2288" t="s">
        <v>1208</v>
      </c>
      <c r="C524" s="2288"/>
      <c r="D524" s="2288"/>
      <c r="E524" s="2288"/>
      <c r="F524" s="2288"/>
      <c r="G524" s="2288"/>
      <c r="H524" s="2288"/>
      <c r="I524" s="2288"/>
      <c r="J524" s="2288"/>
      <c r="K524" s="2288"/>
      <c r="L524" s="2288"/>
      <c r="M524" s="2288"/>
      <c r="N524" s="2288"/>
      <c r="O524" s="2288"/>
      <c r="P524" s="2288"/>
      <c r="Q524" s="2288"/>
      <c r="R524" s="2288"/>
      <c r="S524" s="2288"/>
      <c r="T524" s="2288"/>
      <c r="U524" s="2288"/>
      <c r="V524" s="441"/>
    </row>
    <row r="525" spans="2:22" ht="28.15" customHeight="1">
      <c r="B525" s="522"/>
      <c r="K525" s="420"/>
      <c r="T525" s="441"/>
      <c r="U525" s="588"/>
      <c r="V525" s="441"/>
    </row>
    <row r="526" spans="2:22" ht="28.15" customHeight="1">
      <c r="B526" s="522"/>
      <c r="K526" s="420"/>
      <c r="L526" s="437"/>
      <c r="M526" s="587"/>
      <c r="N526" s="587"/>
      <c r="O526" s="587"/>
      <c r="P526" s="587"/>
      <c r="Q526" s="561"/>
      <c r="R526" s="561"/>
      <c r="S526" s="441"/>
      <c r="T526" s="441"/>
      <c r="U526" s="588"/>
      <c r="V526" s="441"/>
    </row>
    <row r="527" spans="2:22" ht="28.15" customHeight="1">
      <c r="B527" s="522"/>
      <c r="C527" s="2579" t="s">
        <v>1198</v>
      </c>
      <c r="D527" s="2579"/>
      <c r="E527" s="2579" t="s">
        <v>399</v>
      </c>
      <c r="F527" s="2579"/>
      <c r="G527" s="2579"/>
      <c r="H527" s="2579"/>
      <c r="I527" s="2579"/>
      <c r="J527" s="2579"/>
      <c r="K527" s="420"/>
      <c r="L527" s="1246">
        <v>15</v>
      </c>
      <c r="M527" s="587"/>
      <c r="N527" s="587"/>
      <c r="O527" s="587"/>
      <c r="P527" s="587"/>
      <c r="Q527" s="561"/>
      <c r="R527" s="561"/>
      <c r="S527" s="441"/>
      <c r="T527" s="441"/>
      <c r="U527" s="588"/>
      <c r="V527" s="441"/>
    </row>
    <row r="528" spans="2:22" ht="28.15" customHeight="1">
      <c r="B528" s="522"/>
      <c r="C528" s="585"/>
      <c r="D528" s="584"/>
      <c r="E528" s="584"/>
      <c r="F528" s="584"/>
      <c r="G528" s="586"/>
      <c r="H528" s="436"/>
      <c r="I528" s="420"/>
      <c r="K528" s="420"/>
      <c r="L528" s="437"/>
      <c r="M528" s="587"/>
      <c r="N528" s="587"/>
      <c r="O528" s="587"/>
      <c r="P528" s="587"/>
      <c r="Q528" s="561"/>
      <c r="R528" s="561"/>
      <c r="S528" s="441"/>
      <c r="T528" s="441"/>
      <c r="U528" s="588"/>
      <c r="V528" s="441"/>
    </row>
    <row r="529" spans="1:22" ht="28.15" customHeight="1">
      <c r="B529" s="522"/>
      <c r="C529" s="1240"/>
      <c r="D529" s="1241"/>
      <c r="E529" s="1241"/>
      <c r="F529" s="1241"/>
      <c r="G529" s="1242"/>
      <c r="H529" s="1243"/>
      <c r="I529" s="1244"/>
      <c r="J529" s="1239"/>
      <c r="K529" s="420"/>
      <c r="L529" s="437"/>
      <c r="M529" s="587"/>
      <c r="N529" s="587"/>
      <c r="O529" s="587"/>
      <c r="P529" s="587"/>
      <c r="Q529" s="561"/>
      <c r="R529" s="561"/>
      <c r="S529" s="441"/>
      <c r="T529" s="441"/>
      <c r="U529" s="588"/>
      <c r="V529" s="441"/>
    </row>
    <row r="530" spans="1:22" ht="28.15" customHeight="1">
      <c r="B530" s="522"/>
      <c r="C530" s="585"/>
      <c r="D530" s="584"/>
      <c r="E530" s="584"/>
      <c r="F530" s="584"/>
      <c r="G530" s="586"/>
      <c r="H530" s="436"/>
      <c r="I530" s="420"/>
      <c r="K530" s="420"/>
      <c r="L530" s="437"/>
      <c r="M530" s="587"/>
      <c r="N530" s="587"/>
      <c r="O530" s="587"/>
      <c r="P530" s="587"/>
      <c r="Q530" s="561"/>
      <c r="R530" s="561"/>
      <c r="S530" s="441"/>
      <c r="T530" s="441"/>
      <c r="U530" s="588"/>
      <c r="V530" s="441"/>
    </row>
    <row r="531" spans="1:22" ht="22.9" customHeight="1">
      <c r="T531" s="441"/>
      <c r="U531" s="588"/>
      <c r="V531" s="441"/>
    </row>
    <row r="532" spans="1:22" ht="61.15" customHeight="1">
      <c r="B532" s="522"/>
      <c r="C532" s="585"/>
      <c r="D532" s="584"/>
      <c r="E532" s="584"/>
      <c r="F532" s="584"/>
      <c r="G532" s="586"/>
      <c r="H532" s="436"/>
      <c r="I532" s="420"/>
      <c r="K532" s="420"/>
      <c r="L532" s="437"/>
      <c r="M532" s="587"/>
      <c r="N532" s="587"/>
      <c r="O532" s="587"/>
      <c r="P532" s="587"/>
      <c r="Q532" s="561"/>
      <c r="R532" s="561"/>
      <c r="S532" s="441"/>
      <c r="T532" s="441"/>
      <c r="U532" s="588"/>
      <c r="V532" s="441"/>
    </row>
    <row r="533" spans="1:22" ht="19.5">
      <c r="B533" s="522"/>
      <c r="C533" s="585"/>
      <c r="D533" s="584"/>
      <c r="E533" s="584"/>
      <c r="F533" s="584"/>
      <c r="G533" s="586"/>
      <c r="H533" s="436"/>
      <c r="I533" s="420"/>
      <c r="K533" s="420"/>
      <c r="L533" s="437"/>
      <c r="M533" s="587"/>
      <c r="N533" s="587"/>
      <c r="O533" s="587"/>
      <c r="P533" s="587"/>
      <c r="Q533" s="561"/>
      <c r="R533" s="561"/>
      <c r="S533" s="441"/>
      <c r="T533" s="441"/>
      <c r="U533" s="588"/>
      <c r="V533" s="441"/>
    </row>
    <row r="534" spans="1:22" ht="19.5">
      <c r="B534" s="522"/>
      <c r="C534" s="585"/>
      <c r="D534" s="584"/>
      <c r="E534" s="584"/>
      <c r="F534" s="584"/>
      <c r="G534" s="586"/>
      <c r="H534" s="436"/>
      <c r="I534" s="420"/>
      <c r="K534" s="420"/>
      <c r="L534" s="437"/>
      <c r="M534" s="587"/>
      <c r="N534" s="587"/>
      <c r="O534" s="587"/>
      <c r="P534" s="587"/>
      <c r="Q534" s="561"/>
      <c r="R534" s="561"/>
      <c r="S534" s="441"/>
      <c r="T534" s="441"/>
      <c r="U534" s="588"/>
      <c r="V534" s="441"/>
    </row>
    <row r="535" spans="1:22" ht="19.5">
      <c r="B535" s="522"/>
      <c r="C535" s="585"/>
      <c r="D535" s="584"/>
      <c r="E535" s="584"/>
      <c r="F535" s="584"/>
      <c r="G535" s="586"/>
      <c r="H535" s="436"/>
      <c r="I535" s="420"/>
      <c r="K535" s="420"/>
      <c r="L535" s="437"/>
      <c r="M535" s="587"/>
      <c r="N535" s="587"/>
      <c r="O535" s="587"/>
      <c r="P535" s="587"/>
      <c r="Q535" s="561"/>
      <c r="R535" s="561"/>
      <c r="S535" s="441"/>
      <c r="T535" s="441"/>
      <c r="U535" s="588"/>
      <c r="V535" s="441"/>
    </row>
    <row r="536" spans="1:22" ht="19.5">
      <c r="B536" s="520" t="s">
        <v>699</v>
      </c>
      <c r="C536" s="585"/>
      <c r="D536" s="584"/>
      <c r="E536" s="584"/>
      <c r="F536" s="584"/>
      <c r="G536" s="586"/>
      <c r="H536" s="436"/>
      <c r="I536" s="420"/>
      <c r="K536" s="420"/>
      <c r="L536" s="437"/>
      <c r="M536" s="476" t="s">
        <v>1396</v>
      </c>
      <c r="N536" s="587"/>
      <c r="O536" s="587"/>
      <c r="P536" s="587"/>
      <c r="Q536" s="561"/>
      <c r="R536" s="477" t="s">
        <v>692</v>
      </c>
      <c r="S536" s="478" t="str">
        <f>$E$31</f>
        <v>ILF5_90FCOSCP_B114CAGR43006</v>
      </c>
      <c r="T536" s="441"/>
      <c r="U536" s="588"/>
      <c r="V536" s="441"/>
    </row>
    <row r="537" spans="1:22" ht="13.5" customHeight="1">
      <c r="B537" s="522"/>
      <c r="C537" s="585"/>
      <c r="D537" s="584"/>
      <c r="E537" s="584"/>
      <c r="F537" s="584"/>
      <c r="G537" s="586"/>
      <c r="H537" s="436"/>
      <c r="I537" s="420"/>
      <c r="K537" s="420"/>
      <c r="L537" s="437"/>
      <c r="M537" s="587"/>
      <c r="N537" s="587"/>
      <c r="O537" s="587"/>
      <c r="P537" s="587"/>
      <c r="Q537" s="561"/>
      <c r="R537" s="561"/>
      <c r="S537" s="441"/>
      <c r="T537" s="441"/>
      <c r="U537" s="588"/>
      <c r="V537" s="441"/>
    </row>
    <row r="538" spans="1:22">
      <c r="A538" s="420"/>
      <c r="B538" s="420"/>
      <c r="C538" s="420"/>
      <c r="D538" s="420"/>
      <c r="E538" s="420"/>
      <c r="F538" s="420"/>
      <c r="G538" s="420"/>
      <c r="H538" s="436" t="s">
        <v>691</v>
      </c>
      <c r="I538" s="420"/>
      <c r="K538" s="420"/>
      <c r="L538" s="437" t="str">
        <f>$B$11</f>
        <v>INMOBILIARIA SERVIGESTION</v>
      </c>
      <c r="M538" s="420"/>
      <c r="N538" s="420"/>
      <c r="O538" s="420"/>
      <c r="P538" s="420"/>
      <c r="Q538" s="420"/>
      <c r="R538" s="420"/>
      <c r="S538" s="420"/>
      <c r="T538" s="420"/>
      <c r="U538" s="420"/>
      <c r="V538" s="420"/>
    </row>
    <row r="539" spans="1:22" ht="34.5">
      <c r="A539" s="420"/>
      <c r="B539" s="2268" t="s">
        <v>461</v>
      </c>
      <c r="C539" s="2268"/>
      <c r="D539" s="2268"/>
      <c r="E539" s="2268"/>
      <c r="F539" s="2268"/>
      <c r="G539" s="2268"/>
      <c r="H539" s="2268"/>
      <c r="I539" s="2268"/>
      <c r="J539" s="2268"/>
      <c r="K539" s="2268"/>
      <c r="L539" s="2268"/>
      <c r="M539" s="2268"/>
      <c r="N539" s="2268"/>
      <c r="O539" s="2268"/>
      <c r="P539" s="2268"/>
      <c r="Q539" s="2268"/>
      <c r="R539" s="2268"/>
      <c r="S539" s="2268"/>
      <c r="T539" s="2268"/>
      <c r="U539" s="2268"/>
      <c r="V539" s="420"/>
    </row>
    <row r="540" spans="1:22" ht="22.9" customHeight="1">
      <c r="A540" s="420"/>
      <c r="B540" s="2269" t="s">
        <v>1114</v>
      </c>
      <c r="C540" s="2269"/>
      <c r="D540" s="2269"/>
      <c r="E540" s="2269"/>
      <c r="F540" s="2269"/>
      <c r="G540" s="2269"/>
      <c r="H540" s="2269"/>
      <c r="I540" s="2269"/>
      <c r="J540" s="2269"/>
      <c r="K540" s="2269"/>
      <c r="L540" s="2269"/>
      <c r="M540" s="2269"/>
      <c r="N540" s="2269"/>
      <c r="O540" s="2269"/>
      <c r="P540" s="2269"/>
      <c r="Q540" s="2269"/>
      <c r="R540" s="2269"/>
      <c r="S540" s="2269"/>
      <c r="T540" s="2269"/>
      <c r="U540" s="2269"/>
      <c r="V540" s="420"/>
    </row>
    <row r="541" spans="1:22" ht="16.149999999999999" customHeight="1">
      <c r="A541" s="420"/>
      <c r="B541" s="1380"/>
      <c r="C541" s="1380"/>
      <c r="D541" s="1380"/>
      <c r="E541" s="1380"/>
      <c r="F541" s="1380"/>
      <c r="G541" s="1380"/>
      <c r="H541" s="1380"/>
      <c r="I541" s="1380"/>
      <c r="J541" s="1380"/>
      <c r="K541" s="1380"/>
      <c r="L541" s="1380"/>
      <c r="M541" s="1380"/>
      <c r="N541" s="1380"/>
      <c r="O541" s="1380"/>
      <c r="Q541" s="1380"/>
      <c r="R541" s="1380"/>
      <c r="S541" s="1380"/>
      <c r="T541" s="1380"/>
      <c r="U541" s="1380"/>
      <c r="V541" s="420"/>
    </row>
    <row r="542" spans="1:22" ht="23.25">
      <c r="A542" s="420"/>
      <c r="B542" s="2252" t="s">
        <v>513</v>
      </c>
      <c r="C542" s="2252"/>
      <c r="D542" s="2252"/>
      <c r="E542" s="2252"/>
      <c r="F542" s="2252"/>
      <c r="G542" s="2252"/>
      <c r="H542" s="2252"/>
      <c r="I542" s="2252"/>
      <c r="J542" s="2252"/>
      <c r="K542" s="2252"/>
      <c r="L542" s="1380"/>
      <c r="M542" s="1380"/>
      <c r="N542" s="1380"/>
      <c r="O542" s="1380"/>
      <c r="P542" s="1380"/>
      <c r="Q542" s="1380"/>
      <c r="R542" s="1380"/>
      <c r="S542" s="1380"/>
      <c r="T542" s="1380"/>
      <c r="U542" s="1380"/>
      <c r="V542" s="420"/>
    </row>
    <row r="543" spans="1:22" ht="42.75" customHeight="1">
      <c r="A543" s="420"/>
      <c r="B543" s="2260" t="s">
        <v>1373</v>
      </c>
      <c r="C543" s="2260"/>
      <c r="D543" s="2260"/>
      <c r="E543" s="2260"/>
      <c r="F543" s="2260"/>
      <c r="G543" s="2260"/>
      <c r="H543" s="2260"/>
      <c r="I543" s="2260"/>
      <c r="J543" s="2260"/>
      <c r="K543" s="2260"/>
      <c r="L543" s="2260"/>
      <c r="M543" s="2260"/>
      <c r="N543" s="2260"/>
      <c r="O543" s="2260"/>
      <c r="P543" s="2260"/>
      <c r="Q543" s="2260"/>
      <c r="R543" s="2260"/>
      <c r="S543" s="2260"/>
      <c r="T543" s="2260"/>
      <c r="U543" s="2260"/>
      <c r="V543" s="420"/>
    </row>
    <row r="544" spans="1:22" ht="26.25" customHeight="1">
      <c r="A544" s="420"/>
      <c r="B544" s="2251" t="s">
        <v>514</v>
      </c>
      <c r="C544" s="2251"/>
      <c r="D544" s="2251"/>
      <c r="E544" s="2251"/>
      <c r="F544" s="2251"/>
      <c r="G544" s="2251"/>
      <c r="H544" s="2251"/>
      <c r="I544" s="2251"/>
      <c r="J544" s="2251"/>
      <c r="K544" s="2251"/>
      <c r="L544" s="2251"/>
      <c r="M544" s="2251"/>
      <c r="N544" s="2251"/>
      <c r="O544" s="2251"/>
      <c r="P544" s="2251"/>
      <c r="Q544" s="2251"/>
      <c r="R544" s="2251"/>
      <c r="S544" s="2251"/>
      <c r="T544" s="2251"/>
      <c r="U544" s="2251"/>
      <c r="V544" s="420"/>
    </row>
    <row r="545" spans="1:22" ht="28.5" customHeight="1">
      <c r="A545" s="420"/>
      <c r="B545" s="2251" t="s">
        <v>1374</v>
      </c>
      <c r="C545" s="2251"/>
      <c r="D545" s="2251"/>
      <c r="E545" s="2251"/>
      <c r="F545" s="2251"/>
      <c r="G545" s="2251"/>
      <c r="H545" s="2251"/>
      <c r="I545" s="2251"/>
      <c r="J545" s="2251"/>
      <c r="K545" s="2251"/>
      <c r="L545" s="2251"/>
      <c r="M545" s="2251"/>
      <c r="N545" s="2251"/>
      <c r="O545" s="2251"/>
      <c r="P545" s="2251"/>
      <c r="Q545" s="2251"/>
      <c r="R545" s="2251"/>
      <c r="S545" s="2251"/>
      <c r="T545" s="2251"/>
      <c r="U545" s="2251"/>
      <c r="V545" s="420"/>
    </row>
    <row r="546" spans="1:22" ht="27.6" customHeight="1">
      <c r="A546" s="420"/>
      <c r="B546" s="2251" t="s">
        <v>1034</v>
      </c>
      <c r="C546" s="2251"/>
      <c r="D546" s="2251"/>
      <c r="E546" s="2251"/>
      <c r="F546" s="2251"/>
      <c r="G546" s="2251"/>
      <c r="H546" s="2251"/>
      <c r="I546" s="2251"/>
      <c r="J546" s="2251"/>
      <c r="K546" s="2251"/>
      <c r="L546" s="2251"/>
      <c r="M546" s="2251"/>
      <c r="N546" s="2251"/>
      <c r="O546" s="2251"/>
      <c r="P546" s="2251"/>
      <c r="Q546" s="2251"/>
      <c r="R546" s="2251"/>
      <c r="S546" s="2251"/>
      <c r="T546" s="2251"/>
      <c r="U546" s="2251"/>
      <c r="V546" s="420"/>
    </row>
    <row r="547" spans="1:22" ht="27.6" customHeight="1">
      <c r="A547" s="420"/>
      <c r="B547" s="1381"/>
      <c r="C547" s="2251" t="s">
        <v>2023</v>
      </c>
      <c r="D547" s="2251"/>
      <c r="E547" s="2251"/>
      <c r="F547" s="2251"/>
      <c r="G547" s="2251"/>
      <c r="H547" s="2251"/>
      <c r="I547" s="2251"/>
      <c r="J547" s="2251"/>
      <c r="K547" s="2251"/>
      <c r="L547" s="1381"/>
      <c r="M547" s="1381"/>
      <c r="N547" s="1381"/>
      <c r="O547" s="1381"/>
      <c r="P547" s="1381"/>
      <c r="Q547" s="1381"/>
      <c r="R547" s="1381"/>
      <c r="S547" s="1381"/>
      <c r="T547" s="1381"/>
      <c r="U547" s="1381"/>
      <c r="V547" s="420"/>
    </row>
    <row r="548" spans="1:22" ht="27.6" customHeight="1">
      <c r="A548" s="420"/>
      <c r="B548" s="1381"/>
      <c r="C548" s="2251" t="s">
        <v>1998</v>
      </c>
      <c r="D548" s="2251"/>
      <c r="E548" s="2251"/>
      <c r="F548" s="2251"/>
      <c r="G548" s="2251"/>
      <c r="H548" s="2251"/>
      <c r="I548" s="2251"/>
      <c r="J548" s="2251"/>
      <c r="K548" s="2251"/>
      <c r="L548" s="1381"/>
      <c r="M548" s="1381"/>
      <c r="N548" s="1381"/>
      <c r="O548" s="1381"/>
      <c r="P548" s="1381"/>
      <c r="Q548" s="1381"/>
      <c r="R548" s="1381"/>
      <c r="S548" s="1381"/>
      <c r="T548" s="1381"/>
      <c r="U548" s="1381"/>
      <c r="V548" s="420"/>
    </row>
    <row r="549" spans="1:22" ht="27.6" customHeight="1">
      <c r="A549" s="420"/>
      <c r="B549" s="1381"/>
      <c r="C549" s="2251" t="s">
        <v>1035</v>
      </c>
      <c r="D549" s="2251"/>
      <c r="E549" s="2251"/>
      <c r="F549" s="2251"/>
      <c r="G549" s="2251"/>
      <c r="H549" s="2251"/>
      <c r="I549" s="2251"/>
      <c r="J549" s="2251"/>
      <c r="K549" s="2251"/>
      <c r="L549" s="1381"/>
      <c r="M549" s="1381"/>
      <c r="N549" s="1381"/>
      <c r="O549" s="1381"/>
      <c r="P549" s="1381"/>
      <c r="Q549" s="1381"/>
      <c r="R549" s="1381"/>
      <c r="S549" s="1381"/>
      <c r="T549" s="1381"/>
      <c r="U549" s="1381"/>
      <c r="V549" s="420"/>
    </row>
    <row r="550" spans="1:22" ht="27.6" customHeight="1">
      <c r="A550" s="420"/>
      <c r="B550" s="2251" t="s">
        <v>1362</v>
      </c>
      <c r="C550" s="2251"/>
      <c r="D550" s="2251"/>
      <c r="E550" s="2251"/>
      <c r="F550" s="2251"/>
      <c r="G550" s="2251"/>
      <c r="H550" s="2251"/>
      <c r="I550" s="2251"/>
      <c r="J550" s="2251"/>
      <c r="K550" s="2251"/>
      <c r="L550" s="2251"/>
      <c r="M550" s="2251"/>
      <c r="N550" s="2251"/>
      <c r="O550" s="2251"/>
      <c r="P550" s="2251"/>
      <c r="Q550" s="2251"/>
      <c r="R550" s="2251"/>
      <c r="S550" s="2251"/>
      <c r="T550" s="2251"/>
      <c r="U550" s="2251"/>
      <c r="V550" s="420"/>
    </row>
    <row r="551" spans="1:22" ht="27.6" customHeight="1">
      <c r="A551" s="420"/>
      <c r="B551" s="2251" t="s">
        <v>1037</v>
      </c>
      <c r="C551" s="2251"/>
      <c r="D551" s="2251"/>
      <c r="E551" s="2251"/>
      <c r="F551" s="2251"/>
      <c r="G551" s="2251"/>
      <c r="H551" s="2251"/>
      <c r="I551" s="2251"/>
      <c r="J551" s="2251"/>
      <c r="K551" s="2251"/>
      <c r="L551" s="2251"/>
      <c r="M551" s="2251"/>
      <c r="N551" s="2251"/>
      <c r="O551" s="2251"/>
      <c r="P551" s="2251"/>
      <c r="Q551" s="2251"/>
      <c r="R551" s="2251"/>
      <c r="S551" s="2251"/>
      <c r="T551" s="2251"/>
      <c r="U551" s="2251"/>
      <c r="V551" s="420"/>
    </row>
    <row r="552" spans="1:22" ht="27.6" customHeight="1">
      <c r="A552" s="420"/>
      <c r="B552" s="2251" t="s">
        <v>1039</v>
      </c>
      <c r="C552" s="2251"/>
      <c r="D552" s="2251"/>
      <c r="E552" s="2251"/>
      <c r="F552" s="2251"/>
      <c r="G552" s="2251"/>
      <c r="H552" s="2251"/>
      <c r="I552" s="2251"/>
      <c r="J552" s="2251"/>
      <c r="K552" s="2251"/>
      <c r="L552" s="2251"/>
      <c r="M552" s="2251"/>
      <c r="N552" s="2251"/>
      <c r="O552" s="2251"/>
      <c r="P552" s="2251"/>
      <c r="Q552" s="2251"/>
      <c r="R552" s="2251"/>
      <c r="S552" s="2251"/>
      <c r="T552" s="2251"/>
      <c r="U552" s="2251"/>
      <c r="V552" s="420"/>
    </row>
    <row r="553" spans="1:22" ht="13.5" customHeight="1">
      <c r="A553" s="420"/>
      <c r="B553" s="2252"/>
      <c r="C553" s="2252"/>
      <c r="D553" s="2252"/>
      <c r="E553" s="2252"/>
      <c r="F553" s="2252"/>
      <c r="G553" s="2252"/>
      <c r="H553" s="2252"/>
      <c r="I553" s="2252"/>
      <c r="J553" s="2252"/>
      <c r="K553" s="2252"/>
      <c r="L553" s="1381"/>
      <c r="M553" s="1381"/>
      <c r="N553" s="1381"/>
      <c r="O553" s="1381"/>
      <c r="P553" s="1381"/>
      <c r="Q553" s="1381"/>
      <c r="R553" s="1381"/>
      <c r="S553" s="1381"/>
      <c r="T553" s="1381"/>
      <c r="U553" s="1381"/>
      <c r="V553" s="420"/>
    </row>
    <row r="554" spans="1:22" ht="23.25">
      <c r="A554" s="420"/>
      <c r="B554" s="2252" t="s">
        <v>1041</v>
      </c>
      <c r="C554" s="2252"/>
      <c r="D554" s="2252"/>
      <c r="E554" s="2252"/>
      <c r="F554" s="2252"/>
      <c r="G554" s="2252"/>
      <c r="H554" s="2252"/>
      <c r="I554" s="2252"/>
      <c r="J554" s="2252"/>
      <c r="K554" s="2252"/>
      <c r="L554" s="1381"/>
      <c r="M554" s="1381"/>
      <c r="N554" s="1381"/>
      <c r="O554" s="1381"/>
      <c r="P554" s="1381"/>
      <c r="Q554" s="1381"/>
      <c r="R554" s="1381"/>
      <c r="S554" s="1381"/>
      <c r="T554" s="1381"/>
      <c r="U554" s="1381"/>
      <c r="V554" s="420"/>
    </row>
    <row r="555" spans="1:22" ht="23.25">
      <c r="A555" s="420"/>
      <c r="B555" s="2251" t="s">
        <v>1375</v>
      </c>
      <c r="C555" s="2251"/>
      <c r="D555" s="2251"/>
      <c r="E555" s="2251"/>
      <c r="F555" s="2251"/>
      <c r="G555" s="2251"/>
      <c r="H555" s="2251"/>
      <c r="I555" s="2251"/>
      <c r="J555" s="2251"/>
      <c r="K555" s="2251"/>
      <c r="L555" s="2251"/>
      <c r="M555" s="2251"/>
      <c r="N555" s="2251"/>
      <c r="O555" s="2251"/>
      <c r="P555" s="2251"/>
      <c r="Q555" s="2251"/>
      <c r="R555" s="2251"/>
      <c r="S555" s="2251"/>
      <c r="T555" s="2251"/>
      <c r="U555" s="2251"/>
      <c r="V555" s="420"/>
    </row>
    <row r="556" spans="1:22" ht="23.25">
      <c r="A556" s="420"/>
      <c r="B556" s="2251" t="s">
        <v>1042</v>
      </c>
      <c r="C556" s="2251"/>
      <c r="D556" s="2251"/>
      <c r="E556" s="2251"/>
      <c r="F556" s="2251"/>
      <c r="G556" s="2251"/>
      <c r="H556" s="2251"/>
      <c r="I556" s="2251"/>
      <c r="J556" s="2251"/>
      <c r="K556" s="2251"/>
      <c r="L556" s="2251"/>
      <c r="M556" s="2251"/>
      <c r="N556" s="2251"/>
      <c r="O556" s="2251"/>
      <c r="P556" s="2251"/>
      <c r="Q556" s="2251"/>
      <c r="R556" s="2251"/>
      <c r="S556" s="2251"/>
      <c r="T556" s="2251"/>
      <c r="U556" s="2251"/>
      <c r="V556" s="420"/>
    </row>
    <row r="557" spans="1:22" ht="28.15" customHeight="1">
      <c r="A557" s="420"/>
      <c r="B557" s="2251" t="s">
        <v>1043</v>
      </c>
      <c r="C557" s="2251"/>
      <c r="D557" s="2251"/>
      <c r="E557" s="2251"/>
      <c r="F557" s="2251"/>
      <c r="G557" s="2251"/>
      <c r="H557" s="2251"/>
      <c r="I557" s="2251"/>
      <c r="J557" s="2251"/>
      <c r="K557" s="2251"/>
      <c r="L557" s="2251"/>
      <c r="M557" s="2251"/>
      <c r="N557" s="2251"/>
      <c r="O557" s="2251"/>
      <c r="P557" s="2251"/>
      <c r="Q557" s="2251"/>
      <c r="R557" s="2251"/>
      <c r="S557" s="2251"/>
      <c r="T557" s="2251"/>
      <c r="U557" s="2251"/>
      <c r="V557" s="420"/>
    </row>
    <row r="558" spans="1:22" ht="28.15" customHeight="1">
      <c r="A558" s="420"/>
      <c r="B558" s="2251" t="s">
        <v>1034</v>
      </c>
      <c r="C558" s="2251"/>
      <c r="D558" s="2251"/>
      <c r="E558" s="2251"/>
      <c r="F558" s="2251"/>
      <c r="G558" s="2251"/>
      <c r="H558" s="2251"/>
      <c r="I558" s="2251"/>
      <c r="J558" s="2251"/>
      <c r="K558" s="2251"/>
      <c r="L558" s="2251"/>
      <c r="M558" s="2251"/>
      <c r="N558" s="2251"/>
      <c r="O558" s="2251"/>
      <c r="P558" s="2251"/>
      <c r="Q558" s="2251"/>
      <c r="R558" s="2251"/>
      <c r="S558" s="2251"/>
      <c r="T558" s="2251"/>
      <c r="U558" s="2251"/>
      <c r="V558" s="420"/>
    </row>
    <row r="559" spans="1:22" ht="28.15" customHeight="1">
      <c r="A559" s="420"/>
      <c r="B559" s="1381"/>
      <c r="C559" s="2251" t="s">
        <v>2023</v>
      </c>
      <c r="D559" s="2251"/>
      <c r="E559" s="2251"/>
      <c r="F559" s="2251"/>
      <c r="G559" s="2251"/>
      <c r="H559" s="2251"/>
      <c r="I559" s="2251"/>
      <c r="J559" s="2251"/>
      <c r="K559" s="2251"/>
      <c r="L559" s="1381"/>
      <c r="M559" s="1381"/>
      <c r="N559" s="1381"/>
      <c r="O559" s="1381"/>
      <c r="P559" s="1381"/>
      <c r="Q559" s="1381"/>
      <c r="R559" s="1381"/>
      <c r="S559" s="1381"/>
      <c r="T559" s="1381"/>
      <c r="U559" s="1381"/>
      <c r="V559" s="420"/>
    </row>
    <row r="560" spans="1:22" ht="28.15" customHeight="1">
      <c r="A560" s="420"/>
      <c r="B560" s="1381"/>
      <c r="C560" s="2251" t="s">
        <v>1998</v>
      </c>
      <c r="D560" s="2251"/>
      <c r="E560" s="2251"/>
      <c r="F560" s="2251"/>
      <c r="G560" s="2251"/>
      <c r="H560" s="2251"/>
      <c r="I560" s="2251"/>
      <c r="J560" s="2251"/>
      <c r="K560" s="2251"/>
      <c r="L560" s="1381"/>
      <c r="M560" s="1381"/>
      <c r="N560" s="1381"/>
      <c r="O560" s="1381"/>
      <c r="P560" s="1381"/>
      <c r="Q560" s="1381"/>
      <c r="R560" s="1381"/>
      <c r="S560" s="1381"/>
      <c r="T560" s="1381"/>
      <c r="U560" s="1381"/>
      <c r="V560" s="420"/>
    </row>
    <row r="561" spans="1:22" ht="28.15" customHeight="1">
      <c r="A561" s="420"/>
      <c r="B561" s="1381"/>
      <c r="C561" s="2251" t="s">
        <v>1035</v>
      </c>
      <c r="D561" s="2251"/>
      <c r="E561" s="2251"/>
      <c r="F561" s="2251"/>
      <c r="G561" s="2251"/>
      <c r="H561" s="2251"/>
      <c r="I561" s="2251"/>
      <c r="J561" s="2251"/>
      <c r="K561" s="2251"/>
      <c r="L561" s="1381"/>
      <c r="M561" s="1381"/>
      <c r="N561" s="1381"/>
      <c r="O561" s="1381"/>
      <c r="P561" s="1381"/>
      <c r="Q561" s="1381"/>
      <c r="R561" s="1381"/>
      <c r="S561" s="1381"/>
      <c r="T561" s="1381"/>
      <c r="U561" s="1381"/>
      <c r="V561" s="420"/>
    </row>
    <row r="562" spans="1:22" ht="28.15" customHeight="1">
      <c r="A562" s="420"/>
      <c r="B562" s="2251" t="s">
        <v>1045</v>
      </c>
      <c r="C562" s="2251"/>
      <c r="D562" s="2251"/>
      <c r="E562" s="2251"/>
      <c r="F562" s="2251"/>
      <c r="G562" s="2251"/>
      <c r="H562" s="2251"/>
      <c r="I562" s="2251"/>
      <c r="J562" s="2251"/>
      <c r="K562" s="2251"/>
      <c r="L562" s="2251"/>
      <c r="M562" s="2251"/>
      <c r="N562" s="2251"/>
      <c r="O562" s="2251"/>
      <c r="P562" s="2251"/>
      <c r="Q562" s="2251"/>
      <c r="R562" s="2251"/>
      <c r="S562" s="2251"/>
      <c r="T562" s="2251"/>
      <c r="U562" s="2251"/>
      <c r="V562" s="420"/>
    </row>
    <row r="563" spans="1:22" ht="28.15" customHeight="1">
      <c r="A563" s="420"/>
      <c r="B563" s="2251" t="s">
        <v>1046</v>
      </c>
      <c r="C563" s="2251"/>
      <c r="D563" s="2251"/>
      <c r="E563" s="2251"/>
      <c r="F563" s="2251"/>
      <c r="G563" s="2251"/>
      <c r="H563" s="2251"/>
      <c r="I563" s="2251"/>
      <c r="J563" s="2251"/>
      <c r="K563" s="2251"/>
      <c r="L563" s="2251"/>
      <c r="M563" s="2251"/>
      <c r="N563" s="2251"/>
      <c r="O563" s="2251"/>
      <c r="P563" s="2251"/>
      <c r="Q563" s="2251"/>
      <c r="R563" s="2251"/>
      <c r="S563" s="2251"/>
      <c r="T563" s="2251"/>
      <c r="U563" s="2251"/>
      <c r="V563" s="420"/>
    </row>
    <row r="564" spans="1:22" ht="28.15" customHeight="1">
      <c r="A564" s="420"/>
      <c r="B564" s="2251" t="s">
        <v>1076</v>
      </c>
      <c r="C564" s="2251"/>
      <c r="D564" s="2251"/>
      <c r="E564" s="2251"/>
      <c r="F564" s="2251"/>
      <c r="G564" s="2251"/>
      <c r="H564" s="2251"/>
      <c r="I564" s="2251"/>
      <c r="J564" s="2251"/>
      <c r="K564" s="2251"/>
      <c r="L564" s="2251"/>
      <c r="M564" s="2251"/>
      <c r="N564" s="2251"/>
      <c r="O564" s="2251"/>
      <c r="P564" s="2251"/>
      <c r="Q564" s="2251"/>
      <c r="R564" s="2251"/>
      <c r="S564" s="2251"/>
      <c r="T564" s="2251"/>
      <c r="U564" s="2251"/>
      <c r="V564" s="420"/>
    </row>
    <row r="565" spans="1:22" ht="28.15" customHeight="1">
      <c r="A565" s="420"/>
      <c r="B565" s="2251" t="s">
        <v>1047</v>
      </c>
      <c r="C565" s="2251"/>
      <c r="D565" s="2251"/>
      <c r="E565" s="2251"/>
      <c r="F565" s="2251"/>
      <c r="G565" s="2251"/>
      <c r="H565" s="2251"/>
      <c r="I565" s="2251"/>
      <c r="J565" s="2251"/>
      <c r="K565" s="2251"/>
      <c r="L565" s="2251"/>
      <c r="M565" s="2251"/>
      <c r="N565" s="2251"/>
      <c r="O565" s="2251"/>
      <c r="P565" s="2251"/>
      <c r="Q565" s="2251"/>
      <c r="R565" s="2251"/>
      <c r="S565" s="2251"/>
      <c r="T565" s="2251"/>
      <c r="U565" s="2251"/>
      <c r="V565" s="420"/>
    </row>
    <row r="566" spans="1:22" ht="28.15" customHeight="1">
      <c r="A566" s="420"/>
      <c r="B566" s="2251" t="s">
        <v>1048</v>
      </c>
      <c r="C566" s="2251"/>
      <c r="D566" s="2251"/>
      <c r="E566" s="2251"/>
      <c r="F566" s="2251"/>
      <c r="G566" s="2251"/>
      <c r="H566" s="2251"/>
      <c r="I566" s="2251"/>
      <c r="J566" s="2251"/>
      <c r="K566" s="2251"/>
      <c r="L566" s="2251"/>
      <c r="M566" s="2251"/>
      <c r="N566" s="2251"/>
      <c r="O566" s="2251"/>
      <c r="P566" s="2251"/>
      <c r="Q566" s="2251"/>
      <c r="R566" s="2251"/>
      <c r="S566" s="2251"/>
      <c r="T566" s="2251"/>
      <c r="U566" s="2251"/>
      <c r="V566" s="420"/>
    </row>
    <row r="567" spans="1:22" ht="28.15" customHeight="1">
      <c r="A567" s="420"/>
      <c r="B567" s="2251" t="s">
        <v>1039</v>
      </c>
      <c r="C567" s="2251"/>
      <c r="D567" s="2251"/>
      <c r="E567" s="2251"/>
      <c r="F567" s="2251"/>
      <c r="G567" s="2251"/>
      <c r="H567" s="2251"/>
      <c r="I567" s="2251"/>
      <c r="J567" s="2251"/>
      <c r="K567" s="2251"/>
      <c r="L567" s="2251"/>
      <c r="M567" s="2251"/>
      <c r="N567" s="2251"/>
      <c r="O567" s="2251"/>
      <c r="P567" s="2251"/>
      <c r="Q567" s="2251"/>
      <c r="R567" s="2251"/>
      <c r="S567" s="2251"/>
      <c r="T567" s="2251"/>
      <c r="U567" s="2251"/>
      <c r="V567" s="420"/>
    </row>
    <row r="568" spans="1:22" ht="12" customHeight="1">
      <c r="A568" s="420"/>
      <c r="B568" s="1381"/>
      <c r="C568" s="1381"/>
      <c r="D568" s="1381"/>
      <c r="E568" s="1381"/>
      <c r="F568" s="1381"/>
      <c r="G568" s="1381"/>
      <c r="H568" s="1381"/>
      <c r="I568" s="1381"/>
      <c r="J568" s="1381"/>
      <c r="K568" s="1381"/>
      <c r="L568" s="1381"/>
      <c r="M568" s="1381"/>
      <c r="N568" s="1381"/>
      <c r="O568" s="1381"/>
      <c r="P568" s="1381"/>
      <c r="Q568" s="1381"/>
      <c r="R568" s="1381"/>
      <c r="S568" s="1381"/>
      <c r="T568" s="1381"/>
      <c r="U568" s="1381"/>
      <c r="V568" s="420"/>
    </row>
    <row r="569" spans="1:22" ht="44.25" customHeight="1">
      <c r="A569" s="420"/>
      <c r="B569" s="2253" t="str">
        <f>Oferta_OptimaRPV!B672</f>
        <v>Sede</v>
      </c>
      <c r="C569" s="2255"/>
      <c r="D569" s="2254" t="str">
        <f>Oferta_OptimaRPV!D672</f>
        <v>Pack Conecta Pymes</v>
      </c>
      <c r="E569" s="2254"/>
      <c r="F569" s="2254" t="str">
        <f>Oferta_OptimaRPV!F672</f>
        <v>Tarifas planas 
fijo-móvil</v>
      </c>
      <c r="G569" s="2254"/>
      <c r="H569" s="1808" t="str">
        <f>Oferta_OptimaRPV!H672</f>
        <v>DDIs</v>
      </c>
      <c r="I569" s="1808" t="str">
        <f>Oferta_OptimaRPV!I672</f>
        <v>IPs fijas</v>
      </c>
      <c r="J569" s="2255" t="str">
        <f>Oferta_OptimaRPV!J672</f>
        <v>Líneas para fax (AMLT)</v>
      </c>
      <c r="K569" s="2256"/>
      <c r="L569" s="2255" t="str">
        <f>Oferta_OptimaRPV!L672</f>
        <v>Líneas dedicadas Internet (ADSL sólo datos)</v>
      </c>
      <c r="M569" s="2256"/>
      <c r="N569" s="2255" t="str">
        <f>Oferta_OptimaRPV!N672</f>
        <v>Teléfonos IP Premium</v>
      </c>
      <c r="O569" s="2256"/>
      <c r="P569" s="2255" t="str">
        <f>Oferta_OptimaRPV!P672</f>
        <v>Teléfonos IP Avanzados</v>
      </c>
      <c r="Q569" s="2256"/>
      <c r="R569" s="2255" t="str">
        <f>Oferta_OptimaRPV!R672</f>
        <v>Teléfonos DECT</v>
      </c>
      <c r="S569" s="2256"/>
      <c r="T569" s="1807" t="str">
        <f>Oferta_OptimaRPV!T672</f>
        <v>Switch</v>
      </c>
      <c r="U569" s="1809" t="str">
        <f>Oferta_OptimaRPV!U672</f>
        <v>Total cuotas</v>
      </c>
      <c r="V569" s="420"/>
    </row>
    <row r="570" spans="1:22" ht="29.1" customHeight="1">
      <c r="A570" s="420"/>
      <c r="B570" s="2272" t="str">
        <f>Oferta_OptimaRPV!B673</f>
        <v>OFICINA</v>
      </c>
      <c r="C570" s="2259"/>
      <c r="D570" s="2259" t="str">
        <f>Oferta_OptimaRPV!D673</f>
        <v>Conecta 2A</v>
      </c>
      <c r="E570" s="2259"/>
      <c r="F570" s="2259" t="str">
        <f>Oferta_OptimaRPV!F673</f>
        <v/>
      </c>
      <c r="G570" s="2259"/>
      <c r="H570" s="1382" t="str">
        <f>Oferta_OptimaRPV!H673</f>
        <v/>
      </c>
      <c r="I570" s="1382" t="str">
        <f>Oferta_OptimaRPV!I673</f>
        <v/>
      </c>
      <c r="J570" s="2259" t="str">
        <f>Oferta_OptimaRPV!J673</f>
        <v/>
      </c>
      <c r="K570" s="2259"/>
      <c r="L570" s="2259" t="str">
        <f>Oferta_OptimaRPV!L673</f>
        <v/>
      </c>
      <c r="M570" s="2259"/>
      <c r="N570" s="2271" t="str">
        <f>Oferta_OptimaRPV!N673</f>
        <v/>
      </c>
      <c r="O570" s="2271"/>
      <c r="P570" s="2271" t="str">
        <f>Oferta_OptimaRPV!P673</f>
        <v/>
      </c>
      <c r="Q570" s="2271"/>
      <c r="R570" s="2271" t="str">
        <f>Oferta_OptimaRPV!R673</f>
        <v/>
      </c>
      <c r="S570" s="2271"/>
      <c r="T570" s="1382" t="str">
        <f>Oferta_OptimaRPV!T673</f>
        <v/>
      </c>
      <c r="U570" s="1385">
        <f>Oferta_OptimaRPV!U673</f>
        <v>44.95</v>
      </c>
      <c r="V570" s="420"/>
    </row>
    <row r="571" spans="1:22" ht="29.1" customHeight="1">
      <c r="A571" s="420"/>
      <c r="B571" s="2272" t="str">
        <f>Oferta_OptimaRPV!B674</f>
        <v/>
      </c>
      <c r="C571" s="2259"/>
      <c r="D571" s="2259" t="str">
        <f>Oferta_OptimaRPV!D674</f>
        <v/>
      </c>
      <c r="E571" s="2259"/>
      <c r="F571" s="2259" t="str">
        <f>Oferta_OptimaRPV!F674</f>
        <v/>
      </c>
      <c r="G571" s="2259"/>
      <c r="H571" s="1382" t="str">
        <f>Oferta_OptimaRPV!H674</f>
        <v/>
      </c>
      <c r="I571" s="1382" t="str">
        <f>Oferta_OptimaRPV!I674</f>
        <v/>
      </c>
      <c r="J571" s="2259" t="str">
        <f>Oferta_OptimaRPV!J674</f>
        <v/>
      </c>
      <c r="K571" s="2259"/>
      <c r="L571" s="2259" t="str">
        <f>Oferta_OptimaRPV!L674</f>
        <v/>
      </c>
      <c r="M571" s="2259"/>
      <c r="N571" s="2271" t="str">
        <f>Oferta_OptimaRPV!N674</f>
        <v/>
      </c>
      <c r="O571" s="2271"/>
      <c r="P571" s="2271" t="str">
        <f>Oferta_OptimaRPV!P674</f>
        <v/>
      </c>
      <c r="Q571" s="2271"/>
      <c r="R571" s="2271" t="str">
        <f>Oferta_OptimaRPV!R674</f>
        <v/>
      </c>
      <c r="S571" s="2271"/>
      <c r="T571" s="1382" t="str">
        <f>Oferta_OptimaRPV!T674</f>
        <v/>
      </c>
      <c r="U571" s="1385">
        <f>Oferta_OptimaRPV!U674</f>
        <v>0</v>
      </c>
      <c r="V571" s="420"/>
    </row>
    <row r="572" spans="1:22" ht="29.1" customHeight="1">
      <c r="A572" s="420"/>
      <c r="B572" s="2272" t="str">
        <f>Oferta_OptimaRPV!B675</f>
        <v/>
      </c>
      <c r="C572" s="2259"/>
      <c r="D572" s="2259" t="str">
        <f>Oferta_OptimaRPV!D675</f>
        <v/>
      </c>
      <c r="E572" s="2259"/>
      <c r="F572" s="2259" t="str">
        <f>Oferta_OptimaRPV!F675</f>
        <v/>
      </c>
      <c r="G572" s="2259"/>
      <c r="H572" s="1382" t="str">
        <f>Oferta_OptimaRPV!H675</f>
        <v/>
      </c>
      <c r="I572" s="1382" t="str">
        <f>Oferta_OptimaRPV!I675</f>
        <v/>
      </c>
      <c r="J572" s="2259" t="str">
        <f>Oferta_OptimaRPV!J675</f>
        <v/>
      </c>
      <c r="K572" s="2259"/>
      <c r="L572" s="2259" t="str">
        <f>Oferta_OptimaRPV!L675</f>
        <v/>
      </c>
      <c r="M572" s="2259"/>
      <c r="N572" s="2271" t="str">
        <f>Oferta_OptimaRPV!N675</f>
        <v/>
      </c>
      <c r="O572" s="2271"/>
      <c r="P572" s="2271" t="str">
        <f>Oferta_OptimaRPV!P675</f>
        <v/>
      </c>
      <c r="Q572" s="2271"/>
      <c r="R572" s="2271" t="str">
        <f>Oferta_OptimaRPV!R675</f>
        <v/>
      </c>
      <c r="S572" s="2271"/>
      <c r="T572" s="1382" t="str">
        <f>Oferta_OptimaRPV!T675</f>
        <v/>
      </c>
      <c r="U572" s="1385">
        <f>Oferta_OptimaRPV!U675</f>
        <v>0</v>
      </c>
      <c r="V572" s="420"/>
    </row>
    <row r="573" spans="1:22" ht="29.1" customHeight="1">
      <c r="A573" s="420"/>
      <c r="B573" s="2272" t="str">
        <f>Oferta_OptimaRPV!B676</f>
        <v/>
      </c>
      <c r="C573" s="2259"/>
      <c r="D573" s="2259" t="str">
        <f>Oferta_OptimaRPV!D676</f>
        <v/>
      </c>
      <c r="E573" s="2259"/>
      <c r="F573" s="2259" t="str">
        <f>Oferta_OptimaRPV!F676</f>
        <v/>
      </c>
      <c r="G573" s="2259"/>
      <c r="H573" s="1382" t="str">
        <f>Oferta_OptimaRPV!H676</f>
        <v/>
      </c>
      <c r="I573" s="1382" t="str">
        <f>Oferta_OptimaRPV!I676</f>
        <v/>
      </c>
      <c r="J573" s="2259" t="str">
        <f>Oferta_OptimaRPV!J676</f>
        <v/>
      </c>
      <c r="K573" s="2259"/>
      <c r="L573" s="2259" t="str">
        <f>Oferta_OptimaRPV!L676</f>
        <v/>
      </c>
      <c r="M573" s="2259"/>
      <c r="N573" s="2271" t="str">
        <f>Oferta_OptimaRPV!N676</f>
        <v/>
      </c>
      <c r="O573" s="2271"/>
      <c r="P573" s="2271" t="str">
        <f>Oferta_OptimaRPV!P676</f>
        <v/>
      </c>
      <c r="Q573" s="2271"/>
      <c r="R573" s="2271" t="str">
        <f>Oferta_OptimaRPV!R676</f>
        <v/>
      </c>
      <c r="S573" s="2271"/>
      <c r="T573" s="1382" t="str">
        <f>Oferta_OptimaRPV!T676</f>
        <v/>
      </c>
      <c r="U573" s="1385">
        <f>Oferta_OptimaRPV!U676</f>
        <v>0</v>
      </c>
      <c r="V573" s="420"/>
    </row>
    <row r="574" spans="1:22" ht="29.1" customHeight="1">
      <c r="A574" s="420"/>
      <c r="B574" s="2272" t="str">
        <f>Oferta_OptimaRPV!B677</f>
        <v/>
      </c>
      <c r="C574" s="2259"/>
      <c r="D574" s="2259" t="str">
        <f>Oferta_OptimaRPV!D677</f>
        <v/>
      </c>
      <c r="E574" s="2259"/>
      <c r="F574" s="2259" t="str">
        <f>Oferta_OptimaRPV!F677</f>
        <v/>
      </c>
      <c r="G574" s="2259"/>
      <c r="H574" s="1382" t="str">
        <f>Oferta_OptimaRPV!H677</f>
        <v/>
      </c>
      <c r="I574" s="1382" t="str">
        <f>Oferta_OptimaRPV!I677</f>
        <v/>
      </c>
      <c r="J574" s="2259" t="str">
        <f>Oferta_OptimaRPV!J677</f>
        <v/>
      </c>
      <c r="K574" s="2259"/>
      <c r="L574" s="2259" t="str">
        <f>Oferta_OptimaRPV!L677</f>
        <v/>
      </c>
      <c r="M574" s="2259"/>
      <c r="N574" s="2271" t="str">
        <f>Oferta_OptimaRPV!N677</f>
        <v/>
      </c>
      <c r="O574" s="2271"/>
      <c r="P574" s="2271" t="str">
        <f>Oferta_OptimaRPV!P677</f>
        <v/>
      </c>
      <c r="Q574" s="2271"/>
      <c r="R574" s="2271" t="str">
        <f>Oferta_OptimaRPV!R677</f>
        <v/>
      </c>
      <c r="S574" s="2271"/>
      <c r="T574" s="1382" t="str">
        <f>Oferta_OptimaRPV!T677</f>
        <v/>
      </c>
      <c r="U574" s="1385">
        <f>Oferta_OptimaRPV!U677</f>
        <v>0</v>
      </c>
      <c r="V574" s="420"/>
    </row>
    <row r="575" spans="1:22" ht="29.1" customHeight="1">
      <c r="A575" s="420"/>
      <c r="B575" s="2272" t="str">
        <f>Oferta_OptimaRPV!B678</f>
        <v/>
      </c>
      <c r="C575" s="2259"/>
      <c r="D575" s="2259" t="str">
        <f>Oferta_OptimaRPV!D678</f>
        <v/>
      </c>
      <c r="E575" s="2259"/>
      <c r="F575" s="2259" t="str">
        <f>Oferta_OptimaRPV!F678</f>
        <v/>
      </c>
      <c r="G575" s="2259"/>
      <c r="H575" s="1382" t="str">
        <f>Oferta_OptimaRPV!H678</f>
        <v/>
      </c>
      <c r="I575" s="1382" t="str">
        <f>Oferta_OptimaRPV!I678</f>
        <v/>
      </c>
      <c r="J575" s="2259" t="str">
        <f>Oferta_OptimaRPV!J678</f>
        <v/>
      </c>
      <c r="K575" s="2259"/>
      <c r="L575" s="2259" t="str">
        <f>Oferta_OptimaRPV!L678</f>
        <v/>
      </c>
      <c r="M575" s="2259"/>
      <c r="N575" s="2271" t="str">
        <f>Oferta_OptimaRPV!N678</f>
        <v/>
      </c>
      <c r="O575" s="2271"/>
      <c r="P575" s="2271" t="str">
        <f>Oferta_OptimaRPV!P678</f>
        <v/>
      </c>
      <c r="Q575" s="2271"/>
      <c r="R575" s="2271" t="str">
        <f>Oferta_OptimaRPV!R678</f>
        <v/>
      </c>
      <c r="S575" s="2271"/>
      <c r="T575" s="1382" t="str">
        <f>Oferta_OptimaRPV!T678</f>
        <v/>
      </c>
      <c r="U575" s="1385">
        <f>Oferta_OptimaRPV!U678</f>
        <v>0</v>
      </c>
      <c r="V575" s="420"/>
    </row>
    <row r="576" spans="1:22" ht="29.1" customHeight="1">
      <c r="A576" s="420"/>
      <c r="B576" s="2272" t="str">
        <f>Oferta_OptimaRPV!B679</f>
        <v/>
      </c>
      <c r="C576" s="2259"/>
      <c r="D576" s="2259" t="str">
        <f>Oferta_OptimaRPV!D679</f>
        <v/>
      </c>
      <c r="E576" s="2259"/>
      <c r="F576" s="2259" t="str">
        <f>Oferta_OptimaRPV!F679</f>
        <v/>
      </c>
      <c r="G576" s="2259"/>
      <c r="H576" s="1382" t="str">
        <f>Oferta_OptimaRPV!H679</f>
        <v/>
      </c>
      <c r="I576" s="1382" t="str">
        <f>Oferta_OptimaRPV!I679</f>
        <v/>
      </c>
      <c r="J576" s="2259" t="str">
        <f>Oferta_OptimaRPV!J679</f>
        <v/>
      </c>
      <c r="K576" s="2259"/>
      <c r="L576" s="2259" t="str">
        <f>Oferta_OptimaRPV!L679</f>
        <v/>
      </c>
      <c r="M576" s="2259"/>
      <c r="N576" s="2271" t="str">
        <f>Oferta_OptimaRPV!N679</f>
        <v/>
      </c>
      <c r="O576" s="2271"/>
      <c r="P576" s="2271" t="str">
        <f>Oferta_OptimaRPV!P679</f>
        <v/>
      </c>
      <c r="Q576" s="2271"/>
      <c r="R576" s="2271" t="str">
        <f>Oferta_OptimaRPV!R679</f>
        <v/>
      </c>
      <c r="S576" s="2271"/>
      <c r="T576" s="1382" t="str">
        <f>Oferta_OptimaRPV!T679</f>
        <v/>
      </c>
      <c r="U576" s="1385">
        <f>Oferta_OptimaRPV!U679</f>
        <v>0</v>
      </c>
      <c r="V576" s="420"/>
    </row>
    <row r="577" spans="1:23" ht="29.1" customHeight="1">
      <c r="A577" s="420"/>
      <c r="B577" s="2272" t="str">
        <f>Oferta_OptimaRPV!B680</f>
        <v/>
      </c>
      <c r="C577" s="2259"/>
      <c r="D577" s="2259" t="str">
        <f>Oferta_OptimaRPV!D680</f>
        <v/>
      </c>
      <c r="E577" s="2259"/>
      <c r="F577" s="2259" t="str">
        <f>Oferta_OptimaRPV!F680</f>
        <v/>
      </c>
      <c r="G577" s="2259"/>
      <c r="H577" s="1382" t="str">
        <f>Oferta_OptimaRPV!H680</f>
        <v/>
      </c>
      <c r="I577" s="1382" t="str">
        <f>Oferta_OptimaRPV!I680</f>
        <v/>
      </c>
      <c r="J577" s="2259" t="str">
        <f>Oferta_OptimaRPV!J680</f>
        <v/>
      </c>
      <c r="K577" s="2259"/>
      <c r="L577" s="2259" t="str">
        <f>Oferta_OptimaRPV!L680</f>
        <v/>
      </c>
      <c r="M577" s="2259"/>
      <c r="N577" s="2271" t="str">
        <f>Oferta_OptimaRPV!N680</f>
        <v/>
      </c>
      <c r="O577" s="2271"/>
      <c r="P577" s="2271" t="str">
        <f>Oferta_OptimaRPV!P680</f>
        <v/>
      </c>
      <c r="Q577" s="2271"/>
      <c r="R577" s="2271" t="str">
        <f>Oferta_OptimaRPV!R680</f>
        <v/>
      </c>
      <c r="S577" s="2271"/>
      <c r="T577" s="1382" t="str">
        <f>Oferta_OptimaRPV!T680</f>
        <v/>
      </c>
      <c r="U577" s="1385">
        <f>Oferta_OptimaRPV!U680</f>
        <v>0</v>
      </c>
      <c r="V577" s="420"/>
    </row>
    <row r="578" spans="1:23" ht="29.1" customHeight="1">
      <c r="A578" s="420"/>
      <c r="B578" s="2272" t="str">
        <f>Oferta_OptimaRPV!B681</f>
        <v/>
      </c>
      <c r="C578" s="2259"/>
      <c r="D578" s="2259" t="str">
        <f>Oferta_OptimaRPV!D681</f>
        <v/>
      </c>
      <c r="E578" s="2259"/>
      <c r="F578" s="2259" t="str">
        <f>Oferta_OptimaRPV!F681</f>
        <v/>
      </c>
      <c r="G578" s="2259"/>
      <c r="H578" s="1382" t="str">
        <f>Oferta_OptimaRPV!H681</f>
        <v/>
      </c>
      <c r="I578" s="1382" t="str">
        <f>Oferta_OptimaRPV!I681</f>
        <v/>
      </c>
      <c r="J578" s="2259" t="str">
        <f>Oferta_OptimaRPV!J681</f>
        <v/>
      </c>
      <c r="K578" s="2259"/>
      <c r="L578" s="2259" t="str">
        <f>Oferta_OptimaRPV!L681</f>
        <v/>
      </c>
      <c r="M578" s="2259"/>
      <c r="N578" s="2271" t="str">
        <f>Oferta_OptimaRPV!N681</f>
        <v/>
      </c>
      <c r="O578" s="2271"/>
      <c r="P578" s="2271" t="str">
        <f>Oferta_OptimaRPV!P681</f>
        <v/>
      </c>
      <c r="Q578" s="2271"/>
      <c r="R578" s="2271" t="str">
        <f>Oferta_OptimaRPV!R681</f>
        <v/>
      </c>
      <c r="S578" s="2271"/>
      <c r="T578" s="1382" t="str">
        <f>Oferta_OptimaRPV!T681</f>
        <v/>
      </c>
      <c r="U578" s="1385">
        <f>Oferta_OptimaRPV!U681</f>
        <v>0</v>
      </c>
      <c r="V578" s="420"/>
      <c r="W578" s="441"/>
    </row>
    <row r="579" spans="1:23" ht="29.1" customHeight="1">
      <c r="A579" s="420"/>
      <c r="B579" s="2272" t="str">
        <f>Oferta_OptimaRPV!B682</f>
        <v/>
      </c>
      <c r="C579" s="2259"/>
      <c r="D579" s="2259" t="str">
        <f>Oferta_OptimaRPV!D682</f>
        <v/>
      </c>
      <c r="E579" s="2259"/>
      <c r="F579" s="2259" t="str">
        <f>Oferta_OptimaRPV!F682</f>
        <v/>
      </c>
      <c r="G579" s="2259"/>
      <c r="H579" s="1382" t="str">
        <f>Oferta_OptimaRPV!H682</f>
        <v/>
      </c>
      <c r="I579" s="1382" t="str">
        <f>Oferta_OptimaRPV!I682</f>
        <v/>
      </c>
      <c r="J579" s="2259" t="str">
        <f>Oferta_OptimaRPV!J682</f>
        <v/>
      </c>
      <c r="K579" s="2259"/>
      <c r="L579" s="2259" t="str">
        <f>Oferta_OptimaRPV!L682</f>
        <v/>
      </c>
      <c r="M579" s="2259"/>
      <c r="N579" s="2271" t="str">
        <f>Oferta_OptimaRPV!N682</f>
        <v/>
      </c>
      <c r="O579" s="2271"/>
      <c r="P579" s="2271" t="str">
        <f>Oferta_OptimaRPV!P682</f>
        <v/>
      </c>
      <c r="Q579" s="2271"/>
      <c r="R579" s="2271" t="str">
        <f>Oferta_OptimaRPV!R682</f>
        <v/>
      </c>
      <c r="S579" s="2271"/>
      <c r="T579" s="1382" t="str">
        <f>Oferta_OptimaRPV!T682</f>
        <v/>
      </c>
      <c r="U579" s="1385">
        <f>Oferta_OptimaRPV!U682</f>
        <v>0</v>
      </c>
      <c r="V579" s="420"/>
      <c r="W579" s="441"/>
    </row>
    <row r="580" spans="1:23" ht="29.1" customHeight="1">
      <c r="A580" s="420"/>
      <c r="B580" s="2272" t="str">
        <f>Oferta_OptimaRPV!B683</f>
        <v/>
      </c>
      <c r="C580" s="2259"/>
      <c r="D580" s="2259" t="str">
        <f>Oferta_OptimaRPV!D683</f>
        <v/>
      </c>
      <c r="E580" s="2259"/>
      <c r="F580" s="2259" t="str">
        <f>Oferta_OptimaRPV!F683</f>
        <v/>
      </c>
      <c r="G580" s="2259"/>
      <c r="H580" s="1382" t="str">
        <f>Oferta_OptimaRPV!H683</f>
        <v/>
      </c>
      <c r="I580" s="1382" t="str">
        <f>Oferta_OptimaRPV!I683</f>
        <v/>
      </c>
      <c r="J580" s="2259" t="str">
        <f>Oferta_OptimaRPV!J683</f>
        <v/>
      </c>
      <c r="K580" s="2259"/>
      <c r="L580" s="2259" t="str">
        <f>Oferta_OptimaRPV!L683</f>
        <v/>
      </c>
      <c r="M580" s="2259"/>
      <c r="N580" s="2271" t="str">
        <f>Oferta_OptimaRPV!N683</f>
        <v/>
      </c>
      <c r="O580" s="2271"/>
      <c r="P580" s="2271" t="str">
        <f>Oferta_OptimaRPV!P683</f>
        <v/>
      </c>
      <c r="Q580" s="2271"/>
      <c r="R580" s="2271" t="str">
        <f>Oferta_OptimaRPV!R683</f>
        <v/>
      </c>
      <c r="S580" s="2271"/>
      <c r="T580" s="1382" t="str">
        <f>Oferta_OptimaRPV!T683</f>
        <v/>
      </c>
      <c r="U580" s="1385">
        <f>Oferta_OptimaRPV!U683</f>
        <v>0</v>
      </c>
      <c r="V580" s="420"/>
      <c r="W580" s="441"/>
    </row>
    <row r="581" spans="1:23" ht="29.1" customHeight="1">
      <c r="A581" s="441"/>
      <c r="B581" s="2272" t="str">
        <f>Oferta_OptimaRPV!B684</f>
        <v/>
      </c>
      <c r="C581" s="2259"/>
      <c r="D581" s="2259" t="str">
        <f>Oferta_OptimaRPV!D684</f>
        <v/>
      </c>
      <c r="E581" s="2259"/>
      <c r="F581" s="2259" t="str">
        <f>Oferta_OptimaRPV!F684</f>
        <v/>
      </c>
      <c r="G581" s="2259"/>
      <c r="H581" s="1382" t="str">
        <f>Oferta_OptimaRPV!H684</f>
        <v/>
      </c>
      <c r="I581" s="1382" t="str">
        <f>Oferta_OptimaRPV!I684</f>
        <v/>
      </c>
      <c r="J581" s="2259" t="str">
        <f>Oferta_OptimaRPV!J684</f>
        <v/>
      </c>
      <c r="K581" s="2259"/>
      <c r="L581" s="2259" t="str">
        <f>Oferta_OptimaRPV!L684</f>
        <v/>
      </c>
      <c r="M581" s="2259"/>
      <c r="N581" s="2271" t="str">
        <f>Oferta_OptimaRPV!N684</f>
        <v/>
      </c>
      <c r="O581" s="2271"/>
      <c r="P581" s="2271" t="str">
        <f>Oferta_OptimaRPV!P684</f>
        <v/>
      </c>
      <c r="Q581" s="2271"/>
      <c r="R581" s="2271" t="str">
        <f>Oferta_OptimaRPV!R684</f>
        <v/>
      </c>
      <c r="S581" s="2271"/>
      <c r="T581" s="1382" t="str">
        <f>Oferta_OptimaRPV!T684</f>
        <v/>
      </c>
      <c r="U581" s="1385">
        <f>Oferta_OptimaRPV!U684</f>
        <v>0</v>
      </c>
      <c r="V581" s="441"/>
      <c r="W581" s="441"/>
    </row>
    <row r="582" spans="1:23" ht="29.1" customHeight="1">
      <c r="B582" s="2272" t="str">
        <f>Oferta_OptimaRPV!B685</f>
        <v/>
      </c>
      <c r="C582" s="2259"/>
      <c r="D582" s="2259" t="str">
        <f>Oferta_OptimaRPV!D685</f>
        <v/>
      </c>
      <c r="E582" s="2259"/>
      <c r="F582" s="2259" t="str">
        <f>Oferta_OptimaRPV!F685</f>
        <v/>
      </c>
      <c r="G582" s="2259"/>
      <c r="H582" s="1382" t="str">
        <f>Oferta_OptimaRPV!H685</f>
        <v/>
      </c>
      <c r="I582" s="1382" t="str">
        <f>Oferta_OptimaRPV!I685</f>
        <v/>
      </c>
      <c r="J582" s="2259" t="str">
        <f>Oferta_OptimaRPV!J685</f>
        <v/>
      </c>
      <c r="K582" s="2259"/>
      <c r="L582" s="2259" t="str">
        <f>Oferta_OptimaRPV!L685</f>
        <v/>
      </c>
      <c r="M582" s="2259"/>
      <c r="N582" s="2271" t="str">
        <f>Oferta_OptimaRPV!N685</f>
        <v/>
      </c>
      <c r="O582" s="2271"/>
      <c r="P582" s="2271" t="str">
        <f>Oferta_OptimaRPV!P685</f>
        <v/>
      </c>
      <c r="Q582" s="2271"/>
      <c r="R582" s="2271" t="str">
        <f>Oferta_OptimaRPV!R685</f>
        <v/>
      </c>
      <c r="S582" s="2271"/>
      <c r="T582" s="1382" t="str">
        <f>Oferta_OptimaRPV!T685</f>
        <v/>
      </c>
      <c r="U582" s="1385">
        <f>Oferta_OptimaRPV!U685</f>
        <v>0</v>
      </c>
      <c r="V582" s="441"/>
      <c r="W582" s="441"/>
    </row>
    <row r="583" spans="1:23" ht="29.1" customHeight="1">
      <c r="B583" s="2272" t="str">
        <f>Oferta_OptimaRPV!B686</f>
        <v/>
      </c>
      <c r="C583" s="2259"/>
      <c r="D583" s="2259" t="str">
        <f>Oferta_OptimaRPV!D686</f>
        <v/>
      </c>
      <c r="E583" s="2259"/>
      <c r="F583" s="2259" t="str">
        <f>Oferta_OptimaRPV!F686</f>
        <v/>
      </c>
      <c r="G583" s="2259"/>
      <c r="H583" s="1382" t="str">
        <f>Oferta_OptimaRPV!H686</f>
        <v/>
      </c>
      <c r="I583" s="1382" t="str">
        <f>Oferta_OptimaRPV!I686</f>
        <v/>
      </c>
      <c r="J583" s="2259" t="str">
        <f>Oferta_OptimaRPV!J686</f>
        <v/>
      </c>
      <c r="K583" s="2259"/>
      <c r="L583" s="2259" t="str">
        <f>Oferta_OptimaRPV!L686</f>
        <v/>
      </c>
      <c r="M583" s="2259"/>
      <c r="N583" s="2271" t="str">
        <f>Oferta_OptimaRPV!N686</f>
        <v/>
      </c>
      <c r="O583" s="2271"/>
      <c r="P583" s="2271" t="str">
        <f>Oferta_OptimaRPV!P686</f>
        <v/>
      </c>
      <c r="Q583" s="2271"/>
      <c r="R583" s="2271" t="str">
        <f>Oferta_OptimaRPV!R686</f>
        <v/>
      </c>
      <c r="S583" s="2271"/>
      <c r="T583" s="1382" t="str">
        <f>Oferta_OptimaRPV!T686</f>
        <v/>
      </c>
      <c r="U583" s="1385">
        <f>Oferta_OptimaRPV!U686</f>
        <v>0</v>
      </c>
      <c r="V583" s="441"/>
      <c r="W583" s="441"/>
    </row>
    <row r="584" spans="1:23" ht="29.1" customHeight="1">
      <c r="B584" s="2272" t="str">
        <f>Oferta_OptimaRPV!B687</f>
        <v/>
      </c>
      <c r="C584" s="2259"/>
      <c r="D584" s="2259" t="str">
        <f>Oferta_OptimaRPV!D687</f>
        <v/>
      </c>
      <c r="E584" s="2259"/>
      <c r="F584" s="2259" t="str">
        <f>Oferta_OptimaRPV!F687</f>
        <v/>
      </c>
      <c r="G584" s="2259"/>
      <c r="H584" s="1382" t="str">
        <f>Oferta_OptimaRPV!H687</f>
        <v/>
      </c>
      <c r="I584" s="1382" t="str">
        <f>Oferta_OptimaRPV!I687</f>
        <v/>
      </c>
      <c r="J584" s="2259" t="str">
        <f>Oferta_OptimaRPV!J687</f>
        <v/>
      </c>
      <c r="K584" s="2259"/>
      <c r="L584" s="2259" t="str">
        <f>Oferta_OptimaRPV!L687</f>
        <v/>
      </c>
      <c r="M584" s="2259"/>
      <c r="N584" s="2271" t="str">
        <f>Oferta_OptimaRPV!N687</f>
        <v/>
      </c>
      <c r="O584" s="2271"/>
      <c r="P584" s="2271" t="str">
        <f>Oferta_OptimaRPV!P687</f>
        <v/>
      </c>
      <c r="Q584" s="2271"/>
      <c r="R584" s="2271" t="str">
        <f>Oferta_OptimaRPV!R687</f>
        <v/>
      </c>
      <c r="S584" s="2271"/>
      <c r="T584" s="1382" t="str">
        <f>Oferta_OptimaRPV!T687</f>
        <v/>
      </c>
      <c r="U584" s="1385">
        <f>Oferta_OptimaRPV!U687</f>
        <v>0</v>
      </c>
      <c r="V584" s="441"/>
      <c r="W584" s="441"/>
    </row>
    <row r="585" spans="1:23" ht="9" customHeight="1">
      <c r="B585" s="808"/>
      <c r="C585" s="808"/>
      <c r="D585" s="808"/>
      <c r="E585" s="808"/>
      <c r="F585" s="808"/>
      <c r="G585" s="808"/>
      <c r="H585" s="808"/>
      <c r="I585" s="808"/>
      <c r="J585" s="808"/>
      <c r="K585" s="808"/>
      <c r="L585" s="808"/>
      <c r="M585" s="808"/>
      <c r="N585" s="1386"/>
      <c r="O585" s="1386"/>
      <c r="P585" s="1386"/>
      <c r="Q585" s="1386"/>
      <c r="R585" s="1386"/>
      <c r="S585" s="1386"/>
      <c r="T585" s="808"/>
      <c r="U585" s="1387"/>
      <c r="V585" s="441"/>
      <c r="W585" s="441"/>
    </row>
    <row r="586" spans="1:23" ht="29.1" customHeight="1">
      <c r="A586" s="420"/>
      <c r="B586" s="808"/>
      <c r="C586" s="808"/>
      <c r="D586" s="808"/>
      <c r="E586" s="808"/>
      <c r="F586" s="808"/>
      <c r="G586" s="808"/>
      <c r="H586" s="808"/>
      <c r="I586" s="808"/>
      <c r="J586" s="808"/>
      <c r="K586" s="808"/>
      <c r="L586" s="808"/>
      <c r="M586" s="808"/>
      <c r="N586" s="1386"/>
      <c r="O586" s="2466" t="str">
        <f>Oferta_OptimaRPV!O689</f>
        <v>Descuento por contratación de múltiples packs</v>
      </c>
      <c r="P586" s="2466"/>
      <c r="Q586" s="2466"/>
      <c r="R586" s="2466"/>
      <c r="S586" s="2466"/>
      <c r="T586" s="2466"/>
      <c r="U586" s="1388">
        <f>Oferta_OptimaRPV!U689</f>
        <v>0</v>
      </c>
      <c r="V586" s="1171"/>
      <c r="W586" s="441"/>
    </row>
    <row r="587" spans="1:23" ht="10.5" customHeight="1">
      <c r="A587" s="420"/>
      <c r="B587" s="1380"/>
      <c r="C587" s="1380"/>
      <c r="D587" s="1380"/>
      <c r="E587" s="1380"/>
      <c r="F587" s="1380"/>
      <c r="G587" s="1380"/>
      <c r="H587" s="1380"/>
      <c r="I587" s="1380"/>
      <c r="J587" s="1380"/>
      <c r="K587" s="1380"/>
      <c r="L587" s="1380"/>
      <c r="M587" s="1380"/>
      <c r="N587" s="475"/>
      <c r="O587" s="475"/>
      <c r="P587" s="1380"/>
      <c r="Q587" s="1179"/>
      <c r="V587" s="420"/>
      <c r="W587" s="441"/>
    </row>
    <row r="588" spans="1:23" ht="21.75" customHeight="1">
      <c r="A588" s="420"/>
      <c r="B588" s="1380"/>
      <c r="C588" s="1380"/>
      <c r="D588" s="1380"/>
      <c r="E588" s="1380"/>
      <c r="F588" s="1380"/>
      <c r="G588" s="1380"/>
      <c r="H588" s="1380"/>
      <c r="I588" s="1380"/>
      <c r="J588" s="1380"/>
      <c r="K588" s="1380"/>
      <c r="L588" s="1380"/>
      <c r="M588" s="1380"/>
      <c r="N588" s="1380"/>
      <c r="O588" s="629"/>
      <c r="S588" s="2262" t="s">
        <v>295</v>
      </c>
      <c r="T588" s="2263"/>
      <c r="U588" s="832">
        <f>Oferta_OptimaRPV!U691</f>
        <v>44.95</v>
      </c>
      <c r="V588" s="470"/>
      <c r="W588" s="441"/>
    </row>
    <row r="589" spans="1:23" ht="16.149999999999999" customHeight="1">
      <c r="A589" s="420"/>
      <c r="B589" s="1380"/>
      <c r="C589" s="1380"/>
      <c r="D589" s="1380"/>
      <c r="E589" s="1380"/>
      <c r="F589" s="1380"/>
      <c r="G589" s="1380"/>
      <c r="H589" s="1380"/>
      <c r="I589" s="1380"/>
      <c r="J589" s="1380"/>
      <c r="K589" s="1380"/>
      <c r="L589" s="1380"/>
      <c r="M589" s="1380"/>
      <c r="N589" s="1380"/>
      <c r="O589" s="1380"/>
      <c r="P589" s="1380"/>
      <c r="Q589" s="1380"/>
      <c r="R589" s="1380"/>
      <c r="S589" s="1380"/>
      <c r="T589" s="1380"/>
      <c r="U589" s="1380"/>
      <c r="V589" s="420"/>
    </row>
    <row r="590" spans="1:23" ht="15.75">
      <c r="A590" s="420"/>
      <c r="B590" s="420"/>
      <c r="C590" s="420"/>
      <c r="D590" s="420"/>
      <c r="E590" s="420"/>
      <c r="F590" s="420"/>
      <c r="G590" s="420"/>
      <c r="H590" s="420"/>
      <c r="I590" s="420"/>
      <c r="J590" s="420"/>
      <c r="K590" s="420"/>
      <c r="L590" s="420"/>
      <c r="M590" s="476" t="s">
        <v>1400</v>
      </c>
      <c r="N590" s="420"/>
      <c r="O590" s="420"/>
      <c r="P590" s="420"/>
      <c r="Q590" s="420"/>
      <c r="R590" s="477" t="s">
        <v>692</v>
      </c>
      <c r="S590" s="478" t="str">
        <f>$E$31</f>
        <v>ILF5_90FCOSCP_B114CAGR43006</v>
      </c>
      <c r="T590" s="420"/>
      <c r="U590" s="420"/>
      <c r="V590" s="420"/>
    </row>
    <row r="591" spans="1:23" ht="6.75" customHeight="1">
      <c r="A591" s="420"/>
      <c r="B591" s="420"/>
      <c r="C591" s="420"/>
      <c r="D591" s="420"/>
      <c r="E591" s="420"/>
      <c r="F591" s="420"/>
      <c r="G591" s="420"/>
      <c r="H591" s="420"/>
      <c r="I591" s="420"/>
      <c r="J591" s="420"/>
      <c r="K591" s="420"/>
      <c r="L591" s="420"/>
      <c r="M591" s="420"/>
      <c r="N591" s="420"/>
      <c r="O591" s="420"/>
      <c r="P591" s="420"/>
      <c r="Q591" s="420"/>
      <c r="R591" s="420"/>
      <c r="S591" s="420"/>
      <c r="T591" s="420"/>
      <c r="U591" s="420"/>
      <c r="V591" s="420"/>
    </row>
    <row r="592" spans="1:23">
      <c r="A592" s="420"/>
      <c r="B592" s="420"/>
      <c r="C592" s="420"/>
      <c r="D592" s="420"/>
      <c r="E592" s="420"/>
      <c r="F592" s="420"/>
      <c r="G592" s="420"/>
      <c r="H592" s="436" t="s">
        <v>691</v>
      </c>
      <c r="I592" s="420"/>
      <c r="K592" s="420"/>
      <c r="L592" s="437" t="str">
        <f>$B$11</f>
        <v>INMOBILIARIA SERVIGESTION</v>
      </c>
      <c r="M592" s="420"/>
      <c r="N592" s="420"/>
      <c r="O592" s="420"/>
      <c r="P592" s="420"/>
      <c r="Q592" s="420"/>
      <c r="R592" s="420"/>
      <c r="S592" s="420"/>
      <c r="T592" s="420"/>
      <c r="U592" s="420"/>
      <c r="V592" s="420"/>
    </row>
    <row r="593" spans="1:22" ht="34.5">
      <c r="A593" s="420"/>
      <c r="B593" s="2268" t="s">
        <v>461</v>
      </c>
      <c r="C593" s="2268"/>
      <c r="D593" s="2268"/>
      <c r="E593" s="2268"/>
      <c r="F593" s="2268"/>
      <c r="G593" s="2268"/>
      <c r="H593" s="2268"/>
      <c r="I593" s="2268"/>
      <c r="J593" s="2268"/>
      <c r="K593" s="2268"/>
      <c r="L593" s="2268"/>
      <c r="M593" s="2268"/>
      <c r="N593" s="2268"/>
      <c r="O593" s="2268"/>
      <c r="P593" s="2268"/>
      <c r="Q593" s="2268"/>
      <c r="R593" s="2268"/>
      <c r="S593" s="2268"/>
      <c r="T593" s="2268"/>
      <c r="U593" s="2268"/>
      <c r="V593" s="420"/>
    </row>
    <row r="594" spans="1:22" ht="22.9" customHeight="1">
      <c r="A594" s="420"/>
      <c r="B594" s="2269" t="s">
        <v>1114</v>
      </c>
      <c r="C594" s="2269"/>
      <c r="D594" s="2269"/>
      <c r="E594" s="2269"/>
      <c r="F594" s="2269"/>
      <c r="G594" s="2269"/>
      <c r="H594" s="2269"/>
      <c r="I594" s="2269"/>
      <c r="J594" s="2269"/>
      <c r="K594" s="2269"/>
      <c r="L594" s="2269"/>
      <c r="M594" s="2269"/>
      <c r="N594" s="2269"/>
      <c r="O594" s="2269"/>
      <c r="P594" s="2269"/>
      <c r="Q594" s="2269"/>
      <c r="R594" s="2269"/>
      <c r="S594" s="2269"/>
      <c r="T594" s="2269"/>
      <c r="U594" s="2269"/>
      <c r="V594" s="420"/>
    </row>
    <row r="595" spans="1:22" ht="16.149999999999999" customHeight="1">
      <c r="A595" s="420"/>
      <c r="B595" s="1380"/>
      <c r="C595" s="1380"/>
      <c r="D595" s="1380"/>
      <c r="E595" s="1380"/>
      <c r="F595" s="1380"/>
      <c r="G595" s="1380"/>
      <c r="H595" s="1380"/>
      <c r="I595" s="1380"/>
      <c r="J595" s="1380"/>
      <c r="K595" s="1380"/>
      <c r="L595" s="1380"/>
      <c r="M595" s="1380"/>
      <c r="N595" s="1380"/>
      <c r="O595" s="1380"/>
      <c r="Q595" s="1380"/>
      <c r="R595" s="1380"/>
      <c r="S595" s="1380"/>
      <c r="T595" s="1380"/>
      <c r="U595" s="1380"/>
      <c r="V595" s="420"/>
    </row>
    <row r="596" spans="1:22" ht="18.399999999999999" customHeight="1">
      <c r="A596" s="429"/>
      <c r="B596" s="2251"/>
      <c r="C596" s="2251"/>
      <c r="D596" s="2251"/>
      <c r="E596" s="2251"/>
      <c r="F596" s="2251"/>
      <c r="G596" s="2251"/>
      <c r="H596" s="2251"/>
      <c r="I596" s="2251"/>
      <c r="J596" s="2251"/>
      <c r="K596" s="2251"/>
      <c r="L596" s="2251"/>
      <c r="M596" s="2251"/>
      <c r="N596" s="2251"/>
      <c r="O596" s="2251"/>
      <c r="P596" s="2251"/>
      <c r="Q596" s="2251"/>
      <c r="R596" s="2251"/>
      <c r="S596" s="2251"/>
      <c r="T596" s="2251"/>
      <c r="U596" s="2251"/>
      <c r="V596" s="429"/>
    </row>
    <row r="597" spans="1:22" ht="28.9" customHeight="1">
      <c r="A597" s="420"/>
      <c r="B597" s="2252" t="s">
        <v>1218</v>
      </c>
      <c r="C597" s="2252"/>
      <c r="D597" s="2252"/>
      <c r="E597" s="2252"/>
      <c r="F597" s="2252"/>
      <c r="G597" s="2252"/>
      <c r="H597" s="2252"/>
      <c r="I597" s="2252"/>
      <c r="J597" s="2252"/>
      <c r="K597" s="2252"/>
      <c r="L597" s="1381"/>
      <c r="M597" s="1381"/>
      <c r="N597" s="1381"/>
      <c r="O597" s="1381"/>
      <c r="P597" s="1381"/>
      <c r="Q597" s="1381"/>
      <c r="R597" s="1381"/>
      <c r="S597" s="1381"/>
      <c r="T597" s="1381"/>
      <c r="U597" s="1381"/>
      <c r="V597" s="420"/>
    </row>
    <row r="598" spans="1:22" ht="40.5" customHeight="1">
      <c r="A598" s="420"/>
      <c r="B598" s="2251" t="s">
        <v>1376</v>
      </c>
      <c r="C598" s="2251"/>
      <c r="D598" s="2251"/>
      <c r="E598" s="2251"/>
      <c r="F598" s="2251"/>
      <c r="G598" s="2251"/>
      <c r="H598" s="2251"/>
      <c r="I598" s="2251"/>
      <c r="J598" s="2251"/>
      <c r="K598" s="2251"/>
      <c r="L598" s="2251"/>
      <c r="M598" s="2251"/>
      <c r="N598" s="2251"/>
      <c r="O598" s="2251"/>
      <c r="P598" s="2251"/>
      <c r="Q598" s="2251"/>
      <c r="R598" s="2251"/>
      <c r="S598" s="2251"/>
      <c r="T598" s="2251"/>
      <c r="U598" s="2251"/>
      <c r="V598" s="420"/>
    </row>
    <row r="599" spans="1:22" ht="13.5" customHeight="1">
      <c r="A599" s="420"/>
      <c r="B599" s="1381"/>
      <c r="C599" s="1381"/>
      <c r="D599" s="1381"/>
      <c r="E599" s="1381"/>
      <c r="F599" s="1381"/>
      <c r="G599" s="1381"/>
      <c r="H599" s="1381"/>
      <c r="I599" s="1381"/>
      <c r="J599" s="1381"/>
      <c r="K599" s="1381"/>
      <c r="L599" s="1381"/>
      <c r="M599" s="1381"/>
      <c r="N599" s="1381"/>
      <c r="O599" s="1381"/>
      <c r="P599" s="1381"/>
      <c r="Q599" s="1381"/>
      <c r="R599" s="1381"/>
      <c r="S599" s="1381"/>
      <c r="T599" s="1381"/>
      <c r="U599" s="1381"/>
      <c r="V599" s="420"/>
    </row>
    <row r="600" spans="1:22" ht="28.9" customHeight="1">
      <c r="A600" s="420"/>
      <c r="B600" s="2251" t="s">
        <v>1219</v>
      </c>
      <c r="C600" s="2251"/>
      <c r="D600" s="2251"/>
      <c r="E600" s="2251"/>
      <c r="F600" s="2251"/>
      <c r="G600" s="2251"/>
      <c r="H600" s="2251"/>
      <c r="I600" s="2251"/>
      <c r="J600" s="2251"/>
      <c r="K600" s="2251"/>
      <c r="L600" s="2251"/>
      <c r="M600" s="2251"/>
      <c r="N600" s="2251"/>
      <c r="O600" s="2251"/>
      <c r="P600" s="2251"/>
      <c r="Q600" s="2251"/>
      <c r="R600" s="2251"/>
      <c r="S600" s="2251"/>
      <c r="T600" s="2251"/>
      <c r="U600" s="2251"/>
      <c r="V600" s="420"/>
    </row>
    <row r="601" spans="1:22" ht="28.9" customHeight="1">
      <c r="A601" s="420"/>
      <c r="B601" s="2251" t="s">
        <v>1223</v>
      </c>
      <c r="C601" s="2251"/>
      <c r="D601" s="2251"/>
      <c r="E601" s="2251"/>
      <c r="F601" s="2251"/>
      <c r="G601" s="2251"/>
      <c r="H601" s="2251"/>
      <c r="I601" s="2251"/>
      <c r="J601" s="2251"/>
      <c r="K601" s="2251"/>
      <c r="L601" s="2251"/>
      <c r="M601" s="2251"/>
      <c r="N601" s="2251"/>
      <c r="O601" s="2251"/>
      <c r="P601" s="2251"/>
      <c r="Q601" s="2251"/>
      <c r="R601" s="2251"/>
      <c r="S601" s="2251"/>
      <c r="T601" s="2251"/>
      <c r="U601" s="2251"/>
      <c r="V601" s="420"/>
    </row>
    <row r="602" spans="1:22" ht="28.9" customHeight="1">
      <c r="A602" s="420"/>
      <c r="B602" s="2251" t="s">
        <v>1377</v>
      </c>
      <c r="C602" s="2251"/>
      <c r="D602" s="2251"/>
      <c r="E602" s="2251"/>
      <c r="F602" s="2251"/>
      <c r="G602" s="2251"/>
      <c r="H602" s="2251"/>
      <c r="I602" s="2251"/>
      <c r="J602" s="2251"/>
      <c r="K602" s="2251"/>
      <c r="L602" s="2251"/>
      <c r="M602" s="2251"/>
      <c r="N602" s="2251"/>
      <c r="O602" s="2251"/>
      <c r="P602" s="2251"/>
      <c r="Q602" s="2251"/>
      <c r="R602" s="2251"/>
      <c r="S602" s="2251"/>
      <c r="T602" s="2251"/>
      <c r="U602" s="2251"/>
      <c r="V602" s="420"/>
    </row>
    <row r="603" spans="1:22" ht="45" customHeight="1">
      <c r="A603" s="420"/>
      <c r="B603" s="2251" t="s">
        <v>1034</v>
      </c>
      <c r="C603" s="2251"/>
      <c r="D603" s="2251"/>
      <c r="E603" s="2251"/>
      <c r="F603" s="2251"/>
      <c r="G603" s="2251"/>
      <c r="H603" s="2251"/>
      <c r="I603" s="2251"/>
      <c r="J603" s="2251"/>
      <c r="K603" s="2251"/>
      <c r="L603" s="2251"/>
      <c r="M603" s="2251"/>
      <c r="N603" s="2251"/>
      <c r="O603" s="2251"/>
      <c r="P603" s="2251"/>
      <c r="Q603" s="2251"/>
      <c r="R603" s="2251"/>
      <c r="S603" s="2251"/>
      <c r="T603" s="2251"/>
      <c r="U603" s="2251"/>
      <c r="V603" s="420"/>
    </row>
    <row r="604" spans="1:22" ht="28.9" customHeight="1">
      <c r="A604" s="420"/>
      <c r="B604" s="2451" t="s">
        <v>1378</v>
      </c>
      <c r="C604" s="2451"/>
      <c r="D604" s="2451"/>
      <c r="E604" s="2451"/>
      <c r="F604" s="2451"/>
      <c r="G604" s="2451"/>
      <c r="H604" s="2451"/>
      <c r="I604" s="2451"/>
      <c r="J604" s="2451"/>
      <c r="V604" s="420"/>
    </row>
    <row r="605" spans="1:22" ht="37.5" customHeight="1">
      <c r="A605" s="420"/>
      <c r="B605" s="2451" t="s">
        <v>1035</v>
      </c>
      <c r="C605" s="2451"/>
      <c r="D605" s="2451"/>
      <c r="E605" s="2451"/>
      <c r="F605" s="2451"/>
      <c r="G605" s="2451"/>
      <c r="H605" s="2451"/>
      <c r="I605" s="2451"/>
      <c r="J605" s="2451"/>
      <c r="V605" s="420"/>
    </row>
    <row r="606" spans="1:22" ht="28.9" customHeight="1">
      <c r="A606" s="420"/>
      <c r="B606" s="2251" t="s">
        <v>1379</v>
      </c>
      <c r="C606" s="2251"/>
      <c r="D606" s="2251"/>
      <c r="E606" s="2251"/>
      <c r="F606" s="2251"/>
      <c r="G606" s="2251"/>
      <c r="H606" s="2251"/>
      <c r="I606" s="2251"/>
      <c r="J606" s="2251"/>
      <c r="K606" s="2251"/>
      <c r="L606" s="2251"/>
      <c r="M606" s="2251"/>
      <c r="N606" s="2251"/>
      <c r="O606" s="2251"/>
      <c r="P606" s="2251"/>
      <c r="Q606" s="2251"/>
      <c r="R606" s="2251"/>
      <c r="S606" s="2251"/>
      <c r="T606" s="2251"/>
      <c r="U606" s="2251"/>
      <c r="V606" s="420"/>
    </row>
    <row r="607" spans="1:22" ht="48" customHeight="1">
      <c r="A607" s="420"/>
      <c r="B607" s="2251" t="s">
        <v>1221</v>
      </c>
      <c r="C607" s="2251"/>
      <c r="D607" s="2251"/>
      <c r="E607" s="2251"/>
      <c r="F607" s="2251"/>
      <c r="G607" s="2251"/>
      <c r="H607" s="2251"/>
      <c r="I607" s="2251"/>
      <c r="J607" s="2251"/>
      <c r="K607" s="2251"/>
      <c r="L607" s="2251"/>
      <c r="M607" s="2251"/>
      <c r="N607" s="2251"/>
      <c r="O607" s="2251"/>
      <c r="P607" s="2251"/>
      <c r="Q607" s="2251"/>
      <c r="R607" s="2251"/>
      <c r="S607" s="2251"/>
      <c r="T607" s="2251"/>
      <c r="U607" s="2251"/>
      <c r="V607" s="420"/>
    </row>
    <row r="608" spans="1:22" ht="31.5" customHeight="1">
      <c r="A608" s="420"/>
      <c r="B608" s="1380"/>
      <c r="C608" s="1380"/>
      <c r="D608" s="2563" t="s">
        <v>1371</v>
      </c>
      <c r="E608" s="2564"/>
      <c r="F608" s="2564"/>
      <c r="G608" s="2564"/>
      <c r="H608" s="2565"/>
      <c r="I608" s="2563" t="s">
        <v>1372</v>
      </c>
      <c r="J608" s="2564"/>
      <c r="K608" s="2564"/>
      <c r="L608" s="2565"/>
      <c r="M608" s="2563" t="s">
        <v>1346</v>
      </c>
      <c r="N608" s="2564"/>
      <c r="O608" s="2564"/>
      <c r="P608" s="2564"/>
      <c r="Q608" s="2564"/>
      <c r="R608" s="2564"/>
      <c r="S608" s="2564"/>
      <c r="T608" s="2565"/>
      <c r="U608" s="1380"/>
      <c r="V608" s="420"/>
    </row>
    <row r="609" spans="1:23" ht="60.6" customHeight="1">
      <c r="A609" s="441"/>
      <c r="B609" s="1389" t="str">
        <f>Oferta_OptimaRPV!B711</f>
        <v>Sede</v>
      </c>
      <c r="C609" s="1395" t="str">
        <f>Oferta_OptimaRPV!C711</f>
        <v>Pack Conecta Pymes</v>
      </c>
      <c r="D609" s="1398" t="str">
        <f>Oferta_OptimaRPV!D711</f>
        <v>TP Fijo
3000 minutos</v>
      </c>
      <c r="E609" s="1395" t="str">
        <f>Oferta_OptimaRPV!E711</f>
        <v>TP Fijo
4500 minutos</v>
      </c>
      <c r="F609" s="1395" t="str">
        <f>Oferta_OptimaRPV!F711</f>
        <v>TP Fijo
6000 minutos</v>
      </c>
      <c r="G609" s="1395" t="str">
        <f>Oferta_OptimaRPV!G711</f>
        <v>Bono Fijo- Móvil
240 minutos</v>
      </c>
      <c r="H609" s="1395" t="str">
        <f>Oferta_OptimaRPV!H711</f>
        <v>Bono Fijo- Móvil
600 minutos</v>
      </c>
      <c r="I609" s="1395" t="str">
        <f>Oferta_OptimaRPV!I711</f>
        <v>Locución de bienvenida</v>
      </c>
      <c r="J609" s="1395" t="str">
        <f>Oferta_OptimaRPV!J711</f>
        <v>SVA</v>
      </c>
      <c r="K609" s="1395" t="str">
        <f>Oferta_OptimaRPV!K711</f>
        <v>Opción Premium</v>
      </c>
      <c r="L609" s="1395" t="str">
        <f>Oferta_OptimaRPV!L711</f>
        <v>Línea para datáfono / alarma</v>
      </c>
      <c r="M609" s="1395" t="str">
        <f>Oferta_OptimaRPV!M711</f>
        <v>Avanzado 
Yealink (T24G)</v>
      </c>
      <c r="N609" s="1395" t="str">
        <f>Oferta_OptimaRPV!N711</f>
        <v>Avanzado 
Cisco (SPA 525)</v>
      </c>
      <c r="O609" s="1395" t="str">
        <f>Oferta_OptimaRPV!O711</f>
        <v>Básico 
Yealink (T21P)</v>
      </c>
      <c r="P609" s="1395" t="str">
        <f>Oferta_OptimaRPV!P711</f>
        <v>Básico 
Cisco (SPA 502)</v>
      </c>
      <c r="Q609" s="1395" t="str">
        <f>Oferta_OptimaRPV!Q711</f>
        <v>Inalámbrico Panasonic</v>
      </c>
      <c r="R609" s="1395" t="str">
        <f>Oferta_OptimaRPV!R711</f>
        <v>Fax 
(CISCO SPA 122 o Puerto Fritz!Box)</v>
      </c>
      <c r="S609" s="1395" t="str">
        <f>Oferta_OptimaRPV!S711</f>
        <v>Fax2Mail</v>
      </c>
      <c r="T609" s="1395" t="str">
        <f>Oferta_OptimaRPV!T711</f>
        <v>Puesto Móvil</v>
      </c>
      <c r="U609" s="1400" t="str">
        <f>Oferta_OptimaRPV!U711</f>
        <v>Total cuotas</v>
      </c>
      <c r="V609" s="466"/>
    </row>
    <row r="610" spans="1:23" ht="49.9" customHeight="1">
      <c r="B610" s="1383" t="str">
        <f>Oferta_OptimaRPV!B712</f>
        <v/>
      </c>
      <c r="C610" s="1382" t="str">
        <f>Oferta_OptimaRPV!C712</f>
        <v/>
      </c>
      <c r="D610" s="1382" t="str">
        <f>Oferta_OptimaRPV!D712</f>
        <v/>
      </c>
      <c r="E610" s="1382" t="str">
        <f>Oferta_OptimaRPV!E712</f>
        <v/>
      </c>
      <c r="F610" s="1382" t="str">
        <f>Oferta_OptimaRPV!F712</f>
        <v/>
      </c>
      <c r="G610" s="1384" t="str">
        <f>Oferta_OptimaRPV!G712</f>
        <v/>
      </c>
      <c r="H610" s="1384" t="str">
        <f>Oferta_OptimaRPV!H712</f>
        <v/>
      </c>
      <c r="I610" s="1384" t="str">
        <f>Oferta_OptimaRPV!I712</f>
        <v/>
      </c>
      <c r="J610" s="1382" t="str">
        <f>Oferta_OptimaRPV!J712</f>
        <v/>
      </c>
      <c r="K610" s="1382" t="str">
        <f>Oferta_OptimaRPV!K712</f>
        <v/>
      </c>
      <c r="L610" s="1382" t="str">
        <f>Oferta_OptimaRPV!L712</f>
        <v/>
      </c>
      <c r="M610" s="1382" t="str">
        <f>Oferta_OptimaRPV!M712</f>
        <v/>
      </c>
      <c r="N610" s="1382" t="str">
        <f>Oferta_OptimaRPV!N712</f>
        <v/>
      </c>
      <c r="O610" s="1382" t="str">
        <f>Oferta_OptimaRPV!O712</f>
        <v/>
      </c>
      <c r="P610" s="1382" t="str">
        <f>Oferta_OptimaRPV!P712</f>
        <v/>
      </c>
      <c r="Q610" s="1382" t="str">
        <f>Oferta_OptimaRPV!Q712</f>
        <v/>
      </c>
      <c r="R610" s="1382" t="str">
        <f>Oferta_OptimaRPV!R712</f>
        <v/>
      </c>
      <c r="S610" s="1382" t="str">
        <f>Oferta_OptimaRPV!S712</f>
        <v/>
      </c>
      <c r="T610" s="1382" t="str">
        <f>Oferta_OptimaRPV!T712</f>
        <v/>
      </c>
      <c r="U610" s="1385">
        <f>Oferta_OptimaRPV!U712</f>
        <v>0</v>
      </c>
      <c r="V610" s="441"/>
    </row>
    <row r="611" spans="1:23" ht="49.9" customHeight="1">
      <c r="B611" s="1383" t="str">
        <f>Oferta_OptimaRPV!B713</f>
        <v/>
      </c>
      <c r="C611" s="1382" t="str">
        <f>Oferta_OptimaRPV!C713</f>
        <v/>
      </c>
      <c r="D611" s="1382" t="str">
        <f>Oferta_OptimaRPV!D713</f>
        <v/>
      </c>
      <c r="E611" s="1382" t="str">
        <f>Oferta_OptimaRPV!E713</f>
        <v/>
      </c>
      <c r="F611" s="1382" t="str">
        <f>Oferta_OptimaRPV!F713</f>
        <v/>
      </c>
      <c r="G611" s="1384" t="str">
        <f>Oferta_OptimaRPV!G713</f>
        <v/>
      </c>
      <c r="H611" s="1384" t="str">
        <f>Oferta_OptimaRPV!H713</f>
        <v/>
      </c>
      <c r="I611" s="1384" t="str">
        <f>Oferta_OptimaRPV!I713</f>
        <v/>
      </c>
      <c r="J611" s="1382" t="str">
        <f>Oferta_OptimaRPV!J713</f>
        <v/>
      </c>
      <c r="K611" s="1382" t="str">
        <f>Oferta_OptimaRPV!K713</f>
        <v/>
      </c>
      <c r="L611" s="1382" t="str">
        <f>Oferta_OptimaRPV!L713</f>
        <v/>
      </c>
      <c r="M611" s="1382" t="str">
        <f>Oferta_OptimaRPV!M713</f>
        <v/>
      </c>
      <c r="N611" s="1382" t="str">
        <f>Oferta_OptimaRPV!N713</f>
        <v/>
      </c>
      <c r="O611" s="1382" t="str">
        <f>Oferta_OptimaRPV!O713</f>
        <v/>
      </c>
      <c r="P611" s="1382" t="str">
        <f>Oferta_OptimaRPV!P713</f>
        <v/>
      </c>
      <c r="Q611" s="1382" t="str">
        <f>Oferta_OptimaRPV!Q713</f>
        <v/>
      </c>
      <c r="R611" s="1382" t="str">
        <f>Oferta_OptimaRPV!R713</f>
        <v/>
      </c>
      <c r="S611" s="1382" t="str">
        <f>Oferta_OptimaRPV!S713</f>
        <v/>
      </c>
      <c r="T611" s="1382" t="str">
        <f>Oferta_OptimaRPV!T713</f>
        <v/>
      </c>
      <c r="U611" s="1385">
        <f>Oferta_OptimaRPV!U713</f>
        <v>0</v>
      </c>
      <c r="V611" s="466"/>
      <c r="W611" s="441"/>
    </row>
    <row r="612" spans="1:23" ht="49.9" customHeight="1">
      <c r="B612" s="1383" t="str">
        <f>Oferta_OptimaRPV!B714</f>
        <v/>
      </c>
      <c r="C612" s="1382" t="str">
        <f>Oferta_OptimaRPV!C714</f>
        <v/>
      </c>
      <c r="D612" s="1382" t="str">
        <f>Oferta_OptimaRPV!D714</f>
        <v/>
      </c>
      <c r="E612" s="1382" t="str">
        <f>Oferta_OptimaRPV!E714</f>
        <v/>
      </c>
      <c r="F612" s="1382" t="str">
        <f>Oferta_OptimaRPV!F714</f>
        <v/>
      </c>
      <c r="G612" s="1384" t="str">
        <f>Oferta_OptimaRPV!G714</f>
        <v/>
      </c>
      <c r="H612" s="1384" t="str">
        <f>Oferta_OptimaRPV!H714</f>
        <v/>
      </c>
      <c r="I612" s="1384" t="str">
        <f>Oferta_OptimaRPV!I714</f>
        <v/>
      </c>
      <c r="J612" s="1382" t="str">
        <f>Oferta_OptimaRPV!J714</f>
        <v/>
      </c>
      <c r="K612" s="1382" t="str">
        <f>Oferta_OptimaRPV!K714</f>
        <v/>
      </c>
      <c r="L612" s="1382" t="str">
        <f>Oferta_OptimaRPV!L714</f>
        <v/>
      </c>
      <c r="M612" s="1382" t="str">
        <f>Oferta_OptimaRPV!M714</f>
        <v/>
      </c>
      <c r="N612" s="1382" t="str">
        <f>Oferta_OptimaRPV!N714</f>
        <v/>
      </c>
      <c r="O612" s="1382" t="str">
        <f>Oferta_OptimaRPV!O714</f>
        <v/>
      </c>
      <c r="P612" s="1382" t="str">
        <f>Oferta_OptimaRPV!P714</f>
        <v/>
      </c>
      <c r="Q612" s="1382" t="str">
        <f>Oferta_OptimaRPV!Q714</f>
        <v/>
      </c>
      <c r="R612" s="1382" t="str">
        <f>Oferta_OptimaRPV!R714</f>
        <v/>
      </c>
      <c r="S612" s="1382" t="str">
        <f>Oferta_OptimaRPV!S714</f>
        <v/>
      </c>
      <c r="T612" s="1382" t="str">
        <f>Oferta_OptimaRPV!T714</f>
        <v/>
      </c>
      <c r="U612" s="1385">
        <f>Oferta_OptimaRPV!U714</f>
        <v>0</v>
      </c>
      <c r="V612" s="466"/>
      <c r="W612" s="441"/>
    </row>
    <row r="613" spans="1:23" ht="49.9" customHeight="1">
      <c r="B613" s="1383" t="str">
        <f>Oferta_OptimaRPV!B715</f>
        <v/>
      </c>
      <c r="C613" s="1382" t="str">
        <f>Oferta_OptimaRPV!C715</f>
        <v/>
      </c>
      <c r="D613" s="1382" t="str">
        <f>Oferta_OptimaRPV!D715</f>
        <v/>
      </c>
      <c r="E613" s="1382" t="str">
        <f>Oferta_OptimaRPV!E715</f>
        <v/>
      </c>
      <c r="F613" s="1382" t="str">
        <f>Oferta_OptimaRPV!F715</f>
        <v/>
      </c>
      <c r="G613" s="1384" t="str">
        <f>Oferta_OptimaRPV!G715</f>
        <v/>
      </c>
      <c r="H613" s="1384" t="str">
        <f>Oferta_OptimaRPV!H715</f>
        <v/>
      </c>
      <c r="I613" s="1384" t="str">
        <f>Oferta_OptimaRPV!I715</f>
        <v/>
      </c>
      <c r="J613" s="1382" t="str">
        <f>Oferta_OptimaRPV!J715</f>
        <v/>
      </c>
      <c r="K613" s="1382" t="str">
        <f>Oferta_OptimaRPV!K715</f>
        <v/>
      </c>
      <c r="L613" s="1382" t="str">
        <f>Oferta_OptimaRPV!L715</f>
        <v/>
      </c>
      <c r="M613" s="1382" t="str">
        <f>Oferta_OptimaRPV!M715</f>
        <v/>
      </c>
      <c r="N613" s="1382" t="str">
        <f>Oferta_OptimaRPV!N715</f>
        <v/>
      </c>
      <c r="O613" s="1382" t="str">
        <f>Oferta_OptimaRPV!O715</f>
        <v/>
      </c>
      <c r="P613" s="1382" t="str">
        <f>Oferta_OptimaRPV!P715</f>
        <v/>
      </c>
      <c r="Q613" s="1382" t="str">
        <f>Oferta_OptimaRPV!Q715</f>
        <v/>
      </c>
      <c r="R613" s="1382" t="str">
        <f>Oferta_OptimaRPV!R715</f>
        <v/>
      </c>
      <c r="S613" s="1382" t="str">
        <f>Oferta_OptimaRPV!S715</f>
        <v/>
      </c>
      <c r="T613" s="1382" t="str">
        <f>Oferta_OptimaRPV!T715</f>
        <v/>
      </c>
      <c r="U613" s="1385">
        <f>Oferta_OptimaRPV!U715</f>
        <v>0</v>
      </c>
      <c r="V613" s="466"/>
      <c r="W613" s="441"/>
    </row>
    <row r="614" spans="1:23" ht="50.45" customHeight="1">
      <c r="A614" s="420"/>
      <c r="B614" s="1383" t="str">
        <f>Oferta_OptimaRPV!B716</f>
        <v/>
      </c>
      <c r="C614" s="1382" t="str">
        <f>Oferta_OptimaRPV!C716</f>
        <v/>
      </c>
      <c r="D614" s="1382" t="str">
        <f>Oferta_OptimaRPV!D716</f>
        <v/>
      </c>
      <c r="E614" s="1382" t="str">
        <f>Oferta_OptimaRPV!E716</f>
        <v/>
      </c>
      <c r="F614" s="1382" t="str">
        <f>Oferta_OptimaRPV!F716</f>
        <v/>
      </c>
      <c r="G614" s="1384" t="str">
        <f>Oferta_OptimaRPV!G716</f>
        <v/>
      </c>
      <c r="H614" s="1384" t="str">
        <f>Oferta_OptimaRPV!H716</f>
        <v/>
      </c>
      <c r="I614" s="1384" t="str">
        <f>Oferta_OptimaRPV!I716</f>
        <v/>
      </c>
      <c r="J614" s="1382" t="str">
        <f>Oferta_OptimaRPV!J716</f>
        <v/>
      </c>
      <c r="K614" s="1382" t="str">
        <f>Oferta_OptimaRPV!K716</f>
        <v/>
      </c>
      <c r="L614" s="1382" t="str">
        <f>Oferta_OptimaRPV!L716</f>
        <v/>
      </c>
      <c r="M614" s="1382" t="str">
        <f>Oferta_OptimaRPV!M716</f>
        <v/>
      </c>
      <c r="N614" s="1382" t="str">
        <f>Oferta_OptimaRPV!N716</f>
        <v/>
      </c>
      <c r="O614" s="1382" t="str">
        <f>Oferta_OptimaRPV!O716</f>
        <v/>
      </c>
      <c r="P614" s="1382" t="str">
        <f>Oferta_OptimaRPV!P716</f>
        <v/>
      </c>
      <c r="Q614" s="1382" t="str">
        <f>Oferta_OptimaRPV!Q716</f>
        <v/>
      </c>
      <c r="R614" s="1382" t="str">
        <f>Oferta_OptimaRPV!R716</f>
        <v/>
      </c>
      <c r="S614" s="1382" t="str">
        <f>Oferta_OptimaRPV!S716</f>
        <v/>
      </c>
      <c r="T614" s="1382" t="str">
        <f>Oferta_OptimaRPV!T716</f>
        <v/>
      </c>
      <c r="U614" s="1385">
        <f>Oferta_OptimaRPV!U716</f>
        <v>0</v>
      </c>
      <c r="V614" s="729"/>
      <c r="W614" s="441"/>
    </row>
    <row r="615" spans="1:23" ht="39.950000000000003" customHeight="1">
      <c r="A615" s="420"/>
      <c r="B615" s="1383" t="str">
        <f>Oferta_OptimaRPV!B717</f>
        <v/>
      </c>
      <c r="C615" s="1382" t="str">
        <f>Oferta_OptimaRPV!C717</f>
        <v/>
      </c>
      <c r="D615" s="1382" t="str">
        <f>Oferta_OptimaRPV!D717</f>
        <v/>
      </c>
      <c r="E615" s="1382" t="str">
        <f>Oferta_OptimaRPV!E717</f>
        <v/>
      </c>
      <c r="F615" s="1382" t="str">
        <f>Oferta_OptimaRPV!F717</f>
        <v/>
      </c>
      <c r="G615" s="1384" t="str">
        <f>Oferta_OptimaRPV!G717</f>
        <v/>
      </c>
      <c r="H615" s="1384" t="str">
        <f>Oferta_OptimaRPV!H717</f>
        <v/>
      </c>
      <c r="I615" s="1384" t="str">
        <f>Oferta_OptimaRPV!I717</f>
        <v/>
      </c>
      <c r="J615" s="1382" t="str">
        <f>Oferta_OptimaRPV!J717</f>
        <v/>
      </c>
      <c r="K615" s="1382" t="str">
        <f>Oferta_OptimaRPV!K717</f>
        <v/>
      </c>
      <c r="L615" s="1382" t="str">
        <f>Oferta_OptimaRPV!L717</f>
        <v/>
      </c>
      <c r="M615" s="1382" t="str">
        <f>Oferta_OptimaRPV!M717</f>
        <v/>
      </c>
      <c r="N615" s="1382" t="str">
        <f>Oferta_OptimaRPV!N717</f>
        <v/>
      </c>
      <c r="O615" s="1382" t="str">
        <f>Oferta_OptimaRPV!O717</f>
        <v/>
      </c>
      <c r="P615" s="1382" t="str">
        <f>Oferta_OptimaRPV!P717</f>
        <v/>
      </c>
      <c r="Q615" s="1382" t="str">
        <f>Oferta_OptimaRPV!Q717</f>
        <v/>
      </c>
      <c r="R615" s="1382" t="str">
        <f>Oferta_OptimaRPV!R717</f>
        <v/>
      </c>
      <c r="S615" s="1382" t="str">
        <f>Oferta_OptimaRPV!S717</f>
        <v/>
      </c>
      <c r="T615" s="1382" t="str">
        <f>Oferta_OptimaRPV!T717</f>
        <v/>
      </c>
      <c r="U615" s="1385">
        <f>Oferta_OptimaRPV!U717</f>
        <v>0</v>
      </c>
      <c r="V615" s="1171"/>
      <c r="W615" s="441"/>
    </row>
    <row r="616" spans="1:23" ht="39.950000000000003" customHeight="1">
      <c r="A616" s="420"/>
      <c r="B616" s="1383" t="str">
        <f>Oferta_OptimaRPV!B718</f>
        <v/>
      </c>
      <c r="C616" s="1382" t="str">
        <f>Oferta_OptimaRPV!C718</f>
        <v/>
      </c>
      <c r="D616" s="1382" t="str">
        <f>Oferta_OptimaRPV!D718</f>
        <v/>
      </c>
      <c r="E616" s="1382" t="str">
        <f>Oferta_OptimaRPV!E718</f>
        <v/>
      </c>
      <c r="F616" s="1382" t="str">
        <f>Oferta_OptimaRPV!F718</f>
        <v/>
      </c>
      <c r="G616" s="1384" t="str">
        <f>Oferta_OptimaRPV!G718</f>
        <v/>
      </c>
      <c r="H616" s="1384" t="str">
        <f>Oferta_OptimaRPV!H718</f>
        <v/>
      </c>
      <c r="I616" s="1384" t="str">
        <f>Oferta_OptimaRPV!I718</f>
        <v/>
      </c>
      <c r="J616" s="1382" t="str">
        <f>Oferta_OptimaRPV!J718</f>
        <v/>
      </c>
      <c r="K616" s="1382" t="str">
        <f>Oferta_OptimaRPV!K718</f>
        <v/>
      </c>
      <c r="L616" s="1382" t="str">
        <f>Oferta_OptimaRPV!L718</f>
        <v/>
      </c>
      <c r="M616" s="1382" t="str">
        <f>Oferta_OptimaRPV!M718</f>
        <v/>
      </c>
      <c r="N616" s="1382" t="str">
        <f>Oferta_OptimaRPV!N718</f>
        <v/>
      </c>
      <c r="O616" s="1382" t="str">
        <f>Oferta_OptimaRPV!O718</f>
        <v/>
      </c>
      <c r="P616" s="1382" t="str">
        <f>Oferta_OptimaRPV!P718</f>
        <v/>
      </c>
      <c r="Q616" s="1382" t="str">
        <f>Oferta_OptimaRPV!Q718</f>
        <v/>
      </c>
      <c r="R616" s="1382" t="str">
        <f>Oferta_OptimaRPV!R718</f>
        <v/>
      </c>
      <c r="S616" s="1382" t="str">
        <f>Oferta_OptimaRPV!S718</f>
        <v/>
      </c>
      <c r="T616" s="1382" t="str">
        <f>Oferta_OptimaRPV!T718</f>
        <v/>
      </c>
      <c r="U616" s="1385">
        <f>Oferta_OptimaRPV!U718</f>
        <v>0</v>
      </c>
      <c r="V616" s="1171"/>
      <c r="W616" s="441"/>
    </row>
    <row r="617" spans="1:23" ht="39.950000000000003" customHeight="1">
      <c r="A617" s="420"/>
      <c r="B617" s="1383" t="str">
        <f>Oferta_OptimaRPV!B719</f>
        <v/>
      </c>
      <c r="C617" s="1382" t="str">
        <f>Oferta_OptimaRPV!C719</f>
        <v/>
      </c>
      <c r="D617" s="1382" t="str">
        <f>Oferta_OptimaRPV!D719</f>
        <v/>
      </c>
      <c r="E617" s="1382" t="str">
        <f>Oferta_OptimaRPV!E719</f>
        <v/>
      </c>
      <c r="F617" s="1382" t="str">
        <f>Oferta_OptimaRPV!F719</f>
        <v/>
      </c>
      <c r="G617" s="1384" t="str">
        <f>Oferta_OptimaRPV!G719</f>
        <v/>
      </c>
      <c r="H617" s="1384" t="str">
        <f>Oferta_OptimaRPV!H719</f>
        <v/>
      </c>
      <c r="I617" s="1384" t="str">
        <f>Oferta_OptimaRPV!I719</f>
        <v/>
      </c>
      <c r="J617" s="1382" t="str">
        <f>Oferta_OptimaRPV!J719</f>
        <v/>
      </c>
      <c r="K617" s="1382" t="str">
        <f>Oferta_OptimaRPV!K719</f>
        <v/>
      </c>
      <c r="L617" s="1382" t="str">
        <f>Oferta_OptimaRPV!L719</f>
        <v/>
      </c>
      <c r="M617" s="1382" t="str">
        <f>Oferta_OptimaRPV!M719</f>
        <v/>
      </c>
      <c r="N617" s="1382" t="str">
        <f>Oferta_OptimaRPV!N719</f>
        <v/>
      </c>
      <c r="O617" s="1382" t="str">
        <f>Oferta_OptimaRPV!O719</f>
        <v/>
      </c>
      <c r="P617" s="1382" t="str">
        <f>Oferta_OptimaRPV!P719</f>
        <v/>
      </c>
      <c r="Q617" s="1382" t="str">
        <f>Oferta_OptimaRPV!Q719</f>
        <v/>
      </c>
      <c r="R617" s="1382" t="str">
        <f>Oferta_OptimaRPV!R719</f>
        <v/>
      </c>
      <c r="S617" s="1382" t="str">
        <f>Oferta_OptimaRPV!S719</f>
        <v/>
      </c>
      <c r="T617" s="1382" t="str">
        <f>Oferta_OptimaRPV!T719</f>
        <v/>
      </c>
      <c r="U617" s="1385">
        <f>Oferta_OptimaRPV!U719</f>
        <v>0</v>
      </c>
      <c r="V617" s="1171"/>
      <c r="W617" s="441"/>
    </row>
    <row r="618" spans="1:23" ht="39.950000000000003" customHeight="1">
      <c r="A618" s="420"/>
      <c r="B618" s="1383" t="str">
        <f>Oferta_OptimaRPV!B720</f>
        <v/>
      </c>
      <c r="C618" s="1382" t="str">
        <f>Oferta_OptimaRPV!C720</f>
        <v/>
      </c>
      <c r="D618" s="1382" t="str">
        <f>Oferta_OptimaRPV!D720</f>
        <v/>
      </c>
      <c r="E618" s="1382" t="str">
        <f>Oferta_OptimaRPV!E720</f>
        <v/>
      </c>
      <c r="F618" s="1382" t="str">
        <f>Oferta_OptimaRPV!F720</f>
        <v/>
      </c>
      <c r="G618" s="1384" t="str">
        <f>Oferta_OptimaRPV!G720</f>
        <v/>
      </c>
      <c r="H618" s="1384" t="str">
        <f>Oferta_OptimaRPV!H720</f>
        <v/>
      </c>
      <c r="I618" s="1384" t="str">
        <f>Oferta_OptimaRPV!I720</f>
        <v/>
      </c>
      <c r="J618" s="1382" t="str">
        <f>Oferta_OptimaRPV!J720</f>
        <v/>
      </c>
      <c r="K618" s="1382" t="str">
        <f>Oferta_OptimaRPV!K720</f>
        <v/>
      </c>
      <c r="L618" s="1382" t="str">
        <f>Oferta_OptimaRPV!L720</f>
        <v/>
      </c>
      <c r="M618" s="1382" t="str">
        <f>Oferta_OptimaRPV!M720</f>
        <v/>
      </c>
      <c r="N618" s="1382" t="str">
        <f>Oferta_OptimaRPV!N720</f>
        <v/>
      </c>
      <c r="O618" s="1382" t="str">
        <f>Oferta_OptimaRPV!O720</f>
        <v/>
      </c>
      <c r="P618" s="1382" t="str">
        <f>Oferta_OptimaRPV!P720</f>
        <v/>
      </c>
      <c r="Q618" s="1382" t="str">
        <f>Oferta_OptimaRPV!Q720</f>
        <v/>
      </c>
      <c r="R618" s="1382" t="str">
        <f>Oferta_OptimaRPV!R720</f>
        <v/>
      </c>
      <c r="S618" s="1382" t="str">
        <f>Oferta_OptimaRPV!S720</f>
        <v/>
      </c>
      <c r="T618" s="1382" t="str">
        <f>Oferta_OptimaRPV!T720</f>
        <v/>
      </c>
      <c r="U618" s="1385">
        <f>Oferta_OptimaRPV!U720</f>
        <v>0</v>
      </c>
      <c r="V618" s="1171"/>
      <c r="W618" s="441"/>
    </row>
    <row r="619" spans="1:23" ht="39.950000000000003" customHeight="1">
      <c r="A619" s="420"/>
      <c r="B619" s="1383" t="str">
        <f>Oferta_OptimaRPV!B721</f>
        <v/>
      </c>
      <c r="C619" s="1382" t="str">
        <f>Oferta_OptimaRPV!C721</f>
        <v/>
      </c>
      <c r="D619" s="1382" t="str">
        <f>Oferta_OptimaRPV!D721</f>
        <v/>
      </c>
      <c r="E619" s="1382" t="str">
        <f>Oferta_OptimaRPV!E721</f>
        <v/>
      </c>
      <c r="F619" s="1382" t="str">
        <f>Oferta_OptimaRPV!F721</f>
        <v/>
      </c>
      <c r="G619" s="1384" t="str">
        <f>Oferta_OptimaRPV!G721</f>
        <v/>
      </c>
      <c r="H619" s="1384" t="str">
        <f>Oferta_OptimaRPV!H721</f>
        <v/>
      </c>
      <c r="I619" s="1384" t="str">
        <f>Oferta_OptimaRPV!I721</f>
        <v/>
      </c>
      <c r="J619" s="1382" t="str">
        <f>Oferta_OptimaRPV!J721</f>
        <v/>
      </c>
      <c r="K619" s="1382" t="str">
        <f>Oferta_OptimaRPV!K721</f>
        <v/>
      </c>
      <c r="L619" s="1382" t="str">
        <f>Oferta_OptimaRPV!L721</f>
        <v/>
      </c>
      <c r="M619" s="1382" t="str">
        <f>Oferta_OptimaRPV!M721</f>
        <v/>
      </c>
      <c r="N619" s="1382" t="str">
        <f>Oferta_OptimaRPV!N721</f>
        <v/>
      </c>
      <c r="O619" s="1382" t="str">
        <f>Oferta_OptimaRPV!O721</f>
        <v/>
      </c>
      <c r="P619" s="1382" t="str">
        <f>Oferta_OptimaRPV!P721</f>
        <v/>
      </c>
      <c r="Q619" s="1382" t="str">
        <f>Oferta_OptimaRPV!Q721</f>
        <v/>
      </c>
      <c r="R619" s="1382" t="str">
        <f>Oferta_OptimaRPV!R721</f>
        <v/>
      </c>
      <c r="S619" s="1382" t="str">
        <f>Oferta_OptimaRPV!S721</f>
        <v/>
      </c>
      <c r="T619" s="1382" t="str">
        <f>Oferta_OptimaRPV!T721</f>
        <v/>
      </c>
      <c r="U619" s="1385">
        <f>Oferta_OptimaRPV!U721</f>
        <v>0</v>
      </c>
      <c r="V619" s="1171"/>
      <c r="W619" s="441"/>
    </row>
    <row r="620" spans="1:23" ht="39.950000000000003" customHeight="1">
      <c r="A620" s="420"/>
      <c r="B620" s="1383" t="str">
        <f>Oferta_OptimaRPV!B722</f>
        <v/>
      </c>
      <c r="C620" s="1382" t="str">
        <f>Oferta_OptimaRPV!C722</f>
        <v/>
      </c>
      <c r="D620" s="1382" t="str">
        <f>Oferta_OptimaRPV!D722</f>
        <v/>
      </c>
      <c r="E620" s="1382" t="str">
        <f>Oferta_OptimaRPV!E722</f>
        <v/>
      </c>
      <c r="F620" s="1382" t="str">
        <f>Oferta_OptimaRPV!F722</f>
        <v/>
      </c>
      <c r="G620" s="1384" t="str">
        <f>Oferta_OptimaRPV!G722</f>
        <v/>
      </c>
      <c r="H620" s="1384" t="str">
        <f>Oferta_OptimaRPV!H722</f>
        <v/>
      </c>
      <c r="I620" s="1384" t="str">
        <f>Oferta_OptimaRPV!I722</f>
        <v/>
      </c>
      <c r="J620" s="1382" t="str">
        <f>Oferta_OptimaRPV!J722</f>
        <v/>
      </c>
      <c r="K620" s="1382" t="str">
        <f>Oferta_OptimaRPV!K722</f>
        <v/>
      </c>
      <c r="L620" s="1382" t="str">
        <f>Oferta_OptimaRPV!L722</f>
        <v/>
      </c>
      <c r="M620" s="1382" t="str">
        <f>Oferta_OptimaRPV!M722</f>
        <v/>
      </c>
      <c r="N620" s="1382" t="str">
        <f>Oferta_OptimaRPV!N722</f>
        <v/>
      </c>
      <c r="O620" s="1382" t="str">
        <f>Oferta_OptimaRPV!O722</f>
        <v/>
      </c>
      <c r="P620" s="1382" t="str">
        <f>Oferta_OptimaRPV!P722</f>
        <v/>
      </c>
      <c r="Q620" s="1382" t="str">
        <f>Oferta_OptimaRPV!Q722</f>
        <v/>
      </c>
      <c r="R620" s="1382" t="str">
        <f>Oferta_OptimaRPV!R722</f>
        <v/>
      </c>
      <c r="S620" s="1382" t="str">
        <f>Oferta_OptimaRPV!S722</f>
        <v/>
      </c>
      <c r="T620" s="1382" t="str">
        <f>Oferta_OptimaRPV!T722</f>
        <v/>
      </c>
      <c r="U620" s="1385">
        <f>Oferta_OptimaRPV!U722</f>
        <v>0</v>
      </c>
      <c r="V620" s="1171"/>
      <c r="W620" s="441"/>
    </row>
    <row r="621" spans="1:23" ht="39.950000000000003" customHeight="1">
      <c r="A621" s="420"/>
      <c r="B621" s="1383" t="str">
        <f>Oferta_OptimaRPV!B723</f>
        <v/>
      </c>
      <c r="C621" s="1382" t="str">
        <f>Oferta_OptimaRPV!C723</f>
        <v/>
      </c>
      <c r="D621" s="1382" t="str">
        <f>Oferta_OptimaRPV!D723</f>
        <v/>
      </c>
      <c r="E621" s="1382" t="str">
        <f>Oferta_OptimaRPV!E723</f>
        <v/>
      </c>
      <c r="F621" s="1382" t="str">
        <f>Oferta_OptimaRPV!F723</f>
        <v/>
      </c>
      <c r="G621" s="1384" t="str">
        <f>Oferta_OptimaRPV!G723</f>
        <v/>
      </c>
      <c r="H621" s="1384" t="str">
        <f>Oferta_OptimaRPV!H723</f>
        <v/>
      </c>
      <c r="I621" s="1384" t="str">
        <f>Oferta_OptimaRPV!I723</f>
        <v/>
      </c>
      <c r="J621" s="1382" t="str">
        <f>Oferta_OptimaRPV!J723</f>
        <v/>
      </c>
      <c r="K621" s="1382" t="str">
        <f>Oferta_OptimaRPV!K723</f>
        <v/>
      </c>
      <c r="L621" s="1382" t="str">
        <f>Oferta_OptimaRPV!L723</f>
        <v/>
      </c>
      <c r="M621" s="1382" t="str">
        <f>Oferta_OptimaRPV!M723</f>
        <v/>
      </c>
      <c r="N621" s="1382" t="str">
        <f>Oferta_OptimaRPV!N723</f>
        <v/>
      </c>
      <c r="O621" s="1382" t="str">
        <f>Oferta_OptimaRPV!O723</f>
        <v/>
      </c>
      <c r="P621" s="1382" t="str">
        <f>Oferta_OptimaRPV!P723</f>
        <v/>
      </c>
      <c r="Q621" s="1382" t="str">
        <f>Oferta_OptimaRPV!Q723</f>
        <v/>
      </c>
      <c r="R621" s="1382" t="str">
        <f>Oferta_OptimaRPV!R723</f>
        <v/>
      </c>
      <c r="S621" s="1382" t="str">
        <f>Oferta_OptimaRPV!S723</f>
        <v/>
      </c>
      <c r="T621" s="1382" t="str">
        <f>Oferta_OptimaRPV!T723</f>
        <v/>
      </c>
      <c r="U621" s="1385">
        <f>Oferta_OptimaRPV!U723</f>
        <v>0</v>
      </c>
      <c r="V621" s="1171"/>
      <c r="W621" s="441"/>
    </row>
    <row r="622" spans="1:23" ht="39.950000000000003" customHeight="1">
      <c r="A622" s="420"/>
      <c r="B622" s="1383" t="str">
        <f>Oferta_OptimaRPV!B724</f>
        <v/>
      </c>
      <c r="C622" s="1382" t="str">
        <f>Oferta_OptimaRPV!C724</f>
        <v/>
      </c>
      <c r="D622" s="1382" t="str">
        <f>Oferta_OptimaRPV!D724</f>
        <v/>
      </c>
      <c r="E622" s="1382" t="str">
        <f>Oferta_OptimaRPV!E724</f>
        <v/>
      </c>
      <c r="F622" s="1382" t="str">
        <f>Oferta_OptimaRPV!F724</f>
        <v/>
      </c>
      <c r="G622" s="1384" t="str">
        <f>Oferta_OptimaRPV!G724</f>
        <v/>
      </c>
      <c r="H622" s="1384" t="str">
        <f>Oferta_OptimaRPV!H724</f>
        <v/>
      </c>
      <c r="I622" s="1384" t="str">
        <f>Oferta_OptimaRPV!I724</f>
        <v/>
      </c>
      <c r="J622" s="1382" t="str">
        <f>Oferta_OptimaRPV!J724</f>
        <v/>
      </c>
      <c r="K622" s="1382" t="str">
        <f>Oferta_OptimaRPV!K724</f>
        <v/>
      </c>
      <c r="L622" s="1382" t="str">
        <f>Oferta_OptimaRPV!L724</f>
        <v/>
      </c>
      <c r="M622" s="1382" t="str">
        <f>Oferta_OptimaRPV!M724</f>
        <v/>
      </c>
      <c r="N622" s="1382" t="str">
        <f>Oferta_OptimaRPV!N724</f>
        <v/>
      </c>
      <c r="O622" s="1382" t="str">
        <f>Oferta_OptimaRPV!O724</f>
        <v/>
      </c>
      <c r="P622" s="1382" t="str">
        <f>Oferta_OptimaRPV!P724</f>
        <v/>
      </c>
      <c r="Q622" s="1382" t="str">
        <f>Oferta_OptimaRPV!Q724</f>
        <v/>
      </c>
      <c r="R622" s="1382" t="str">
        <f>Oferta_OptimaRPV!R724</f>
        <v/>
      </c>
      <c r="S622" s="1382" t="str">
        <f>Oferta_OptimaRPV!S724</f>
        <v/>
      </c>
      <c r="T622" s="1382" t="str">
        <f>Oferta_OptimaRPV!T724</f>
        <v/>
      </c>
      <c r="U622" s="1385">
        <f>Oferta_OptimaRPV!U724</f>
        <v>0</v>
      </c>
      <c r="V622" s="1171"/>
      <c r="W622" s="441"/>
    </row>
    <row r="623" spans="1:23" ht="39.950000000000003" customHeight="1">
      <c r="A623" s="420"/>
      <c r="B623" s="1383" t="str">
        <f>Oferta_OptimaRPV!B725</f>
        <v/>
      </c>
      <c r="C623" s="1382" t="str">
        <f>Oferta_OptimaRPV!C725</f>
        <v/>
      </c>
      <c r="D623" s="1382" t="str">
        <f>Oferta_OptimaRPV!D725</f>
        <v/>
      </c>
      <c r="E623" s="1382" t="str">
        <f>Oferta_OptimaRPV!E725</f>
        <v/>
      </c>
      <c r="F623" s="1382" t="str">
        <f>Oferta_OptimaRPV!F725</f>
        <v/>
      </c>
      <c r="G623" s="1384" t="str">
        <f>Oferta_OptimaRPV!G725</f>
        <v/>
      </c>
      <c r="H623" s="1384" t="str">
        <f>Oferta_OptimaRPV!H725</f>
        <v/>
      </c>
      <c r="I623" s="1384" t="str">
        <f>Oferta_OptimaRPV!I725</f>
        <v/>
      </c>
      <c r="J623" s="1382" t="str">
        <f>Oferta_OptimaRPV!J725</f>
        <v/>
      </c>
      <c r="K623" s="1382" t="str">
        <f>Oferta_OptimaRPV!K725</f>
        <v/>
      </c>
      <c r="L623" s="1382" t="str">
        <f>Oferta_OptimaRPV!L725</f>
        <v/>
      </c>
      <c r="M623" s="1382" t="str">
        <f>Oferta_OptimaRPV!M725</f>
        <v/>
      </c>
      <c r="N623" s="1382" t="str">
        <f>Oferta_OptimaRPV!N725</f>
        <v/>
      </c>
      <c r="O623" s="1382" t="str">
        <f>Oferta_OptimaRPV!O725</f>
        <v/>
      </c>
      <c r="P623" s="1382" t="str">
        <f>Oferta_OptimaRPV!P725</f>
        <v/>
      </c>
      <c r="Q623" s="1382" t="str">
        <f>Oferta_OptimaRPV!Q725</f>
        <v/>
      </c>
      <c r="R623" s="1382" t="str">
        <f>Oferta_OptimaRPV!R725</f>
        <v/>
      </c>
      <c r="S623" s="1382" t="str">
        <f>Oferta_OptimaRPV!S725</f>
        <v/>
      </c>
      <c r="T623" s="1382" t="str">
        <f>Oferta_OptimaRPV!T725</f>
        <v/>
      </c>
      <c r="U623" s="1385">
        <f>Oferta_OptimaRPV!U725</f>
        <v>0</v>
      </c>
      <c r="V623" s="1171"/>
      <c r="W623" s="441"/>
    </row>
    <row r="624" spans="1:23" ht="39.950000000000003" customHeight="1">
      <c r="A624" s="420"/>
      <c r="B624" s="1383" t="str">
        <f>Oferta_OptimaRPV!B726</f>
        <v/>
      </c>
      <c r="C624" s="1382" t="str">
        <f>Oferta_OptimaRPV!C726</f>
        <v/>
      </c>
      <c r="D624" s="1382" t="str">
        <f>Oferta_OptimaRPV!D726</f>
        <v/>
      </c>
      <c r="E624" s="1382" t="str">
        <f>Oferta_OptimaRPV!E726</f>
        <v/>
      </c>
      <c r="F624" s="1382" t="str">
        <f>Oferta_OptimaRPV!F726</f>
        <v/>
      </c>
      <c r="G624" s="1384" t="str">
        <f>Oferta_OptimaRPV!G726</f>
        <v/>
      </c>
      <c r="H624" s="1384" t="str">
        <f>Oferta_OptimaRPV!H726</f>
        <v/>
      </c>
      <c r="I624" s="1384" t="str">
        <f>Oferta_OptimaRPV!I726</f>
        <v/>
      </c>
      <c r="J624" s="1382" t="str">
        <f>Oferta_OptimaRPV!J726</f>
        <v/>
      </c>
      <c r="K624" s="1382" t="str">
        <f>Oferta_OptimaRPV!K726</f>
        <v/>
      </c>
      <c r="L624" s="1382" t="str">
        <f>Oferta_OptimaRPV!L726</f>
        <v/>
      </c>
      <c r="M624" s="1382" t="str">
        <f>Oferta_OptimaRPV!M726</f>
        <v/>
      </c>
      <c r="N624" s="1382" t="str">
        <f>Oferta_OptimaRPV!N726</f>
        <v/>
      </c>
      <c r="O624" s="1382" t="str">
        <f>Oferta_OptimaRPV!O726</f>
        <v/>
      </c>
      <c r="P624" s="1382" t="str">
        <f>Oferta_OptimaRPV!P726</f>
        <v/>
      </c>
      <c r="Q624" s="1382" t="str">
        <f>Oferta_OptimaRPV!Q726</f>
        <v/>
      </c>
      <c r="R624" s="1382" t="str">
        <f>Oferta_OptimaRPV!R726</f>
        <v/>
      </c>
      <c r="S624" s="1382" t="str">
        <f>Oferta_OptimaRPV!S726</f>
        <v/>
      </c>
      <c r="T624" s="1382" t="str">
        <f>Oferta_OptimaRPV!T726</f>
        <v/>
      </c>
      <c r="U624" s="1385">
        <f>Oferta_OptimaRPV!U726</f>
        <v>0</v>
      </c>
      <c r="V624" s="1171"/>
      <c r="W624" s="441"/>
    </row>
    <row r="625" spans="1:23" ht="27.6" customHeight="1">
      <c r="A625" s="420"/>
      <c r="V625" s="420"/>
      <c r="W625" s="441"/>
    </row>
    <row r="626" spans="1:23" ht="41.25" customHeight="1">
      <c r="A626" s="420"/>
      <c r="B626" s="420"/>
      <c r="C626" s="420"/>
      <c r="D626" s="420"/>
      <c r="E626" s="420"/>
      <c r="F626" s="420"/>
      <c r="G626" s="420"/>
      <c r="H626" s="420"/>
      <c r="I626" s="420"/>
      <c r="J626" s="420"/>
      <c r="K626" s="420"/>
      <c r="L626" s="420"/>
      <c r="M626" s="420"/>
      <c r="N626" s="420"/>
      <c r="O626" s="420"/>
      <c r="P626" s="420"/>
      <c r="Q626" s="420"/>
      <c r="S626" s="2262" t="s">
        <v>295</v>
      </c>
      <c r="T626" s="2263"/>
      <c r="U626" s="832">
        <f>Oferta_OptimaRPV!U728</f>
        <v>0</v>
      </c>
      <c r="V626" s="420"/>
      <c r="W626" s="441"/>
    </row>
    <row r="628" spans="1:23" ht="19.149999999999999" customHeight="1">
      <c r="B628" s="522"/>
      <c r="C628" s="585"/>
      <c r="D628" s="584"/>
      <c r="E628" s="584"/>
      <c r="F628" s="584"/>
      <c r="G628" s="586"/>
      <c r="H628" s="586"/>
      <c r="I628" s="586"/>
      <c r="J628" s="586"/>
      <c r="K628" s="587"/>
      <c r="L628" s="587"/>
      <c r="M628" s="587"/>
      <c r="N628" s="587"/>
      <c r="O628" s="587"/>
      <c r="P628" s="587"/>
      <c r="Q628" s="561"/>
      <c r="R628" s="561"/>
      <c r="S628" s="441"/>
      <c r="T628" s="441"/>
      <c r="U628" s="588"/>
      <c r="V628" s="441"/>
    </row>
    <row r="629" spans="1:23">
      <c r="A629" s="420"/>
      <c r="B629" s="420"/>
      <c r="C629" s="420"/>
      <c r="D629" s="420"/>
      <c r="E629" s="420"/>
      <c r="F629" s="420"/>
      <c r="G629" s="420"/>
      <c r="H629" s="420"/>
      <c r="I629" s="420"/>
      <c r="J629" s="420"/>
      <c r="K629" s="420"/>
      <c r="L629" s="420"/>
      <c r="M629" s="420"/>
      <c r="N629" s="420"/>
      <c r="O629" s="420"/>
      <c r="P629" s="420"/>
      <c r="Q629" s="420"/>
      <c r="R629" s="420"/>
      <c r="S629" s="420"/>
      <c r="T629" s="420"/>
      <c r="U629" s="420"/>
      <c r="V629" s="420"/>
    </row>
    <row r="630" spans="1:23" ht="15.75">
      <c r="A630" s="420"/>
      <c r="B630" s="420"/>
      <c r="C630" s="420"/>
      <c r="D630" s="420"/>
      <c r="E630" s="420"/>
      <c r="F630" s="420"/>
      <c r="G630" s="420"/>
      <c r="H630" s="420"/>
      <c r="I630" s="420"/>
      <c r="J630" s="420"/>
      <c r="K630" s="420"/>
      <c r="L630" s="420"/>
      <c r="M630" s="476" t="s">
        <v>1401</v>
      </c>
      <c r="N630" s="420"/>
      <c r="O630" s="420"/>
      <c r="P630" s="420"/>
      <c r="Q630" s="420"/>
      <c r="R630" s="477" t="s">
        <v>692</v>
      </c>
      <c r="S630" s="478" t="str">
        <f>$E$31</f>
        <v>ILF5_90FCOSCP_B114CAGR43006</v>
      </c>
      <c r="T630" s="420"/>
      <c r="U630" s="420"/>
      <c r="V630" s="420"/>
    </row>
    <row r="631" spans="1:23">
      <c r="A631" s="420"/>
      <c r="B631" s="420"/>
      <c r="C631" s="420"/>
      <c r="D631" s="420"/>
      <c r="E631" s="420"/>
      <c r="F631" s="420"/>
      <c r="G631" s="420"/>
      <c r="H631" s="420"/>
      <c r="I631" s="420"/>
      <c r="J631" s="420"/>
      <c r="K631" s="420"/>
      <c r="L631" s="420"/>
      <c r="M631" s="420"/>
      <c r="N631" s="420"/>
      <c r="O631" s="420"/>
      <c r="P631" s="420"/>
      <c r="Q631" s="420"/>
      <c r="R631" s="420"/>
      <c r="S631" s="420"/>
      <c r="T631" s="420"/>
      <c r="U631" s="420"/>
      <c r="V631" s="420"/>
    </row>
    <row r="632" spans="1:23">
      <c r="A632" s="420"/>
      <c r="B632" s="420"/>
      <c r="C632" s="420"/>
      <c r="D632" s="420"/>
      <c r="E632" s="420"/>
      <c r="F632" s="420"/>
      <c r="G632" s="420"/>
      <c r="H632" s="436" t="s">
        <v>691</v>
      </c>
      <c r="I632" s="420"/>
      <c r="K632" s="420"/>
      <c r="L632" s="437" t="str">
        <f>$B$11</f>
        <v>INMOBILIARIA SERVIGESTION</v>
      </c>
      <c r="M632" s="420"/>
      <c r="N632" s="420"/>
      <c r="O632" s="420"/>
      <c r="P632" s="420"/>
      <c r="Q632" s="420"/>
      <c r="R632" s="420"/>
      <c r="S632" s="420"/>
      <c r="T632" s="420"/>
      <c r="U632" s="420"/>
      <c r="V632" s="420"/>
    </row>
    <row r="633" spans="1:23" ht="34.5">
      <c r="A633" s="420"/>
      <c r="B633" s="2268" t="s">
        <v>461</v>
      </c>
      <c r="C633" s="2268"/>
      <c r="D633" s="2268"/>
      <c r="E633" s="2268"/>
      <c r="F633" s="2268"/>
      <c r="G633" s="2268"/>
      <c r="H633" s="2268"/>
      <c r="I633" s="2268"/>
      <c r="J633" s="2268"/>
      <c r="K633" s="2268"/>
      <c r="L633" s="2268"/>
      <c r="M633" s="2268"/>
      <c r="N633" s="2268"/>
      <c r="O633" s="2268"/>
      <c r="P633" s="2268"/>
      <c r="Q633" s="2268"/>
      <c r="R633" s="2268"/>
      <c r="S633" s="2268"/>
      <c r="T633" s="2268"/>
      <c r="U633" s="2268"/>
      <c r="V633" s="420"/>
    </row>
    <row r="634" spans="1:23" ht="22.9" customHeight="1">
      <c r="A634" s="420"/>
      <c r="B634" s="2269" t="s">
        <v>1774</v>
      </c>
      <c r="C634" s="2269"/>
      <c r="D634" s="2269"/>
      <c r="E634" s="2269"/>
      <c r="F634" s="2269"/>
      <c r="G634" s="2269"/>
      <c r="H634" s="2269"/>
      <c r="I634" s="2269"/>
      <c r="J634" s="2269"/>
      <c r="K634" s="2269"/>
      <c r="L634" s="2269"/>
      <c r="M634" s="2269"/>
      <c r="N634" s="2269"/>
      <c r="O634" s="2269"/>
      <c r="P634" s="2269"/>
      <c r="Q634" s="2269"/>
      <c r="R634" s="2269"/>
      <c r="S634" s="2269"/>
      <c r="T634" s="2269"/>
      <c r="U634" s="2269"/>
      <c r="V634" s="420"/>
    </row>
    <row r="635" spans="1:23" ht="2.25" customHeight="1">
      <c r="A635" s="420"/>
      <c r="B635" s="1744"/>
      <c r="C635" s="1744"/>
      <c r="D635" s="1744"/>
      <c r="E635" s="1744"/>
      <c r="F635" s="1744"/>
      <c r="G635" s="1744"/>
      <c r="H635" s="1744"/>
      <c r="I635" s="1744"/>
      <c r="J635" s="1744"/>
      <c r="K635" s="1744"/>
      <c r="L635" s="1744"/>
      <c r="M635" s="1744"/>
      <c r="N635" s="1744"/>
      <c r="O635" s="1744"/>
      <c r="Q635" s="1744"/>
      <c r="R635" s="1744"/>
      <c r="S635" s="1744"/>
      <c r="T635" s="1744"/>
      <c r="U635" s="1744"/>
      <c r="V635" s="420"/>
    </row>
    <row r="636" spans="1:23" ht="23.25">
      <c r="A636" s="420"/>
      <c r="B636" s="2252" t="s">
        <v>1753</v>
      </c>
      <c r="C636" s="2252"/>
      <c r="D636" s="2252"/>
      <c r="E636" s="2252"/>
      <c r="F636" s="2252"/>
      <c r="G636" s="2252"/>
      <c r="H636" s="2252"/>
      <c r="I636" s="2252"/>
      <c r="J636" s="2252"/>
      <c r="K636" s="2252"/>
      <c r="L636" s="1744"/>
      <c r="M636" s="1744"/>
      <c r="N636" s="1744"/>
      <c r="O636" s="1744"/>
      <c r="P636" s="1744"/>
      <c r="Q636" s="1744"/>
      <c r="R636" s="1744"/>
      <c r="S636" s="1744"/>
      <c r="T636" s="1744"/>
      <c r="U636" s="1744"/>
      <c r="V636" s="420"/>
    </row>
    <row r="637" spans="1:23" ht="24.75" customHeight="1">
      <c r="A637" s="420"/>
      <c r="B637" s="2270" t="s">
        <v>1887</v>
      </c>
      <c r="C637" s="2270"/>
      <c r="D637" s="2270"/>
      <c r="E637" s="2270"/>
      <c r="F637" s="2270"/>
      <c r="G637" s="2270"/>
      <c r="H637" s="2270"/>
      <c r="I637" s="2270"/>
      <c r="J637" s="2270"/>
      <c r="K637" s="2270"/>
      <c r="L637" s="2270"/>
      <c r="M637" s="2270"/>
      <c r="N637" s="2270"/>
      <c r="O637" s="2270"/>
      <c r="P637" s="2270"/>
      <c r="Q637" s="2270"/>
      <c r="R637" s="2270"/>
      <c r="S637" s="2270"/>
      <c r="T637" s="2270"/>
      <c r="U637" s="2270"/>
      <c r="V637" s="420"/>
    </row>
    <row r="638" spans="1:23" ht="27.6" customHeight="1">
      <c r="A638" s="420"/>
      <c r="B638" s="2266" t="s">
        <v>1776</v>
      </c>
      <c r="C638" s="2266"/>
      <c r="D638" s="2266"/>
      <c r="E638" s="2266"/>
      <c r="F638" s="2266"/>
      <c r="G638" s="2266"/>
      <c r="H638" s="2266"/>
      <c r="I638" s="2266"/>
      <c r="J638" s="2266"/>
      <c r="K638" s="2266"/>
      <c r="L638" s="2266"/>
      <c r="M638" s="2266"/>
      <c r="N638" s="2266"/>
      <c r="O638" s="2266"/>
      <c r="P638" s="2266"/>
      <c r="Q638" s="2266"/>
      <c r="R638" s="2266"/>
      <c r="S638" s="2266"/>
      <c r="T638" s="2266"/>
      <c r="U638" s="2266"/>
      <c r="V638" s="420"/>
    </row>
    <row r="639" spans="1:23" ht="27.6" customHeight="1">
      <c r="A639" s="420"/>
      <c r="B639" s="2266" t="s">
        <v>1777</v>
      </c>
      <c r="C639" s="2266"/>
      <c r="D639" s="2266"/>
      <c r="E639" s="2266"/>
      <c r="F639" s="2266"/>
      <c r="G639" s="2266"/>
      <c r="H639" s="2266"/>
      <c r="I639" s="2266"/>
      <c r="J639" s="2266"/>
      <c r="K639" s="2266"/>
      <c r="L639" s="2266"/>
      <c r="M639" s="2266"/>
      <c r="N639" s="2266"/>
      <c r="O639" s="2266"/>
      <c r="P639" s="2266"/>
      <c r="Q639" s="2266"/>
      <c r="R639" s="2266"/>
      <c r="S639" s="2266"/>
      <c r="T639" s="2266"/>
      <c r="U639" s="2266"/>
      <c r="V639" s="420"/>
    </row>
    <row r="640" spans="1:23" ht="27.6" customHeight="1">
      <c r="A640" s="420"/>
      <c r="B640" s="2266" t="s">
        <v>1778</v>
      </c>
      <c r="C640" s="2266"/>
      <c r="D640" s="2266"/>
      <c r="E640" s="2266"/>
      <c r="F640" s="2266"/>
      <c r="G640" s="2266"/>
      <c r="H640" s="2266"/>
      <c r="I640" s="2266"/>
      <c r="J640" s="2266"/>
      <c r="K640" s="2266"/>
      <c r="L640" s="2266"/>
      <c r="M640" s="2266"/>
      <c r="N640" s="2266"/>
      <c r="O640" s="2266"/>
      <c r="P640" s="2266"/>
      <c r="Q640" s="2266"/>
      <c r="R640" s="2266"/>
      <c r="S640" s="2266"/>
      <c r="T640" s="2266"/>
      <c r="U640" s="2266"/>
      <c r="V640" s="420"/>
    </row>
    <row r="641" spans="1:22" ht="27.6" customHeight="1">
      <c r="A641" s="420"/>
      <c r="B641" s="2266" t="s">
        <v>1779</v>
      </c>
      <c r="C641" s="2266"/>
      <c r="D641" s="2266"/>
      <c r="E641" s="2266"/>
      <c r="F641" s="2266"/>
      <c r="G641" s="2266"/>
      <c r="H641" s="2266"/>
      <c r="I641" s="2266"/>
      <c r="J641" s="2266"/>
      <c r="K641" s="2266"/>
      <c r="L641" s="2266"/>
      <c r="M641" s="2266"/>
      <c r="N641" s="2266"/>
      <c r="O641" s="2266"/>
      <c r="P641" s="2266"/>
      <c r="Q641" s="2266"/>
      <c r="R641" s="2266"/>
      <c r="S641" s="2266"/>
      <c r="T641" s="2266"/>
      <c r="U641" s="2266"/>
      <c r="V641" s="420"/>
    </row>
    <row r="642" spans="1:22" ht="27.6" customHeight="1">
      <c r="A642" s="420"/>
      <c r="B642" s="2266" t="s">
        <v>1780</v>
      </c>
      <c r="C642" s="2266"/>
      <c r="D642" s="2266"/>
      <c r="E642" s="2266"/>
      <c r="F642" s="2266"/>
      <c r="G642" s="2266"/>
      <c r="H642" s="2266"/>
      <c r="I642" s="2266"/>
      <c r="J642" s="2266"/>
      <c r="K642" s="2266"/>
      <c r="L642" s="2266"/>
      <c r="M642" s="2266"/>
      <c r="N642" s="2266"/>
      <c r="O642" s="2266"/>
      <c r="P642" s="2266"/>
      <c r="Q642" s="2266"/>
      <c r="R642" s="2266"/>
      <c r="S642" s="2266"/>
      <c r="T642" s="2266"/>
      <c r="U642" s="2266"/>
      <c r="V642" s="420"/>
    </row>
    <row r="643" spans="1:22" ht="27.6" customHeight="1">
      <c r="A643" s="420"/>
      <c r="B643" s="2264" t="s">
        <v>1781</v>
      </c>
      <c r="C643" s="2264"/>
      <c r="D643" s="2264"/>
      <c r="E643" s="2264"/>
      <c r="F643" s="2264"/>
      <c r="G643" s="2264"/>
      <c r="H643" s="2264"/>
      <c r="I643" s="2264"/>
      <c r="J643" s="2264"/>
      <c r="K643" s="2264"/>
      <c r="L643" s="2264"/>
      <c r="M643" s="2264"/>
      <c r="N643" s="2264"/>
      <c r="O643" s="2264"/>
      <c r="P643" s="2264"/>
      <c r="Q643" s="2264"/>
      <c r="R643" s="2264"/>
      <c r="S643" s="2264"/>
      <c r="T643" s="2264"/>
      <c r="U643" s="2264"/>
      <c r="V643" s="420"/>
    </row>
    <row r="644" spans="1:22" ht="27.6" customHeight="1">
      <c r="A644" s="420"/>
      <c r="B644" s="2264" t="s">
        <v>1782</v>
      </c>
      <c r="C644" s="2264"/>
      <c r="D644" s="2264"/>
      <c r="E644" s="2264"/>
      <c r="F644" s="2264"/>
      <c r="G644" s="2264"/>
      <c r="H644" s="2264"/>
      <c r="I644" s="2264"/>
      <c r="J644" s="2264"/>
      <c r="K644" s="2264"/>
      <c r="L644" s="2264"/>
      <c r="M644" s="2264"/>
      <c r="N644" s="2264"/>
      <c r="O644" s="2264"/>
      <c r="P644" s="2264"/>
      <c r="Q644" s="2264"/>
      <c r="R644" s="2264"/>
      <c r="S644" s="2264"/>
      <c r="T644" s="2264"/>
      <c r="U644" s="2264"/>
      <c r="V644" s="420"/>
    </row>
    <row r="645" spans="1:22" ht="27.6" customHeight="1">
      <c r="A645" s="420"/>
      <c r="B645" s="2264" t="s">
        <v>1783</v>
      </c>
      <c r="C645" s="2264"/>
      <c r="D645" s="2264"/>
      <c r="E645" s="2264"/>
      <c r="F645" s="2264"/>
      <c r="G645" s="2264"/>
      <c r="H645" s="2264"/>
      <c r="I645" s="2264"/>
      <c r="J645" s="2264"/>
      <c r="K645" s="2264"/>
      <c r="L645" s="2264"/>
      <c r="M645" s="2264"/>
      <c r="N645" s="2264"/>
      <c r="O645" s="2264"/>
      <c r="P645" s="2264"/>
      <c r="Q645" s="2264"/>
      <c r="R645" s="2264"/>
      <c r="S645" s="2264"/>
      <c r="T645" s="2264"/>
      <c r="U645" s="2264"/>
      <c r="V645" s="420"/>
    </row>
    <row r="646" spans="1:22" ht="33.6" customHeight="1">
      <c r="A646" s="420"/>
      <c r="B646" s="2265" t="s">
        <v>1784</v>
      </c>
      <c r="C646" s="2266"/>
      <c r="D646" s="2266"/>
      <c r="E646" s="2266"/>
      <c r="F646" s="2266"/>
      <c r="G646" s="2266"/>
      <c r="H646" s="2266"/>
      <c r="I646" s="2266"/>
      <c r="J646" s="2266"/>
      <c r="K646" s="2266"/>
      <c r="L646" s="1777"/>
      <c r="M646" s="1777"/>
      <c r="N646" s="1777"/>
      <c r="O646" s="1777"/>
      <c r="P646" s="1777"/>
      <c r="Q646" s="1777"/>
      <c r="R646" s="1777"/>
      <c r="S646" s="1777"/>
      <c r="T646" s="1777"/>
      <c r="U646" s="1777"/>
      <c r="V646" s="420"/>
    </row>
    <row r="647" spans="1:22" ht="22.9" customHeight="1">
      <c r="A647" s="420"/>
      <c r="B647" s="2266" t="s">
        <v>1785</v>
      </c>
      <c r="C647" s="2266"/>
      <c r="D647" s="2266"/>
      <c r="E647" s="2266"/>
      <c r="F647" s="2266"/>
      <c r="G647" s="2266"/>
      <c r="H647" s="2266"/>
      <c r="I647" s="2266"/>
      <c r="J647" s="2266"/>
      <c r="K647" s="2266"/>
      <c r="L647" s="2266"/>
      <c r="M647" s="2266"/>
      <c r="N647" s="2266"/>
      <c r="O647" s="2266"/>
      <c r="P647" s="2266"/>
      <c r="Q647" s="2266"/>
      <c r="R647" s="2266"/>
      <c r="S647" s="2266"/>
      <c r="T647" s="2266"/>
      <c r="U647" s="2266"/>
      <c r="V647" s="420"/>
    </row>
    <row r="648" spans="1:22" ht="22.15" customHeight="1">
      <c r="A648" s="420"/>
      <c r="B648" s="2267" t="s">
        <v>1786</v>
      </c>
      <c r="C648" s="2267"/>
      <c r="D648" s="2267"/>
      <c r="E648" s="2267"/>
      <c r="F648" s="2267"/>
      <c r="G648" s="2267"/>
      <c r="H648" s="2267"/>
      <c r="I648" s="2267"/>
      <c r="J648" s="2267"/>
      <c r="K648" s="2267"/>
      <c r="L648" s="2267"/>
      <c r="M648" s="2267"/>
      <c r="N648" s="2267"/>
      <c r="O648" s="2267"/>
      <c r="P648" s="2267"/>
      <c r="Q648" s="2267"/>
      <c r="R648" s="2267"/>
      <c r="S648" s="2267"/>
      <c r="T648" s="2267"/>
      <c r="U648" s="2267"/>
      <c r="V648" s="420"/>
    </row>
    <row r="649" spans="1:22" ht="23.25">
      <c r="A649" s="420"/>
      <c r="B649" s="2252" t="s">
        <v>1755</v>
      </c>
      <c r="C649" s="2252"/>
      <c r="D649" s="2252"/>
      <c r="E649" s="2252"/>
      <c r="F649" s="2252"/>
      <c r="G649" s="2252"/>
      <c r="H649" s="2252"/>
      <c r="I649" s="2252"/>
      <c r="J649" s="2252"/>
      <c r="K649" s="2252"/>
      <c r="L649" s="1744"/>
      <c r="M649" s="1744"/>
      <c r="N649" s="1744"/>
      <c r="O649" s="1744"/>
      <c r="P649" s="1744"/>
      <c r="Q649" s="1744"/>
      <c r="R649" s="1744"/>
      <c r="S649" s="1744"/>
      <c r="T649" s="1744"/>
      <c r="U649" s="1744"/>
      <c r="V649" s="420"/>
    </row>
    <row r="650" spans="1:22" ht="28.15" customHeight="1">
      <c r="A650" s="420"/>
      <c r="B650" s="2260" t="s">
        <v>1888</v>
      </c>
      <c r="C650" s="2260"/>
      <c r="D650" s="2260"/>
      <c r="E650" s="2260"/>
      <c r="F650" s="2260"/>
      <c r="G650" s="2260"/>
      <c r="H650" s="2260"/>
      <c r="I650" s="2260"/>
      <c r="J650" s="2260"/>
      <c r="K650" s="2260"/>
      <c r="L650" s="2260"/>
      <c r="M650" s="2260"/>
      <c r="N650" s="2260"/>
      <c r="O650" s="2260"/>
      <c r="P650" s="2260"/>
      <c r="Q650" s="2260"/>
      <c r="R650" s="2260"/>
      <c r="S650" s="2260"/>
      <c r="T650" s="2260"/>
      <c r="U650" s="2260"/>
      <c r="V650" s="420"/>
    </row>
    <row r="651" spans="1:22" ht="28.15" customHeight="1">
      <c r="A651" s="420"/>
      <c r="B651" s="2251" t="s">
        <v>1789</v>
      </c>
      <c r="C651" s="2251"/>
      <c r="D651" s="2251"/>
      <c r="E651" s="2251"/>
      <c r="F651" s="2251"/>
      <c r="G651" s="2251"/>
      <c r="H651" s="2251"/>
      <c r="I651" s="2251"/>
      <c r="J651" s="2251"/>
      <c r="K651" s="2251"/>
      <c r="L651" s="2251"/>
      <c r="M651" s="2251"/>
      <c r="N651" s="2251"/>
      <c r="O651" s="2251"/>
      <c r="P651" s="2251"/>
      <c r="Q651" s="2251"/>
      <c r="R651" s="2251"/>
      <c r="S651" s="2251"/>
      <c r="T651" s="2251"/>
      <c r="U651" s="2251"/>
      <c r="V651" s="420"/>
    </row>
    <row r="652" spans="1:22" ht="28.15" customHeight="1">
      <c r="A652" s="420"/>
      <c r="B652" s="2251" t="s">
        <v>1790</v>
      </c>
      <c r="C652" s="2251"/>
      <c r="D652" s="2251"/>
      <c r="E652" s="2251"/>
      <c r="F652" s="2251"/>
      <c r="G652" s="2251"/>
      <c r="H652" s="2251"/>
      <c r="I652" s="2251"/>
      <c r="J652" s="2251"/>
      <c r="K652" s="2251"/>
      <c r="L652" s="2251"/>
      <c r="M652" s="2251"/>
      <c r="N652" s="2251"/>
      <c r="O652" s="2251"/>
      <c r="P652" s="2251"/>
      <c r="Q652" s="2251"/>
      <c r="R652" s="2251"/>
      <c r="S652" s="2251"/>
      <c r="T652" s="2251"/>
      <c r="U652" s="2251"/>
      <c r="V652" s="420"/>
    </row>
    <row r="653" spans="1:22" ht="28.15" customHeight="1">
      <c r="A653" s="420"/>
      <c r="B653" s="2251" t="s">
        <v>1791</v>
      </c>
      <c r="C653" s="2251"/>
      <c r="D653" s="2251"/>
      <c r="E653" s="2251"/>
      <c r="F653" s="2251"/>
      <c r="G653" s="2251"/>
      <c r="H653" s="2251"/>
      <c r="I653" s="2251"/>
      <c r="J653" s="2251"/>
      <c r="K653" s="2251"/>
      <c r="L653" s="2251"/>
      <c r="M653" s="2251"/>
      <c r="N653" s="2251"/>
      <c r="O653" s="2251"/>
      <c r="P653" s="2251"/>
      <c r="Q653" s="2251"/>
      <c r="R653" s="2251"/>
      <c r="S653" s="2251"/>
      <c r="T653" s="2251"/>
      <c r="U653" s="2251"/>
      <c r="V653" s="420"/>
    </row>
    <row r="654" spans="1:22" ht="28.15" customHeight="1">
      <c r="A654" s="420"/>
      <c r="B654" s="2251" t="s">
        <v>1792</v>
      </c>
      <c r="C654" s="2251"/>
      <c r="D654" s="2251"/>
      <c r="E654" s="2251"/>
      <c r="F654" s="2251"/>
      <c r="G654" s="2251"/>
      <c r="H654" s="2251"/>
      <c r="I654" s="2251"/>
      <c r="J654" s="2251"/>
      <c r="K654" s="2251"/>
      <c r="L654" s="2251"/>
      <c r="M654" s="2251"/>
      <c r="N654" s="2251"/>
      <c r="O654" s="2251"/>
      <c r="P654" s="2251"/>
      <c r="Q654" s="2251"/>
      <c r="R654" s="2251"/>
      <c r="S654" s="2251"/>
      <c r="T654" s="2251"/>
      <c r="U654" s="2251"/>
      <c r="V654" s="420"/>
    </row>
    <row r="655" spans="1:22" ht="28.15" customHeight="1">
      <c r="A655" s="420"/>
      <c r="B655" s="2251" t="s">
        <v>1793</v>
      </c>
      <c r="C655" s="2251"/>
      <c r="D655" s="2251"/>
      <c r="E655" s="2251"/>
      <c r="F655" s="2251"/>
      <c r="G655" s="2251"/>
      <c r="H655" s="2251"/>
      <c r="I655" s="2251"/>
      <c r="J655" s="2251"/>
      <c r="K655" s="2251"/>
      <c r="L655" s="2251"/>
      <c r="M655" s="2251"/>
      <c r="N655" s="2251"/>
      <c r="O655" s="2251"/>
      <c r="P655" s="2251"/>
      <c r="Q655" s="2251"/>
      <c r="R655" s="2251"/>
      <c r="S655" s="2251"/>
      <c r="T655" s="2251"/>
      <c r="U655" s="2251"/>
      <c r="V655" s="420"/>
    </row>
    <row r="656" spans="1:22" ht="28.15" customHeight="1">
      <c r="A656" s="420"/>
      <c r="B656" s="2249" t="s">
        <v>1781</v>
      </c>
      <c r="C656" s="2249"/>
      <c r="D656" s="2249"/>
      <c r="E656" s="2249"/>
      <c r="F656" s="2249"/>
      <c r="G656" s="2249"/>
      <c r="H656" s="2249"/>
      <c r="I656" s="2249"/>
      <c r="J656" s="2249"/>
      <c r="K656" s="2249"/>
      <c r="L656" s="2249"/>
      <c r="M656" s="2249"/>
      <c r="N656" s="2249"/>
      <c r="O656" s="2249"/>
      <c r="P656" s="2249"/>
      <c r="Q656" s="2249"/>
      <c r="R656" s="2249"/>
      <c r="S656" s="2249"/>
      <c r="T656" s="2249"/>
      <c r="U656" s="2249"/>
      <c r="V656" s="420"/>
    </row>
    <row r="657" spans="1:23" ht="28.15" customHeight="1">
      <c r="A657" s="420"/>
      <c r="B657" s="2249" t="s">
        <v>1782</v>
      </c>
      <c r="C657" s="2249"/>
      <c r="D657" s="2249"/>
      <c r="E657" s="2249"/>
      <c r="F657" s="2249"/>
      <c r="G657" s="2249"/>
      <c r="H657" s="2249"/>
      <c r="I657" s="2249"/>
      <c r="J657" s="2249"/>
      <c r="K657" s="2249"/>
      <c r="L657" s="2249"/>
      <c r="M657" s="2249"/>
      <c r="N657" s="2249"/>
      <c r="O657" s="2249"/>
      <c r="P657" s="2249"/>
      <c r="Q657" s="2249"/>
      <c r="R657" s="2249"/>
      <c r="S657" s="2249"/>
      <c r="T657" s="2249"/>
      <c r="U657" s="2249"/>
      <c r="V657" s="420"/>
    </row>
    <row r="658" spans="1:23" ht="28.15" customHeight="1">
      <c r="A658" s="420"/>
      <c r="B658" s="2249" t="s">
        <v>1783</v>
      </c>
      <c r="C658" s="2249"/>
      <c r="D658" s="2249"/>
      <c r="E658" s="2249"/>
      <c r="F658" s="2249"/>
      <c r="G658" s="2249"/>
      <c r="H658" s="2249"/>
      <c r="I658" s="2249"/>
      <c r="J658" s="2249"/>
      <c r="K658" s="2249"/>
      <c r="L658" s="2249"/>
      <c r="M658" s="2249"/>
      <c r="N658" s="2249"/>
      <c r="O658" s="2249"/>
      <c r="P658" s="2249"/>
      <c r="Q658" s="2249"/>
      <c r="R658" s="2249"/>
      <c r="S658" s="2249"/>
      <c r="T658" s="2249"/>
      <c r="U658" s="2249"/>
      <c r="V658" s="420"/>
    </row>
    <row r="659" spans="1:23" ht="28.9" customHeight="1">
      <c r="A659" s="420"/>
      <c r="B659" s="2250" t="s">
        <v>1784</v>
      </c>
      <c r="C659" s="2251"/>
      <c r="D659" s="2251"/>
      <c r="E659" s="2251"/>
      <c r="F659" s="2251"/>
      <c r="G659" s="2251"/>
      <c r="H659" s="2251"/>
      <c r="I659" s="2251"/>
      <c r="J659" s="2251"/>
      <c r="K659" s="2251"/>
      <c r="L659" s="1743"/>
      <c r="M659" s="1743"/>
      <c r="N659" s="1743"/>
      <c r="O659" s="1743"/>
      <c r="P659" s="1743"/>
      <c r="Q659" s="1743"/>
      <c r="R659" s="1743"/>
      <c r="S659" s="1743"/>
      <c r="T659" s="1743"/>
      <c r="U659" s="1743"/>
      <c r="V659" s="420"/>
    </row>
    <row r="660" spans="1:23" s="1836" customFormat="1" ht="28.9" customHeight="1">
      <c r="A660" s="1835"/>
      <c r="B660" s="2332" t="s">
        <v>1794</v>
      </c>
      <c r="C660" s="2332"/>
      <c r="D660" s="2332"/>
      <c r="E660" s="2332"/>
      <c r="F660" s="2332"/>
      <c r="G660" s="2332"/>
      <c r="H660" s="2332"/>
      <c r="I660" s="2332"/>
      <c r="J660" s="2332"/>
      <c r="K660" s="2332"/>
      <c r="L660" s="2332"/>
      <c r="M660" s="2332"/>
      <c r="N660" s="2332"/>
      <c r="O660" s="2332"/>
      <c r="P660" s="2332"/>
      <c r="Q660" s="2332"/>
      <c r="R660" s="2332"/>
      <c r="S660" s="2332"/>
      <c r="T660" s="2332"/>
      <c r="U660" s="2332"/>
      <c r="V660" s="1835"/>
    </row>
    <row r="661" spans="1:23" ht="23.25">
      <c r="A661" s="420"/>
      <c r="B661" s="2252" t="s">
        <v>1795</v>
      </c>
      <c r="C661" s="2252"/>
      <c r="D661" s="2252"/>
      <c r="E661" s="2252"/>
      <c r="F661" s="2252"/>
      <c r="G661" s="2252"/>
      <c r="H661" s="2252"/>
      <c r="I661" s="2252"/>
      <c r="J661" s="2252"/>
      <c r="K661" s="2252"/>
      <c r="L661" s="2252"/>
      <c r="M661" s="2252"/>
      <c r="N661" s="2252"/>
      <c r="O661" s="2252"/>
      <c r="P661" s="2252"/>
      <c r="Q661" s="2252"/>
      <c r="R661" s="2252"/>
      <c r="S661" s="2252"/>
      <c r="T661" s="2252"/>
      <c r="U661" s="2252"/>
      <c r="V661" s="420"/>
    </row>
    <row r="662" spans="1:23" ht="11.25" customHeight="1">
      <c r="A662" s="420"/>
      <c r="B662" s="1744"/>
      <c r="C662" s="1744"/>
      <c r="D662" s="1744"/>
      <c r="E662" s="1744"/>
      <c r="F662" s="1744"/>
      <c r="G662" s="1744"/>
      <c r="H662" s="1744"/>
      <c r="I662" s="1744"/>
      <c r="J662" s="1744"/>
      <c r="K662" s="1744"/>
      <c r="L662" s="1744"/>
      <c r="M662" s="1744"/>
      <c r="N662" s="1744"/>
      <c r="O662" s="1744"/>
      <c r="P662" s="1744"/>
      <c r="Q662" s="1744"/>
      <c r="R662" s="1744"/>
      <c r="S662" s="1744"/>
      <c r="T662" s="1744"/>
      <c r="U662" s="1744"/>
      <c r="V662" s="420"/>
    </row>
    <row r="663" spans="1:23" ht="67.5" customHeight="1">
      <c r="A663" s="441"/>
      <c r="B663" s="2253" t="str">
        <f>Oferta_OptimaRPV!B767</f>
        <v>Sede</v>
      </c>
      <c r="C663" s="2254"/>
      <c r="D663" s="1749" t="str">
        <f>Oferta_OptimaRPV!D767</f>
        <v>Modalidad</v>
      </c>
      <c r="E663" s="2255" t="str">
        <f>Oferta_OptimaRPV!E767</f>
        <v>Tipo de acceso</v>
      </c>
      <c r="F663" s="2256"/>
      <c r="G663" s="1749" t="str">
        <f>Oferta_OptimaRPV!G767</f>
        <v>WiFi</v>
      </c>
      <c r="H663" s="1749" t="str">
        <f>Oferta_OptimaRPV!H767</f>
        <v>Internet local dedicado</v>
      </c>
      <c r="I663" s="1749" t="str">
        <f>Oferta_OptimaRPV!I767</f>
        <v>Internet corporativo sede central</v>
      </c>
      <c r="J663" s="1749" t="str">
        <f>Oferta_OptimaRPV!J767</f>
        <v>QoS</v>
      </c>
      <c r="K663" s="1749" t="str">
        <f>Oferta_OptimaRPV!K767</f>
        <v>IP pública</v>
      </c>
      <c r="L663" s="1749" t="str">
        <f>Oferta_OptimaRPV!L767</f>
        <v>Pack de 8 IPs públicas</v>
      </c>
      <c r="M663" s="1749" t="str">
        <f>Oferta_OptimaRPV!M767</f>
        <v>Portal de cliente avanzado</v>
      </c>
      <c r="N663" s="1749" t="str">
        <f>Oferta_OptimaRPV!N767</f>
        <v>Pack 5 usuarios IPSEC</v>
      </c>
      <c r="O663" s="1749" t="str">
        <f>Oferta_OptimaRPV!O767</f>
        <v>Pack 10 usuarios IPSEC</v>
      </c>
      <c r="P663" s="1749" t="str">
        <f>Oferta_OptimaRPV!P767</f>
        <v>Pack 50 usuarios IPSEC</v>
      </c>
      <c r="Q663" s="1749" t="str">
        <f>Oferta_OptimaRPV!Q767</f>
        <v>Móvil</v>
      </c>
      <c r="R663" s="1749" t="str">
        <f>Oferta_OptimaRPV!R767</f>
        <v>Asimétrico</v>
      </c>
      <c r="S663" s="1749" t="str">
        <f>Oferta_OptimaRPV!S767</f>
        <v>Simétrico on net</v>
      </c>
      <c r="T663" s="1749" t="str">
        <f>Oferta_OptimaRPV!T767</f>
        <v>Simétrico off net</v>
      </c>
      <c r="U663" s="1749" t="str">
        <f>Oferta_OptimaRPV!U767</f>
        <v>Total cuotas</v>
      </c>
      <c r="V663" s="466"/>
    </row>
    <row r="664" spans="1:23" ht="39.950000000000003" customHeight="1">
      <c r="B664" s="2257">
        <f>Oferta_OptimaRPV!B768</f>
        <v>0</v>
      </c>
      <c r="C664" s="2258"/>
      <c r="D664" s="1745">
        <f>Oferta_OptimaRPV!D768</f>
        <v>0</v>
      </c>
      <c r="E664" s="2259">
        <f>Oferta_OptimaRPV!E768</f>
        <v>0</v>
      </c>
      <c r="F664" s="2259"/>
      <c r="G664" s="1745">
        <f>Oferta_OptimaRPV!G768</f>
        <v>0</v>
      </c>
      <c r="H664" s="1745">
        <f>Oferta_OptimaRPV!H768</f>
        <v>0</v>
      </c>
      <c r="I664" s="1745">
        <f>Oferta_OptimaRPV!I768</f>
        <v>0</v>
      </c>
      <c r="J664" s="1745" t="str">
        <f>Oferta_OptimaRPV!J768</f>
        <v>gratis</v>
      </c>
      <c r="K664" s="1745">
        <f>Oferta_OptimaRPV!K768</f>
        <v>0</v>
      </c>
      <c r="L664" s="1745">
        <f>Oferta_OptimaRPV!L768</f>
        <v>0</v>
      </c>
      <c r="M664" s="1745" t="str">
        <f>Oferta_OptimaRPV!M768</f>
        <v>gratis</v>
      </c>
      <c r="N664" s="1745">
        <f>Oferta_OptimaRPV!N768</f>
        <v>0</v>
      </c>
      <c r="O664" s="1745">
        <f>Oferta_OptimaRPV!O768</f>
        <v>0</v>
      </c>
      <c r="P664" s="1745">
        <f>Oferta_OptimaRPV!P768</f>
        <v>0</v>
      </c>
      <c r="Q664" s="1745">
        <f>Oferta_OptimaRPV!Q768</f>
        <v>0</v>
      </c>
      <c r="R664" s="1745">
        <f>Oferta_OptimaRPV!R768</f>
        <v>0</v>
      </c>
      <c r="S664" s="1745">
        <f>Oferta_OptimaRPV!S768</f>
        <v>0</v>
      </c>
      <c r="T664" s="1745">
        <f>Oferta_OptimaRPV!T768</f>
        <v>0</v>
      </c>
      <c r="U664" s="1748">
        <f>Oferta_OptimaRPV!U768</f>
        <v>0</v>
      </c>
      <c r="V664" s="466"/>
      <c r="W664" s="441"/>
    </row>
    <row r="665" spans="1:23" ht="39.950000000000003" customHeight="1">
      <c r="B665" s="2257">
        <f>Oferta_OptimaRPV!B769</f>
        <v>0</v>
      </c>
      <c r="C665" s="2258"/>
      <c r="D665" s="1745">
        <f>Oferta_OptimaRPV!D769</f>
        <v>0</v>
      </c>
      <c r="E665" s="2259">
        <f>Oferta_OptimaRPV!E769</f>
        <v>0</v>
      </c>
      <c r="F665" s="2259"/>
      <c r="G665" s="1745">
        <f>Oferta_OptimaRPV!G769</f>
        <v>0</v>
      </c>
      <c r="H665" s="1745">
        <f>Oferta_OptimaRPV!H769</f>
        <v>0</v>
      </c>
      <c r="I665" s="1745">
        <f>Oferta_OptimaRPV!I769</f>
        <v>0</v>
      </c>
      <c r="J665" s="1745" t="str">
        <f>Oferta_OptimaRPV!J769</f>
        <v>gratis</v>
      </c>
      <c r="K665" s="1745">
        <f>Oferta_OptimaRPV!K769</f>
        <v>0</v>
      </c>
      <c r="L665" s="1745">
        <f>Oferta_OptimaRPV!L769</f>
        <v>0</v>
      </c>
      <c r="M665" s="1745" t="str">
        <f>Oferta_OptimaRPV!M769</f>
        <v>gratis</v>
      </c>
      <c r="N665" s="1745">
        <f>Oferta_OptimaRPV!N769</f>
        <v>0</v>
      </c>
      <c r="O665" s="1745">
        <f>Oferta_OptimaRPV!O769</f>
        <v>0</v>
      </c>
      <c r="P665" s="1745">
        <f>Oferta_OptimaRPV!P769</f>
        <v>0</v>
      </c>
      <c r="Q665" s="1745">
        <f>Oferta_OptimaRPV!Q769</f>
        <v>0</v>
      </c>
      <c r="R665" s="1745">
        <f>Oferta_OptimaRPV!R769</f>
        <v>0</v>
      </c>
      <c r="S665" s="1745">
        <f>Oferta_OptimaRPV!S769</f>
        <v>0</v>
      </c>
      <c r="T665" s="1745">
        <f>Oferta_OptimaRPV!T769</f>
        <v>0</v>
      </c>
      <c r="U665" s="1748">
        <f>Oferta_OptimaRPV!U769</f>
        <v>0</v>
      </c>
      <c r="V665" s="466"/>
      <c r="W665" s="441"/>
    </row>
    <row r="666" spans="1:23" ht="39.950000000000003" customHeight="1">
      <c r="B666" s="2257">
        <f>Oferta_OptimaRPV!B770</f>
        <v>0</v>
      </c>
      <c r="C666" s="2258"/>
      <c r="D666" s="1745">
        <f>Oferta_OptimaRPV!D770</f>
        <v>0</v>
      </c>
      <c r="E666" s="2259">
        <f>Oferta_OptimaRPV!E770</f>
        <v>0</v>
      </c>
      <c r="F666" s="2259"/>
      <c r="G666" s="1745">
        <f>Oferta_OptimaRPV!G770</f>
        <v>0</v>
      </c>
      <c r="H666" s="1745">
        <f>Oferta_OptimaRPV!H770</f>
        <v>0</v>
      </c>
      <c r="I666" s="1745">
        <f>Oferta_OptimaRPV!I770</f>
        <v>0</v>
      </c>
      <c r="J666" s="1745" t="str">
        <f>Oferta_OptimaRPV!J770</f>
        <v>gratis</v>
      </c>
      <c r="K666" s="1745">
        <f>Oferta_OptimaRPV!K770</f>
        <v>0</v>
      </c>
      <c r="L666" s="1745">
        <f>Oferta_OptimaRPV!L770</f>
        <v>0</v>
      </c>
      <c r="M666" s="1745" t="str">
        <f>Oferta_OptimaRPV!M770</f>
        <v>gratis</v>
      </c>
      <c r="N666" s="1745">
        <f>Oferta_OptimaRPV!N770</f>
        <v>0</v>
      </c>
      <c r="O666" s="1745">
        <f>Oferta_OptimaRPV!O770</f>
        <v>0</v>
      </c>
      <c r="P666" s="1745">
        <f>Oferta_OptimaRPV!P770</f>
        <v>0</v>
      </c>
      <c r="Q666" s="1745">
        <f>Oferta_OptimaRPV!Q770</f>
        <v>0</v>
      </c>
      <c r="R666" s="1745">
        <f>Oferta_OptimaRPV!R770</f>
        <v>0</v>
      </c>
      <c r="S666" s="1745">
        <f>Oferta_OptimaRPV!S770</f>
        <v>0</v>
      </c>
      <c r="T666" s="1745">
        <f>Oferta_OptimaRPV!T770</f>
        <v>0</v>
      </c>
      <c r="U666" s="1748">
        <f>Oferta_OptimaRPV!U770</f>
        <v>0</v>
      </c>
      <c r="V666" s="466"/>
      <c r="W666" s="441"/>
    </row>
    <row r="667" spans="1:23" ht="39.950000000000003" customHeight="1">
      <c r="B667" s="2257">
        <f>Oferta_OptimaRPV!B771</f>
        <v>0</v>
      </c>
      <c r="C667" s="2258"/>
      <c r="D667" s="1745">
        <f>Oferta_OptimaRPV!D771</f>
        <v>0</v>
      </c>
      <c r="E667" s="2259">
        <f>Oferta_OptimaRPV!E771</f>
        <v>0</v>
      </c>
      <c r="F667" s="2259"/>
      <c r="G667" s="1745">
        <f>Oferta_OptimaRPV!G771</f>
        <v>0</v>
      </c>
      <c r="H667" s="1745">
        <f>Oferta_OptimaRPV!H771</f>
        <v>0</v>
      </c>
      <c r="I667" s="1745">
        <f>Oferta_OptimaRPV!I771</f>
        <v>0</v>
      </c>
      <c r="J667" s="1745" t="str">
        <f>Oferta_OptimaRPV!J771</f>
        <v>gratis</v>
      </c>
      <c r="K667" s="1745">
        <f>Oferta_OptimaRPV!K771</f>
        <v>0</v>
      </c>
      <c r="L667" s="1745">
        <f>Oferta_OptimaRPV!L771</f>
        <v>0</v>
      </c>
      <c r="M667" s="1745" t="str">
        <f>Oferta_OptimaRPV!M771</f>
        <v>gratis</v>
      </c>
      <c r="N667" s="1745">
        <f>Oferta_OptimaRPV!N771</f>
        <v>0</v>
      </c>
      <c r="O667" s="1745">
        <f>Oferta_OptimaRPV!O771</f>
        <v>0</v>
      </c>
      <c r="P667" s="1745">
        <f>Oferta_OptimaRPV!P771</f>
        <v>0</v>
      </c>
      <c r="Q667" s="1745">
        <f>Oferta_OptimaRPV!Q771</f>
        <v>0</v>
      </c>
      <c r="R667" s="1745">
        <f>Oferta_OptimaRPV!R771</f>
        <v>0</v>
      </c>
      <c r="S667" s="1745">
        <f>Oferta_OptimaRPV!S771</f>
        <v>0</v>
      </c>
      <c r="T667" s="1745">
        <f>Oferta_OptimaRPV!T771</f>
        <v>0</v>
      </c>
      <c r="U667" s="1748">
        <f>Oferta_OptimaRPV!U771</f>
        <v>0</v>
      </c>
      <c r="V667" s="466"/>
      <c r="W667" s="441"/>
    </row>
    <row r="668" spans="1:23" ht="39.950000000000003" customHeight="1">
      <c r="B668" s="2257">
        <f>Oferta_OptimaRPV!B772</f>
        <v>0</v>
      </c>
      <c r="C668" s="2258"/>
      <c r="D668" s="1745">
        <f>Oferta_OptimaRPV!D772</f>
        <v>0</v>
      </c>
      <c r="E668" s="2259">
        <f>Oferta_OptimaRPV!E772</f>
        <v>0</v>
      </c>
      <c r="F668" s="2259"/>
      <c r="G668" s="1745">
        <f>Oferta_OptimaRPV!G772</f>
        <v>0</v>
      </c>
      <c r="H668" s="1745">
        <f>Oferta_OptimaRPV!H772</f>
        <v>0</v>
      </c>
      <c r="I668" s="1745">
        <f>Oferta_OptimaRPV!I772</f>
        <v>0</v>
      </c>
      <c r="J668" s="1745" t="str">
        <f>Oferta_OptimaRPV!J772</f>
        <v>gratis</v>
      </c>
      <c r="K668" s="1745">
        <f>Oferta_OptimaRPV!K772</f>
        <v>0</v>
      </c>
      <c r="L668" s="1745">
        <f>Oferta_OptimaRPV!L772</f>
        <v>0</v>
      </c>
      <c r="M668" s="1745" t="str">
        <f>Oferta_OptimaRPV!M772</f>
        <v>gratis</v>
      </c>
      <c r="N668" s="1745">
        <f>Oferta_OptimaRPV!N772</f>
        <v>0</v>
      </c>
      <c r="O668" s="1745">
        <f>Oferta_OptimaRPV!O772</f>
        <v>0</v>
      </c>
      <c r="P668" s="1745">
        <f>Oferta_OptimaRPV!P772</f>
        <v>0</v>
      </c>
      <c r="Q668" s="1745">
        <f>Oferta_OptimaRPV!Q772</f>
        <v>0</v>
      </c>
      <c r="R668" s="1745">
        <f>Oferta_OptimaRPV!R772</f>
        <v>0</v>
      </c>
      <c r="S668" s="1745">
        <f>Oferta_OptimaRPV!S772</f>
        <v>0</v>
      </c>
      <c r="T668" s="1745">
        <f>Oferta_OptimaRPV!T772</f>
        <v>0</v>
      </c>
      <c r="U668" s="1748">
        <f>Oferta_OptimaRPV!U772</f>
        <v>0</v>
      </c>
      <c r="V668" s="466"/>
      <c r="W668" s="441"/>
    </row>
    <row r="669" spans="1:23" ht="39.950000000000003" customHeight="1">
      <c r="B669" s="2257">
        <f>Oferta_OptimaRPV!B773</f>
        <v>0</v>
      </c>
      <c r="C669" s="2258"/>
      <c r="D669" s="1745">
        <f>Oferta_OptimaRPV!D773</f>
        <v>0</v>
      </c>
      <c r="E669" s="2259">
        <f>Oferta_OptimaRPV!E773</f>
        <v>0</v>
      </c>
      <c r="F669" s="2259"/>
      <c r="G669" s="1745">
        <f>Oferta_OptimaRPV!G773</f>
        <v>0</v>
      </c>
      <c r="H669" s="1745">
        <f>Oferta_OptimaRPV!H773</f>
        <v>0</v>
      </c>
      <c r="I669" s="1745">
        <f>Oferta_OptimaRPV!I773</f>
        <v>0</v>
      </c>
      <c r="J669" s="1745" t="str">
        <f>Oferta_OptimaRPV!J773</f>
        <v>gratis</v>
      </c>
      <c r="K669" s="1745">
        <f>Oferta_OptimaRPV!K773</f>
        <v>0</v>
      </c>
      <c r="L669" s="1745">
        <f>Oferta_OptimaRPV!L773</f>
        <v>0</v>
      </c>
      <c r="M669" s="1745" t="str">
        <f>Oferta_OptimaRPV!M773</f>
        <v>gratis</v>
      </c>
      <c r="N669" s="1745">
        <f>Oferta_OptimaRPV!N773</f>
        <v>0</v>
      </c>
      <c r="O669" s="1745">
        <f>Oferta_OptimaRPV!O773</f>
        <v>0</v>
      </c>
      <c r="P669" s="1745">
        <f>Oferta_OptimaRPV!P773</f>
        <v>0</v>
      </c>
      <c r="Q669" s="1745">
        <f>Oferta_OptimaRPV!Q773</f>
        <v>0</v>
      </c>
      <c r="R669" s="1745">
        <f>Oferta_OptimaRPV!R773</f>
        <v>0</v>
      </c>
      <c r="S669" s="1745">
        <f>Oferta_OptimaRPV!S773</f>
        <v>0</v>
      </c>
      <c r="T669" s="1745">
        <f>Oferta_OptimaRPV!T773</f>
        <v>0</v>
      </c>
      <c r="U669" s="1748">
        <f>Oferta_OptimaRPV!U773</f>
        <v>0</v>
      </c>
      <c r="V669" s="466"/>
      <c r="W669" s="441"/>
    </row>
    <row r="670" spans="1:23" ht="39.950000000000003" customHeight="1">
      <c r="B670" s="2257">
        <f>Oferta_OptimaRPV!B774</f>
        <v>0</v>
      </c>
      <c r="C670" s="2258"/>
      <c r="D670" s="1745">
        <f>Oferta_OptimaRPV!D774</f>
        <v>0</v>
      </c>
      <c r="E670" s="2259">
        <f>Oferta_OptimaRPV!E774</f>
        <v>0</v>
      </c>
      <c r="F670" s="2259"/>
      <c r="G670" s="1745">
        <f>Oferta_OptimaRPV!G774</f>
        <v>0</v>
      </c>
      <c r="H670" s="1745">
        <f>Oferta_OptimaRPV!H774</f>
        <v>0</v>
      </c>
      <c r="I670" s="1745">
        <f>Oferta_OptimaRPV!I774</f>
        <v>0</v>
      </c>
      <c r="J670" s="1745" t="str">
        <f>Oferta_OptimaRPV!J774</f>
        <v>gratis</v>
      </c>
      <c r="K670" s="1745">
        <f>Oferta_OptimaRPV!K774</f>
        <v>0</v>
      </c>
      <c r="L670" s="1745">
        <f>Oferta_OptimaRPV!L774</f>
        <v>0</v>
      </c>
      <c r="M670" s="1745" t="str">
        <f>Oferta_OptimaRPV!M774</f>
        <v>gratis</v>
      </c>
      <c r="N670" s="1745">
        <f>Oferta_OptimaRPV!N774</f>
        <v>0</v>
      </c>
      <c r="O670" s="1745">
        <f>Oferta_OptimaRPV!O774</f>
        <v>0</v>
      </c>
      <c r="P670" s="1745">
        <f>Oferta_OptimaRPV!P774</f>
        <v>0</v>
      </c>
      <c r="Q670" s="1745">
        <f>Oferta_OptimaRPV!Q774</f>
        <v>0</v>
      </c>
      <c r="R670" s="1745">
        <f>Oferta_OptimaRPV!R774</f>
        <v>0</v>
      </c>
      <c r="S670" s="1745">
        <f>Oferta_OptimaRPV!S774</f>
        <v>0</v>
      </c>
      <c r="T670" s="1745">
        <f>Oferta_OptimaRPV!T774</f>
        <v>0</v>
      </c>
      <c r="U670" s="1748">
        <f>Oferta_OptimaRPV!U774</f>
        <v>0</v>
      </c>
      <c r="V670" s="466"/>
      <c r="W670" s="441"/>
    </row>
    <row r="671" spans="1:23" ht="39.950000000000003" customHeight="1">
      <c r="B671" s="2257">
        <f>Oferta_OptimaRPV!B775</f>
        <v>0</v>
      </c>
      <c r="C671" s="2258"/>
      <c r="D671" s="1745">
        <f>Oferta_OptimaRPV!D775</f>
        <v>0</v>
      </c>
      <c r="E671" s="2259">
        <f>Oferta_OptimaRPV!E775</f>
        <v>0</v>
      </c>
      <c r="F671" s="2259"/>
      <c r="G671" s="1745">
        <f>Oferta_OptimaRPV!G775</f>
        <v>0</v>
      </c>
      <c r="H671" s="1745">
        <f>Oferta_OptimaRPV!H775</f>
        <v>0</v>
      </c>
      <c r="I671" s="1745">
        <f>Oferta_OptimaRPV!I775</f>
        <v>0</v>
      </c>
      <c r="J671" s="1745" t="str">
        <f>Oferta_OptimaRPV!J775</f>
        <v>gratis</v>
      </c>
      <c r="K671" s="1745">
        <f>Oferta_OptimaRPV!K775</f>
        <v>0</v>
      </c>
      <c r="L671" s="1745">
        <f>Oferta_OptimaRPV!L775</f>
        <v>0</v>
      </c>
      <c r="M671" s="1745" t="str">
        <f>Oferta_OptimaRPV!M775</f>
        <v>gratis</v>
      </c>
      <c r="N671" s="1745">
        <f>Oferta_OptimaRPV!N775</f>
        <v>0</v>
      </c>
      <c r="O671" s="1745">
        <f>Oferta_OptimaRPV!O775</f>
        <v>0</v>
      </c>
      <c r="P671" s="1745">
        <f>Oferta_OptimaRPV!P775</f>
        <v>0</v>
      </c>
      <c r="Q671" s="1745">
        <f>Oferta_OptimaRPV!Q775</f>
        <v>0</v>
      </c>
      <c r="R671" s="1745">
        <f>Oferta_OptimaRPV!R775</f>
        <v>0</v>
      </c>
      <c r="S671" s="1745">
        <f>Oferta_OptimaRPV!S775</f>
        <v>0</v>
      </c>
      <c r="T671" s="1745">
        <f>Oferta_OptimaRPV!T775</f>
        <v>0</v>
      </c>
      <c r="U671" s="1748">
        <f>Oferta_OptimaRPV!U775</f>
        <v>0</v>
      </c>
      <c r="V671" s="466"/>
      <c r="W671" s="441"/>
    </row>
    <row r="672" spans="1:23" ht="39.950000000000003" customHeight="1">
      <c r="B672" s="2257">
        <f>Oferta_OptimaRPV!B776</f>
        <v>0</v>
      </c>
      <c r="C672" s="2258"/>
      <c r="D672" s="1745">
        <f>Oferta_OptimaRPV!D776</f>
        <v>0</v>
      </c>
      <c r="E672" s="2259">
        <f>Oferta_OptimaRPV!E776</f>
        <v>0</v>
      </c>
      <c r="F672" s="2259"/>
      <c r="G672" s="1745">
        <f>Oferta_OptimaRPV!G776</f>
        <v>0</v>
      </c>
      <c r="H672" s="1745">
        <f>Oferta_OptimaRPV!H776</f>
        <v>0</v>
      </c>
      <c r="I672" s="1745">
        <f>Oferta_OptimaRPV!I776</f>
        <v>0</v>
      </c>
      <c r="J672" s="1745" t="str">
        <f>Oferta_OptimaRPV!J776</f>
        <v>gratis</v>
      </c>
      <c r="K672" s="1745">
        <f>Oferta_OptimaRPV!K776</f>
        <v>0</v>
      </c>
      <c r="L672" s="1745">
        <f>Oferta_OptimaRPV!L776</f>
        <v>0</v>
      </c>
      <c r="M672" s="1745" t="str">
        <f>Oferta_OptimaRPV!M776</f>
        <v>gratis</v>
      </c>
      <c r="N672" s="1745">
        <f>Oferta_OptimaRPV!N776</f>
        <v>0</v>
      </c>
      <c r="O672" s="1745">
        <f>Oferta_OptimaRPV!O776</f>
        <v>0</v>
      </c>
      <c r="P672" s="1745">
        <f>Oferta_OptimaRPV!P776</f>
        <v>0</v>
      </c>
      <c r="Q672" s="1745">
        <f>Oferta_OptimaRPV!Q776</f>
        <v>0</v>
      </c>
      <c r="R672" s="1745">
        <f>Oferta_OptimaRPV!R776</f>
        <v>0</v>
      </c>
      <c r="S672" s="1745">
        <f>Oferta_OptimaRPV!S776</f>
        <v>0</v>
      </c>
      <c r="T672" s="1745">
        <f>Oferta_OptimaRPV!T776</f>
        <v>0</v>
      </c>
      <c r="U672" s="1748">
        <f>Oferta_OptimaRPV!U776</f>
        <v>0</v>
      </c>
      <c r="V672" s="466"/>
      <c r="W672" s="441"/>
    </row>
    <row r="673" spans="1:23" ht="39.950000000000003" customHeight="1">
      <c r="B673" s="2257">
        <f>Oferta_OptimaRPV!B777</f>
        <v>0</v>
      </c>
      <c r="C673" s="2258"/>
      <c r="D673" s="1745">
        <f>Oferta_OptimaRPV!D777</f>
        <v>0</v>
      </c>
      <c r="E673" s="2259">
        <f>Oferta_OptimaRPV!E777</f>
        <v>0</v>
      </c>
      <c r="F673" s="2259"/>
      <c r="G673" s="1745">
        <f>Oferta_OptimaRPV!G777</f>
        <v>0</v>
      </c>
      <c r="H673" s="1745">
        <f>Oferta_OptimaRPV!H777</f>
        <v>0</v>
      </c>
      <c r="I673" s="1745">
        <f>Oferta_OptimaRPV!I777</f>
        <v>0</v>
      </c>
      <c r="J673" s="1745" t="str">
        <f>Oferta_OptimaRPV!J777</f>
        <v>gratis</v>
      </c>
      <c r="K673" s="1745">
        <f>Oferta_OptimaRPV!K777</f>
        <v>0</v>
      </c>
      <c r="L673" s="1745">
        <f>Oferta_OptimaRPV!L777</f>
        <v>0</v>
      </c>
      <c r="M673" s="1745" t="str">
        <f>Oferta_OptimaRPV!M777</f>
        <v>gratis</v>
      </c>
      <c r="N673" s="1745">
        <f>Oferta_OptimaRPV!N777</f>
        <v>0</v>
      </c>
      <c r="O673" s="1745">
        <f>Oferta_OptimaRPV!O777</f>
        <v>0</v>
      </c>
      <c r="P673" s="1745">
        <f>Oferta_OptimaRPV!P777</f>
        <v>0</v>
      </c>
      <c r="Q673" s="1745">
        <f>Oferta_OptimaRPV!Q777</f>
        <v>0</v>
      </c>
      <c r="R673" s="1745">
        <f>Oferta_OptimaRPV!R777</f>
        <v>0</v>
      </c>
      <c r="S673" s="1745">
        <f>Oferta_OptimaRPV!S777</f>
        <v>0</v>
      </c>
      <c r="T673" s="1745">
        <f>Oferta_OptimaRPV!T777</f>
        <v>0</v>
      </c>
      <c r="U673" s="1748">
        <f>Oferta_OptimaRPV!U777</f>
        <v>0</v>
      </c>
      <c r="V673" s="466"/>
      <c r="W673" s="441"/>
    </row>
    <row r="674" spans="1:23" ht="39.950000000000003" customHeight="1">
      <c r="A674" s="420"/>
      <c r="B674" s="2257">
        <f>Oferta_OptimaRPV!B778</f>
        <v>0</v>
      </c>
      <c r="C674" s="2258"/>
      <c r="D674" s="1745">
        <f>Oferta_OptimaRPV!D778</f>
        <v>0</v>
      </c>
      <c r="E674" s="2259">
        <f>Oferta_OptimaRPV!E778</f>
        <v>0</v>
      </c>
      <c r="F674" s="2259"/>
      <c r="G674" s="1745">
        <f>Oferta_OptimaRPV!G778</f>
        <v>0</v>
      </c>
      <c r="H674" s="1745">
        <f>Oferta_OptimaRPV!H778</f>
        <v>0</v>
      </c>
      <c r="I674" s="1745">
        <f>Oferta_OptimaRPV!I778</f>
        <v>0</v>
      </c>
      <c r="J674" s="1745" t="str">
        <f>Oferta_OptimaRPV!J778</f>
        <v>gratis</v>
      </c>
      <c r="K674" s="1745">
        <f>Oferta_OptimaRPV!K778</f>
        <v>0</v>
      </c>
      <c r="L674" s="1745">
        <f>Oferta_OptimaRPV!L778</f>
        <v>0</v>
      </c>
      <c r="M674" s="1745" t="str">
        <f>Oferta_OptimaRPV!M778</f>
        <v>gratis</v>
      </c>
      <c r="N674" s="1745">
        <f>Oferta_OptimaRPV!N778</f>
        <v>0</v>
      </c>
      <c r="O674" s="1745">
        <f>Oferta_OptimaRPV!O778</f>
        <v>0</v>
      </c>
      <c r="P674" s="1745">
        <f>Oferta_OptimaRPV!P778</f>
        <v>0</v>
      </c>
      <c r="Q674" s="1745">
        <f>Oferta_OptimaRPV!Q778</f>
        <v>0</v>
      </c>
      <c r="R674" s="1745">
        <f>Oferta_OptimaRPV!R778</f>
        <v>0</v>
      </c>
      <c r="S674" s="1745">
        <f>Oferta_OptimaRPV!S778</f>
        <v>0</v>
      </c>
      <c r="T674" s="1745">
        <f>Oferta_OptimaRPV!T778</f>
        <v>0</v>
      </c>
      <c r="U674" s="1748">
        <f>Oferta_OptimaRPV!U778</f>
        <v>0</v>
      </c>
      <c r="V674" s="729"/>
      <c r="W674" s="441"/>
    </row>
    <row r="675" spans="1:23" ht="9" customHeight="1">
      <c r="A675" s="420"/>
      <c r="B675" s="1744"/>
      <c r="C675" s="1744"/>
      <c r="D675" s="1744"/>
      <c r="E675" s="1744"/>
      <c r="F675" s="1744"/>
      <c r="G675" s="1744"/>
      <c r="H675" s="1744"/>
      <c r="I675" s="1744"/>
      <c r="J675" s="1744"/>
      <c r="K675" s="1744"/>
      <c r="L675" s="1744"/>
      <c r="M675" s="1744"/>
      <c r="N675" s="1747"/>
      <c r="O675" s="1747"/>
      <c r="P675" s="1744"/>
      <c r="Q675" s="1778" t="str">
        <f>IF([6]Perfiles_usuario!X57=0,"",[6]Perfiles_usuario!X57)</f>
        <v/>
      </c>
      <c r="R675" s="2261"/>
      <c r="S675" s="2261"/>
      <c r="T675" s="2261"/>
      <c r="U675" s="1748"/>
      <c r="V675" s="420"/>
    </row>
    <row r="676" spans="1:23" ht="23.25">
      <c r="A676" s="420"/>
      <c r="B676" s="1744"/>
      <c r="C676" s="1744"/>
      <c r="D676" s="1744"/>
      <c r="E676" s="1744"/>
      <c r="F676" s="1744"/>
      <c r="G676" s="1744"/>
      <c r="H676" s="1744"/>
      <c r="I676" s="1744"/>
      <c r="J676" s="1744"/>
      <c r="K676" s="1744"/>
      <c r="L676" s="1744"/>
      <c r="M676" s="1744"/>
      <c r="N676" s="1744"/>
      <c r="O676" s="629"/>
      <c r="S676" s="2262" t="s">
        <v>295</v>
      </c>
      <c r="T676" s="2263"/>
      <c r="U676" s="832">
        <f>Oferta_OptimaRPV!U780</f>
        <v>0</v>
      </c>
      <c r="V676" s="470"/>
    </row>
    <row r="677" spans="1:23" ht="16.149999999999999" hidden="1" customHeight="1">
      <c r="A677" s="420"/>
      <c r="B677" s="1744"/>
      <c r="C677" s="1744"/>
      <c r="D677" s="1744"/>
      <c r="E677" s="1744"/>
      <c r="F677" s="1744"/>
      <c r="G677" s="1744"/>
      <c r="H677" s="1744"/>
      <c r="I677" s="1744"/>
      <c r="J677" s="1744"/>
      <c r="K677" s="1744"/>
      <c r="L677" s="1744"/>
      <c r="M677" s="1744"/>
      <c r="N677" s="1744"/>
      <c r="O677" s="1744"/>
      <c r="P677" s="1744"/>
      <c r="Q677" s="1744"/>
      <c r="R677" s="1744"/>
      <c r="S677" s="1744"/>
      <c r="T677" s="1744"/>
      <c r="U677" s="1744"/>
      <c r="V677" s="420"/>
    </row>
    <row r="678" spans="1:23" hidden="1">
      <c r="A678" s="420"/>
      <c r="B678" s="420"/>
      <c r="C678" s="420"/>
      <c r="D678" s="420"/>
      <c r="E678" s="420"/>
      <c r="F678" s="420"/>
      <c r="G678" s="420"/>
      <c r="H678" s="420"/>
      <c r="I678" s="420"/>
      <c r="J678" s="420"/>
      <c r="K678" s="420"/>
      <c r="L678" s="420"/>
      <c r="M678" s="420"/>
      <c r="N678" s="420"/>
      <c r="O678" s="420"/>
      <c r="P678" s="420"/>
      <c r="Q678" s="420"/>
      <c r="R678" s="420"/>
      <c r="S678" s="420"/>
      <c r="T678" s="420"/>
      <c r="U678" s="420"/>
      <c r="V678" s="420"/>
    </row>
    <row r="679" spans="1:23" hidden="1"/>
    <row r="680" spans="1:23" ht="19.149999999999999" hidden="1" customHeight="1">
      <c r="B680" s="522"/>
      <c r="C680" s="585"/>
      <c r="D680" s="584"/>
      <c r="E680" s="584"/>
      <c r="F680" s="584"/>
      <c r="G680" s="586"/>
      <c r="H680" s="586"/>
      <c r="I680" s="586"/>
      <c r="J680" s="586"/>
      <c r="K680" s="587"/>
      <c r="L680" s="587"/>
      <c r="M680" s="587"/>
      <c r="N680" s="587"/>
      <c r="O680" s="587"/>
      <c r="P680" s="587"/>
      <c r="Q680" s="561"/>
      <c r="R680" s="561"/>
      <c r="S680" s="441"/>
      <c r="T680" s="441"/>
      <c r="U680" s="588"/>
      <c r="V680" s="441"/>
    </row>
    <row r="681" spans="1:23" hidden="1">
      <c r="A681" s="420"/>
      <c r="B681" s="420"/>
      <c r="C681" s="420"/>
      <c r="D681" s="420"/>
      <c r="E681" s="420"/>
      <c r="F681" s="420"/>
      <c r="G681" s="420"/>
      <c r="H681" s="420"/>
      <c r="I681" s="420"/>
      <c r="J681" s="420"/>
      <c r="K681" s="420"/>
      <c r="L681" s="420"/>
      <c r="M681" s="420"/>
      <c r="N681" s="420"/>
      <c r="O681" s="420"/>
      <c r="P681" s="420"/>
      <c r="Q681" s="420"/>
      <c r="R681" s="420"/>
      <c r="S681" s="420"/>
      <c r="T681" s="420"/>
      <c r="U681" s="420"/>
      <c r="V681" s="420"/>
    </row>
    <row r="682" spans="1:23" ht="6.75" customHeight="1">
      <c r="A682" s="420"/>
      <c r="B682" s="420"/>
      <c r="C682" s="420"/>
      <c r="D682" s="420"/>
      <c r="E682" s="420"/>
      <c r="F682" s="420"/>
      <c r="G682" s="420"/>
      <c r="H682" s="420"/>
      <c r="I682" s="420"/>
      <c r="J682" s="420"/>
      <c r="K682" s="420"/>
      <c r="L682" s="420"/>
      <c r="M682" s="420"/>
      <c r="N682" s="420"/>
      <c r="O682" s="420"/>
      <c r="P682" s="420"/>
      <c r="Q682" s="420"/>
      <c r="R682" s="420"/>
      <c r="S682" s="420"/>
      <c r="T682" s="420"/>
      <c r="U682" s="420"/>
      <c r="V682" s="420"/>
    </row>
    <row r="683" spans="1:23" ht="15.75">
      <c r="A683" s="420"/>
      <c r="B683" s="420"/>
      <c r="C683" s="420"/>
      <c r="D683" s="420"/>
      <c r="E683" s="420"/>
      <c r="F683" s="420"/>
      <c r="G683" s="420"/>
      <c r="H683" s="420"/>
      <c r="I683" s="420"/>
      <c r="J683" s="420"/>
      <c r="K683" s="420"/>
      <c r="L683" s="420"/>
      <c r="M683" s="476" t="s">
        <v>1397</v>
      </c>
      <c r="N683" s="420"/>
      <c r="O683" s="420"/>
      <c r="P683" s="420"/>
      <c r="Q683" s="420"/>
      <c r="R683" s="477" t="s">
        <v>692</v>
      </c>
      <c r="S683" s="478" t="str">
        <f>$E$31</f>
        <v>ILF5_90FCOSCP_B114CAGR43006</v>
      </c>
      <c r="T683" s="420"/>
      <c r="U683" s="420"/>
      <c r="V683" s="420"/>
    </row>
    <row r="684" spans="1:23" ht="25.15" customHeight="1">
      <c r="A684" s="420"/>
      <c r="B684" s="420"/>
      <c r="C684" s="420"/>
      <c r="D684" s="420"/>
      <c r="E684" s="420"/>
      <c r="F684" s="420"/>
      <c r="G684" s="420"/>
      <c r="H684" s="436" t="s">
        <v>691</v>
      </c>
      <c r="I684" s="420"/>
      <c r="K684" s="420"/>
      <c r="L684" s="437" t="str">
        <f>$B$11</f>
        <v>INMOBILIARIA SERVIGESTION</v>
      </c>
      <c r="M684" s="420"/>
      <c r="N684" s="420"/>
      <c r="O684" s="420"/>
      <c r="P684" s="420"/>
      <c r="Q684" s="420"/>
      <c r="R684" s="420"/>
      <c r="S684" s="420"/>
      <c r="T684" s="420"/>
      <c r="U684" s="420"/>
      <c r="V684" s="420"/>
    </row>
    <row r="685" spans="1:23" ht="50.25" customHeight="1">
      <c r="A685" s="420"/>
      <c r="B685" s="2268" t="s">
        <v>461</v>
      </c>
      <c r="C685" s="2268"/>
      <c r="D685" s="2268"/>
      <c r="E685" s="2268"/>
      <c r="F685" s="2268"/>
      <c r="G685" s="2268"/>
      <c r="H685" s="2268"/>
      <c r="I685" s="2268"/>
      <c r="J685" s="2268"/>
      <c r="K685" s="2268"/>
      <c r="L685" s="2268"/>
      <c r="M685" s="2268"/>
      <c r="N685" s="2268"/>
      <c r="O685" s="2268"/>
      <c r="P685" s="2268"/>
      <c r="Q685" s="2268"/>
      <c r="R685" s="2268"/>
      <c r="S685" s="2268"/>
      <c r="T685" s="2268"/>
      <c r="U685" s="2268"/>
      <c r="V685" s="420"/>
    </row>
    <row r="686" spans="1:23" ht="28.5" customHeight="1">
      <c r="A686" s="420"/>
      <c r="B686" s="2269" t="s">
        <v>1108</v>
      </c>
      <c r="C686" s="2269"/>
      <c r="D686" s="2269"/>
      <c r="E686" s="2269"/>
      <c r="F686" s="2269"/>
      <c r="G686" s="2269"/>
      <c r="H686" s="2269"/>
      <c r="I686" s="2269"/>
      <c r="J686" s="2269"/>
      <c r="K686" s="2269"/>
      <c r="L686" s="2269"/>
      <c r="M686" s="2269"/>
      <c r="N686" s="2269"/>
      <c r="O686" s="2269"/>
      <c r="P686" s="2269"/>
      <c r="Q686" s="2269"/>
      <c r="R686" s="2269"/>
      <c r="S686" s="2269"/>
      <c r="T686" s="2269"/>
      <c r="U686" s="2269"/>
      <c r="V686" s="420"/>
    </row>
    <row r="687" spans="1:23" ht="23.25">
      <c r="A687" s="420"/>
      <c r="B687" s="2252" t="s">
        <v>1091</v>
      </c>
      <c r="C687" s="2252"/>
      <c r="D687" s="2252"/>
      <c r="E687" s="2252"/>
      <c r="F687" s="2252"/>
      <c r="G687" s="2252"/>
      <c r="H687" s="2252"/>
      <c r="I687" s="2252"/>
      <c r="J687" s="2252"/>
      <c r="K687" s="2252"/>
      <c r="L687" s="1165"/>
      <c r="M687" s="1165"/>
      <c r="N687" s="1165"/>
      <c r="O687" s="1165"/>
      <c r="P687" s="1165"/>
      <c r="Q687" s="1165"/>
      <c r="R687" s="1165"/>
      <c r="S687" s="1165"/>
      <c r="T687" s="1165"/>
      <c r="U687" s="1165"/>
      <c r="V687" s="420"/>
    </row>
    <row r="688" spans="1:23" ht="31.5" customHeight="1">
      <c r="A688" s="420"/>
      <c r="B688" s="2260" t="s">
        <v>1115</v>
      </c>
      <c r="C688" s="2260"/>
      <c r="D688" s="2260"/>
      <c r="E688" s="2260"/>
      <c r="F688" s="2260"/>
      <c r="G688" s="2260"/>
      <c r="H688" s="2260"/>
      <c r="I688" s="2260"/>
      <c r="J688" s="2260"/>
      <c r="K688" s="2260"/>
      <c r="L688" s="2260"/>
      <c r="M688" s="2260"/>
      <c r="N688" s="2260"/>
      <c r="O688" s="2260"/>
      <c r="P688" s="2260"/>
      <c r="Q688" s="2260"/>
      <c r="R688" s="2260"/>
      <c r="S688" s="2260"/>
      <c r="T688" s="2260"/>
      <c r="U688" s="2260"/>
      <c r="V688" s="420"/>
    </row>
    <row r="689" spans="1:22" s="1524" customFormat="1" ht="25.5" customHeight="1">
      <c r="A689" s="1545"/>
      <c r="B689" s="1526"/>
      <c r="C689" s="2587" t="s">
        <v>1116</v>
      </c>
      <c r="D689" s="2588"/>
      <c r="E689" s="2588"/>
      <c r="F689" s="2588"/>
      <c r="G689" s="2588"/>
      <c r="H689" s="2588"/>
      <c r="I689" s="2588"/>
      <c r="J689" s="2588"/>
      <c r="K689" s="2588"/>
      <c r="L689" s="2588"/>
      <c r="M689" s="2588"/>
      <c r="N689" s="2588"/>
      <c r="O689" s="2588"/>
      <c r="P689" s="2588"/>
      <c r="Q689" s="2588"/>
      <c r="R689" s="2588"/>
      <c r="S689" s="2588"/>
      <c r="T689" s="2589"/>
      <c r="U689" s="1526"/>
      <c r="V689" s="1546"/>
    </row>
    <row r="690" spans="1:22" s="1198" customFormat="1" ht="25.5" customHeight="1">
      <c r="A690" s="619"/>
      <c r="B690" s="619"/>
      <c r="C690" s="2590" t="s">
        <v>1103</v>
      </c>
      <c r="D690" s="2590"/>
      <c r="E690" s="2590"/>
      <c r="F690" s="2590"/>
      <c r="G690" s="2590"/>
      <c r="H690" s="2590"/>
      <c r="I690" s="2590"/>
      <c r="J690" s="2590"/>
      <c r="K690" s="2590"/>
      <c r="L690" s="619"/>
      <c r="M690" s="2591" t="s">
        <v>1102</v>
      </c>
      <c r="N690" s="2592"/>
      <c r="O690" s="2592"/>
      <c r="P690" s="2592"/>
      <c r="Q690" s="2592"/>
      <c r="R690" s="2592"/>
      <c r="S690" s="2592"/>
      <c r="T690" s="2593"/>
      <c r="U690" s="546"/>
      <c r="V690" s="1546"/>
    </row>
    <row r="691" spans="1:22" ht="154.5" customHeight="1">
      <c r="A691" s="441"/>
      <c r="B691" s="501" t="s">
        <v>362</v>
      </c>
      <c r="C691" s="2396" t="s">
        <v>1130</v>
      </c>
      <c r="D691" s="2397"/>
      <c r="E691" s="2397"/>
      <c r="F691" s="2397"/>
      <c r="G691" s="2397"/>
      <c r="H691" s="2397"/>
      <c r="I691" s="2397"/>
      <c r="J691" s="2397"/>
      <c r="K691" s="2398"/>
      <c r="L691" s="441"/>
      <c r="M691" s="2396" t="s">
        <v>1136</v>
      </c>
      <c r="N691" s="2397"/>
      <c r="O691" s="2397"/>
      <c r="P691" s="2397"/>
      <c r="Q691" s="2397"/>
      <c r="R691" s="2397"/>
      <c r="S691" s="2397"/>
      <c r="T691" s="2398"/>
      <c r="U691" s="546"/>
      <c r="V691" s="1171"/>
    </row>
    <row r="692" spans="1:22" s="1524" customFormat="1" ht="28.5" customHeight="1">
      <c r="A692" s="619"/>
      <c r="B692" s="524"/>
      <c r="C692" s="2399" t="s">
        <v>1119</v>
      </c>
      <c r="D692" s="2399"/>
      <c r="E692" s="2399"/>
      <c r="F692" s="2399"/>
      <c r="G692" s="2399"/>
      <c r="H692" s="1547">
        <v>10.5</v>
      </c>
      <c r="I692" s="1548"/>
      <c r="J692" s="1548"/>
      <c r="K692" s="1548"/>
      <c r="L692" s="524"/>
      <c r="M692" s="2399" t="s">
        <v>1119</v>
      </c>
      <c r="N692" s="2399"/>
      <c r="O692" s="2399"/>
      <c r="P692" s="2399"/>
      <c r="Q692" s="2399"/>
      <c r="R692" s="1547">
        <v>4.5</v>
      </c>
      <c r="S692" s="1548"/>
      <c r="T692" s="1548"/>
      <c r="U692" s="1549"/>
      <c r="V692" s="1546"/>
    </row>
    <row r="693" spans="1:22" ht="4.5" customHeight="1">
      <c r="A693" s="325"/>
      <c r="B693" s="524"/>
      <c r="C693"/>
      <c r="D693"/>
      <c r="E693"/>
      <c r="F693"/>
      <c r="G693"/>
      <c r="H693"/>
      <c r="I693"/>
      <c r="J693"/>
      <c r="K693"/>
      <c r="L693"/>
      <c r="M693"/>
      <c r="N693"/>
      <c r="O693"/>
      <c r="P693"/>
      <c r="Q693"/>
      <c r="R693"/>
      <c r="S693"/>
      <c r="T693"/>
      <c r="U693" s="1168"/>
      <c r="V693" s="1171"/>
    </row>
    <row r="694" spans="1:22" ht="61.5" customHeight="1">
      <c r="A694" s="325"/>
      <c r="B694" s="524"/>
      <c r="C694" s="2580" t="s">
        <v>1118</v>
      </c>
      <c r="D694" s="2581"/>
      <c r="E694" s="2581"/>
      <c r="F694" s="2581"/>
      <c r="G694" s="2581"/>
      <c r="H694" s="2581"/>
      <c r="I694" s="2581"/>
      <c r="J694" s="2581"/>
      <c r="K694" s="2582"/>
      <c r="L694"/>
      <c r="M694" s="2580" t="s">
        <v>1120</v>
      </c>
      <c r="N694" s="2581"/>
      <c r="O694" s="2581"/>
      <c r="P694" s="2581"/>
      <c r="Q694" s="2581"/>
      <c r="R694" s="2581"/>
      <c r="S694" s="2581"/>
      <c r="T694" s="2582"/>
      <c r="U694" s="1168"/>
      <c r="V694" s="1171"/>
    </row>
    <row r="695" spans="1:22" s="1524" customFormat="1" ht="19.5" customHeight="1">
      <c r="A695" s="1546"/>
      <c r="B695" s="524"/>
      <c r="C695" s="2583" t="s">
        <v>1092</v>
      </c>
      <c r="D695" s="2583"/>
      <c r="E695" s="2583"/>
      <c r="F695" s="2583"/>
      <c r="G695" s="2583"/>
      <c r="H695" s="2583"/>
      <c r="I695" s="2583"/>
      <c r="J695" s="2583"/>
      <c r="K695" s="2583"/>
      <c r="L695" s="1525"/>
      <c r="M695" s="2558" t="s">
        <v>1093</v>
      </c>
      <c r="N695" s="2559"/>
      <c r="O695" s="2559"/>
      <c r="P695" s="2559"/>
      <c r="Q695" s="2559"/>
      <c r="R695" s="2559"/>
      <c r="S695" s="2559"/>
      <c r="T695" s="2560"/>
      <c r="U695" s="1549"/>
      <c r="V695" s="1546"/>
    </row>
    <row r="696" spans="1:22" ht="124.5" customHeight="1">
      <c r="A696" s="1171"/>
      <c r="B696" s="524"/>
      <c r="C696" s="2396" t="s">
        <v>1125</v>
      </c>
      <c r="D696" s="2397"/>
      <c r="E696" s="2397"/>
      <c r="F696" s="2397"/>
      <c r="G696" s="2397"/>
      <c r="H696" s="2397"/>
      <c r="I696" s="2397"/>
      <c r="J696" s="2397"/>
      <c r="K696" s="2398"/>
      <c r="L696" s="1162"/>
      <c r="M696" s="2396" t="s">
        <v>1124</v>
      </c>
      <c r="N696" s="2397"/>
      <c r="O696" s="2397"/>
      <c r="P696" s="2397"/>
      <c r="Q696" s="2397"/>
      <c r="R696" s="2397"/>
      <c r="S696" s="2397"/>
      <c r="T696" s="2398"/>
      <c r="U696" s="1168"/>
      <c r="V696" s="1171"/>
    </row>
    <row r="697" spans="1:22" s="1524" customFormat="1" ht="30.75" customHeight="1">
      <c r="A697" s="619"/>
      <c r="B697" s="524"/>
      <c r="C697" s="2399" t="s">
        <v>1119</v>
      </c>
      <c r="D697" s="2399"/>
      <c r="E697" s="2399"/>
      <c r="F697" s="2399"/>
      <c r="G697" s="2399"/>
      <c r="H697" s="1547">
        <v>10</v>
      </c>
      <c r="I697" s="1548"/>
      <c r="J697" s="1548"/>
      <c r="K697" s="1548"/>
      <c r="L697" s="524"/>
      <c r="M697" s="2399" t="s">
        <v>1119</v>
      </c>
      <c r="N697" s="2399"/>
      <c r="O697" s="2399"/>
      <c r="P697" s="2399"/>
      <c r="Q697" s="2399"/>
      <c r="R697" s="1547">
        <v>5</v>
      </c>
      <c r="S697" s="1548"/>
      <c r="T697" s="1548"/>
      <c r="U697" s="1549"/>
      <c r="V697" s="1546"/>
    </row>
    <row r="698" spans="1:22" s="522" customFormat="1" ht="3.75" customHeight="1">
      <c r="A698" s="1171"/>
      <c r="B698" s="524"/>
      <c r="C698" s="1166"/>
      <c r="D698" s="1166"/>
      <c r="E698" s="1166"/>
      <c r="F698" s="1166"/>
      <c r="G698" s="1166"/>
      <c r="H698" s="1166"/>
      <c r="I698" s="1166"/>
      <c r="J698" s="1166"/>
      <c r="K698" s="1166"/>
      <c r="L698" s="1166"/>
      <c r="M698" s="1166"/>
      <c r="N698" s="1166"/>
      <c r="O698" s="1166"/>
      <c r="P698" s="1166"/>
      <c r="Q698" s="1166"/>
      <c r="R698" s="1166"/>
      <c r="S698" s="1166"/>
      <c r="T698" s="1166"/>
      <c r="U698" s="1168"/>
      <c r="V698" s="1171"/>
    </row>
    <row r="699" spans="1:22" s="522" customFormat="1" ht="57.75" customHeight="1">
      <c r="A699" s="325"/>
      <c r="B699" s="524"/>
      <c r="C699" s="2580" t="s">
        <v>1121</v>
      </c>
      <c r="D699" s="2581"/>
      <c r="E699" s="2581"/>
      <c r="F699" s="2581"/>
      <c r="G699" s="2581"/>
      <c r="H699" s="2581"/>
      <c r="I699" s="2581"/>
      <c r="J699" s="2581"/>
      <c r="K699" s="2582"/>
      <c r="L699"/>
      <c r="M699" s="2580" t="s">
        <v>1123</v>
      </c>
      <c r="N699" s="2581"/>
      <c r="O699" s="2581"/>
      <c r="P699" s="2581"/>
      <c r="Q699" s="2581"/>
      <c r="R699" s="2581"/>
      <c r="S699" s="2581"/>
      <c r="T699" s="2582"/>
      <c r="U699" s="1168"/>
      <c r="V699" s="1171"/>
    </row>
    <row r="700" spans="1:22" s="1198" customFormat="1" ht="29.25" customHeight="1">
      <c r="A700" s="1546"/>
      <c r="B700" s="524"/>
      <c r="C700" s="2583" t="s">
        <v>1094</v>
      </c>
      <c r="D700" s="2583"/>
      <c r="E700" s="2583"/>
      <c r="F700" s="2583"/>
      <c r="G700" s="2583"/>
      <c r="H700" s="2583"/>
      <c r="I700" s="2583"/>
      <c r="J700" s="2583"/>
      <c r="K700" s="2583"/>
      <c r="L700" s="1525"/>
      <c r="M700" s="2558" t="s">
        <v>1095</v>
      </c>
      <c r="N700" s="2559"/>
      <c r="O700" s="2559"/>
      <c r="P700" s="2559"/>
      <c r="Q700" s="2559"/>
      <c r="R700" s="2559"/>
      <c r="S700" s="2559"/>
      <c r="T700" s="2560"/>
      <c r="U700" s="1549"/>
      <c r="V700" s="1546"/>
    </row>
    <row r="701" spans="1:22" s="522" customFormat="1" ht="105.75" customHeight="1">
      <c r="A701" s="1171"/>
      <c r="B701" s="524"/>
      <c r="C701" s="2396" t="s">
        <v>1126</v>
      </c>
      <c r="D701" s="2397"/>
      <c r="E701" s="2397"/>
      <c r="F701" s="2397"/>
      <c r="G701" s="2397"/>
      <c r="H701" s="2397"/>
      <c r="I701" s="2397"/>
      <c r="J701" s="2397"/>
      <c r="K701" s="2398"/>
      <c r="L701" s="1162"/>
      <c r="M701" s="2396" t="s">
        <v>1889</v>
      </c>
      <c r="N701" s="2397"/>
      <c r="O701" s="2397"/>
      <c r="P701" s="2397"/>
      <c r="Q701" s="2397"/>
      <c r="R701" s="2397"/>
      <c r="S701" s="2397"/>
      <c r="T701" s="2398"/>
      <c r="U701" s="1168"/>
      <c r="V701" s="1171"/>
    </row>
    <row r="702" spans="1:22" s="522" customFormat="1" ht="24.6" customHeight="1">
      <c r="A702" s="441"/>
      <c r="B702" s="524"/>
      <c r="C702" s="2392" t="s">
        <v>1119</v>
      </c>
      <c r="D702" s="2393"/>
      <c r="E702" s="2393"/>
      <c r="F702" s="2393"/>
      <c r="G702" s="2393"/>
      <c r="H702" s="2561">
        <v>10</v>
      </c>
      <c r="I702" s="2561"/>
      <c r="J702" s="2561"/>
      <c r="K702" s="2562"/>
      <c r="L702" s="499"/>
      <c r="M702" s="2392" t="s">
        <v>1472</v>
      </c>
      <c r="N702" s="2393"/>
      <c r="O702" s="2393"/>
      <c r="P702" s="2393"/>
      <c r="Q702" s="2393"/>
      <c r="R702" s="2393"/>
      <c r="S702" s="2393"/>
      <c r="T702" s="1550">
        <v>15</v>
      </c>
      <c r="U702" s="1168"/>
      <c r="V702" s="1171"/>
    </row>
    <row r="703" spans="1:22" s="522" customFormat="1" ht="17.25" customHeight="1">
      <c r="A703" s="420"/>
      <c r="B703" s="1165"/>
      <c r="C703" s="1165"/>
      <c r="D703" s="1165"/>
      <c r="E703" s="1165"/>
      <c r="F703" s="1165"/>
      <c r="G703" s="1165"/>
      <c r="H703" s="1165"/>
      <c r="I703" s="1165"/>
      <c r="J703" s="1165"/>
      <c r="K703" s="1165"/>
      <c r="L703" s="1165"/>
      <c r="M703" s="1165"/>
      <c r="N703" s="1165"/>
      <c r="O703" s="1165"/>
      <c r="P703" s="1165"/>
      <c r="Q703" s="1165"/>
      <c r="R703" s="1165"/>
      <c r="S703" s="1165"/>
      <c r="T703" s="1165"/>
      <c r="U703" s="1165"/>
      <c r="V703" s="1171"/>
    </row>
    <row r="704" spans="1:22" s="522" customFormat="1" ht="28.5" customHeight="1">
      <c r="A704" s="441"/>
      <c r="B704" s="422"/>
      <c r="C704" s="2534" t="s">
        <v>1087</v>
      </c>
      <c r="D704" s="2486"/>
      <c r="E704" s="2486"/>
      <c r="F704" s="2486"/>
      <c r="G704" s="2256"/>
      <c r="H704" s="2255" t="s">
        <v>1122</v>
      </c>
      <c r="I704" s="2486"/>
      <c r="J704" s="2486"/>
      <c r="K704" s="2256"/>
      <c r="L704" s="2255" t="s">
        <v>1101</v>
      </c>
      <c r="M704" s="2256"/>
      <c r="N704" s="2254" t="s">
        <v>51</v>
      </c>
      <c r="O704" s="2255"/>
      <c r="P704" s="1170"/>
      <c r="Q704"/>
      <c r="R704"/>
      <c r="S704"/>
      <c r="T704"/>
      <c r="U704"/>
      <c r="V704" s="325"/>
    </row>
    <row r="705" spans="1:22" s="522" customFormat="1" ht="24.95" customHeight="1">
      <c r="A705" s="422"/>
      <c r="B705" s="422"/>
      <c r="C705" s="2485">
        <f>Oferta_OptimaRPV!C811</f>
        <v>0</v>
      </c>
      <c r="D705" s="2484"/>
      <c r="E705" s="2484"/>
      <c r="F705" s="2484"/>
      <c r="G705" s="2484"/>
      <c r="H705" s="2482">
        <f>Oferta_OptimaRPV!H811</f>
        <v>0</v>
      </c>
      <c r="I705" s="2482"/>
      <c r="J705" s="2482"/>
      <c r="K705" s="2482"/>
      <c r="L705" s="2484">
        <f>Oferta_OptimaRPV!L811</f>
        <v>0</v>
      </c>
      <c r="M705" s="2484"/>
      <c r="N705" s="2482">
        <f>Oferta_OptimaRPV!N811</f>
        <v>0</v>
      </c>
      <c r="O705" s="2482"/>
      <c r="P705" s="1170"/>
      <c r="Q705"/>
      <c r="R705"/>
      <c r="S705"/>
      <c r="T705"/>
      <c r="U705"/>
      <c r="V705"/>
    </row>
    <row r="706" spans="1:22" s="522" customFormat="1" ht="24.95" customHeight="1">
      <c r="A706" s="422"/>
      <c r="B706" s="422"/>
      <c r="C706" s="2485">
        <f>Oferta_OptimaRPV!C812</f>
        <v>0</v>
      </c>
      <c r="D706" s="2484"/>
      <c r="E706" s="2484"/>
      <c r="F706" s="2484"/>
      <c r="G706" s="2484"/>
      <c r="H706" s="2482">
        <f>Oferta_OptimaRPV!H812</f>
        <v>0</v>
      </c>
      <c r="I706" s="2482"/>
      <c r="J706" s="2482"/>
      <c r="K706" s="2482"/>
      <c r="L706" s="2484">
        <f>Oferta_OptimaRPV!L812</f>
        <v>0</v>
      </c>
      <c r="M706" s="2484"/>
      <c r="N706" s="2482">
        <f>Oferta_OptimaRPV!N812</f>
        <v>0</v>
      </c>
      <c r="O706" s="2482"/>
      <c r="P706" s="1170"/>
      <c r="Q706"/>
      <c r="R706"/>
      <c r="S706"/>
      <c r="T706"/>
      <c r="U706"/>
      <c r="V706"/>
    </row>
    <row r="707" spans="1:22" s="522" customFormat="1" ht="24.95" customHeight="1">
      <c r="A707" s="422"/>
      <c r="B707" s="422"/>
      <c r="C707" s="2485">
        <f>Oferta_OptimaRPV!C813</f>
        <v>0</v>
      </c>
      <c r="D707" s="2484"/>
      <c r="E707" s="2484"/>
      <c r="F707" s="2484"/>
      <c r="G707" s="2484"/>
      <c r="H707" s="2482">
        <f>Oferta_OptimaRPV!H813</f>
        <v>0</v>
      </c>
      <c r="I707" s="2482"/>
      <c r="J707" s="2482"/>
      <c r="K707" s="2482"/>
      <c r="L707" s="2484">
        <f>Oferta_OptimaRPV!L813</f>
        <v>0</v>
      </c>
      <c r="M707" s="2484"/>
      <c r="N707" s="2482">
        <f>Oferta_OptimaRPV!N813</f>
        <v>0</v>
      </c>
      <c r="O707" s="2482"/>
      <c r="P707" s="1170"/>
      <c r="Q707"/>
      <c r="R707"/>
      <c r="S707"/>
      <c r="T707"/>
      <c r="U707"/>
      <c r="V707"/>
    </row>
    <row r="708" spans="1:22" s="429" customFormat="1" ht="24.95" customHeight="1">
      <c r="A708" s="422"/>
      <c r="B708" s="422"/>
      <c r="C708" s="2485">
        <f>Oferta_OptimaRPV!C814</f>
        <v>0</v>
      </c>
      <c r="D708" s="2484"/>
      <c r="E708" s="2484"/>
      <c r="F708" s="2484"/>
      <c r="G708" s="2484"/>
      <c r="H708" s="2482">
        <f>Oferta_OptimaRPV!H814</f>
        <v>0</v>
      </c>
      <c r="I708" s="2482"/>
      <c r="J708" s="2482"/>
      <c r="K708" s="2482"/>
      <c r="L708" s="2484">
        <f>Oferta_OptimaRPV!L814</f>
        <v>0</v>
      </c>
      <c r="M708" s="2484"/>
      <c r="N708" s="2482">
        <f>Oferta_OptimaRPV!N814</f>
        <v>0</v>
      </c>
      <c r="O708" s="2482"/>
      <c r="P708" s="1170"/>
      <c r="Q708"/>
      <c r="R708"/>
      <c r="S708"/>
      <c r="T708"/>
      <c r="U708"/>
      <c r="V708"/>
    </row>
    <row r="709" spans="1:22" s="673" customFormat="1" ht="24.95" customHeight="1">
      <c r="A709" s="420"/>
      <c r="B709" s="422"/>
      <c r="C709" s="2485">
        <f>Oferta_OptimaRPV!C815</f>
        <v>0</v>
      </c>
      <c r="D709" s="2484"/>
      <c r="E709" s="2484"/>
      <c r="F709" s="2484"/>
      <c r="G709" s="2484"/>
      <c r="H709" s="2482">
        <f>Oferta_OptimaRPV!H815</f>
        <v>0</v>
      </c>
      <c r="I709" s="2482"/>
      <c r="J709" s="2482"/>
      <c r="K709" s="2482"/>
      <c r="L709" s="2484">
        <f>Oferta_OptimaRPV!L815</f>
        <v>0</v>
      </c>
      <c r="M709" s="2484"/>
      <c r="N709" s="2482">
        <f>Oferta_OptimaRPV!N815</f>
        <v>0</v>
      </c>
      <c r="O709" s="2483"/>
      <c r="P709"/>
      <c r="Q709"/>
      <c r="R709"/>
      <c r="S709"/>
      <c r="T709"/>
      <c r="U709"/>
      <c r="V709"/>
    </row>
    <row r="710" spans="1:22" s="429" customFormat="1" ht="13.5" customHeight="1">
      <c r="A710" s="420"/>
      <c r="B710" s="1165"/>
      <c r="C710" s="1165"/>
      <c r="D710" s="1165"/>
      <c r="E710" s="1165"/>
      <c r="F710" s="1165"/>
      <c r="G710" s="1165"/>
      <c r="H710" s="1165"/>
      <c r="I710" s="1165"/>
      <c r="J710" s="1165"/>
      <c r="K710" s="1165"/>
      <c r="L710" s="1165"/>
      <c r="M710" s="1165"/>
      <c r="N710" s="1160"/>
      <c r="O710" s="1169"/>
      <c r="P710" s="1165"/>
      <c r="Q710"/>
      <c r="R710"/>
      <c r="S710"/>
      <c r="T710"/>
      <c r="U710"/>
      <c r="V710" s="420"/>
    </row>
    <row r="711" spans="1:22" s="673" customFormat="1" ht="22.5" customHeight="1">
      <c r="A711" s="420"/>
      <c r="B711" s="1165"/>
      <c r="C711" s="1165"/>
      <c r="D711" s="1165"/>
      <c r="E711" s="1165"/>
      <c r="F711" s="1165"/>
      <c r="G711" s="1165"/>
      <c r="H711" s="1165"/>
      <c r="I711" s="1165"/>
      <c r="J711" s="1165"/>
      <c r="K711" s="1165"/>
      <c r="L711" s="2301" t="s">
        <v>295</v>
      </c>
      <c r="M711" s="2301"/>
      <c r="N711" s="2547">
        <f>Oferta_OptimaRPV!N817</f>
        <v>0</v>
      </c>
      <c r="O711" s="2548"/>
      <c r="P711" s="422"/>
      <c r="Q711"/>
      <c r="R711"/>
      <c r="S711"/>
      <c r="T711"/>
      <c r="U711"/>
      <c r="V711" s="470"/>
    </row>
    <row r="712" spans="1:22" s="673" customFormat="1" ht="23.25" customHeight="1">
      <c r="A712" s="420"/>
      <c r="B712" s="2252" t="s">
        <v>1090</v>
      </c>
      <c r="C712" s="2252"/>
      <c r="D712" s="2252"/>
      <c r="E712" s="2252"/>
      <c r="F712" s="2252"/>
      <c r="G712" s="2252"/>
      <c r="H712" s="2252"/>
      <c r="I712" s="2252"/>
      <c r="J712" s="2252"/>
      <c r="K712" s="2252"/>
      <c r="L712" s="1165"/>
      <c r="M712" s="1165"/>
      <c r="N712" s="1165"/>
      <c r="O712" s="1165"/>
      <c r="P712" s="1165"/>
      <c r="Q712" s="1165"/>
      <c r="R712" s="1165"/>
      <c r="S712" s="1165"/>
      <c r="T712" s="1165"/>
      <c r="U712" s="1165"/>
      <c r="V712" s="420"/>
    </row>
    <row r="713" spans="1:22" s="673" customFormat="1" ht="18.75" customHeight="1">
      <c r="A713" s="420"/>
      <c r="B713" s="2260" t="s">
        <v>1131</v>
      </c>
      <c r="C713" s="2260"/>
      <c r="D713" s="2260"/>
      <c r="E713" s="2260"/>
      <c r="F713" s="2260"/>
      <c r="G713" s="2260"/>
      <c r="H713" s="2260"/>
      <c r="I713" s="2260"/>
      <c r="J713" s="2260"/>
      <c r="K713" s="2260"/>
      <c r="L713" s="2260"/>
      <c r="M713" s="2260"/>
      <c r="N713" s="2260"/>
      <c r="O713" s="2260"/>
      <c r="P713" s="2260"/>
      <c r="Q713" s="2260"/>
      <c r="R713" s="2260"/>
      <c r="S713" s="2260"/>
      <c r="T713" s="2260"/>
      <c r="U713" s="2260"/>
      <c r="V713" s="420"/>
    </row>
    <row r="714" spans="1:22" s="673" customFormat="1" ht="17.25" customHeight="1">
      <c r="A714" s="420"/>
      <c r="B714" s="1166"/>
      <c r="C714" s="1166"/>
      <c r="D714" s="1166"/>
      <c r="E714" s="1166"/>
      <c r="F714" s="1166"/>
      <c r="G714" s="1166"/>
      <c r="H714" s="1166"/>
      <c r="I714" s="1166"/>
      <c r="J714" s="1166"/>
      <c r="K714" s="1166"/>
      <c r="L714" s="1166"/>
      <c r="M714" s="1166"/>
      <c r="N714" s="1166"/>
      <c r="O714" s="1166"/>
      <c r="P714" s="1166"/>
      <c r="Q714" s="1166"/>
      <c r="R714" s="1166"/>
      <c r="S714" s="1166"/>
      <c r="T714" s="1166"/>
      <c r="U714" s="1166"/>
      <c r="V714" s="420"/>
    </row>
    <row r="715" spans="1:22" s="522" customFormat="1" ht="30.75" customHeight="1">
      <c r="A715" s="420"/>
      <c r="B715" s="1166"/>
      <c r="C715" s="2527" t="s">
        <v>1090</v>
      </c>
      <c r="D715" s="2527"/>
      <c r="E715" s="2527"/>
      <c r="F715" s="2527"/>
      <c r="G715" s="2527"/>
      <c r="H715" s="2527"/>
      <c r="I715" s="2527"/>
      <c r="J715" s="2527"/>
      <c r="K715" s="2527"/>
      <c r="L715" s="2527"/>
      <c r="M715" s="2527"/>
      <c r="N715" s="2527"/>
      <c r="O715" s="2527"/>
      <c r="P715" s="2527"/>
      <c r="Q715" s="2527"/>
      <c r="R715" s="2527"/>
      <c r="S715" s="2527"/>
      <c r="T715" s="2528"/>
      <c r="U715" s="1166"/>
      <c r="V715" s="420"/>
    </row>
    <row r="716" spans="1:22" ht="79.5" customHeight="1">
      <c r="A716" s="420"/>
      <c r="B716" s="1166"/>
      <c r="C716" s="2529" t="s">
        <v>1132</v>
      </c>
      <c r="D716" s="2530"/>
      <c r="E716" s="2530"/>
      <c r="F716" s="2530"/>
      <c r="G716" s="2530"/>
      <c r="H716" s="2530"/>
      <c r="I716" s="2530"/>
      <c r="J716" s="2530"/>
      <c r="K716" s="2530"/>
      <c r="L716" s="2530"/>
      <c r="M716" s="2530"/>
      <c r="N716" s="2530"/>
      <c r="O716" s="2530"/>
      <c r="P716" s="2530"/>
      <c r="Q716" s="2530"/>
      <c r="R716" s="2530"/>
      <c r="S716" s="2530"/>
      <c r="T716" s="2531"/>
      <c r="U716" s="1172"/>
      <c r="V716" s="420"/>
    </row>
    <row r="717" spans="1:22" ht="33" customHeight="1">
      <c r="A717" s="420"/>
      <c r="B717" s="1166"/>
      <c r="C717" s="2532" t="s">
        <v>1860</v>
      </c>
      <c r="D717" s="2532"/>
      <c r="E717" s="2532"/>
      <c r="F717" s="2532"/>
      <c r="G717" s="2532"/>
      <c r="H717" s="2532"/>
      <c r="I717" s="2532"/>
      <c r="J717" s="2532"/>
      <c r="K717" s="2532"/>
      <c r="L717" s="2532"/>
      <c r="M717" s="2532"/>
      <c r="N717" s="2532"/>
      <c r="O717" s="2532"/>
      <c r="P717" s="2532"/>
      <c r="Q717" s="2533"/>
      <c r="R717" s="1167">
        <v>10</v>
      </c>
      <c r="S717" s="498"/>
      <c r="T717" s="498"/>
      <c r="U717" s="1166"/>
      <c r="V717" s="420"/>
    </row>
    <row r="718" spans="1:22" ht="7.5" customHeight="1">
      <c r="A718" s="420"/>
      <c r="B718" s="1166"/>
      <c r="C718" s="1166"/>
      <c r="D718" s="1166"/>
      <c r="E718" s="1166"/>
      <c r="F718" s="1166"/>
      <c r="G718" s="1166"/>
      <c r="H718" s="1166"/>
      <c r="I718" s="1166"/>
      <c r="J718" s="1166"/>
      <c r="K718" s="1166"/>
      <c r="L718" s="1166"/>
      <c r="M718" s="1166"/>
      <c r="N718" s="1166"/>
      <c r="O718" s="1166"/>
      <c r="P718" s="484"/>
      <c r="Q718" s="484"/>
      <c r="R718" s="1166"/>
      <c r="S718" s="1166"/>
      <c r="T718" s="1166"/>
      <c r="U718" s="1166"/>
      <c r="V718" s="420"/>
    </row>
    <row r="719" spans="1:22" ht="48" customHeight="1">
      <c r="A719" s="420"/>
      <c r="B719" s="420"/>
      <c r="C719" s="2534" t="s">
        <v>1087</v>
      </c>
      <c r="D719" s="2486"/>
      <c r="E719" s="2255" t="s">
        <v>1088</v>
      </c>
      <c r="F719" s="2486"/>
      <c r="G719" s="2256"/>
      <c r="H719" s="2255" t="s">
        <v>217</v>
      </c>
      <c r="I719" s="2256"/>
      <c r="J719" s="2486" t="s">
        <v>293</v>
      </c>
      <c r="K719" s="2256"/>
      <c r="L719" s="2255" t="s">
        <v>1836</v>
      </c>
      <c r="M719" s="2256"/>
      <c r="N719" s="2254" t="s">
        <v>1837</v>
      </c>
      <c r="O719" s="2255"/>
      <c r="P719" s="1163" t="s">
        <v>1861</v>
      </c>
      <c r="Q719" s="1163" t="s">
        <v>1862</v>
      </c>
      <c r="R719" s="1163" t="s">
        <v>1845</v>
      </c>
      <c r="S719" s="1163" t="s">
        <v>1846</v>
      </c>
      <c r="T719" s="1164" t="s">
        <v>1104</v>
      </c>
      <c r="U719" s="420"/>
      <c r="V719" s="420"/>
    </row>
    <row r="720" spans="1:22" ht="25.5" customHeight="1">
      <c r="A720" s="420"/>
      <c r="B720" s="420"/>
      <c r="C720" s="2485">
        <f>Oferta_OptimaRPV!C826</f>
        <v>0</v>
      </c>
      <c r="D720" s="2484"/>
      <c r="E720" s="2484" t="str">
        <f>Oferta_OptimaRPV!E826</f>
        <v>Acceso web, API y email</v>
      </c>
      <c r="F720" s="2484"/>
      <c r="G720" s="2484"/>
      <c r="H720" s="2586">
        <f>Oferta_OptimaRPV!H826</f>
        <v>0</v>
      </c>
      <c r="I720" s="2586"/>
      <c r="J720" s="2586">
        <f>Oferta_OptimaRPV!J826</f>
        <v>15</v>
      </c>
      <c r="K720" s="2586"/>
      <c r="L720" s="2484">
        <f>Oferta_OptimaRPV!L826</f>
        <v>0</v>
      </c>
      <c r="M720" s="2484"/>
      <c r="N720" s="2484">
        <f>Oferta_OptimaRPV!N826</f>
        <v>0</v>
      </c>
      <c r="O720" s="2484"/>
      <c r="P720" s="1824">
        <f>Oferta_OptimaRPV!P826</f>
        <v>0</v>
      </c>
      <c r="Q720" s="1824">
        <f>Oferta_OptimaRPV!Q826</f>
        <v>0</v>
      </c>
      <c r="R720" s="1824">
        <f>Oferta_OptimaRPV!R826</f>
        <v>0</v>
      </c>
      <c r="S720" s="1824">
        <f>Oferta_OptimaRPV!S826</f>
        <v>0</v>
      </c>
      <c r="T720" s="1799">
        <f>Oferta_OptimaRPV!T826</f>
        <v>0</v>
      </c>
      <c r="U720" s="729"/>
      <c r="V720" s="420"/>
    </row>
    <row r="721" spans="1:22" ht="22.5" customHeight="1">
      <c r="P721" s="1800">
        <f>Oferta_OptimaRPV!P827</f>
        <v>0</v>
      </c>
      <c r="Q721" s="1801">
        <f>Oferta_OptimaRPV!Q827</f>
        <v>0</v>
      </c>
      <c r="R721" s="1802">
        <f>Oferta_OptimaRPV!R827</f>
        <v>0</v>
      </c>
      <c r="S721" s="1801">
        <f>Oferta_OptimaRPV!S827</f>
        <v>0</v>
      </c>
      <c r="T721" s="600"/>
    </row>
    <row r="722" spans="1:22" ht="15" customHeight="1">
      <c r="B722" s="522"/>
      <c r="C722" s="585"/>
      <c r="D722" s="584"/>
      <c r="E722" s="584"/>
      <c r="F722" s="584"/>
      <c r="G722" s="586"/>
      <c r="H722" s="586"/>
      <c r="I722" s="586"/>
      <c r="J722" s="586"/>
      <c r="K722" s="587"/>
      <c r="L722" s="587"/>
      <c r="M722" s="587"/>
      <c r="N722" s="587"/>
      <c r="O722" s="587"/>
      <c r="P722" s="587"/>
      <c r="Q722" s="561"/>
      <c r="R722" s="1173"/>
      <c r="S722" s="441"/>
      <c r="T722" s="441"/>
      <c r="U722" s="588"/>
      <c r="V722" s="441"/>
    </row>
    <row r="723" spans="1:22" ht="15.75">
      <c r="A723" s="420"/>
      <c r="B723" s="420"/>
      <c r="C723" s="420"/>
      <c r="D723" s="420"/>
      <c r="E723" s="420"/>
      <c r="F723" s="420"/>
      <c r="G723" s="420"/>
      <c r="H723" s="420"/>
      <c r="I723" s="420"/>
      <c r="J723" s="420"/>
      <c r="K723" s="420"/>
      <c r="L723" s="420"/>
      <c r="M723" s="476" t="s">
        <v>1398</v>
      </c>
      <c r="N723" s="420"/>
      <c r="O723" s="420"/>
      <c r="P723" s="420"/>
      <c r="Q723" s="420"/>
      <c r="R723" s="477" t="s">
        <v>692</v>
      </c>
      <c r="S723" s="478" t="str">
        <f>$E$31</f>
        <v>ILF5_90FCOSCP_B114CAGR43006</v>
      </c>
      <c r="T723" s="420"/>
      <c r="U723" s="420"/>
      <c r="V723" s="420"/>
    </row>
    <row r="724" spans="1:22" s="522" customFormat="1" ht="21" customHeight="1">
      <c r="A724" s="422"/>
      <c r="B724" s="422"/>
      <c r="C724" s="422"/>
      <c r="D724" s="422"/>
      <c r="E724" s="422"/>
      <c r="F724" s="422"/>
      <c r="G724" s="422"/>
      <c r="H724" s="436" t="s">
        <v>690</v>
      </c>
      <c r="I724" s="420"/>
      <c r="J724" s="422"/>
      <c r="K724" s="420"/>
      <c r="L724" s="437" t="str">
        <f>$B$11</f>
        <v>INMOBILIARIA SERVIGESTION</v>
      </c>
      <c r="M724" s="422"/>
      <c r="N724" s="422"/>
      <c r="O724" s="422"/>
      <c r="P724" s="422"/>
      <c r="Q724" s="422"/>
      <c r="R724" s="422"/>
      <c r="S724" s="422"/>
      <c r="T724" s="422"/>
      <c r="U724" s="422"/>
      <c r="V724" s="422"/>
    </row>
    <row r="725" spans="1:22" s="522" customFormat="1" ht="43.15" customHeight="1">
      <c r="A725" s="422"/>
      <c r="B725" s="422"/>
      <c r="C725" s="422"/>
      <c r="D725" s="422"/>
      <c r="E725" s="422"/>
      <c r="F725" s="422"/>
      <c r="G725" s="422"/>
      <c r="H725" s="422"/>
      <c r="I725" s="422"/>
      <c r="J725" s="422"/>
      <c r="K725" s="422"/>
      <c r="L725" s="422"/>
      <c r="M725" s="422"/>
      <c r="N725" s="422"/>
      <c r="O725" s="422"/>
      <c r="P725" s="422"/>
      <c r="Q725" s="422"/>
      <c r="R725" s="422"/>
      <c r="S725" s="422"/>
      <c r="T725" s="422"/>
      <c r="U725" s="422"/>
      <c r="V725" s="422"/>
    </row>
    <row r="726" spans="1:22" s="522" customFormat="1" ht="41.25" customHeight="1">
      <c r="A726" s="422"/>
      <c r="B726" s="2395" t="s">
        <v>461</v>
      </c>
      <c r="C726" s="2395"/>
      <c r="D726" s="2395"/>
      <c r="E726" s="2395"/>
      <c r="F726" s="2395"/>
      <c r="G726" s="2395"/>
      <c r="H726" s="2395"/>
      <c r="I726" s="2395"/>
      <c r="J726" s="2395"/>
      <c r="K726" s="2395"/>
      <c r="L726" s="2395"/>
      <c r="M726" s="2395"/>
      <c r="N726" s="2395"/>
      <c r="O726" s="2395"/>
      <c r="P726" s="2395"/>
      <c r="Q726" s="2395"/>
      <c r="R726" s="2395"/>
      <c r="S726" s="2395"/>
      <c r="T726" s="2395"/>
      <c r="U726" s="2395"/>
      <c r="V726" s="422"/>
    </row>
    <row r="727" spans="1:22" s="522" customFormat="1" ht="21" customHeight="1">
      <c r="A727" s="422"/>
      <c r="B727" s="2252" t="s">
        <v>674</v>
      </c>
      <c r="C727" s="2252"/>
      <c r="D727" s="2252"/>
      <c r="E727" s="2252"/>
      <c r="F727" s="2252"/>
      <c r="G727" s="2252"/>
      <c r="H727" s="2252"/>
      <c r="I727" s="2252"/>
      <c r="J727" s="2252"/>
      <c r="K727" s="2252"/>
      <c r="L727" s="2252"/>
      <c r="M727" s="2252"/>
      <c r="N727" s="2252"/>
      <c r="O727" s="2252"/>
      <c r="P727" s="2252"/>
      <c r="Q727" s="2252"/>
      <c r="R727" s="2252"/>
      <c r="S727" s="2252"/>
      <c r="T727" s="2252"/>
      <c r="U727" s="2252"/>
      <c r="V727" s="422"/>
    </row>
    <row r="728" spans="1:22" s="522" customFormat="1" ht="14.25" customHeight="1">
      <c r="A728" s="422"/>
      <c r="B728" s="422"/>
      <c r="C728" s="422"/>
      <c r="D728" s="422"/>
      <c r="E728" s="422"/>
      <c r="F728" s="422"/>
      <c r="G728" s="422"/>
      <c r="H728" s="422"/>
      <c r="I728" s="422"/>
      <c r="J728" s="422"/>
      <c r="K728" s="422"/>
      <c r="L728" s="422"/>
      <c r="M728" s="422"/>
      <c r="N728" s="422"/>
      <c r="O728" s="422"/>
      <c r="P728" s="422"/>
      <c r="Q728" s="422"/>
      <c r="R728" s="422"/>
      <c r="S728" s="422"/>
      <c r="T728" s="422"/>
      <c r="U728" s="422"/>
      <c r="V728" s="422"/>
    </row>
    <row r="729" spans="1:22" s="732" customFormat="1" ht="25.9" customHeight="1">
      <c r="A729" s="522"/>
      <c r="B729" s="2474" t="s">
        <v>729</v>
      </c>
      <c r="C729" s="2474"/>
      <c r="D729" s="2474"/>
      <c r="E729" s="2474"/>
      <c r="F729" s="2474"/>
      <c r="G729" s="2474"/>
      <c r="H729" s="2474"/>
      <c r="I729" s="2474"/>
      <c r="J729" s="2474"/>
      <c r="K729" s="2474"/>
      <c r="L729" s="2474"/>
      <c r="M729" s="2474"/>
      <c r="N729" s="2474"/>
      <c r="O729" s="2474"/>
      <c r="P729" s="2474"/>
      <c r="Q729" s="2474"/>
      <c r="R729" s="2474"/>
      <c r="S729" s="2474"/>
      <c r="T729" s="2474"/>
      <c r="U729" s="2474"/>
      <c r="V729" s="522"/>
    </row>
    <row r="730" spans="1:22" s="1198" customFormat="1" ht="41.25" customHeight="1">
      <c r="A730" s="1524"/>
      <c r="B730" s="2491" t="s">
        <v>1454</v>
      </c>
      <c r="C730" s="2491"/>
      <c r="D730" s="2491"/>
      <c r="E730" s="2491"/>
      <c r="F730" s="2491"/>
      <c r="G730" s="2491"/>
      <c r="H730" s="2491"/>
      <c r="I730" s="2491"/>
      <c r="J730" s="2491"/>
      <c r="K730" s="2491"/>
      <c r="L730" s="2491"/>
      <c r="M730" s="2491"/>
      <c r="N730" s="2491"/>
      <c r="O730" s="2491"/>
      <c r="P730" s="2491"/>
      <c r="Q730" s="2491"/>
      <c r="R730" s="2491"/>
      <c r="S730" s="2491"/>
      <c r="T730" s="2491"/>
      <c r="U730" s="2491"/>
      <c r="V730" s="1524"/>
    </row>
    <row r="731" spans="1:22" s="1330" customFormat="1" ht="31.5" customHeight="1">
      <c r="A731" s="1524"/>
      <c r="B731" s="2489" t="s">
        <v>1930</v>
      </c>
      <c r="C731" s="2489"/>
      <c r="D731" s="2489"/>
      <c r="E731" s="2489"/>
      <c r="F731" s="2489"/>
      <c r="G731" s="2489"/>
      <c r="H731" s="2489"/>
      <c r="I731" s="2489"/>
      <c r="J731" s="2489"/>
      <c r="K731" s="2489"/>
      <c r="L731" s="2489"/>
      <c r="M731" s="2489"/>
      <c r="N731" s="2489"/>
      <c r="O731" s="2489"/>
      <c r="P731" s="2489"/>
      <c r="Q731" s="2489"/>
      <c r="R731" s="2489"/>
      <c r="S731" s="2489"/>
      <c r="T731" s="2489"/>
      <c r="U731" s="2489"/>
      <c r="V731" s="1524"/>
    </row>
    <row r="732" spans="1:22" ht="31.5" customHeight="1">
      <c r="B732" s="2493" t="s">
        <v>1963</v>
      </c>
      <c r="C732" s="2493"/>
      <c r="D732" s="2493"/>
      <c r="E732" s="2493"/>
      <c r="F732" s="2493"/>
      <c r="G732" s="2493"/>
      <c r="H732" s="2493"/>
      <c r="I732" s="2493"/>
      <c r="J732" s="2493"/>
      <c r="K732" s="2493"/>
      <c r="L732" s="2493"/>
      <c r="M732" s="2493"/>
      <c r="N732" s="2493"/>
      <c r="O732" s="2493"/>
      <c r="P732" s="2493"/>
      <c r="Q732" s="2493"/>
      <c r="R732" s="2493"/>
      <c r="S732" s="2493"/>
      <c r="T732" s="2493"/>
      <c r="U732" s="2493"/>
    </row>
    <row r="733" spans="1:22" ht="60.75" customHeight="1">
      <c r="B733" s="2489" t="s">
        <v>1964</v>
      </c>
      <c r="C733" s="2489"/>
      <c r="D733" s="2489"/>
      <c r="E733" s="2489"/>
      <c r="F733" s="2489"/>
      <c r="G733" s="2489"/>
      <c r="H733" s="2489"/>
      <c r="I733" s="2489"/>
      <c r="J733" s="2489"/>
      <c r="K733" s="2489"/>
      <c r="L733" s="2489"/>
      <c r="M733" s="2489"/>
      <c r="N733" s="2489"/>
      <c r="O733" s="2489"/>
      <c r="P733" s="2489"/>
      <c r="Q733" s="2489"/>
      <c r="R733" s="2489"/>
      <c r="S733" s="2489"/>
      <c r="T733" s="2489"/>
      <c r="U733" s="2489"/>
    </row>
    <row r="734" spans="1:22" s="1198" customFormat="1" ht="24" customHeight="1">
      <c r="A734" s="1524"/>
      <c r="B734" s="2493" t="s">
        <v>1931</v>
      </c>
      <c r="C734" s="2493"/>
      <c r="D734" s="2493"/>
      <c r="E734" s="2493"/>
      <c r="F734" s="2493"/>
      <c r="G734" s="2493"/>
      <c r="H734" s="2493"/>
      <c r="I734" s="2493"/>
      <c r="J734" s="2493"/>
      <c r="K734" s="2493"/>
      <c r="L734" s="2493"/>
      <c r="M734" s="2493"/>
      <c r="N734" s="2493"/>
      <c r="O734" s="2493"/>
      <c r="P734" s="2493"/>
      <c r="Q734" s="2493"/>
      <c r="R734" s="2493"/>
      <c r="S734" s="2493"/>
      <c r="T734" s="2493"/>
      <c r="U734" s="2493"/>
      <c r="V734" s="1524"/>
    </row>
    <row r="735" spans="1:22" s="1198" customFormat="1" ht="24.95" customHeight="1">
      <c r="A735" s="1524"/>
      <c r="B735" s="2490" t="s">
        <v>652</v>
      </c>
      <c r="C735" s="2490"/>
      <c r="D735" s="2490"/>
      <c r="E735" s="2490"/>
      <c r="F735" s="2490"/>
      <c r="G735" s="2490"/>
      <c r="H735" s="2490"/>
      <c r="I735" s="2490"/>
      <c r="J735" s="2490"/>
      <c r="K735" s="2490"/>
      <c r="L735" s="2490"/>
      <c r="M735" s="2490"/>
      <c r="N735" s="2490"/>
      <c r="O735" s="2490"/>
      <c r="P735" s="2490"/>
      <c r="Q735" s="2490"/>
      <c r="R735" s="2490"/>
      <c r="S735" s="2490"/>
      <c r="T735" s="2490"/>
      <c r="U735" s="2490"/>
      <c r="V735" s="1524"/>
    </row>
    <row r="736" spans="1:22" s="1198" customFormat="1" ht="24.95" customHeight="1">
      <c r="A736" s="1524"/>
      <c r="B736" s="2491" t="s">
        <v>653</v>
      </c>
      <c r="C736" s="2491"/>
      <c r="D736" s="2491"/>
      <c r="E736" s="2491"/>
      <c r="F736" s="2491"/>
      <c r="G736" s="2491"/>
      <c r="H736" s="2491"/>
      <c r="I736" s="2491"/>
      <c r="J736" s="2491"/>
      <c r="K736" s="2491"/>
      <c r="L736" s="2491"/>
      <c r="M736" s="2491"/>
      <c r="N736" s="2491"/>
      <c r="O736" s="2491"/>
      <c r="P736" s="2491"/>
      <c r="Q736" s="2491"/>
      <c r="R736" s="2491"/>
      <c r="S736" s="2491"/>
      <c r="T736" s="2491"/>
      <c r="U736" s="2491"/>
      <c r="V736" s="1524"/>
    </row>
    <row r="737" spans="1:23" s="1198" customFormat="1" ht="24.95" customHeight="1">
      <c r="A737" s="1524"/>
      <c r="B737" s="2490" t="s">
        <v>654</v>
      </c>
      <c r="C737" s="2490"/>
      <c r="D737" s="2490"/>
      <c r="E737" s="2490"/>
      <c r="F737" s="2490"/>
      <c r="G737" s="2490"/>
      <c r="H737" s="2490"/>
      <c r="I737" s="2490"/>
      <c r="J737" s="2490"/>
      <c r="K737" s="2490"/>
      <c r="L737" s="2490"/>
      <c r="M737" s="2490"/>
      <c r="N737" s="2490"/>
      <c r="O737" s="2490"/>
      <c r="P737" s="2490"/>
      <c r="Q737" s="2490"/>
      <c r="R737" s="2490"/>
      <c r="S737" s="2490"/>
      <c r="T737" s="2490"/>
      <c r="U737" s="2490"/>
      <c r="V737" s="1524"/>
    </row>
    <row r="738" spans="1:23" s="1330" customFormat="1" ht="24.95" customHeight="1">
      <c r="A738" s="1524"/>
      <c r="B738" s="2491" t="s">
        <v>672</v>
      </c>
      <c r="C738" s="2491"/>
      <c r="D738" s="2491"/>
      <c r="E738" s="2491"/>
      <c r="F738" s="2491"/>
      <c r="G738" s="2491"/>
      <c r="H738" s="2491"/>
      <c r="I738" s="2491"/>
      <c r="J738" s="2491"/>
      <c r="K738" s="2491"/>
      <c r="L738" s="2491"/>
      <c r="M738" s="2491"/>
      <c r="N738" s="2491"/>
      <c r="O738" s="2491"/>
      <c r="P738" s="2491"/>
      <c r="Q738" s="2491"/>
      <c r="R738" s="2491"/>
      <c r="S738" s="2491"/>
      <c r="T738" s="2491"/>
      <c r="U738" s="2491"/>
      <c r="V738" s="1524"/>
    </row>
    <row r="739" spans="1:23" s="1198" customFormat="1" ht="24.95" customHeight="1">
      <c r="B739" s="2490" t="s">
        <v>731</v>
      </c>
      <c r="C739" s="2490"/>
      <c r="D739" s="2490"/>
      <c r="E739" s="2490"/>
      <c r="F739" s="2490"/>
      <c r="G739" s="2490"/>
      <c r="H739" s="2490"/>
      <c r="I739" s="2490"/>
      <c r="J739" s="2490"/>
      <c r="K739" s="2490"/>
      <c r="L739" s="2490"/>
      <c r="M739" s="2490"/>
      <c r="N739" s="2490"/>
      <c r="O739" s="2490"/>
      <c r="P739" s="2490"/>
      <c r="Q739" s="2490"/>
      <c r="R739" s="2490"/>
      <c r="S739" s="2490"/>
      <c r="T739" s="2490"/>
      <c r="U739" s="2490"/>
    </row>
    <row r="740" spans="1:23" s="437" customFormat="1" ht="24.95" customHeight="1">
      <c r="A740" s="1198"/>
      <c r="B740" s="2491" t="s">
        <v>732</v>
      </c>
      <c r="C740" s="2491"/>
      <c r="D740" s="2491"/>
      <c r="E740" s="2491"/>
      <c r="F740" s="2491"/>
      <c r="G740" s="2491"/>
      <c r="H740" s="2491"/>
      <c r="I740" s="2491"/>
      <c r="J740" s="2491"/>
      <c r="K740" s="2491"/>
      <c r="L740" s="2491"/>
      <c r="M740" s="2491"/>
      <c r="N740" s="2491"/>
      <c r="O740" s="2491"/>
      <c r="P740" s="2491"/>
      <c r="Q740" s="2491"/>
      <c r="R740" s="2491"/>
      <c r="S740" s="2491"/>
      <c r="T740" s="2491"/>
      <c r="U740" s="2491"/>
      <c r="V740" s="1198"/>
    </row>
    <row r="741" spans="1:23" s="1198" customFormat="1" ht="24.95" customHeight="1">
      <c r="B741" s="2490" t="s">
        <v>733</v>
      </c>
      <c r="C741" s="2490"/>
      <c r="D741" s="2490"/>
      <c r="E741" s="2490"/>
      <c r="F741" s="2490"/>
      <c r="G741" s="2490"/>
      <c r="H741" s="2490"/>
      <c r="I741" s="2490"/>
      <c r="J741" s="2490"/>
      <c r="K741" s="2490"/>
      <c r="L741" s="2490"/>
      <c r="M741" s="2490"/>
      <c r="N741" s="2490"/>
      <c r="O741" s="2490"/>
      <c r="P741" s="2490"/>
      <c r="Q741" s="2490"/>
      <c r="R741" s="2490"/>
      <c r="S741" s="2490"/>
      <c r="T741" s="2490"/>
      <c r="U741" s="2490"/>
      <c r="W741" s="437"/>
    </row>
    <row r="742" spans="1:23" s="1523" customFormat="1" ht="52.5" customHeight="1">
      <c r="A742" s="1198"/>
      <c r="B742" s="2494" t="s">
        <v>687</v>
      </c>
      <c r="C742" s="2494"/>
      <c r="D742" s="2494"/>
      <c r="E742" s="2494"/>
      <c r="F742" s="2494"/>
      <c r="G742" s="2494"/>
      <c r="H742" s="2494"/>
      <c r="I742" s="2494"/>
      <c r="J742" s="2494"/>
      <c r="K742" s="2494"/>
      <c r="L742" s="2494"/>
      <c r="M742" s="2494"/>
      <c r="N742" s="2494"/>
      <c r="O742" s="2494"/>
      <c r="P742" s="2494"/>
      <c r="Q742" s="2494"/>
      <c r="R742" s="2494"/>
      <c r="S742" s="2494"/>
      <c r="T742" s="2494"/>
      <c r="U742" s="2494"/>
      <c r="V742" s="1198"/>
      <c r="W742" s="437"/>
    </row>
    <row r="743" spans="1:23" s="1523" customFormat="1" ht="24.95" customHeight="1">
      <c r="A743" s="1198"/>
      <c r="B743" s="2487" t="s">
        <v>657</v>
      </c>
      <c r="C743" s="2487"/>
      <c r="D743" s="2487"/>
      <c r="E743" s="2487"/>
      <c r="F743" s="2487"/>
      <c r="G743" s="2487"/>
      <c r="H743" s="2487"/>
      <c r="I743" s="2487"/>
      <c r="J743" s="2487"/>
      <c r="K743" s="2487"/>
      <c r="L743" s="2487"/>
      <c r="M743" s="2487"/>
      <c r="N743" s="2487"/>
      <c r="O743" s="2487"/>
      <c r="P743" s="2487"/>
      <c r="Q743" s="2487"/>
      <c r="R743" s="2487"/>
      <c r="S743" s="2487"/>
      <c r="T743" s="2487"/>
      <c r="U743" s="2487"/>
      <c r="V743" s="1198"/>
      <c r="W743" s="437"/>
    </row>
    <row r="744" spans="1:23" s="1523" customFormat="1" ht="24.95" customHeight="1">
      <c r="A744" s="1198"/>
      <c r="B744" s="2494" t="s">
        <v>819</v>
      </c>
      <c r="C744" s="2494"/>
      <c r="D744" s="2494"/>
      <c r="E744" s="2494"/>
      <c r="F744" s="2494"/>
      <c r="G744" s="2494"/>
      <c r="H744" s="2494"/>
      <c r="I744" s="2494"/>
      <c r="J744" s="2494"/>
      <c r="K744" s="2494"/>
      <c r="L744" s="2494"/>
      <c r="M744" s="2494"/>
      <c r="N744" s="2494"/>
      <c r="O744" s="2494"/>
      <c r="P744" s="2494"/>
      <c r="Q744" s="2494"/>
      <c r="R744" s="2494"/>
      <c r="S744" s="2494"/>
      <c r="T744" s="2494"/>
      <c r="U744" s="2494"/>
      <c r="V744" s="1198"/>
      <c r="W744" s="437"/>
    </row>
    <row r="745" spans="1:23" s="1523" customFormat="1" ht="49.5" customHeight="1">
      <c r="A745" s="1198"/>
      <c r="B745" s="2487" t="s">
        <v>1455</v>
      </c>
      <c r="C745" s="2487"/>
      <c r="D745" s="2487"/>
      <c r="E745" s="2487"/>
      <c r="F745" s="2487"/>
      <c r="G745" s="2487"/>
      <c r="H745" s="2487"/>
      <c r="I745" s="2487"/>
      <c r="J745" s="2487"/>
      <c r="K745" s="2487"/>
      <c r="L745" s="2487"/>
      <c r="M745" s="2487"/>
      <c r="N745" s="2487"/>
      <c r="O745" s="2487"/>
      <c r="P745" s="2487"/>
      <c r="Q745" s="2487"/>
      <c r="R745" s="2487"/>
      <c r="S745" s="2487"/>
      <c r="T745" s="2487"/>
      <c r="U745" s="2487"/>
      <c r="V745" s="1198"/>
      <c r="W745" s="437"/>
    </row>
    <row r="746" spans="1:23" s="1198" customFormat="1" ht="24.75" customHeight="1">
      <c r="B746" s="2494" t="s">
        <v>1089</v>
      </c>
      <c r="C746" s="2494"/>
      <c r="D746" s="2494"/>
      <c r="E746" s="2494"/>
      <c r="F746" s="2494"/>
      <c r="G746" s="2494"/>
      <c r="H746" s="2494"/>
      <c r="I746" s="2494"/>
      <c r="J746" s="2494"/>
      <c r="K746" s="2494"/>
      <c r="L746" s="2494"/>
      <c r="M746" s="2494"/>
      <c r="N746" s="2494"/>
      <c r="O746" s="2494"/>
      <c r="P746" s="2494"/>
      <c r="Q746" s="2494"/>
      <c r="R746" s="2494"/>
      <c r="S746" s="2494"/>
      <c r="T746" s="2494"/>
      <c r="U746" s="2494"/>
      <c r="W746" s="437"/>
    </row>
    <row r="747" spans="1:23" s="1198" customFormat="1" ht="16.149999999999999" customHeight="1">
      <c r="B747" s="2474" t="s">
        <v>730</v>
      </c>
      <c r="C747" s="2474"/>
      <c r="D747" s="2474"/>
      <c r="E747" s="2474"/>
      <c r="F747" s="2474"/>
      <c r="G747" s="2474"/>
      <c r="H747" s="2474"/>
      <c r="I747" s="2474"/>
      <c r="J747" s="2474"/>
      <c r="K747" s="2474"/>
      <c r="L747" s="2474"/>
      <c r="M747" s="2474"/>
      <c r="N747" s="2474"/>
      <c r="O747" s="2474"/>
      <c r="P747" s="2474"/>
      <c r="Q747" s="2474"/>
      <c r="R747" s="2474"/>
      <c r="S747" s="2474"/>
      <c r="T747" s="2474"/>
      <c r="U747" s="2474"/>
      <c r="W747" s="437"/>
    </row>
    <row r="748" spans="1:23" s="1198" customFormat="1" ht="38.25" customHeight="1">
      <c r="B748" s="2489" t="s">
        <v>1932</v>
      </c>
      <c r="C748" s="2489"/>
      <c r="D748" s="2489"/>
      <c r="E748" s="2489"/>
      <c r="F748" s="2489"/>
      <c r="G748" s="2489"/>
      <c r="H748" s="2489"/>
      <c r="I748" s="2489"/>
      <c r="J748" s="2489"/>
      <c r="K748" s="2489"/>
      <c r="L748" s="2489"/>
      <c r="M748" s="2489"/>
      <c r="N748" s="2489"/>
      <c r="O748" s="2489"/>
      <c r="P748" s="2489"/>
      <c r="Q748" s="2489"/>
      <c r="R748" s="2489"/>
      <c r="S748" s="2489"/>
      <c r="T748" s="2489"/>
      <c r="U748" s="2489"/>
      <c r="W748" s="437"/>
    </row>
    <row r="749" spans="1:23" s="1522" customFormat="1" ht="38.25" customHeight="1">
      <c r="A749" s="1198"/>
      <c r="B749" s="2489" t="s">
        <v>1933</v>
      </c>
      <c r="C749" s="2489"/>
      <c r="D749" s="2489"/>
      <c r="E749" s="2489"/>
      <c r="F749" s="2489"/>
      <c r="G749" s="2489"/>
      <c r="H749" s="2489"/>
      <c r="I749" s="2489"/>
      <c r="J749" s="2489"/>
      <c r="K749" s="2489"/>
      <c r="L749" s="2489"/>
      <c r="M749" s="2489"/>
      <c r="N749" s="2489"/>
      <c r="O749" s="2489"/>
      <c r="P749" s="2489"/>
      <c r="Q749" s="2489"/>
      <c r="R749" s="2489"/>
      <c r="S749" s="2489"/>
      <c r="T749" s="2489"/>
      <c r="U749" s="2489"/>
      <c r="V749" s="1198"/>
      <c r="W749" s="437"/>
    </row>
    <row r="750" spans="1:23" s="1523" customFormat="1" ht="54.75" customHeight="1">
      <c r="A750" s="1198"/>
      <c r="B750" s="2493" t="s">
        <v>2050</v>
      </c>
      <c r="C750" s="2493"/>
      <c r="D750" s="2493"/>
      <c r="E750" s="2493"/>
      <c r="F750" s="2493"/>
      <c r="G750" s="2493"/>
      <c r="H750" s="2493"/>
      <c r="I750" s="2493"/>
      <c r="J750" s="2493"/>
      <c r="K750" s="2493"/>
      <c r="L750" s="2493"/>
      <c r="M750" s="2493"/>
      <c r="N750" s="2493"/>
      <c r="O750" s="2493"/>
      <c r="P750" s="2493"/>
      <c r="Q750" s="2493"/>
      <c r="R750" s="2493"/>
      <c r="S750" s="2493"/>
      <c r="T750" s="2493"/>
      <c r="U750" s="2493"/>
      <c r="V750" s="437"/>
      <c r="W750" s="437"/>
    </row>
    <row r="751" spans="1:23" s="1330" customFormat="1" ht="47.25" customHeight="1">
      <c r="A751" s="437"/>
      <c r="B751" s="2489" t="s">
        <v>2051</v>
      </c>
      <c r="C751" s="2489"/>
      <c r="D751" s="2489"/>
      <c r="E751" s="2489"/>
      <c r="F751" s="2489"/>
      <c r="G751" s="2489"/>
      <c r="H751" s="2489"/>
      <c r="I751" s="2489"/>
      <c r="J751" s="2489"/>
      <c r="K751" s="2489"/>
      <c r="L751" s="2489"/>
      <c r="M751" s="2489"/>
      <c r="N751" s="2489"/>
      <c r="O751" s="2489"/>
      <c r="P751" s="2489"/>
      <c r="Q751" s="2489"/>
      <c r="R751" s="2489"/>
      <c r="S751" s="2489"/>
      <c r="T751" s="2489"/>
      <c r="U751" s="2489"/>
      <c r="V751" s="437"/>
      <c r="W751" s="1820"/>
    </row>
    <row r="752" spans="1:23" s="1330" customFormat="1" ht="50.1" customHeight="1">
      <c r="A752" s="437"/>
      <c r="B752" s="2493" t="s">
        <v>2052</v>
      </c>
      <c r="C752" s="2493"/>
      <c r="D752" s="2493"/>
      <c r="E752" s="2493"/>
      <c r="F752" s="2493"/>
      <c r="G752" s="2493"/>
      <c r="H752" s="2493"/>
      <c r="I752" s="2493"/>
      <c r="J752" s="2493"/>
      <c r="K752" s="2493"/>
      <c r="L752" s="2493"/>
      <c r="M752" s="2493"/>
      <c r="N752" s="2493"/>
      <c r="O752" s="2493"/>
      <c r="P752" s="2493"/>
      <c r="Q752" s="2493"/>
      <c r="R752" s="2493"/>
      <c r="S752" s="2493"/>
      <c r="T752" s="2493"/>
      <c r="U752" s="2493"/>
      <c r="V752" s="437"/>
      <c r="W752" s="1820"/>
    </row>
    <row r="753" spans="1:23" s="1198" customFormat="1" ht="50.1" customHeight="1">
      <c r="A753" s="437"/>
      <c r="B753" s="2537" t="s">
        <v>2056</v>
      </c>
      <c r="C753" s="2537"/>
      <c r="D753" s="2537"/>
      <c r="E753" s="2537"/>
      <c r="F753" s="2537"/>
      <c r="G753" s="2537"/>
      <c r="H753" s="2537"/>
      <c r="I753" s="2537"/>
      <c r="J753" s="2537"/>
      <c r="K753" s="2537"/>
      <c r="L753" s="2537"/>
      <c r="M753" s="2537"/>
      <c r="N753" s="2537"/>
      <c r="O753" s="2537"/>
      <c r="P753" s="2537"/>
      <c r="Q753" s="2537"/>
      <c r="R753" s="2537"/>
      <c r="S753" s="2537"/>
      <c r="T753" s="2537"/>
      <c r="U753" s="2537"/>
      <c r="V753" s="437"/>
      <c r="W753" s="437"/>
    </row>
    <row r="754" spans="1:23" s="1198" customFormat="1" ht="24.95" customHeight="1">
      <c r="A754" s="437"/>
      <c r="B754" s="2493" t="s">
        <v>2057</v>
      </c>
      <c r="C754" s="2493"/>
      <c r="D754" s="2493"/>
      <c r="E754" s="2493"/>
      <c r="F754" s="2493"/>
      <c r="G754" s="2493"/>
      <c r="H754" s="2493"/>
      <c r="I754" s="2493"/>
      <c r="J754" s="2493"/>
      <c r="K754" s="2493"/>
      <c r="L754" s="2493"/>
      <c r="M754" s="2493"/>
      <c r="N754" s="2493"/>
      <c r="O754" s="2493"/>
      <c r="P754" s="2493"/>
      <c r="Q754" s="2493"/>
      <c r="R754" s="2493"/>
      <c r="S754" s="2493"/>
      <c r="T754" s="2493"/>
      <c r="U754" s="2493"/>
      <c r="V754" s="437"/>
      <c r="W754" s="437"/>
    </row>
    <row r="755" spans="1:23" s="1198" customFormat="1" ht="24.95" customHeight="1">
      <c r="A755" s="437"/>
      <c r="B755" s="2537" t="s">
        <v>1934</v>
      </c>
      <c r="C755" s="2537"/>
      <c r="D755" s="2537"/>
      <c r="E755" s="2537"/>
      <c r="F755" s="2537"/>
      <c r="G755" s="2537"/>
      <c r="H755" s="2537"/>
      <c r="I755" s="2537"/>
      <c r="J755" s="2537"/>
      <c r="K755" s="2537"/>
      <c r="L755" s="2537"/>
      <c r="M755" s="2537"/>
      <c r="N755" s="2537"/>
      <c r="O755" s="2537"/>
      <c r="P755" s="2537"/>
      <c r="Q755" s="2537"/>
      <c r="R755" s="2537"/>
      <c r="S755" s="2537"/>
      <c r="T755" s="2537"/>
      <c r="U755" s="2537"/>
      <c r="V755" s="437"/>
    </row>
    <row r="756" spans="1:23" s="1198" customFormat="1" ht="24.95" customHeight="1">
      <c r="A756" s="437"/>
      <c r="B756" s="2585" t="s">
        <v>1935</v>
      </c>
      <c r="C756" s="2585"/>
      <c r="D756" s="2585"/>
      <c r="E756" s="2585"/>
      <c r="F756" s="2585"/>
      <c r="G756" s="2585"/>
      <c r="H756" s="2585"/>
      <c r="I756" s="2585"/>
      <c r="J756" s="2585"/>
      <c r="K756" s="2585"/>
      <c r="L756" s="2585"/>
      <c r="M756" s="2585"/>
      <c r="N756" s="2585"/>
      <c r="O756" s="2585"/>
      <c r="P756" s="2585"/>
      <c r="Q756" s="2585"/>
      <c r="R756" s="2585"/>
      <c r="S756" s="2585"/>
      <c r="T756" s="2585"/>
      <c r="U756" s="2585"/>
      <c r="V756" s="437"/>
    </row>
    <row r="757" spans="1:23" s="1198" customFormat="1" ht="24.95" customHeight="1">
      <c r="A757" s="437"/>
      <c r="B757" s="2487" t="s">
        <v>872</v>
      </c>
      <c r="C757" s="2487"/>
      <c r="D757" s="2487"/>
      <c r="E757" s="2487"/>
      <c r="F757" s="2487"/>
      <c r="G757" s="2487"/>
      <c r="H757" s="2487"/>
      <c r="I757" s="2487"/>
      <c r="J757" s="2487"/>
      <c r="K757" s="2487"/>
      <c r="L757" s="2487"/>
      <c r="M757" s="2487"/>
      <c r="N757" s="2487"/>
      <c r="O757" s="2487"/>
      <c r="P757" s="2487"/>
      <c r="Q757" s="2487"/>
      <c r="R757" s="2487"/>
      <c r="S757" s="2487"/>
      <c r="T757" s="2487"/>
      <c r="U757" s="2487"/>
      <c r="V757" s="437"/>
    </row>
    <row r="758" spans="1:23" s="437" customFormat="1" ht="24.95" customHeight="1">
      <c r="B758" s="2536" t="s">
        <v>810</v>
      </c>
      <c r="C758" s="2536"/>
      <c r="D758" s="2536"/>
      <c r="E758" s="2536"/>
      <c r="F758" s="2536"/>
      <c r="G758" s="2536"/>
      <c r="H758" s="2536"/>
      <c r="I758" s="2536"/>
      <c r="J758" s="2536"/>
      <c r="K758" s="2536"/>
      <c r="L758" s="2536"/>
      <c r="M758" s="2536"/>
      <c r="N758" s="2536"/>
      <c r="O758" s="2536"/>
      <c r="P758" s="2536"/>
      <c r="Q758" s="2536"/>
      <c r="R758" s="2536"/>
      <c r="S758" s="2536"/>
      <c r="T758" s="2536"/>
      <c r="U758" s="2536"/>
    </row>
    <row r="759" spans="1:23" s="437" customFormat="1" ht="46.9" customHeight="1">
      <c r="B759" s="2487" t="s">
        <v>673</v>
      </c>
      <c r="C759" s="2487"/>
      <c r="D759" s="2487"/>
      <c r="E759" s="2487"/>
      <c r="F759" s="2487"/>
      <c r="G759" s="2487"/>
      <c r="H759" s="2487"/>
      <c r="I759" s="2487"/>
      <c r="J759" s="2487"/>
      <c r="K759" s="2487"/>
      <c r="L759" s="2487"/>
      <c r="M759" s="2487"/>
      <c r="N759" s="2487"/>
      <c r="O759" s="2487"/>
      <c r="P759" s="2487"/>
      <c r="Q759" s="2487"/>
      <c r="R759" s="2487"/>
      <c r="S759" s="2487"/>
      <c r="T759" s="2487"/>
      <c r="U759" s="2487"/>
    </row>
    <row r="760" spans="1:23" s="1524" customFormat="1" ht="51" customHeight="1">
      <c r="A760" s="1198"/>
      <c r="B760" s="2494" t="s">
        <v>1089</v>
      </c>
      <c r="C760" s="2494"/>
      <c r="D760" s="2494"/>
      <c r="E760" s="2494"/>
      <c r="F760" s="2494"/>
      <c r="G760" s="2494"/>
      <c r="H760" s="2494"/>
      <c r="I760" s="2494"/>
      <c r="J760" s="2494"/>
      <c r="K760" s="2494"/>
      <c r="L760" s="2494"/>
      <c r="M760" s="2494"/>
      <c r="N760" s="2494"/>
      <c r="O760" s="2494"/>
      <c r="P760" s="2494"/>
      <c r="Q760" s="2494"/>
      <c r="R760" s="2494"/>
      <c r="S760" s="2494"/>
      <c r="T760" s="2494"/>
      <c r="U760" s="2494"/>
      <c r="V760" s="1198"/>
    </row>
    <row r="761" spans="1:23" ht="109.15" customHeight="1">
      <c r="B761" s="2539" t="s">
        <v>1902</v>
      </c>
      <c r="C761" s="2539"/>
      <c r="D761" s="2539"/>
      <c r="E761" s="2539"/>
      <c r="F761" s="2539"/>
      <c r="G761" s="2539"/>
      <c r="H761" s="2539"/>
      <c r="I761" s="2539"/>
      <c r="J761" s="2539"/>
      <c r="K761" s="2539"/>
      <c r="L761" s="2539"/>
      <c r="M761" s="2539"/>
      <c r="N761" s="2539"/>
      <c r="O761" s="2539"/>
      <c r="P761" s="2539"/>
      <c r="Q761" s="2539"/>
      <c r="R761" s="2539"/>
      <c r="S761" s="2539"/>
      <c r="T761" s="2539"/>
      <c r="U761" s="2539"/>
    </row>
    <row r="762" spans="1:23" ht="28.15" customHeight="1">
      <c r="B762" s="774"/>
      <c r="C762" s="774"/>
      <c r="D762" s="774"/>
      <c r="E762" s="774"/>
      <c r="F762" s="774"/>
      <c r="G762" s="774"/>
      <c r="H762" s="774"/>
      <c r="I762" s="774"/>
      <c r="J762" s="774"/>
      <c r="K762" s="774"/>
      <c r="L762" s="774"/>
      <c r="M762" s="476" t="s">
        <v>1399</v>
      </c>
      <c r="N762" s="774"/>
      <c r="O762" s="774"/>
      <c r="P762" s="774"/>
      <c r="Q762" s="774"/>
      <c r="R762" s="477" t="s">
        <v>692</v>
      </c>
      <c r="S762" s="478" t="str">
        <f>$E$31</f>
        <v>ILF5_90FCOSCP_B114CAGR43006</v>
      </c>
      <c r="T762" s="774"/>
      <c r="U762" s="774"/>
    </row>
    <row r="763" spans="1:23" ht="14.25" customHeight="1">
      <c r="H763" s="436" t="s">
        <v>690</v>
      </c>
      <c r="I763" s="420"/>
      <c r="K763" s="420"/>
      <c r="L763" s="437" t="str">
        <f>$B$11</f>
        <v>INMOBILIARIA SERVIGESTION</v>
      </c>
    </row>
    <row r="764" spans="1:23" ht="23.25" customHeight="1">
      <c r="B764" s="2395" t="s">
        <v>461</v>
      </c>
      <c r="C764" s="2395"/>
      <c r="D764" s="2395"/>
      <c r="E764" s="2395"/>
      <c r="F764" s="2395"/>
      <c r="G764" s="2395"/>
      <c r="H764" s="2395"/>
      <c r="I764" s="2395"/>
      <c r="J764" s="2395"/>
      <c r="K764" s="2395"/>
      <c r="L764" s="2395"/>
      <c r="M764" s="2395"/>
      <c r="N764" s="2395"/>
      <c r="O764" s="2395"/>
      <c r="P764" s="2395"/>
      <c r="Q764" s="2395"/>
      <c r="R764" s="2395"/>
      <c r="S764" s="2395"/>
      <c r="T764" s="2395"/>
      <c r="U764" s="2395"/>
    </row>
    <row r="765" spans="1:23" ht="21.75" customHeight="1">
      <c r="B765" s="2252" t="s">
        <v>675</v>
      </c>
      <c r="C765" s="2252"/>
      <c r="D765" s="2252"/>
      <c r="E765" s="2252"/>
      <c r="F765" s="2252"/>
      <c r="G765" s="2252"/>
      <c r="H765" s="2252"/>
      <c r="I765" s="2252"/>
      <c r="J765" s="2252"/>
      <c r="K765" s="2252"/>
      <c r="L765" s="2252"/>
      <c r="M765" s="2252"/>
      <c r="N765" s="2252"/>
      <c r="O765" s="2252"/>
      <c r="P765" s="2252"/>
      <c r="Q765" s="2252"/>
      <c r="R765" s="2252"/>
      <c r="S765" s="2252"/>
      <c r="T765" s="2252"/>
      <c r="U765" s="2252"/>
    </row>
    <row r="766" spans="1:23" ht="15">
      <c r="A766" s="522"/>
      <c r="B766" s="2474" t="s">
        <v>760</v>
      </c>
      <c r="C766" s="2474"/>
      <c r="D766" s="2474"/>
      <c r="E766" s="2474"/>
      <c r="F766" s="2474"/>
      <c r="G766" s="2474"/>
      <c r="H766" s="2474"/>
      <c r="I766" s="2474"/>
      <c r="J766" s="2474"/>
      <c r="K766" s="2474"/>
      <c r="L766" s="2474"/>
      <c r="M766" s="2474"/>
      <c r="N766" s="2474"/>
      <c r="O766" s="2474"/>
      <c r="P766" s="2474"/>
      <c r="Q766" s="2474"/>
      <c r="R766" s="2474"/>
      <c r="S766" s="2474"/>
      <c r="T766" s="2474"/>
      <c r="U766" s="2474"/>
      <c r="V766" s="522"/>
    </row>
    <row r="767" spans="1:23" s="1524" customFormat="1" ht="26.25" customHeight="1">
      <c r="A767" s="1198"/>
      <c r="B767" s="2491" t="s">
        <v>1456</v>
      </c>
      <c r="C767" s="2491"/>
      <c r="D767" s="2491"/>
      <c r="E767" s="2491"/>
      <c r="F767" s="2491"/>
      <c r="G767" s="2491"/>
      <c r="H767" s="2491"/>
      <c r="I767" s="2491"/>
      <c r="J767" s="2491"/>
      <c r="K767" s="2491"/>
      <c r="L767" s="2491"/>
      <c r="M767" s="2491"/>
      <c r="N767" s="2491"/>
      <c r="O767" s="2491"/>
      <c r="P767" s="2491"/>
      <c r="Q767" s="2491"/>
      <c r="R767" s="2491"/>
      <c r="S767" s="2491"/>
      <c r="T767" s="2491"/>
      <c r="U767" s="2491"/>
      <c r="V767" s="1198"/>
    </row>
    <row r="768" spans="1:23" s="1524" customFormat="1" ht="15" customHeight="1">
      <c r="A768" s="1198"/>
      <c r="B768" s="2440" t="s">
        <v>1936</v>
      </c>
      <c r="C768" s="2440"/>
      <c r="D768" s="2440"/>
      <c r="E768" s="2440"/>
      <c r="F768" s="2440"/>
      <c r="G768" s="2440"/>
      <c r="H768" s="2440"/>
      <c r="I768" s="2440"/>
      <c r="J768" s="2440"/>
      <c r="K768" s="2440"/>
      <c r="L768" s="2440"/>
      <c r="M768" s="2440"/>
      <c r="N768" s="2440"/>
      <c r="O768" s="2440"/>
      <c r="P768" s="2440"/>
      <c r="Q768" s="2440"/>
      <c r="R768" s="2440"/>
      <c r="S768" s="2440"/>
      <c r="T768" s="2440"/>
      <c r="U768" s="2440"/>
      <c r="V768" s="1198"/>
    </row>
    <row r="769" spans="1:22" s="1524" customFormat="1" ht="15" customHeight="1">
      <c r="A769" s="1198"/>
      <c r="B769" s="2538" t="s">
        <v>1937</v>
      </c>
      <c r="C769" s="2538"/>
      <c r="D769" s="2538"/>
      <c r="E769" s="2538"/>
      <c r="F769" s="2538"/>
      <c r="G769" s="2538"/>
      <c r="H769" s="2538"/>
      <c r="I769" s="2538"/>
      <c r="J769" s="2538"/>
      <c r="K769" s="2538"/>
      <c r="L769" s="2538"/>
      <c r="M769" s="2538"/>
      <c r="N769" s="2538"/>
      <c r="O769" s="2538"/>
      <c r="P769" s="2538"/>
      <c r="Q769" s="2538"/>
      <c r="R769" s="2538"/>
      <c r="S769" s="2538"/>
      <c r="T769" s="2538"/>
      <c r="U769" s="2538"/>
      <c r="V769" s="1198"/>
    </row>
    <row r="770" spans="1:22" s="1524" customFormat="1" ht="15" customHeight="1">
      <c r="A770" s="1198"/>
      <c r="B770" s="2440" t="s">
        <v>2026</v>
      </c>
      <c r="C770" s="2440"/>
      <c r="D770" s="2440"/>
      <c r="E770" s="2440"/>
      <c r="F770" s="2440"/>
      <c r="G770" s="2440"/>
      <c r="H770" s="2440"/>
      <c r="I770" s="2440"/>
      <c r="J770" s="2440"/>
      <c r="K770" s="2440"/>
      <c r="L770" s="2440"/>
      <c r="M770" s="2440"/>
      <c r="N770" s="2440"/>
      <c r="O770" s="2440"/>
      <c r="P770" s="2440"/>
      <c r="Q770" s="2440"/>
      <c r="R770" s="2440"/>
      <c r="S770" s="2440"/>
      <c r="T770" s="2440"/>
      <c r="U770" s="2440"/>
      <c r="V770" s="1198"/>
    </row>
    <row r="771" spans="1:22" s="1524" customFormat="1" ht="17.25" customHeight="1">
      <c r="A771" s="437"/>
      <c r="B771" s="2491" t="s">
        <v>2055</v>
      </c>
      <c r="C771" s="2491"/>
      <c r="D771" s="2491"/>
      <c r="E771" s="2491"/>
      <c r="F771" s="2491"/>
      <c r="G771" s="2491"/>
      <c r="H771" s="2491"/>
      <c r="I771" s="2491"/>
      <c r="J771" s="2491"/>
      <c r="K771" s="2491"/>
      <c r="L771" s="2491"/>
      <c r="M771" s="2491"/>
      <c r="N771" s="2491"/>
      <c r="O771" s="2491"/>
      <c r="P771" s="2491"/>
      <c r="Q771" s="2491"/>
      <c r="R771" s="2491"/>
      <c r="S771" s="2491"/>
      <c r="T771" s="2491"/>
      <c r="U771" s="2491"/>
      <c r="V771" s="437"/>
    </row>
    <row r="772" spans="1:22" s="1524" customFormat="1" ht="19.5" customHeight="1">
      <c r="A772" s="1198"/>
      <c r="B772" s="2474" t="s">
        <v>1178</v>
      </c>
      <c r="C772" s="2474"/>
      <c r="D772" s="2474"/>
      <c r="E772" s="2474"/>
      <c r="F772" s="2474"/>
      <c r="G772" s="2474"/>
      <c r="H772" s="2474"/>
      <c r="I772" s="2474"/>
      <c r="J772" s="2474"/>
      <c r="K772" s="2474"/>
      <c r="L772" s="2474"/>
      <c r="M772" s="2474"/>
      <c r="N772" s="2474"/>
      <c r="O772" s="2474"/>
      <c r="P772" s="2474"/>
      <c r="Q772" s="2474"/>
      <c r="R772" s="2474"/>
      <c r="S772" s="2474"/>
      <c r="T772" s="2474"/>
      <c r="U772" s="2474"/>
      <c r="V772" s="1198"/>
    </row>
    <row r="773" spans="1:22" s="1524" customFormat="1" ht="57.75" customHeight="1">
      <c r="A773" s="1330"/>
      <c r="B773" s="2490" t="s">
        <v>2049</v>
      </c>
      <c r="C773" s="2490"/>
      <c r="D773" s="2490"/>
      <c r="E773" s="2490"/>
      <c r="F773" s="2490"/>
      <c r="G773" s="2490"/>
      <c r="H773" s="2490"/>
      <c r="I773" s="2490"/>
      <c r="J773" s="2490"/>
      <c r="K773" s="2490"/>
      <c r="L773" s="2490"/>
      <c r="M773" s="2490"/>
      <c r="N773" s="2490"/>
      <c r="O773" s="2490"/>
      <c r="P773" s="2490"/>
      <c r="Q773" s="2490"/>
      <c r="R773" s="2490"/>
      <c r="S773" s="2490"/>
      <c r="T773" s="2490"/>
      <c r="U773" s="2490"/>
      <c r="V773" s="1330"/>
    </row>
    <row r="774" spans="1:22" ht="15">
      <c r="A774" s="522"/>
      <c r="B774" s="2501" t="s">
        <v>688</v>
      </c>
      <c r="C774" s="2501"/>
      <c r="D774" s="2501"/>
      <c r="E774" s="2501"/>
      <c r="F774" s="2501"/>
      <c r="G774" s="2501"/>
      <c r="H774" s="2501"/>
      <c r="I774" s="2501"/>
      <c r="J774" s="2501"/>
      <c r="K774" s="2501"/>
      <c r="L774" s="2501"/>
      <c r="M774" s="2501"/>
      <c r="N774" s="2501"/>
      <c r="O774" s="2501"/>
      <c r="P774" s="2501"/>
      <c r="Q774" s="2501"/>
      <c r="R774" s="2501"/>
      <c r="S774" s="2501"/>
      <c r="T774" s="2501"/>
      <c r="U774" s="2501"/>
      <c r="V774" s="522"/>
    </row>
    <row r="775" spans="1:22" ht="62.25" customHeight="1">
      <c r="A775" s="522"/>
      <c r="B775" s="2488" t="s">
        <v>1077</v>
      </c>
      <c r="C775" s="2488"/>
      <c r="D775" s="2488"/>
      <c r="E775" s="2488"/>
      <c r="F775" s="2488"/>
      <c r="G775" s="2488"/>
      <c r="H775" s="2488"/>
      <c r="I775" s="2488"/>
      <c r="J775" s="2488"/>
      <c r="K775" s="2488"/>
      <c r="L775" s="2488"/>
      <c r="M775" s="2488"/>
      <c r="N775" s="2488"/>
      <c r="O775" s="2488"/>
      <c r="P775" s="2488"/>
      <c r="Q775" s="2488"/>
      <c r="R775" s="2488"/>
      <c r="S775" s="2488"/>
      <c r="T775" s="2488"/>
      <c r="U775" s="2488"/>
      <c r="V775" s="522"/>
    </row>
    <row r="776" spans="1:22" ht="149.25" customHeight="1">
      <c r="A776" s="522"/>
      <c r="B776" s="2441" t="s">
        <v>1891</v>
      </c>
      <c r="C776" s="2441"/>
      <c r="D776" s="2441"/>
      <c r="E776" s="2441"/>
      <c r="F776" s="2441"/>
      <c r="G776" s="2441"/>
      <c r="H776" s="2441"/>
      <c r="I776" s="2441"/>
      <c r="J776" s="2441"/>
      <c r="K776" s="2441"/>
      <c r="L776" s="2441"/>
      <c r="M776" s="2441"/>
      <c r="N776" s="2441"/>
      <c r="O776" s="2441"/>
      <c r="P776" s="2441"/>
      <c r="Q776" s="2441"/>
      <c r="R776" s="2441"/>
      <c r="S776" s="2441"/>
      <c r="T776" s="2441"/>
      <c r="U776" s="2441"/>
      <c r="V776" s="522"/>
    </row>
    <row r="777" spans="1:22" ht="59.25" customHeight="1">
      <c r="A777" s="522"/>
      <c r="B777" s="2488" t="s">
        <v>1458</v>
      </c>
      <c r="C777" s="2488"/>
      <c r="D777" s="2488"/>
      <c r="E777" s="2488"/>
      <c r="F777" s="2488"/>
      <c r="G777" s="2488"/>
      <c r="H777" s="2488"/>
      <c r="I777" s="2488"/>
      <c r="J777" s="2488"/>
      <c r="K777" s="2488"/>
      <c r="L777" s="2488"/>
      <c r="M777" s="2488"/>
      <c r="N777" s="2488"/>
      <c r="O777" s="2488"/>
      <c r="P777" s="2488"/>
      <c r="Q777" s="2488"/>
      <c r="R777" s="2488"/>
      <c r="S777" s="2488"/>
      <c r="T777" s="2488"/>
      <c r="U777" s="2488"/>
      <c r="V777" s="522"/>
    </row>
    <row r="778" spans="1:22" s="522" customFormat="1" ht="17.25" customHeight="1">
      <c r="B778" s="2501" t="s">
        <v>1816</v>
      </c>
      <c r="C778" s="2501"/>
      <c r="D778" s="2501"/>
      <c r="E778" s="2501"/>
      <c r="F778" s="2501"/>
      <c r="G778" s="2501"/>
      <c r="H778" s="2501"/>
      <c r="I778" s="2501"/>
      <c r="J778" s="2501"/>
      <c r="K778" s="2501"/>
      <c r="L778" s="2501"/>
      <c r="M778" s="2501"/>
      <c r="N778" s="2501"/>
      <c r="O778" s="2501"/>
      <c r="P778" s="2501"/>
      <c r="Q778" s="2501"/>
      <c r="R778" s="2501"/>
      <c r="S778" s="2501"/>
      <c r="T778" s="2501"/>
      <c r="U778" s="2501"/>
    </row>
    <row r="779" spans="1:22" s="429" customFormat="1" ht="27.75" customHeight="1">
      <c r="B779" s="2441" t="s">
        <v>1817</v>
      </c>
      <c r="C779" s="2441"/>
      <c r="D779" s="2441"/>
      <c r="E779" s="2441"/>
      <c r="F779" s="2441"/>
      <c r="G779" s="2441"/>
      <c r="H779" s="2441"/>
      <c r="I779" s="2441"/>
      <c r="J779" s="2441"/>
      <c r="K779" s="2441"/>
      <c r="L779" s="2441"/>
      <c r="M779" s="2441"/>
      <c r="N779" s="2441"/>
      <c r="O779" s="2441"/>
      <c r="P779" s="2441"/>
      <c r="Q779" s="2441"/>
      <c r="R779" s="2441"/>
      <c r="S779" s="2441"/>
      <c r="T779" s="2441"/>
      <c r="U779" s="2441"/>
    </row>
    <row r="780" spans="1:22" s="429" customFormat="1" ht="88.5" customHeight="1">
      <c r="B780" s="2488" t="s">
        <v>1858</v>
      </c>
      <c r="C780" s="2488"/>
      <c r="D780" s="2488"/>
      <c r="E780" s="2488"/>
      <c r="F780" s="2488"/>
      <c r="G780" s="2488"/>
      <c r="H780" s="2488"/>
      <c r="I780" s="2488"/>
      <c r="J780" s="2488"/>
      <c r="K780" s="2488"/>
      <c r="L780" s="2488"/>
      <c r="M780" s="2488"/>
      <c r="N780" s="2488"/>
      <c r="O780" s="2488"/>
      <c r="P780" s="2488"/>
      <c r="Q780" s="2488"/>
      <c r="R780" s="2488"/>
      <c r="S780" s="2488"/>
      <c r="T780" s="2488"/>
      <c r="U780" s="2488"/>
    </row>
    <row r="781" spans="1:22" ht="0.95" customHeight="1">
      <c r="A781"/>
      <c r="B781"/>
      <c r="C781"/>
      <c r="D781"/>
      <c r="E781"/>
      <c r="F781"/>
      <c r="G781"/>
      <c r="H781"/>
      <c r="I781"/>
      <c r="J781"/>
      <c r="K781"/>
      <c r="L781"/>
      <c r="M781"/>
      <c r="N781"/>
      <c r="O781"/>
      <c r="P781"/>
      <c r="Q781"/>
      <c r="R781"/>
      <c r="S781"/>
      <c r="T781"/>
      <c r="U781"/>
      <c r="V781"/>
    </row>
    <row r="782" spans="1:22" ht="15">
      <c r="A782" s="522"/>
      <c r="B782" s="2501" t="s">
        <v>949</v>
      </c>
      <c r="C782" s="2501"/>
      <c r="D782" s="2501"/>
      <c r="E782" s="2501"/>
      <c r="F782" s="2501"/>
      <c r="G782" s="2501"/>
      <c r="H782" s="2501"/>
      <c r="I782" s="2501"/>
      <c r="J782" s="2501"/>
      <c r="K782" s="2501"/>
      <c r="L782" s="2501"/>
      <c r="M782" s="2501"/>
      <c r="N782" s="2501"/>
      <c r="O782" s="2501"/>
      <c r="P782" s="2501"/>
      <c r="Q782" s="2501"/>
      <c r="R782" s="2501"/>
      <c r="S782" s="2501"/>
      <c r="T782" s="2501"/>
      <c r="U782" s="2501"/>
      <c r="V782" s="522"/>
    </row>
    <row r="783" spans="1:22" ht="32.25" customHeight="1">
      <c r="A783" s="429"/>
      <c r="B783" s="2441" t="s">
        <v>953</v>
      </c>
      <c r="C783" s="2441"/>
      <c r="D783" s="2441"/>
      <c r="E783" s="2441"/>
      <c r="F783" s="2441"/>
      <c r="G783" s="2441"/>
      <c r="H783" s="2441"/>
      <c r="I783" s="2441"/>
      <c r="J783" s="2441"/>
      <c r="K783" s="2441"/>
      <c r="L783" s="2441"/>
      <c r="M783" s="2441"/>
      <c r="N783" s="2441"/>
      <c r="O783" s="2441"/>
      <c r="P783" s="2441"/>
      <c r="Q783" s="2441"/>
      <c r="R783" s="2441"/>
      <c r="S783" s="2441"/>
      <c r="T783" s="2441"/>
      <c r="U783" s="2441"/>
      <c r="V783" s="429"/>
    </row>
    <row r="784" spans="1:22" ht="32.25" customHeight="1">
      <c r="A784" s="429"/>
      <c r="B784" s="2488" t="s">
        <v>954</v>
      </c>
      <c r="C784" s="2488"/>
      <c r="D784" s="2488"/>
      <c r="E784" s="2488"/>
      <c r="F784" s="2488"/>
      <c r="G784" s="2488"/>
      <c r="H784" s="2488"/>
      <c r="I784" s="2488"/>
      <c r="J784" s="2488"/>
      <c r="K784" s="2488"/>
      <c r="L784" s="2488"/>
      <c r="M784" s="2488"/>
      <c r="N784" s="2488"/>
      <c r="O784" s="2488"/>
      <c r="P784" s="2488"/>
      <c r="Q784" s="2488"/>
      <c r="R784" s="2488"/>
      <c r="S784" s="2488"/>
      <c r="T784" s="2488"/>
      <c r="U784" s="2488"/>
      <c r="V784" s="429"/>
    </row>
    <row r="785" spans="1:22" ht="14.25">
      <c r="A785" s="429"/>
      <c r="B785" s="2441" t="s">
        <v>955</v>
      </c>
      <c r="C785" s="2441"/>
      <c r="D785" s="2441"/>
      <c r="E785" s="2441"/>
      <c r="F785" s="2441"/>
      <c r="G785" s="2441"/>
      <c r="H785" s="2441"/>
      <c r="I785" s="2441"/>
      <c r="J785" s="2441"/>
      <c r="K785" s="2441"/>
      <c r="L785" s="2441"/>
      <c r="M785" s="2441"/>
      <c r="N785" s="2441"/>
      <c r="O785" s="2441"/>
      <c r="P785" s="2441"/>
      <c r="Q785" s="2441"/>
      <c r="R785" s="2441"/>
      <c r="S785" s="2441"/>
      <c r="T785" s="2441"/>
      <c r="U785" s="2441"/>
      <c r="V785" s="429"/>
    </row>
    <row r="786" spans="1:22" ht="43.5" customHeight="1">
      <c r="A786" s="429"/>
      <c r="B786" s="2440" t="s">
        <v>1938</v>
      </c>
      <c r="C786" s="2440"/>
      <c r="D786" s="2440"/>
      <c r="E786" s="2440"/>
      <c r="F786" s="2440"/>
      <c r="G786" s="2440"/>
      <c r="H786" s="2440"/>
      <c r="I786" s="2440"/>
      <c r="J786" s="2440"/>
      <c r="K786" s="2440"/>
      <c r="L786" s="2440"/>
      <c r="M786" s="2440"/>
      <c r="N786" s="2440"/>
      <c r="O786" s="2440"/>
      <c r="P786" s="2440"/>
      <c r="Q786" s="2440"/>
      <c r="R786" s="2440"/>
      <c r="S786" s="2440"/>
      <c r="T786" s="2440"/>
      <c r="U786" s="2440"/>
      <c r="V786" s="429"/>
    </row>
    <row r="787" spans="1:22" ht="2.25" customHeight="1">
      <c r="A787" s="522"/>
      <c r="B787" s="779"/>
      <c r="C787" s="779"/>
      <c r="D787" s="779"/>
      <c r="E787" s="779"/>
      <c r="F787" s="779"/>
      <c r="G787" s="779"/>
      <c r="H787" s="779"/>
      <c r="I787" s="779"/>
      <c r="J787" s="779"/>
      <c r="K787" s="779"/>
      <c r="L787" s="779"/>
      <c r="M787" s="779"/>
      <c r="N787" s="779"/>
      <c r="O787" s="779"/>
      <c r="P787" s="779"/>
      <c r="Q787" s="779"/>
      <c r="R787" s="779"/>
      <c r="S787" s="779"/>
      <c r="T787" s="779"/>
      <c r="U787" s="779"/>
      <c r="V787" s="429"/>
    </row>
    <row r="788" spans="1:22" ht="15">
      <c r="A788" s="522"/>
      <c r="B788" s="2501" t="s">
        <v>1135</v>
      </c>
      <c r="C788" s="2501"/>
      <c r="D788" s="2501"/>
      <c r="E788" s="2501"/>
      <c r="F788" s="2501"/>
      <c r="G788" s="2501"/>
      <c r="H788" s="2501"/>
      <c r="I788" s="2501"/>
      <c r="J788" s="2501"/>
      <c r="K788" s="2501"/>
      <c r="L788" s="2501"/>
      <c r="M788" s="2501"/>
      <c r="N788" s="2501"/>
      <c r="O788" s="2501"/>
      <c r="P788" s="2501"/>
      <c r="Q788" s="2501"/>
      <c r="R788" s="2501"/>
      <c r="S788" s="2501"/>
      <c r="T788" s="2501"/>
      <c r="U788" s="2501"/>
      <c r="V788" s="429"/>
    </row>
    <row r="789" spans="1:22" ht="42" customHeight="1">
      <c r="A789" s="522"/>
      <c r="B789" s="2441" t="s">
        <v>2066</v>
      </c>
      <c r="C789" s="2441"/>
      <c r="D789" s="2441"/>
      <c r="E789" s="2441"/>
      <c r="F789" s="2441"/>
      <c r="G789" s="2441"/>
      <c r="H789" s="2441"/>
      <c r="I789" s="2441"/>
      <c r="J789" s="2441"/>
      <c r="K789" s="2441"/>
      <c r="L789" s="2441"/>
      <c r="M789" s="2441"/>
      <c r="N789" s="2441"/>
      <c r="O789" s="2441"/>
      <c r="P789" s="2441"/>
      <c r="Q789" s="2441"/>
      <c r="R789" s="2441"/>
      <c r="S789" s="2441"/>
      <c r="T789" s="2441"/>
      <c r="U789" s="2441"/>
      <c r="V789" s="429"/>
    </row>
    <row r="790" spans="1:22" ht="16.5" customHeight="1">
      <c r="A790" s="429"/>
      <c r="B790" s="2501" t="s">
        <v>912</v>
      </c>
      <c r="C790" s="2501"/>
      <c r="D790" s="2501"/>
      <c r="E790" s="2501"/>
      <c r="F790" s="2501"/>
      <c r="G790" s="2501"/>
      <c r="H790" s="2501"/>
      <c r="I790" s="2501"/>
      <c r="J790" s="2501"/>
      <c r="K790" s="2501"/>
      <c r="L790" s="2501"/>
      <c r="M790" s="2501"/>
      <c r="N790" s="2501"/>
      <c r="O790" s="2501"/>
      <c r="P790" s="2501"/>
      <c r="Q790" s="2501"/>
      <c r="R790" s="2501"/>
      <c r="S790" s="2501"/>
      <c r="T790" s="2501"/>
      <c r="U790" s="2501"/>
      <c r="V790" s="429"/>
    </row>
    <row r="791" spans="1:22" ht="60" customHeight="1">
      <c r="A791" s="429"/>
      <c r="B791" s="2488" t="s">
        <v>959</v>
      </c>
      <c r="C791" s="2488"/>
      <c r="D791" s="2488"/>
      <c r="E791" s="2488"/>
      <c r="F791" s="2488"/>
      <c r="G791" s="2488"/>
      <c r="H791" s="2488"/>
      <c r="I791" s="2488"/>
      <c r="J791" s="2488"/>
      <c r="K791" s="2488"/>
      <c r="L791" s="2488"/>
      <c r="M791" s="2488"/>
      <c r="N791" s="2488"/>
      <c r="O791" s="2488"/>
      <c r="P791" s="2488"/>
      <c r="Q791" s="2488"/>
      <c r="R791" s="2488"/>
      <c r="S791" s="2488"/>
      <c r="T791" s="2488"/>
      <c r="U791" s="2488"/>
      <c r="V791" s="429"/>
    </row>
    <row r="792" spans="1:22" ht="48.75" customHeight="1">
      <c r="A792"/>
      <c r="B792" s="2584" t="s">
        <v>1949</v>
      </c>
      <c r="C792" s="2584"/>
      <c r="D792" s="2584"/>
      <c r="E792" s="2584"/>
      <c r="F792" s="2584"/>
      <c r="G792" s="2584"/>
      <c r="H792" s="2584"/>
      <c r="I792" s="2584"/>
      <c r="J792" s="2584"/>
      <c r="K792" s="2584"/>
      <c r="L792" s="2584"/>
      <c r="M792" s="2584"/>
      <c r="N792" s="2584"/>
      <c r="O792" s="2584"/>
      <c r="P792" s="2584"/>
      <c r="Q792" s="2584"/>
      <c r="R792" s="2584"/>
      <c r="S792" s="2584"/>
      <c r="T792" s="2584"/>
      <c r="U792" s="2584"/>
      <c r="V792"/>
    </row>
    <row r="793" spans="1:22" ht="51.75" customHeight="1">
      <c r="A793" s="522"/>
      <c r="B793" s="2488" t="s">
        <v>1902</v>
      </c>
      <c r="C793" s="2488"/>
      <c r="D793" s="2488"/>
      <c r="E793" s="2488"/>
      <c r="F793" s="2488"/>
      <c r="G793" s="2488"/>
      <c r="H793" s="2488"/>
      <c r="I793" s="2488"/>
      <c r="J793" s="2488"/>
      <c r="K793" s="2488"/>
      <c r="L793" s="2488"/>
      <c r="M793" s="2488"/>
      <c r="N793" s="2488"/>
      <c r="O793" s="2488"/>
      <c r="P793" s="2488"/>
      <c r="Q793" s="2488"/>
      <c r="R793" s="2488"/>
      <c r="S793" s="2488"/>
      <c r="T793" s="2488"/>
      <c r="U793" s="2488"/>
      <c r="V793" s="522"/>
    </row>
    <row r="794" spans="1:22" ht="22.5" customHeight="1">
      <c r="A794" s="522"/>
      <c r="B794" s="2577" t="str">
        <f>IF(Perfiles_usuario!R282&gt;0,IF(Perfiles_usuario!J17="Cartera Orange","","Abono de penalizaciones"),"")</f>
        <v>Abono de penalizaciones</v>
      </c>
      <c r="C794" s="2577"/>
      <c r="D794" s="2577"/>
      <c r="E794" s="2577"/>
      <c r="F794" s="2577"/>
      <c r="G794" s="2577"/>
      <c r="H794" s="2577"/>
      <c r="I794" s="492"/>
      <c r="J794" s="492"/>
      <c r="K794" s="492"/>
      <c r="L794" s="492"/>
      <c r="M794" s="492"/>
      <c r="N794" s="492"/>
      <c r="O794" s="492"/>
      <c r="P794" s="492"/>
      <c r="Q794" s="492"/>
      <c r="R794" s="492"/>
      <c r="S794" s="492"/>
      <c r="T794" s="492"/>
      <c r="U794" s="735"/>
      <c r="V794" s="522"/>
    </row>
    <row r="795" spans="1:22" ht="36" customHeight="1">
      <c r="A795" s="522"/>
      <c r="B795" s="2502" t="str">
        <f>IF(Perfiles_usuario!J17="Cartera Orange","",IF(Perfiles_usuario!$R$282=0,"",CONCATENATE(CONCATENATE("En el supuesto de que  ",$B$11," deba hacer frente a penalización por cancelación anticipada de sus Contratos de prestación de servicios de telecomunicación con su actual operador, ORANGE se compromete a aplicar dicho importe como descuento en factura"), CONCATENATE(", con un máximo de ",ROUND(Perfiles_usuario!$R$282,0)," €"))))</f>
        <v>En el supuesto de que  INMOBILIARIA SERVIGESTION deba hacer frente a penalización por cancelación anticipada de sus Contratos de prestación de servicios de telecomunicación con su actual operador, ORANGE se compromete a aplicar dicho importe como descuento en factura, con un máximo de 452 €</v>
      </c>
      <c r="C795" s="2502"/>
      <c r="D795" s="2502"/>
      <c r="E795" s="2502"/>
      <c r="F795" s="2502"/>
      <c r="G795" s="2502"/>
      <c r="H795" s="2502"/>
      <c r="I795" s="2502"/>
      <c r="J795" s="2502"/>
      <c r="K795" s="2502"/>
      <c r="L795" s="2502"/>
      <c r="M795" s="2502"/>
      <c r="N795" s="2502"/>
      <c r="O795" s="2502"/>
      <c r="P795" s="2502"/>
      <c r="Q795" s="2502"/>
      <c r="R795" s="2502"/>
      <c r="S795" s="2502"/>
      <c r="T795" s="2502"/>
      <c r="U795" s="2502"/>
      <c r="V795" s="522"/>
    </row>
    <row r="796" spans="1:22" ht="16.5" customHeight="1">
      <c r="A796" s="522"/>
      <c r="B796" s="2502" t="str">
        <f>IF(Perfiles_usuario!J17="Cartera Orange","",IF(Perfiles_usuario!$R$282=0,"",CONCATENATE("Si ",B11, " no contrata el producto ",Calculos_cuotas!W140," dicha cantidad se verá reducida en ", Calculos_cuotas!V140, "€.")))</f>
        <v>Si INMOBILIARIA SERVIGESTION no contrata el producto Conecta 2A dicha cantidad se verá reducida en 80€.</v>
      </c>
      <c r="C796" s="2502"/>
      <c r="D796" s="2502"/>
      <c r="E796" s="2502"/>
      <c r="F796" s="2502"/>
      <c r="G796" s="2502"/>
      <c r="H796" s="2502"/>
      <c r="I796" s="2502"/>
      <c r="J796" s="2502"/>
      <c r="K796" s="2502"/>
      <c r="L796" s="2502"/>
      <c r="M796" s="2502"/>
      <c r="N796" s="2502"/>
      <c r="O796" s="2502"/>
      <c r="P796" s="2502"/>
      <c r="Q796" s="2502"/>
      <c r="R796" s="2502"/>
      <c r="S796" s="2502"/>
      <c r="T796" s="2502"/>
      <c r="U796" s="2502"/>
      <c r="V796" s="522"/>
    </row>
    <row r="797" spans="1:22" ht="56.25" customHeight="1">
      <c r="A797" s="522"/>
      <c r="B797" s="2502"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INMOBILIARIA SERVIGESTION deberá acreditar la cuantía y pago de la correspondiente penalización a su actual operador para que dicho descuento sea aplicado. Si el valor efectivamente abonado es inferior al máximo descuento en factura, el descuento que se aplicará será lo efectivamente abonado por INMOBILIARIA SERVIGESTION. El descuento se realizará, en una sola factura, tras la recepción en ORANGE de los documentos acreditativos del pago de la penalización en un plazo inferior a 6 meses, contados a partir del comienzo de la activación de los servicios. </v>
      </c>
      <c r="C797" s="2502"/>
      <c r="D797" s="2502"/>
      <c r="E797" s="2502"/>
      <c r="F797" s="2502"/>
      <c r="G797" s="2502"/>
      <c r="H797" s="2502"/>
      <c r="I797" s="2502"/>
      <c r="J797" s="2502"/>
      <c r="K797" s="2502"/>
      <c r="L797" s="2502"/>
      <c r="M797" s="2502"/>
      <c r="N797" s="2502"/>
      <c r="O797" s="2502"/>
      <c r="P797" s="2502"/>
      <c r="Q797" s="2502"/>
      <c r="R797" s="2502"/>
      <c r="S797" s="2502"/>
      <c r="T797" s="2502"/>
      <c r="U797" s="2502"/>
      <c r="V797" s="522"/>
    </row>
    <row r="798" spans="1:22" ht="38.25" customHeight="1">
      <c r="A798" s="429"/>
      <c r="B798" s="2502"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INMOBILIARIA SERVIGESTION se compromete a portar 6 líneas móviles y a permanecer de alta en el servicio móvil Empresas de ORANGE con 8 líneas móviles, manteniendo la tarifa y los productos y módulos contratados en la presente hoja de condiciones durante un mínimo de 12 meses. Dicho descuento está condicionado al mantenimiento del nº de líneas y nº de líneas activas facilitados por el cliente.</v>
      </c>
      <c r="C798" s="2502"/>
      <c r="D798" s="2502"/>
      <c r="E798" s="2502"/>
      <c r="F798" s="2502"/>
      <c r="G798" s="2502"/>
      <c r="H798" s="2502"/>
      <c r="I798" s="2502"/>
      <c r="J798" s="2502"/>
      <c r="K798" s="2502"/>
      <c r="L798" s="2502"/>
      <c r="M798" s="2502"/>
      <c r="N798" s="2502"/>
      <c r="O798" s="2502"/>
      <c r="P798" s="2502"/>
      <c r="Q798" s="2502"/>
      <c r="R798" s="2502"/>
      <c r="S798" s="2502"/>
      <c r="T798" s="2502"/>
      <c r="U798" s="2502"/>
      <c r="V798" s="429"/>
    </row>
    <row r="799" spans="1:22" ht="24" customHeight="1">
      <c r="A799" s="429"/>
      <c r="B799" s="2502"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INMOBILIARIA SERVIGESTION desee cancelar, total o parcialmente, o modificar sustancialmente los servicios regulados por el Contrato Empresas de ORANGE tras la activación de los mismos y antes del abono del descuento, éste no se efectuará.</v>
      </c>
      <c r="C799" s="2502"/>
      <c r="D799" s="2502"/>
      <c r="E799" s="2502"/>
      <c r="F799" s="2502"/>
      <c r="G799" s="2502"/>
      <c r="H799" s="2502"/>
      <c r="I799" s="2502"/>
      <c r="J799" s="2502"/>
      <c r="K799" s="2502"/>
      <c r="L799" s="2502"/>
      <c r="M799" s="2502"/>
      <c r="N799" s="2502"/>
      <c r="O799" s="2502"/>
      <c r="P799" s="2502"/>
      <c r="Q799" s="2502"/>
      <c r="R799" s="2502"/>
      <c r="S799" s="2502"/>
      <c r="T799" s="2502"/>
      <c r="U799" s="2502"/>
      <c r="V799" s="429"/>
    </row>
    <row r="800" spans="1:22" ht="19.5" customHeight="1">
      <c r="B800" s="2578" t="s">
        <v>676</v>
      </c>
      <c r="C800" s="2578"/>
      <c r="D800" s="2578"/>
      <c r="E800" s="2578"/>
      <c r="F800" s="2578"/>
      <c r="G800" s="2578"/>
      <c r="H800" s="2578"/>
      <c r="I800" s="2578"/>
      <c r="J800" s="2578"/>
      <c r="K800" s="2578"/>
      <c r="L800" s="2578"/>
      <c r="M800" s="2578"/>
      <c r="N800" s="2578"/>
      <c r="O800" s="2578"/>
      <c r="P800" s="2578"/>
      <c r="Q800" s="2578"/>
      <c r="R800" s="2578"/>
      <c r="S800" s="2578"/>
      <c r="T800" s="2578"/>
      <c r="U800" s="2578"/>
    </row>
    <row r="801" spans="2:22" ht="37.5" customHeight="1">
      <c r="B801" s="2503" t="s">
        <v>677</v>
      </c>
      <c r="C801" s="2503"/>
      <c r="D801" s="2503"/>
      <c r="E801" s="2503"/>
      <c r="F801" s="2503"/>
      <c r="G801" s="2503"/>
      <c r="H801" s="2503"/>
      <c r="I801" s="2503"/>
      <c r="J801" s="2503"/>
      <c r="K801" s="2503"/>
      <c r="L801" s="2503"/>
      <c r="M801" s="2503"/>
      <c r="N801" s="2503"/>
      <c r="O801" s="2503"/>
      <c r="P801" s="2503"/>
      <c r="Q801" s="2503"/>
      <c r="R801" s="2503"/>
      <c r="S801" s="2503"/>
      <c r="T801" s="2503"/>
      <c r="U801" s="2503"/>
    </row>
    <row r="802" spans="2:22" ht="3.75" customHeight="1">
      <c r="B802" s="773"/>
      <c r="D802" s="773"/>
      <c r="E802" s="773"/>
      <c r="F802" s="773"/>
      <c r="G802" s="773"/>
      <c r="H802" s="773"/>
      <c r="I802" s="766"/>
      <c r="J802" s="773"/>
      <c r="K802" s="773"/>
      <c r="L802" s="773"/>
      <c r="M802" s="773"/>
      <c r="N802" s="773"/>
      <c r="O802" s="773"/>
      <c r="P802" s="773"/>
      <c r="Q802" s="773"/>
      <c r="R802" s="773"/>
      <c r="S802" s="773"/>
      <c r="T802" s="773"/>
      <c r="U802" s="773"/>
    </row>
    <row r="803" spans="2:22" ht="42" customHeight="1">
      <c r="B803" s="522"/>
      <c r="C803" s="738" t="s">
        <v>668</v>
      </c>
      <c r="D803" s="584"/>
      <c r="E803" s="584"/>
      <c r="F803" s="584"/>
      <c r="G803" s="2498" t="s">
        <v>678</v>
      </c>
      <c r="H803" s="2499"/>
      <c r="I803" s="2499"/>
      <c r="J803" s="2499"/>
      <c r="K803" s="2499"/>
      <c r="L803" s="2499"/>
      <c r="M803" s="2499"/>
      <c r="N803" s="2499"/>
      <c r="O803" s="2499"/>
      <c r="P803" s="2500"/>
      <c r="Q803" s="561"/>
      <c r="R803" s="561"/>
      <c r="S803" s="441"/>
      <c r="T803" s="441"/>
      <c r="U803" s="588"/>
      <c r="V803" s="441"/>
    </row>
    <row r="804" spans="2:22" ht="1.5" customHeight="1">
      <c r="B804" s="522"/>
      <c r="C804" s="585"/>
      <c r="D804" s="584"/>
      <c r="E804" s="584"/>
      <c r="F804" s="584"/>
      <c r="G804" s="586"/>
      <c r="H804" s="586"/>
      <c r="I804" s="586"/>
      <c r="J804" s="586"/>
      <c r="K804" s="587"/>
      <c r="L804" s="587"/>
      <c r="M804" s="587"/>
      <c r="N804" s="587"/>
      <c r="O804" s="587"/>
      <c r="P804" s="587"/>
      <c r="Q804" s="561"/>
      <c r="R804" s="561"/>
      <c r="S804" s="441"/>
      <c r="T804" s="441"/>
      <c r="U804" s="588"/>
      <c r="V804" s="441"/>
    </row>
    <row r="805" spans="2:22" ht="15.75">
      <c r="M805" s="476" t="s">
        <v>1402</v>
      </c>
      <c r="R805" s="477" t="s">
        <v>692</v>
      </c>
      <c r="S805" s="478" t="str">
        <f>$E$31</f>
        <v>ILF5_90FCOSCP_B114CAGR43006</v>
      </c>
    </row>
  </sheetData>
  <sheetProtection algorithmName="SHA-512" hashValue="cRBdAYVHj1nS4N0uwZxFz2Rbd52FC3ZJ1SpgTEHckvoVjelHLZ3/AzRQJtQsNtYRkOIrk8+Bo6UeWO8tsAilhA==" saltValue="lWaEg1UrwVbijwuY8nTjQA==" spinCount="100000" sheet="1" selectLockedCells="1" selectUnlockedCells="1"/>
  <mergeCells count="919">
    <mergeCell ref="K408:L408"/>
    <mergeCell ref="K409:L409"/>
    <mergeCell ref="K410:L410"/>
    <mergeCell ref="K411:L411"/>
    <mergeCell ref="M404:O404"/>
    <mergeCell ref="M405:O405"/>
    <mergeCell ref="M407:O407"/>
    <mergeCell ref="M408:O408"/>
    <mergeCell ref="M409:O409"/>
    <mergeCell ref="M410:O410"/>
    <mergeCell ref="M411:O411"/>
    <mergeCell ref="B732:U732"/>
    <mergeCell ref="B733:U733"/>
    <mergeCell ref="J570:K570"/>
    <mergeCell ref="L570:M570"/>
    <mergeCell ref="C689:T689"/>
    <mergeCell ref="C690:K690"/>
    <mergeCell ref="M690:T690"/>
    <mergeCell ref="B688:U688"/>
    <mergeCell ref="B726:U726"/>
    <mergeCell ref="B727:U727"/>
    <mergeCell ref="B729:U729"/>
    <mergeCell ref="B730:U730"/>
    <mergeCell ref="B731:U731"/>
    <mergeCell ref="L711:M711"/>
    <mergeCell ref="C719:D719"/>
    <mergeCell ref="C720:D720"/>
    <mergeCell ref="E719:G719"/>
    <mergeCell ref="E720:G720"/>
    <mergeCell ref="C692:G692"/>
    <mergeCell ref="M692:Q692"/>
    <mergeCell ref="P571:Q571"/>
    <mergeCell ref="R571:S571"/>
    <mergeCell ref="B578:C578"/>
    <mergeCell ref="D578:E578"/>
    <mergeCell ref="F578:G578"/>
    <mergeCell ref="J578:K578"/>
    <mergeCell ref="L578:M578"/>
    <mergeCell ref="N578:O578"/>
    <mergeCell ref="P578:Q578"/>
    <mergeCell ref="B557:U557"/>
    <mergeCell ref="B558:U558"/>
    <mergeCell ref="C559:K559"/>
    <mergeCell ref="B562:U562"/>
    <mergeCell ref="P570:Q570"/>
    <mergeCell ref="L571:M571"/>
    <mergeCell ref="N571:O571"/>
    <mergeCell ref="B573:C573"/>
    <mergeCell ref="D573:E573"/>
    <mergeCell ref="N570:O570"/>
    <mergeCell ref="R570:S570"/>
    <mergeCell ref="B571:C571"/>
    <mergeCell ref="B572:C572"/>
    <mergeCell ref="D572:E572"/>
    <mergeCell ref="F572:G572"/>
    <mergeCell ref="R569:S569"/>
    <mergeCell ref="B570:C570"/>
    <mergeCell ref="R578:S578"/>
    <mergeCell ref="D576:E576"/>
    <mergeCell ref="B519:U519"/>
    <mergeCell ref="B521:U521"/>
    <mergeCell ref="B546:U546"/>
    <mergeCell ref="B564:U564"/>
    <mergeCell ref="B565:U565"/>
    <mergeCell ref="B566:U566"/>
    <mergeCell ref="B567:U567"/>
    <mergeCell ref="B569:C569"/>
    <mergeCell ref="D569:E569"/>
    <mergeCell ref="F569:G569"/>
    <mergeCell ref="J569:K569"/>
    <mergeCell ref="L569:M569"/>
    <mergeCell ref="N569:O569"/>
    <mergeCell ref="B550:U550"/>
    <mergeCell ref="B552:U552"/>
    <mergeCell ref="B553:K553"/>
    <mergeCell ref="B554:K554"/>
    <mergeCell ref="B543:U543"/>
    <mergeCell ref="C548:K548"/>
    <mergeCell ref="C549:K549"/>
    <mergeCell ref="B551:U551"/>
    <mergeCell ref="B555:U555"/>
    <mergeCell ref="B556:U556"/>
    <mergeCell ref="P569:Q569"/>
    <mergeCell ref="B752:U752"/>
    <mergeCell ref="C691:K691"/>
    <mergeCell ref="M691:T691"/>
    <mergeCell ref="H720:I720"/>
    <mergeCell ref="J720:K720"/>
    <mergeCell ref="L720:M720"/>
    <mergeCell ref="N720:O720"/>
    <mergeCell ref="C715:T715"/>
    <mergeCell ref="H707:K707"/>
    <mergeCell ref="L707:M707"/>
    <mergeCell ref="N707:O707"/>
    <mergeCell ref="H719:I719"/>
    <mergeCell ref="J719:K719"/>
    <mergeCell ref="L719:M719"/>
    <mergeCell ref="C717:Q717"/>
    <mergeCell ref="N711:O711"/>
    <mergeCell ref="C709:G709"/>
    <mergeCell ref="H709:K709"/>
    <mergeCell ref="L709:M709"/>
    <mergeCell ref="N709:O709"/>
    <mergeCell ref="B744:U744"/>
    <mergeCell ref="C706:G706"/>
    <mergeCell ref="H705:K705"/>
    <mergeCell ref="L705:M705"/>
    <mergeCell ref="B772:U772"/>
    <mergeCell ref="B784:U784"/>
    <mergeCell ref="B783:U783"/>
    <mergeCell ref="B782:U782"/>
    <mergeCell ref="B792:U792"/>
    <mergeCell ref="B776:U776"/>
    <mergeCell ref="B759:U759"/>
    <mergeCell ref="B757:U757"/>
    <mergeCell ref="B739:U739"/>
    <mergeCell ref="B756:U756"/>
    <mergeCell ref="B740:U740"/>
    <mergeCell ref="B741:U741"/>
    <mergeCell ref="B742:U742"/>
    <mergeCell ref="B747:U747"/>
    <mergeCell ref="B749:U749"/>
    <mergeCell ref="B750:U750"/>
    <mergeCell ref="B751:U751"/>
    <mergeCell ref="B745:U745"/>
    <mergeCell ref="B778:U778"/>
    <mergeCell ref="B779:U779"/>
    <mergeCell ref="B780:U780"/>
    <mergeCell ref="B753:U753"/>
    <mergeCell ref="B754:U754"/>
    <mergeCell ref="B755:U755"/>
    <mergeCell ref="E507:J507"/>
    <mergeCell ref="K507:L507"/>
    <mergeCell ref="M507:N507"/>
    <mergeCell ref="B508:C508"/>
    <mergeCell ref="E508:J508"/>
    <mergeCell ref="M508:N508"/>
    <mergeCell ref="E511:J511"/>
    <mergeCell ref="K511:L511"/>
    <mergeCell ref="B797:U797"/>
    <mergeCell ref="B760:U760"/>
    <mergeCell ref="B761:U761"/>
    <mergeCell ref="B764:U764"/>
    <mergeCell ref="B765:U765"/>
    <mergeCell ref="B770:U770"/>
    <mergeCell ref="B766:U766"/>
    <mergeCell ref="B767:U767"/>
    <mergeCell ref="B769:U769"/>
    <mergeCell ref="B768:U768"/>
    <mergeCell ref="B773:U773"/>
    <mergeCell ref="B771:U771"/>
    <mergeCell ref="B785:U785"/>
    <mergeCell ref="B758:U758"/>
    <mergeCell ref="N719:O719"/>
    <mergeCell ref="C716:T716"/>
    <mergeCell ref="B734:U734"/>
    <mergeCell ref="B746:U746"/>
    <mergeCell ref="L706:M706"/>
    <mergeCell ref="N706:O706"/>
    <mergeCell ref="C707:G707"/>
    <mergeCell ref="C694:K694"/>
    <mergeCell ref="M694:T694"/>
    <mergeCell ref="C695:K695"/>
    <mergeCell ref="M695:T695"/>
    <mergeCell ref="B735:U735"/>
    <mergeCell ref="C699:K699"/>
    <mergeCell ref="M699:T699"/>
    <mergeCell ref="C700:K700"/>
    <mergeCell ref="C701:K701"/>
    <mergeCell ref="M701:T701"/>
    <mergeCell ref="C702:G702"/>
    <mergeCell ref="C704:G704"/>
    <mergeCell ref="H706:K706"/>
    <mergeCell ref="L708:M708"/>
    <mergeCell ref="N708:O708"/>
    <mergeCell ref="C708:G708"/>
    <mergeCell ref="H708:K708"/>
    <mergeCell ref="C705:G705"/>
    <mergeCell ref="N705:O705"/>
    <mergeCell ref="B801:U801"/>
    <mergeCell ref="K509:L509"/>
    <mergeCell ref="M509:N509"/>
    <mergeCell ref="B510:C510"/>
    <mergeCell ref="E510:J510"/>
    <mergeCell ref="K510:L510"/>
    <mergeCell ref="M510:N510"/>
    <mergeCell ref="B539:U539"/>
    <mergeCell ref="B540:U540"/>
    <mergeCell ref="B743:U743"/>
    <mergeCell ref="B736:U736"/>
    <mergeCell ref="B737:U737"/>
    <mergeCell ref="B738:U738"/>
    <mergeCell ref="C561:K561"/>
    <mergeCell ref="B685:U685"/>
    <mergeCell ref="B686:U686"/>
    <mergeCell ref="B713:U713"/>
    <mergeCell ref="B712:K712"/>
    <mergeCell ref="M511:N511"/>
    <mergeCell ref="C527:J527"/>
    <mergeCell ref="B509:C509"/>
    <mergeCell ref="E509:J509"/>
    <mergeCell ref="B511:C511"/>
    <mergeCell ref="B524:U524"/>
    <mergeCell ref="M483:T483"/>
    <mergeCell ref="C484:J484"/>
    <mergeCell ref="M484:T484"/>
    <mergeCell ref="B489:U489"/>
    <mergeCell ref="H491:O491"/>
    <mergeCell ref="H492:O492"/>
    <mergeCell ref="M479:T479"/>
    <mergeCell ref="M480:T480"/>
    <mergeCell ref="G803:P803"/>
    <mergeCell ref="B774:U774"/>
    <mergeCell ref="B775:U775"/>
    <mergeCell ref="B777:U777"/>
    <mergeCell ref="B793:U793"/>
    <mergeCell ref="B794:H794"/>
    <mergeCell ref="B795:U795"/>
    <mergeCell ref="B796:U796"/>
    <mergeCell ref="B798:U798"/>
    <mergeCell ref="B788:U788"/>
    <mergeCell ref="B789:U789"/>
    <mergeCell ref="B791:U791"/>
    <mergeCell ref="B790:U790"/>
    <mergeCell ref="B786:U786"/>
    <mergeCell ref="B799:U799"/>
    <mergeCell ref="B800:U800"/>
    <mergeCell ref="K508:L508"/>
    <mergeCell ref="B504:U504"/>
    <mergeCell ref="B505:U505"/>
    <mergeCell ref="B507:C507"/>
    <mergeCell ref="M473:N473"/>
    <mergeCell ref="B476:U476"/>
    <mergeCell ref="C477:J477"/>
    <mergeCell ref="B471:C471"/>
    <mergeCell ref="E471:J471"/>
    <mergeCell ref="K471:L471"/>
    <mergeCell ref="M471:N471"/>
    <mergeCell ref="B472:C472"/>
    <mergeCell ref="E472:G472"/>
    <mergeCell ref="H472:J472"/>
    <mergeCell ref="K472:L472"/>
    <mergeCell ref="M472:N472"/>
    <mergeCell ref="B473:C473"/>
    <mergeCell ref="K473:L473"/>
    <mergeCell ref="B501:U501"/>
    <mergeCell ref="B502:U502"/>
    <mergeCell ref="C478:D478"/>
    <mergeCell ref="C479:J479"/>
    <mergeCell ref="C480:J480"/>
    <mergeCell ref="C483:J483"/>
    <mergeCell ref="B470:C470"/>
    <mergeCell ref="E470:J470"/>
    <mergeCell ref="K470:L470"/>
    <mergeCell ref="M470:N470"/>
    <mergeCell ref="B467:C467"/>
    <mergeCell ref="E467:J467"/>
    <mergeCell ref="K467:L467"/>
    <mergeCell ref="M467:N467"/>
    <mergeCell ref="B468:C468"/>
    <mergeCell ref="E468:J468"/>
    <mergeCell ref="K468:L468"/>
    <mergeCell ref="M468:N468"/>
    <mergeCell ref="K469:L469"/>
    <mergeCell ref="M469:N469"/>
    <mergeCell ref="B469:C469"/>
    <mergeCell ref="E469:J469"/>
    <mergeCell ref="I447:J447"/>
    <mergeCell ref="B449:C449"/>
    <mergeCell ref="I449:M449"/>
    <mergeCell ref="B461:U461"/>
    <mergeCell ref="B463:U463"/>
    <mergeCell ref="B464:U464"/>
    <mergeCell ref="B466:C466"/>
    <mergeCell ref="E466:J466"/>
    <mergeCell ref="K466:L466"/>
    <mergeCell ref="M466:N466"/>
    <mergeCell ref="P449:P450"/>
    <mergeCell ref="S449:S450"/>
    <mergeCell ref="B450:C450"/>
    <mergeCell ref="I451:J451"/>
    <mergeCell ref="K451:M451"/>
    <mergeCell ref="B452:C452"/>
    <mergeCell ref="N452:U452"/>
    <mergeCell ref="B453:U453"/>
    <mergeCell ref="B460:U460"/>
    <mergeCell ref="B447:C447"/>
    <mergeCell ref="C370:D370"/>
    <mergeCell ref="G370:H370"/>
    <mergeCell ref="B444:C444"/>
    <mergeCell ref="I444:J444"/>
    <mergeCell ref="B445:C445"/>
    <mergeCell ref="I445:J445"/>
    <mergeCell ref="B446:C446"/>
    <mergeCell ref="I446:J446"/>
    <mergeCell ref="H413:J413"/>
    <mergeCell ref="B435:C435"/>
    <mergeCell ref="I434:J434"/>
    <mergeCell ref="B441:C441"/>
    <mergeCell ref="I441:J441"/>
    <mergeCell ref="B442:C442"/>
    <mergeCell ref="B414:U414"/>
    <mergeCell ref="K413:L413"/>
    <mergeCell ref="M413:O413"/>
    <mergeCell ref="H392:K392"/>
    <mergeCell ref="C394:T394"/>
    <mergeCell ref="B384:U384"/>
    <mergeCell ref="B385:U385"/>
    <mergeCell ref="B387:U387"/>
    <mergeCell ref="B389:H389"/>
    <mergeCell ref="B390:T390"/>
    <mergeCell ref="B401:T401"/>
    <mergeCell ref="B400:P400"/>
    <mergeCell ref="H402:J402"/>
    <mergeCell ref="K402:L402"/>
    <mergeCell ref="M402:O402"/>
    <mergeCell ref="H403:J403"/>
    <mergeCell ref="K403:L403"/>
    <mergeCell ref="M403:O403"/>
    <mergeCell ref="H412:J412"/>
    <mergeCell ref="K412:L412"/>
    <mergeCell ref="M412:O412"/>
    <mergeCell ref="H404:J404"/>
    <mergeCell ref="H405:J405"/>
    <mergeCell ref="H407:J407"/>
    <mergeCell ref="H408:J408"/>
    <mergeCell ref="H409:J409"/>
    <mergeCell ref="H410:J410"/>
    <mergeCell ref="H411:J411"/>
    <mergeCell ref="K404:L404"/>
    <mergeCell ref="K405:L405"/>
    <mergeCell ref="K407:L407"/>
    <mergeCell ref="H406:J406"/>
    <mergeCell ref="K406:L406"/>
    <mergeCell ref="M406:O406"/>
    <mergeCell ref="C364:D364"/>
    <mergeCell ref="G364:H364"/>
    <mergeCell ref="C368:D368"/>
    <mergeCell ref="G365:H365"/>
    <mergeCell ref="C365:D365"/>
    <mergeCell ref="G368:H368"/>
    <mergeCell ref="C369:D369"/>
    <mergeCell ref="G369:H369"/>
    <mergeCell ref="C366:D366"/>
    <mergeCell ref="G366:H366"/>
    <mergeCell ref="C367:D367"/>
    <mergeCell ref="G367:H367"/>
    <mergeCell ref="C359:D359"/>
    <mergeCell ref="G359:H359"/>
    <mergeCell ref="I359:J359"/>
    <mergeCell ref="C356:D356"/>
    <mergeCell ref="G356:H356"/>
    <mergeCell ref="I356:J356"/>
    <mergeCell ref="C357:D357"/>
    <mergeCell ref="G357:H357"/>
    <mergeCell ref="I357:J357"/>
    <mergeCell ref="C358:D358"/>
    <mergeCell ref="G358:H358"/>
    <mergeCell ref="I358:J358"/>
    <mergeCell ref="C362:D362"/>
    <mergeCell ref="G362:H362"/>
    <mergeCell ref="C363:D363"/>
    <mergeCell ref="G363:H363"/>
    <mergeCell ref="C360:D360"/>
    <mergeCell ref="G360:H360"/>
    <mergeCell ref="I360:J360"/>
    <mergeCell ref="C361:D361"/>
    <mergeCell ref="G361:H361"/>
    <mergeCell ref="C354:D354"/>
    <mergeCell ref="G354:H354"/>
    <mergeCell ref="I354:J354"/>
    <mergeCell ref="C355:D355"/>
    <mergeCell ref="G355:H355"/>
    <mergeCell ref="I355:J355"/>
    <mergeCell ref="C352:D352"/>
    <mergeCell ref="G352:H352"/>
    <mergeCell ref="I352:J352"/>
    <mergeCell ref="C353:D353"/>
    <mergeCell ref="G353:H353"/>
    <mergeCell ref="I353:J353"/>
    <mergeCell ref="C350:D350"/>
    <mergeCell ref="G350:H350"/>
    <mergeCell ref="I350:J350"/>
    <mergeCell ref="C351:D351"/>
    <mergeCell ref="G351:H351"/>
    <mergeCell ref="I351:J351"/>
    <mergeCell ref="C348:D348"/>
    <mergeCell ref="E348:F348"/>
    <mergeCell ref="G348:H348"/>
    <mergeCell ref="I348:J348"/>
    <mergeCell ref="C349:D349"/>
    <mergeCell ref="G349:H349"/>
    <mergeCell ref="I349:J349"/>
    <mergeCell ref="C345:D345"/>
    <mergeCell ref="E345:F345"/>
    <mergeCell ref="G345:H345"/>
    <mergeCell ref="I345:J345"/>
    <mergeCell ref="O348:P348"/>
    <mergeCell ref="Q348:R348"/>
    <mergeCell ref="O349:P349"/>
    <mergeCell ref="C347:D347"/>
    <mergeCell ref="E347:F347"/>
    <mergeCell ref="G347:H347"/>
    <mergeCell ref="I347:J347"/>
    <mergeCell ref="C346:D346"/>
    <mergeCell ref="E346:F346"/>
    <mergeCell ref="G346:H346"/>
    <mergeCell ref="I346:J346"/>
    <mergeCell ref="K341:L341"/>
    <mergeCell ref="C344:D344"/>
    <mergeCell ref="E344:F344"/>
    <mergeCell ref="G344:H344"/>
    <mergeCell ref="I344:J344"/>
    <mergeCell ref="C343:D343"/>
    <mergeCell ref="E343:F343"/>
    <mergeCell ref="G343:H343"/>
    <mergeCell ref="I343:J343"/>
    <mergeCell ref="K343:L343"/>
    <mergeCell ref="Q339:R339"/>
    <mergeCell ref="Q340:R340"/>
    <mergeCell ref="Q341:R341"/>
    <mergeCell ref="Q342:R342"/>
    <mergeCell ref="O340:P341"/>
    <mergeCell ref="C340:D340"/>
    <mergeCell ref="E340:F340"/>
    <mergeCell ref="G340:H340"/>
    <mergeCell ref="I340:J340"/>
    <mergeCell ref="K340:L340"/>
    <mergeCell ref="C339:D339"/>
    <mergeCell ref="E339:F339"/>
    <mergeCell ref="G339:H339"/>
    <mergeCell ref="I339:J339"/>
    <mergeCell ref="K339:L339"/>
    <mergeCell ref="C342:D342"/>
    <mergeCell ref="E342:F342"/>
    <mergeCell ref="G342:H342"/>
    <mergeCell ref="I342:J342"/>
    <mergeCell ref="K342:L342"/>
    <mergeCell ref="C341:D341"/>
    <mergeCell ref="E341:F341"/>
    <mergeCell ref="G341:H341"/>
    <mergeCell ref="I341:J341"/>
    <mergeCell ref="C336:D336"/>
    <mergeCell ref="E336:F336"/>
    <mergeCell ref="G336:H336"/>
    <mergeCell ref="I336:J336"/>
    <mergeCell ref="K336:L336"/>
    <mergeCell ref="C335:D335"/>
    <mergeCell ref="E335:F335"/>
    <mergeCell ref="G335:H335"/>
    <mergeCell ref="I335:J335"/>
    <mergeCell ref="K335:L335"/>
    <mergeCell ref="C338:D338"/>
    <mergeCell ref="E338:F338"/>
    <mergeCell ref="G338:H338"/>
    <mergeCell ref="I338:J338"/>
    <mergeCell ref="K338:L338"/>
    <mergeCell ref="C337:D337"/>
    <mergeCell ref="E337:F337"/>
    <mergeCell ref="G337:H337"/>
    <mergeCell ref="I337:J337"/>
    <mergeCell ref="K337:L337"/>
    <mergeCell ref="C332:D332"/>
    <mergeCell ref="E332:F332"/>
    <mergeCell ref="G332:H332"/>
    <mergeCell ref="I332:J332"/>
    <mergeCell ref="K332:L332"/>
    <mergeCell ref="C330:D330"/>
    <mergeCell ref="E330:F330"/>
    <mergeCell ref="G330:H330"/>
    <mergeCell ref="I330:J330"/>
    <mergeCell ref="K330:L330"/>
    <mergeCell ref="C331:D331"/>
    <mergeCell ref="E331:F331"/>
    <mergeCell ref="G331:H331"/>
    <mergeCell ref="I331:J331"/>
    <mergeCell ref="K331:L331"/>
    <mergeCell ref="C334:D334"/>
    <mergeCell ref="E334:F334"/>
    <mergeCell ref="G334:H334"/>
    <mergeCell ref="I334:J334"/>
    <mergeCell ref="K334:L334"/>
    <mergeCell ref="C333:D333"/>
    <mergeCell ref="E333:F333"/>
    <mergeCell ref="G333:H333"/>
    <mergeCell ref="I333:J333"/>
    <mergeCell ref="K333:L333"/>
    <mergeCell ref="C327:M327"/>
    <mergeCell ref="O327:S327"/>
    <mergeCell ref="C328:D328"/>
    <mergeCell ref="E328:F328"/>
    <mergeCell ref="G328:H328"/>
    <mergeCell ref="I328:J328"/>
    <mergeCell ref="K328:L328"/>
    <mergeCell ref="C322:Q322"/>
    <mergeCell ref="O307:P307"/>
    <mergeCell ref="C326:M326"/>
    <mergeCell ref="O326:S326"/>
    <mergeCell ref="C309:S309"/>
    <mergeCell ref="B313:U313"/>
    <mergeCell ref="B314:U314"/>
    <mergeCell ref="C317:Q317"/>
    <mergeCell ref="O328:P328"/>
    <mergeCell ref="Q328:R328"/>
    <mergeCell ref="B224:U224"/>
    <mergeCell ref="B225:U225"/>
    <mergeCell ref="B229:U229"/>
    <mergeCell ref="B230:U230"/>
    <mergeCell ref="B233:U233"/>
    <mergeCell ref="B248:U248"/>
    <mergeCell ref="C252:J252"/>
    <mergeCell ref="L252:T252"/>
    <mergeCell ref="B262:U262"/>
    <mergeCell ref="C253:T253"/>
    <mergeCell ref="B259:U259"/>
    <mergeCell ref="B234:U234"/>
    <mergeCell ref="B238:U238"/>
    <mergeCell ref="B241:U241"/>
    <mergeCell ref="Q305:R306"/>
    <mergeCell ref="S305:S306"/>
    <mergeCell ref="T305:T306"/>
    <mergeCell ref="Q300:T301"/>
    <mergeCell ref="Q292:U292"/>
    <mergeCell ref="S294:U294"/>
    <mergeCell ref="B242:U242"/>
    <mergeCell ref="C292:I292"/>
    <mergeCell ref="Z300:AA300"/>
    <mergeCell ref="Z301:Z303"/>
    <mergeCell ref="L300:O301"/>
    <mergeCell ref="Q303:R304"/>
    <mergeCell ref="S303:S304"/>
    <mergeCell ref="T303:T304"/>
    <mergeCell ref="N304:O304"/>
    <mergeCell ref="Q296:Q298"/>
    <mergeCell ref="Q288:Q290"/>
    <mergeCell ref="L292:O295"/>
    <mergeCell ref="C287:D287"/>
    <mergeCell ref="B277:U277"/>
    <mergeCell ref="L281:U281"/>
    <mergeCell ref="L283:O283"/>
    <mergeCell ref="Q283:U283"/>
    <mergeCell ref="S285:U285"/>
    <mergeCell ref="Q287:R287"/>
    <mergeCell ref="B263:U263"/>
    <mergeCell ref="B260:U260"/>
    <mergeCell ref="C281:J281"/>
    <mergeCell ref="C265:T265"/>
    <mergeCell ref="L266:S266"/>
    <mergeCell ref="B247:U247"/>
    <mergeCell ref="C267:K267"/>
    <mergeCell ref="M267:T267"/>
    <mergeCell ref="C268:K268"/>
    <mergeCell ref="M268:T268"/>
    <mergeCell ref="C269:G269"/>
    <mergeCell ref="M269:Q269"/>
    <mergeCell ref="C283:I283"/>
    <mergeCell ref="C286:D286"/>
    <mergeCell ref="E271:S271"/>
    <mergeCell ref="D100:H108"/>
    <mergeCell ref="J100:N108"/>
    <mergeCell ref="P100:T108"/>
    <mergeCell ref="C172:G172"/>
    <mergeCell ref="C175:T175"/>
    <mergeCell ref="B164:U164"/>
    <mergeCell ref="B166:U166"/>
    <mergeCell ref="C168:T168"/>
    <mergeCell ref="L169:S169"/>
    <mergeCell ref="C170:K170"/>
    <mergeCell ref="M170:T170"/>
    <mergeCell ref="C171:K171"/>
    <mergeCell ref="M171:T171"/>
    <mergeCell ref="M133:N133"/>
    <mergeCell ref="C132:S132"/>
    <mergeCell ref="P109:T109"/>
    <mergeCell ref="B111:U111"/>
    <mergeCell ref="H133:J133"/>
    <mergeCell ref="B120:U120"/>
    <mergeCell ref="C143:N143"/>
    <mergeCell ref="P110:T110"/>
    <mergeCell ref="H112:I113"/>
    <mergeCell ref="J112:K113"/>
    <mergeCell ref="L112:M113"/>
    <mergeCell ref="P85:T93"/>
    <mergeCell ref="B96:K96"/>
    <mergeCell ref="B97:U97"/>
    <mergeCell ref="B98:U98"/>
    <mergeCell ref="D99:H99"/>
    <mergeCell ref="J99:N99"/>
    <mergeCell ref="P99:T99"/>
    <mergeCell ref="P71:T79"/>
    <mergeCell ref="B83:U83"/>
    <mergeCell ref="D84:H84"/>
    <mergeCell ref="J84:N84"/>
    <mergeCell ref="P84:T84"/>
    <mergeCell ref="D85:H93"/>
    <mergeCell ref="J85:N93"/>
    <mergeCell ref="D71:H79"/>
    <mergeCell ref="J71:N79"/>
    <mergeCell ref="B8:U8"/>
    <mergeCell ref="B9:U9"/>
    <mergeCell ref="B10:U10"/>
    <mergeCell ref="B11:U11"/>
    <mergeCell ref="E16:I16"/>
    <mergeCell ref="E17:I17"/>
    <mergeCell ref="E25:I25"/>
    <mergeCell ref="D26:I26"/>
    <mergeCell ref="E29:I29"/>
    <mergeCell ref="E18:I18"/>
    <mergeCell ref="E19:I19"/>
    <mergeCell ref="E20:I20"/>
    <mergeCell ref="E21:I21"/>
    <mergeCell ref="E23:I23"/>
    <mergeCell ref="E24:I24"/>
    <mergeCell ref="E30:I30"/>
    <mergeCell ref="B34:I51"/>
    <mergeCell ref="B63:U63"/>
    <mergeCell ref="B64:U64"/>
    <mergeCell ref="B66:U66"/>
    <mergeCell ref="B68:K68"/>
    <mergeCell ref="B69:U69"/>
    <mergeCell ref="D70:H70"/>
    <mergeCell ref="B82:K82"/>
    <mergeCell ref="J70:N70"/>
    <mergeCell ref="P70:T70"/>
    <mergeCell ref="N112:O113"/>
    <mergeCell ref="B121:U121"/>
    <mergeCell ref="B123:U123"/>
    <mergeCell ref="B125:K125"/>
    <mergeCell ref="B126:U126"/>
    <mergeCell ref="B134:T134"/>
    <mergeCell ref="B133:G133"/>
    <mergeCell ref="C128:T128"/>
    <mergeCell ref="C129:S129"/>
    <mergeCell ref="C130:S130"/>
    <mergeCell ref="C131:S131"/>
    <mergeCell ref="C127:S127"/>
    <mergeCell ref="C191:T193"/>
    <mergeCell ref="C194:T194"/>
    <mergeCell ref="B210:U210"/>
    <mergeCell ref="B211:U211"/>
    <mergeCell ref="B213:U213"/>
    <mergeCell ref="B214:U214"/>
    <mergeCell ref="B215:U215"/>
    <mergeCell ref="B222:U222"/>
    <mergeCell ref="L176:S176"/>
    <mergeCell ref="C177:K177"/>
    <mergeCell ref="M177:T177"/>
    <mergeCell ref="B202:K202"/>
    <mergeCell ref="C200:T201"/>
    <mergeCell ref="B197:U197"/>
    <mergeCell ref="C136:N136"/>
    <mergeCell ref="C139:N139"/>
    <mergeCell ref="C147:T147"/>
    <mergeCell ref="C149:T149"/>
    <mergeCell ref="B163:U163"/>
    <mergeCell ref="C178:K178"/>
    <mergeCell ref="M178:T178"/>
    <mergeCell ref="C182:T182"/>
    <mergeCell ref="B187:U187"/>
    <mergeCell ref="I440:J440"/>
    <mergeCell ref="I437:J437"/>
    <mergeCell ref="B437:C437"/>
    <mergeCell ref="I435:J435"/>
    <mergeCell ref="B436:C436"/>
    <mergeCell ref="I442:J442"/>
    <mergeCell ref="B443:C443"/>
    <mergeCell ref="I443:J443"/>
    <mergeCell ref="B438:C438"/>
    <mergeCell ref="I438:J438"/>
    <mergeCell ref="B439:C439"/>
    <mergeCell ref="I439:J439"/>
    <mergeCell ref="B430:U430"/>
    <mergeCell ref="C179:G179"/>
    <mergeCell ref="M179:Q179"/>
    <mergeCell ref="C181:T181"/>
    <mergeCell ref="H704:K704"/>
    <mergeCell ref="L704:M704"/>
    <mergeCell ref="B432:C432"/>
    <mergeCell ref="I432:J432"/>
    <mergeCell ref="B433:C433"/>
    <mergeCell ref="I433:J433"/>
    <mergeCell ref="B434:C434"/>
    <mergeCell ref="I436:J436"/>
    <mergeCell ref="N704:O704"/>
    <mergeCell ref="B428:U428"/>
    <mergeCell ref="B427:U427"/>
    <mergeCell ref="C697:G697"/>
    <mergeCell ref="B687:K687"/>
    <mergeCell ref="B429:U429"/>
    <mergeCell ref="M696:T696"/>
    <mergeCell ref="M697:Q697"/>
    <mergeCell ref="B440:C440"/>
    <mergeCell ref="B542:K542"/>
    <mergeCell ref="B544:U544"/>
    <mergeCell ref="C547:K547"/>
    <mergeCell ref="B545:U545"/>
    <mergeCell ref="B563:U563"/>
    <mergeCell ref="C560:K560"/>
    <mergeCell ref="D570:E570"/>
    <mergeCell ref="F570:G570"/>
    <mergeCell ref="D571:E571"/>
    <mergeCell ref="F571:G571"/>
    <mergeCell ref="P572:Q572"/>
    <mergeCell ref="R572:S572"/>
    <mergeCell ref="F576:G576"/>
    <mergeCell ref="J576:K576"/>
    <mergeCell ref="L576:M576"/>
    <mergeCell ref="N576:O576"/>
    <mergeCell ref="J571:K571"/>
    <mergeCell ref="R577:S577"/>
    <mergeCell ref="D582:E582"/>
    <mergeCell ref="F582:G582"/>
    <mergeCell ref="J582:K582"/>
    <mergeCell ref="L582:M582"/>
    <mergeCell ref="N582:O582"/>
    <mergeCell ref="P582:Q582"/>
    <mergeCell ref="R582:S582"/>
    <mergeCell ref="F574:G574"/>
    <mergeCell ref="J574:K574"/>
    <mergeCell ref="L574:M574"/>
    <mergeCell ref="N574:O574"/>
    <mergeCell ref="R579:S579"/>
    <mergeCell ref="D580:E580"/>
    <mergeCell ref="J572:K572"/>
    <mergeCell ref="L572:M572"/>
    <mergeCell ref="N572:O572"/>
    <mergeCell ref="F573:G573"/>
    <mergeCell ref="J573:K573"/>
    <mergeCell ref="L573:M573"/>
    <mergeCell ref="N573:O573"/>
    <mergeCell ref="P573:Q573"/>
    <mergeCell ref="R573:S573"/>
    <mergeCell ref="B575:C575"/>
    <mergeCell ref="D575:E575"/>
    <mergeCell ref="F575:G575"/>
    <mergeCell ref="J575:K575"/>
    <mergeCell ref="L575:M575"/>
    <mergeCell ref="N575:O575"/>
    <mergeCell ref="P575:Q575"/>
    <mergeCell ref="R575:S575"/>
    <mergeCell ref="P574:Q574"/>
    <mergeCell ref="R574:S574"/>
    <mergeCell ref="B576:C576"/>
    <mergeCell ref="P576:Q576"/>
    <mergeCell ref="R576:S576"/>
    <mergeCell ref="B574:C574"/>
    <mergeCell ref="D574:E574"/>
    <mergeCell ref="B581:C581"/>
    <mergeCell ref="D581:E581"/>
    <mergeCell ref="F581:G581"/>
    <mergeCell ref="J581:K581"/>
    <mergeCell ref="L581:M581"/>
    <mergeCell ref="N581:O581"/>
    <mergeCell ref="P581:Q581"/>
    <mergeCell ref="B579:C579"/>
    <mergeCell ref="D579:E579"/>
    <mergeCell ref="F579:G579"/>
    <mergeCell ref="J579:K579"/>
    <mergeCell ref="L579:M579"/>
    <mergeCell ref="N579:O579"/>
    <mergeCell ref="P579:Q579"/>
    <mergeCell ref="B577:C577"/>
    <mergeCell ref="D577:E577"/>
    <mergeCell ref="F577:G577"/>
    <mergeCell ref="J577:K577"/>
    <mergeCell ref="L577:M577"/>
    <mergeCell ref="N577:O577"/>
    <mergeCell ref="P577:Q577"/>
    <mergeCell ref="B580:C580"/>
    <mergeCell ref="B604:J604"/>
    <mergeCell ref="B633:U633"/>
    <mergeCell ref="B605:J605"/>
    <mergeCell ref="D608:H608"/>
    <mergeCell ref="I608:L608"/>
    <mergeCell ref="M608:T608"/>
    <mergeCell ref="F580:G580"/>
    <mergeCell ref="J580:K580"/>
    <mergeCell ref="L580:M580"/>
    <mergeCell ref="N580:O580"/>
    <mergeCell ref="P580:Q580"/>
    <mergeCell ref="R580:S580"/>
    <mergeCell ref="O586:T586"/>
    <mergeCell ref="S588:T588"/>
    <mergeCell ref="B593:U593"/>
    <mergeCell ref="B603:U603"/>
    <mergeCell ref="B607:U607"/>
    <mergeCell ref="B606:U606"/>
    <mergeCell ref="B598:U598"/>
    <mergeCell ref="B600:U600"/>
    <mergeCell ref="B602:U602"/>
    <mergeCell ref="R581:S581"/>
    <mergeCell ref="B582:C582"/>
    <mergeCell ref="B651:U651"/>
    <mergeCell ref="H702:K702"/>
    <mergeCell ref="M702:S702"/>
    <mergeCell ref="B583:C583"/>
    <mergeCell ref="D583:E583"/>
    <mergeCell ref="F583:G583"/>
    <mergeCell ref="J583:K583"/>
    <mergeCell ref="L583:M583"/>
    <mergeCell ref="N583:O583"/>
    <mergeCell ref="P583:Q583"/>
    <mergeCell ref="R583:S583"/>
    <mergeCell ref="B584:C584"/>
    <mergeCell ref="D584:E584"/>
    <mergeCell ref="F584:G584"/>
    <mergeCell ref="J584:K584"/>
    <mergeCell ref="L584:M584"/>
    <mergeCell ref="N584:O584"/>
    <mergeCell ref="P584:Q584"/>
    <mergeCell ref="R584:S584"/>
    <mergeCell ref="B594:U594"/>
    <mergeCell ref="B596:U596"/>
    <mergeCell ref="B597:K597"/>
    <mergeCell ref="B601:U601"/>
    <mergeCell ref="B643:U643"/>
    <mergeCell ref="B644:U644"/>
    <mergeCell ref="B645:U645"/>
    <mergeCell ref="B646:K646"/>
    <mergeCell ref="B647:U647"/>
    <mergeCell ref="B648:U648"/>
    <mergeCell ref="B649:K649"/>
    <mergeCell ref="S626:T626"/>
    <mergeCell ref="B650:U650"/>
    <mergeCell ref="B634:U634"/>
    <mergeCell ref="B636:K636"/>
    <mergeCell ref="B637:U637"/>
    <mergeCell ref="B638:U638"/>
    <mergeCell ref="B639:U639"/>
    <mergeCell ref="B640:U640"/>
    <mergeCell ref="B641:U641"/>
    <mergeCell ref="M700:T700"/>
    <mergeCell ref="C696:K696"/>
    <mergeCell ref="B655:U655"/>
    <mergeCell ref="B656:U656"/>
    <mergeCell ref="B657:U657"/>
    <mergeCell ref="B658:U658"/>
    <mergeCell ref="S676:T676"/>
    <mergeCell ref="B660:U660"/>
    <mergeCell ref="B661:U661"/>
    <mergeCell ref="B663:C663"/>
    <mergeCell ref="E663:F663"/>
    <mergeCell ref="B664:C664"/>
    <mergeCell ref="E664:F664"/>
    <mergeCell ref="B665:C665"/>
    <mergeCell ref="E665:F665"/>
    <mergeCell ref="B671:C671"/>
    <mergeCell ref="O330:P330"/>
    <mergeCell ref="Q330:R330"/>
    <mergeCell ref="O331:P331"/>
    <mergeCell ref="Q331:R331"/>
    <mergeCell ref="O332:P332"/>
    <mergeCell ref="Q332:R332"/>
    <mergeCell ref="B652:U652"/>
    <mergeCell ref="B653:U653"/>
    <mergeCell ref="B654:U654"/>
    <mergeCell ref="O333:P333"/>
    <mergeCell ref="Q333:R333"/>
    <mergeCell ref="O334:P334"/>
    <mergeCell ref="Q334:R334"/>
    <mergeCell ref="O335:P335"/>
    <mergeCell ref="Q335:R335"/>
    <mergeCell ref="O336:P336"/>
    <mergeCell ref="Q336:R336"/>
    <mergeCell ref="O347:P347"/>
    <mergeCell ref="Q347:R347"/>
    <mergeCell ref="O342:P344"/>
    <mergeCell ref="O350:P350"/>
    <mergeCell ref="O351:P351"/>
    <mergeCell ref="O338:P338"/>
    <mergeCell ref="Q338:R338"/>
    <mergeCell ref="E671:F671"/>
    <mergeCell ref="B672:C672"/>
    <mergeCell ref="E672:F672"/>
    <mergeCell ref="B673:C673"/>
    <mergeCell ref="E673:F673"/>
    <mergeCell ref="B674:C674"/>
    <mergeCell ref="E674:F674"/>
    <mergeCell ref="R675:T675"/>
    <mergeCell ref="O337:P337"/>
    <mergeCell ref="Q337:R337"/>
    <mergeCell ref="O352:P352"/>
    <mergeCell ref="O353:P353"/>
    <mergeCell ref="O354:P354"/>
    <mergeCell ref="O355:P355"/>
    <mergeCell ref="O356:P356"/>
    <mergeCell ref="O357:P357"/>
    <mergeCell ref="O360:P360"/>
    <mergeCell ref="O358:P359"/>
    <mergeCell ref="Q343:R343"/>
    <mergeCell ref="Q344:R344"/>
    <mergeCell ref="O345:P345"/>
    <mergeCell ref="Q345:R345"/>
    <mergeCell ref="O346:P346"/>
    <mergeCell ref="Q346:R346"/>
    <mergeCell ref="O339:P339"/>
    <mergeCell ref="O370:P370"/>
    <mergeCell ref="B748:U748"/>
    <mergeCell ref="O361:P361"/>
    <mergeCell ref="O362:P362"/>
    <mergeCell ref="O363:P363"/>
    <mergeCell ref="O364:P364"/>
    <mergeCell ref="O365:P365"/>
    <mergeCell ref="O366:P366"/>
    <mergeCell ref="O367:P367"/>
    <mergeCell ref="O368:P368"/>
    <mergeCell ref="O369:P369"/>
    <mergeCell ref="B666:C666"/>
    <mergeCell ref="E666:F666"/>
    <mergeCell ref="B667:C667"/>
    <mergeCell ref="E667:F667"/>
    <mergeCell ref="B668:C668"/>
    <mergeCell ref="E668:F668"/>
    <mergeCell ref="B669:C669"/>
    <mergeCell ref="E669:F669"/>
    <mergeCell ref="B670:C670"/>
    <mergeCell ref="E670:F670"/>
    <mergeCell ref="B659:K659"/>
    <mergeCell ref="B642:U642"/>
  </mergeCells>
  <conditionalFormatting sqref="M328">
    <cfRule type="expression" dxfId="25" priority="5" stopIfTrue="1">
      <formula>#REF!=" "</formula>
    </cfRule>
  </conditionalFormatting>
  <conditionalFormatting sqref="O327">
    <cfRule type="expression" dxfId="24" priority="4" stopIfTrue="1">
      <formula>#REF!=" "</formula>
    </cfRule>
  </conditionalFormatting>
  <conditionalFormatting sqref="S328">
    <cfRule type="expression" dxfId="23" priority="3" stopIfTrue="1">
      <formula>#REF!=" "</formula>
    </cfRule>
  </conditionalFormatting>
  <conditionalFormatting sqref="Q328">
    <cfRule type="expression" dxfId="22" priority="2" stopIfTrue="1">
      <formula>#REF!=" "</formula>
    </cfRule>
  </conditionalFormatting>
  <conditionalFormatting sqref="O328">
    <cfRule type="expression" dxfId="21" priority="1" stopIfTrue="1">
      <formula>#REF!=" "</formula>
    </cfRule>
  </conditionalFormatting>
  <hyperlinks>
    <hyperlink ref="P109:T109" r:id="rId1" display="Descárguesela ya desde Google Play"/>
    <hyperlink ref="P110:T110" r:id="rId2" display="Descárguesela ya desde App Store"/>
  </hyperlinks>
  <printOptions horizontalCentered="1" verticalCentered="1"/>
  <pageMargins left="0.11811023622047245" right="0.11811023622047245" top="0" bottom="0" header="0.19685039370078741" footer="0.31496062992125984"/>
  <pageSetup paperSize="9" scale="42" fitToHeight="0" orientation="landscape" r:id="rId3"/>
  <headerFooter alignWithMargins="0"/>
  <rowBreaks count="16" manualBreakCount="16">
    <brk id="61" max="21" man="1"/>
    <brk id="116" max="21" man="1"/>
    <brk id="160" max="21" man="1"/>
    <brk id="206" max="21" man="1"/>
    <brk id="257" max="21" man="1"/>
    <brk id="311" max="21" man="1"/>
    <brk id="382" max="21" man="1"/>
    <brk id="424" max="21" man="1"/>
    <brk id="455" max="21" man="1"/>
    <brk id="495" max="21" man="1"/>
    <brk id="537" max="21" man="1"/>
    <brk id="591" max="21" man="1"/>
    <brk id="631" max="21" man="1"/>
    <brk id="683" max="21" man="1"/>
    <brk id="723" max="21" man="1"/>
    <brk id="762" max="21" man="1"/>
  </rowBreaks>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3"/>
    <pageSetUpPr fitToPage="1"/>
  </sheetPr>
  <dimension ref="A1:AD753"/>
  <sheetViews>
    <sheetView showGridLines="0" showOutlineSymbols="0" view="pageBreakPreview" topLeftCell="B734" zoomScale="55" zoomScaleNormal="70" zoomScaleSheetLayoutView="55" zoomScalePageLayoutView="25" workbookViewId="0">
      <selection activeCell="B737" sqref="B737:U737"/>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6.140625" style="422" customWidth="1"/>
    <col min="11" max="11" width="13.140625" style="422" customWidth="1"/>
    <col min="12" max="12" width="15.28515625" style="422" customWidth="1"/>
    <col min="13" max="13" width="17.28515625" style="422" customWidth="1"/>
    <col min="14" max="14" width="17.85546875" style="422" customWidth="1"/>
    <col min="15" max="15" width="24.28515625" style="422" customWidth="1"/>
    <col min="16" max="16" width="18.140625" style="422" customWidth="1"/>
    <col min="17" max="17" width="20" style="422" customWidth="1"/>
    <col min="18" max="18" width="17.140625" style="422" customWidth="1"/>
    <col min="19" max="19" width="17.7109375" style="422" customWidth="1"/>
    <col min="20" max="20" width="19.140625" style="422" customWidth="1"/>
    <col min="21" max="21" width="21.71093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268" t="s">
        <v>667</v>
      </c>
      <c r="C8" s="2268"/>
      <c r="D8" s="2268"/>
      <c r="E8" s="2268"/>
      <c r="F8" s="2268"/>
      <c r="G8" s="2268"/>
      <c r="H8" s="2268"/>
      <c r="I8" s="2268"/>
      <c r="J8" s="2268"/>
      <c r="K8" s="2268"/>
      <c r="L8" s="2268"/>
      <c r="M8" s="2268"/>
      <c r="N8" s="2268"/>
      <c r="O8" s="2268"/>
      <c r="P8" s="2268"/>
      <c r="Q8" s="2268"/>
      <c r="R8" s="2268"/>
      <c r="S8" s="2268"/>
      <c r="T8" s="2268"/>
      <c r="U8" s="2268"/>
    </row>
    <row r="9" spans="1:21" s="416" customFormat="1" ht="34.5">
      <c r="A9" s="415"/>
      <c r="B9" s="2268" t="s">
        <v>696</v>
      </c>
      <c r="C9" s="2268"/>
      <c r="D9" s="2268"/>
      <c r="E9" s="2268"/>
      <c r="F9" s="2268"/>
      <c r="G9" s="2268"/>
      <c r="H9" s="2268"/>
      <c r="I9" s="2268"/>
      <c r="J9" s="2268"/>
      <c r="K9" s="2268"/>
      <c r="L9" s="2268"/>
      <c r="M9" s="2268"/>
      <c r="N9" s="2268"/>
      <c r="O9" s="2268"/>
      <c r="P9" s="2268"/>
      <c r="Q9" s="2268"/>
      <c r="R9" s="2268"/>
      <c r="S9" s="2268"/>
      <c r="T9" s="2268"/>
      <c r="U9" s="2268"/>
    </row>
    <row r="10" spans="1:21" s="416" customFormat="1" ht="34.5">
      <c r="A10" s="415"/>
      <c r="B10" s="2268"/>
      <c r="C10" s="2268"/>
      <c r="D10" s="2268"/>
      <c r="E10" s="2268"/>
      <c r="F10" s="2268"/>
      <c r="G10" s="2268"/>
      <c r="H10" s="2268"/>
      <c r="I10" s="2268"/>
      <c r="J10" s="2268"/>
      <c r="K10" s="2268"/>
      <c r="L10" s="2268"/>
      <c r="M10" s="2268"/>
      <c r="N10" s="2268"/>
      <c r="O10" s="2268"/>
      <c r="P10" s="2268"/>
      <c r="Q10" s="2268"/>
      <c r="R10" s="2268"/>
      <c r="S10" s="2268"/>
      <c r="T10" s="2268"/>
      <c r="U10" s="2268"/>
    </row>
    <row r="11" spans="1:21" s="416" customFormat="1" ht="34.5">
      <c r="A11" s="415"/>
      <c r="B11" s="2414" t="str">
        <f>'Seleccion de oferta'!E9</f>
        <v>INMOBILIARIA SERVIGESTION</v>
      </c>
      <c r="C11" s="2414"/>
      <c r="D11" s="2414"/>
      <c r="E11" s="2414"/>
      <c r="F11" s="2414"/>
      <c r="G11" s="2414"/>
      <c r="H11" s="2414"/>
      <c r="I11" s="2414"/>
      <c r="J11" s="2414"/>
      <c r="K11" s="2414"/>
      <c r="L11" s="2414"/>
      <c r="M11" s="2414"/>
      <c r="N11" s="2414"/>
      <c r="O11" s="2414"/>
      <c r="P11" s="2414"/>
      <c r="Q11" s="2414"/>
      <c r="R11" s="2414"/>
      <c r="S11" s="2414"/>
      <c r="T11" s="2414"/>
      <c r="U11" s="2414"/>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15" t="str">
        <f>'Seleccion de oferta'!E11</f>
        <v>B11412343</v>
      </c>
      <c r="F16" s="2415"/>
      <c r="G16" s="2415"/>
      <c r="H16" s="2415"/>
      <c r="I16" s="2415"/>
    </row>
    <row r="17" spans="1:22" s="416" customFormat="1" ht="25.9" customHeight="1">
      <c r="A17" s="415"/>
      <c r="B17" s="417" t="s">
        <v>187</v>
      </c>
      <c r="C17" s="418"/>
      <c r="D17" s="419"/>
      <c r="E17" s="2415" t="str">
        <f>'Seleccion de oferta'!E13</f>
        <v>PLAZA ESPAÑA Nº1, EDIFICIO ESPAÑA PLANTA 1º OFICINA 2</v>
      </c>
      <c r="F17" s="2415"/>
      <c r="G17" s="2415"/>
      <c r="H17" s="2415"/>
      <c r="I17" s="2415"/>
    </row>
    <row r="18" spans="1:22" s="416" customFormat="1" ht="25.9" customHeight="1">
      <c r="A18" s="415"/>
      <c r="B18" s="417" t="s">
        <v>646</v>
      </c>
      <c r="C18" s="418"/>
      <c r="D18" s="419"/>
      <c r="E18" s="2415" t="str">
        <f>'Seleccion de oferta'!E15</f>
        <v>CHICLANA</v>
      </c>
      <c r="F18" s="2415"/>
      <c r="G18" s="2415"/>
      <c r="H18" s="2415"/>
      <c r="I18" s="2415"/>
    </row>
    <row r="19" spans="1:22" ht="25.9" customHeight="1">
      <c r="A19" s="420"/>
      <c r="B19" s="417" t="s">
        <v>647</v>
      </c>
      <c r="C19" s="421"/>
      <c r="D19" s="421"/>
      <c r="E19" s="2415" t="str">
        <f>'Seleccion de oferta'!E17</f>
        <v>CADIZ</v>
      </c>
      <c r="F19" s="2415"/>
      <c r="G19" s="2415"/>
      <c r="H19" s="2415"/>
      <c r="I19" s="2415"/>
      <c r="V19" s="420"/>
    </row>
    <row r="20" spans="1:22" ht="25.9" customHeight="1">
      <c r="A20" s="420"/>
      <c r="B20" s="417" t="s">
        <v>644</v>
      </c>
      <c r="C20" s="423"/>
      <c r="D20" s="421"/>
      <c r="E20" s="2415" t="str">
        <f>'Seleccion de oferta'!E19</f>
        <v>MANUEL</v>
      </c>
      <c r="F20" s="2415"/>
      <c r="G20" s="2415"/>
      <c r="H20" s="2415"/>
      <c r="I20" s="2415"/>
      <c r="J20" s="424"/>
      <c r="K20" s="424"/>
      <c r="L20" s="424"/>
      <c r="M20" s="424"/>
      <c r="N20" s="424"/>
      <c r="O20" s="424"/>
      <c r="P20" s="424"/>
      <c r="Q20" s="424"/>
      <c r="R20" s="424"/>
      <c r="S20" s="424"/>
      <c r="T20" s="424"/>
      <c r="U20" s="424"/>
      <c r="V20" s="420"/>
    </row>
    <row r="21" spans="1:22" ht="25.9" customHeight="1">
      <c r="A21" s="420"/>
      <c r="B21" s="425" t="s">
        <v>645</v>
      </c>
      <c r="C21" s="426"/>
      <c r="D21" s="421"/>
      <c r="E21" s="2415">
        <f>'Seleccion de oferta'!E21</f>
        <v>956535624</v>
      </c>
      <c r="F21" s="2415"/>
      <c r="G21" s="2415"/>
      <c r="H21" s="2415"/>
      <c r="I21" s="2415"/>
      <c r="J21" s="757"/>
      <c r="K21" s="757"/>
      <c r="L21" s="757"/>
      <c r="M21" s="757"/>
      <c r="N21" s="757"/>
      <c r="O21" s="757"/>
      <c r="P21" s="757"/>
      <c r="Q21" s="757"/>
      <c r="R21" s="757"/>
      <c r="S21" s="757"/>
      <c r="T21" s="757"/>
      <c r="U21" s="757"/>
      <c r="V21" s="420"/>
    </row>
    <row r="22" spans="1:22" ht="79.900000000000006"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15" t="str">
        <f>'Seleccion de oferta'!E30:G30</f>
        <v>JOSE LUIS PARRA</v>
      </c>
      <c r="F23" s="2415"/>
      <c r="G23" s="2415"/>
      <c r="H23" s="2415"/>
      <c r="I23" s="2415"/>
      <c r="J23" s="428"/>
      <c r="V23" s="420"/>
    </row>
    <row r="24" spans="1:22" ht="25.9" customHeight="1">
      <c r="A24" s="429"/>
      <c r="B24" s="417" t="s">
        <v>645</v>
      </c>
      <c r="C24" s="418"/>
      <c r="D24" s="419"/>
      <c r="E24" s="2439">
        <f>'Seleccion de oferta'!E34</f>
        <v>630836774</v>
      </c>
      <c r="F24" s="2415"/>
      <c r="G24" s="2415"/>
      <c r="H24" s="2415"/>
      <c r="I24" s="2415"/>
      <c r="J24" s="428"/>
      <c r="V24" s="429"/>
    </row>
    <row r="25" spans="1:22" s="416" customFormat="1" ht="23.25">
      <c r="A25" s="415"/>
      <c r="B25" s="417" t="s">
        <v>650</v>
      </c>
      <c r="C25" s="418"/>
      <c r="D25" s="419"/>
      <c r="E25" s="2415" t="str">
        <f>'Seleccion de oferta'!E42:G42</f>
        <v>GRUPO PROMOVIL</v>
      </c>
      <c r="F25" s="2415"/>
      <c r="G25" s="2415"/>
      <c r="H25" s="2415"/>
      <c r="I25" s="2415"/>
      <c r="J25" s="428"/>
    </row>
    <row r="26" spans="1:22" s="416" customFormat="1" ht="79.900000000000006" customHeight="1">
      <c r="A26" s="415"/>
      <c r="B26" s="417"/>
      <c r="C26" s="422"/>
      <c r="D26" s="2404"/>
      <c r="E26" s="2404"/>
      <c r="F26" s="2404"/>
      <c r="G26" s="2404"/>
      <c r="H26" s="2404"/>
      <c r="I26" s="2404"/>
      <c r="J26" s="428"/>
    </row>
    <row r="27" spans="1:22" s="416" customFormat="1" ht="25.9" customHeight="1">
      <c r="A27" s="415"/>
      <c r="B27" s="417" t="s">
        <v>669</v>
      </c>
      <c r="C27" s="424"/>
      <c r="D27" s="430"/>
      <c r="E27" s="2417">
        <f>'Seleccion de oferta'!E50</f>
        <v>43006</v>
      </c>
      <c r="F27" s="2417"/>
      <c r="G27" s="2417"/>
      <c r="H27" s="2417"/>
      <c r="I27" s="2417"/>
      <c r="J27" s="428"/>
    </row>
    <row r="28" spans="1:22" s="416" customFormat="1" ht="25.9" customHeight="1">
      <c r="A28" s="415"/>
      <c r="B28" s="417" t="s">
        <v>670</v>
      </c>
      <c r="C28" s="757"/>
      <c r="D28" s="431"/>
      <c r="E28" s="2417">
        <f>'Seleccion de oferta'!E52</f>
        <v>43008</v>
      </c>
      <c r="F28" s="2417"/>
      <c r="G28" s="2417"/>
      <c r="H28" s="2417"/>
      <c r="I28" s="2417"/>
      <c r="J28" s="428"/>
    </row>
    <row r="29" spans="1:22" s="416" customFormat="1" ht="25.9" customHeight="1">
      <c r="A29" s="415"/>
      <c r="B29" s="417" t="s">
        <v>692</v>
      </c>
      <c r="C29" s="757"/>
      <c r="D29" s="431"/>
      <c r="E29" s="763" t="str">
        <f>CONCATENATE("ILF5_90FCPRCP_",MID(E16,1,4),MID(E19,1,2),MID(E25,1,2),E27)</f>
        <v>ILF5_90FCPRCP_B114CAGR43006</v>
      </c>
      <c r="F29" s="763"/>
      <c r="G29" s="763"/>
      <c r="H29" s="763"/>
      <c r="I29" s="763"/>
      <c r="J29" s="428"/>
    </row>
    <row r="30" spans="1:22" s="416" customFormat="1" ht="79.900000000000006" customHeight="1">
      <c r="A30" s="415"/>
      <c r="B30" s="417"/>
      <c r="C30" s="757"/>
      <c r="D30" s="433"/>
      <c r="E30" s="764"/>
      <c r="F30" s="764"/>
      <c r="G30" s="764"/>
      <c r="H30" s="764"/>
      <c r="I30" s="764"/>
      <c r="J30" s="428"/>
    </row>
    <row r="31" spans="1:22" s="416" customFormat="1" ht="25.9" customHeight="1">
      <c r="A31" s="415"/>
      <c r="B31" s="2405" t="s">
        <v>684</v>
      </c>
      <c r="C31" s="2405"/>
      <c r="D31" s="2405"/>
      <c r="E31" s="2405"/>
      <c r="F31" s="2405"/>
      <c r="G31" s="2405"/>
      <c r="H31" s="2405"/>
      <c r="I31" s="2405"/>
      <c r="J31" s="428"/>
    </row>
    <row r="32" spans="1:22" s="416" customFormat="1" ht="25.9" customHeight="1">
      <c r="A32" s="415"/>
      <c r="B32" s="2405"/>
      <c r="C32" s="2405"/>
      <c r="D32" s="2405"/>
      <c r="E32" s="2405"/>
      <c r="F32" s="2405"/>
      <c r="G32" s="2405"/>
      <c r="H32" s="2405"/>
      <c r="I32" s="2405"/>
      <c r="J32" s="428"/>
    </row>
    <row r="33" spans="1:21" s="416" customFormat="1" ht="25.9" customHeight="1">
      <c r="A33" s="415"/>
      <c r="B33" s="2405"/>
      <c r="C33" s="2405"/>
      <c r="D33" s="2405"/>
      <c r="E33" s="2405"/>
      <c r="F33" s="2405"/>
      <c r="G33" s="2405"/>
      <c r="H33" s="2405"/>
      <c r="I33" s="2405"/>
    </row>
    <row r="34" spans="1:21" s="416" customFormat="1" ht="25.9" customHeight="1">
      <c r="A34" s="415"/>
      <c r="B34" s="2405"/>
      <c r="C34" s="2405"/>
      <c r="D34" s="2405"/>
      <c r="E34" s="2405"/>
      <c r="F34" s="2405"/>
      <c r="G34" s="2405"/>
      <c r="H34" s="2405"/>
      <c r="I34" s="2405"/>
      <c r="J34" s="435"/>
      <c r="K34" s="435"/>
      <c r="L34" s="435"/>
      <c r="M34" s="435"/>
      <c r="N34" s="435"/>
      <c r="O34" s="435"/>
      <c r="P34" s="435"/>
      <c r="Q34" s="435"/>
      <c r="R34" s="435"/>
      <c r="S34" s="435"/>
      <c r="T34" s="435"/>
      <c r="U34" s="435"/>
    </row>
    <row r="35" spans="1:21" s="416" customFormat="1" ht="23.25">
      <c r="B35" s="2405"/>
      <c r="C35" s="2405"/>
      <c r="D35" s="2405"/>
      <c r="E35" s="2405"/>
      <c r="F35" s="2405"/>
      <c r="G35" s="2405"/>
      <c r="H35" s="2405"/>
      <c r="I35" s="2405"/>
      <c r="J35" s="428"/>
      <c r="K35" s="428"/>
      <c r="L35" s="428"/>
      <c r="M35" s="428"/>
      <c r="N35" s="428"/>
      <c r="O35" s="428"/>
      <c r="P35" s="428"/>
      <c r="Q35" s="428"/>
      <c r="R35" s="428"/>
      <c r="S35" s="428"/>
      <c r="T35" s="428"/>
      <c r="U35" s="428"/>
    </row>
    <row r="36" spans="1:21" s="416" customFormat="1">
      <c r="B36" s="2405"/>
      <c r="C36" s="2405"/>
      <c r="D36" s="2405"/>
      <c r="E36" s="2405"/>
      <c r="F36" s="2405"/>
      <c r="G36" s="2405"/>
      <c r="H36" s="2405"/>
      <c r="I36" s="2405"/>
    </row>
    <row r="37" spans="1:21" s="416" customFormat="1">
      <c r="B37" s="2405"/>
      <c r="C37" s="2405"/>
      <c r="D37" s="2405"/>
      <c r="E37" s="2405"/>
      <c r="F37" s="2405"/>
      <c r="G37" s="2405"/>
      <c r="H37" s="2405"/>
      <c r="I37" s="2405"/>
    </row>
    <row r="38" spans="1:21" s="416" customFormat="1">
      <c r="B38" s="2405"/>
      <c r="C38" s="2405"/>
      <c r="D38" s="2405"/>
      <c r="E38" s="2405"/>
      <c r="F38" s="2405"/>
      <c r="G38" s="2405"/>
      <c r="H38" s="2405"/>
      <c r="I38" s="2405"/>
    </row>
    <row r="39" spans="1:21" s="416" customFormat="1">
      <c r="B39" s="2405"/>
      <c r="C39" s="2405"/>
      <c r="D39" s="2405"/>
      <c r="E39" s="2405"/>
      <c r="F39" s="2405"/>
      <c r="G39" s="2405"/>
      <c r="H39" s="2405"/>
      <c r="I39" s="2405"/>
    </row>
    <row r="40" spans="1:21" s="416" customFormat="1">
      <c r="B40" s="2405"/>
      <c r="C40" s="2405"/>
      <c r="D40" s="2405"/>
      <c r="E40" s="2405"/>
      <c r="F40" s="2405"/>
      <c r="G40" s="2405"/>
      <c r="H40" s="2405"/>
      <c r="I40" s="2405"/>
    </row>
    <row r="41" spans="1:21" s="416" customFormat="1">
      <c r="B41" s="2405"/>
      <c r="C41" s="2405"/>
      <c r="D41" s="2405"/>
      <c r="E41" s="2405"/>
      <c r="F41" s="2405"/>
      <c r="G41" s="2405"/>
      <c r="H41" s="2405"/>
      <c r="I41" s="2405"/>
    </row>
    <row r="42" spans="1:21" s="416" customFormat="1"/>
    <row r="43" spans="1:21" s="416" customFormat="1"/>
    <row r="44" spans="1:21" s="416" customFormat="1"/>
    <row r="45" spans="1:21" s="416" customFormat="1"/>
    <row r="46" spans="1:21" s="416" customFormat="1"/>
    <row r="47" spans="1:21" s="416" customFormat="1"/>
    <row r="48" spans="1:21" s="416" customFormat="1"/>
    <row r="49" spans="1:22" s="416" customFormat="1"/>
    <row r="50" spans="1:22" s="416" customFormat="1"/>
    <row r="51" spans="1:22">
      <c r="A51" s="420"/>
      <c r="B51" s="420"/>
      <c r="C51" s="420"/>
      <c r="D51" s="420"/>
      <c r="E51" s="420"/>
      <c r="F51" s="420"/>
      <c r="G51" s="420"/>
      <c r="H51" s="436" t="s">
        <v>690</v>
      </c>
      <c r="I51" s="420"/>
      <c r="K51" s="420"/>
      <c r="L51" s="437" t="str">
        <f>$B$11</f>
        <v>INMOBILIARIA SERVIGESTION</v>
      </c>
      <c r="M51" s="420"/>
      <c r="N51" s="420"/>
      <c r="O51" s="420"/>
      <c r="P51" s="420"/>
      <c r="Q51" s="420"/>
      <c r="R51" s="420"/>
      <c r="S51" s="420"/>
      <c r="T51" s="420"/>
      <c r="U51" s="420"/>
      <c r="V51" s="420"/>
    </row>
    <row r="52" spans="1:22" ht="34.5">
      <c r="A52" s="420"/>
      <c r="B52" s="2268" t="s">
        <v>461</v>
      </c>
      <c r="C52" s="2268"/>
      <c r="D52" s="2268"/>
      <c r="E52" s="2268"/>
      <c r="F52" s="2268"/>
      <c r="G52" s="2268"/>
      <c r="H52" s="2268"/>
      <c r="I52" s="2268"/>
      <c r="J52" s="2268"/>
      <c r="K52" s="2268"/>
      <c r="L52" s="2268"/>
      <c r="M52" s="2268"/>
      <c r="N52" s="2268"/>
      <c r="O52" s="2268"/>
      <c r="P52" s="2268"/>
      <c r="Q52" s="2268"/>
      <c r="R52" s="2268"/>
      <c r="S52" s="2268"/>
      <c r="T52" s="2268"/>
      <c r="U52" s="2268"/>
      <c r="V52" s="420"/>
    </row>
    <row r="53" spans="1:22" ht="22.9" customHeight="1">
      <c r="A53" s="420"/>
      <c r="B53" s="2269" t="s">
        <v>885</v>
      </c>
      <c r="C53" s="2269"/>
      <c r="D53" s="2269"/>
      <c r="E53" s="2269"/>
      <c r="F53" s="2269"/>
      <c r="G53" s="2269"/>
      <c r="H53" s="2269"/>
      <c r="I53" s="2269"/>
      <c r="J53" s="2269"/>
      <c r="K53" s="2269"/>
      <c r="L53" s="2269"/>
      <c r="M53" s="2269"/>
      <c r="N53" s="2269"/>
      <c r="O53" s="2269"/>
      <c r="P53" s="2269"/>
      <c r="Q53" s="2269"/>
      <c r="R53" s="2269"/>
      <c r="S53" s="2269"/>
      <c r="T53" s="2269"/>
      <c r="U53" s="2269"/>
      <c r="V53" s="420"/>
    </row>
    <row r="54" spans="1:22" ht="16.149999999999999" customHeight="1">
      <c r="A54" s="420"/>
      <c r="B54" s="802"/>
      <c r="C54" s="802"/>
      <c r="D54" s="802"/>
      <c r="E54" s="802"/>
      <c r="F54" s="802"/>
      <c r="G54" s="802"/>
      <c r="H54" s="802"/>
      <c r="I54" s="802"/>
      <c r="J54" s="802"/>
      <c r="K54" s="802"/>
      <c r="L54" s="802"/>
      <c r="M54" s="802"/>
      <c r="N54" s="802"/>
      <c r="O54" s="802"/>
      <c r="Q54" s="802"/>
      <c r="R54" s="802"/>
      <c r="S54" s="802"/>
      <c r="T54" s="802"/>
      <c r="U54" s="802"/>
      <c r="V54" s="420"/>
    </row>
    <row r="55" spans="1:22" ht="18.399999999999999" customHeight="1">
      <c r="A55" s="429"/>
      <c r="B55" s="2251"/>
      <c r="C55" s="2251"/>
      <c r="D55" s="2251"/>
      <c r="E55" s="2251"/>
      <c r="F55" s="2251"/>
      <c r="G55" s="2251"/>
      <c r="H55" s="2251"/>
      <c r="I55" s="2251"/>
      <c r="J55" s="2251"/>
      <c r="K55" s="2251"/>
      <c r="L55" s="2251"/>
      <c r="M55" s="2251"/>
      <c r="N55" s="2251"/>
      <c r="O55" s="2251"/>
      <c r="P55" s="2251"/>
      <c r="Q55" s="2251"/>
      <c r="R55" s="2251"/>
      <c r="S55" s="2251"/>
      <c r="T55" s="2251"/>
      <c r="U55" s="2251"/>
      <c r="V55" s="429"/>
    </row>
    <row r="56" spans="1:22" ht="23.25">
      <c r="A56" s="420"/>
      <c r="B56" s="802"/>
      <c r="C56" s="802"/>
      <c r="D56" s="802"/>
      <c r="E56" s="802"/>
      <c r="F56" s="802"/>
      <c r="G56" s="802"/>
      <c r="H56" s="802"/>
      <c r="I56" s="802"/>
      <c r="J56" s="802"/>
      <c r="K56" s="802"/>
      <c r="L56" s="802"/>
      <c r="M56" s="802"/>
      <c r="N56" s="802"/>
      <c r="O56" s="802"/>
      <c r="P56" s="802"/>
      <c r="Q56" s="802"/>
      <c r="R56" s="802"/>
      <c r="S56" s="802"/>
      <c r="T56" s="802"/>
      <c r="U56" s="802"/>
      <c r="V56" s="420"/>
    </row>
    <row r="57" spans="1:22" ht="23.25" customHeight="1">
      <c r="A57" s="420"/>
      <c r="B57" s="2325" t="s">
        <v>886</v>
      </c>
      <c r="C57" s="2326"/>
      <c r="D57" s="2326"/>
      <c r="E57" s="2326"/>
      <c r="F57" s="2326"/>
      <c r="G57" s="2326"/>
      <c r="H57" s="2326"/>
      <c r="I57" s="2326"/>
      <c r="J57" s="2326"/>
      <c r="K57" s="2326"/>
      <c r="L57" s="807"/>
      <c r="M57" s="807"/>
      <c r="N57" s="807"/>
      <c r="O57" s="807"/>
      <c r="P57" s="807"/>
      <c r="Q57" s="807"/>
      <c r="R57" s="807"/>
      <c r="S57" s="807"/>
      <c r="T57" s="807"/>
      <c r="U57" s="439"/>
      <c r="V57" s="420"/>
    </row>
    <row r="58" spans="1:22" ht="23.25" customHeight="1">
      <c r="A58" s="420"/>
      <c r="B58" s="2297" t="s">
        <v>887</v>
      </c>
      <c r="C58" s="2288"/>
      <c r="D58" s="2288"/>
      <c r="E58" s="2288"/>
      <c r="F58" s="2288"/>
      <c r="G58" s="2288"/>
      <c r="H58" s="2288"/>
      <c r="I58" s="2288"/>
      <c r="J58" s="2288"/>
      <c r="K58" s="2288"/>
      <c r="L58" s="2288"/>
      <c r="M58" s="2288"/>
      <c r="N58" s="2288"/>
      <c r="O58" s="2288"/>
      <c r="P58" s="2288"/>
      <c r="Q58" s="2288"/>
      <c r="R58" s="2288"/>
      <c r="S58" s="2288"/>
      <c r="T58" s="2288"/>
      <c r="U58" s="2298"/>
      <c r="V58" s="420"/>
    </row>
    <row r="59" spans="1:22" ht="63" customHeight="1">
      <c r="A59" s="420"/>
      <c r="B59" s="801"/>
      <c r="C59" s="441"/>
      <c r="D59" s="2437" t="s">
        <v>889</v>
      </c>
      <c r="E59" s="2437"/>
      <c r="F59" s="2437"/>
      <c r="G59" s="2437"/>
      <c r="H59" s="2437"/>
      <c r="I59" s="441"/>
      <c r="J59" s="2437" t="s">
        <v>888</v>
      </c>
      <c r="K59" s="2437"/>
      <c r="L59" s="2437"/>
      <c r="M59" s="2437"/>
      <c r="N59" s="2437"/>
      <c r="O59" s="441"/>
      <c r="P59" s="2437" t="s">
        <v>890</v>
      </c>
      <c r="Q59" s="2437"/>
      <c r="R59" s="2437"/>
      <c r="S59" s="2437"/>
      <c r="T59" s="2437"/>
      <c r="U59" s="442"/>
      <c r="V59" s="420"/>
    </row>
    <row r="60" spans="1:22" s="416" customFormat="1" ht="13.15" customHeight="1">
      <c r="A60" s="415"/>
      <c r="B60" s="443"/>
      <c r="C60" s="444"/>
      <c r="D60" s="2436" t="s">
        <v>962</v>
      </c>
      <c r="E60" s="2436"/>
      <c r="F60" s="2436"/>
      <c r="G60" s="2436"/>
      <c r="H60" s="2436"/>
      <c r="I60" s="444"/>
      <c r="J60" s="2436" t="s">
        <v>963</v>
      </c>
      <c r="K60" s="2436"/>
      <c r="L60" s="2436"/>
      <c r="M60" s="2436"/>
      <c r="N60" s="2436"/>
      <c r="O60" s="444"/>
      <c r="P60" s="2436" t="s">
        <v>964</v>
      </c>
      <c r="Q60" s="2436"/>
      <c r="R60" s="2436"/>
      <c r="S60" s="2436"/>
      <c r="T60" s="2436"/>
      <c r="U60" s="445"/>
    </row>
    <row r="61" spans="1:22" s="416" customFormat="1" ht="13.15" customHeight="1">
      <c r="A61" s="415"/>
      <c r="B61" s="443"/>
      <c r="C61" s="444"/>
      <c r="D61" s="2436"/>
      <c r="E61" s="2436"/>
      <c r="F61" s="2436"/>
      <c r="G61" s="2436"/>
      <c r="H61" s="2436"/>
      <c r="I61" s="444"/>
      <c r="J61" s="2436"/>
      <c r="K61" s="2436"/>
      <c r="L61" s="2436"/>
      <c r="M61" s="2436"/>
      <c r="N61" s="2436"/>
      <c r="O61" s="444"/>
      <c r="P61" s="2436"/>
      <c r="Q61" s="2436"/>
      <c r="R61" s="2436"/>
      <c r="S61" s="2436"/>
      <c r="T61" s="2436"/>
      <c r="U61" s="445"/>
    </row>
    <row r="62" spans="1:22" s="416" customFormat="1" ht="13.15" customHeight="1">
      <c r="A62" s="415"/>
      <c r="B62" s="443"/>
      <c r="C62" s="444"/>
      <c r="D62" s="2436"/>
      <c r="E62" s="2436"/>
      <c r="F62" s="2436"/>
      <c r="G62" s="2436"/>
      <c r="H62" s="2436"/>
      <c r="I62" s="444"/>
      <c r="J62" s="2436"/>
      <c r="K62" s="2436"/>
      <c r="L62" s="2436"/>
      <c r="M62" s="2436"/>
      <c r="N62" s="2436"/>
      <c r="O62" s="444"/>
      <c r="P62" s="2436"/>
      <c r="Q62" s="2436"/>
      <c r="R62" s="2436"/>
      <c r="S62" s="2436"/>
      <c r="T62" s="2436"/>
      <c r="U62" s="445"/>
    </row>
    <row r="63" spans="1:22" s="416" customFormat="1" ht="25.9" customHeight="1">
      <c r="A63" s="415"/>
      <c r="B63" s="446"/>
      <c r="C63" s="444"/>
      <c r="D63" s="2436"/>
      <c r="E63" s="2436"/>
      <c r="F63" s="2436"/>
      <c r="G63" s="2436"/>
      <c r="H63" s="2436"/>
      <c r="I63" s="444"/>
      <c r="J63" s="2436"/>
      <c r="K63" s="2436"/>
      <c r="L63" s="2436"/>
      <c r="M63" s="2436"/>
      <c r="N63" s="2436"/>
      <c r="O63" s="444"/>
      <c r="P63" s="2436"/>
      <c r="Q63" s="2436"/>
      <c r="R63" s="2436"/>
      <c r="S63" s="2436"/>
      <c r="T63" s="2436"/>
      <c r="U63" s="445"/>
    </row>
    <row r="64" spans="1:22" s="416" customFormat="1" ht="25.9" customHeight="1">
      <c r="A64" s="415"/>
      <c r="B64" s="447"/>
      <c r="C64" s="448"/>
      <c r="D64" s="2436"/>
      <c r="E64" s="2436"/>
      <c r="F64" s="2436"/>
      <c r="G64" s="2436"/>
      <c r="H64" s="2436"/>
      <c r="I64" s="449"/>
      <c r="J64" s="2436"/>
      <c r="K64" s="2436"/>
      <c r="L64" s="2436"/>
      <c r="M64" s="2436"/>
      <c r="N64" s="2436"/>
      <c r="O64" s="444"/>
      <c r="P64" s="2436"/>
      <c r="Q64" s="2436"/>
      <c r="R64" s="2436"/>
      <c r="S64" s="2436"/>
      <c r="T64" s="2436"/>
      <c r="U64" s="445"/>
    </row>
    <row r="65" spans="1:22" s="416" customFormat="1" ht="25.9" customHeight="1">
      <c r="A65" s="415"/>
      <c r="B65" s="447"/>
      <c r="C65" s="448"/>
      <c r="D65" s="2436"/>
      <c r="E65" s="2436"/>
      <c r="F65" s="2436"/>
      <c r="G65" s="2436"/>
      <c r="H65" s="2436"/>
      <c r="I65" s="449"/>
      <c r="J65" s="2436"/>
      <c r="K65" s="2436"/>
      <c r="L65" s="2436"/>
      <c r="M65" s="2436"/>
      <c r="N65" s="2436"/>
      <c r="O65" s="444"/>
      <c r="P65" s="2436"/>
      <c r="Q65" s="2436"/>
      <c r="R65" s="2436"/>
      <c r="S65" s="2436"/>
      <c r="T65" s="2436"/>
      <c r="U65" s="445"/>
    </row>
    <row r="66" spans="1:22" s="416" customFormat="1" ht="25.9" customHeight="1">
      <c r="A66" s="415"/>
      <c r="B66" s="447"/>
      <c r="C66" s="448"/>
      <c r="D66" s="2436"/>
      <c r="E66" s="2436"/>
      <c r="F66" s="2436"/>
      <c r="G66" s="2436"/>
      <c r="H66" s="2436"/>
      <c r="I66" s="449"/>
      <c r="J66" s="2436"/>
      <c r="K66" s="2436"/>
      <c r="L66" s="2436"/>
      <c r="M66" s="2436"/>
      <c r="N66" s="2436"/>
      <c r="O66" s="444"/>
      <c r="P66" s="2436"/>
      <c r="Q66" s="2436"/>
      <c r="R66" s="2436"/>
      <c r="S66" s="2436"/>
      <c r="T66" s="2436"/>
      <c r="U66" s="445"/>
    </row>
    <row r="67" spans="1:22" ht="25.9" customHeight="1">
      <c r="A67" s="420"/>
      <c r="B67" s="447"/>
      <c r="C67" s="450"/>
      <c r="D67" s="2436"/>
      <c r="E67" s="2436"/>
      <c r="F67" s="2436"/>
      <c r="G67" s="2436"/>
      <c r="H67" s="2436"/>
      <c r="I67" s="449"/>
      <c r="J67" s="2436"/>
      <c r="K67" s="2436"/>
      <c r="L67" s="2436"/>
      <c r="M67" s="2436"/>
      <c r="N67" s="2436"/>
      <c r="O67" s="441"/>
      <c r="P67" s="2436"/>
      <c r="Q67" s="2436"/>
      <c r="R67" s="2436"/>
      <c r="S67" s="2436"/>
      <c r="T67" s="2436"/>
      <c r="U67" s="451"/>
      <c r="V67" s="420"/>
    </row>
    <row r="68" spans="1:22" ht="25.9" customHeight="1">
      <c r="A68" s="420"/>
      <c r="B68" s="447"/>
      <c r="C68" s="452"/>
      <c r="D68" s="2436"/>
      <c r="E68" s="2436"/>
      <c r="F68" s="2436"/>
      <c r="G68" s="2436"/>
      <c r="H68" s="2436"/>
      <c r="I68" s="449"/>
      <c r="J68" s="2436"/>
      <c r="K68" s="2436"/>
      <c r="L68" s="2436"/>
      <c r="M68" s="2436"/>
      <c r="N68" s="2436"/>
      <c r="O68" s="453"/>
      <c r="P68" s="2436"/>
      <c r="Q68" s="2436"/>
      <c r="R68" s="2436"/>
      <c r="S68" s="2436"/>
      <c r="T68" s="2436"/>
      <c r="U68" s="454"/>
      <c r="V68" s="420"/>
    </row>
    <row r="69" spans="1:22" ht="25.9" customHeight="1">
      <c r="A69" s="420"/>
      <c r="B69" s="455"/>
      <c r="C69" s="456"/>
      <c r="D69" s="457"/>
      <c r="E69" s="458"/>
      <c r="F69" s="458"/>
      <c r="G69" s="458"/>
      <c r="H69" s="458"/>
      <c r="I69" s="458"/>
      <c r="J69" s="459"/>
      <c r="K69" s="459"/>
      <c r="L69" s="459"/>
      <c r="M69" s="459"/>
      <c r="N69" s="459"/>
      <c r="O69" s="459"/>
      <c r="P69" s="459"/>
      <c r="Q69" s="459"/>
      <c r="R69" s="459"/>
      <c r="S69" s="459"/>
      <c r="T69" s="459"/>
      <c r="U69" s="460"/>
      <c r="V69" s="420"/>
    </row>
    <row r="70" spans="1:22" ht="21" customHeight="1">
      <c r="A70" s="420"/>
      <c r="C70" s="428"/>
      <c r="D70" s="428"/>
      <c r="E70" s="428"/>
      <c r="F70" s="428"/>
      <c r="G70" s="428"/>
      <c r="H70" s="428"/>
      <c r="I70" s="428"/>
      <c r="J70" s="428"/>
      <c r="K70" s="428"/>
      <c r="L70" s="428"/>
      <c r="M70" s="428"/>
      <c r="N70" s="428"/>
      <c r="O70" s="428"/>
      <c r="P70" s="428"/>
      <c r="Q70" s="428"/>
      <c r="R70" s="428"/>
      <c r="S70" s="428"/>
      <c r="T70" s="428"/>
      <c r="U70" s="428"/>
      <c r="V70" s="420"/>
    </row>
    <row r="71" spans="1:22" ht="23.25" customHeight="1">
      <c r="A71" s="420"/>
      <c r="B71" s="2325" t="s">
        <v>913</v>
      </c>
      <c r="C71" s="2326"/>
      <c r="D71" s="2326"/>
      <c r="E71" s="2326"/>
      <c r="F71" s="2326"/>
      <c r="G71" s="2326"/>
      <c r="H71" s="2326"/>
      <c r="I71" s="2326"/>
      <c r="J71" s="2326"/>
      <c r="K71" s="2326"/>
      <c r="L71" s="807"/>
      <c r="M71" s="807"/>
      <c r="N71" s="807"/>
      <c r="O71" s="807"/>
      <c r="P71" s="807"/>
      <c r="Q71" s="807"/>
      <c r="R71" s="807"/>
      <c r="S71" s="807"/>
      <c r="T71" s="807"/>
      <c r="U71" s="439"/>
      <c r="V71" s="420"/>
    </row>
    <row r="72" spans="1:22" ht="23.25" customHeight="1">
      <c r="A72" s="420"/>
      <c r="B72" s="2297" t="s">
        <v>914</v>
      </c>
      <c r="C72" s="2288"/>
      <c r="D72" s="2288"/>
      <c r="E72" s="2288"/>
      <c r="F72" s="2288"/>
      <c r="G72" s="2288"/>
      <c r="H72" s="2288"/>
      <c r="I72" s="2288"/>
      <c r="J72" s="2288"/>
      <c r="K72" s="2288"/>
      <c r="L72" s="2288"/>
      <c r="M72" s="2288"/>
      <c r="N72" s="2288"/>
      <c r="O72" s="2288"/>
      <c r="P72" s="2288"/>
      <c r="Q72" s="2288"/>
      <c r="R72" s="2288"/>
      <c r="S72" s="2288"/>
      <c r="T72" s="2288"/>
      <c r="U72" s="2298"/>
      <c r="V72" s="420"/>
    </row>
    <row r="73" spans="1:22" ht="63" customHeight="1">
      <c r="A73" s="420"/>
      <c r="B73" s="801"/>
      <c r="C73" s="441"/>
      <c r="D73" s="2437" t="s">
        <v>915</v>
      </c>
      <c r="E73" s="2437"/>
      <c r="F73" s="2437"/>
      <c r="G73" s="2437"/>
      <c r="H73" s="2437"/>
      <c r="I73" s="441"/>
      <c r="J73" s="2437" t="s">
        <v>924</v>
      </c>
      <c r="K73" s="2437"/>
      <c r="L73" s="2437"/>
      <c r="M73" s="2437"/>
      <c r="N73" s="2437"/>
      <c r="O73" s="441"/>
      <c r="P73" s="2437" t="s">
        <v>916</v>
      </c>
      <c r="Q73" s="2437"/>
      <c r="R73" s="2437"/>
      <c r="S73" s="2437"/>
      <c r="T73" s="2437"/>
      <c r="U73" s="442"/>
      <c r="V73" s="420"/>
    </row>
    <row r="74" spans="1:22" s="416" customFormat="1" ht="13.15" customHeight="1">
      <c r="A74" s="415"/>
      <c r="B74" s="443"/>
      <c r="C74" s="444"/>
      <c r="D74" s="2436" t="s">
        <v>965</v>
      </c>
      <c r="E74" s="2436"/>
      <c r="F74" s="2436"/>
      <c r="G74" s="2436"/>
      <c r="H74" s="2436"/>
      <c r="I74" s="444"/>
      <c r="J74" s="2436" t="s">
        <v>966</v>
      </c>
      <c r="K74" s="2436"/>
      <c r="L74" s="2436"/>
      <c r="M74" s="2436"/>
      <c r="N74" s="2436"/>
      <c r="O74" s="444"/>
      <c r="P74" s="2436" t="s">
        <v>967</v>
      </c>
      <c r="Q74" s="2436"/>
      <c r="R74" s="2436"/>
      <c r="S74" s="2436"/>
      <c r="T74" s="2436"/>
      <c r="U74" s="445"/>
    </row>
    <row r="75" spans="1:22" s="416" customFormat="1" ht="13.15" customHeight="1">
      <c r="A75" s="415"/>
      <c r="B75" s="443"/>
      <c r="C75" s="444"/>
      <c r="D75" s="2436"/>
      <c r="E75" s="2436"/>
      <c r="F75" s="2436"/>
      <c r="G75" s="2436"/>
      <c r="H75" s="2436"/>
      <c r="I75" s="444"/>
      <c r="J75" s="2436"/>
      <c r="K75" s="2436"/>
      <c r="L75" s="2436"/>
      <c r="M75" s="2436"/>
      <c r="N75" s="2436"/>
      <c r="O75" s="444"/>
      <c r="P75" s="2436"/>
      <c r="Q75" s="2436"/>
      <c r="R75" s="2436"/>
      <c r="S75" s="2436"/>
      <c r="T75" s="2436"/>
      <c r="U75" s="445"/>
    </row>
    <row r="76" spans="1:22" s="416" customFormat="1" ht="13.15" customHeight="1">
      <c r="A76" s="415"/>
      <c r="B76" s="443"/>
      <c r="C76" s="444"/>
      <c r="D76" s="2436"/>
      <c r="E76" s="2436"/>
      <c r="F76" s="2436"/>
      <c r="G76" s="2436"/>
      <c r="H76" s="2436"/>
      <c r="I76" s="444"/>
      <c r="J76" s="2436"/>
      <c r="K76" s="2436"/>
      <c r="L76" s="2436"/>
      <c r="M76" s="2436"/>
      <c r="N76" s="2436"/>
      <c r="O76" s="444"/>
      <c r="P76" s="2436"/>
      <c r="Q76" s="2436"/>
      <c r="R76" s="2436"/>
      <c r="S76" s="2436"/>
      <c r="T76" s="2436"/>
      <c r="U76" s="445"/>
    </row>
    <row r="77" spans="1:22" s="416" customFormat="1" ht="25.9" customHeight="1">
      <c r="A77" s="415"/>
      <c r="B77" s="446"/>
      <c r="C77" s="444"/>
      <c r="D77" s="2436"/>
      <c r="E77" s="2436"/>
      <c r="F77" s="2436"/>
      <c r="G77" s="2436"/>
      <c r="H77" s="2436"/>
      <c r="I77" s="444"/>
      <c r="J77" s="2436"/>
      <c r="K77" s="2436"/>
      <c r="L77" s="2436"/>
      <c r="M77" s="2436"/>
      <c r="N77" s="2436"/>
      <c r="O77" s="444"/>
      <c r="P77" s="2436"/>
      <c r="Q77" s="2436"/>
      <c r="R77" s="2436"/>
      <c r="S77" s="2436"/>
      <c r="T77" s="2436"/>
      <c r="U77" s="445"/>
    </row>
    <row r="78" spans="1:22" s="416" customFormat="1" ht="25.9" customHeight="1">
      <c r="A78" s="415"/>
      <c r="B78" s="447"/>
      <c r="C78" s="448"/>
      <c r="D78" s="2436"/>
      <c r="E78" s="2436"/>
      <c r="F78" s="2436"/>
      <c r="G78" s="2436"/>
      <c r="H78" s="2436"/>
      <c r="I78" s="449"/>
      <c r="J78" s="2436"/>
      <c r="K78" s="2436"/>
      <c r="L78" s="2436"/>
      <c r="M78" s="2436"/>
      <c r="N78" s="2436"/>
      <c r="O78" s="444"/>
      <c r="P78" s="2436"/>
      <c r="Q78" s="2436"/>
      <c r="R78" s="2436"/>
      <c r="S78" s="2436"/>
      <c r="T78" s="2436"/>
      <c r="U78" s="445"/>
    </row>
    <row r="79" spans="1:22" s="416" customFormat="1" ht="25.9" customHeight="1">
      <c r="A79" s="415"/>
      <c r="B79" s="461"/>
      <c r="C79" s="462"/>
      <c r="D79" s="2436"/>
      <c r="E79" s="2436"/>
      <c r="F79" s="2436"/>
      <c r="G79" s="2436"/>
      <c r="H79" s="2436"/>
      <c r="I79" s="462"/>
      <c r="J79" s="2436"/>
      <c r="K79" s="2436"/>
      <c r="L79" s="2436"/>
      <c r="M79" s="2436"/>
      <c r="N79" s="2436"/>
      <c r="O79" s="444"/>
      <c r="P79" s="2436"/>
      <c r="Q79" s="2436"/>
      <c r="R79" s="2436"/>
      <c r="S79" s="2436"/>
      <c r="T79" s="2436"/>
      <c r="U79" s="445"/>
    </row>
    <row r="80" spans="1:22" s="416" customFormat="1" ht="25.9" customHeight="1">
      <c r="A80" s="415"/>
      <c r="B80" s="461"/>
      <c r="C80" s="462"/>
      <c r="D80" s="2436"/>
      <c r="E80" s="2436"/>
      <c r="F80" s="2436"/>
      <c r="G80" s="2436"/>
      <c r="H80" s="2436"/>
      <c r="I80" s="462"/>
      <c r="J80" s="2436"/>
      <c r="K80" s="2436"/>
      <c r="L80" s="2436"/>
      <c r="M80" s="2436"/>
      <c r="N80" s="2436"/>
      <c r="O80" s="444"/>
      <c r="P80" s="2436"/>
      <c r="Q80" s="2436"/>
      <c r="R80" s="2436"/>
      <c r="S80" s="2436"/>
      <c r="T80" s="2436"/>
      <c r="U80" s="445"/>
    </row>
    <row r="81" spans="1:22" ht="25.9" customHeight="1">
      <c r="A81" s="420"/>
      <c r="B81" s="461"/>
      <c r="C81" s="462"/>
      <c r="D81" s="2436"/>
      <c r="E81" s="2436"/>
      <c r="F81" s="2436"/>
      <c r="G81" s="2436"/>
      <c r="H81" s="2436"/>
      <c r="I81" s="462"/>
      <c r="J81" s="2436"/>
      <c r="K81" s="2436"/>
      <c r="L81" s="2436"/>
      <c r="M81" s="2436"/>
      <c r="N81" s="2436"/>
      <c r="O81" s="441"/>
      <c r="P81" s="2436"/>
      <c r="Q81" s="2436"/>
      <c r="R81" s="2436"/>
      <c r="S81" s="2436"/>
      <c r="T81" s="2436"/>
      <c r="U81" s="451"/>
      <c r="V81" s="420"/>
    </row>
    <row r="82" spans="1:22" ht="13.9" customHeight="1">
      <c r="A82" s="420"/>
      <c r="B82" s="461"/>
      <c r="C82" s="462"/>
      <c r="D82" s="2436"/>
      <c r="E82" s="2436"/>
      <c r="F82" s="2436"/>
      <c r="G82" s="2436"/>
      <c r="H82" s="2436"/>
      <c r="I82" s="462"/>
      <c r="J82" s="2436"/>
      <c r="K82" s="2436"/>
      <c r="L82" s="2436"/>
      <c r="M82" s="2436"/>
      <c r="N82" s="2436"/>
      <c r="O82" s="453"/>
      <c r="P82" s="2436"/>
      <c r="Q82" s="2436"/>
      <c r="R82" s="2436"/>
      <c r="S82" s="2436"/>
      <c r="T82" s="2436"/>
      <c r="U82" s="454"/>
      <c r="V82" s="420"/>
    </row>
    <row r="83" spans="1:22" ht="25.9" customHeight="1">
      <c r="A83" s="420"/>
      <c r="B83" s="463"/>
      <c r="C83" s="464"/>
      <c r="D83" s="464"/>
      <c r="E83" s="464"/>
      <c r="F83" s="464"/>
      <c r="G83" s="464"/>
      <c r="H83" s="464"/>
      <c r="I83" s="464"/>
      <c r="J83" s="459"/>
      <c r="K83" s="459"/>
      <c r="L83" s="459"/>
      <c r="M83" s="459"/>
      <c r="N83" s="459"/>
      <c r="O83" s="459"/>
      <c r="P83" s="459"/>
      <c r="Q83" s="459"/>
      <c r="R83" s="459"/>
      <c r="S83" s="459"/>
      <c r="T83" s="459"/>
      <c r="U83" s="460"/>
      <c r="V83" s="420"/>
    </row>
    <row r="84" spans="1:22" ht="33" customHeight="1">
      <c r="A84" s="420"/>
      <c r="B84" s="465"/>
      <c r="C84" s="465"/>
      <c r="D84" s="465"/>
      <c r="E84" s="465"/>
      <c r="F84" s="465"/>
      <c r="G84" s="465"/>
      <c r="H84" s="465"/>
      <c r="I84" s="465"/>
      <c r="J84" s="428"/>
      <c r="K84" s="428"/>
      <c r="L84" s="428"/>
      <c r="M84" s="428"/>
      <c r="N84" s="428"/>
      <c r="O84" s="428"/>
      <c r="P84" s="428"/>
      <c r="Q84" s="428"/>
      <c r="R84" s="428"/>
      <c r="S84" s="428"/>
      <c r="T84" s="428"/>
      <c r="U84" s="428"/>
      <c r="V84" s="420"/>
    </row>
    <row r="85" spans="1:22" ht="23.25" customHeight="1">
      <c r="A85" s="420"/>
      <c r="B85" s="2325" t="s">
        <v>917</v>
      </c>
      <c r="C85" s="2326"/>
      <c r="D85" s="2326"/>
      <c r="E85" s="2326"/>
      <c r="F85" s="2326"/>
      <c r="G85" s="2326"/>
      <c r="H85" s="2326"/>
      <c r="I85" s="2326"/>
      <c r="J85" s="2326"/>
      <c r="K85" s="2326"/>
      <c r="L85" s="807"/>
      <c r="M85" s="807"/>
      <c r="N85" s="807"/>
      <c r="O85" s="807"/>
      <c r="P85" s="807"/>
      <c r="Q85" s="807"/>
      <c r="R85" s="807"/>
      <c r="S85" s="807"/>
      <c r="T85" s="807"/>
      <c r="U85" s="439"/>
      <c r="V85" s="420"/>
    </row>
    <row r="86" spans="1:22" ht="23.25" customHeight="1">
      <c r="A86" s="420"/>
      <c r="B86" s="2297" t="s">
        <v>918</v>
      </c>
      <c r="C86" s="2288"/>
      <c r="D86" s="2288"/>
      <c r="E86" s="2288"/>
      <c r="F86" s="2288"/>
      <c r="G86" s="2288"/>
      <c r="H86" s="2288"/>
      <c r="I86" s="2288"/>
      <c r="J86" s="2288"/>
      <c r="K86" s="2288"/>
      <c r="L86" s="2288"/>
      <c r="M86" s="2288"/>
      <c r="N86" s="2288"/>
      <c r="O86" s="2288"/>
      <c r="P86" s="2288"/>
      <c r="Q86" s="2288"/>
      <c r="R86" s="2288"/>
      <c r="S86" s="2288"/>
      <c r="T86" s="2288"/>
      <c r="U86" s="2298"/>
      <c r="V86" s="420"/>
    </row>
    <row r="87" spans="1:22" ht="33" customHeight="1">
      <c r="A87" s="420"/>
      <c r="B87" s="2297" t="s">
        <v>919</v>
      </c>
      <c r="C87" s="2288"/>
      <c r="D87" s="2288"/>
      <c r="E87" s="2288"/>
      <c r="F87" s="2288"/>
      <c r="G87" s="2288"/>
      <c r="H87" s="2288"/>
      <c r="I87" s="2288"/>
      <c r="J87" s="2288"/>
      <c r="K87" s="2288"/>
      <c r="L87" s="2288"/>
      <c r="M87" s="2288"/>
      <c r="N87" s="2288"/>
      <c r="O87" s="2288"/>
      <c r="P87" s="2288"/>
      <c r="Q87" s="2288"/>
      <c r="R87" s="2288"/>
      <c r="S87" s="2288"/>
      <c r="T87" s="2288"/>
      <c r="U87" s="2298"/>
      <c r="V87" s="420"/>
    </row>
    <row r="88" spans="1:22" ht="39" customHeight="1">
      <c r="A88" s="420"/>
      <c r="B88" s="466"/>
      <c r="C88" s="441"/>
      <c r="D88" s="2437" t="s">
        <v>920</v>
      </c>
      <c r="E88" s="2437"/>
      <c r="F88" s="2437"/>
      <c r="G88" s="2437"/>
      <c r="H88" s="2437"/>
      <c r="I88" s="441"/>
      <c r="J88" s="2437" t="s">
        <v>921</v>
      </c>
      <c r="K88" s="2437"/>
      <c r="L88" s="2437"/>
      <c r="M88" s="2437"/>
      <c r="N88" s="2437"/>
      <c r="O88" s="441"/>
      <c r="P88" s="2437" t="s">
        <v>922</v>
      </c>
      <c r="Q88" s="2437"/>
      <c r="R88" s="2437"/>
      <c r="S88" s="2437"/>
      <c r="T88" s="2437"/>
      <c r="U88" s="451"/>
      <c r="V88" s="420"/>
    </row>
    <row r="89" spans="1:22" s="416" customFormat="1" ht="13.15" customHeight="1">
      <c r="A89" s="415"/>
      <c r="B89" s="443"/>
      <c r="C89" s="444"/>
      <c r="D89" s="2436" t="s">
        <v>968</v>
      </c>
      <c r="E89" s="2436"/>
      <c r="F89" s="2436"/>
      <c r="G89" s="2436"/>
      <c r="H89" s="2436"/>
      <c r="I89" s="444"/>
      <c r="J89" s="2436" t="s">
        <v>969</v>
      </c>
      <c r="K89" s="2436"/>
      <c r="L89" s="2436"/>
      <c r="M89" s="2436"/>
      <c r="N89" s="2436"/>
      <c r="O89" s="444"/>
      <c r="P89" s="2438" t="s">
        <v>970</v>
      </c>
      <c r="Q89" s="2438"/>
      <c r="R89" s="2438"/>
      <c r="S89" s="2438"/>
      <c r="T89" s="2438"/>
      <c r="U89" s="445"/>
    </row>
    <row r="90" spans="1:22" s="416" customFormat="1" ht="13.15" customHeight="1">
      <c r="A90" s="415"/>
      <c r="B90" s="443"/>
      <c r="C90" s="444"/>
      <c r="D90" s="2436"/>
      <c r="E90" s="2436"/>
      <c r="F90" s="2436"/>
      <c r="G90" s="2436"/>
      <c r="H90" s="2436"/>
      <c r="I90" s="444"/>
      <c r="J90" s="2436"/>
      <c r="K90" s="2436"/>
      <c r="L90" s="2436"/>
      <c r="M90" s="2436"/>
      <c r="N90" s="2436"/>
      <c r="O90" s="444"/>
      <c r="P90" s="2438"/>
      <c r="Q90" s="2438"/>
      <c r="R90" s="2438"/>
      <c r="S90" s="2438"/>
      <c r="T90" s="2438"/>
      <c r="U90" s="445"/>
    </row>
    <row r="91" spans="1:22" s="416" customFormat="1" ht="13.15" customHeight="1">
      <c r="A91" s="415"/>
      <c r="B91" s="443"/>
      <c r="C91" s="444"/>
      <c r="D91" s="2436"/>
      <c r="E91" s="2436"/>
      <c r="F91" s="2436"/>
      <c r="G91" s="2436"/>
      <c r="H91" s="2436"/>
      <c r="I91" s="444"/>
      <c r="J91" s="2436"/>
      <c r="K91" s="2436"/>
      <c r="L91" s="2436"/>
      <c r="M91" s="2436"/>
      <c r="N91" s="2436"/>
      <c r="O91" s="444"/>
      <c r="P91" s="2438"/>
      <c r="Q91" s="2438"/>
      <c r="R91" s="2438"/>
      <c r="S91" s="2438"/>
      <c r="T91" s="2438"/>
      <c r="U91" s="445"/>
    </row>
    <row r="92" spans="1:22" s="416" customFormat="1" ht="25.9" customHeight="1">
      <c r="A92" s="415"/>
      <c r="B92" s="446"/>
      <c r="C92" s="444"/>
      <c r="D92" s="2436"/>
      <c r="E92" s="2436"/>
      <c r="F92" s="2436"/>
      <c r="G92" s="2436"/>
      <c r="H92" s="2436"/>
      <c r="I92" s="444"/>
      <c r="J92" s="2436"/>
      <c r="K92" s="2436"/>
      <c r="L92" s="2436"/>
      <c r="M92" s="2436"/>
      <c r="N92" s="2436"/>
      <c r="O92" s="444"/>
      <c r="P92" s="2438"/>
      <c r="Q92" s="2438"/>
      <c r="R92" s="2438"/>
      <c r="S92" s="2438"/>
      <c r="T92" s="2438"/>
      <c r="U92" s="445"/>
    </row>
    <row r="93" spans="1:22" s="416" customFormat="1" ht="25.9" customHeight="1">
      <c r="A93" s="415"/>
      <c r="B93" s="447"/>
      <c r="C93" s="448"/>
      <c r="D93" s="2436"/>
      <c r="E93" s="2436"/>
      <c r="F93" s="2436"/>
      <c r="G93" s="2436"/>
      <c r="H93" s="2436"/>
      <c r="I93" s="449"/>
      <c r="J93" s="2436"/>
      <c r="K93" s="2436"/>
      <c r="L93" s="2436"/>
      <c r="M93" s="2436"/>
      <c r="N93" s="2436"/>
      <c r="O93" s="444"/>
      <c r="P93" s="2438"/>
      <c r="Q93" s="2438"/>
      <c r="R93" s="2438"/>
      <c r="S93" s="2438"/>
      <c r="T93" s="2438"/>
      <c r="U93" s="445"/>
    </row>
    <row r="94" spans="1:22" s="416" customFormat="1" ht="25.9" customHeight="1">
      <c r="A94" s="415"/>
      <c r="B94" s="461"/>
      <c r="C94" s="462"/>
      <c r="D94" s="2436"/>
      <c r="E94" s="2436"/>
      <c r="F94" s="2436"/>
      <c r="G94" s="2436"/>
      <c r="H94" s="2436"/>
      <c r="I94" s="462"/>
      <c r="J94" s="2436"/>
      <c r="K94" s="2436"/>
      <c r="L94" s="2436"/>
      <c r="M94" s="2436"/>
      <c r="N94" s="2436"/>
      <c r="O94" s="444"/>
      <c r="P94" s="2438"/>
      <c r="Q94" s="2438"/>
      <c r="R94" s="2438"/>
      <c r="S94" s="2438"/>
      <c r="T94" s="2438"/>
      <c r="U94" s="445"/>
    </row>
    <row r="95" spans="1:22" s="416" customFormat="1" ht="25.9" customHeight="1">
      <c r="A95" s="415"/>
      <c r="B95" s="461"/>
      <c r="C95" s="462"/>
      <c r="D95" s="2436"/>
      <c r="E95" s="2436"/>
      <c r="F95" s="2436"/>
      <c r="G95" s="2436"/>
      <c r="H95" s="2436"/>
      <c r="I95" s="462"/>
      <c r="J95" s="2436"/>
      <c r="K95" s="2436"/>
      <c r="L95" s="2436"/>
      <c r="M95" s="2436"/>
      <c r="N95" s="2436"/>
      <c r="O95" s="444"/>
      <c r="P95" s="2438"/>
      <c r="Q95" s="2438"/>
      <c r="R95" s="2438"/>
      <c r="S95" s="2438"/>
      <c r="T95" s="2438"/>
      <c r="U95" s="445"/>
    </row>
    <row r="96" spans="1:22" ht="25.9" customHeight="1">
      <c r="A96" s="420"/>
      <c r="B96" s="461"/>
      <c r="C96" s="462"/>
      <c r="D96" s="2436"/>
      <c r="E96" s="2436"/>
      <c r="F96" s="2436"/>
      <c r="G96" s="2436"/>
      <c r="H96" s="2436"/>
      <c r="I96" s="462"/>
      <c r="J96" s="2436"/>
      <c r="K96" s="2436"/>
      <c r="L96" s="2436"/>
      <c r="M96" s="2436"/>
      <c r="N96" s="2436"/>
      <c r="O96" s="441"/>
      <c r="P96" s="2438"/>
      <c r="Q96" s="2438"/>
      <c r="R96" s="2438"/>
      <c r="S96" s="2438"/>
      <c r="T96" s="2438"/>
      <c r="U96" s="451"/>
      <c r="V96" s="420"/>
    </row>
    <row r="97" spans="1:22" ht="25.9" customHeight="1">
      <c r="A97" s="420"/>
      <c r="B97" s="461"/>
      <c r="C97" s="462"/>
      <c r="D97" s="2436"/>
      <c r="E97" s="2436"/>
      <c r="F97" s="2436"/>
      <c r="G97" s="2436"/>
      <c r="H97" s="2436"/>
      <c r="I97" s="462"/>
      <c r="J97" s="2436"/>
      <c r="K97" s="2436"/>
      <c r="L97" s="2436"/>
      <c r="M97" s="2436"/>
      <c r="N97" s="2436"/>
      <c r="O97" s="453"/>
      <c r="P97" s="2438"/>
      <c r="Q97" s="2438"/>
      <c r="R97" s="2438"/>
      <c r="S97" s="2438"/>
      <c r="T97" s="2438"/>
      <c r="U97" s="454"/>
      <c r="V97" s="420"/>
    </row>
    <row r="98" spans="1:22" s="429" customFormat="1" ht="25.9" customHeight="1">
      <c r="A98" s="420"/>
      <c r="B98" s="461"/>
      <c r="C98" s="462"/>
      <c r="D98" s="467"/>
      <c r="E98" s="467"/>
      <c r="F98" s="467"/>
      <c r="G98" s="467"/>
      <c r="H98" s="467"/>
      <c r="I98" s="462"/>
      <c r="J98" s="467"/>
      <c r="K98" s="467"/>
      <c r="L98" s="467"/>
      <c r="M98" s="467"/>
      <c r="N98" s="467"/>
      <c r="O98" s="453"/>
      <c r="P98" s="2416" t="s">
        <v>923</v>
      </c>
      <c r="Q98" s="2416"/>
      <c r="R98" s="2416"/>
      <c r="S98" s="2416"/>
      <c r="T98" s="2416"/>
      <c r="U98" s="454"/>
      <c r="V98" s="420"/>
    </row>
    <row r="99" spans="1:22" s="429" customFormat="1" ht="25.9" customHeight="1">
      <c r="A99" s="420"/>
      <c r="B99" s="461"/>
      <c r="C99" s="462"/>
      <c r="D99" s="467"/>
      <c r="E99" s="467"/>
      <c r="F99" s="467"/>
      <c r="G99" s="467"/>
      <c r="H99" s="467"/>
      <c r="I99" s="462"/>
      <c r="J99" s="467"/>
      <c r="K99" s="467"/>
      <c r="L99" s="467"/>
      <c r="M99" s="467"/>
      <c r="N99" s="467"/>
      <c r="O99" s="453"/>
      <c r="P99" s="2416" t="s">
        <v>1005</v>
      </c>
      <c r="Q99" s="2416"/>
      <c r="R99" s="2416"/>
      <c r="S99" s="2416"/>
      <c r="T99" s="2416"/>
      <c r="U99" s="454"/>
      <c r="V99" s="420"/>
    </row>
    <row r="100" spans="1:22" ht="33" customHeight="1">
      <c r="A100" s="420"/>
      <c r="B100" s="2297" t="s">
        <v>971</v>
      </c>
      <c r="C100" s="2288"/>
      <c r="D100" s="2288"/>
      <c r="E100" s="2288"/>
      <c r="F100" s="2288"/>
      <c r="G100" s="2288"/>
      <c r="H100" s="2288"/>
      <c r="I100" s="2288"/>
      <c r="J100" s="2288"/>
      <c r="K100" s="2288"/>
      <c r="L100" s="2288"/>
      <c r="M100" s="2288"/>
      <c r="N100" s="2288"/>
      <c r="O100" s="2288"/>
      <c r="P100" s="2288"/>
      <c r="Q100" s="2288"/>
      <c r="R100" s="2288"/>
      <c r="S100" s="2288"/>
      <c r="T100" s="2288"/>
      <c r="U100" s="2298"/>
      <c r="V100" s="420"/>
    </row>
    <row r="101" spans="1:22" ht="33" customHeight="1">
      <c r="A101" s="420"/>
      <c r="B101" s="801"/>
      <c r="C101" s="800"/>
      <c r="D101" s="800"/>
      <c r="E101" s="800"/>
      <c r="F101" s="800"/>
      <c r="G101" s="800"/>
      <c r="H101" s="2423" t="s">
        <v>972</v>
      </c>
      <c r="I101" s="2424"/>
      <c r="J101" s="2423" t="s">
        <v>973</v>
      </c>
      <c r="K101" s="2424"/>
      <c r="L101" s="2423" t="s">
        <v>974</v>
      </c>
      <c r="M101" s="2424"/>
      <c r="N101" s="2423" t="s">
        <v>975</v>
      </c>
      <c r="O101" s="2424"/>
      <c r="P101" s="800"/>
      <c r="Q101" s="800"/>
      <c r="R101" s="800"/>
      <c r="S101" s="800"/>
      <c r="T101" s="800"/>
      <c r="U101" s="805"/>
      <c r="V101" s="420"/>
    </row>
    <row r="102" spans="1:22" ht="33" customHeight="1">
      <c r="A102" s="420"/>
      <c r="B102" s="801"/>
      <c r="C102" s="800"/>
      <c r="D102" s="800"/>
      <c r="E102" s="800"/>
      <c r="F102" s="800"/>
      <c r="G102" s="800"/>
      <c r="H102" s="2425"/>
      <c r="I102" s="2426"/>
      <c r="J102" s="2425"/>
      <c r="K102" s="2426"/>
      <c r="L102" s="2425"/>
      <c r="M102" s="2426"/>
      <c r="N102" s="2425"/>
      <c r="O102" s="2426"/>
      <c r="P102" s="800"/>
      <c r="Q102" s="800"/>
      <c r="R102" s="800"/>
      <c r="S102" s="800"/>
      <c r="T102" s="800"/>
      <c r="U102" s="805"/>
      <c r="V102" s="420"/>
    </row>
    <row r="103" spans="1:22" s="470" customFormat="1" ht="33" customHeight="1">
      <c r="B103" s="471"/>
      <c r="C103" s="472"/>
      <c r="D103" s="472"/>
      <c r="E103" s="472"/>
      <c r="F103" s="472"/>
      <c r="G103" s="472"/>
      <c r="H103" s="472"/>
      <c r="I103" s="472"/>
      <c r="J103" s="472"/>
      <c r="K103" s="472"/>
      <c r="L103" s="472"/>
      <c r="M103" s="472"/>
      <c r="N103" s="472"/>
      <c r="O103" s="472"/>
      <c r="P103" s="472"/>
      <c r="Q103" s="472"/>
      <c r="R103" s="472"/>
      <c r="S103" s="472"/>
      <c r="T103" s="472"/>
      <c r="U103" s="473"/>
    </row>
    <row r="104" spans="1:22" ht="19.149999999999999" customHeight="1">
      <c r="I104" s="522"/>
      <c r="J104" s="522"/>
      <c r="K104" s="522"/>
      <c r="L104" s="522"/>
      <c r="M104" s="476" t="s">
        <v>1161</v>
      </c>
      <c r="N104" s="526"/>
      <c r="O104" s="527"/>
      <c r="P104" s="528"/>
      <c r="Q104" s="529"/>
      <c r="R104" s="477" t="s">
        <v>692</v>
      </c>
      <c r="S104" s="478" t="str">
        <f>$E$29</f>
        <v>ILF5_90FCPRCP_B114CAGR43006</v>
      </c>
      <c r="T104" s="522"/>
      <c r="U104" s="522"/>
    </row>
    <row r="105" spans="1:22" s="416" customFormat="1"/>
    <row r="106" spans="1:22" s="416" customFormat="1"/>
    <row r="107" spans="1:22">
      <c r="A107" s="420"/>
      <c r="B107" s="420"/>
      <c r="C107" s="420"/>
      <c r="D107" s="420"/>
      <c r="E107" s="420"/>
      <c r="F107" s="420"/>
      <c r="G107" s="420"/>
      <c r="H107" s="436" t="s">
        <v>690</v>
      </c>
      <c r="I107" s="420"/>
      <c r="K107" s="420"/>
      <c r="L107" s="437" t="str">
        <f>$B$11</f>
        <v>INMOBILIARIA SERVIGESTION</v>
      </c>
      <c r="M107" s="420"/>
      <c r="N107" s="420"/>
      <c r="O107" s="420"/>
      <c r="P107" s="420"/>
      <c r="Q107" s="420"/>
      <c r="R107" s="420"/>
      <c r="S107" s="420"/>
      <c r="T107" s="420"/>
      <c r="U107" s="420"/>
      <c r="V107" s="420"/>
    </row>
    <row r="108" spans="1:22" ht="34.5">
      <c r="A108" s="420"/>
      <c r="B108" s="2268" t="s">
        <v>461</v>
      </c>
      <c r="C108" s="2268"/>
      <c r="D108" s="2268"/>
      <c r="E108" s="2268"/>
      <c r="F108" s="2268"/>
      <c r="G108" s="2268"/>
      <c r="H108" s="2268"/>
      <c r="I108" s="2268"/>
      <c r="J108" s="2268"/>
      <c r="K108" s="2268"/>
      <c r="L108" s="2268"/>
      <c r="M108" s="2268"/>
      <c r="N108" s="2268"/>
      <c r="O108" s="2268"/>
      <c r="P108" s="2268"/>
      <c r="Q108" s="2268"/>
      <c r="R108" s="2268"/>
      <c r="S108" s="2268"/>
      <c r="T108" s="2268"/>
      <c r="U108" s="2268"/>
      <c r="V108" s="420"/>
    </row>
    <row r="109" spans="1:22" ht="22.9" customHeight="1">
      <c r="A109" s="420"/>
      <c r="B109" s="2269" t="s">
        <v>741</v>
      </c>
      <c r="C109" s="2269"/>
      <c r="D109" s="2269"/>
      <c r="E109" s="2269"/>
      <c r="F109" s="2269"/>
      <c r="G109" s="2269"/>
      <c r="H109" s="2269"/>
      <c r="I109" s="2269"/>
      <c r="J109" s="2269"/>
      <c r="K109" s="2269"/>
      <c r="L109" s="2269"/>
      <c r="M109" s="2269"/>
      <c r="N109" s="2269"/>
      <c r="O109" s="2269"/>
      <c r="P109" s="2269"/>
      <c r="Q109" s="2269"/>
      <c r="R109" s="2269"/>
      <c r="S109" s="2269"/>
      <c r="T109" s="2269"/>
      <c r="U109" s="2269"/>
      <c r="V109" s="420"/>
    </row>
    <row r="110" spans="1:22" ht="16.149999999999999" customHeight="1">
      <c r="A110" s="420"/>
      <c r="B110" s="757"/>
      <c r="C110" s="757"/>
      <c r="D110" s="757"/>
      <c r="E110" s="757"/>
      <c r="F110" s="757"/>
      <c r="G110" s="757"/>
      <c r="H110" s="757"/>
      <c r="I110" s="757"/>
      <c r="J110" s="757"/>
      <c r="K110" s="757"/>
      <c r="L110" s="757"/>
      <c r="M110" s="757"/>
      <c r="N110" s="757"/>
      <c r="O110" s="757"/>
      <c r="Q110" s="757"/>
      <c r="R110" s="757"/>
      <c r="S110" s="757"/>
      <c r="T110" s="757"/>
      <c r="U110" s="757"/>
      <c r="V110" s="420"/>
    </row>
    <row r="111" spans="1:22" ht="18.399999999999999" customHeight="1">
      <c r="A111" s="429"/>
      <c r="B111" s="2251"/>
      <c r="C111" s="2251"/>
      <c r="D111" s="2251"/>
      <c r="E111" s="2251"/>
      <c r="F111" s="2251"/>
      <c r="G111" s="2251"/>
      <c r="H111" s="2251"/>
      <c r="I111" s="2251"/>
      <c r="J111" s="2251"/>
      <c r="K111" s="2251"/>
      <c r="L111" s="2251"/>
      <c r="M111" s="2251"/>
      <c r="N111" s="2251"/>
      <c r="O111" s="2251"/>
      <c r="P111" s="2251"/>
      <c r="Q111" s="2251"/>
      <c r="R111" s="2251"/>
      <c r="S111" s="2251"/>
      <c r="T111" s="2251"/>
      <c r="U111" s="2251"/>
      <c r="V111" s="429"/>
    </row>
    <row r="112" spans="1:22" ht="23.25">
      <c r="A112" s="420"/>
      <c r="B112" s="757"/>
      <c r="C112" s="757"/>
      <c r="D112" s="757"/>
      <c r="E112" s="757"/>
      <c r="F112" s="757"/>
      <c r="G112" s="757"/>
      <c r="H112" s="757"/>
      <c r="I112" s="757"/>
      <c r="J112" s="757"/>
      <c r="K112" s="757"/>
      <c r="L112" s="757"/>
      <c r="M112" s="757"/>
      <c r="N112" s="757"/>
      <c r="O112" s="757"/>
      <c r="P112" s="757"/>
      <c r="Q112" s="757"/>
      <c r="R112" s="757"/>
      <c r="S112" s="757"/>
      <c r="T112" s="757"/>
      <c r="U112" s="757"/>
      <c r="V112" s="420"/>
    </row>
    <row r="113" spans="1:22" ht="23.25" customHeight="1">
      <c r="A113" s="420"/>
      <c r="B113" s="2325" t="s">
        <v>743</v>
      </c>
      <c r="C113" s="2326"/>
      <c r="D113" s="2326"/>
      <c r="E113" s="2326"/>
      <c r="F113" s="2326"/>
      <c r="G113" s="2326"/>
      <c r="H113" s="2326"/>
      <c r="I113" s="2326"/>
      <c r="J113" s="2326"/>
      <c r="K113" s="2326"/>
      <c r="L113" s="745"/>
      <c r="M113" s="745"/>
      <c r="N113" s="745"/>
      <c r="O113" s="745"/>
      <c r="P113" s="745"/>
      <c r="Q113" s="745"/>
      <c r="R113" s="745"/>
      <c r="S113" s="745"/>
      <c r="T113" s="745"/>
      <c r="U113" s="439"/>
      <c r="V113" s="420"/>
    </row>
    <row r="114" spans="1:22" ht="23.25" customHeight="1">
      <c r="A114" s="420"/>
      <c r="B114" s="2297" t="s">
        <v>742</v>
      </c>
      <c r="C114" s="2288"/>
      <c r="D114" s="2288"/>
      <c r="E114" s="2288"/>
      <c r="F114" s="2288"/>
      <c r="G114" s="2288"/>
      <c r="H114" s="2288"/>
      <c r="I114" s="2288"/>
      <c r="J114" s="2288"/>
      <c r="K114" s="2288"/>
      <c r="L114" s="2288"/>
      <c r="M114" s="2288"/>
      <c r="N114" s="2288"/>
      <c r="O114" s="2288"/>
      <c r="P114" s="2288"/>
      <c r="Q114" s="2288"/>
      <c r="R114" s="2288"/>
      <c r="S114" s="2288"/>
      <c r="T114" s="2288"/>
      <c r="U114" s="2298"/>
      <c r="V114" s="420"/>
    </row>
    <row r="115" spans="1:22" ht="45" customHeight="1">
      <c r="A115" s="420"/>
      <c r="B115" s="742"/>
      <c r="C115" s="2288" t="s">
        <v>1381</v>
      </c>
      <c r="D115" s="2288"/>
      <c r="E115" s="2288"/>
      <c r="F115" s="2288"/>
      <c r="G115" s="2288"/>
      <c r="H115" s="2288"/>
      <c r="I115" s="2288"/>
      <c r="J115" s="2288"/>
      <c r="K115" s="2288"/>
      <c r="L115" s="2288"/>
      <c r="M115" s="2288"/>
      <c r="N115" s="2288"/>
      <c r="O115" s="2288"/>
      <c r="P115" s="2288"/>
      <c r="Q115" s="2288"/>
      <c r="R115" s="2288"/>
      <c r="S115" s="2288"/>
      <c r="T115" s="1177"/>
      <c r="U115" s="442"/>
      <c r="V115" s="420"/>
    </row>
    <row r="116" spans="1:22" ht="45" customHeight="1">
      <c r="A116" s="420"/>
      <c r="B116" s="1176"/>
      <c r="C116" s="2288" t="s">
        <v>1109</v>
      </c>
      <c r="D116" s="2288"/>
      <c r="E116" s="2288"/>
      <c r="F116" s="2288"/>
      <c r="G116" s="2288"/>
      <c r="H116" s="2288"/>
      <c r="I116" s="2288"/>
      <c r="J116" s="2288"/>
      <c r="K116" s="2288"/>
      <c r="L116" s="2288"/>
      <c r="M116" s="2288"/>
      <c r="N116" s="2288"/>
      <c r="O116" s="2288"/>
      <c r="P116" s="2288"/>
      <c r="Q116" s="2288"/>
      <c r="R116" s="2288"/>
      <c r="S116" s="2288"/>
      <c r="T116" s="2288"/>
      <c r="U116" s="442"/>
      <c r="V116" s="420"/>
    </row>
    <row r="117" spans="1:22" ht="36" customHeight="1">
      <c r="A117" s="420"/>
      <c r="B117" s="742"/>
      <c r="C117" s="2288" t="s">
        <v>1055</v>
      </c>
      <c r="D117" s="2288"/>
      <c r="E117" s="2288"/>
      <c r="F117" s="2288"/>
      <c r="G117" s="2288"/>
      <c r="H117" s="2288"/>
      <c r="I117" s="2288"/>
      <c r="J117" s="2288"/>
      <c r="K117" s="2288"/>
      <c r="L117" s="2288"/>
      <c r="M117" s="2288"/>
      <c r="N117" s="2288"/>
      <c r="O117" s="2288"/>
      <c r="P117" s="2288"/>
      <c r="Q117" s="2288"/>
      <c r="R117" s="2288"/>
      <c r="S117" s="2288"/>
      <c r="T117" s="479"/>
      <c r="U117" s="442"/>
      <c r="V117" s="420"/>
    </row>
    <row r="118" spans="1:22" ht="36" customHeight="1">
      <c r="A118" s="420"/>
      <c r="B118" s="742"/>
      <c r="C118" s="2288" t="s">
        <v>1139</v>
      </c>
      <c r="D118" s="2288"/>
      <c r="E118" s="2288"/>
      <c r="F118" s="2288"/>
      <c r="G118" s="2288"/>
      <c r="H118" s="2288"/>
      <c r="I118" s="2288"/>
      <c r="J118" s="2288"/>
      <c r="K118" s="2288"/>
      <c r="L118" s="2288"/>
      <c r="M118" s="2288"/>
      <c r="N118" s="2288"/>
      <c r="O118" s="2288"/>
      <c r="P118" s="2288"/>
      <c r="Q118" s="2288"/>
      <c r="R118" s="2288"/>
      <c r="S118" s="2288"/>
      <c r="T118" s="480"/>
      <c r="U118" s="442"/>
      <c r="V118" s="420"/>
    </row>
    <row r="119" spans="1:22" ht="36" customHeight="1">
      <c r="A119" s="420"/>
      <c r="B119" s="742"/>
      <c r="C119" s="2288" t="s">
        <v>1056</v>
      </c>
      <c r="D119" s="2288"/>
      <c r="E119" s="2288"/>
      <c r="F119" s="2288"/>
      <c r="G119" s="2288"/>
      <c r="H119" s="2288"/>
      <c r="I119" s="2288"/>
      <c r="J119" s="2288"/>
      <c r="K119" s="2288"/>
      <c r="L119" s="2288"/>
      <c r="M119" s="2288"/>
      <c r="N119" s="2288"/>
      <c r="O119" s="2288"/>
      <c r="P119" s="2288"/>
      <c r="Q119" s="2288"/>
      <c r="R119" s="2288"/>
      <c r="S119" s="2288"/>
      <c r="T119" s="475"/>
      <c r="U119" s="442"/>
      <c r="V119" s="420"/>
    </row>
    <row r="120" spans="1:22" ht="23.25" customHeight="1" thickBot="1">
      <c r="A120" s="420"/>
      <c r="B120" s="742"/>
      <c r="C120" s="2288"/>
      <c r="D120" s="2288"/>
      <c r="E120" s="2288"/>
      <c r="F120" s="2288"/>
      <c r="G120" s="2288"/>
      <c r="H120" s="2288"/>
      <c r="I120" s="2288"/>
      <c r="J120" s="2288"/>
      <c r="K120" s="2288"/>
      <c r="L120" s="2288"/>
      <c r="M120" s="2288"/>
      <c r="N120" s="2288"/>
      <c r="O120" s="2288"/>
      <c r="P120" s="2288"/>
      <c r="Q120" s="2288"/>
      <c r="R120" s="2288"/>
      <c r="S120" s="2288"/>
      <c r="T120" s="475"/>
      <c r="U120" s="442"/>
      <c r="V120" s="420"/>
    </row>
    <row r="121" spans="1:22" ht="44.25" customHeight="1" thickBot="1">
      <c r="A121" s="420"/>
      <c r="B121" s="2431" t="s">
        <v>744</v>
      </c>
      <c r="C121" s="2428"/>
      <c r="D121" s="2428"/>
      <c r="E121" s="2428"/>
      <c r="F121" s="2428"/>
      <c r="G121" s="2432"/>
      <c r="H121" s="2429" t="s">
        <v>743</v>
      </c>
      <c r="I121" s="2430"/>
      <c r="J121" s="2430"/>
      <c r="K121" s="481">
        <f>Calculos_cuotas!O5</f>
        <v>201</v>
      </c>
      <c r="L121" s="482"/>
      <c r="M121" s="2427" t="s">
        <v>747</v>
      </c>
      <c r="N121" s="2428"/>
      <c r="O121" s="743"/>
      <c r="P121" s="743"/>
      <c r="Q121" s="743"/>
      <c r="R121" s="743"/>
      <c r="S121" s="743"/>
      <c r="T121" s="743"/>
      <c r="U121" s="744"/>
      <c r="V121" s="420"/>
    </row>
    <row r="122" spans="1:22" ht="12.75" customHeight="1">
      <c r="A122" s="420"/>
      <c r="B122" s="2297"/>
      <c r="C122" s="2288"/>
      <c r="D122" s="2288"/>
      <c r="E122" s="2288"/>
      <c r="F122" s="2288"/>
      <c r="G122" s="2288"/>
      <c r="H122" s="2288"/>
      <c r="I122" s="2288"/>
      <c r="J122" s="2288"/>
      <c r="K122" s="2288"/>
      <c r="L122" s="2288"/>
      <c r="M122" s="2288"/>
      <c r="N122" s="2288"/>
      <c r="O122" s="2288"/>
      <c r="P122" s="2288"/>
      <c r="Q122" s="2288"/>
      <c r="R122" s="2288"/>
      <c r="S122" s="2288"/>
      <c r="T122" s="2288"/>
      <c r="U122" s="442"/>
      <c r="V122" s="420"/>
    </row>
    <row r="123" spans="1:22" ht="28.5" customHeight="1">
      <c r="A123" s="420"/>
      <c r="B123" s="742"/>
      <c r="C123" s="483" t="s">
        <v>751</v>
      </c>
      <c r="O123" s="484"/>
      <c r="P123" s="484"/>
      <c r="Q123" s="484"/>
      <c r="R123" s="484"/>
      <c r="S123" s="484"/>
      <c r="T123" s="484"/>
      <c r="U123" s="442"/>
      <c r="V123" s="420"/>
    </row>
    <row r="124" spans="1:22" ht="69" customHeight="1">
      <c r="A124" s="420"/>
      <c r="B124" s="742"/>
      <c r="C124" s="2413" t="str">
        <f>CONCATENATE((Calculos_cuotas!F3+Calculos_cuotas!F4)," líneas móviles con tarifas planas de voz y datos en ",SUM(Calculos_cuotas!V137:Z137)," de ellas, que incluyen un total de ",Calculos_cuotas!P2," minutos y una capacidad de ",Calculos_cuotas!Q2," GB de datos al mes con velocidad 4G en ",SUM(Calculos_cuotas!V137:Y137), " de las líneas.")</f>
        <v>5 líneas móviles con tarifas planas de voz y datos en 4 de ellas, que incluyen un total de 24000 minutos y una capacidad de 12,5 GB de datos al mes con velocidad 4G en 4 de las líneas.</v>
      </c>
      <c r="D124" s="2413"/>
      <c r="E124" s="2413"/>
      <c r="F124" s="2413"/>
      <c r="G124" s="2413"/>
      <c r="H124" s="2413"/>
      <c r="I124" s="2413"/>
      <c r="J124" s="2413"/>
      <c r="K124" s="2413"/>
      <c r="L124" s="2413"/>
      <c r="M124" s="2413"/>
      <c r="N124" s="2413"/>
      <c r="O124" s="484"/>
      <c r="P124" s="484"/>
      <c r="Q124" s="484"/>
      <c r="R124" s="484"/>
      <c r="S124" s="484"/>
      <c r="T124" s="479"/>
      <c r="U124" s="442"/>
      <c r="V124" s="420"/>
    </row>
    <row r="125" spans="1:22" ht="19.5" customHeight="1">
      <c r="A125" s="420"/>
      <c r="B125" s="742"/>
      <c r="O125" s="484"/>
      <c r="P125" s="484"/>
      <c r="Q125" s="484"/>
      <c r="R125" s="484"/>
      <c r="S125" s="484"/>
      <c r="T125" s="480"/>
      <c r="U125" s="442"/>
      <c r="V125" s="420"/>
    </row>
    <row r="126" spans="1:22" ht="36" customHeight="1">
      <c r="A126" s="420"/>
      <c r="B126" s="742"/>
      <c r="C126" s="483" t="s">
        <v>752</v>
      </c>
      <c r="O126" s="484"/>
      <c r="P126" s="484"/>
      <c r="Q126" s="484"/>
      <c r="R126" s="484"/>
      <c r="S126" s="484"/>
      <c r="T126" s="475"/>
      <c r="U126" s="442"/>
      <c r="V126" s="420"/>
    </row>
    <row r="127" spans="1:22" ht="52.5" customHeight="1">
      <c r="A127" s="420"/>
      <c r="B127" s="485"/>
      <c r="C127" s="2413" t="str">
        <f>CONCATENATE("Producto de telefonía fija e Internet para ",Calculos_cuotas!R2,IF(Calculos_cuotas!R2=1," sede"," sedes")," de su empresa, con un total de ",Calculos_cuotas!S2," líneas fijas de voz y",IF(OR(Calculos_cuotas!U1335&gt;0,SUM(Calculos_cuotas!Z99:AC99)&gt;0)," funcionalidades de centralita, ", " "),IF(Calculos_cuotas!T2&gt;0,Calculos_cuotas!T2," "),IF(Calculos_cuotas!T2&gt;0," teléfonos fijos, y ",""),"fibra hasta 500Mbps o Internet ADSL máxima velocidad.")</f>
        <v>Producto de telefonía fija e Internet para 1 sede de su empresa, con un total de 2 líneas fijas de voz y  fibra hasta 500Mbps o Internet ADSL máxima velocidad.</v>
      </c>
      <c r="D127" s="2413"/>
      <c r="E127" s="2413"/>
      <c r="F127" s="2413"/>
      <c r="G127" s="2413"/>
      <c r="H127" s="2413"/>
      <c r="I127" s="2413"/>
      <c r="J127" s="2413"/>
      <c r="K127" s="2413"/>
      <c r="L127" s="2413"/>
      <c r="M127" s="2413"/>
      <c r="N127" s="2413"/>
      <c r="O127" s="475"/>
      <c r="P127" s="475"/>
      <c r="Q127" s="475"/>
      <c r="R127" s="475"/>
      <c r="S127" s="475"/>
      <c r="T127" s="475"/>
      <c r="U127" s="442"/>
      <c r="V127" s="420"/>
    </row>
    <row r="128" spans="1:22" ht="23.25">
      <c r="A128" s="420"/>
      <c r="B128" s="485"/>
      <c r="C128" s="475"/>
      <c r="D128" s="475"/>
      <c r="E128" s="475"/>
      <c r="F128" s="475"/>
      <c r="G128" s="475"/>
      <c r="H128" s="475"/>
      <c r="I128" s="475"/>
      <c r="J128" s="475"/>
      <c r="K128" s="475"/>
      <c r="L128" s="475"/>
      <c r="M128" s="475"/>
      <c r="N128" s="475"/>
      <c r="O128" s="475"/>
      <c r="P128" s="475"/>
      <c r="Q128" s="475"/>
      <c r="R128" s="475"/>
      <c r="S128" s="475"/>
      <c r="T128" s="475"/>
      <c r="U128" s="442"/>
      <c r="V128" s="420"/>
    </row>
    <row r="129" spans="1:22" ht="26.25">
      <c r="A129" s="420"/>
      <c r="B129" s="485"/>
      <c r="C129" s="483" t="str">
        <f>Oferta_OptimaRPV!C142</f>
        <v/>
      </c>
      <c r="D129" s="475"/>
      <c r="E129" s="475"/>
      <c r="F129" s="475"/>
      <c r="G129" s="475"/>
      <c r="H129" s="475"/>
      <c r="I129" s="475"/>
      <c r="J129" s="475"/>
      <c r="K129" s="475"/>
      <c r="L129" s="475"/>
      <c r="M129" s="475"/>
      <c r="N129" s="475"/>
      <c r="O129" s="475"/>
      <c r="P129" s="475"/>
      <c r="Q129" s="475"/>
      <c r="R129" s="475"/>
      <c r="S129" s="475"/>
      <c r="T129" s="475"/>
      <c r="U129" s="442"/>
      <c r="V129" s="420"/>
    </row>
    <row r="130" spans="1:22" ht="25.5">
      <c r="A130" s="420"/>
      <c r="B130" s="485"/>
      <c r="C130" s="2413" t="str">
        <f>Oferta_OptimaRPV!C143</f>
        <v/>
      </c>
      <c r="D130" s="2413"/>
      <c r="E130" s="2413"/>
      <c r="F130" s="2413"/>
      <c r="G130" s="2413"/>
      <c r="H130" s="2413"/>
      <c r="I130" s="2413"/>
      <c r="J130" s="2413"/>
      <c r="K130" s="2413"/>
      <c r="L130" s="2413"/>
      <c r="M130" s="2413"/>
      <c r="N130" s="2413"/>
      <c r="O130" s="475"/>
      <c r="P130" s="475"/>
      <c r="Q130" s="475"/>
      <c r="R130" s="475"/>
      <c r="S130" s="475"/>
      <c r="T130" s="475"/>
      <c r="U130" s="442"/>
      <c r="V130" s="420"/>
    </row>
    <row r="131" spans="1:22" ht="23.25">
      <c r="A131" s="420"/>
      <c r="B131" s="485"/>
      <c r="C131" s="475"/>
      <c r="D131" s="475"/>
      <c r="E131" s="475"/>
      <c r="F131" s="475"/>
      <c r="G131" s="475"/>
      <c r="H131" s="475"/>
      <c r="I131" s="475"/>
      <c r="J131" s="475"/>
      <c r="K131" s="475"/>
      <c r="L131" s="475"/>
      <c r="M131" s="475"/>
      <c r="N131" s="475"/>
      <c r="O131" s="475"/>
      <c r="P131" s="475"/>
      <c r="Q131" s="475"/>
      <c r="R131" s="475"/>
      <c r="S131" s="475"/>
      <c r="T131" s="475"/>
      <c r="U131" s="442"/>
      <c r="V131" s="420"/>
    </row>
    <row r="132" spans="1:22" ht="23.25">
      <c r="A132" s="420"/>
      <c r="B132" s="485"/>
      <c r="C132" s="475"/>
      <c r="D132" s="475"/>
      <c r="E132" s="475"/>
      <c r="F132" s="475"/>
      <c r="G132" s="475"/>
      <c r="H132" s="475"/>
      <c r="I132" s="475"/>
      <c r="J132" s="475"/>
      <c r="K132" s="475"/>
      <c r="L132" s="475"/>
      <c r="M132" s="475"/>
      <c r="N132" s="475"/>
      <c r="O132" s="475"/>
      <c r="P132" s="475"/>
      <c r="Q132" s="475"/>
      <c r="R132" s="475"/>
      <c r="S132" s="475"/>
      <c r="T132" s="475"/>
      <c r="U132" s="442"/>
      <c r="V132" s="420"/>
    </row>
    <row r="133" spans="1:22" ht="23.25">
      <c r="A133" s="420"/>
      <c r="B133" s="485"/>
      <c r="C133" s="475"/>
      <c r="D133" s="475"/>
      <c r="E133" s="475"/>
      <c r="F133" s="475"/>
      <c r="G133" s="475"/>
      <c r="H133" s="475"/>
      <c r="I133" s="475"/>
      <c r="J133" s="475"/>
      <c r="K133" s="475"/>
      <c r="L133" s="475"/>
      <c r="M133" s="475"/>
      <c r="N133" s="475"/>
      <c r="O133" s="475"/>
      <c r="P133" s="475"/>
      <c r="Q133" s="475"/>
      <c r="R133" s="475"/>
      <c r="S133" s="475"/>
      <c r="T133" s="475"/>
      <c r="U133" s="442"/>
      <c r="V133" s="420"/>
    </row>
    <row r="134" spans="1:22" ht="23.25">
      <c r="A134" s="420"/>
      <c r="B134" s="485"/>
      <c r="C134" s="475"/>
      <c r="D134" s="475"/>
      <c r="E134" s="475"/>
      <c r="F134" s="475"/>
      <c r="G134" s="475"/>
      <c r="H134" s="475"/>
      <c r="I134" s="475"/>
      <c r="J134" s="475"/>
      <c r="K134" s="475"/>
      <c r="L134" s="475"/>
      <c r="M134" s="475"/>
      <c r="N134" s="475"/>
      <c r="O134" s="475"/>
      <c r="P134" s="475"/>
      <c r="Q134" s="475"/>
      <c r="R134" s="475"/>
      <c r="S134" s="475"/>
      <c r="T134" s="475"/>
      <c r="U134" s="442"/>
      <c r="V134" s="420"/>
    </row>
    <row r="135" spans="1:22" ht="70.5" customHeight="1">
      <c r="A135" s="420"/>
      <c r="B135" s="485"/>
      <c r="C135" s="2346" t="s">
        <v>1145</v>
      </c>
      <c r="D135" s="2346"/>
      <c r="E135" s="2346"/>
      <c r="F135" s="2346"/>
      <c r="G135" s="2346"/>
      <c r="H135" s="2346"/>
      <c r="I135" s="2346"/>
      <c r="J135" s="2346"/>
      <c r="K135" s="2346"/>
      <c r="L135" s="2346"/>
      <c r="M135" s="2346"/>
      <c r="N135" s="2346"/>
      <c r="O135" s="2346"/>
      <c r="P135" s="2346"/>
      <c r="Q135" s="2346"/>
      <c r="R135" s="2346"/>
      <c r="S135" s="2346"/>
      <c r="T135" s="2346"/>
      <c r="U135" s="442"/>
      <c r="V135" s="420"/>
    </row>
    <row r="136" spans="1:22" ht="17.25" customHeight="1">
      <c r="A136" s="420"/>
      <c r="B136" s="485"/>
      <c r="C136" s="475"/>
      <c r="D136" s="475"/>
      <c r="E136" s="475"/>
      <c r="F136" s="475"/>
      <c r="G136" s="475"/>
      <c r="H136" s="475"/>
      <c r="I136" s="475"/>
      <c r="J136" s="475"/>
      <c r="K136" s="475"/>
      <c r="L136" s="475"/>
      <c r="M136" s="475"/>
      <c r="N136" s="475"/>
      <c r="O136" s="475"/>
      <c r="P136" s="475"/>
      <c r="Q136" s="475"/>
      <c r="R136" s="475"/>
      <c r="S136" s="475"/>
      <c r="T136" s="475"/>
      <c r="U136" s="442"/>
      <c r="V136" s="420"/>
    </row>
    <row r="137" spans="1:22" ht="45.75" customHeight="1">
      <c r="A137" s="420"/>
      <c r="B137" s="485"/>
      <c r="C137" s="2346" t="s">
        <v>1146</v>
      </c>
      <c r="D137" s="2346"/>
      <c r="E137" s="2346"/>
      <c r="F137" s="2346"/>
      <c r="G137" s="2346"/>
      <c r="H137" s="2346"/>
      <c r="I137" s="2346"/>
      <c r="J137" s="2346"/>
      <c r="K137" s="2346"/>
      <c r="L137" s="2346"/>
      <c r="M137" s="2346"/>
      <c r="N137" s="2346"/>
      <c r="O137" s="2346"/>
      <c r="P137" s="2346"/>
      <c r="Q137" s="2346"/>
      <c r="R137" s="2346"/>
      <c r="S137" s="2346"/>
      <c r="T137" s="2346"/>
      <c r="U137" s="442"/>
      <c r="V137" s="420"/>
    </row>
    <row r="138" spans="1:22" ht="45.75" customHeight="1">
      <c r="A138" s="420"/>
      <c r="B138" s="485"/>
      <c r="C138" s="750"/>
      <c r="D138" s="750"/>
      <c r="E138" s="750"/>
      <c r="F138" s="750"/>
      <c r="G138" s="750"/>
      <c r="H138" s="750"/>
      <c r="I138" s="750"/>
      <c r="J138" s="750"/>
      <c r="K138" s="750"/>
      <c r="L138" s="750"/>
      <c r="M138" s="750"/>
      <c r="N138" s="750"/>
      <c r="O138" s="750"/>
      <c r="P138" s="750"/>
      <c r="Q138" s="750"/>
      <c r="R138" s="750"/>
      <c r="S138" s="750"/>
      <c r="T138" s="750"/>
      <c r="U138" s="442"/>
      <c r="V138" s="420"/>
    </row>
    <row r="139" spans="1:22" ht="45.75" customHeight="1">
      <c r="A139" s="420"/>
      <c r="B139" s="485"/>
      <c r="C139" s="750"/>
      <c r="D139" s="750"/>
      <c r="E139" s="750"/>
      <c r="F139" s="750"/>
      <c r="G139" s="750"/>
      <c r="H139" s="750"/>
      <c r="I139" s="750"/>
      <c r="J139" s="750"/>
      <c r="K139" s="750"/>
      <c r="L139" s="750"/>
      <c r="M139" s="750"/>
      <c r="N139" s="750"/>
      <c r="O139" s="750"/>
      <c r="P139" s="750"/>
      <c r="Q139" s="750"/>
      <c r="R139" s="750"/>
      <c r="S139" s="750"/>
      <c r="T139" s="750"/>
      <c r="U139" s="442"/>
      <c r="V139" s="420"/>
    </row>
    <row r="140" spans="1:22" ht="45.75" customHeight="1">
      <c r="A140" s="420"/>
      <c r="B140" s="485"/>
      <c r="C140" s="750"/>
      <c r="D140" s="750"/>
      <c r="E140" s="750"/>
      <c r="F140" s="750"/>
      <c r="G140" s="750"/>
      <c r="H140" s="750"/>
      <c r="I140" s="750"/>
      <c r="J140" s="750"/>
      <c r="K140" s="750"/>
      <c r="L140" s="750"/>
      <c r="M140" s="750"/>
      <c r="N140" s="750"/>
      <c r="O140" s="750"/>
      <c r="P140" s="750"/>
      <c r="Q140" s="750"/>
      <c r="R140" s="750"/>
      <c r="S140" s="750"/>
      <c r="T140" s="750"/>
      <c r="U140" s="442"/>
      <c r="V140" s="420"/>
    </row>
    <row r="141" spans="1:22" ht="45.75" customHeight="1">
      <c r="A141" s="420"/>
      <c r="B141" s="485"/>
      <c r="C141" s="750"/>
      <c r="D141" s="750"/>
      <c r="E141" s="750"/>
      <c r="F141" s="750"/>
      <c r="G141" s="750"/>
      <c r="H141" s="750"/>
      <c r="I141" s="750"/>
      <c r="J141" s="750"/>
      <c r="K141" s="750"/>
      <c r="L141" s="750"/>
      <c r="M141" s="750"/>
      <c r="N141" s="750"/>
      <c r="O141" s="750"/>
      <c r="P141" s="750"/>
      <c r="Q141" s="750"/>
      <c r="R141" s="750"/>
      <c r="S141" s="750"/>
      <c r="T141" s="750"/>
      <c r="U141" s="442"/>
      <c r="V141" s="420"/>
    </row>
    <row r="142" spans="1:22" ht="23.25">
      <c r="A142" s="420"/>
      <c r="B142" s="485"/>
      <c r="C142" s="475"/>
      <c r="D142" s="475"/>
      <c r="E142" s="475"/>
      <c r="F142" s="475"/>
      <c r="G142" s="475"/>
      <c r="H142" s="475"/>
      <c r="I142" s="475"/>
      <c r="J142" s="475"/>
      <c r="K142" s="475"/>
      <c r="L142" s="475"/>
      <c r="M142" s="475"/>
      <c r="N142" s="475"/>
      <c r="O142" s="475"/>
      <c r="P142" s="475"/>
      <c r="Q142" s="475"/>
      <c r="R142" s="475"/>
      <c r="S142" s="475"/>
      <c r="T142" s="475"/>
      <c r="U142" s="442"/>
      <c r="V142" s="420"/>
    </row>
    <row r="143" spans="1:22" ht="23.25">
      <c r="A143" s="420"/>
      <c r="B143" s="487"/>
      <c r="C143" s="459"/>
      <c r="D143" s="459"/>
      <c r="E143" s="459"/>
      <c r="F143" s="459"/>
      <c r="G143" s="459"/>
      <c r="H143" s="459"/>
      <c r="I143" s="459"/>
      <c r="J143" s="459"/>
      <c r="K143" s="459"/>
      <c r="L143" s="459"/>
      <c r="M143" s="459"/>
      <c r="N143" s="459"/>
      <c r="O143" s="459"/>
      <c r="P143" s="459"/>
      <c r="Q143" s="459"/>
      <c r="R143" s="459"/>
      <c r="S143" s="459"/>
      <c r="T143" s="459"/>
      <c r="U143" s="460"/>
      <c r="V143" s="420"/>
    </row>
    <row r="144" spans="1:22" ht="23.25">
      <c r="A144" s="420"/>
      <c r="B144" s="474" t="s">
        <v>664</v>
      </c>
      <c r="C144" s="475"/>
      <c r="D144" s="475"/>
      <c r="E144" s="475"/>
      <c r="F144" s="475"/>
      <c r="G144" s="475"/>
      <c r="H144" s="475"/>
      <c r="I144" s="475"/>
      <c r="J144" s="475"/>
      <c r="K144" s="475"/>
      <c r="L144" s="475"/>
      <c r="M144" s="475"/>
      <c r="N144" s="475"/>
      <c r="O144" s="475"/>
      <c r="P144" s="475"/>
      <c r="Q144" s="475"/>
      <c r="R144" s="475"/>
      <c r="S144" s="475"/>
      <c r="T144" s="475"/>
      <c r="U144" s="475"/>
      <c r="V144" s="420"/>
    </row>
    <row r="145" spans="1:22" ht="23.25">
      <c r="A145" s="420"/>
      <c r="B145" s="475"/>
      <c r="C145" s="475"/>
      <c r="D145" s="475"/>
      <c r="E145" s="475"/>
      <c r="F145" s="475"/>
      <c r="G145" s="475"/>
      <c r="H145" s="475"/>
      <c r="I145" s="475"/>
      <c r="J145" s="475"/>
      <c r="K145" s="475"/>
      <c r="L145" s="475"/>
      <c r="M145" s="475"/>
      <c r="N145" s="475"/>
      <c r="O145" s="475"/>
      <c r="P145" s="475"/>
      <c r="Q145" s="475"/>
      <c r="R145" s="475"/>
      <c r="S145" s="475"/>
      <c r="T145" s="475"/>
      <c r="U145" s="475"/>
      <c r="V145" s="420"/>
    </row>
    <row r="146" spans="1:22" ht="23.25">
      <c r="A146" s="420"/>
      <c r="B146" s="475"/>
      <c r="C146" s="475"/>
      <c r="D146" s="475"/>
      <c r="E146" s="475"/>
      <c r="F146" s="475"/>
      <c r="G146" s="475"/>
      <c r="H146" s="475"/>
      <c r="I146" s="475"/>
      <c r="J146" s="475"/>
      <c r="K146" s="475"/>
      <c r="L146" s="475"/>
      <c r="M146" s="475"/>
      <c r="N146" s="475"/>
      <c r="O146" s="475"/>
      <c r="P146" s="475"/>
      <c r="Q146" s="475"/>
      <c r="R146" s="475"/>
      <c r="S146" s="475"/>
      <c r="T146" s="475"/>
      <c r="U146" s="475"/>
      <c r="V146" s="420"/>
    </row>
    <row r="147" spans="1:22" ht="23.25">
      <c r="A147" s="420"/>
      <c r="C147" s="475"/>
      <c r="D147" s="475"/>
      <c r="E147" s="475"/>
      <c r="F147" s="475"/>
      <c r="G147" s="475"/>
      <c r="H147" s="475"/>
      <c r="I147" s="475"/>
      <c r="J147" s="475"/>
      <c r="K147" s="475"/>
      <c r="L147" s="475"/>
      <c r="M147" s="475"/>
      <c r="N147" s="475"/>
      <c r="O147" s="475"/>
      <c r="P147" s="475"/>
      <c r="Q147" s="475"/>
      <c r="R147" s="475"/>
      <c r="S147" s="475"/>
      <c r="T147" s="475"/>
      <c r="U147" s="475"/>
      <c r="V147" s="420"/>
    </row>
    <row r="148" spans="1:22" ht="23.25">
      <c r="A148" s="420"/>
      <c r="B148" s="475"/>
      <c r="C148" s="475"/>
      <c r="D148" s="475"/>
      <c r="E148" s="475"/>
      <c r="F148" s="475"/>
      <c r="G148" s="475"/>
      <c r="H148" s="475"/>
      <c r="I148" s="475"/>
      <c r="J148" s="475"/>
      <c r="K148" s="475"/>
      <c r="L148" s="475"/>
      <c r="M148" s="476" t="s">
        <v>1160</v>
      </c>
      <c r="N148" s="475"/>
      <c r="O148" s="475"/>
      <c r="P148" s="475"/>
      <c r="Q148" s="475"/>
      <c r="R148" s="477" t="s">
        <v>692</v>
      </c>
      <c r="S148" s="478" t="str">
        <f>$E$29</f>
        <v>ILF5_90FCPRCP_B114CAGR43006</v>
      </c>
      <c r="T148" s="475"/>
      <c r="U148" s="475"/>
      <c r="V148" s="420"/>
    </row>
    <row r="149" spans="1:22" ht="23.25">
      <c r="A149" s="420"/>
      <c r="B149" s="475"/>
      <c r="C149" s="475"/>
      <c r="D149" s="475"/>
      <c r="E149" s="475"/>
      <c r="F149" s="475"/>
      <c r="G149" s="475"/>
      <c r="H149" s="475"/>
      <c r="I149" s="475"/>
      <c r="J149" s="475"/>
      <c r="K149" s="475"/>
      <c r="L149" s="475"/>
      <c r="M149" s="475"/>
      <c r="N149" s="475"/>
      <c r="O149" s="475"/>
      <c r="P149" s="475"/>
      <c r="Q149" s="475"/>
      <c r="R149" s="475"/>
      <c r="S149" s="475"/>
      <c r="T149" s="475"/>
      <c r="U149" s="475"/>
      <c r="V149" s="420"/>
    </row>
    <row r="150" spans="1:22">
      <c r="A150" s="420"/>
      <c r="B150" s="420"/>
      <c r="C150" s="420"/>
      <c r="D150" s="420"/>
      <c r="E150" s="420"/>
      <c r="F150" s="420"/>
      <c r="G150" s="420"/>
      <c r="H150" s="436" t="s">
        <v>690</v>
      </c>
      <c r="I150" s="420"/>
      <c r="K150" s="420"/>
      <c r="L150" s="437" t="str">
        <f>$B$11</f>
        <v>INMOBILIARIA SERVIGESTION</v>
      </c>
      <c r="M150" s="420"/>
      <c r="N150" s="420"/>
      <c r="O150" s="420"/>
      <c r="P150" s="420"/>
      <c r="Q150" s="420"/>
      <c r="R150" s="420"/>
      <c r="S150" s="420"/>
      <c r="T150" s="420"/>
      <c r="U150" s="420"/>
      <c r="V150" s="420"/>
    </row>
    <row r="151" spans="1:22" ht="34.5">
      <c r="A151" s="420"/>
      <c r="B151" s="2268" t="s">
        <v>461</v>
      </c>
      <c r="C151" s="2268"/>
      <c r="D151" s="2268"/>
      <c r="E151" s="2268"/>
      <c r="F151" s="2268"/>
      <c r="G151" s="2268"/>
      <c r="H151" s="2268"/>
      <c r="I151" s="2268"/>
      <c r="J151" s="2268"/>
      <c r="K151" s="2268"/>
      <c r="L151" s="2268"/>
      <c r="M151" s="2268"/>
      <c r="N151" s="2268"/>
      <c r="O151" s="2268"/>
      <c r="P151" s="2268"/>
      <c r="Q151" s="2268"/>
      <c r="R151" s="2268"/>
      <c r="S151" s="2268"/>
      <c r="T151" s="2268"/>
      <c r="U151" s="2268"/>
      <c r="V151" s="420"/>
    </row>
    <row r="152" spans="1:22" ht="22.9" customHeight="1">
      <c r="A152" s="420"/>
      <c r="B152" s="2269" t="s">
        <v>1084</v>
      </c>
      <c r="C152" s="2269"/>
      <c r="D152" s="2269"/>
      <c r="E152" s="2269"/>
      <c r="F152" s="2269"/>
      <c r="G152" s="2269"/>
      <c r="H152" s="2269"/>
      <c r="I152" s="2269"/>
      <c r="J152" s="2269"/>
      <c r="K152" s="2269"/>
      <c r="L152" s="2269"/>
      <c r="M152" s="2269"/>
      <c r="N152" s="2269"/>
      <c r="O152" s="2269"/>
      <c r="P152" s="2269"/>
      <c r="Q152" s="2269"/>
      <c r="R152" s="2269"/>
      <c r="S152" s="2269"/>
      <c r="T152" s="2269"/>
      <c r="U152" s="2269"/>
      <c r="V152" s="420"/>
    </row>
    <row r="153" spans="1:22" ht="16.149999999999999" customHeight="1">
      <c r="A153" s="420"/>
      <c r="B153" s="459"/>
      <c r="C153" s="459"/>
      <c r="D153" s="459"/>
      <c r="E153" s="459"/>
      <c r="F153" s="459"/>
      <c r="G153" s="459"/>
      <c r="H153" s="459"/>
      <c r="I153" s="459"/>
      <c r="J153" s="459"/>
      <c r="K153" s="459"/>
      <c r="L153" s="459"/>
      <c r="M153" s="459"/>
      <c r="N153" s="459"/>
      <c r="O153" s="459"/>
      <c r="P153" s="488"/>
      <c r="Q153" s="459"/>
      <c r="R153" s="459"/>
      <c r="S153" s="459"/>
      <c r="T153" s="459"/>
      <c r="U153" s="459"/>
      <c r="V153" s="420"/>
    </row>
    <row r="154" spans="1:22" ht="102" customHeight="1">
      <c r="A154" s="489"/>
      <c r="B154" s="2444" t="s">
        <v>1908</v>
      </c>
      <c r="C154" s="2445"/>
      <c r="D154" s="2445"/>
      <c r="E154" s="2445"/>
      <c r="F154" s="2445"/>
      <c r="G154" s="2445"/>
      <c r="H154" s="2445"/>
      <c r="I154" s="2445"/>
      <c r="J154" s="2445"/>
      <c r="K154" s="2445"/>
      <c r="L154" s="2445"/>
      <c r="M154" s="2445"/>
      <c r="N154" s="2445"/>
      <c r="O154" s="2445"/>
      <c r="P154" s="2445"/>
      <c r="Q154" s="2445"/>
      <c r="R154" s="2445"/>
      <c r="S154" s="2445"/>
      <c r="T154" s="2445"/>
      <c r="U154" s="2446"/>
      <c r="V154" s="490"/>
    </row>
    <row r="155" spans="1:22" ht="13.9" customHeight="1">
      <c r="A155" s="489"/>
      <c r="B155" s="1973"/>
      <c r="C155" s="1973"/>
      <c r="D155" s="1973"/>
      <c r="E155" s="1973"/>
      <c r="F155" s="1973"/>
      <c r="G155" s="1973"/>
      <c r="H155" s="1973"/>
      <c r="I155" s="1973"/>
      <c r="J155" s="1973"/>
      <c r="K155" s="1973"/>
      <c r="L155" s="1973"/>
      <c r="M155" s="1973"/>
      <c r="N155" s="1973"/>
      <c r="O155" s="1973"/>
      <c r="P155" s="1973"/>
      <c r="Q155" s="1973"/>
      <c r="R155" s="1973"/>
      <c r="S155" s="1973"/>
      <c r="T155" s="1973"/>
      <c r="U155" s="1973"/>
      <c r="V155" s="490"/>
    </row>
    <row r="156" spans="1:22" ht="36.75" customHeight="1">
      <c r="A156" s="489"/>
      <c r="B156" s="1973"/>
      <c r="C156" s="2599" t="s">
        <v>784</v>
      </c>
      <c r="D156" s="2599"/>
      <c r="E156" s="2599"/>
      <c r="F156" s="2599"/>
      <c r="G156" s="2599"/>
      <c r="H156" s="2599"/>
      <c r="I156" s="2599"/>
      <c r="J156" s="2599"/>
      <c r="K156" s="2599"/>
      <c r="L156" s="2599"/>
      <c r="M156" s="2599"/>
      <c r="N156" s="2599"/>
      <c r="O156" s="2599"/>
      <c r="P156" s="2599"/>
      <c r="Q156" s="2599"/>
      <c r="R156" s="2599"/>
      <c r="S156" s="2599"/>
      <c r="T156" s="2599"/>
      <c r="U156" s="1973"/>
      <c r="V156" s="490"/>
    </row>
    <row r="157" spans="1:22" ht="22.15" customHeight="1">
      <c r="A157" s="451"/>
      <c r="B157" s="1861"/>
      <c r="C157" s="1861"/>
      <c r="D157" s="1861"/>
      <c r="E157" s="1861"/>
      <c r="F157" s="1861"/>
      <c r="G157" s="1861"/>
      <c r="H157" s="1861"/>
      <c r="I157" s="1861"/>
      <c r="J157" s="1861"/>
      <c r="K157" s="1861"/>
      <c r="L157" s="2400"/>
      <c r="M157" s="2400"/>
      <c r="N157" s="2400"/>
      <c r="O157" s="2400"/>
      <c r="P157" s="2400"/>
      <c r="Q157" s="2400"/>
      <c r="R157" s="2400"/>
      <c r="S157" s="2400"/>
      <c r="T157" s="1861"/>
      <c r="U157" s="1863"/>
      <c r="V157" s="493"/>
    </row>
    <row r="158" spans="1:22" ht="23.25">
      <c r="B158" s="1864"/>
      <c r="C158" s="2401" t="s">
        <v>1083</v>
      </c>
      <c r="D158" s="2401"/>
      <c r="E158" s="2401"/>
      <c r="F158" s="2401"/>
      <c r="G158" s="2401"/>
      <c r="H158" s="2401"/>
      <c r="I158" s="2401"/>
      <c r="J158" s="2401"/>
      <c r="K158" s="2401"/>
      <c r="L158" s="1867"/>
      <c r="M158" s="2447" t="s">
        <v>1988</v>
      </c>
      <c r="N158" s="2448"/>
      <c r="O158" s="2448"/>
      <c r="P158" s="2448"/>
      <c r="Q158" s="2448"/>
      <c r="R158" s="2448"/>
      <c r="S158" s="2448"/>
      <c r="T158" s="2449"/>
      <c r="U158" s="1866"/>
      <c r="V158" s="441"/>
    </row>
    <row r="159" spans="1:22" ht="108.75" customHeight="1">
      <c r="B159" s="495" t="s">
        <v>362</v>
      </c>
      <c r="C159" s="2396" t="s">
        <v>1909</v>
      </c>
      <c r="D159" s="2397"/>
      <c r="E159" s="2397"/>
      <c r="F159" s="2397"/>
      <c r="G159" s="2397"/>
      <c r="H159" s="2397"/>
      <c r="I159" s="2397"/>
      <c r="J159" s="2397"/>
      <c r="K159" s="2398"/>
      <c r="L159" s="1867"/>
      <c r="M159" s="2396" t="s">
        <v>1989</v>
      </c>
      <c r="N159" s="2397"/>
      <c r="O159" s="2397"/>
      <c r="P159" s="2397"/>
      <c r="Q159" s="2397"/>
      <c r="R159" s="2397"/>
      <c r="S159" s="2397"/>
      <c r="T159" s="2398"/>
      <c r="U159" s="1866"/>
      <c r="V159" s="441"/>
    </row>
    <row r="160" spans="1:22" ht="26.25">
      <c r="A160" s="441"/>
      <c r="B160" s="1868"/>
      <c r="C160" s="2327" t="s">
        <v>783</v>
      </c>
      <c r="D160" s="2327"/>
      <c r="E160" s="2327"/>
      <c r="F160" s="2327"/>
      <c r="G160" s="2327"/>
      <c r="H160" s="1869">
        <v>24</v>
      </c>
      <c r="I160" s="1870"/>
      <c r="J160" s="1870"/>
      <c r="K160" s="1870"/>
      <c r="L160" s="1871"/>
      <c r="M160" s="1872" t="s">
        <v>783</v>
      </c>
      <c r="N160" s="1873"/>
      <c r="O160" s="1874"/>
      <c r="P160" s="1874"/>
      <c r="Q160" s="1874"/>
      <c r="R160" s="1869">
        <v>32</v>
      </c>
      <c r="S160" s="1875"/>
      <c r="T160" s="1875"/>
      <c r="U160" s="1876"/>
    </row>
    <row r="161" spans="1:23" ht="10.9" customHeight="1">
      <c r="A161" s="441"/>
      <c r="B161" s="1877"/>
      <c r="C161" s="501"/>
      <c r="D161" s="501"/>
      <c r="E161" s="501"/>
      <c r="F161" s="501"/>
      <c r="G161" s="501"/>
      <c r="H161" s="501"/>
      <c r="I161" s="501"/>
      <c r="J161" s="501"/>
      <c r="K161" s="501"/>
      <c r="L161" s="501"/>
      <c r="M161" s="501"/>
      <c r="N161" s="501"/>
      <c r="O161" s="501"/>
      <c r="P161" s="501"/>
      <c r="Q161" s="501"/>
      <c r="R161" s="501"/>
      <c r="S161" s="501"/>
      <c r="T161" s="501"/>
      <c r="U161" s="502"/>
    </row>
    <row r="162" spans="1:23" ht="15.6" customHeight="1">
      <c r="A162" s="441"/>
      <c r="B162" s="495"/>
      <c r="C162" s="501"/>
      <c r="D162" s="501"/>
      <c r="E162" s="501"/>
      <c r="F162" s="501"/>
      <c r="G162" s="501"/>
      <c r="H162" s="501"/>
      <c r="I162" s="501"/>
      <c r="J162" s="501"/>
      <c r="K162" s="501"/>
      <c r="L162" s="501"/>
      <c r="M162" s="501"/>
      <c r="N162" s="501"/>
      <c r="O162" s="1871"/>
      <c r="P162" s="1878"/>
      <c r="Q162" s="501"/>
      <c r="R162" s="501"/>
      <c r="S162" s="501"/>
      <c r="T162" s="501"/>
      <c r="U162" s="502"/>
    </row>
    <row r="163" spans="1:23" s="429" customFormat="1" ht="99.75" customHeight="1">
      <c r="A163" s="504"/>
      <c r="B163" s="1879"/>
      <c r="C163" s="2599" t="s">
        <v>786</v>
      </c>
      <c r="D163" s="2599"/>
      <c r="E163" s="2599"/>
      <c r="F163" s="2599"/>
      <c r="G163" s="2599"/>
      <c r="H163" s="2599"/>
      <c r="I163" s="2599"/>
      <c r="J163" s="2599"/>
      <c r="K163" s="2599"/>
      <c r="L163" s="2599"/>
      <c r="M163" s="2599"/>
      <c r="N163" s="2599"/>
      <c r="O163" s="2599"/>
      <c r="P163" s="2599"/>
      <c r="Q163" s="2599"/>
      <c r="R163" s="2599"/>
      <c r="S163" s="2599"/>
      <c r="T163" s="2599"/>
      <c r="U163" s="505"/>
    </row>
    <row r="164" spans="1:23" s="429" customFormat="1" ht="20.25" customHeight="1">
      <c r="A164" s="504"/>
      <c r="B164" s="1879"/>
      <c r="C164" s="1861"/>
      <c r="D164" s="1861"/>
      <c r="E164" s="1861"/>
      <c r="F164" s="1861"/>
      <c r="G164" s="1861"/>
      <c r="H164" s="1861"/>
      <c r="I164" s="1861"/>
      <c r="J164" s="1861"/>
      <c r="K164" s="1861"/>
      <c r="L164" s="2400"/>
      <c r="M164" s="2400"/>
      <c r="N164" s="2400"/>
      <c r="O164" s="2400"/>
      <c r="P164" s="2400"/>
      <c r="Q164" s="2400"/>
      <c r="R164" s="2400"/>
      <c r="S164" s="2400"/>
      <c r="T164" s="1861"/>
      <c r="U164" s="505"/>
      <c r="V164" s="504"/>
    </row>
    <row r="165" spans="1:23" s="429" customFormat="1" ht="24" customHeight="1">
      <c r="B165" s="1880"/>
      <c r="C165" s="2401" t="s">
        <v>1986</v>
      </c>
      <c r="D165" s="2401"/>
      <c r="E165" s="2401"/>
      <c r="F165" s="2401"/>
      <c r="G165" s="2401"/>
      <c r="H165" s="2401"/>
      <c r="I165" s="2401"/>
      <c r="J165" s="2401"/>
      <c r="K165" s="2401"/>
      <c r="L165" s="1881"/>
      <c r="M165" s="2401" t="s">
        <v>1984</v>
      </c>
      <c r="N165" s="2401"/>
      <c r="O165" s="2401"/>
      <c r="P165" s="2401"/>
      <c r="Q165" s="2401"/>
      <c r="R165" s="2401"/>
      <c r="S165" s="2401"/>
      <c r="T165" s="2401"/>
      <c r="U165" s="505"/>
    </row>
    <row r="166" spans="1:23" s="429" customFormat="1" ht="157.5" customHeight="1">
      <c r="B166" s="1882"/>
      <c r="C166" s="2601" t="s">
        <v>1992</v>
      </c>
      <c r="D166" s="2402"/>
      <c r="E166" s="2402"/>
      <c r="F166" s="2402"/>
      <c r="G166" s="2402"/>
      <c r="H166" s="2402"/>
      <c r="I166" s="2402"/>
      <c r="J166" s="2402"/>
      <c r="K166" s="2403"/>
      <c r="L166" s="507"/>
      <c r="M166" s="2601" t="s">
        <v>1991</v>
      </c>
      <c r="N166" s="2602"/>
      <c r="O166" s="2602"/>
      <c r="P166" s="2602"/>
      <c r="Q166" s="2602"/>
      <c r="R166" s="2602"/>
      <c r="S166" s="2602"/>
      <c r="T166" s="2603"/>
      <c r="U166" s="505"/>
      <c r="V166" s="490"/>
      <c r="W166" s="504"/>
    </row>
    <row r="167" spans="1:23" s="429" customFormat="1" ht="27" customHeight="1">
      <c r="B167" s="1883"/>
      <c r="C167" s="2327" t="s">
        <v>783</v>
      </c>
      <c r="D167" s="2327"/>
      <c r="E167" s="2327"/>
      <c r="F167" s="2327"/>
      <c r="G167" s="2327"/>
      <c r="H167" s="1884">
        <v>53</v>
      </c>
      <c r="I167" s="1869"/>
      <c r="J167" s="1869"/>
      <c r="K167" s="1869"/>
      <c r="L167" s="1885"/>
      <c r="M167" s="2327" t="s">
        <v>783</v>
      </c>
      <c r="N167" s="2327"/>
      <c r="O167" s="2327"/>
      <c r="P167" s="2327"/>
      <c r="Q167" s="2327"/>
      <c r="R167" s="1884">
        <v>73</v>
      </c>
      <c r="S167" s="1869"/>
      <c r="T167" s="1869"/>
      <c r="U167" s="505"/>
      <c r="V167" s="490"/>
      <c r="W167" s="504"/>
    </row>
    <row r="168" spans="1:23" s="429" customFormat="1" ht="8.25" customHeight="1">
      <c r="B168" s="509"/>
      <c r="C168" s="1886"/>
      <c r="D168" s="1886"/>
      <c r="E168" s="510"/>
      <c r="F168" s="510"/>
      <c r="G168" s="510"/>
      <c r="H168" s="510"/>
      <c r="I168" s="510"/>
      <c r="J168" s="510"/>
      <c r="K168" s="510"/>
      <c r="L168" s="510"/>
      <c r="M168" s="510"/>
      <c r="N168" s="510"/>
      <c r="O168" s="1860"/>
      <c r="P168" s="1860"/>
      <c r="Q168" s="510"/>
      <c r="R168" s="510"/>
      <c r="S168" s="510"/>
      <c r="T168" s="510"/>
      <c r="U168" s="505"/>
      <c r="V168" s="504"/>
    </row>
    <row r="169" spans="1:23" s="429" customFormat="1" ht="61.5" customHeight="1">
      <c r="B169" s="1879"/>
      <c r="C169" s="2450" t="s">
        <v>1939</v>
      </c>
      <c r="D169" s="2450"/>
      <c r="E169" s="2450"/>
      <c r="F169" s="2450"/>
      <c r="G169" s="2450"/>
      <c r="H169" s="2450"/>
      <c r="I169" s="2450"/>
      <c r="J169" s="2450"/>
      <c r="K169" s="2450"/>
      <c r="L169" s="2450"/>
      <c r="M169" s="2450"/>
      <c r="N169" s="2450"/>
      <c r="O169" s="2450"/>
      <c r="P169" s="2450"/>
      <c r="Q169" s="2450"/>
      <c r="R169" s="2450"/>
      <c r="S169" s="2450"/>
      <c r="T169" s="2450"/>
      <c r="U169" s="505"/>
    </row>
    <row r="170" spans="1:23" s="429" customFormat="1" ht="51" customHeight="1">
      <c r="B170" s="1880"/>
      <c r="C170" s="2450" t="s">
        <v>1002</v>
      </c>
      <c r="D170" s="2450"/>
      <c r="E170" s="2450"/>
      <c r="F170" s="2450"/>
      <c r="G170" s="2450"/>
      <c r="H170" s="2450"/>
      <c r="I170" s="2450"/>
      <c r="J170" s="2450"/>
      <c r="K170" s="2450"/>
      <c r="L170" s="2450"/>
      <c r="M170" s="2450"/>
      <c r="N170" s="2450"/>
      <c r="O170" s="2450"/>
      <c r="P170" s="2450"/>
      <c r="Q170" s="2450"/>
      <c r="R170" s="2450"/>
      <c r="S170" s="2450"/>
      <c r="T170" s="2450"/>
      <c r="U170" s="1888"/>
    </row>
    <row r="171" spans="1:23" s="429" customFormat="1" ht="0.75" customHeight="1">
      <c r="B171" s="506"/>
      <c r="C171" s="504"/>
      <c r="D171" s="512"/>
      <c r="E171" s="513"/>
      <c r="F171" s="513"/>
      <c r="G171" s="513"/>
      <c r="H171" s="513"/>
      <c r="I171" s="513"/>
      <c r="J171" s="514"/>
      <c r="K171" s="513"/>
      <c r="L171" s="513"/>
      <c r="M171" s="513"/>
      <c r="N171" s="512"/>
      <c r="O171" s="513"/>
      <c r="P171" s="512"/>
      <c r="Q171" s="504"/>
      <c r="R171" s="513"/>
      <c r="S171" s="514"/>
      <c r="T171" s="514"/>
      <c r="U171" s="511"/>
    </row>
    <row r="172" spans="1:23" ht="19.149999999999999" customHeight="1">
      <c r="B172" s="515"/>
      <c r="C172" s="488"/>
      <c r="D172" s="516"/>
      <c r="E172" s="517"/>
      <c r="F172" s="517"/>
      <c r="G172" s="517"/>
      <c r="H172" s="517"/>
      <c r="I172" s="517"/>
      <c r="J172" s="518"/>
      <c r="K172" s="517"/>
      <c r="L172" s="517"/>
      <c r="M172" s="517"/>
      <c r="N172" s="516"/>
      <c r="O172" s="517"/>
      <c r="P172" s="516"/>
      <c r="Q172" s="488"/>
      <c r="R172" s="517"/>
      <c r="S172" s="518"/>
      <c r="T172" s="518"/>
      <c r="U172" s="519"/>
    </row>
    <row r="173" spans="1:23" ht="17.45" customHeight="1">
      <c r="B173" s="520" t="s">
        <v>785</v>
      </c>
      <c r="C173" s="521"/>
      <c r="D173" s="521"/>
      <c r="E173" s="521"/>
      <c r="F173" s="521"/>
      <c r="G173" s="521"/>
      <c r="H173" s="521"/>
      <c r="I173" s="521"/>
      <c r="J173" s="521"/>
      <c r="K173" s="521"/>
      <c r="L173" s="521"/>
      <c r="M173" s="521"/>
      <c r="N173" s="521"/>
      <c r="O173" s="479"/>
      <c r="P173" s="479"/>
      <c r="Q173" s="521"/>
      <c r="R173" s="521"/>
      <c r="S173" s="521"/>
      <c r="T173" s="521"/>
      <c r="U173" s="521"/>
      <c r="V173" s="441"/>
    </row>
    <row r="174" spans="1:23" ht="8.25" customHeight="1">
      <c r="B174" s="522"/>
      <c r="C174" s="522"/>
      <c r="D174" s="522"/>
      <c r="E174" s="522"/>
      <c r="F174" s="522"/>
      <c r="G174" s="522"/>
      <c r="H174" s="522"/>
      <c r="I174" s="499"/>
      <c r="J174" s="523"/>
      <c r="K174" s="499"/>
      <c r="L174" s="499"/>
      <c r="M174" s="499"/>
      <c r="N174" s="524"/>
      <c r="O174" s="499"/>
      <c r="P174" s="524"/>
      <c r="Q174" s="441"/>
      <c r="R174" s="499"/>
      <c r="S174" s="523"/>
      <c r="T174" s="523"/>
      <c r="U174" s="499"/>
    </row>
    <row r="175" spans="1:23" ht="24.75" customHeight="1">
      <c r="B175" s="2269" t="s">
        <v>1073</v>
      </c>
      <c r="C175" s="2269"/>
      <c r="D175" s="2269"/>
      <c r="E175" s="2269"/>
      <c r="F175" s="2269"/>
      <c r="G175" s="2269"/>
      <c r="H175" s="2269"/>
      <c r="I175" s="2269"/>
      <c r="J175" s="2269"/>
      <c r="K175" s="2269"/>
      <c r="L175" s="2269"/>
      <c r="M175" s="2269"/>
      <c r="N175" s="2269"/>
      <c r="O175" s="2269"/>
      <c r="P175" s="2269"/>
      <c r="Q175" s="2269"/>
      <c r="R175" s="2269"/>
      <c r="S175" s="2269"/>
      <c r="T175" s="2269"/>
      <c r="U175" s="2269"/>
      <c r="V175" s="441"/>
    </row>
    <row r="176" spans="1:23" ht="6.6" customHeight="1">
      <c r="B176" s="520"/>
      <c r="C176" s="521"/>
      <c r="D176" s="521"/>
      <c r="E176" s="521"/>
      <c r="F176" s="521"/>
      <c r="G176" s="521"/>
      <c r="H176" s="521"/>
      <c r="I176" s="521"/>
      <c r="J176" s="521"/>
      <c r="K176" s="521"/>
      <c r="L176" s="521"/>
      <c r="M176" s="521"/>
      <c r="N176" s="521"/>
      <c r="O176" s="479"/>
      <c r="P176" s="479"/>
      <c r="Q176" s="521"/>
      <c r="R176" s="521"/>
      <c r="S176" s="521"/>
      <c r="T176" s="521"/>
      <c r="U176" s="521"/>
      <c r="V176" s="441"/>
    </row>
    <row r="177" spans="1:22" ht="10.5" customHeight="1">
      <c r="B177" s="912"/>
      <c r="C177" s="913"/>
      <c r="D177" s="913"/>
      <c r="E177" s="913"/>
      <c r="F177" s="913"/>
      <c r="G177" s="913"/>
      <c r="H177" s="913"/>
      <c r="I177" s="913"/>
      <c r="J177" s="913"/>
      <c r="K177" s="913"/>
      <c r="L177" s="913"/>
      <c r="M177" s="913"/>
      <c r="N177" s="913"/>
      <c r="O177" s="914"/>
      <c r="P177" s="914"/>
      <c r="Q177" s="913"/>
      <c r="R177" s="913"/>
      <c r="S177" s="913"/>
      <c r="T177" s="913"/>
      <c r="U177" s="915"/>
      <c r="V177" s="441"/>
    </row>
    <row r="178" spans="1:22" ht="17.25" hidden="1" customHeight="1">
      <c r="B178" s="916"/>
      <c r="C178" s="513"/>
      <c r="D178" s="513"/>
      <c r="E178" s="513"/>
      <c r="F178" s="513"/>
      <c r="G178" s="513"/>
      <c r="H178" s="513"/>
      <c r="I178" s="513"/>
      <c r="J178" s="513"/>
      <c r="K178" s="513"/>
      <c r="L178" s="513"/>
      <c r="M178" s="513"/>
      <c r="N178" s="513"/>
      <c r="O178" s="479"/>
      <c r="P178" s="479"/>
      <c r="Q178" s="513"/>
      <c r="R178" s="513"/>
      <c r="S178" s="513"/>
      <c r="T178" s="513"/>
      <c r="U178" s="511"/>
      <c r="V178" s="441"/>
    </row>
    <row r="179" spans="1:22" ht="17.45" customHeight="1">
      <c r="B179" s="916"/>
      <c r="C179" s="2332" t="s">
        <v>1075</v>
      </c>
      <c r="D179" s="2332"/>
      <c r="E179" s="2332"/>
      <c r="F179" s="2332"/>
      <c r="G179" s="2332"/>
      <c r="H179" s="2332"/>
      <c r="I179" s="2332"/>
      <c r="J179" s="2332"/>
      <c r="K179" s="2332"/>
      <c r="L179" s="2332"/>
      <c r="M179" s="2332"/>
      <c r="N179" s="2332"/>
      <c r="O179" s="2332"/>
      <c r="P179" s="2332"/>
      <c r="Q179" s="2332"/>
      <c r="R179" s="2332"/>
      <c r="S179" s="2332"/>
      <c r="T179" s="2332"/>
      <c r="U179" s="511"/>
      <c r="V179" s="441"/>
    </row>
    <row r="180" spans="1:22" ht="17.45" customHeight="1">
      <c r="B180" s="916"/>
      <c r="C180" s="2332"/>
      <c r="D180" s="2332"/>
      <c r="E180" s="2332"/>
      <c r="F180" s="2332"/>
      <c r="G180" s="2332"/>
      <c r="H180" s="2332"/>
      <c r="I180" s="2332"/>
      <c r="J180" s="2332"/>
      <c r="K180" s="2332"/>
      <c r="L180" s="2332"/>
      <c r="M180" s="2332"/>
      <c r="N180" s="2332"/>
      <c r="O180" s="2332"/>
      <c r="P180" s="2332"/>
      <c r="Q180" s="2332"/>
      <c r="R180" s="2332"/>
      <c r="S180" s="2332"/>
      <c r="T180" s="2332"/>
      <c r="U180" s="511"/>
      <c r="V180" s="441"/>
    </row>
    <row r="181" spans="1:22" ht="59.45" customHeight="1">
      <c r="B181" s="916"/>
      <c r="C181" s="2332"/>
      <c r="D181" s="2332"/>
      <c r="E181" s="2332"/>
      <c r="F181" s="2332"/>
      <c r="G181" s="2332"/>
      <c r="H181" s="2332"/>
      <c r="I181" s="2332"/>
      <c r="J181" s="2332"/>
      <c r="K181" s="2332"/>
      <c r="L181" s="2332"/>
      <c r="M181" s="2332"/>
      <c r="N181" s="2332"/>
      <c r="O181" s="2332"/>
      <c r="P181" s="2332"/>
      <c r="Q181" s="2332"/>
      <c r="R181" s="2332"/>
      <c r="S181" s="2332"/>
      <c r="T181" s="2332"/>
      <c r="U181" s="511"/>
      <c r="V181" s="441"/>
    </row>
    <row r="182" spans="1:22" ht="22.15" customHeight="1">
      <c r="B182" s="916"/>
      <c r="C182" s="2332" t="s">
        <v>1074</v>
      </c>
      <c r="D182" s="2332"/>
      <c r="E182" s="2332"/>
      <c r="F182" s="2332"/>
      <c r="G182" s="2332"/>
      <c r="H182" s="2332"/>
      <c r="I182" s="2332"/>
      <c r="J182" s="2332"/>
      <c r="K182" s="2332"/>
      <c r="L182" s="2332"/>
      <c r="M182" s="2332"/>
      <c r="N182" s="2332"/>
      <c r="O182" s="2332"/>
      <c r="P182" s="2332"/>
      <c r="Q182" s="2332"/>
      <c r="R182" s="2332"/>
      <c r="S182" s="2332"/>
      <c r="T182" s="2332"/>
      <c r="U182" s="511"/>
      <c r="V182" s="441"/>
    </row>
    <row r="183" spans="1:22" ht="3.75" customHeight="1">
      <c r="B183" s="917"/>
      <c r="C183" s="918"/>
      <c r="D183" s="918"/>
      <c r="E183" s="918"/>
      <c r="F183" s="918"/>
      <c r="G183" s="918"/>
      <c r="H183" s="918"/>
      <c r="I183" s="918"/>
      <c r="J183" s="918"/>
      <c r="K183" s="918"/>
      <c r="L183" s="918"/>
      <c r="M183" s="918"/>
      <c r="N183" s="918"/>
      <c r="O183" s="919"/>
      <c r="P183" s="919"/>
      <c r="Q183" s="918"/>
      <c r="R183" s="918"/>
      <c r="S183" s="918"/>
      <c r="T183" s="918"/>
      <c r="U183" s="920"/>
      <c r="V183" s="441"/>
    </row>
    <row r="184" spans="1:22" ht="17.45" customHeight="1">
      <c r="B184" s="1977"/>
      <c r="C184" s="513"/>
      <c r="D184" s="513"/>
      <c r="E184" s="513"/>
      <c r="F184" s="513"/>
      <c r="G184" s="513"/>
      <c r="H184" s="513"/>
      <c r="I184" s="513"/>
      <c r="J184" s="513"/>
      <c r="K184" s="513"/>
      <c r="L184" s="513"/>
      <c r="M184" s="513"/>
      <c r="N184" s="513"/>
      <c r="O184" s="479"/>
      <c r="P184" s="479"/>
      <c r="Q184" s="513"/>
      <c r="R184" s="513"/>
      <c r="S184" s="513"/>
      <c r="T184" s="513"/>
      <c r="U184" s="513"/>
      <c r="V184" s="441"/>
    </row>
    <row r="185" spans="1:22" ht="26.25" customHeight="1">
      <c r="B185" s="2269" t="s">
        <v>1950</v>
      </c>
      <c r="C185" s="2269"/>
      <c r="D185" s="2269"/>
      <c r="E185" s="2269"/>
      <c r="F185" s="2269"/>
      <c r="G185" s="2269"/>
      <c r="H185" s="2269"/>
      <c r="I185" s="2269"/>
      <c r="J185" s="2269"/>
      <c r="K185" s="2269"/>
      <c r="L185" s="2269"/>
      <c r="M185" s="2269"/>
      <c r="N185" s="2269"/>
      <c r="O185" s="2269"/>
      <c r="P185" s="2269"/>
      <c r="Q185" s="2269"/>
      <c r="R185" s="2269"/>
      <c r="S185" s="2269"/>
      <c r="T185" s="2269"/>
      <c r="U185" s="2269"/>
      <c r="V185" s="441"/>
    </row>
    <row r="186" spans="1:22" ht="4.5" customHeight="1">
      <c r="B186" s="1850"/>
      <c r="C186" s="1850"/>
      <c r="D186" s="1850"/>
      <c r="E186" s="1850"/>
      <c r="F186" s="1850"/>
      <c r="G186" s="1850"/>
      <c r="H186" s="1850"/>
      <c r="I186" s="1850"/>
      <c r="J186" s="1850"/>
      <c r="K186" s="1850"/>
      <c r="L186" s="1850"/>
      <c r="M186" s="1850"/>
      <c r="N186" s="1850"/>
      <c r="O186" s="1850"/>
      <c r="P186" s="1850"/>
      <c r="Q186" s="1850"/>
      <c r="R186" s="1850"/>
      <c r="S186" s="1850"/>
      <c r="T186" s="1850"/>
      <c r="U186" s="1850"/>
      <c r="V186" s="441"/>
    </row>
    <row r="187" spans="1:22" ht="8.25" customHeight="1">
      <c r="B187" s="912"/>
      <c r="C187" s="913"/>
      <c r="D187" s="913"/>
      <c r="E187" s="913"/>
      <c r="F187" s="913"/>
      <c r="G187" s="913"/>
      <c r="H187" s="913"/>
      <c r="I187" s="913"/>
      <c r="J187" s="913"/>
      <c r="K187" s="913"/>
      <c r="L187" s="913"/>
      <c r="M187" s="913"/>
      <c r="N187" s="913"/>
      <c r="O187" s="914"/>
      <c r="P187" s="914"/>
      <c r="Q187" s="913"/>
      <c r="R187" s="913"/>
      <c r="S187" s="913"/>
      <c r="T187" s="913"/>
      <c r="U187" s="915"/>
      <c r="V187" s="441"/>
    </row>
    <row r="188" spans="1:22" ht="17.45" customHeight="1">
      <c r="B188" s="916"/>
      <c r="C188" s="2346" t="s">
        <v>1951</v>
      </c>
      <c r="D188" s="2346"/>
      <c r="E188" s="2346"/>
      <c r="F188" s="2346"/>
      <c r="G188" s="2346"/>
      <c r="H188" s="2346"/>
      <c r="I188" s="2346"/>
      <c r="J188" s="2346"/>
      <c r="K188" s="2346"/>
      <c r="L188" s="2346"/>
      <c r="M188" s="2346"/>
      <c r="N188" s="2346"/>
      <c r="O188" s="2346"/>
      <c r="P188" s="2346"/>
      <c r="Q188" s="2346"/>
      <c r="R188" s="2346"/>
      <c r="S188" s="2346"/>
      <c r="T188" s="2346"/>
      <c r="U188" s="511"/>
      <c r="V188" s="441"/>
    </row>
    <row r="189" spans="1:22" ht="34.5" customHeight="1">
      <c r="A189" s="420"/>
      <c r="B189" s="916"/>
      <c r="C189" s="2346"/>
      <c r="D189" s="2346"/>
      <c r="E189" s="2346"/>
      <c r="F189" s="2346"/>
      <c r="G189" s="2346"/>
      <c r="H189" s="2346"/>
      <c r="I189" s="2346"/>
      <c r="J189" s="2346"/>
      <c r="K189" s="2346"/>
      <c r="L189" s="2346"/>
      <c r="M189" s="2346"/>
      <c r="N189" s="2346"/>
      <c r="O189" s="2346"/>
      <c r="P189" s="2346"/>
      <c r="Q189" s="2346"/>
      <c r="R189" s="2346"/>
      <c r="S189" s="2346"/>
      <c r="T189" s="2346"/>
      <c r="U189" s="511"/>
      <c r="V189" s="420"/>
    </row>
    <row r="190" spans="1:22" ht="3.75" customHeight="1">
      <c r="B190" s="2333"/>
      <c r="C190" s="2334"/>
      <c r="D190" s="2334"/>
      <c r="E190" s="2334"/>
      <c r="F190" s="2334"/>
      <c r="G190" s="2334"/>
      <c r="H190" s="2334"/>
      <c r="I190" s="2334"/>
      <c r="J190" s="2334"/>
      <c r="K190" s="2334"/>
      <c r="L190" s="1978"/>
      <c r="M190" s="1978"/>
      <c r="N190" s="1978"/>
      <c r="O190" s="1978"/>
      <c r="P190" s="1978"/>
      <c r="Q190" s="1978"/>
      <c r="R190" s="1978"/>
      <c r="S190" s="1978"/>
      <c r="T190" s="1978"/>
      <c r="U190" s="1979"/>
    </row>
    <row r="191" spans="1:22" ht="6.75" customHeight="1">
      <c r="A191" s="420"/>
      <c r="B191" s="525" t="s">
        <v>699</v>
      </c>
      <c r="C191" s="748"/>
      <c r="D191" s="748"/>
      <c r="E191" s="748"/>
      <c r="F191" s="748"/>
      <c r="G191" s="748"/>
      <c r="H191" s="748"/>
      <c r="I191" s="748"/>
      <c r="J191" s="748"/>
      <c r="K191" s="748"/>
      <c r="L191" s="748"/>
      <c r="M191" s="748"/>
      <c r="N191" s="748"/>
      <c r="O191" s="748"/>
      <c r="P191" s="748"/>
      <c r="Q191" s="748"/>
      <c r="R191" s="748"/>
      <c r="S191" s="748"/>
      <c r="T191" s="748"/>
      <c r="U191" s="748"/>
      <c r="V191" s="420"/>
    </row>
    <row r="192" spans="1:22" ht="19.149999999999999" customHeight="1">
      <c r="I192" s="522"/>
      <c r="J192" s="522"/>
      <c r="K192" s="522"/>
      <c r="L192" s="522"/>
      <c r="M192" s="522"/>
      <c r="N192" s="526"/>
      <c r="O192" s="527"/>
      <c r="P192" s="528"/>
      <c r="Q192" s="529"/>
      <c r="R192" s="522"/>
      <c r="S192" s="522"/>
      <c r="T192" s="522"/>
      <c r="U192" s="522"/>
    </row>
    <row r="193" spans="1:22" ht="15.75">
      <c r="A193" s="420"/>
      <c r="B193" s="420"/>
      <c r="C193" s="420"/>
      <c r="D193" s="420"/>
      <c r="E193" s="420"/>
      <c r="F193" s="420"/>
      <c r="G193" s="420"/>
      <c r="H193" s="420"/>
      <c r="I193" s="420"/>
      <c r="J193" s="420"/>
      <c r="K193" s="420"/>
      <c r="L193" s="420"/>
      <c r="M193" s="476" t="s">
        <v>1159</v>
      </c>
      <c r="N193" s="420"/>
      <c r="O193" s="420"/>
      <c r="P193" s="420"/>
      <c r="Q193" s="420"/>
      <c r="R193" s="477" t="s">
        <v>692</v>
      </c>
      <c r="S193" s="478" t="str">
        <f>$E$29</f>
        <v>ILF5_90FCPRCP_B114CAGR43006</v>
      </c>
      <c r="T193" s="420"/>
      <c r="U193" s="420"/>
      <c r="V193" s="420"/>
    </row>
    <row r="194" spans="1:22">
      <c r="A194" s="420"/>
      <c r="B194" s="420"/>
      <c r="C194" s="420"/>
      <c r="D194" s="420"/>
      <c r="E194" s="420"/>
      <c r="F194" s="420"/>
      <c r="G194" s="420"/>
      <c r="H194" s="420"/>
      <c r="I194" s="420"/>
      <c r="J194" s="420"/>
      <c r="K194" s="420"/>
      <c r="L194" s="420"/>
      <c r="M194" s="420"/>
      <c r="N194" s="420"/>
      <c r="O194" s="420"/>
      <c r="P194" s="420"/>
      <c r="Q194" s="420"/>
      <c r="R194" s="420"/>
      <c r="S194" s="420"/>
      <c r="T194" s="420"/>
      <c r="U194" s="420"/>
      <c r="V194" s="420"/>
    </row>
    <row r="196" spans="1:22">
      <c r="A196" s="420"/>
      <c r="B196" s="420"/>
      <c r="C196" s="420"/>
      <c r="D196" s="420"/>
      <c r="E196" s="420"/>
      <c r="F196" s="420"/>
      <c r="G196" s="420"/>
      <c r="H196" s="436" t="s">
        <v>690</v>
      </c>
      <c r="I196" s="420"/>
      <c r="K196" s="420"/>
      <c r="L196" s="437" t="str">
        <f>$B$11</f>
        <v>INMOBILIARIA SERVIGESTION</v>
      </c>
      <c r="M196" s="420"/>
      <c r="N196" s="420"/>
      <c r="O196" s="420"/>
      <c r="P196" s="420"/>
      <c r="Q196" s="420"/>
      <c r="R196" s="420"/>
      <c r="S196" s="420"/>
      <c r="T196" s="420"/>
      <c r="U196" s="420"/>
      <c r="V196" s="420"/>
    </row>
    <row r="197" spans="1:22">
      <c r="A197" s="420"/>
      <c r="B197" s="420"/>
      <c r="C197" s="420"/>
      <c r="D197" s="420"/>
      <c r="E197" s="420"/>
      <c r="F197" s="420"/>
      <c r="G197" s="420"/>
      <c r="H197" s="420"/>
      <c r="I197" s="420"/>
      <c r="J197" s="420"/>
      <c r="K197" s="420"/>
      <c r="L197" s="420"/>
      <c r="M197" s="420"/>
      <c r="N197" s="420"/>
      <c r="O197" s="420"/>
      <c r="P197" s="420"/>
      <c r="Q197" s="420"/>
      <c r="R197" s="420"/>
      <c r="S197" s="420"/>
      <c r="T197" s="420"/>
      <c r="U197" s="420"/>
      <c r="V197" s="420"/>
    </row>
    <row r="198" spans="1:22" ht="34.5">
      <c r="A198" s="420"/>
      <c r="B198" s="2268" t="s">
        <v>461</v>
      </c>
      <c r="C198" s="2268"/>
      <c r="D198" s="2268"/>
      <c r="E198" s="2268"/>
      <c r="F198" s="2268"/>
      <c r="G198" s="2268"/>
      <c r="H198" s="2268"/>
      <c r="I198" s="2268"/>
      <c r="J198" s="2268"/>
      <c r="K198" s="2268"/>
      <c r="L198" s="2268"/>
      <c r="M198" s="2268"/>
      <c r="N198" s="2268"/>
      <c r="O198" s="2268"/>
      <c r="P198" s="2268"/>
      <c r="Q198" s="2268"/>
      <c r="R198" s="2268"/>
      <c r="S198" s="2268"/>
      <c r="T198" s="2268"/>
      <c r="U198" s="2268"/>
      <c r="V198" s="420"/>
    </row>
    <row r="199" spans="1:22" ht="22.9" customHeight="1">
      <c r="A199" s="420"/>
      <c r="B199" s="2269" t="s">
        <v>830</v>
      </c>
      <c r="C199" s="2269"/>
      <c r="D199" s="2269"/>
      <c r="E199" s="2269"/>
      <c r="F199" s="2269"/>
      <c r="G199" s="2269"/>
      <c r="H199" s="2269"/>
      <c r="I199" s="2269"/>
      <c r="J199" s="2269"/>
      <c r="K199" s="2269"/>
      <c r="L199" s="2269"/>
      <c r="M199" s="2269"/>
      <c r="N199" s="2269"/>
      <c r="O199" s="2269"/>
      <c r="P199" s="2269"/>
      <c r="Q199" s="2269"/>
      <c r="R199" s="2269"/>
      <c r="S199" s="2269"/>
      <c r="T199" s="2269"/>
      <c r="U199" s="2269"/>
      <c r="V199" s="420"/>
    </row>
    <row r="200" spans="1:22" ht="16.149999999999999" customHeight="1">
      <c r="A200" s="420"/>
      <c r="B200" s="757"/>
      <c r="C200" s="757"/>
      <c r="D200" s="757"/>
      <c r="E200" s="757"/>
      <c r="F200" s="757"/>
      <c r="G200" s="757"/>
      <c r="H200" s="757"/>
      <c r="I200" s="757"/>
      <c r="J200" s="757"/>
      <c r="K200" s="757"/>
      <c r="L200" s="757"/>
      <c r="M200" s="757"/>
      <c r="N200" s="757"/>
      <c r="O200" s="757"/>
      <c r="P200" s="757"/>
      <c r="Q200" s="757"/>
      <c r="R200" s="757"/>
      <c r="S200" s="757"/>
      <c r="T200" s="757"/>
      <c r="U200" s="757"/>
      <c r="V200" s="420"/>
    </row>
    <row r="201" spans="1:22" s="437" customFormat="1" ht="39.75" customHeight="1">
      <c r="A201" s="785"/>
      <c r="B201" s="2251" t="s">
        <v>789</v>
      </c>
      <c r="C201" s="2251"/>
      <c r="D201" s="2251"/>
      <c r="E201" s="2251"/>
      <c r="F201" s="2251"/>
      <c r="G201" s="2251"/>
      <c r="H201" s="2251"/>
      <c r="I201" s="2251"/>
      <c r="J201" s="2251"/>
      <c r="K201" s="2251"/>
      <c r="L201" s="2251"/>
      <c r="M201" s="2251"/>
      <c r="N201" s="2251"/>
      <c r="O201" s="2251"/>
      <c r="P201" s="2251"/>
      <c r="Q201" s="2251"/>
      <c r="R201" s="2251"/>
      <c r="S201" s="2251"/>
      <c r="T201" s="2251"/>
      <c r="U201" s="2251"/>
      <c r="V201" s="785"/>
    </row>
    <row r="202" spans="1:22" ht="22.15" customHeight="1">
      <c r="A202" s="441"/>
      <c r="B202" s="2348" t="s">
        <v>791</v>
      </c>
      <c r="C202" s="2349"/>
      <c r="D202" s="2349"/>
      <c r="E202" s="2349"/>
      <c r="F202" s="2349"/>
      <c r="G202" s="2349"/>
      <c r="H202" s="2349"/>
      <c r="I202" s="2349"/>
      <c r="J202" s="2349"/>
      <c r="K202" s="2349"/>
      <c r="L202" s="2349"/>
      <c r="M202" s="2349"/>
      <c r="N202" s="2349"/>
      <c r="O202" s="2349"/>
      <c r="P202" s="2349"/>
      <c r="Q202" s="2349"/>
      <c r="R202" s="2349"/>
      <c r="S202" s="2349"/>
      <c r="T202" s="2349"/>
      <c r="U202" s="2350"/>
    </row>
    <row r="203" spans="1:22" ht="48" customHeight="1">
      <c r="B203" s="2329" t="s">
        <v>1941</v>
      </c>
      <c r="C203" s="2330"/>
      <c r="D203" s="2330"/>
      <c r="E203" s="2330"/>
      <c r="F203" s="2330"/>
      <c r="G203" s="2330"/>
      <c r="H203" s="2330"/>
      <c r="I203" s="2330"/>
      <c r="J203" s="2330"/>
      <c r="K203" s="2330"/>
      <c r="L203" s="2330"/>
      <c r="M203" s="2330"/>
      <c r="N203" s="2330"/>
      <c r="O203" s="2330"/>
      <c r="P203" s="2330"/>
      <c r="Q203" s="2330"/>
      <c r="R203" s="2330"/>
      <c r="S203" s="2330"/>
      <c r="T203" s="2330"/>
      <c r="U203" s="2331"/>
      <c r="V203" s="441"/>
    </row>
    <row r="204" spans="1:22">
      <c r="B204" s="1889"/>
      <c r="C204" s="1890"/>
      <c r="D204" s="1890"/>
      <c r="E204" s="1890"/>
      <c r="F204" s="1890"/>
      <c r="G204" s="1890"/>
      <c r="H204" s="1890"/>
      <c r="I204" s="1890"/>
      <c r="J204" s="1890"/>
      <c r="K204" s="1890"/>
      <c r="L204" s="1890"/>
      <c r="M204" s="1890"/>
      <c r="N204" s="1890"/>
      <c r="O204" s="1890"/>
      <c r="P204" s="1890"/>
      <c r="Q204" s="1890"/>
      <c r="R204" s="1890"/>
      <c r="S204" s="1890"/>
      <c r="T204" s="1890"/>
      <c r="U204" s="1891"/>
      <c r="V204" s="441"/>
    </row>
    <row r="205" spans="1:22" ht="23.25">
      <c r="A205" s="441"/>
      <c r="B205" s="1892"/>
      <c r="C205" s="1893"/>
      <c r="D205" s="1974"/>
      <c r="E205" s="1895" t="s">
        <v>469</v>
      </c>
      <c r="F205" s="1896" t="s">
        <v>470</v>
      </c>
      <c r="G205" s="1897"/>
      <c r="H205" s="1897"/>
      <c r="I205" s="1897"/>
      <c r="J205" s="1898"/>
      <c r="K205" s="1974"/>
      <c r="L205" s="1974"/>
      <c r="M205" s="1895" t="s">
        <v>471</v>
      </c>
      <c r="N205" s="1899">
        <v>0</v>
      </c>
      <c r="O205" s="1898"/>
      <c r="P205" s="1867"/>
      <c r="Q205" s="1900" t="s">
        <v>472</v>
      </c>
      <c r="R205" s="1901" t="s">
        <v>1940</v>
      </c>
      <c r="S205" s="1898"/>
      <c r="T205" s="1898"/>
      <c r="U205" s="1902"/>
    </row>
    <row r="206" spans="1:22" ht="23.25">
      <c r="A206" s="441"/>
      <c r="B206" s="1892"/>
      <c r="C206" s="1893"/>
      <c r="D206" s="1974"/>
      <c r="E206" s="1895"/>
      <c r="F206" s="1896"/>
      <c r="G206" s="1897"/>
      <c r="H206" s="1897"/>
      <c r="I206" s="1897"/>
      <c r="J206" s="1898"/>
      <c r="K206" s="1974"/>
      <c r="L206" s="1974"/>
      <c r="M206" s="1895"/>
      <c r="N206" s="1899"/>
      <c r="O206" s="1898"/>
      <c r="P206" s="1867"/>
      <c r="Q206" s="1900"/>
      <c r="R206" s="1975" t="s">
        <v>1912</v>
      </c>
      <c r="S206" s="1898"/>
      <c r="T206" s="1898"/>
      <c r="U206" s="1902"/>
    </row>
    <row r="207" spans="1:22" ht="20.25">
      <c r="A207" s="441"/>
      <c r="B207" s="1903"/>
      <c r="C207" s="1904"/>
      <c r="D207" s="1905"/>
      <c r="E207" s="1906"/>
      <c r="F207" s="1906"/>
      <c r="G207" s="1906"/>
      <c r="H207" s="1906"/>
      <c r="I207" s="1906"/>
      <c r="J207" s="1907"/>
      <c r="K207" s="1908"/>
      <c r="L207" s="1909"/>
      <c r="M207" s="1909"/>
      <c r="N207" s="1910"/>
      <c r="O207" s="1907"/>
      <c r="P207" s="1911"/>
      <c r="Q207" s="1912"/>
      <c r="R207" s="1913"/>
      <c r="S207" s="1907"/>
      <c r="T207" s="1907"/>
      <c r="U207" s="1914"/>
    </row>
    <row r="208" spans="1:22">
      <c r="B208" s="441"/>
      <c r="C208" s="441"/>
      <c r="D208" s="441"/>
      <c r="E208" s="441"/>
      <c r="F208" s="441"/>
      <c r="G208" s="441"/>
      <c r="H208" s="441"/>
      <c r="I208" s="441"/>
      <c r="J208" s="441"/>
      <c r="K208" s="441"/>
      <c r="L208" s="441"/>
      <c r="M208" s="441"/>
      <c r="N208" s="441"/>
      <c r="O208" s="441"/>
      <c r="P208" s="441"/>
      <c r="Q208" s="441"/>
      <c r="R208" s="441"/>
      <c r="S208" s="441"/>
      <c r="T208" s="441"/>
    </row>
    <row r="209" spans="1:22">
      <c r="B209" s="441"/>
      <c r="C209" s="441"/>
      <c r="D209" s="441"/>
      <c r="E209" s="441"/>
      <c r="F209" s="441"/>
      <c r="G209" s="441"/>
      <c r="H209" s="441"/>
      <c r="I209" s="441"/>
      <c r="J209" s="441"/>
      <c r="K209" s="441"/>
      <c r="L209" s="441"/>
      <c r="M209" s="441"/>
      <c r="N209" s="441"/>
      <c r="O209" s="441"/>
      <c r="P209" s="441"/>
      <c r="Q209" s="441"/>
      <c r="R209" s="441"/>
      <c r="S209" s="441"/>
      <c r="T209" s="441"/>
    </row>
    <row r="210" spans="1:22" s="521" customFormat="1" ht="25.5" customHeight="1">
      <c r="B210" s="2251" t="s">
        <v>977</v>
      </c>
      <c r="C210" s="2251"/>
      <c r="D210" s="2251"/>
      <c r="E210" s="2251"/>
      <c r="F210" s="2251"/>
      <c r="G210" s="2251"/>
      <c r="H210" s="2251"/>
      <c r="I210" s="2251"/>
      <c r="J210" s="2251"/>
      <c r="K210" s="2251"/>
      <c r="L210" s="2251"/>
      <c r="M210" s="2251"/>
      <c r="N210" s="2251"/>
      <c r="O210" s="2251"/>
      <c r="P210" s="2251"/>
      <c r="Q210" s="2251"/>
      <c r="R210" s="2251"/>
      <c r="S210" s="2251"/>
      <c r="T210" s="2251"/>
      <c r="U210" s="2251"/>
    </row>
    <row r="211" spans="1:22" s="521" customFormat="1" ht="8.4499999999999993" customHeight="1">
      <c r="B211" s="1844"/>
      <c r="C211" s="1844"/>
      <c r="D211" s="1844"/>
      <c r="E211" s="1844"/>
      <c r="F211" s="1844"/>
      <c r="G211" s="1844"/>
      <c r="H211" s="1844"/>
      <c r="I211" s="1844"/>
      <c r="J211" s="1844"/>
      <c r="K211" s="1844"/>
      <c r="L211" s="1844"/>
      <c r="M211" s="1844"/>
      <c r="N211" s="1844"/>
      <c r="O211" s="1844"/>
      <c r="P211" s="1844"/>
      <c r="Q211" s="1844"/>
      <c r="R211" s="1844"/>
      <c r="S211" s="1844"/>
      <c r="T211" s="1844"/>
      <c r="U211" s="1844"/>
    </row>
    <row r="212" spans="1:22" ht="22.15" customHeight="1">
      <c r="A212" s="441"/>
      <c r="B212" s="2304" t="s">
        <v>1943</v>
      </c>
      <c r="C212" s="2305"/>
      <c r="D212" s="2305"/>
      <c r="E212" s="2305"/>
      <c r="F212" s="2305"/>
      <c r="G212" s="2305"/>
      <c r="H212" s="2305"/>
      <c r="I212" s="2305"/>
      <c r="J212" s="2305"/>
      <c r="K212" s="2305"/>
      <c r="L212" s="2305"/>
      <c r="M212" s="2305"/>
      <c r="N212" s="2305"/>
      <c r="O212" s="2305"/>
      <c r="P212" s="2305"/>
      <c r="Q212" s="2305"/>
      <c r="R212" s="2305"/>
      <c r="S212" s="2305"/>
      <c r="T212" s="2305"/>
      <c r="U212" s="2386"/>
    </row>
    <row r="213" spans="1:22" ht="35.25" customHeight="1">
      <c r="B213" s="1845" t="s">
        <v>831</v>
      </c>
      <c r="C213" s="441"/>
      <c r="D213" s="441"/>
      <c r="E213" s="531" t="s">
        <v>474</v>
      </c>
      <c r="F213" s="545" t="s">
        <v>832</v>
      </c>
      <c r="G213" s="546"/>
      <c r="H213" s="441"/>
      <c r="I213" s="545"/>
      <c r="J213" s="545"/>
      <c r="K213" s="547"/>
      <c r="L213" s="548"/>
      <c r="M213" s="531" t="s">
        <v>476</v>
      </c>
      <c r="N213" s="549">
        <v>0.15</v>
      </c>
      <c r="O213" s="441"/>
      <c r="Q213" s="550"/>
      <c r="R213" s="551"/>
      <c r="S213" s="1846"/>
      <c r="T213" s="1846"/>
      <c r="U213" s="1847"/>
      <c r="V213" s="441"/>
    </row>
    <row r="214" spans="1:22" ht="20.25">
      <c r="B214" s="466"/>
      <c r="C214" s="441"/>
      <c r="D214" s="441"/>
      <c r="E214" s="531" t="s">
        <v>833</v>
      </c>
      <c r="F214" s="795" t="s">
        <v>861</v>
      </c>
      <c r="G214" s="441"/>
      <c r="H214" s="441"/>
      <c r="I214" s="441"/>
      <c r="J214" s="441"/>
      <c r="K214" s="441"/>
      <c r="L214" s="441"/>
      <c r="M214" s="531" t="s">
        <v>833</v>
      </c>
      <c r="N214" s="795" t="s">
        <v>861</v>
      </c>
      <c r="O214" s="441"/>
      <c r="P214" s="441"/>
      <c r="Q214" s="441"/>
      <c r="R214" s="441"/>
      <c r="S214" s="441"/>
      <c r="T214" s="441"/>
      <c r="U214" s="451"/>
      <c r="V214" s="441"/>
    </row>
    <row r="215" spans="1:22" ht="10.5" customHeight="1">
      <c r="A215" s="441"/>
      <c r="B215" s="466"/>
      <c r="S215" s="441"/>
      <c r="T215" s="441"/>
      <c r="U215" s="451"/>
    </row>
    <row r="216" spans="1:22" ht="23.25" customHeight="1">
      <c r="A216" s="441"/>
      <c r="B216" s="2345" t="s">
        <v>834</v>
      </c>
      <c r="C216" s="2346"/>
      <c r="D216" s="2346"/>
      <c r="E216" s="2346"/>
      <c r="F216" s="2346"/>
      <c r="G216" s="2346"/>
      <c r="H216" s="2346"/>
      <c r="I216" s="2346"/>
      <c r="J216" s="2346"/>
      <c r="K216" s="2346"/>
      <c r="L216" s="2346"/>
      <c r="M216" s="2346"/>
      <c r="N216" s="2346"/>
      <c r="O216" s="2346"/>
      <c r="P216" s="2346"/>
      <c r="Q216" s="2346"/>
      <c r="R216" s="2346"/>
      <c r="S216" s="2346"/>
      <c r="T216" s="2346"/>
      <c r="U216" s="2347"/>
    </row>
    <row r="217" spans="1:22" ht="23.25" customHeight="1">
      <c r="A217" s="441"/>
      <c r="B217" s="2345"/>
      <c r="C217" s="2346"/>
      <c r="D217" s="2346"/>
      <c r="E217" s="2346"/>
      <c r="F217" s="2346"/>
      <c r="G217" s="2346"/>
      <c r="H217" s="2346"/>
      <c r="I217" s="2346"/>
      <c r="J217" s="2346"/>
      <c r="K217" s="2346"/>
      <c r="L217" s="2346"/>
      <c r="M217" s="2346"/>
      <c r="N217" s="2346"/>
      <c r="O217" s="2346"/>
      <c r="P217" s="2346"/>
      <c r="Q217" s="2346"/>
      <c r="R217" s="2346"/>
      <c r="S217" s="2346"/>
      <c r="T217" s="2346"/>
      <c r="U217" s="2347"/>
    </row>
    <row r="218" spans="1:22" ht="27" customHeight="1">
      <c r="A218" s="441"/>
      <c r="B218" s="2345" t="s">
        <v>477</v>
      </c>
      <c r="C218" s="2346"/>
      <c r="D218" s="2346"/>
      <c r="E218" s="2346"/>
      <c r="F218" s="2346"/>
      <c r="G218" s="2346"/>
      <c r="H218" s="2346"/>
      <c r="I218" s="2346"/>
      <c r="J218" s="2346"/>
      <c r="K218" s="2346"/>
      <c r="L218" s="2346"/>
      <c r="M218" s="2346"/>
      <c r="N218" s="2346"/>
      <c r="O218" s="2346"/>
      <c r="P218" s="2346"/>
      <c r="Q218" s="2346"/>
      <c r="R218" s="2346"/>
      <c r="S218" s="2346"/>
      <c r="T218" s="2346"/>
      <c r="U218" s="2347"/>
    </row>
    <row r="219" spans="1:22" ht="9.75" customHeight="1">
      <c r="A219" s="441"/>
      <c r="B219" s="555"/>
      <c r="C219" s="556"/>
      <c r="D219" s="556"/>
      <c r="E219" s="556"/>
      <c r="F219" s="556"/>
      <c r="G219" s="556"/>
      <c r="H219" s="556"/>
      <c r="I219" s="556"/>
      <c r="J219" s="556"/>
      <c r="K219" s="556"/>
      <c r="L219" s="556"/>
      <c r="M219" s="556"/>
      <c r="N219" s="556"/>
      <c r="O219" s="556"/>
      <c r="P219" s="556"/>
      <c r="Q219" s="556"/>
      <c r="R219" s="556"/>
      <c r="S219" s="556"/>
      <c r="T219" s="556"/>
      <c r="U219" s="557"/>
    </row>
    <row r="220" spans="1:22" ht="21" customHeight="1">
      <c r="A220" s="441"/>
      <c r="B220" s="1846"/>
      <c r="C220" s="1846"/>
      <c r="D220" s="1846"/>
      <c r="E220" s="1846"/>
      <c r="F220" s="1846"/>
      <c r="G220" s="1846"/>
      <c r="H220" s="1846"/>
      <c r="I220" s="1846"/>
      <c r="J220" s="1846"/>
      <c r="K220" s="1846"/>
      <c r="L220" s="1846"/>
      <c r="M220" s="1846"/>
      <c r="N220" s="1846"/>
      <c r="O220" s="1846"/>
      <c r="P220" s="1846"/>
      <c r="Q220" s="1846"/>
      <c r="R220" s="1846"/>
      <c r="S220" s="1846"/>
      <c r="T220" s="1846"/>
      <c r="U220" s="1846"/>
    </row>
    <row r="221" spans="1:22" ht="19.149999999999999" customHeight="1">
      <c r="B221" s="2342" t="s">
        <v>1915</v>
      </c>
      <c r="C221" s="2343"/>
      <c r="D221" s="2343"/>
      <c r="E221" s="2343"/>
      <c r="F221" s="2343"/>
      <c r="G221" s="2343"/>
      <c r="H221" s="2343"/>
      <c r="I221" s="2343"/>
      <c r="J221" s="2343"/>
      <c r="K221" s="2343"/>
      <c r="L221" s="2343"/>
      <c r="M221" s="2343"/>
      <c r="N221" s="2343"/>
      <c r="O221" s="2343"/>
      <c r="P221" s="2343"/>
      <c r="Q221" s="2343"/>
      <c r="R221" s="2343"/>
      <c r="S221" s="2343"/>
      <c r="T221" s="2343"/>
      <c r="U221" s="2344"/>
    </row>
    <row r="222" spans="1:22" ht="24.75" customHeight="1">
      <c r="B222" s="2345" t="s">
        <v>835</v>
      </c>
      <c r="C222" s="2346"/>
      <c r="D222" s="2346"/>
      <c r="E222" s="2346"/>
      <c r="F222" s="2346"/>
      <c r="G222" s="2346"/>
      <c r="H222" s="2346"/>
      <c r="I222" s="2346"/>
      <c r="J222" s="2346"/>
      <c r="K222" s="2346"/>
      <c r="L222" s="2346"/>
      <c r="M222" s="2346"/>
      <c r="N222" s="2346"/>
      <c r="O222" s="2346"/>
      <c r="P222" s="2346"/>
      <c r="Q222" s="2346"/>
      <c r="R222" s="2346"/>
      <c r="S222" s="2346"/>
      <c r="T222" s="2346"/>
      <c r="U222" s="2347"/>
      <c r="V222" s="441"/>
    </row>
    <row r="223" spans="1:22">
      <c r="B223" s="466"/>
      <c r="C223" s="441"/>
      <c r="D223" s="441"/>
      <c r="E223" s="441"/>
      <c r="F223" s="441"/>
      <c r="G223" s="441"/>
      <c r="H223" s="441"/>
      <c r="I223" s="441"/>
      <c r="J223" s="441"/>
      <c r="K223" s="441"/>
      <c r="L223" s="441"/>
      <c r="M223" s="441"/>
      <c r="N223" s="441"/>
      <c r="O223" s="441"/>
      <c r="P223" s="441"/>
      <c r="Q223" s="441"/>
      <c r="R223" s="441"/>
      <c r="S223" s="441"/>
      <c r="T223" s="441"/>
      <c r="U223" s="451"/>
      <c r="V223" s="441"/>
    </row>
    <row r="224" spans="1:22" ht="23.25">
      <c r="B224" s="466"/>
      <c r="C224" s="441"/>
      <c r="D224" s="552"/>
      <c r="E224" s="531" t="s">
        <v>478</v>
      </c>
      <c r="F224" s="532" t="s">
        <v>836</v>
      </c>
      <c r="G224" s="441"/>
      <c r="H224" s="531" t="s">
        <v>837</v>
      </c>
      <c r="I224" s="795">
        <v>0.65</v>
      </c>
      <c r="J224" s="441"/>
      <c r="K224" s="441"/>
      <c r="L224" s="441"/>
      <c r="M224" s="441"/>
      <c r="N224" s="441"/>
      <c r="O224" s="441"/>
      <c r="Q224" s="533"/>
      <c r="R224" s="532"/>
      <c r="S224" s="441"/>
      <c r="T224" s="441"/>
      <c r="U224" s="451"/>
      <c r="V224" s="441"/>
    </row>
    <row r="225" spans="1:22">
      <c r="B225" s="466"/>
      <c r="C225" s="441"/>
      <c r="D225" s="441"/>
      <c r="E225" s="441"/>
      <c r="F225" s="441"/>
      <c r="G225" s="441"/>
      <c r="H225" s="441"/>
      <c r="I225" s="441"/>
      <c r="J225" s="441"/>
      <c r="K225" s="441"/>
      <c r="L225" s="441"/>
      <c r="M225" s="441"/>
      <c r="N225" s="441"/>
      <c r="O225" s="441"/>
      <c r="P225" s="441"/>
      <c r="Q225" s="441"/>
      <c r="R225" s="441"/>
      <c r="S225" s="441"/>
      <c r="T225" s="441"/>
      <c r="U225" s="451"/>
      <c r="V225" s="441"/>
    </row>
    <row r="226" spans="1:22" ht="20.25" customHeight="1">
      <c r="B226" s="558"/>
      <c r="C226" s="543"/>
      <c r="D226" s="488"/>
      <c r="E226" s="488"/>
      <c r="F226" s="488"/>
      <c r="G226" s="537"/>
      <c r="H226" s="537"/>
      <c r="I226" s="537"/>
      <c r="J226" s="537"/>
      <c r="K226" s="537"/>
      <c r="L226" s="537"/>
      <c r="M226" s="537"/>
      <c r="N226" s="539"/>
      <c r="O226" s="538"/>
      <c r="P226" s="488"/>
      <c r="Q226" s="488"/>
      <c r="R226" s="559"/>
      <c r="S226" s="538"/>
      <c r="T226" s="538"/>
      <c r="U226" s="560"/>
      <c r="V226" s="441"/>
    </row>
    <row r="227" spans="1:22" ht="23.25">
      <c r="A227" s="441"/>
      <c r="B227" s="1846"/>
      <c r="C227" s="1846"/>
      <c r="D227" s="1846"/>
      <c r="E227" s="1846"/>
      <c r="F227" s="1846"/>
      <c r="G227" s="1846"/>
      <c r="H227" s="1846"/>
      <c r="I227" s="1846"/>
      <c r="J227" s="1846"/>
      <c r="K227" s="1846"/>
      <c r="L227" s="1846"/>
      <c r="M227" s="1846"/>
      <c r="N227" s="1846"/>
      <c r="O227" s="1846"/>
      <c r="P227" s="1846"/>
      <c r="Q227" s="1846"/>
      <c r="R227" s="1846"/>
      <c r="S227" s="1846"/>
      <c r="T227" s="1846"/>
      <c r="U227" s="1846"/>
    </row>
    <row r="228" spans="1:22" ht="23.25" customHeight="1">
      <c r="B228" s="2304" t="s">
        <v>1942</v>
      </c>
      <c r="C228" s="2305"/>
      <c r="D228" s="2305"/>
      <c r="E228" s="2305"/>
      <c r="F228" s="2305"/>
      <c r="G228" s="2305"/>
      <c r="H228" s="2305"/>
      <c r="I228" s="2305"/>
      <c r="J228" s="2305"/>
      <c r="K228" s="2305"/>
      <c r="L228" s="2305"/>
      <c r="M228" s="2305"/>
      <c r="N228" s="2305"/>
      <c r="O228" s="2305"/>
      <c r="P228" s="2305"/>
      <c r="Q228" s="2305"/>
      <c r="R228" s="2305"/>
      <c r="S228" s="2305"/>
      <c r="T228" s="2305"/>
      <c r="U228" s="2386"/>
      <c r="V228" s="441"/>
    </row>
    <row r="229" spans="1:22" ht="23.25" customHeight="1">
      <c r="B229" s="2345" t="s">
        <v>838</v>
      </c>
      <c r="C229" s="2346"/>
      <c r="D229" s="2346"/>
      <c r="E229" s="2346"/>
      <c r="F229" s="2346"/>
      <c r="G229" s="2346"/>
      <c r="H229" s="2346"/>
      <c r="I229" s="2346"/>
      <c r="J229" s="2346"/>
      <c r="K229" s="2346"/>
      <c r="L229" s="2346"/>
      <c r="M229" s="2346"/>
      <c r="N229" s="2346"/>
      <c r="O229" s="2346"/>
      <c r="P229" s="2346"/>
      <c r="Q229" s="2346"/>
      <c r="R229" s="2346"/>
      <c r="S229" s="2346"/>
      <c r="T229" s="2346"/>
      <c r="U229" s="2347"/>
      <c r="V229" s="441"/>
    </row>
    <row r="230" spans="1:22" ht="23.25" customHeight="1">
      <c r="B230" s="466"/>
      <c r="C230" s="441"/>
      <c r="D230" s="441"/>
      <c r="E230" s="441"/>
      <c r="F230" s="441"/>
      <c r="G230" s="441"/>
      <c r="H230" s="441"/>
      <c r="I230" s="441"/>
      <c r="J230" s="441"/>
      <c r="K230" s="441"/>
      <c r="L230" s="441"/>
      <c r="M230" s="441"/>
      <c r="N230" s="441"/>
      <c r="O230" s="441"/>
      <c r="P230" s="441"/>
      <c r="Q230" s="441"/>
      <c r="R230" s="441"/>
      <c r="S230" s="441"/>
      <c r="T230" s="441"/>
      <c r="U230" s="451"/>
    </row>
    <row r="231" spans="1:22" ht="23.25">
      <c r="B231" s="466"/>
      <c r="C231" s="561"/>
      <c r="D231" s="552"/>
      <c r="E231" s="562" t="s">
        <v>482</v>
      </c>
      <c r="F231" s="546" t="s">
        <v>884</v>
      </c>
      <c r="G231" s="441"/>
      <c r="H231" s="531" t="s">
        <v>837</v>
      </c>
      <c r="I231" s="795">
        <v>0.65</v>
      </c>
      <c r="J231" s="552"/>
      <c r="K231" s="552"/>
      <c r="L231" s="564"/>
      <c r="M231" s="553"/>
      <c r="N231" s="548"/>
      <c r="O231" s="554"/>
      <c r="Q231" s="550"/>
      <c r="R231" s="551"/>
      <c r="S231" s="441"/>
      <c r="T231" s="441"/>
      <c r="U231" s="451"/>
    </row>
    <row r="232" spans="1:22" ht="23.25">
      <c r="B232" s="558"/>
      <c r="C232" s="543"/>
      <c r="D232" s="535"/>
      <c r="E232" s="565"/>
      <c r="F232" s="566"/>
      <c r="G232" s="488"/>
      <c r="H232" s="535"/>
      <c r="I232" s="567"/>
      <c r="J232" s="535"/>
      <c r="K232" s="535"/>
      <c r="L232" s="568"/>
      <c r="M232" s="537"/>
      <c r="N232" s="539"/>
      <c r="O232" s="559"/>
      <c r="P232" s="569"/>
      <c r="Q232" s="570"/>
      <c r="R232" s="543"/>
      <c r="S232" s="488"/>
      <c r="T232" s="488"/>
      <c r="U232" s="544"/>
    </row>
    <row r="233" spans="1:22" ht="20.25">
      <c r="B233" s="441"/>
      <c r="C233" s="561"/>
      <c r="D233" s="552"/>
      <c r="E233" s="552"/>
      <c r="F233" s="545"/>
      <c r="G233" s="441"/>
      <c r="H233" s="553"/>
      <c r="I233" s="553"/>
      <c r="J233" s="553"/>
      <c r="K233" s="571"/>
      <c r="L233" s="553"/>
      <c r="M233" s="553"/>
      <c r="N233" s="548"/>
      <c r="O233" s="554"/>
      <c r="P233" s="572"/>
      <c r="Q233" s="573"/>
      <c r="R233" s="561"/>
      <c r="S233" s="441"/>
      <c r="T233" s="441"/>
      <c r="U233" s="441"/>
    </row>
    <row r="234" spans="1:22" ht="23.25">
      <c r="A234" s="441"/>
      <c r="B234" s="2304" t="s">
        <v>483</v>
      </c>
      <c r="C234" s="2305"/>
      <c r="D234" s="2305"/>
      <c r="E234" s="2305"/>
      <c r="F234" s="2305"/>
      <c r="G234" s="2305"/>
      <c r="H234" s="2305"/>
      <c r="I234" s="2305"/>
      <c r="J234" s="2305"/>
      <c r="K234" s="2305"/>
      <c r="L234" s="2305"/>
      <c r="M234" s="2305"/>
      <c r="N234" s="2305"/>
      <c r="O234" s="2305"/>
      <c r="P234" s="2305"/>
      <c r="Q234" s="2305"/>
      <c r="R234" s="2305"/>
      <c r="S234" s="2305"/>
      <c r="T234" s="2305"/>
      <c r="U234" s="2386"/>
    </row>
    <row r="235" spans="1:22" ht="23.25">
      <c r="A235" s="441"/>
      <c r="B235" s="2345" t="s">
        <v>484</v>
      </c>
      <c r="C235" s="2346"/>
      <c r="D235" s="2346"/>
      <c r="E235" s="2346"/>
      <c r="F235" s="2346"/>
      <c r="G235" s="2346"/>
      <c r="H235" s="2346"/>
      <c r="I235" s="2346"/>
      <c r="J235" s="2346"/>
      <c r="K235" s="2346"/>
      <c r="L235" s="2346"/>
      <c r="M235" s="2346"/>
      <c r="N235" s="2346"/>
      <c r="O235" s="2346"/>
      <c r="P235" s="2346"/>
      <c r="Q235" s="2346"/>
      <c r="R235" s="2346"/>
      <c r="S235" s="2346"/>
      <c r="T235" s="2346"/>
      <c r="U235" s="2347"/>
    </row>
    <row r="236" spans="1:22" ht="23.25">
      <c r="A236" s="441"/>
      <c r="B236" s="749"/>
      <c r="C236" s="750"/>
      <c r="D236" s="750"/>
      <c r="E236" s="750"/>
      <c r="F236" s="750"/>
      <c r="G236" s="750"/>
      <c r="H236" s="750"/>
      <c r="I236" s="750"/>
      <c r="J236" s="750"/>
      <c r="K236" s="750"/>
      <c r="L236" s="750"/>
      <c r="M236" s="750"/>
      <c r="N236" s="750"/>
      <c r="O236" s="750"/>
      <c r="P236" s="750"/>
      <c r="Q236" s="750"/>
      <c r="R236" s="750"/>
      <c r="S236" s="750"/>
      <c r="T236" s="750"/>
      <c r="U236" s="751"/>
    </row>
    <row r="237" spans="1:22" ht="23.25">
      <c r="A237" s="441"/>
      <c r="B237" s="749"/>
      <c r="C237" s="576" t="s">
        <v>485</v>
      </c>
      <c r="D237" s="441"/>
      <c r="F237" s="577">
        <v>3</v>
      </c>
      <c r="G237" s="546"/>
      <c r="H237" s="441"/>
      <c r="I237" s="545"/>
      <c r="J237" s="545"/>
      <c r="K237" s="547"/>
      <c r="L237" s="576" t="s">
        <v>486</v>
      </c>
      <c r="Q237" s="577" t="s">
        <v>487</v>
      </c>
      <c r="R237" s="545"/>
      <c r="S237" s="545"/>
      <c r="T237" s="545"/>
      <c r="U237" s="451"/>
    </row>
    <row r="238" spans="1:22" ht="23.25">
      <c r="A238" s="441"/>
      <c r="B238" s="749"/>
      <c r="C238" s="750"/>
      <c r="D238" s="441"/>
      <c r="E238" s="531"/>
      <c r="F238" s="577"/>
      <c r="G238" s="546"/>
      <c r="H238" s="441"/>
      <c r="I238" s="545"/>
      <c r="J238" s="545"/>
      <c r="K238" s="547"/>
      <c r="L238" s="750"/>
      <c r="M238" s="441"/>
      <c r="N238" s="531"/>
      <c r="P238" s="546"/>
      <c r="Q238" s="577"/>
      <c r="R238" s="545"/>
      <c r="S238" s="545"/>
      <c r="T238" s="545"/>
      <c r="U238" s="451"/>
    </row>
    <row r="239" spans="1:22" ht="63.6" customHeight="1">
      <c r="A239" s="441"/>
      <c r="B239" s="578"/>
      <c r="C239" s="2378" t="s">
        <v>489</v>
      </c>
      <c r="D239" s="2378"/>
      <c r="E239" s="2378"/>
      <c r="F239" s="2378"/>
      <c r="G239" s="2378"/>
      <c r="H239" s="2378"/>
      <c r="I239" s="2378"/>
      <c r="J239" s="2378"/>
      <c r="K239" s="579"/>
      <c r="L239" s="2378" t="s">
        <v>490</v>
      </c>
      <c r="M239" s="2378"/>
      <c r="N239" s="2378"/>
      <c r="O239" s="2378"/>
      <c r="P239" s="2378"/>
      <c r="Q239" s="2378"/>
      <c r="R239" s="2378"/>
      <c r="S239" s="2378"/>
      <c r="T239" s="2378"/>
      <c r="U239" s="751"/>
    </row>
    <row r="240" spans="1:22" s="522" customFormat="1" ht="47.25" customHeight="1">
      <c r="B240" s="578"/>
      <c r="C240" s="2378" t="s">
        <v>839</v>
      </c>
      <c r="D240" s="2378"/>
      <c r="E240" s="2378"/>
      <c r="F240" s="2378"/>
      <c r="G240" s="2378"/>
      <c r="H240" s="2378"/>
      <c r="I240" s="2378"/>
      <c r="J240" s="2378"/>
      <c r="K240" s="2378"/>
      <c r="L240" s="2378"/>
      <c r="M240" s="2378"/>
      <c r="N240" s="2378"/>
      <c r="O240" s="2378"/>
      <c r="P240" s="2378"/>
      <c r="Q240" s="2378"/>
      <c r="R240" s="2378"/>
      <c r="S240" s="2378"/>
      <c r="T240" s="2378"/>
      <c r="U240" s="580"/>
    </row>
    <row r="241" spans="1:22" ht="22.9" customHeight="1">
      <c r="A241" s="441"/>
      <c r="B241" s="581"/>
      <c r="C241" s="488"/>
      <c r="D241" s="582"/>
      <c r="E241" s="582"/>
      <c r="F241" s="582"/>
      <c r="G241" s="543"/>
      <c r="H241" s="543"/>
      <c r="I241" s="543"/>
      <c r="J241" s="543"/>
      <c r="K241" s="543"/>
      <c r="L241" s="543"/>
      <c r="M241" s="543"/>
      <c r="N241" s="543"/>
      <c r="O241" s="543"/>
      <c r="P241" s="543"/>
      <c r="Q241" s="543"/>
      <c r="R241" s="543"/>
      <c r="S241" s="543"/>
      <c r="T241" s="543"/>
      <c r="U241" s="557"/>
    </row>
    <row r="242" spans="1:22" ht="23.25">
      <c r="A242" s="441"/>
      <c r="B242" s="520"/>
      <c r="C242" s="583"/>
      <c r="D242" s="583"/>
      <c r="E242" s="583"/>
      <c r="F242" s="583"/>
      <c r="G242" s="561"/>
      <c r="H242" s="561"/>
      <c r="I242" s="561"/>
      <c r="J242" s="561"/>
      <c r="K242" s="561"/>
      <c r="L242" s="561"/>
      <c r="M242" s="561"/>
      <c r="N242" s="561"/>
      <c r="O242" s="561"/>
      <c r="P242" s="561"/>
      <c r="Q242" s="561"/>
      <c r="R242" s="561"/>
      <c r="S242" s="561"/>
      <c r="T242" s="561"/>
      <c r="U242" s="750"/>
    </row>
    <row r="243" spans="1:22" ht="20.25" customHeight="1">
      <c r="B243" s="522"/>
      <c r="C243" s="584"/>
      <c r="D243" s="584"/>
      <c r="E243" s="584"/>
      <c r="F243" s="584"/>
      <c r="G243" s="522"/>
      <c r="H243" s="522"/>
      <c r="I243" s="522"/>
      <c r="J243" s="522"/>
      <c r="K243" s="522"/>
      <c r="L243" s="522"/>
      <c r="M243" s="476" t="s">
        <v>1158</v>
      </c>
      <c r="N243" s="522"/>
      <c r="O243" s="522"/>
      <c r="P243" s="522"/>
      <c r="Q243" s="522"/>
      <c r="R243" s="477" t="s">
        <v>692</v>
      </c>
      <c r="S243" s="478" t="str">
        <f>$E$29</f>
        <v>ILF5_90FCPRCP_B114CAGR43006</v>
      </c>
      <c r="T243" s="522"/>
    </row>
    <row r="244" spans="1:22" ht="16.899999999999999" customHeight="1">
      <c r="B244" s="522"/>
      <c r="C244" s="585"/>
      <c r="D244" s="584"/>
      <c r="E244" s="584"/>
      <c r="F244" s="584"/>
      <c r="G244" s="586"/>
      <c r="H244" s="586"/>
      <c r="I244" s="586"/>
      <c r="J244" s="586"/>
      <c r="K244" s="587"/>
      <c r="L244" s="587"/>
      <c r="M244" s="587"/>
      <c r="N244" s="587"/>
      <c r="O244" s="587"/>
      <c r="P244" s="587"/>
      <c r="Q244" s="561"/>
      <c r="R244" s="561"/>
      <c r="S244" s="441"/>
      <c r="T244" s="441"/>
      <c r="U244" s="588"/>
      <c r="V244" s="441"/>
    </row>
    <row r="245" spans="1:22">
      <c r="A245" s="420"/>
      <c r="B245" s="420"/>
      <c r="C245" s="420"/>
      <c r="D245" s="420"/>
      <c r="E245" s="420"/>
      <c r="F245" s="420"/>
      <c r="G245" s="420"/>
      <c r="H245" s="436" t="s">
        <v>690</v>
      </c>
      <c r="I245" s="420"/>
      <c r="K245" s="420"/>
      <c r="L245" s="437" t="str">
        <f>$B$11</f>
        <v>INMOBILIARIA SERVIGESTION</v>
      </c>
      <c r="M245" s="420"/>
      <c r="N245" s="420"/>
      <c r="O245" s="420"/>
      <c r="P245" s="420"/>
      <c r="Q245" s="420"/>
      <c r="R245" s="420"/>
      <c r="S245" s="420"/>
      <c r="T245" s="420"/>
      <c r="U245" s="420"/>
      <c r="V245" s="420"/>
    </row>
    <row r="246" spans="1:22" ht="34.5">
      <c r="A246" s="420"/>
      <c r="B246" s="2268" t="s">
        <v>461</v>
      </c>
      <c r="C246" s="2268"/>
      <c r="D246" s="2268"/>
      <c r="E246" s="2268"/>
      <c r="F246" s="2268"/>
      <c r="G246" s="2268"/>
      <c r="H246" s="2268"/>
      <c r="I246" s="2268"/>
      <c r="J246" s="2268"/>
      <c r="K246" s="2268"/>
      <c r="L246" s="2268"/>
      <c r="M246" s="2268"/>
      <c r="N246" s="2268"/>
      <c r="O246" s="2268"/>
      <c r="P246" s="2268"/>
      <c r="Q246" s="2268"/>
      <c r="R246" s="2268"/>
      <c r="S246" s="2268"/>
      <c r="T246" s="2268"/>
      <c r="U246" s="2268"/>
      <c r="V246" s="420"/>
    </row>
    <row r="247" spans="1:22" ht="22.9" customHeight="1">
      <c r="A247" s="420"/>
      <c r="B247" s="2269" t="s">
        <v>840</v>
      </c>
      <c r="C247" s="2269"/>
      <c r="D247" s="2269"/>
      <c r="E247" s="2269"/>
      <c r="F247" s="2269"/>
      <c r="G247" s="2269"/>
      <c r="H247" s="2269"/>
      <c r="I247" s="2269"/>
      <c r="J247" s="2269"/>
      <c r="K247" s="2269"/>
      <c r="L247" s="2269"/>
      <c r="M247" s="2269"/>
      <c r="N247" s="2269"/>
      <c r="O247" s="2269"/>
      <c r="P247" s="2269"/>
      <c r="Q247" s="2269"/>
      <c r="R247" s="2269"/>
      <c r="S247" s="2269"/>
      <c r="T247" s="2269"/>
      <c r="U247" s="2269"/>
      <c r="V247" s="420"/>
    </row>
    <row r="248" spans="1:22" ht="16.149999999999999" customHeight="1">
      <c r="A248" s="420"/>
      <c r="B248" s="757"/>
      <c r="C248" s="757"/>
      <c r="D248" s="757"/>
      <c r="E248" s="757"/>
      <c r="F248" s="757"/>
      <c r="G248" s="757"/>
      <c r="H248" s="757"/>
      <c r="I248" s="757"/>
      <c r="J248" s="757"/>
      <c r="K248" s="757"/>
      <c r="L248" s="757"/>
      <c r="M248" s="757"/>
      <c r="N248" s="757"/>
      <c r="O248" s="757"/>
      <c r="Q248" s="757"/>
      <c r="R248" s="757"/>
      <c r="S248" s="757"/>
      <c r="T248" s="757"/>
      <c r="U248" s="757"/>
      <c r="V248" s="420"/>
    </row>
    <row r="249" spans="1:22" ht="26.25">
      <c r="A249" s="504"/>
      <c r="B249" s="2387" t="s">
        <v>893</v>
      </c>
      <c r="C249" s="2388"/>
      <c r="D249" s="2388"/>
      <c r="E249" s="2388"/>
      <c r="F249" s="2388"/>
      <c r="G249" s="2388"/>
      <c r="H249" s="2388"/>
      <c r="I249" s="2388"/>
      <c r="J249" s="2388"/>
      <c r="K249" s="2388"/>
      <c r="L249" s="2388"/>
      <c r="M249" s="2388"/>
      <c r="N249" s="2388"/>
      <c r="O249" s="2388"/>
      <c r="P249" s="2388"/>
      <c r="Q249" s="2388"/>
      <c r="R249" s="2388"/>
      <c r="S249" s="2388"/>
      <c r="T249" s="2388"/>
      <c r="U249" s="2389"/>
      <c r="V249" s="504"/>
    </row>
    <row r="250" spans="1:22" ht="78" customHeight="1">
      <c r="A250" s="504"/>
      <c r="B250" s="2604" t="s">
        <v>1993</v>
      </c>
      <c r="C250" s="2605"/>
      <c r="D250" s="2605"/>
      <c r="E250" s="2605"/>
      <c r="F250" s="2605"/>
      <c r="G250" s="2605"/>
      <c r="H250" s="2605"/>
      <c r="I250" s="2605"/>
      <c r="J250" s="2605"/>
      <c r="K250" s="2605"/>
      <c r="L250" s="2605"/>
      <c r="M250" s="2605"/>
      <c r="N250" s="2605"/>
      <c r="O250" s="2605"/>
      <c r="P250" s="2605"/>
      <c r="Q250" s="2605"/>
      <c r="R250" s="2605"/>
      <c r="S250" s="2605"/>
      <c r="T250" s="2605"/>
      <c r="U250" s="2606"/>
      <c r="V250" s="504"/>
    </row>
    <row r="251" spans="1:22" ht="13.9" customHeight="1">
      <c r="A251" s="504"/>
      <c r="B251" s="801"/>
      <c r="C251" s="800"/>
      <c r="D251" s="800"/>
      <c r="E251" s="800"/>
      <c r="F251" s="800"/>
      <c r="G251" s="800"/>
      <c r="H251" s="800"/>
      <c r="I251" s="800"/>
      <c r="J251" s="800"/>
      <c r="K251" s="800"/>
      <c r="L251" s="800"/>
      <c r="M251" s="800"/>
      <c r="N251" s="800"/>
      <c r="O251" s="800"/>
      <c r="P251" s="800"/>
      <c r="Q251" s="800"/>
      <c r="R251" s="800"/>
      <c r="S251" s="800"/>
      <c r="T251" s="800"/>
      <c r="U251" s="805"/>
      <c r="V251" s="504"/>
    </row>
    <row r="252" spans="1:22" ht="36.75" customHeight="1">
      <c r="A252" s="504"/>
      <c r="B252" s="801"/>
      <c r="C252" s="2390" t="s">
        <v>956</v>
      </c>
      <c r="D252" s="2390"/>
      <c r="E252" s="2390"/>
      <c r="F252" s="2390"/>
      <c r="G252" s="2390"/>
      <c r="H252" s="2390"/>
      <c r="I252" s="2390"/>
      <c r="J252" s="2390"/>
      <c r="K252" s="2390"/>
      <c r="L252" s="2390"/>
      <c r="M252" s="2390"/>
      <c r="N252" s="2390"/>
      <c r="O252" s="2390"/>
      <c r="P252" s="2390"/>
      <c r="Q252" s="2390"/>
      <c r="R252" s="2390"/>
      <c r="S252" s="2390"/>
      <c r="T252" s="2390"/>
      <c r="U252" s="805"/>
      <c r="V252" s="504"/>
    </row>
    <row r="253" spans="1:22" ht="9.75" customHeight="1">
      <c r="A253" s="441"/>
      <c r="B253" s="508"/>
      <c r="C253" s="809"/>
      <c r="D253" s="809"/>
      <c r="E253" s="809"/>
      <c r="F253" s="809"/>
      <c r="G253" s="809"/>
      <c r="H253" s="809"/>
      <c r="I253" s="809"/>
      <c r="J253" s="809"/>
      <c r="K253" s="809"/>
      <c r="L253" s="2365"/>
      <c r="M253" s="2365"/>
      <c r="N253" s="2365"/>
      <c r="O253" s="2365"/>
      <c r="P253" s="2365"/>
      <c r="Q253" s="2365"/>
      <c r="R253" s="2365"/>
      <c r="S253" s="2365"/>
      <c r="T253" s="809"/>
      <c r="U253" s="589"/>
      <c r="V253" s="492"/>
    </row>
    <row r="254" spans="1:22" ht="23.25">
      <c r="B254" s="466"/>
      <c r="C254" s="2335" t="s">
        <v>933</v>
      </c>
      <c r="D254" s="2335"/>
      <c r="E254" s="2335"/>
      <c r="F254" s="2335"/>
      <c r="G254" s="2335"/>
      <c r="H254" s="2335"/>
      <c r="I254" s="2335"/>
      <c r="J254" s="2335"/>
      <c r="K254" s="2335"/>
      <c r="L254" s="441"/>
      <c r="M254" s="2375" t="s">
        <v>910</v>
      </c>
      <c r="N254" s="2376"/>
      <c r="O254" s="2376"/>
      <c r="P254" s="2376"/>
      <c r="Q254" s="2376"/>
      <c r="R254" s="2376"/>
      <c r="S254" s="2376"/>
      <c r="T254" s="2377"/>
      <c r="U254" s="494"/>
      <c r="V254" s="441"/>
    </row>
    <row r="255" spans="1:22" ht="137.44999999999999" customHeight="1">
      <c r="B255" s="495" t="s">
        <v>362</v>
      </c>
      <c r="C255" s="2396" t="s">
        <v>935</v>
      </c>
      <c r="D255" s="2397"/>
      <c r="E255" s="2397"/>
      <c r="F255" s="2397"/>
      <c r="G255" s="2397"/>
      <c r="H255" s="2397"/>
      <c r="I255" s="2397"/>
      <c r="J255" s="2397"/>
      <c r="K255" s="2398"/>
      <c r="L255" s="441"/>
      <c r="M255" s="2396" t="s">
        <v>937</v>
      </c>
      <c r="N255" s="2397"/>
      <c r="O255" s="2397"/>
      <c r="P255" s="2397"/>
      <c r="Q255" s="2397"/>
      <c r="R255" s="2397"/>
      <c r="S255" s="2397"/>
      <c r="T255" s="2398"/>
      <c r="U255" s="494"/>
      <c r="V255" s="441"/>
    </row>
    <row r="256" spans="1:22" ht="26.25">
      <c r="A256" s="441"/>
      <c r="B256" s="496"/>
      <c r="C256" s="2399" t="s">
        <v>934</v>
      </c>
      <c r="D256" s="2399"/>
      <c r="E256" s="2399"/>
      <c r="F256" s="2399"/>
      <c r="G256" s="2399"/>
      <c r="H256" s="497">
        <v>30</v>
      </c>
      <c r="I256" s="498"/>
      <c r="J256" s="498"/>
      <c r="K256" s="498"/>
      <c r="L256" s="499"/>
      <c r="M256" s="2399" t="s">
        <v>934</v>
      </c>
      <c r="N256" s="2399"/>
      <c r="O256" s="2399"/>
      <c r="P256" s="2399"/>
      <c r="Q256" s="2399"/>
      <c r="R256" s="497">
        <v>10</v>
      </c>
      <c r="S256" s="498"/>
      <c r="T256" s="498"/>
      <c r="U256" s="590"/>
    </row>
    <row r="257" spans="1:22" ht="16.149999999999999" customHeight="1">
      <c r="A257" s="420"/>
      <c r="B257" s="485"/>
      <c r="C257" s="475"/>
      <c r="D257" s="475"/>
      <c r="E257" s="475"/>
      <c r="F257" s="475"/>
      <c r="G257" s="475"/>
      <c r="H257" s="475"/>
      <c r="I257" s="475"/>
      <c r="J257" s="475"/>
      <c r="K257" s="475"/>
      <c r="L257" s="475"/>
      <c r="M257" s="475"/>
      <c r="N257" s="475"/>
      <c r="O257" s="475"/>
      <c r="P257" s="441"/>
      <c r="Q257" s="475"/>
      <c r="R257" s="475"/>
      <c r="S257" s="475"/>
      <c r="T257" s="475"/>
      <c r="U257" s="442"/>
      <c r="V257" s="420"/>
    </row>
    <row r="258" spans="1:22" ht="22.15" customHeight="1">
      <c r="A258" s="420"/>
      <c r="B258" s="485"/>
      <c r="C258" s="441"/>
      <c r="D258" s="441"/>
      <c r="E258" s="2406" t="s">
        <v>936</v>
      </c>
      <c r="F258" s="2406"/>
      <c r="G258" s="2406"/>
      <c r="H258" s="2406"/>
      <c r="I258" s="2406"/>
      <c r="J258" s="2406"/>
      <c r="K258" s="2406"/>
      <c r="L258" s="2406"/>
      <c r="M258" s="2406"/>
      <c r="N258" s="2406"/>
      <c r="O258" s="2406"/>
      <c r="P258" s="2406"/>
      <c r="Q258" s="2406"/>
      <c r="R258" s="2406"/>
      <c r="S258" s="2406"/>
      <c r="T258" s="475"/>
      <c r="U258" s="442"/>
      <c r="V258" s="420"/>
    </row>
    <row r="259" spans="1:22" ht="16.149999999999999" customHeight="1">
      <c r="A259" s="420"/>
      <c r="B259" s="485"/>
      <c r="C259" s="441"/>
      <c r="D259" s="441"/>
      <c r="E259" s="591" t="s">
        <v>525</v>
      </c>
      <c r="F259" s="592" t="s">
        <v>543</v>
      </c>
      <c r="G259" s="593" t="s">
        <v>550</v>
      </c>
      <c r="H259" s="593" t="s">
        <v>558</v>
      </c>
      <c r="I259" s="593" t="s">
        <v>580</v>
      </c>
      <c r="J259" s="593" t="s">
        <v>613</v>
      </c>
      <c r="K259" s="593" t="s">
        <v>549</v>
      </c>
      <c r="L259" s="593" t="s">
        <v>622</v>
      </c>
      <c r="M259" s="593" t="s">
        <v>624</v>
      </c>
      <c r="N259" s="593" t="s">
        <v>628</v>
      </c>
      <c r="O259" s="593" t="s">
        <v>928</v>
      </c>
      <c r="P259" s="593" t="s">
        <v>588</v>
      </c>
      <c r="Q259" s="593" t="s">
        <v>930</v>
      </c>
      <c r="R259" s="593" t="s">
        <v>596</v>
      </c>
      <c r="S259" s="594" t="s">
        <v>638</v>
      </c>
      <c r="T259" s="475"/>
      <c r="U259" s="442"/>
      <c r="V259" s="420"/>
    </row>
    <row r="260" spans="1:22">
      <c r="B260" s="466"/>
      <c r="C260" s="592"/>
      <c r="D260" s="592"/>
      <c r="E260" s="591" t="s">
        <v>520</v>
      </c>
      <c r="F260" s="593" t="s">
        <v>548</v>
      </c>
      <c r="G260" s="593" t="s">
        <v>554</v>
      </c>
      <c r="H260" s="593" t="s">
        <v>575</v>
      </c>
      <c r="I260" s="593" t="s">
        <v>595</v>
      </c>
      <c r="J260" s="593" t="s">
        <v>926</v>
      </c>
      <c r="K260" s="593" t="s">
        <v>559</v>
      </c>
      <c r="L260" s="593" t="s">
        <v>567</v>
      </c>
      <c r="M260" s="593" t="s">
        <v>927</v>
      </c>
      <c r="N260" s="593" t="s">
        <v>630</v>
      </c>
      <c r="O260" s="593" t="s">
        <v>929</v>
      </c>
      <c r="P260" s="593" t="s">
        <v>581</v>
      </c>
      <c r="Q260" s="593" t="s">
        <v>586</v>
      </c>
      <c r="R260" s="595" t="s">
        <v>600</v>
      </c>
      <c r="S260" s="596"/>
      <c r="T260" s="597"/>
      <c r="U260" s="451"/>
    </row>
    <row r="261" spans="1:22" ht="7.15" customHeight="1">
      <c r="B261" s="466"/>
      <c r="C261" s="441"/>
      <c r="D261" s="441"/>
      <c r="E261" s="598"/>
      <c r="F261" s="598"/>
      <c r="G261" s="598"/>
      <c r="H261" s="598"/>
      <c r="I261" s="598"/>
      <c r="J261" s="598"/>
      <c r="K261" s="598"/>
      <c r="L261" s="598"/>
      <c r="M261" s="598"/>
      <c r="N261" s="598"/>
      <c r="O261" s="598"/>
      <c r="P261" s="598"/>
      <c r="Q261" s="598"/>
      <c r="R261" s="598"/>
      <c r="S261" s="441"/>
      <c r="T261" s="441"/>
      <c r="U261" s="451"/>
    </row>
    <row r="262" spans="1:22" ht="16.149999999999999" customHeight="1">
      <c r="A262" s="420"/>
      <c r="B262" s="487"/>
      <c r="C262" s="459"/>
      <c r="D262" s="459"/>
      <c r="E262" s="459"/>
      <c r="F262" s="459"/>
      <c r="G262" s="459"/>
      <c r="H262" s="459"/>
      <c r="I262" s="459"/>
      <c r="J262" s="459"/>
      <c r="K262" s="459"/>
      <c r="L262" s="459"/>
      <c r="M262" s="459"/>
      <c r="N262" s="459"/>
      <c r="O262" s="459"/>
      <c r="P262" s="488"/>
      <c r="Q262" s="459"/>
      <c r="R262" s="459"/>
      <c r="S262" s="459"/>
      <c r="T262" s="459"/>
      <c r="U262" s="460"/>
      <c r="V262" s="420"/>
    </row>
    <row r="263" spans="1:22" ht="16.149999999999999" customHeight="1">
      <c r="A263" s="420"/>
      <c r="B263" s="802"/>
      <c r="C263" s="802"/>
      <c r="D263" s="802"/>
      <c r="E263" s="802"/>
      <c r="F263" s="802"/>
      <c r="G263" s="802"/>
      <c r="H263" s="802"/>
      <c r="I263" s="802"/>
      <c r="J263" s="802"/>
      <c r="K263" s="802"/>
      <c r="L263" s="802"/>
      <c r="M263" s="802"/>
      <c r="N263" s="802"/>
      <c r="O263" s="802"/>
      <c r="Q263" s="802"/>
      <c r="R263" s="802"/>
      <c r="S263" s="802"/>
      <c r="T263" s="802"/>
      <c r="U263" s="802"/>
      <c r="V263" s="420"/>
    </row>
    <row r="264" spans="1:22" ht="50.25" customHeight="1">
      <c r="A264" s="429"/>
      <c r="B264" s="2251" t="s">
        <v>792</v>
      </c>
      <c r="C264" s="2251"/>
      <c r="D264" s="2251"/>
      <c r="E264" s="2251"/>
      <c r="F264" s="2251"/>
      <c r="G264" s="2251"/>
      <c r="H264" s="2251"/>
      <c r="I264" s="2251"/>
      <c r="J264" s="2251"/>
      <c r="K264" s="2251"/>
      <c r="L264" s="2251"/>
      <c r="M264" s="2251"/>
      <c r="N264" s="2251"/>
      <c r="O264" s="2251"/>
      <c r="P264" s="2251"/>
      <c r="Q264" s="2251"/>
      <c r="R264" s="2251"/>
      <c r="S264" s="2251"/>
      <c r="T264" s="2251"/>
      <c r="U264" s="2251"/>
      <c r="V264" s="429"/>
    </row>
    <row r="265" spans="1:22" ht="16.149999999999999" customHeight="1">
      <c r="A265" s="420"/>
      <c r="B265" s="757"/>
      <c r="C265" s="757"/>
      <c r="D265" s="757"/>
      <c r="E265" s="757"/>
      <c r="F265" s="757"/>
      <c r="G265" s="757"/>
      <c r="H265" s="757"/>
      <c r="I265" s="757"/>
      <c r="J265" s="757"/>
      <c r="K265" s="757"/>
      <c r="L265" s="757"/>
      <c r="M265" s="757"/>
      <c r="N265" s="757"/>
      <c r="O265" s="757"/>
      <c r="P265" s="757"/>
      <c r="Q265" s="757"/>
      <c r="R265" s="757"/>
      <c r="S265" s="757"/>
      <c r="T265" s="757"/>
      <c r="U265" s="757"/>
      <c r="V265" s="420"/>
    </row>
    <row r="266" spans="1:22" ht="22.9" customHeight="1">
      <c r="B266" s="600"/>
      <c r="C266" s="601"/>
      <c r="D266" s="601"/>
      <c r="E266" s="601"/>
      <c r="F266" s="601"/>
      <c r="G266" s="601"/>
      <c r="H266" s="601"/>
      <c r="I266" s="601"/>
      <c r="J266" s="601"/>
      <c r="K266" s="601"/>
      <c r="L266" s="601"/>
      <c r="M266" s="601"/>
      <c r="N266" s="601"/>
      <c r="O266" s="601"/>
      <c r="P266" s="601"/>
      <c r="Q266" s="601"/>
      <c r="R266" s="601"/>
      <c r="S266" s="601"/>
      <c r="T266" s="747"/>
      <c r="U266" s="603"/>
      <c r="V266" s="441"/>
    </row>
    <row r="267" spans="1:22" ht="16.149999999999999" customHeight="1">
      <c r="A267" s="420"/>
      <c r="B267" s="485"/>
      <c r="C267" s="441"/>
      <c r="D267" s="441"/>
      <c r="E267" s="441"/>
      <c r="F267" s="441"/>
      <c r="G267" s="441"/>
      <c r="H267" s="441"/>
      <c r="I267" s="441"/>
      <c r="J267" s="441"/>
      <c r="K267" s="475"/>
      <c r="L267" s="475"/>
      <c r="M267" s="604"/>
      <c r="N267" s="605"/>
      <c r="O267" s="605"/>
      <c r="P267" s="606"/>
      <c r="Q267" s="607"/>
      <c r="R267" s="475"/>
      <c r="S267" s="475"/>
      <c r="T267" s="475"/>
      <c r="U267" s="442"/>
      <c r="V267" s="420"/>
    </row>
    <row r="268" spans="1:22" ht="46.9" customHeight="1">
      <c r="A268" s="420"/>
      <c r="B268" s="466"/>
      <c r="C268" s="2412" t="s">
        <v>492</v>
      </c>
      <c r="D268" s="2412"/>
      <c r="E268" s="2412"/>
      <c r="F268" s="2412"/>
      <c r="G268" s="2412"/>
      <c r="H268" s="2412"/>
      <c r="I268" s="2412"/>
      <c r="J268" s="2412"/>
      <c r="K268" s="741"/>
      <c r="L268" s="2392" t="s">
        <v>493</v>
      </c>
      <c r="M268" s="2393"/>
      <c r="N268" s="2393"/>
      <c r="O268" s="2393"/>
      <c r="P268" s="2393"/>
      <c r="Q268" s="2393"/>
      <c r="R268" s="2393"/>
      <c r="S268" s="2393"/>
      <c r="T268" s="2393"/>
      <c r="U268" s="2394"/>
      <c r="V268" s="420"/>
    </row>
    <row r="269" spans="1:22" ht="30" customHeight="1">
      <c r="A269" s="420"/>
      <c r="B269" s="485"/>
      <c r="C269" s="754"/>
      <c r="D269" s="754"/>
      <c r="E269" s="754"/>
      <c r="F269" s="754"/>
      <c r="G269" s="754"/>
      <c r="H269" s="754"/>
      <c r="I269" s="754"/>
      <c r="J269" s="754"/>
      <c r="K269" s="475"/>
      <c r="L269" s="475"/>
      <c r="M269" s="609"/>
      <c r="N269" s="609"/>
      <c r="O269" s="609"/>
      <c r="P269" s="609"/>
      <c r="Q269" s="609"/>
      <c r="R269" s="609"/>
      <c r="S269" s="609"/>
      <c r="T269" s="609"/>
      <c r="U269" s="442"/>
      <c r="V269" s="420"/>
    </row>
    <row r="270" spans="1:22" ht="22.15" customHeight="1">
      <c r="A270" s="420"/>
      <c r="B270" s="485"/>
      <c r="C270" s="2411" t="s">
        <v>494</v>
      </c>
      <c r="D270" s="2411"/>
      <c r="E270" s="2411"/>
      <c r="F270" s="2411"/>
      <c r="G270" s="2411"/>
      <c r="H270" s="2411"/>
      <c r="I270" s="2411"/>
      <c r="J270" s="561"/>
      <c r="K270" s="475"/>
      <c r="L270" s="2308" t="s">
        <v>495</v>
      </c>
      <c r="M270" s="2308"/>
      <c r="N270" s="2308"/>
      <c r="O270" s="2308"/>
      <c r="P270" s="610"/>
      <c r="Q270" s="2308" t="s">
        <v>501</v>
      </c>
      <c r="R270" s="2308"/>
      <c r="S270" s="2308"/>
      <c r="T270" s="2308"/>
      <c r="U270" s="2385"/>
      <c r="V270" s="420"/>
    </row>
    <row r="271" spans="1:22" ht="16.5" customHeight="1">
      <c r="A271" s="420"/>
      <c r="B271" s="485"/>
      <c r="C271" s="772"/>
      <c r="D271" s="772"/>
      <c r="E271" s="772"/>
      <c r="F271" s="772"/>
      <c r="G271" s="772"/>
      <c r="H271" s="772"/>
      <c r="I271" s="772"/>
      <c r="J271" s="561"/>
      <c r="K271" s="475"/>
      <c r="L271" s="475"/>
      <c r="M271" s="531"/>
      <c r="N271" s="795"/>
      <c r="O271" s="552"/>
      <c r="P271" s="806"/>
      <c r="Q271" s="806"/>
      <c r="R271" s="806"/>
      <c r="S271" s="806"/>
      <c r="T271" s="806"/>
      <c r="U271" s="442"/>
      <c r="V271" s="420"/>
    </row>
    <row r="272" spans="1:22" ht="27" customHeight="1">
      <c r="A272" s="420"/>
      <c r="B272" s="485"/>
      <c r="C272" s="548"/>
      <c r="D272" s="612"/>
      <c r="E272" s="771" t="s">
        <v>311</v>
      </c>
      <c r="F272" s="771" t="s">
        <v>312</v>
      </c>
      <c r="G272" s="771" t="s">
        <v>327</v>
      </c>
      <c r="H272" s="771" t="s">
        <v>496</v>
      </c>
      <c r="I272" s="771" t="s">
        <v>497</v>
      </c>
      <c r="J272" s="771" t="s">
        <v>498</v>
      </c>
      <c r="K272" s="475"/>
      <c r="L272" s="1940"/>
      <c r="M272" s="1941" t="s">
        <v>1919</v>
      </c>
      <c r="N272" s="1942" t="s">
        <v>312</v>
      </c>
      <c r="O272" s="1942" t="s">
        <v>327</v>
      </c>
      <c r="P272" s="1865"/>
      <c r="Q272" s="1894"/>
      <c r="R272" s="1894"/>
      <c r="S272" s="2351" t="s">
        <v>502</v>
      </c>
      <c r="T272" s="2352"/>
      <c r="U272" s="2353"/>
      <c r="V272" s="475"/>
    </row>
    <row r="273" spans="1:30" ht="25.5" customHeight="1">
      <c r="A273" s="420"/>
      <c r="B273" s="485"/>
      <c r="C273" s="2407" t="s">
        <v>499</v>
      </c>
      <c r="D273" s="2407"/>
      <c r="E273" s="614">
        <f t="shared" ref="E273:J273" si="0">0.45*(1-0.45)</f>
        <v>0.24750000000000003</v>
      </c>
      <c r="F273" s="614">
        <f t="shared" si="0"/>
        <v>0.24750000000000003</v>
      </c>
      <c r="G273" s="614">
        <f t="shared" si="0"/>
        <v>0.24750000000000003</v>
      </c>
      <c r="H273" s="614">
        <f t="shared" si="0"/>
        <v>0.24750000000000003</v>
      </c>
      <c r="I273" s="614">
        <f t="shared" si="0"/>
        <v>0.24750000000000003</v>
      </c>
      <c r="J273" s="614">
        <f t="shared" si="0"/>
        <v>0.24750000000000003</v>
      </c>
      <c r="K273" s="475"/>
      <c r="L273" s="1943" t="s">
        <v>938</v>
      </c>
      <c r="M273" s="615">
        <v>0</v>
      </c>
      <c r="N273" s="614">
        <v>0.82499999999999996</v>
      </c>
      <c r="O273" s="614">
        <f>N273</f>
        <v>0.82499999999999996</v>
      </c>
      <c r="P273" s="1865"/>
      <c r="Q273" s="1944"/>
      <c r="R273" s="1944"/>
      <c r="S273" s="1941" t="s">
        <v>1919</v>
      </c>
      <c r="T273" s="1942" t="s">
        <v>312</v>
      </c>
      <c r="U273" s="1942" t="s">
        <v>327</v>
      </c>
      <c r="V273" s="475"/>
    </row>
    <row r="274" spans="1:30" ht="25.5" customHeight="1">
      <c r="A274" s="420"/>
      <c r="B274" s="485"/>
      <c r="C274" s="2407" t="s">
        <v>500</v>
      </c>
      <c r="D274" s="2407"/>
      <c r="E274" s="616">
        <v>0.26400000000000001</v>
      </c>
      <c r="F274" s="616">
        <v>0.39600000000000002</v>
      </c>
      <c r="G274" s="616">
        <v>0.42899999999999999</v>
      </c>
      <c r="H274" s="616">
        <v>0.627</v>
      </c>
      <c r="I274" s="616">
        <v>0.75900000000000001</v>
      </c>
      <c r="J274" s="616">
        <v>0.89100000000000001</v>
      </c>
      <c r="K274" s="475"/>
      <c r="L274" s="1943" t="s">
        <v>939</v>
      </c>
      <c r="M274" s="1945" t="s">
        <v>1920</v>
      </c>
      <c r="N274" s="1946">
        <v>0.77</v>
      </c>
      <c r="O274" s="1946">
        <v>1.21</v>
      </c>
      <c r="P274" s="1865"/>
      <c r="Q274" s="2354" t="s">
        <v>503</v>
      </c>
      <c r="R274" s="2354"/>
      <c r="S274" s="1947" t="s">
        <v>1921</v>
      </c>
      <c r="T274" s="1948">
        <v>1.5</v>
      </c>
      <c r="U274" s="1948">
        <v>1.5</v>
      </c>
      <c r="V274" s="475"/>
    </row>
    <row r="275" spans="1:30" ht="18.75" customHeight="1">
      <c r="A275" s="420"/>
      <c r="B275" s="485"/>
      <c r="C275" s="548"/>
      <c r="D275" s="548"/>
      <c r="E275" s="548"/>
      <c r="F275" s="548"/>
      <c r="G275" s="548"/>
      <c r="H275" s="548"/>
      <c r="I275" s="548"/>
      <c r="J275" s="548"/>
      <c r="K275" s="475"/>
      <c r="L275" s="1940"/>
      <c r="M275" s="1865"/>
      <c r="N275" s="1865"/>
      <c r="O275" s="1865"/>
      <c r="P275" s="1865"/>
      <c r="Q275" s="2355" t="s">
        <v>506</v>
      </c>
      <c r="R275" s="1941" t="s">
        <v>1919</v>
      </c>
      <c r="S275" s="1947" t="s">
        <v>1921</v>
      </c>
      <c r="T275" s="1948">
        <v>1.4</v>
      </c>
      <c r="U275" s="1948">
        <v>2.6</v>
      </c>
      <c r="V275" s="475"/>
    </row>
    <row r="276" spans="1:30" ht="23.25">
      <c r="A276" s="420"/>
      <c r="B276" s="485"/>
      <c r="C276" s="548"/>
      <c r="D276" s="548"/>
      <c r="E276" s="548"/>
      <c r="F276" s="548"/>
      <c r="G276" s="548"/>
      <c r="H276" s="548"/>
      <c r="I276" s="548"/>
      <c r="J276" s="548"/>
      <c r="K276" s="475"/>
      <c r="L276" s="1940"/>
      <c r="M276" s="1867"/>
      <c r="N276" s="1867"/>
      <c r="O276" s="1867"/>
      <c r="P276" s="1949"/>
      <c r="Q276" s="2355"/>
      <c r="R276" s="1950" t="s">
        <v>312</v>
      </c>
      <c r="S276" s="1947">
        <v>1.26</v>
      </c>
      <c r="T276" s="1948">
        <v>1.4</v>
      </c>
      <c r="U276" s="1948">
        <v>2.6</v>
      </c>
      <c r="V276" s="475"/>
    </row>
    <row r="277" spans="1:30" ht="16.149999999999999" customHeight="1">
      <c r="A277" s="420"/>
      <c r="B277" s="485"/>
      <c r="C277" s="548"/>
      <c r="D277" s="548"/>
      <c r="E277" s="548"/>
      <c r="F277" s="548"/>
      <c r="G277" s="548"/>
      <c r="H277" s="548"/>
      <c r="I277" s="548"/>
      <c r="J277" s="548"/>
      <c r="K277" s="475"/>
      <c r="L277" s="1940"/>
      <c r="M277" s="1867"/>
      <c r="N277" s="1867"/>
      <c r="O277" s="1867"/>
      <c r="P277" s="1865"/>
      <c r="Q277" s="2355"/>
      <c r="R277" s="1950" t="s">
        <v>327</v>
      </c>
      <c r="S277" s="1947">
        <v>2.3400000000000003</v>
      </c>
      <c r="T277" s="1948">
        <v>2.6</v>
      </c>
      <c r="U277" s="1948">
        <v>2.6</v>
      </c>
      <c r="V277" s="475"/>
    </row>
    <row r="278" spans="1:30" ht="24" customHeight="1">
      <c r="A278" s="420"/>
      <c r="B278" s="485"/>
      <c r="C278" s="441"/>
      <c r="D278" s="441"/>
      <c r="E278" s="441"/>
      <c r="F278" s="441"/>
      <c r="G278" s="441"/>
      <c r="H278" s="441"/>
      <c r="I278" s="441"/>
      <c r="J278" s="441"/>
      <c r="K278" s="475"/>
      <c r="L278" s="475"/>
      <c r="M278" s="441"/>
      <c r="N278" s="441"/>
      <c r="O278" s="441"/>
      <c r="P278" s="441"/>
      <c r="Q278" s="441"/>
      <c r="R278" s="618"/>
      <c r="S278" s="441"/>
      <c r="T278" s="441"/>
      <c r="U278" s="442"/>
      <c r="V278" s="475"/>
    </row>
    <row r="279" spans="1:30" ht="23.25">
      <c r="A279" s="420"/>
      <c r="B279" s="485"/>
      <c r="C279" s="2411" t="s">
        <v>234</v>
      </c>
      <c r="D279" s="2411"/>
      <c r="E279" s="2411"/>
      <c r="F279" s="2411"/>
      <c r="G279" s="2411"/>
      <c r="H279" s="2411"/>
      <c r="I279" s="2411"/>
      <c r="J279" s="441"/>
      <c r="K279" s="475"/>
      <c r="L279" s="2308" t="s">
        <v>510</v>
      </c>
      <c r="M279" s="2308"/>
      <c r="N279" s="2308"/>
      <c r="O279" s="2308"/>
      <c r="P279" s="610"/>
      <c r="Q279" s="2308" t="s">
        <v>507</v>
      </c>
      <c r="R279" s="2308"/>
      <c r="S279" s="2308"/>
      <c r="T279" s="2308"/>
      <c r="U279" s="2385"/>
      <c r="V279" s="475"/>
    </row>
    <row r="280" spans="1:30" s="437" customFormat="1" ht="27.75" customHeight="1">
      <c r="A280" s="785"/>
      <c r="B280" s="786"/>
      <c r="C280" s="619"/>
      <c r="D280" s="619"/>
      <c r="E280" s="619"/>
      <c r="F280" s="619"/>
      <c r="G280" s="619"/>
      <c r="H280" s="619"/>
      <c r="I280" s="619"/>
      <c r="J280" s="619"/>
      <c r="K280" s="787"/>
      <c r="L280" s="2308"/>
      <c r="M280" s="2308"/>
      <c r="N280" s="2308"/>
      <c r="O280" s="2308"/>
      <c r="P280" s="441"/>
      <c r="Q280" s="441"/>
      <c r="R280" s="1856"/>
      <c r="S280" s="1856"/>
      <c r="T280" s="1856"/>
      <c r="U280" s="442"/>
      <c r="V280" s="475"/>
    </row>
    <row r="281" spans="1:30" s="437" customFormat="1" ht="27.75" customHeight="1">
      <c r="A281" s="785"/>
      <c r="B281" s="786"/>
      <c r="C281" s="743"/>
      <c r="D281" s="619"/>
      <c r="E281" s="621" t="s">
        <v>504</v>
      </c>
      <c r="F281" s="827" t="s">
        <v>1007</v>
      </c>
      <c r="G281" s="546"/>
      <c r="H281" s="619"/>
      <c r="I281" s="545"/>
      <c r="J281" s="619"/>
      <c r="K281" s="787"/>
      <c r="L281" s="2308"/>
      <c r="M281" s="2308"/>
      <c r="N281" s="2308"/>
      <c r="O281" s="2308"/>
      <c r="P281" s="624"/>
      <c r="Q281" s="1951"/>
      <c r="R281" s="1952"/>
      <c r="S281" s="2408" t="s">
        <v>508</v>
      </c>
      <c r="T281" s="2409"/>
      <c r="U281" s="2410"/>
      <c r="V281" s="475"/>
    </row>
    <row r="282" spans="1:30" s="437" customFormat="1" ht="27.75" customHeight="1">
      <c r="A282" s="785"/>
      <c r="B282" s="786"/>
      <c r="C282" s="619"/>
      <c r="D282" s="619"/>
      <c r="E282" s="619"/>
      <c r="F282" s="619"/>
      <c r="G282" s="619"/>
      <c r="H282" s="619"/>
      <c r="I282" s="619"/>
      <c r="J282" s="619"/>
      <c r="K282" s="787"/>
      <c r="L282" s="2308"/>
      <c r="M282" s="2308"/>
      <c r="N282" s="2308"/>
      <c r="O282" s="2308"/>
      <c r="P282" s="624"/>
      <c r="Q282" s="1951"/>
      <c r="R282" s="1953"/>
      <c r="S282" s="1941" t="s">
        <v>1919</v>
      </c>
      <c r="T282" s="1954" t="s">
        <v>312</v>
      </c>
      <c r="U282" s="1954" t="s">
        <v>327</v>
      </c>
      <c r="V282" s="475"/>
    </row>
    <row r="283" spans="1:30" s="437" customFormat="1" ht="27.75" customHeight="1">
      <c r="A283" s="785"/>
      <c r="B283" s="786"/>
      <c r="C283" s="619"/>
      <c r="D283" s="619"/>
      <c r="E283" s="619"/>
      <c r="F283" s="619"/>
      <c r="G283" s="619"/>
      <c r="H283" s="619"/>
      <c r="I283" s="619"/>
      <c r="J283" s="619"/>
      <c r="K283" s="787"/>
      <c r="L283" s="1855"/>
      <c r="M283" s="624"/>
      <c r="N283" s="624"/>
      <c r="O283" s="624"/>
      <c r="P283" s="624"/>
      <c r="Q283" s="2506" t="s">
        <v>509</v>
      </c>
      <c r="R283" s="1941" t="s">
        <v>1919</v>
      </c>
      <c r="S283" s="1947" t="s">
        <v>1921</v>
      </c>
      <c r="T283" s="1948">
        <v>1</v>
      </c>
      <c r="U283" s="1948">
        <v>1</v>
      </c>
      <c r="V283" s="475"/>
    </row>
    <row r="284" spans="1:30" ht="16.149999999999999" customHeight="1">
      <c r="A284" s="420"/>
      <c r="B284" s="485"/>
      <c r="C284" s="441"/>
      <c r="D284" s="441"/>
      <c r="E284" s="441"/>
      <c r="F284" s="441"/>
      <c r="G284" s="441"/>
      <c r="H284" s="441"/>
      <c r="I284" s="441"/>
      <c r="J284" s="441"/>
      <c r="K284" s="475"/>
      <c r="L284" s="1855"/>
      <c r="M284" s="624"/>
      <c r="N284" s="624"/>
      <c r="O284" s="624"/>
      <c r="P284" s="624"/>
      <c r="Q284" s="2506"/>
      <c r="R284" s="1954" t="s">
        <v>312</v>
      </c>
      <c r="S284" s="1948">
        <v>1</v>
      </c>
      <c r="T284" s="1948">
        <v>1</v>
      </c>
      <c r="U284" s="1948">
        <v>1</v>
      </c>
      <c r="V284" s="475"/>
    </row>
    <row r="285" spans="1:30" ht="22.15" customHeight="1">
      <c r="A285" s="420"/>
      <c r="B285" s="485"/>
      <c r="C285" s="548"/>
      <c r="D285" s="548"/>
      <c r="E285" s="548"/>
      <c r="F285" s="548"/>
      <c r="G285" s="548"/>
      <c r="H285" s="548"/>
      <c r="I285" s="548"/>
      <c r="J285" s="548"/>
      <c r="K285" s="475"/>
      <c r="L285" s="1855"/>
      <c r="M285" s="624"/>
      <c r="N285" s="624"/>
      <c r="O285" s="624"/>
      <c r="P285" s="624"/>
      <c r="Q285" s="2506"/>
      <c r="R285" s="1954" t="s">
        <v>327</v>
      </c>
      <c r="S285" s="1948">
        <v>1</v>
      </c>
      <c r="T285" s="1948">
        <v>1</v>
      </c>
      <c r="U285" s="1948">
        <v>1</v>
      </c>
      <c r="V285" s="475"/>
    </row>
    <row r="286" spans="1:30" ht="17.45" customHeight="1">
      <c r="A286" s="420"/>
      <c r="B286" s="485"/>
      <c r="C286" s="548"/>
      <c r="D286" s="548"/>
      <c r="E286" s="548"/>
      <c r="F286" s="548"/>
      <c r="G286" s="548"/>
      <c r="H286" s="548"/>
      <c r="I286" s="548"/>
      <c r="J286" s="548"/>
      <c r="K286" s="475"/>
      <c r="L286" s="623"/>
      <c r="M286" s="808"/>
      <c r="N286" s="561"/>
      <c r="O286" s="561"/>
      <c r="P286" s="561"/>
      <c r="Q286" s="561"/>
      <c r="R286" s="561"/>
      <c r="S286" s="561"/>
      <c r="T286" s="561"/>
      <c r="U286" s="442"/>
      <c r="V286" s="475"/>
    </row>
    <row r="287" spans="1:30" s="625" customFormat="1" ht="24" customHeight="1">
      <c r="A287" s="620"/>
      <c r="B287" s="508"/>
      <c r="C287" s="623"/>
      <c r="D287" s="623"/>
      <c r="E287" s="623"/>
      <c r="F287" s="623"/>
      <c r="G287" s="623"/>
      <c r="H287" s="623"/>
      <c r="I287" s="623"/>
      <c r="J287" s="623"/>
      <c r="K287" s="741"/>
      <c r="L287" s="2308" t="s">
        <v>986</v>
      </c>
      <c r="M287" s="2308"/>
      <c r="N287" s="2308"/>
      <c r="O287" s="2308"/>
      <c r="P287" s="561"/>
      <c r="Q287" s="2308" t="s">
        <v>987</v>
      </c>
      <c r="R287" s="2308"/>
      <c r="S287" s="2308"/>
      <c r="T287" s="2308"/>
      <c r="U287" s="442"/>
      <c r="V287" s="475"/>
    </row>
    <row r="288" spans="1:30" s="625" customFormat="1" ht="24" customHeight="1">
      <c r="A288" s="620"/>
      <c r="B288" s="508"/>
      <c r="C288" s="623"/>
      <c r="D288" s="623"/>
      <c r="E288" s="623"/>
      <c r="F288" s="623"/>
      <c r="G288" s="623"/>
      <c r="H288" s="623"/>
      <c r="I288" s="623"/>
      <c r="J288" s="623"/>
      <c r="K288" s="741"/>
      <c r="L288" s="2308"/>
      <c r="M288" s="2308"/>
      <c r="N288" s="2308"/>
      <c r="O288" s="2308"/>
      <c r="P288" s="561"/>
      <c r="Q288" s="2308"/>
      <c r="R288" s="2308"/>
      <c r="S288" s="2308"/>
      <c r="T288" s="2308"/>
      <c r="U288" s="599"/>
      <c r="V288" s="475"/>
      <c r="Z288" s="2505"/>
      <c r="AA288" s="2505"/>
      <c r="AB288" s="2505"/>
      <c r="AC288" s="2505"/>
      <c r="AD288" s="2505"/>
    </row>
    <row r="289" spans="1:30" s="625" customFormat="1" ht="61.5" customHeight="1">
      <c r="A289" s="620"/>
      <c r="B289" s="508"/>
      <c r="C289" s="623"/>
      <c r="D289" s="623"/>
      <c r="E289" s="623"/>
      <c r="F289" s="623"/>
      <c r="G289" s="623"/>
      <c r="H289" s="623"/>
      <c r="I289" s="623"/>
      <c r="J289" s="623"/>
      <c r="K289" s="741"/>
      <c r="L289" s="1867"/>
      <c r="M289" s="1867"/>
      <c r="N289" s="1867"/>
      <c r="O289" s="1867"/>
      <c r="P289" s="1865"/>
      <c r="Q289" s="1951"/>
      <c r="R289" s="1865"/>
      <c r="S289" s="1986" t="s">
        <v>1922</v>
      </c>
      <c r="T289" s="1986" t="s">
        <v>1962</v>
      </c>
      <c r="U289" s="1976"/>
      <c r="V289" s="475"/>
      <c r="Z289" s="2505"/>
      <c r="AA289" s="2505"/>
      <c r="AB289" s="775"/>
      <c r="AC289" s="775"/>
      <c r="AD289" s="775"/>
    </row>
    <row r="290" spans="1:30" s="625" customFormat="1" ht="24" customHeight="1">
      <c r="A290" s="620"/>
      <c r="B290" s="508"/>
      <c r="C290" s="623"/>
      <c r="D290" s="623"/>
      <c r="E290" s="623"/>
      <c r="F290" s="623"/>
      <c r="G290" s="623"/>
      <c r="H290" s="623"/>
      <c r="I290" s="623"/>
      <c r="J290" s="623"/>
      <c r="K290" s="741"/>
      <c r="L290" s="1956"/>
      <c r="M290" s="1941" t="s">
        <v>1919</v>
      </c>
      <c r="N290" s="1942" t="s">
        <v>312</v>
      </c>
      <c r="O290" s="1942" t="s">
        <v>327</v>
      </c>
      <c r="P290" s="1934"/>
      <c r="Q290" s="2356" t="s">
        <v>960</v>
      </c>
      <c r="R290" s="2357"/>
      <c r="S290" s="2360">
        <v>1</v>
      </c>
      <c r="T290" s="2360">
        <v>8</v>
      </c>
      <c r="U290" s="599"/>
      <c r="V290" s="475"/>
      <c r="Z290" s="2505"/>
      <c r="AA290" s="775"/>
      <c r="AB290" s="627"/>
      <c r="AC290" s="627"/>
      <c r="AD290" s="627"/>
    </row>
    <row r="291" spans="1:30" s="625" customFormat="1" ht="18" customHeight="1">
      <c r="A291" s="620"/>
      <c r="B291" s="508"/>
      <c r="C291" s="623"/>
      <c r="D291" s="623"/>
      <c r="E291" s="623"/>
      <c r="F291" s="623"/>
      <c r="G291" s="623"/>
      <c r="H291" s="623"/>
      <c r="I291" s="623"/>
      <c r="J291" s="623"/>
      <c r="K291" s="741"/>
      <c r="L291" s="1957" t="s">
        <v>988</v>
      </c>
      <c r="M291" s="1947" t="s">
        <v>1921</v>
      </c>
      <c r="N291" s="2362" t="s">
        <v>957</v>
      </c>
      <c r="O291" s="2363"/>
      <c r="P291" s="1958"/>
      <c r="Q291" s="2358"/>
      <c r="R291" s="2359"/>
      <c r="S291" s="2361"/>
      <c r="T291" s="2361"/>
      <c r="U291" s="599"/>
      <c r="V291" s="475"/>
      <c r="Z291" s="2505"/>
      <c r="AA291" s="775"/>
      <c r="AB291" s="627"/>
      <c r="AC291" s="627"/>
      <c r="AD291" s="627"/>
    </row>
    <row r="292" spans="1:30" ht="16.149999999999999" customHeight="1">
      <c r="A292" s="420"/>
      <c r="B292" s="485"/>
      <c r="C292" s="548"/>
      <c r="D292" s="548"/>
      <c r="E292" s="548"/>
      <c r="F292" s="548"/>
      <c r="G292" s="548"/>
      <c r="H292" s="548"/>
      <c r="I292" s="548"/>
      <c r="J292" s="548"/>
      <c r="K292" s="475"/>
      <c r="L292" s="1867"/>
      <c r="M292" s="1959"/>
      <c r="N292" s="1959"/>
      <c r="O292" s="1959"/>
      <c r="P292" s="1959"/>
      <c r="Q292" s="2379" t="s">
        <v>961</v>
      </c>
      <c r="R292" s="2380"/>
      <c r="S292" s="2383">
        <v>4.5</v>
      </c>
      <c r="T292" s="2360">
        <v>30</v>
      </c>
      <c r="U292" s="1960"/>
      <c r="V292" s="475"/>
      <c r="Z292" s="2505"/>
      <c r="AA292" s="775"/>
      <c r="AB292" s="627"/>
      <c r="AC292" s="627"/>
      <c r="AD292" s="627"/>
    </row>
    <row r="293" spans="1:30" ht="31.9" customHeight="1">
      <c r="A293" s="429"/>
      <c r="B293" s="633"/>
      <c r="C293" s="634"/>
      <c r="D293" s="634"/>
      <c r="E293" s="634"/>
      <c r="F293" s="634"/>
      <c r="G293" s="634"/>
      <c r="H293" s="634"/>
      <c r="I293" s="634"/>
      <c r="J293" s="634"/>
      <c r="K293" s="634"/>
      <c r="L293" s="1961"/>
      <c r="M293" s="1961"/>
      <c r="N293" s="1961"/>
      <c r="O293" s="1961"/>
      <c r="P293" s="1959"/>
      <c r="Q293" s="2381"/>
      <c r="R293" s="2382"/>
      <c r="S293" s="2384"/>
      <c r="T293" s="2361"/>
      <c r="U293" s="1960"/>
      <c r="V293" s="475"/>
    </row>
    <row r="294" spans="1:30" ht="17.45" customHeight="1">
      <c r="A294" s="429"/>
      <c r="B294" s="637"/>
      <c r="C294" s="635"/>
      <c r="D294" s="635"/>
      <c r="E294" s="635"/>
      <c r="F294" s="635"/>
      <c r="G294" s="635"/>
      <c r="H294" s="635"/>
      <c r="I294" s="635"/>
      <c r="J294" s="635"/>
      <c r="K294" s="635"/>
      <c r="L294" s="475"/>
      <c r="M294" s="475"/>
      <c r="N294" s="475"/>
      <c r="O294" s="475"/>
      <c r="P294" s="475"/>
      <c r="Q294" s="475"/>
      <c r="R294" s="475"/>
      <c r="S294" s="475"/>
      <c r="T294" s="475"/>
      <c r="U294" s="638"/>
      <c r="V294" s="475"/>
    </row>
    <row r="295" spans="1:30" ht="8.4499999999999993" customHeight="1">
      <c r="A295" s="429"/>
      <c r="B295" s="637"/>
      <c r="C295" s="635"/>
      <c r="D295" s="635"/>
      <c r="E295" s="635"/>
      <c r="F295" s="635"/>
      <c r="G295" s="635"/>
      <c r="H295" s="635"/>
      <c r="I295" s="635"/>
      <c r="J295" s="635"/>
      <c r="K295" s="635"/>
      <c r="L295" s="475"/>
      <c r="M295" s="475"/>
      <c r="N295" s="475"/>
      <c r="O295" s="475"/>
      <c r="P295" s="475"/>
      <c r="Q295" s="475"/>
      <c r="R295" s="475"/>
      <c r="S295" s="475"/>
      <c r="T295" s="475"/>
      <c r="U295" s="638"/>
      <c r="V295" s="475"/>
    </row>
    <row r="296" spans="1:30" ht="8.4499999999999993" customHeight="1">
      <c r="A296" s="429"/>
      <c r="B296" s="637"/>
      <c r="C296" s="635"/>
      <c r="D296" s="635"/>
      <c r="E296" s="635"/>
      <c r="F296" s="635"/>
      <c r="G296" s="635"/>
      <c r="H296" s="635"/>
      <c r="I296" s="635"/>
      <c r="J296" s="635"/>
      <c r="K296" s="635"/>
      <c r="L296" s="475"/>
      <c r="M296" s="475"/>
      <c r="N296" s="475"/>
      <c r="O296" s="475"/>
      <c r="P296" s="475"/>
      <c r="Q296" s="475"/>
      <c r="R296" s="475"/>
      <c r="S296" s="475"/>
      <c r="T296" s="475"/>
      <c r="U296" s="638"/>
      <c r="V296" s="475"/>
    </row>
    <row r="297" spans="1:30" ht="8.4499999999999993" customHeight="1">
      <c r="A297" s="429"/>
      <c r="B297" s="637"/>
      <c r="C297" s="635"/>
      <c r="D297" s="635"/>
      <c r="E297" s="635"/>
      <c r="F297" s="635"/>
      <c r="G297" s="635"/>
      <c r="H297" s="635"/>
      <c r="I297" s="635"/>
      <c r="J297" s="635"/>
      <c r="K297" s="635"/>
      <c r="L297" s="635"/>
      <c r="M297"/>
      <c r="N297"/>
      <c r="O297"/>
      <c r="P297"/>
      <c r="Q297"/>
      <c r="R297"/>
      <c r="S297"/>
      <c r="T297"/>
      <c r="U297" s="638"/>
      <c r="V297" s="429"/>
    </row>
    <row r="298" spans="1:30" ht="8.4499999999999993" customHeight="1">
      <c r="A298" s="429"/>
      <c r="B298" s="639"/>
      <c r="C298" s="640"/>
      <c r="D298" s="640"/>
      <c r="E298" s="640"/>
      <c r="F298" s="640"/>
      <c r="G298" s="640"/>
      <c r="H298" s="640"/>
      <c r="I298" s="640"/>
      <c r="J298" s="640"/>
      <c r="K298" s="640"/>
      <c r="L298" s="640"/>
      <c r="M298" s="640"/>
      <c r="N298" s="640"/>
      <c r="O298" s="2507"/>
      <c r="P298" s="2507"/>
      <c r="Q298" s="776"/>
      <c r="R298" s="776"/>
      <c r="S298" s="776"/>
      <c r="T298" s="776"/>
      <c r="U298" s="642"/>
      <c r="V298" s="429"/>
      <c r="AB298" s="643"/>
      <c r="AC298" s="643"/>
      <c r="AD298" s="643"/>
    </row>
    <row r="299" spans="1:30" ht="19.149999999999999" customHeight="1">
      <c r="B299" s="520" t="s">
        <v>699</v>
      </c>
      <c r="C299" s="644"/>
      <c r="D299" s="644"/>
      <c r="E299" s="644"/>
      <c r="F299" s="644"/>
      <c r="G299" s="644"/>
      <c r="H299" s="644"/>
      <c r="I299" s="644"/>
      <c r="J299" s="644"/>
      <c r="K299" s="644"/>
      <c r="L299" s="644"/>
      <c r="M299" s="644"/>
      <c r="N299" s="644"/>
      <c r="O299" s="645"/>
      <c r="P299" s="645"/>
      <c r="Q299" s="645"/>
      <c r="R299" s="645"/>
      <c r="S299" s="645"/>
      <c r="T299" s="645"/>
      <c r="U299" s="644"/>
    </row>
    <row r="300" spans="1:30" ht="18.75">
      <c r="B300" s="644"/>
      <c r="C300" s="2570"/>
      <c r="D300" s="2570"/>
      <c r="E300" s="2570"/>
      <c r="F300" s="2570"/>
      <c r="G300" s="2570"/>
      <c r="H300" s="2570"/>
      <c r="I300" s="2570"/>
      <c r="J300" s="2570"/>
      <c r="K300" s="2570"/>
      <c r="L300" s="2570"/>
      <c r="M300" s="2570"/>
      <c r="N300" s="2570"/>
      <c r="O300" s="2570"/>
      <c r="P300" s="2570"/>
      <c r="Q300" s="2570"/>
      <c r="R300" s="2570"/>
      <c r="S300" s="2570"/>
      <c r="T300" s="644"/>
      <c r="U300" s="644"/>
    </row>
    <row r="301" spans="1:30" ht="16.899999999999999" customHeight="1">
      <c r="B301" s="522"/>
      <c r="C301" s="585"/>
      <c r="D301" s="584"/>
      <c r="E301" s="584"/>
      <c r="F301" s="584"/>
      <c r="G301" s="586"/>
      <c r="H301" s="586"/>
      <c r="I301" s="586"/>
      <c r="J301" s="586"/>
      <c r="K301" s="587"/>
      <c r="L301" s="587"/>
      <c r="M301" s="476" t="s">
        <v>1157</v>
      </c>
      <c r="N301" s="587"/>
      <c r="O301" s="587"/>
      <c r="P301" s="587"/>
      <c r="Q301" s="561"/>
      <c r="R301" s="477" t="s">
        <v>692</v>
      </c>
      <c r="S301" s="478" t="str">
        <f>$E$29</f>
        <v>ILF5_90FCPRCP_B114CAGR43006</v>
      </c>
      <c r="T301" s="441"/>
      <c r="U301" s="588"/>
      <c r="V301" s="441"/>
    </row>
    <row r="302" spans="1:30" ht="16.899999999999999" customHeight="1">
      <c r="B302" s="522"/>
      <c r="C302" s="585"/>
      <c r="D302" s="584"/>
      <c r="E302" s="584"/>
      <c r="F302" s="584"/>
      <c r="G302" s="586"/>
      <c r="H302" s="586"/>
      <c r="I302" s="586"/>
      <c r="J302" s="586"/>
      <c r="K302" s="587"/>
      <c r="L302" s="587"/>
      <c r="M302" s="587"/>
      <c r="N302" s="587"/>
      <c r="O302" s="587"/>
      <c r="P302" s="587"/>
      <c r="Q302" s="561"/>
      <c r="R302" s="561"/>
      <c r="S302" s="441"/>
      <c r="T302" s="441"/>
      <c r="U302" s="588"/>
      <c r="V302" s="441"/>
    </row>
    <row r="303" spans="1:30">
      <c r="H303" s="436" t="s">
        <v>691</v>
      </c>
      <c r="I303" s="420"/>
      <c r="K303" s="420"/>
      <c r="L303" s="437" t="str">
        <f>$B$11</f>
        <v>INMOBILIARIA SERVIGESTION</v>
      </c>
    </row>
    <row r="304" spans="1:30" ht="30">
      <c r="B304" s="2395" t="s">
        <v>461</v>
      </c>
      <c r="C304" s="2395"/>
      <c r="D304" s="2395"/>
      <c r="E304" s="2395"/>
      <c r="F304" s="2395"/>
      <c r="G304" s="2395"/>
      <c r="H304" s="2395"/>
      <c r="I304" s="2395"/>
      <c r="J304" s="2395"/>
      <c r="K304" s="2395"/>
      <c r="L304" s="2395"/>
      <c r="M304" s="2395"/>
      <c r="N304" s="2395"/>
      <c r="O304" s="2395"/>
      <c r="P304" s="2395"/>
      <c r="Q304" s="2395"/>
      <c r="R304" s="2395"/>
      <c r="S304" s="2395"/>
      <c r="T304" s="2395"/>
      <c r="U304" s="2395"/>
    </row>
    <row r="305" spans="2:21" ht="22.9" customHeight="1">
      <c r="B305" s="2269" t="s">
        <v>793</v>
      </c>
      <c r="C305" s="2269"/>
      <c r="D305" s="2269"/>
      <c r="E305" s="2269"/>
      <c r="F305" s="2269"/>
      <c r="G305" s="2269"/>
      <c r="H305" s="2269"/>
      <c r="I305" s="2269"/>
      <c r="J305" s="2269"/>
      <c r="K305" s="2269"/>
      <c r="L305" s="2269"/>
      <c r="M305" s="2269"/>
      <c r="N305" s="2269"/>
      <c r="O305" s="2269"/>
      <c r="P305" s="2269"/>
      <c r="Q305" s="2269"/>
      <c r="R305" s="2269"/>
      <c r="S305" s="2269"/>
      <c r="T305" s="2269"/>
      <c r="U305" s="2269"/>
    </row>
    <row r="308" spans="2:21" ht="23.25">
      <c r="C308" s="2456" t="s">
        <v>1923</v>
      </c>
      <c r="D308" s="2456"/>
      <c r="E308" s="2456"/>
      <c r="F308" s="2456"/>
      <c r="G308" s="2456"/>
      <c r="H308" s="2456"/>
      <c r="I308" s="2456"/>
      <c r="J308" s="2456"/>
      <c r="K308" s="2456"/>
      <c r="L308" s="2456"/>
      <c r="M308" s="2456"/>
      <c r="N308" s="2456"/>
      <c r="O308" s="2456"/>
      <c r="P308" s="2456"/>
      <c r="Q308" s="2456"/>
      <c r="R308" s="1137"/>
      <c r="S308" s="470"/>
    </row>
    <row r="309" spans="2:21" ht="15">
      <c r="C309" s="1962" t="s">
        <v>516</v>
      </c>
      <c r="D309" s="1963" t="s">
        <v>539</v>
      </c>
      <c r="E309" s="1964" t="s">
        <v>546</v>
      </c>
      <c r="F309" s="1964" t="s">
        <v>551</v>
      </c>
      <c r="G309" s="1964" t="s">
        <v>561</v>
      </c>
      <c r="H309" s="1964" t="s">
        <v>577</v>
      </c>
      <c r="I309" s="1964" t="s">
        <v>582</v>
      </c>
      <c r="J309" s="1964" t="s">
        <v>601</v>
      </c>
      <c r="K309" s="1964" t="s">
        <v>662</v>
      </c>
      <c r="L309" s="1964" t="s">
        <v>611</v>
      </c>
      <c r="M309" s="1964" t="s">
        <v>620</v>
      </c>
      <c r="N309" s="1964" t="s">
        <v>627</v>
      </c>
      <c r="O309" s="1964" t="s">
        <v>633</v>
      </c>
      <c r="P309" s="1964" t="s">
        <v>663</v>
      </c>
      <c r="Q309" s="1965" t="s">
        <v>640</v>
      </c>
      <c r="R309" s="1136"/>
      <c r="S309" s="647"/>
    </row>
    <row r="310" spans="2:21" ht="15">
      <c r="C310" s="1962" t="s">
        <v>522</v>
      </c>
      <c r="D310" s="1963" t="s">
        <v>363</v>
      </c>
      <c r="E310" s="1964" t="s">
        <v>541</v>
      </c>
      <c r="F310" s="1964" t="s">
        <v>661</v>
      </c>
      <c r="G310" s="1964" t="s">
        <v>566</v>
      </c>
      <c r="H310" s="1964" t="s">
        <v>590</v>
      </c>
      <c r="I310" s="1964" t="s">
        <v>587</v>
      </c>
      <c r="J310" s="1964" t="s">
        <v>604</v>
      </c>
      <c r="K310" s="1964" t="s">
        <v>571</v>
      </c>
      <c r="L310" s="1964" t="s">
        <v>614</v>
      </c>
      <c r="M310" s="1964" t="s">
        <v>623</v>
      </c>
      <c r="N310" s="1867" t="s">
        <v>629</v>
      </c>
      <c r="O310" s="1964" t="s">
        <v>635</v>
      </c>
      <c r="P310" s="1964" t="s">
        <v>583</v>
      </c>
      <c r="Q310" s="1965" t="s">
        <v>641</v>
      </c>
      <c r="R310" s="1136"/>
      <c r="S310" s="647"/>
    </row>
    <row r="311" spans="2:21" ht="15">
      <c r="C311" s="1962" t="s">
        <v>529</v>
      </c>
      <c r="D311" s="1963" t="s">
        <v>534</v>
      </c>
      <c r="E311" s="1964" t="s">
        <v>545</v>
      </c>
      <c r="F311" s="1964" t="s">
        <v>556</v>
      </c>
      <c r="G311" s="1964" t="s">
        <v>572</v>
      </c>
      <c r="H311" s="1964" t="s">
        <v>603</v>
      </c>
      <c r="I311" s="1964" t="s">
        <v>597</v>
      </c>
      <c r="J311" s="1964" t="s">
        <v>552</v>
      </c>
      <c r="K311" s="1964" t="s">
        <v>565</v>
      </c>
      <c r="L311" s="1964" t="s">
        <v>617</v>
      </c>
      <c r="M311" s="1964" t="s">
        <v>619</v>
      </c>
      <c r="N311" s="1964" t="s">
        <v>631</v>
      </c>
      <c r="O311" s="1964" t="s">
        <v>1924</v>
      </c>
      <c r="P311" s="1964" t="s">
        <v>639</v>
      </c>
      <c r="Q311" s="1965" t="s">
        <v>642</v>
      </c>
      <c r="R311" s="595"/>
      <c r="S311" s="647"/>
    </row>
    <row r="312" spans="2:21">
      <c r="C312" s="598"/>
      <c r="D312" s="598"/>
      <c r="E312" s="598"/>
      <c r="F312" s="598"/>
      <c r="G312" s="598"/>
      <c r="H312" s="598"/>
      <c r="I312" s="598"/>
      <c r="J312" s="598"/>
      <c r="K312" s="598"/>
      <c r="L312" s="598"/>
      <c r="M312" s="598"/>
      <c r="N312" s="598"/>
      <c r="O312" s="598"/>
      <c r="P312" s="598"/>
      <c r="Q312" s="598"/>
      <c r="R312" s="441"/>
    </row>
    <row r="313" spans="2:21" ht="23.25">
      <c r="C313" s="2457" t="s">
        <v>925</v>
      </c>
      <c r="D313" s="2457"/>
      <c r="E313" s="2457"/>
      <c r="F313" s="2457"/>
      <c r="G313" s="2457"/>
      <c r="H313" s="2457"/>
      <c r="I313" s="2457"/>
      <c r="J313" s="2457"/>
      <c r="K313" s="2457"/>
      <c r="L313" s="2457"/>
      <c r="M313" s="2457"/>
      <c r="N313" s="2457"/>
      <c r="O313" s="2457"/>
      <c r="P313" s="2457"/>
      <c r="Q313" s="2457"/>
      <c r="R313" s="1137"/>
      <c r="S313" s="470"/>
    </row>
    <row r="314" spans="2:21" ht="15">
      <c r="C314" s="591" t="s">
        <v>525</v>
      </c>
      <c r="D314" s="592" t="s">
        <v>543</v>
      </c>
      <c r="E314" s="646" t="s">
        <v>550</v>
      </c>
      <c r="F314" s="646" t="s">
        <v>558</v>
      </c>
      <c r="G314" s="646" t="s">
        <v>580</v>
      </c>
      <c r="H314" s="646" t="s">
        <v>613</v>
      </c>
      <c r="I314" s="646" t="s">
        <v>549</v>
      </c>
      <c r="J314" s="646" t="s">
        <v>622</v>
      </c>
      <c r="K314" s="646" t="s">
        <v>624</v>
      </c>
      <c r="L314" s="646" t="s">
        <v>628</v>
      </c>
      <c r="M314" s="646" t="s">
        <v>928</v>
      </c>
      <c r="N314" s="646" t="s">
        <v>588</v>
      </c>
      <c r="O314" s="646" t="s">
        <v>930</v>
      </c>
      <c r="P314" s="646" t="s">
        <v>596</v>
      </c>
      <c r="Q314" s="593" t="s">
        <v>638</v>
      </c>
      <c r="R314" s="1136"/>
      <c r="S314" s="647"/>
    </row>
    <row r="315" spans="2:21" ht="15">
      <c r="C315" s="591" t="s">
        <v>520</v>
      </c>
      <c r="D315" s="592" t="s">
        <v>548</v>
      </c>
      <c r="E315" s="646" t="s">
        <v>554</v>
      </c>
      <c r="F315" s="646" t="s">
        <v>575</v>
      </c>
      <c r="G315" s="646" t="s">
        <v>595</v>
      </c>
      <c r="H315" s="646" t="s">
        <v>926</v>
      </c>
      <c r="I315" s="646" t="s">
        <v>559</v>
      </c>
      <c r="J315" s="646" t="s">
        <v>567</v>
      </c>
      <c r="K315" s="646" t="s">
        <v>927</v>
      </c>
      <c r="L315" s="646" t="s">
        <v>630</v>
      </c>
      <c r="M315" s="646" t="s">
        <v>929</v>
      </c>
      <c r="N315" s="646" t="s">
        <v>581</v>
      </c>
      <c r="O315" s="646" t="s">
        <v>586</v>
      </c>
      <c r="P315" s="646" t="s">
        <v>600</v>
      </c>
      <c r="Q315" s="646"/>
      <c r="R315" s="1136"/>
      <c r="S315" s="647"/>
    </row>
    <row r="316" spans="2:21">
      <c r="C316" s="598"/>
      <c r="D316" s="598"/>
      <c r="E316" s="598"/>
      <c r="F316" s="598"/>
      <c r="G316" s="598"/>
      <c r="H316" s="598"/>
      <c r="I316" s="598"/>
      <c r="J316" s="598"/>
      <c r="K316" s="598"/>
      <c r="L316" s="598"/>
      <c r="M316" s="598"/>
      <c r="N316" s="598"/>
      <c r="O316" s="598"/>
      <c r="P316" s="598"/>
      <c r="Q316" s="598"/>
      <c r="R316" s="441"/>
    </row>
    <row r="317" spans="2:21" ht="50.45" customHeight="1">
      <c r="C317" s="2364" t="s">
        <v>794</v>
      </c>
      <c r="D317" s="2364"/>
      <c r="E317" s="2364"/>
      <c r="F317" s="2364"/>
      <c r="G317" s="2364"/>
      <c r="H317" s="2364"/>
      <c r="I317" s="2364"/>
      <c r="J317" s="2364"/>
      <c r="K317" s="2364"/>
      <c r="L317" s="2364"/>
      <c r="M317" s="2364"/>
      <c r="O317" s="2364" t="s">
        <v>794</v>
      </c>
      <c r="P317" s="2364"/>
      <c r="Q317" s="2364"/>
      <c r="R317" s="2364"/>
      <c r="S317" s="2364"/>
    </row>
    <row r="318" spans="2:21" ht="60" customHeight="1">
      <c r="C318" s="2433" t="s">
        <v>931</v>
      </c>
      <c r="D318" s="2434"/>
      <c r="E318" s="2434"/>
      <c r="F318" s="2434"/>
      <c r="G318" s="2434"/>
      <c r="H318" s="2434"/>
      <c r="I318" s="2434"/>
      <c r="J318" s="2434"/>
      <c r="K318" s="2434"/>
      <c r="L318" s="2434"/>
      <c r="M318" s="2435"/>
      <c r="O318" s="2391" t="s">
        <v>932</v>
      </c>
      <c r="P318" s="2391"/>
      <c r="Q318" s="2391"/>
      <c r="R318" s="2391"/>
      <c r="S318" s="2391"/>
      <c r="T318" s="470"/>
      <c r="U318" s="470"/>
    </row>
    <row r="319" spans="2:21" ht="22.9" customHeight="1">
      <c r="C319" s="2374" t="s">
        <v>311</v>
      </c>
      <c r="D319" s="2374"/>
      <c r="E319" s="2374" t="s">
        <v>312</v>
      </c>
      <c r="F319" s="2374"/>
      <c r="G319" s="2374" t="s">
        <v>327</v>
      </c>
      <c r="H319" s="2374"/>
      <c r="I319" s="2374" t="s">
        <v>496</v>
      </c>
      <c r="J319" s="2374"/>
      <c r="K319" s="2374" t="s">
        <v>515</v>
      </c>
      <c r="L319" s="2374"/>
      <c r="M319" s="648" t="s">
        <v>498</v>
      </c>
      <c r="O319" s="2369" t="s">
        <v>1919</v>
      </c>
      <c r="P319" s="2369"/>
      <c r="Q319" s="2369" t="s">
        <v>312</v>
      </c>
      <c r="R319" s="2369"/>
      <c r="S319" s="1840" t="s">
        <v>327</v>
      </c>
      <c r="T319" s="470"/>
      <c r="U319" s="470"/>
    </row>
    <row r="320" spans="2:21">
      <c r="C320" s="649"/>
      <c r="D320" s="650"/>
      <c r="E320" s="649"/>
      <c r="F320" s="650"/>
      <c r="G320" s="649"/>
      <c r="H320" s="650"/>
      <c r="I320" s="649"/>
      <c r="J320" s="650"/>
      <c r="K320" s="649"/>
      <c r="L320" s="650"/>
      <c r="M320" s="651"/>
      <c r="O320" s="1966"/>
      <c r="P320" s="1967"/>
      <c r="Q320" s="1966"/>
      <c r="R320" s="1967"/>
      <c r="S320" s="651"/>
      <c r="T320" s="522"/>
    </row>
    <row r="321" spans="3:20" ht="15">
      <c r="C321" s="2314" t="s">
        <v>516</v>
      </c>
      <c r="D321" s="2313"/>
      <c r="E321" s="2312" t="s">
        <v>517</v>
      </c>
      <c r="F321" s="2313"/>
      <c r="G321" s="2312" t="s">
        <v>518</v>
      </c>
      <c r="H321" s="2313"/>
      <c r="I321" s="2312" t="s">
        <v>519</v>
      </c>
      <c r="J321" s="2313"/>
      <c r="K321" s="2312" t="s">
        <v>520</v>
      </c>
      <c r="L321" s="2313"/>
      <c r="M321" s="652" t="s">
        <v>521</v>
      </c>
      <c r="N321" s="441"/>
      <c r="O321" s="2370" t="s">
        <v>516</v>
      </c>
      <c r="P321" s="2371"/>
      <c r="Q321" s="2372" t="s">
        <v>517</v>
      </c>
      <c r="R321" s="2373"/>
      <c r="S321" s="653" t="s">
        <v>521</v>
      </c>
      <c r="T321" s="647"/>
    </row>
    <row r="322" spans="3:20" ht="15">
      <c r="C322" s="2314" t="s">
        <v>522</v>
      </c>
      <c r="D322" s="2313"/>
      <c r="E322" s="2312" t="s">
        <v>523</v>
      </c>
      <c r="F322" s="2313"/>
      <c r="G322" s="2312" t="s">
        <v>524</v>
      </c>
      <c r="H322" s="2313"/>
      <c r="I322" s="2312" t="s">
        <v>525</v>
      </c>
      <c r="J322" s="2313"/>
      <c r="K322" s="2312" t="s">
        <v>526</v>
      </c>
      <c r="L322" s="2313" t="s">
        <v>362</v>
      </c>
      <c r="M322" s="652" t="s">
        <v>527</v>
      </c>
      <c r="N322" s="441"/>
      <c r="O322" s="2370" t="s">
        <v>522</v>
      </c>
      <c r="P322" s="2371"/>
      <c r="Q322" s="2372" t="s">
        <v>528</v>
      </c>
      <c r="R322" s="2373"/>
      <c r="S322" s="653" t="s">
        <v>527</v>
      </c>
      <c r="T322" s="647"/>
    </row>
    <row r="323" spans="3:20" ht="15">
      <c r="C323" s="2314" t="s">
        <v>529</v>
      </c>
      <c r="D323" s="2313"/>
      <c r="E323" s="2312" t="s">
        <v>530</v>
      </c>
      <c r="F323" s="2313"/>
      <c r="G323" s="2312" t="s">
        <v>531</v>
      </c>
      <c r="H323" s="2313"/>
      <c r="I323" s="2312" t="s">
        <v>532</v>
      </c>
      <c r="J323" s="2313"/>
      <c r="K323" s="2312" t="s">
        <v>533</v>
      </c>
      <c r="L323" s="2313" t="s">
        <v>362</v>
      </c>
      <c r="M323" s="652"/>
      <c r="N323" s="441"/>
      <c r="O323" s="2370" t="s">
        <v>529</v>
      </c>
      <c r="P323" s="2371"/>
      <c r="Q323" s="2372" t="s">
        <v>1925</v>
      </c>
      <c r="R323" s="2373"/>
      <c r="S323" s="653" t="s">
        <v>362</v>
      </c>
      <c r="T323" s="647"/>
    </row>
    <row r="324" spans="3:20" ht="15">
      <c r="C324" s="2314" t="s">
        <v>534</v>
      </c>
      <c r="D324" s="2313"/>
      <c r="E324" s="2312" t="s">
        <v>535</v>
      </c>
      <c r="F324" s="2313"/>
      <c r="G324" s="2312" t="s">
        <v>536</v>
      </c>
      <c r="H324" s="2313"/>
      <c r="I324" s="2312" t="s">
        <v>537</v>
      </c>
      <c r="J324" s="2313"/>
      <c r="K324" s="2312" t="s">
        <v>538</v>
      </c>
      <c r="L324" s="2313" t="s">
        <v>362</v>
      </c>
      <c r="M324" s="652"/>
      <c r="N324" s="441"/>
      <c r="O324" s="2370" t="s">
        <v>539</v>
      </c>
      <c r="P324" s="2371"/>
      <c r="Q324" s="2372" t="s">
        <v>540</v>
      </c>
      <c r="R324" s="2373"/>
      <c r="S324" s="653" t="s">
        <v>362</v>
      </c>
      <c r="T324" s="647"/>
    </row>
    <row r="325" spans="3:20" ht="15">
      <c r="C325" s="2314" t="s">
        <v>541</v>
      </c>
      <c r="D325" s="2313"/>
      <c r="E325" s="2312" t="s">
        <v>539</v>
      </c>
      <c r="F325" s="2313"/>
      <c r="G325" s="2312" t="s">
        <v>542</v>
      </c>
      <c r="H325" s="2313"/>
      <c r="I325" s="2312" t="s">
        <v>543</v>
      </c>
      <c r="J325" s="2313"/>
      <c r="K325" s="2312" t="s">
        <v>544</v>
      </c>
      <c r="L325" s="2313" t="s">
        <v>362</v>
      </c>
      <c r="M325" s="652"/>
      <c r="N325" s="441"/>
      <c r="O325" s="2370" t="s">
        <v>546</v>
      </c>
      <c r="P325" s="2371"/>
      <c r="Q325" s="2372" t="s">
        <v>535</v>
      </c>
      <c r="R325" s="2373"/>
      <c r="S325" s="653" t="s">
        <v>362</v>
      </c>
      <c r="T325" s="647"/>
    </row>
    <row r="326" spans="3:20" ht="15">
      <c r="C326" s="2314" t="s">
        <v>545</v>
      </c>
      <c r="D326" s="2313"/>
      <c r="E326" s="2312" t="s">
        <v>546</v>
      </c>
      <c r="F326" s="2313"/>
      <c r="G326" s="2312" t="s">
        <v>547</v>
      </c>
      <c r="H326" s="2313"/>
      <c r="I326" s="2312" t="s">
        <v>548</v>
      </c>
      <c r="J326" s="2313"/>
      <c r="K326" s="2312" t="s">
        <v>549</v>
      </c>
      <c r="L326" s="2313" t="s">
        <v>362</v>
      </c>
      <c r="M326" s="652"/>
      <c r="N326" s="441"/>
      <c r="O326" s="2370" t="s">
        <v>534</v>
      </c>
      <c r="P326" s="2371"/>
      <c r="Q326" s="2372" t="s">
        <v>550</v>
      </c>
      <c r="R326" s="2373"/>
      <c r="S326" s="653" t="s">
        <v>362</v>
      </c>
      <c r="T326" s="647"/>
    </row>
    <row r="327" spans="3:20" ht="15.6" customHeight="1">
      <c r="C327" s="2314" t="s">
        <v>551</v>
      </c>
      <c r="D327" s="2313"/>
      <c r="E327" s="2312" t="s">
        <v>552</v>
      </c>
      <c r="F327" s="2313"/>
      <c r="G327" s="2312" t="s">
        <v>553</v>
      </c>
      <c r="H327" s="2313"/>
      <c r="I327" s="2312" t="s">
        <v>554</v>
      </c>
      <c r="J327" s="2313"/>
      <c r="K327" s="2312" t="s">
        <v>555</v>
      </c>
      <c r="L327" s="2313" t="s">
        <v>362</v>
      </c>
      <c r="M327" s="652"/>
      <c r="N327" s="441"/>
      <c r="O327" s="2370" t="s">
        <v>541</v>
      </c>
      <c r="P327" s="2371"/>
      <c r="Q327" s="2372" t="s">
        <v>137</v>
      </c>
      <c r="R327" s="2373"/>
      <c r="S327" s="653" t="s">
        <v>362</v>
      </c>
      <c r="T327" s="647"/>
    </row>
    <row r="328" spans="3:20" ht="15.6" customHeight="1">
      <c r="C328" s="2314" t="s">
        <v>556</v>
      </c>
      <c r="D328" s="2313"/>
      <c r="E328" s="2312" t="s">
        <v>557</v>
      </c>
      <c r="F328" s="2313"/>
      <c r="G328" s="2312" t="s">
        <v>550</v>
      </c>
      <c r="H328" s="2313"/>
      <c r="I328" s="2312" t="s">
        <v>558</v>
      </c>
      <c r="J328" s="2313"/>
      <c r="K328" s="2312" t="s">
        <v>559</v>
      </c>
      <c r="L328" s="2313" t="s">
        <v>362</v>
      </c>
      <c r="M328" s="652"/>
      <c r="N328" s="441"/>
      <c r="O328" s="2370" t="s">
        <v>556</v>
      </c>
      <c r="P328" s="2371"/>
      <c r="Q328" s="2372" t="s">
        <v>552</v>
      </c>
      <c r="R328" s="2373"/>
      <c r="S328" s="653" t="s">
        <v>362</v>
      </c>
      <c r="T328" s="647"/>
    </row>
    <row r="329" spans="3:20" ht="15.6" customHeight="1">
      <c r="C329" s="2314" t="s">
        <v>561</v>
      </c>
      <c r="D329" s="2313"/>
      <c r="E329" s="2312" t="s">
        <v>562</v>
      </c>
      <c r="F329" s="2313"/>
      <c r="G329" s="2312" t="s">
        <v>137</v>
      </c>
      <c r="H329" s="2313"/>
      <c r="I329" s="2312" t="s">
        <v>563</v>
      </c>
      <c r="J329" s="2313"/>
      <c r="K329" s="2312" t="s">
        <v>564</v>
      </c>
      <c r="L329" s="2313" t="s">
        <v>362</v>
      </c>
      <c r="M329" s="652"/>
      <c r="N329" s="441"/>
      <c r="O329" s="2370" t="s">
        <v>545</v>
      </c>
      <c r="P329" s="2371"/>
      <c r="Q329" s="2372" t="s">
        <v>560</v>
      </c>
      <c r="R329" s="2373"/>
      <c r="S329" s="653" t="s">
        <v>362</v>
      </c>
      <c r="T329" s="647"/>
    </row>
    <row r="330" spans="3:20" ht="15.6" customHeight="1">
      <c r="C330" s="2314" t="s">
        <v>566</v>
      </c>
      <c r="D330" s="2313"/>
      <c r="E330" s="2312" t="s">
        <v>567</v>
      </c>
      <c r="F330" s="2313"/>
      <c r="G330" s="2312" t="s">
        <v>568</v>
      </c>
      <c r="H330" s="2313"/>
      <c r="I330" s="2312" t="s">
        <v>569</v>
      </c>
      <c r="J330" s="2313"/>
      <c r="K330" s="2312" t="s">
        <v>570</v>
      </c>
      <c r="L330" s="2313" t="s">
        <v>362</v>
      </c>
      <c r="M330" s="652"/>
      <c r="N330" s="441"/>
      <c r="O330" s="2370" t="s">
        <v>551</v>
      </c>
      <c r="P330" s="2371"/>
      <c r="Q330" s="2372" t="s">
        <v>565</v>
      </c>
      <c r="R330" s="2373"/>
      <c r="S330" s="653" t="s">
        <v>362</v>
      </c>
      <c r="T330" s="647"/>
    </row>
    <row r="331" spans="3:20" ht="15.6" customHeight="1">
      <c r="C331" s="2314" t="s">
        <v>572</v>
      </c>
      <c r="D331" s="2313"/>
      <c r="E331" s="2312" t="s">
        <v>573</v>
      </c>
      <c r="F331" s="2313"/>
      <c r="G331" s="2312" t="s">
        <v>574</v>
      </c>
      <c r="H331" s="2313"/>
      <c r="I331" s="2312" t="s">
        <v>575</v>
      </c>
      <c r="J331" s="2313"/>
      <c r="K331" s="2312" t="s">
        <v>576</v>
      </c>
      <c r="L331" s="2313" t="s">
        <v>362</v>
      </c>
      <c r="M331" s="652"/>
      <c r="N331" s="441"/>
      <c r="O331" s="2317" t="s">
        <v>1926</v>
      </c>
      <c r="P331" s="2318"/>
      <c r="Q331" s="2372" t="s">
        <v>571</v>
      </c>
      <c r="R331" s="2373"/>
      <c r="S331" s="653" t="s">
        <v>362</v>
      </c>
      <c r="T331" s="647"/>
    </row>
    <row r="332" spans="3:20" ht="15">
      <c r="C332" s="2314" t="s">
        <v>577</v>
      </c>
      <c r="D332" s="2313"/>
      <c r="E332" s="2312" t="s">
        <v>578</v>
      </c>
      <c r="F332" s="2313"/>
      <c r="G332" s="2312" t="s">
        <v>579</v>
      </c>
      <c r="H332" s="2313"/>
      <c r="I332" s="2312" t="s">
        <v>580</v>
      </c>
      <c r="J332" s="2313"/>
      <c r="K332" s="2312" t="s">
        <v>581</v>
      </c>
      <c r="L332" s="2313" t="s">
        <v>362</v>
      </c>
      <c r="M332" s="652"/>
      <c r="N332" s="441"/>
      <c r="O332" s="2319"/>
      <c r="P332" s="2320"/>
      <c r="Q332" s="2372" t="s">
        <v>562</v>
      </c>
      <c r="R332" s="2373"/>
      <c r="S332" s="653" t="s">
        <v>362</v>
      </c>
      <c r="T332" s="647"/>
    </row>
    <row r="333" spans="3:20" ht="15.6" customHeight="1">
      <c r="C333" s="2314" t="s">
        <v>582</v>
      </c>
      <c r="D333" s="2313"/>
      <c r="E333" s="2312" t="s">
        <v>583</v>
      </c>
      <c r="F333" s="2313"/>
      <c r="G333" s="2312" t="s">
        <v>584</v>
      </c>
      <c r="H333" s="2313"/>
      <c r="I333" s="2312" t="s">
        <v>585</v>
      </c>
      <c r="J333" s="2313"/>
      <c r="K333" s="2312" t="s">
        <v>586</v>
      </c>
      <c r="L333" s="2313" t="s">
        <v>362</v>
      </c>
      <c r="M333" s="652"/>
      <c r="N333" s="441"/>
      <c r="O333" s="2317" t="s">
        <v>1927</v>
      </c>
      <c r="P333" s="2318"/>
      <c r="Q333" s="2372" t="s">
        <v>567</v>
      </c>
      <c r="R333" s="2373"/>
      <c r="S333" s="653" t="s">
        <v>362</v>
      </c>
      <c r="T333" s="647"/>
    </row>
    <row r="334" spans="3:20" ht="15">
      <c r="C334" s="2314" t="s">
        <v>587</v>
      </c>
      <c r="D334" s="2313"/>
      <c r="E334" s="2312" t="s">
        <v>588</v>
      </c>
      <c r="F334" s="2313"/>
      <c r="G334" s="2312" t="s">
        <v>589</v>
      </c>
      <c r="H334" s="2313"/>
      <c r="I334" s="2312" t="s">
        <v>590</v>
      </c>
      <c r="J334" s="2313"/>
      <c r="K334" s="2312" t="s">
        <v>591</v>
      </c>
      <c r="L334" s="2313" t="s">
        <v>362</v>
      </c>
      <c r="M334" s="652"/>
      <c r="N334" s="441"/>
      <c r="O334" s="2317"/>
      <c r="P334" s="2318"/>
      <c r="Q334" s="2372" t="s">
        <v>625</v>
      </c>
      <c r="R334" s="2373"/>
      <c r="S334" s="653" t="s">
        <v>362</v>
      </c>
      <c r="T334" s="647"/>
    </row>
    <row r="335" spans="3:20" ht="15">
      <c r="C335" s="2314" t="s">
        <v>571</v>
      </c>
      <c r="D335" s="2313"/>
      <c r="E335" s="2312" t="s">
        <v>593</v>
      </c>
      <c r="F335" s="2313"/>
      <c r="G335" s="2312" t="s">
        <v>594</v>
      </c>
      <c r="H335" s="2313"/>
      <c r="I335" s="2312" t="s">
        <v>595</v>
      </c>
      <c r="J335" s="2313"/>
      <c r="K335" s="753" t="s">
        <v>362</v>
      </c>
      <c r="L335" s="655" t="s">
        <v>362</v>
      </c>
      <c r="M335" s="652"/>
      <c r="N335" s="441"/>
      <c r="O335" s="2317"/>
      <c r="P335" s="2318"/>
      <c r="Q335" s="2372" t="s">
        <v>578</v>
      </c>
      <c r="R335" s="2373"/>
      <c r="S335" s="653" t="s">
        <v>362</v>
      </c>
      <c r="T335" s="647"/>
    </row>
    <row r="336" spans="3:20" ht="15">
      <c r="C336" s="2314" t="s">
        <v>597</v>
      </c>
      <c r="D336" s="2313"/>
      <c r="E336" s="2312" t="s">
        <v>592</v>
      </c>
      <c r="F336" s="2313"/>
      <c r="G336" s="2312" t="s">
        <v>598</v>
      </c>
      <c r="H336" s="2313"/>
      <c r="I336" s="2312" t="s">
        <v>599</v>
      </c>
      <c r="J336" s="2313"/>
      <c r="K336" s="753" t="s">
        <v>362</v>
      </c>
      <c r="L336" s="655" t="s">
        <v>362</v>
      </c>
      <c r="M336" s="652"/>
      <c r="N336" s="441"/>
      <c r="O336" s="2370" t="s">
        <v>577</v>
      </c>
      <c r="P336" s="2371"/>
      <c r="Q336" s="2372" t="s">
        <v>592</v>
      </c>
      <c r="R336" s="2373"/>
      <c r="S336" s="653" t="s">
        <v>362</v>
      </c>
      <c r="T336" s="647"/>
    </row>
    <row r="337" spans="3:20" ht="15.6" customHeight="1">
      <c r="C337" s="2314" t="s">
        <v>601</v>
      </c>
      <c r="D337" s="2313"/>
      <c r="E337" s="2312" t="s">
        <v>596</v>
      </c>
      <c r="F337" s="2313"/>
      <c r="G337" s="2312" t="s">
        <v>602</v>
      </c>
      <c r="H337" s="2313"/>
      <c r="I337" s="2312" t="s">
        <v>603</v>
      </c>
      <c r="J337" s="2313"/>
      <c r="K337" s="753" t="s">
        <v>362</v>
      </c>
      <c r="L337" s="655" t="s">
        <v>362</v>
      </c>
      <c r="M337" s="652"/>
      <c r="N337" s="441"/>
      <c r="O337" s="2370" t="s">
        <v>587</v>
      </c>
      <c r="P337" s="2371"/>
      <c r="Q337" s="2372" t="s">
        <v>641</v>
      </c>
      <c r="R337" s="2373"/>
      <c r="S337" s="653" t="s">
        <v>362</v>
      </c>
      <c r="T337" s="647"/>
    </row>
    <row r="338" spans="3:20" ht="15.6" customHeight="1">
      <c r="C338" s="2314" t="s">
        <v>604</v>
      </c>
      <c r="D338" s="2313"/>
      <c r="E338" s="2312" t="s">
        <v>600</v>
      </c>
      <c r="F338" s="2313"/>
      <c r="G338" s="2312" t="s">
        <v>605</v>
      </c>
      <c r="H338" s="2313"/>
      <c r="I338" s="2312" t="s">
        <v>606</v>
      </c>
      <c r="J338" s="2313"/>
      <c r="K338" s="753" t="s">
        <v>362</v>
      </c>
      <c r="L338" s="655" t="s">
        <v>362</v>
      </c>
      <c r="M338" s="652"/>
      <c r="N338" s="441"/>
      <c r="O338" s="2370" t="s">
        <v>597</v>
      </c>
      <c r="P338" s="2371"/>
      <c r="Q338" s="2372" t="s">
        <v>596</v>
      </c>
      <c r="R338" s="2373"/>
      <c r="S338" s="653" t="s">
        <v>362</v>
      </c>
      <c r="T338" s="647"/>
    </row>
    <row r="339" spans="3:20" ht="15">
      <c r="C339" s="2314" t="s">
        <v>607</v>
      </c>
      <c r="D339" s="2313"/>
      <c r="E339" s="2312" t="s">
        <v>608</v>
      </c>
      <c r="F339" s="2313"/>
      <c r="G339" s="2312" t="s">
        <v>609</v>
      </c>
      <c r="H339" s="2313"/>
      <c r="I339" s="2312" t="s">
        <v>610</v>
      </c>
      <c r="J339" s="2313"/>
      <c r="K339" s="753" t="s">
        <v>362</v>
      </c>
      <c r="L339" s="655" t="s">
        <v>362</v>
      </c>
      <c r="M339" s="652"/>
      <c r="N339" s="441"/>
      <c r="O339" s="2370" t="s">
        <v>601</v>
      </c>
      <c r="P339" s="2371"/>
      <c r="Q339" s="2372" t="s">
        <v>600</v>
      </c>
      <c r="R339" s="2373"/>
      <c r="S339" s="653" t="s">
        <v>362</v>
      </c>
      <c r="T339" s="647"/>
    </row>
    <row r="340" spans="3:20" ht="15">
      <c r="C340" s="2314" t="s">
        <v>611</v>
      </c>
      <c r="D340" s="2313"/>
      <c r="E340" s="578"/>
      <c r="F340" s="580"/>
      <c r="G340" s="2312" t="s">
        <v>612</v>
      </c>
      <c r="H340" s="2313"/>
      <c r="I340" s="2312" t="s">
        <v>613</v>
      </c>
      <c r="J340" s="2313"/>
      <c r="K340" s="753" t="s">
        <v>362</v>
      </c>
      <c r="L340" s="655" t="s">
        <v>362</v>
      </c>
      <c r="M340" s="652"/>
      <c r="N340" s="441"/>
      <c r="O340" s="2370" t="s">
        <v>604</v>
      </c>
      <c r="P340" s="2371"/>
      <c r="Q340" s="1968"/>
      <c r="R340" s="1969"/>
      <c r="S340" s="653" t="s">
        <v>362</v>
      </c>
      <c r="T340" s="647"/>
    </row>
    <row r="341" spans="3:20" ht="15">
      <c r="C341" s="2314" t="s">
        <v>614</v>
      </c>
      <c r="D341" s="2313"/>
      <c r="E341" s="578"/>
      <c r="F341" s="580"/>
      <c r="G341" s="2312" t="s">
        <v>615</v>
      </c>
      <c r="H341" s="2313"/>
      <c r="I341" s="2312" t="s">
        <v>616</v>
      </c>
      <c r="J341" s="2313"/>
      <c r="K341" s="753" t="s">
        <v>362</v>
      </c>
      <c r="L341" s="655" t="s">
        <v>362</v>
      </c>
      <c r="M341" s="652"/>
      <c r="N341" s="441"/>
      <c r="O341" s="2370" t="s">
        <v>611</v>
      </c>
      <c r="P341" s="2371"/>
      <c r="Q341" s="1968"/>
      <c r="R341" s="1969"/>
      <c r="S341" s="653" t="s">
        <v>362</v>
      </c>
      <c r="T341" s="647"/>
    </row>
    <row r="342" spans="3:20" ht="15">
      <c r="C342" s="2314" t="s">
        <v>617</v>
      </c>
      <c r="D342" s="2313"/>
      <c r="E342" s="578"/>
      <c r="F342" s="580"/>
      <c r="G342" s="2312" t="s">
        <v>618</v>
      </c>
      <c r="H342" s="2313"/>
      <c r="I342" s="2312" t="s">
        <v>619</v>
      </c>
      <c r="J342" s="2313"/>
      <c r="K342" s="753" t="s">
        <v>362</v>
      </c>
      <c r="L342" s="655" t="s">
        <v>362</v>
      </c>
      <c r="M342" s="652"/>
      <c r="N342" s="441"/>
      <c r="O342" s="2370" t="s">
        <v>614</v>
      </c>
      <c r="P342" s="2371"/>
      <c r="Q342" s="1968"/>
      <c r="R342" s="1969"/>
      <c r="S342" s="653" t="s">
        <v>362</v>
      </c>
      <c r="T342" s="647"/>
    </row>
    <row r="343" spans="3:20" ht="15">
      <c r="C343" s="2314" t="s">
        <v>620</v>
      </c>
      <c r="D343" s="2313"/>
      <c r="E343" s="578"/>
      <c r="F343" s="580"/>
      <c r="G343" s="2312" t="s">
        <v>621</v>
      </c>
      <c r="H343" s="2313"/>
      <c r="I343" s="2312" t="s">
        <v>622</v>
      </c>
      <c r="J343" s="2313"/>
      <c r="K343" s="753" t="s">
        <v>362</v>
      </c>
      <c r="L343" s="655" t="s">
        <v>362</v>
      </c>
      <c r="M343" s="652"/>
      <c r="N343" s="441"/>
      <c r="O343" s="2370" t="s">
        <v>617</v>
      </c>
      <c r="P343" s="2371"/>
      <c r="Q343" s="1968"/>
      <c r="R343" s="1969"/>
      <c r="S343" s="653" t="s">
        <v>362</v>
      </c>
      <c r="T343" s="647"/>
    </row>
    <row r="344" spans="3:20" ht="15">
      <c r="C344" s="2314" t="s">
        <v>623</v>
      </c>
      <c r="D344" s="2313"/>
      <c r="E344" s="578"/>
      <c r="F344" s="580"/>
      <c r="G344" s="2312"/>
      <c r="H344" s="2313"/>
      <c r="I344" s="2312" t="s">
        <v>624</v>
      </c>
      <c r="J344" s="2313"/>
      <c r="K344" s="753" t="s">
        <v>362</v>
      </c>
      <c r="L344" s="655" t="s">
        <v>362</v>
      </c>
      <c r="M344" s="652"/>
      <c r="N344" s="441"/>
      <c r="O344" s="2370" t="s">
        <v>620</v>
      </c>
      <c r="P344" s="2371"/>
      <c r="Q344" s="1968"/>
      <c r="R344" s="1969"/>
      <c r="S344" s="653" t="s">
        <v>362</v>
      </c>
      <c r="T344" s="647"/>
    </row>
    <row r="345" spans="3:20" ht="15.6" customHeight="1">
      <c r="C345" s="2314" t="s">
        <v>625</v>
      </c>
      <c r="D345" s="2313"/>
      <c r="E345" s="578"/>
      <c r="F345" s="580"/>
      <c r="G345" s="2312"/>
      <c r="H345" s="2313"/>
      <c r="I345" s="2312" t="s">
        <v>626</v>
      </c>
      <c r="J345" s="2313"/>
      <c r="K345" s="753" t="s">
        <v>362</v>
      </c>
      <c r="L345" s="655" t="s">
        <v>362</v>
      </c>
      <c r="M345" s="652"/>
      <c r="N345" s="441"/>
      <c r="O345" s="2370" t="s">
        <v>623</v>
      </c>
      <c r="P345" s="2371"/>
      <c r="Q345" s="1968"/>
      <c r="R345" s="1969"/>
      <c r="S345" s="653" t="s">
        <v>362</v>
      </c>
      <c r="T345" s="647"/>
    </row>
    <row r="346" spans="3:20" ht="15">
      <c r="C346" s="2314" t="s">
        <v>627</v>
      </c>
      <c r="D346" s="2313"/>
      <c r="E346" s="578"/>
      <c r="F346" s="580"/>
      <c r="G346" s="2312"/>
      <c r="H346" s="2313"/>
      <c r="I346" s="2312" t="s">
        <v>628</v>
      </c>
      <c r="J346" s="2313"/>
      <c r="K346" s="753" t="s">
        <v>362</v>
      </c>
      <c r="L346" s="655" t="s">
        <v>362</v>
      </c>
      <c r="M346" s="652"/>
      <c r="N346" s="441"/>
      <c r="O346" s="2370" t="s">
        <v>627</v>
      </c>
      <c r="P346" s="2371"/>
      <c r="Q346" s="1968"/>
      <c r="R346" s="1969"/>
      <c r="S346" s="653" t="s">
        <v>362</v>
      </c>
      <c r="T346" s="647"/>
    </row>
    <row r="347" spans="3:20" ht="15.6" customHeight="1">
      <c r="C347" s="2314" t="s">
        <v>629</v>
      </c>
      <c r="D347" s="2313"/>
      <c r="E347" s="578"/>
      <c r="F347" s="580"/>
      <c r="G347" s="2312"/>
      <c r="H347" s="2313"/>
      <c r="I347" s="2312" t="s">
        <v>630</v>
      </c>
      <c r="J347" s="2313"/>
      <c r="K347" s="753" t="s">
        <v>362</v>
      </c>
      <c r="L347" s="655" t="s">
        <v>362</v>
      </c>
      <c r="M347" s="652"/>
      <c r="N347" s="441"/>
      <c r="O347" s="2370" t="s">
        <v>629</v>
      </c>
      <c r="P347" s="2371"/>
      <c r="Q347" s="1968"/>
      <c r="R347" s="1969"/>
      <c r="S347" s="653" t="s">
        <v>362</v>
      </c>
      <c r="T347" s="647"/>
    </row>
    <row r="348" spans="3:20" ht="15">
      <c r="C348" s="2314" t="s">
        <v>631</v>
      </c>
      <c r="D348" s="2313"/>
      <c r="E348" s="578"/>
      <c r="F348" s="580"/>
      <c r="G348" s="2312"/>
      <c r="H348" s="2313"/>
      <c r="I348" s="2312" t="s">
        <v>632</v>
      </c>
      <c r="J348" s="2313"/>
      <c r="K348" s="753" t="s">
        <v>362</v>
      </c>
      <c r="L348" s="655" t="s">
        <v>362</v>
      </c>
      <c r="M348" s="652"/>
      <c r="N348" s="441"/>
      <c r="O348" s="2370" t="s">
        <v>631</v>
      </c>
      <c r="P348" s="2371"/>
      <c r="Q348" s="1968"/>
      <c r="R348" s="1969"/>
      <c r="S348" s="653" t="s">
        <v>362</v>
      </c>
      <c r="T348" s="647"/>
    </row>
    <row r="349" spans="3:20" ht="15.6" customHeight="1">
      <c r="C349" s="2314" t="s">
        <v>633</v>
      </c>
      <c r="D349" s="2313"/>
      <c r="E349" s="578"/>
      <c r="F349" s="580"/>
      <c r="G349" s="2312"/>
      <c r="H349" s="2313"/>
      <c r="I349" s="2312" t="s">
        <v>634</v>
      </c>
      <c r="J349" s="2313"/>
      <c r="K349" s="753" t="s">
        <v>362</v>
      </c>
      <c r="L349" s="655" t="s">
        <v>362</v>
      </c>
      <c r="M349" s="652"/>
      <c r="N349" s="441"/>
      <c r="O349" s="2317" t="s">
        <v>1928</v>
      </c>
      <c r="P349" s="2318"/>
      <c r="Q349" s="1968"/>
      <c r="R349" s="1969"/>
      <c r="S349" s="653" t="s">
        <v>362</v>
      </c>
      <c r="T349" s="647"/>
    </row>
    <row r="350" spans="3:20" ht="15">
      <c r="C350" s="2314" t="s">
        <v>635</v>
      </c>
      <c r="D350" s="2313"/>
      <c r="E350" s="578"/>
      <c r="F350" s="580"/>
      <c r="G350" s="2312"/>
      <c r="H350" s="2313"/>
      <c r="I350" s="2312" t="s">
        <v>636</v>
      </c>
      <c r="J350" s="2313"/>
      <c r="K350" s="753" t="s">
        <v>362</v>
      </c>
      <c r="L350" s="655" t="s">
        <v>362</v>
      </c>
      <c r="M350" s="652"/>
      <c r="N350" s="441"/>
      <c r="O350" s="2319"/>
      <c r="P350" s="2320"/>
      <c r="Q350" s="1968"/>
      <c r="R350" s="1969"/>
      <c r="S350" s="653" t="s">
        <v>362</v>
      </c>
      <c r="T350" s="647"/>
    </row>
    <row r="351" spans="3:20" ht="15">
      <c r="C351" s="2314" t="s">
        <v>637</v>
      </c>
      <c r="D351" s="2313"/>
      <c r="E351" s="578"/>
      <c r="F351" s="580"/>
      <c r="G351" s="2312"/>
      <c r="H351" s="2313"/>
      <c r="I351" s="2312" t="s">
        <v>638</v>
      </c>
      <c r="J351" s="2313"/>
      <c r="K351" s="753" t="s">
        <v>362</v>
      </c>
      <c r="L351" s="655" t="s">
        <v>362</v>
      </c>
      <c r="M351" s="652"/>
      <c r="N351" s="441"/>
      <c r="O351" s="2370" t="s">
        <v>1929</v>
      </c>
      <c r="P351" s="2371"/>
      <c r="Q351" s="1968"/>
      <c r="R351" s="1969"/>
      <c r="S351" s="653" t="s">
        <v>362</v>
      </c>
      <c r="T351" s="647"/>
    </row>
    <row r="352" spans="3:20" ht="15">
      <c r="C352" s="2314" t="s">
        <v>639</v>
      </c>
      <c r="D352" s="2313"/>
      <c r="E352" s="578"/>
      <c r="F352" s="580"/>
      <c r="G352" s="2312"/>
      <c r="H352" s="2313"/>
      <c r="I352" s="753" t="s">
        <v>362</v>
      </c>
      <c r="J352" s="655"/>
      <c r="K352" s="753" t="s">
        <v>362</v>
      </c>
      <c r="L352" s="655" t="s">
        <v>362</v>
      </c>
      <c r="M352" s="652"/>
      <c r="N352" s="441"/>
      <c r="O352" s="2370" t="s">
        <v>637</v>
      </c>
      <c r="P352" s="2371"/>
      <c r="Q352" s="1968"/>
      <c r="R352" s="1969"/>
      <c r="S352" s="653" t="s">
        <v>362</v>
      </c>
      <c r="T352" s="647"/>
    </row>
    <row r="353" spans="3:20" ht="15">
      <c r="C353" s="2314" t="s">
        <v>640</v>
      </c>
      <c r="D353" s="2313"/>
      <c r="E353" s="578"/>
      <c r="F353" s="580"/>
      <c r="G353" s="2312"/>
      <c r="H353" s="2313"/>
      <c r="I353" s="753" t="s">
        <v>362</v>
      </c>
      <c r="J353" s="655"/>
      <c r="K353" s="753" t="s">
        <v>362</v>
      </c>
      <c r="L353" s="655" t="s">
        <v>362</v>
      </c>
      <c r="M353" s="652"/>
      <c r="N353" s="441"/>
      <c r="O353" s="2370" t="s">
        <v>583</v>
      </c>
      <c r="P353" s="2371"/>
      <c r="Q353" s="1968"/>
      <c r="R353" s="1969"/>
      <c r="S353" s="653" t="s">
        <v>362</v>
      </c>
      <c r="T353" s="647"/>
    </row>
    <row r="354" spans="3:20" ht="15.6" customHeight="1">
      <c r="C354" s="2314" t="s">
        <v>641</v>
      </c>
      <c r="D354" s="2313"/>
      <c r="E354" s="578"/>
      <c r="F354" s="580"/>
      <c r="G354" s="2312"/>
      <c r="H354" s="2313"/>
      <c r="I354" s="753" t="s">
        <v>362</v>
      </c>
      <c r="J354" s="655"/>
      <c r="K354" s="753" t="s">
        <v>362</v>
      </c>
      <c r="L354" s="752" t="s">
        <v>362</v>
      </c>
      <c r="M354" s="652"/>
      <c r="N354" s="441"/>
      <c r="O354" s="2370" t="s">
        <v>640</v>
      </c>
      <c r="P354" s="2371"/>
      <c r="Q354" s="1968"/>
      <c r="R354" s="1969"/>
      <c r="S354" s="653" t="s">
        <v>362</v>
      </c>
      <c r="T354" s="647"/>
    </row>
    <row r="355" spans="3:20" ht="15.6" customHeight="1">
      <c r="C355" s="2314" t="s">
        <v>642</v>
      </c>
      <c r="D355" s="2313"/>
      <c r="E355" s="578"/>
      <c r="F355" s="580"/>
      <c r="G355" s="2312"/>
      <c r="H355" s="2313"/>
      <c r="I355" s="753" t="s">
        <v>362</v>
      </c>
      <c r="J355" s="655"/>
      <c r="K355" s="753" t="s">
        <v>362</v>
      </c>
      <c r="L355" s="655" t="s">
        <v>362</v>
      </c>
      <c r="M355" s="652"/>
      <c r="N355" s="441"/>
      <c r="O355" s="2372"/>
      <c r="P355" s="2373"/>
      <c r="Q355" s="1968"/>
      <c r="R355" s="1969"/>
      <c r="S355" s="653" t="s">
        <v>362</v>
      </c>
      <c r="T355" s="647"/>
    </row>
    <row r="356" spans="3:20" ht="15.6" customHeight="1">
      <c r="C356" s="2314"/>
      <c r="D356" s="2313"/>
      <c r="E356" s="578"/>
      <c r="F356" s="580"/>
      <c r="G356" s="2312"/>
      <c r="H356" s="2313"/>
      <c r="I356" s="753" t="s">
        <v>362</v>
      </c>
      <c r="J356" s="655"/>
      <c r="K356" s="753" t="s">
        <v>362</v>
      </c>
      <c r="L356" s="655"/>
      <c r="M356" s="652"/>
      <c r="N356" s="441"/>
      <c r="O356" s="2372"/>
      <c r="P356" s="2373"/>
      <c r="Q356" s="1968"/>
      <c r="R356" s="1969"/>
      <c r="S356" s="653" t="s">
        <v>362</v>
      </c>
      <c r="T356" s="647"/>
    </row>
    <row r="357" spans="3:20" ht="15">
      <c r="C357" s="2314"/>
      <c r="D357" s="2313"/>
      <c r="E357" s="578"/>
      <c r="F357" s="580"/>
      <c r="G357" s="2312"/>
      <c r="H357" s="2313"/>
      <c r="I357" s="656"/>
      <c r="J357" s="655"/>
      <c r="K357" s="656"/>
      <c r="L357" s="655"/>
      <c r="M357" s="652"/>
      <c r="N357" s="441"/>
      <c r="O357" s="2372"/>
      <c r="P357" s="2373"/>
      <c r="Q357" s="1968"/>
      <c r="R357" s="1969"/>
      <c r="S357" s="653" t="s">
        <v>362</v>
      </c>
      <c r="T357" s="647"/>
    </row>
    <row r="358" spans="3:20" ht="15.6" customHeight="1">
      <c r="C358" s="2315" t="s">
        <v>858</v>
      </c>
      <c r="D358" s="2316"/>
      <c r="E358" s="578"/>
      <c r="F358" s="580"/>
      <c r="G358" s="2312"/>
      <c r="H358" s="2313"/>
      <c r="I358" s="656"/>
      <c r="J358" s="655"/>
      <c r="K358" s="656"/>
      <c r="L358" s="655"/>
      <c r="M358" s="652"/>
      <c r="N358" s="441"/>
      <c r="O358" s="2372"/>
      <c r="P358" s="2373"/>
      <c r="Q358" s="1968"/>
      <c r="R358" s="1969"/>
      <c r="S358" s="653" t="s">
        <v>362</v>
      </c>
      <c r="T358" s="647"/>
    </row>
    <row r="359" spans="3:20" ht="15">
      <c r="C359" s="2315" t="s">
        <v>643</v>
      </c>
      <c r="D359" s="2316"/>
      <c r="E359" s="578"/>
      <c r="F359" s="580"/>
      <c r="G359" s="2312"/>
      <c r="H359" s="2313"/>
      <c r="I359" s="656"/>
      <c r="J359" s="655"/>
      <c r="K359" s="656"/>
      <c r="L359" s="655"/>
      <c r="M359" s="652"/>
      <c r="N359" s="441"/>
      <c r="O359" s="2372"/>
      <c r="P359" s="2373"/>
      <c r="Q359" s="1968"/>
      <c r="R359" s="1969"/>
      <c r="S359" s="653" t="s">
        <v>362</v>
      </c>
      <c r="T359" s="647"/>
    </row>
    <row r="360" spans="3:20" ht="15">
      <c r="C360" s="2315"/>
      <c r="D360" s="2316"/>
      <c r="E360" s="578"/>
      <c r="F360" s="580"/>
      <c r="G360" s="2312"/>
      <c r="H360" s="2313"/>
      <c r="I360" s="658"/>
      <c r="J360" s="655"/>
      <c r="K360" s="659"/>
      <c r="L360" s="655"/>
      <c r="M360" s="652"/>
      <c r="N360" s="441"/>
      <c r="O360" s="2372"/>
      <c r="P360" s="2373"/>
      <c r="Q360" s="1970"/>
      <c r="R360" s="1969"/>
      <c r="S360" s="653" t="s">
        <v>362</v>
      </c>
      <c r="T360" s="647"/>
    </row>
    <row r="361" spans="3:20" ht="15">
      <c r="C361" s="2323"/>
      <c r="D361" s="2324"/>
      <c r="E361" s="581"/>
      <c r="F361" s="660"/>
      <c r="G361" s="2321"/>
      <c r="H361" s="2322"/>
      <c r="I361" s="661"/>
      <c r="J361" s="662"/>
      <c r="K361" s="663"/>
      <c r="L361" s="662"/>
      <c r="M361" s="664"/>
      <c r="N361" s="441"/>
      <c r="O361" s="2553"/>
      <c r="P361" s="2554"/>
      <c r="Q361" s="1971"/>
      <c r="R361" s="1972"/>
      <c r="S361" s="665" t="s">
        <v>362</v>
      </c>
      <c r="T361" s="647"/>
    </row>
    <row r="362" spans="3:20" ht="15">
      <c r="C362" s="441"/>
      <c r="D362" s="441"/>
      <c r="E362" s="441"/>
      <c r="F362" s="441"/>
      <c r="G362" s="441"/>
      <c r="H362" s="441"/>
      <c r="I362" s="441"/>
      <c r="J362" s="441"/>
      <c r="K362" s="441"/>
      <c r="L362" s="441"/>
      <c r="M362" s="441"/>
      <c r="N362" s="666"/>
      <c r="O362" s="441"/>
      <c r="P362" s="441"/>
      <c r="Q362" s="441"/>
      <c r="R362" s="441"/>
      <c r="S362" s="441"/>
    </row>
    <row r="363" spans="3:20" ht="15">
      <c r="C363" s="441"/>
      <c r="D363" s="441"/>
      <c r="E363" s="441"/>
      <c r="F363" s="441"/>
      <c r="G363" s="441"/>
      <c r="H363" s="441"/>
      <c r="I363" s="441"/>
      <c r="J363" s="441"/>
      <c r="K363" s="441"/>
      <c r="L363" s="441"/>
      <c r="M363" s="441"/>
      <c r="N363" s="666"/>
      <c r="O363" s="441"/>
      <c r="P363" s="441"/>
      <c r="Q363" s="441"/>
      <c r="R363" s="441"/>
      <c r="S363" s="441"/>
    </row>
    <row r="364" spans="3:20" ht="15">
      <c r="C364" s="441"/>
      <c r="D364" s="441"/>
      <c r="E364" s="441"/>
      <c r="F364" s="441"/>
      <c r="G364" s="441"/>
      <c r="H364" s="441"/>
      <c r="I364" s="441"/>
      <c r="J364" s="441"/>
      <c r="K364" s="441"/>
      <c r="L364" s="441"/>
      <c r="M364" s="441"/>
      <c r="N364" s="666"/>
      <c r="O364" s="441"/>
      <c r="P364" s="441"/>
      <c r="Q364" s="441"/>
      <c r="R364" s="441"/>
      <c r="S364" s="441"/>
    </row>
    <row r="365" spans="3:20" ht="15">
      <c r="C365" s="441"/>
      <c r="D365" s="441"/>
      <c r="E365" s="441"/>
      <c r="F365" s="441"/>
      <c r="G365" s="441"/>
      <c r="H365" s="441"/>
      <c r="I365" s="441"/>
      <c r="J365" s="441"/>
      <c r="K365" s="441"/>
      <c r="L365" s="441"/>
      <c r="M365" s="441"/>
      <c r="N365" s="666"/>
      <c r="O365" s="441"/>
      <c r="P365" s="441"/>
      <c r="Q365" s="441"/>
      <c r="R365" s="441"/>
      <c r="S365" s="441"/>
    </row>
    <row r="366" spans="3:20" ht="15">
      <c r="C366" s="441"/>
      <c r="D366" s="441"/>
      <c r="E366" s="441"/>
      <c r="F366" s="441"/>
      <c r="G366" s="441"/>
      <c r="H366" s="441"/>
      <c r="I366" s="441"/>
      <c r="J366" s="441"/>
      <c r="K366" s="441"/>
      <c r="L366" s="441"/>
      <c r="M366" s="441"/>
      <c r="N366" s="666"/>
      <c r="O366" s="441"/>
      <c r="P366" s="441"/>
      <c r="Q366" s="441"/>
      <c r="R366" s="441"/>
      <c r="S366" s="441"/>
    </row>
    <row r="369" spans="1:22" ht="19.149999999999999" customHeight="1">
      <c r="B369" s="522"/>
      <c r="C369" s="585"/>
      <c r="D369" s="584"/>
      <c r="E369" s="584"/>
      <c r="F369" s="584"/>
      <c r="G369" s="586"/>
      <c r="H369" s="586"/>
      <c r="I369" s="586"/>
      <c r="J369" s="586"/>
      <c r="K369" s="587"/>
      <c r="L369" s="587"/>
      <c r="M369" s="587"/>
      <c r="N369" s="587"/>
      <c r="O369" s="587"/>
      <c r="P369" s="587"/>
      <c r="Q369" s="561"/>
      <c r="R369" s="561"/>
      <c r="S369" s="441"/>
      <c r="T369" s="441"/>
      <c r="U369" s="588"/>
      <c r="V369" s="441"/>
    </row>
    <row r="371" spans="1:22" ht="15.75">
      <c r="M371" s="476" t="s">
        <v>1156</v>
      </c>
      <c r="R371" s="477" t="s">
        <v>692</v>
      </c>
      <c r="S371" s="478" t="str">
        <f>$E$29</f>
        <v>ILF5_90FCPRCP_B114CAGR43006</v>
      </c>
    </row>
    <row r="374" spans="1:22">
      <c r="A374" s="420"/>
      <c r="B374" s="420"/>
      <c r="C374" s="420"/>
      <c r="D374" s="420"/>
      <c r="E374" s="420"/>
      <c r="F374" s="420"/>
      <c r="G374" s="420"/>
      <c r="H374" s="420"/>
      <c r="I374" s="420"/>
      <c r="K374" s="420"/>
      <c r="L374" s="420"/>
      <c r="M374" s="420"/>
      <c r="N374" s="420"/>
      <c r="O374" s="420"/>
      <c r="P374" s="420"/>
      <c r="Q374" s="420"/>
      <c r="R374" s="420"/>
      <c r="S374" s="420"/>
      <c r="T374" s="420"/>
      <c r="U374" s="420"/>
      <c r="V374" s="420"/>
    </row>
    <row r="375" spans="1:22">
      <c r="A375" s="420"/>
      <c r="B375" s="420"/>
      <c r="C375" s="420"/>
      <c r="D375" s="420"/>
      <c r="E375" s="420"/>
      <c r="F375" s="420"/>
      <c r="G375" s="420"/>
      <c r="H375" s="436" t="s">
        <v>690</v>
      </c>
      <c r="I375" s="420"/>
      <c r="K375" s="420"/>
      <c r="L375" s="437" t="str">
        <f>$B$11</f>
        <v>INMOBILIARIA SERVIGESTION</v>
      </c>
      <c r="M375" s="420"/>
      <c r="N375" s="420"/>
      <c r="P375" s="420"/>
      <c r="Q375" s="420"/>
      <c r="S375" s="420"/>
      <c r="T375" s="420"/>
      <c r="V375" s="437"/>
    </row>
    <row r="376" spans="1:22" ht="34.5">
      <c r="A376" s="420"/>
      <c r="B376" s="2268" t="s">
        <v>461</v>
      </c>
      <c r="C376" s="2268"/>
      <c r="D376" s="2268"/>
      <c r="E376" s="2268"/>
      <c r="F376" s="2268"/>
      <c r="G376" s="2268"/>
      <c r="H376" s="2268"/>
      <c r="I376" s="2268"/>
      <c r="J376" s="2268"/>
      <c r="K376" s="2268"/>
      <c r="L376" s="2268"/>
      <c r="M376" s="2268"/>
      <c r="N376" s="2268"/>
      <c r="O376" s="2268"/>
      <c r="P376" s="2268"/>
      <c r="Q376" s="2268"/>
      <c r="R376" s="2268"/>
      <c r="S376" s="2268"/>
      <c r="T376" s="2268"/>
      <c r="U376" s="2268"/>
      <c r="V376" s="420"/>
    </row>
    <row r="377" spans="1:22" ht="22.9" customHeight="1">
      <c r="A377" s="420"/>
      <c r="B377" s="2269" t="s">
        <v>808</v>
      </c>
      <c r="C377" s="2269"/>
      <c r="D377" s="2269"/>
      <c r="E377" s="2269"/>
      <c r="F377" s="2269"/>
      <c r="G377" s="2269"/>
      <c r="H377" s="2269"/>
      <c r="I377" s="2269"/>
      <c r="J377" s="2269"/>
      <c r="K377" s="2269"/>
      <c r="L377" s="2269"/>
      <c r="M377" s="2269"/>
      <c r="N377" s="2269"/>
      <c r="O377" s="2269"/>
      <c r="P377" s="2269"/>
      <c r="Q377" s="2269"/>
      <c r="R377" s="2269"/>
      <c r="S377" s="2269"/>
      <c r="T377" s="2269"/>
      <c r="U377" s="2269"/>
      <c r="V377" s="420"/>
    </row>
    <row r="378" spans="1:22" ht="21" customHeight="1">
      <c r="A378" s="420"/>
      <c r="B378" s="2251" t="s">
        <v>711</v>
      </c>
      <c r="C378" s="2251"/>
      <c r="D378" s="2251"/>
      <c r="E378" s="2251"/>
      <c r="F378" s="2251"/>
      <c r="G378" s="2251"/>
      <c r="H378" s="2251"/>
      <c r="I378" s="2251"/>
      <c r="J378" s="2251"/>
      <c r="K378" s="2251"/>
      <c r="L378" s="2251"/>
      <c r="M378" s="2251"/>
      <c r="N378" s="2251"/>
      <c r="O378" s="2251"/>
      <c r="P378" s="2251"/>
      <c r="Q378" s="2251"/>
      <c r="R378" s="2251"/>
      <c r="S378" s="2251"/>
      <c r="T378" s="2251"/>
      <c r="U378" s="2251"/>
      <c r="V378" s="420"/>
    </row>
    <row r="379" spans="1:22" ht="23.25">
      <c r="A379" s="420"/>
      <c r="B379" s="2279" t="s">
        <v>712</v>
      </c>
      <c r="C379" s="2279"/>
      <c r="D379" s="2279"/>
      <c r="E379" s="2279"/>
      <c r="F379" s="2279"/>
      <c r="G379" s="2279"/>
      <c r="H379" s="2279"/>
      <c r="I379" s="2279"/>
      <c r="J379" s="2279"/>
      <c r="K379" s="2279"/>
      <c r="L379" s="2279"/>
      <c r="M379" s="2279"/>
      <c r="N379" s="2279"/>
      <c r="O379" s="2279"/>
      <c r="P379" s="2279"/>
      <c r="Q379" s="2279"/>
      <c r="R379" s="2279"/>
      <c r="S379" s="2279"/>
      <c r="T379" s="2279"/>
      <c r="U379" s="2279"/>
      <c r="V379" s="420"/>
    </row>
    <row r="380" spans="1:22" ht="7.15" customHeight="1">
      <c r="A380" s="429"/>
      <c r="L380" s="488"/>
      <c r="R380" s="488"/>
      <c r="T380" s="488"/>
      <c r="V380" s="429"/>
    </row>
    <row r="381" spans="1:22" ht="72.75" customHeight="1">
      <c r="A381" s="441"/>
      <c r="B381" s="2609" t="s">
        <v>462</v>
      </c>
      <c r="C381" s="2610"/>
      <c r="D381" s="796" t="s">
        <v>463</v>
      </c>
      <c r="E381" s="796" t="s">
        <v>464</v>
      </c>
      <c r="F381" s="2607" t="s">
        <v>468</v>
      </c>
      <c r="G381" s="2608"/>
      <c r="H381" s="758" t="s">
        <v>693</v>
      </c>
      <c r="I381" s="2255" t="s">
        <v>763</v>
      </c>
      <c r="J381" s="2256"/>
      <c r="K381" s="758" t="s">
        <v>339</v>
      </c>
      <c r="L381" s="796" t="s">
        <v>444</v>
      </c>
      <c r="M381" s="758" t="s">
        <v>841</v>
      </c>
      <c r="N381" s="758" t="s">
        <v>51</v>
      </c>
      <c r="O381" s="758" t="s">
        <v>845</v>
      </c>
      <c r="P381" s="758" t="s">
        <v>842</v>
      </c>
      <c r="Q381" s="2611" t="s">
        <v>846</v>
      </c>
      <c r="R381" s="2612"/>
      <c r="S381" s="2611" t="s">
        <v>843</v>
      </c>
      <c r="T381" s="2612"/>
      <c r="U381" s="466"/>
    </row>
    <row r="382" spans="1:22" ht="48.75" customHeight="1">
      <c r="B382" s="2272" t="str">
        <f>IF(Perfiles_usuario!B39=0,"",Perfiles_usuario!B39)</f>
        <v>LINEA JEFE</v>
      </c>
      <c r="C382" s="2259"/>
      <c r="D382" s="756">
        <f>IF(Perfiles_usuario!D39=0,"",Perfiles_usuario!D39)</f>
        <v>1</v>
      </c>
      <c r="E382" s="756">
        <f>IF(Perfiles_usuario!D39=0,"",Perfiles_usuario!F39)</f>
        <v>1</v>
      </c>
      <c r="F382" s="2259" t="str">
        <f>IF(Perfiles_usuario!D39=0,"","incluidas")</f>
        <v>incluidas</v>
      </c>
      <c r="G382" s="2259"/>
      <c r="H382" s="756" t="str">
        <f>IF(B382&lt;&gt;"","Sí","")</f>
        <v>Sí</v>
      </c>
      <c r="I382" s="2259" t="str">
        <f>IF(Perfiles_usuario!D39=0,"",Perfiles_usuario!H39)</f>
        <v>Ilimitada+8GB</v>
      </c>
      <c r="J382" s="2259"/>
      <c r="K382" s="756" t="str">
        <f>IF(Perfiles_usuario!J39=0,"",Perfiles_usuario!J39)</f>
        <v/>
      </c>
      <c r="L382" s="756" t="str">
        <f>IF(Perfiles_usuario!D39=0,"",IF(Perfiles_usuario!N39="","No",Perfiles_usuario!N39))</f>
        <v>No</v>
      </c>
      <c r="M382" s="699">
        <f>IF(Perfiles_usuario!D39=0,"",Perfiles_usuario!P39)</f>
        <v>53</v>
      </c>
      <c r="N382" s="699">
        <f>IF(Perfiles_usuario!D39=0,"",Perfiles_usuario!R39)</f>
        <v>53</v>
      </c>
      <c r="O382" s="797">
        <f>IF(Perfiles_usuario!$D39=0,"",Perfiles_usuario!Z39)</f>
        <v>47.7</v>
      </c>
      <c r="P382" s="699">
        <f>IF(Perfiles_usuario!$D39=0,"",Perfiles_usuario!AB39)</f>
        <v>47.7</v>
      </c>
      <c r="Q382" s="2596">
        <f>IF(Perfiles_usuario!D39=0,"",Perfiles_usuario!AF39)</f>
        <v>42.400000000000006</v>
      </c>
      <c r="R382" s="2596"/>
      <c r="S382" s="2597">
        <f>IF(Perfiles_usuario!D39=0,"",Perfiles_usuario!AH39)</f>
        <v>42.400000000000006</v>
      </c>
      <c r="T382" s="2598"/>
      <c r="V382" s="441"/>
    </row>
    <row r="383" spans="1:22" ht="49.9" customHeight="1">
      <c r="B383" s="2272" t="str">
        <f>IF(Perfiles_usuario!B42=0,"",Perfiles_usuario!B42)</f>
        <v>ILIMITADA</v>
      </c>
      <c r="C383" s="2259"/>
      <c r="D383" s="756">
        <f>IF(Perfiles_usuario!D42=0,"",Perfiles_usuario!D42)</f>
        <v>1</v>
      </c>
      <c r="E383" s="756">
        <f>IF(Perfiles_usuario!D42=0,"",Perfiles_usuario!F42)</f>
        <v>1</v>
      </c>
      <c r="F383" s="2259" t="str">
        <f>IF(Perfiles_usuario!D42=0,"","incluidas")</f>
        <v>incluidas</v>
      </c>
      <c r="G383" s="2259"/>
      <c r="H383" s="1516" t="str">
        <f t="shared" ref="H383:H396" si="1">IF(B383&lt;&gt;"","Sí","")</f>
        <v>Sí</v>
      </c>
      <c r="I383" s="2259" t="str">
        <f>IF(Perfiles_usuario!D42=0,"",Perfiles_usuario!H42)</f>
        <v>Ilimitada+8GB</v>
      </c>
      <c r="J383" s="2259"/>
      <c r="K383" s="756" t="str">
        <f>IF(Perfiles_usuario!J42=0,"",Perfiles_usuario!J42)</f>
        <v/>
      </c>
      <c r="L383" s="756" t="str">
        <f>IF(Perfiles_usuario!D42=0,"",IF(Perfiles_usuario!N42="","No",Perfiles_usuario!N42))</f>
        <v>No</v>
      </c>
      <c r="M383" s="699">
        <f>IF(Perfiles_usuario!D42=0,"",Perfiles_usuario!P42)</f>
        <v>53</v>
      </c>
      <c r="N383" s="699">
        <f>IF(Perfiles_usuario!D42=0,"",Perfiles_usuario!R42)</f>
        <v>53</v>
      </c>
      <c r="O383" s="797">
        <f>IF(Perfiles_usuario!$D42=0,"",Perfiles_usuario!Z42)</f>
        <v>47.7</v>
      </c>
      <c r="P383" s="699">
        <f>IF(Perfiles_usuario!$D42=0,"",Perfiles_usuario!AB42)</f>
        <v>47.7</v>
      </c>
      <c r="Q383" s="2596">
        <f>IF(Perfiles_usuario!D42=0,"",Perfiles_usuario!AF42)</f>
        <v>42.400000000000006</v>
      </c>
      <c r="R383" s="2596"/>
      <c r="S383" s="2597">
        <f>IF(Perfiles_usuario!D42=0,"",Perfiles_usuario!AH42)</f>
        <v>42.400000000000006</v>
      </c>
      <c r="T383" s="2598"/>
      <c r="V383" s="441"/>
    </row>
    <row r="384" spans="1:22" ht="49.9" customHeight="1">
      <c r="B384" s="2272" t="str">
        <f>IF(Perfiles_usuario!B45=0,"",Perfiles_usuario!B45)</f>
        <v>ILIMITADA</v>
      </c>
      <c r="C384" s="2259"/>
      <c r="D384" s="756">
        <f>IF(Perfiles_usuario!D45=0,"",Perfiles_usuario!D45)</f>
        <v>1</v>
      </c>
      <c r="E384" s="756">
        <f>IF(Perfiles_usuario!D45=0,"",Perfiles_usuario!F45)</f>
        <v>1</v>
      </c>
      <c r="F384" s="2259" t="str">
        <f>IF(Perfiles_usuario!D45=0,"","incluidas")</f>
        <v>incluidas</v>
      </c>
      <c r="G384" s="2259"/>
      <c r="H384" s="1516" t="str">
        <f t="shared" si="1"/>
        <v>Sí</v>
      </c>
      <c r="I384" s="2259" t="str">
        <f>IF(Perfiles_usuario!D45=0,"",Perfiles_usuario!H45)</f>
        <v>Ilimitada+8GB</v>
      </c>
      <c r="J384" s="2259"/>
      <c r="K384" s="756" t="str">
        <f>IF(Perfiles_usuario!J45=0,"",Perfiles_usuario!J45)</f>
        <v/>
      </c>
      <c r="L384" s="756" t="str">
        <f>IF(Perfiles_usuario!D45=0,"",IF(Perfiles_usuario!N45="","No",Perfiles_usuario!N45))</f>
        <v>No</v>
      </c>
      <c r="M384" s="699">
        <f>IF(Perfiles_usuario!D45=0,"",Perfiles_usuario!P45)</f>
        <v>53</v>
      </c>
      <c r="N384" s="699">
        <f>IF(Perfiles_usuario!D45=0,"",Perfiles_usuario!R45)</f>
        <v>53</v>
      </c>
      <c r="O384" s="797">
        <f>IF(Perfiles_usuario!$D45=0,"",Perfiles_usuario!Z45)</f>
        <v>47.7</v>
      </c>
      <c r="P384" s="699">
        <f>IF(Perfiles_usuario!$D45=0,"",Perfiles_usuario!AB45)</f>
        <v>47.7</v>
      </c>
      <c r="Q384" s="2596">
        <f>IF(Perfiles_usuario!D45=0,"",Perfiles_usuario!AF45)</f>
        <v>42.400000000000006</v>
      </c>
      <c r="R384" s="2596"/>
      <c r="S384" s="2597">
        <f>IF(Perfiles_usuario!D45=0,"",Perfiles_usuario!AH45)</f>
        <v>42.400000000000006</v>
      </c>
      <c r="T384" s="2598"/>
    </row>
    <row r="385" spans="2:22" ht="49.9" customHeight="1">
      <c r="B385" s="2272" t="str">
        <f>IF(Perfiles_usuario!B48=0,"",Perfiles_usuario!B48)</f>
        <v>ILIMITADA CV</v>
      </c>
      <c r="C385" s="2259"/>
      <c r="D385" s="756">
        <f>IF(Perfiles_usuario!D48=0,"",Perfiles_usuario!D48)</f>
        <v>1</v>
      </c>
      <c r="E385" s="756">
        <f>IF(Perfiles_usuario!D48=0,"",Perfiles_usuario!F48)</f>
        <v>0</v>
      </c>
      <c r="F385" s="2259" t="str">
        <f>IF(Perfiles_usuario!D48=0,"","incluidas")</f>
        <v>incluidas</v>
      </c>
      <c r="G385" s="2259"/>
      <c r="H385" s="1516" t="str">
        <f t="shared" si="1"/>
        <v>Sí</v>
      </c>
      <c r="I385" s="2259" t="str">
        <f>IF(Perfiles_usuario!D48=0,"",Perfiles_usuario!H48)</f>
        <v>Ilimitada+1GB</v>
      </c>
      <c r="J385" s="2259"/>
      <c r="K385" s="756" t="str">
        <f>IF(Perfiles_usuario!J48=0,"",Perfiles_usuario!J48)</f>
        <v>Agente Centralita Virtual</v>
      </c>
      <c r="L385" s="756" t="str">
        <f>IF(Perfiles_usuario!D48=0,"",IF(Perfiles_usuario!N48="","No",Perfiles_usuario!N48))</f>
        <v>No</v>
      </c>
      <c r="M385" s="699">
        <f>IF(Perfiles_usuario!D48=0,"",Perfiles_usuario!P48)</f>
        <v>29</v>
      </c>
      <c r="N385" s="699">
        <f>IF(Perfiles_usuario!D48=0,"",Perfiles_usuario!R48)</f>
        <v>29</v>
      </c>
      <c r="O385" s="797">
        <f>IF(Perfiles_usuario!$D48=0,"",Perfiles_usuario!Z48)</f>
        <v>26.1</v>
      </c>
      <c r="P385" s="699">
        <f>IF(Perfiles_usuario!$D48=0,"",Perfiles_usuario!AB48)</f>
        <v>26.1</v>
      </c>
      <c r="Q385" s="2596">
        <f>IF(Perfiles_usuario!D48=0,"",Perfiles_usuario!AF48)</f>
        <v>23.200000000000003</v>
      </c>
      <c r="R385" s="2596"/>
      <c r="S385" s="2597">
        <f>IF(Perfiles_usuario!D48=0,"",Perfiles_usuario!AH48)</f>
        <v>23.200000000000003</v>
      </c>
      <c r="T385" s="2598"/>
      <c r="V385" s="441"/>
    </row>
    <row r="386" spans="2:22" ht="49.9" customHeight="1">
      <c r="B386" s="2272" t="str">
        <f>IF(Perfiles_usuario!B51=0,"",Perfiles_usuario!B51)</f>
        <v>1 NUEVA</v>
      </c>
      <c r="C386" s="2259"/>
      <c r="D386" s="756">
        <f>IF(Perfiles_usuario!D51=0,"",Perfiles_usuario!D51)</f>
        <v>1</v>
      </c>
      <c r="E386" s="756">
        <f>IF(Perfiles_usuario!D51=0,"",Perfiles_usuario!F51)</f>
        <v>0</v>
      </c>
      <c r="F386" s="2259" t="str">
        <f>IF(Perfiles_usuario!D51=0,"","incluidas")</f>
        <v>incluidas</v>
      </c>
      <c r="G386" s="2259"/>
      <c r="H386" s="1516" t="str">
        <f t="shared" si="1"/>
        <v>Sí</v>
      </c>
      <c r="I386" s="2259" t="str">
        <f>IF(Perfiles_usuario!D51=0,"",Perfiles_usuario!H51)</f>
        <v>Sin tarifa plana (0-50 min)</v>
      </c>
      <c r="J386" s="2259"/>
      <c r="K386" s="756" t="str">
        <f>IF(Perfiles_usuario!J51=0,"",Perfiles_usuario!J51)</f>
        <v/>
      </c>
      <c r="L386" s="756" t="str">
        <f>IF(Perfiles_usuario!D51=0,"",IF(Perfiles_usuario!N51="","No",Perfiles_usuario!N51))</f>
        <v>No</v>
      </c>
      <c r="M386" s="699">
        <f>IF(Perfiles_usuario!D51=0,"",Perfiles_usuario!P51)</f>
        <v>6</v>
      </c>
      <c r="N386" s="699">
        <f>IF(Perfiles_usuario!D51=0,"",Perfiles_usuario!R51)</f>
        <v>6</v>
      </c>
      <c r="O386" s="797">
        <f>IF(Perfiles_usuario!$D51=0,"",Perfiles_usuario!Z51)</f>
        <v>5.4</v>
      </c>
      <c r="P386" s="699">
        <f>IF(Perfiles_usuario!$D51=0,"",Perfiles_usuario!AB51)</f>
        <v>5.4</v>
      </c>
      <c r="Q386" s="2596">
        <f>IF(Perfiles_usuario!D51=0,"",Perfiles_usuario!AF51)</f>
        <v>4.8000000000000007</v>
      </c>
      <c r="R386" s="2596"/>
      <c r="S386" s="2597">
        <f>IF(Perfiles_usuario!D51=0,"",Perfiles_usuario!AH51)</f>
        <v>4.8000000000000007</v>
      </c>
      <c r="T386" s="2598"/>
      <c r="V386" s="441"/>
    </row>
    <row r="387" spans="2:22" ht="49.9" customHeight="1">
      <c r="B387" s="2272" t="str">
        <f>IF(Perfiles_usuario!B54=0,"",Perfiles_usuario!B54)</f>
        <v/>
      </c>
      <c r="C387" s="2259"/>
      <c r="D387" s="756" t="str">
        <f>IF(Perfiles_usuario!D54=0,"",Perfiles_usuario!D54)</f>
        <v/>
      </c>
      <c r="E387" s="756" t="str">
        <f>IF(Perfiles_usuario!D54=0,"",Perfiles_usuario!F54)</f>
        <v/>
      </c>
      <c r="F387" s="2259" t="str">
        <f>IF(Perfiles_usuario!D54=0,"","incluidas")</f>
        <v/>
      </c>
      <c r="G387" s="2259"/>
      <c r="H387" s="1516" t="str">
        <f t="shared" si="1"/>
        <v/>
      </c>
      <c r="I387" s="2259" t="str">
        <f>IF(Perfiles_usuario!D54=0,"",Perfiles_usuario!H54)</f>
        <v/>
      </c>
      <c r="J387" s="2259"/>
      <c r="K387" s="756" t="str">
        <f>IF(Perfiles_usuario!J54=0,"",Perfiles_usuario!J54)</f>
        <v/>
      </c>
      <c r="L387" s="756" t="str">
        <f>IF(Perfiles_usuario!D54=0,"",IF(Perfiles_usuario!N54="","No",Perfiles_usuario!N54))</f>
        <v/>
      </c>
      <c r="M387" s="699" t="str">
        <f>IF(Perfiles_usuario!D54=0,"",Perfiles_usuario!P54)</f>
        <v/>
      </c>
      <c r="N387" s="699" t="str">
        <f>IF(Perfiles_usuario!D54=0,"",Perfiles_usuario!R54)</f>
        <v/>
      </c>
      <c r="O387" s="797" t="str">
        <f>IF(Perfiles_usuario!$D54=0,"",Perfiles_usuario!Z54)</f>
        <v/>
      </c>
      <c r="P387" s="699" t="str">
        <f>IF(Perfiles_usuario!$D54=0,"",Perfiles_usuario!AB54)</f>
        <v/>
      </c>
      <c r="Q387" s="2596" t="str">
        <f>IF(Perfiles_usuario!D54=0,"",Perfiles_usuario!AF54)</f>
        <v/>
      </c>
      <c r="R387" s="2596"/>
      <c r="S387" s="2597" t="str">
        <f>IF(Perfiles_usuario!D54=0,"",Perfiles_usuario!AH54)</f>
        <v/>
      </c>
      <c r="T387" s="2598"/>
      <c r="V387" s="441"/>
    </row>
    <row r="388" spans="2:22" ht="49.9" customHeight="1">
      <c r="B388" s="2272" t="str">
        <f>IF(Perfiles_usuario!B57=0,"",Perfiles_usuario!B57)</f>
        <v/>
      </c>
      <c r="C388" s="2259"/>
      <c r="D388" s="756" t="str">
        <f>IF(Perfiles_usuario!D57=0,"",Perfiles_usuario!D57)</f>
        <v/>
      </c>
      <c r="E388" s="756" t="str">
        <f>IF(Perfiles_usuario!D57=0,"",Perfiles_usuario!F57)</f>
        <v/>
      </c>
      <c r="F388" s="2259" t="str">
        <f>IF(Perfiles_usuario!D57=0,"","incluidas")</f>
        <v/>
      </c>
      <c r="G388" s="2259"/>
      <c r="H388" s="1516" t="str">
        <f t="shared" si="1"/>
        <v/>
      </c>
      <c r="I388" s="2259" t="str">
        <f>IF(Perfiles_usuario!D57=0,"",Perfiles_usuario!H57)</f>
        <v/>
      </c>
      <c r="J388" s="2259"/>
      <c r="K388" s="756" t="str">
        <f>IF(Perfiles_usuario!J57=0,"",Perfiles_usuario!J57)</f>
        <v/>
      </c>
      <c r="L388" s="756" t="str">
        <f>IF(Perfiles_usuario!D57=0,"",IF(Perfiles_usuario!N57="","No",Perfiles_usuario!N57))</f>
        <v/>
      </c>
      <c r="M388" s="699" t="str">
        <f>IF(Perfiles_usuario!D57=0,"",Perfiles_usuario!P57)</f>
        <v/>
      </c>
      <c r="N388" s="699" t="str">
        <f>IF(Perfiles_usuario!D57=0,"",Perfiles_usuario!R57)</f>
        <v/>
      </c>
      <c r="O388" s="797" t="str">
        <f>IF(Perfiles_usuario!$D57=0,"",Perfiles_usuario!Z57)</f>
        <v/>
      </c>
      <c r="P388" s="699" t="str">
        <f>IF(Perfiles_usuario!$D57=0,"",Perfiles_usuario!AB57)</f>
        <v/>
      </c>
      <c r="Q388" s="2596" t="str">
        <f>IF(Perfiles_usuario!D57=0,"",Perfiles_usuario!AF57)</f>
        <v/>
      </c>
      <c r="R388" s="2596"/>
      <c r="S388" s="2597" t="str">
        <f>IF(Perfiles_usuario!D57=0,"",Perfiles_usuario!AH57)</f>
        <v/>
      </c>
      <c r="T388" s="2598"/>
      <c r="V388" s="441"/>
    </row>
    <row r="389" spans="2:22" ht="49.9" customHeight="1">
      <c r="B389" s="2272" t="str">
        <f>IF(Perfiles_usuario!B60=0,"",Perfiles_usuario!B60)</f>
        <v/>
      </c>
      <c r="C389" s="2259"/>
      <c r="D389" s="756" t="str">
        <f>IF(Perfiles_usuario!D60=0,"",Perfiles_usuario!D60)</f>
        <v/>
      </c>
      <c r="E389" s="756" t="str">
        <f>IF(Perfiles_usuario!D60=0,"",Perfiles_usuario!F60)</f>
        <v/>
      </c>
      <c r="F389" s="2259" t="str">
        <f>IF(Perfiles_usuario!D60=0,"","incluidas")</f>
        <v/>
      </c>
      <c r="G389" s="2259"/>
      <c r="H389" s="1516" t="str">
        <f t="shared" si="1"/>
        <v/>
      </c>
      <c r="I389" s="2259" t="str">
        <f>IF(Perfiles_usuario!D60=0,"",Perfiles_usuario!H60)</f>
        <v/>
      </c>
      <c r="J389" s="2259"/>
      <c r="K389" s="756" t="str">
        <f>IF(Perfiles_usuario!J60=0,"",Perfiles_usuario!J60)</f>
        <v/>
      </c>
      <c r="L389" s="756" t="str">
        <f>IF(Perfiles_usuario!D60=0,"",IF(Perfiles_usuario!N60="","No",Perfiles_usuario!N60))</f>
        <v/>
      </c>
      <c r="M389" s="699" t="str">
        <f>IF(Perfiles_usuario!D60=0,"",Perfiles_usuario!P60)</f>
        <v/>
      </c>
      <c r="N389" s="699" t="str">
        <f>IF(Perfiles_usuario!D60=0,"",Perfiles_usuario!R60)</f>
        <v/>
      </c>
      <c r="O389" s="797" t="str">
        <f>IF(Perfiles_usuario!$D60=0,"",Perfiles_usuario!Z60)</f>
        <v/>
      </c>
      <c r="P389" s="699" t="str">
        <f>IF(Perfiles_usuario!$D60=0,"",Perfiles_usuario!AB60)</f>
        <v/>
      </c>
      <c r="Q389" s="2596" t="str">
        <f>IF(Perfiles_usuario!D60=0,"",Perfiles_usuario!AF60)</f>
        <v/>
      </c>
      <c r="R389" s="2596"/>
      <c r="S389" s="2597" t="str">
        <f>IF(Perfiles_usuario!D60=0,"",Perfiles_usuario!AH60)</f>
        <v/>
      </c>
      <c r="T389" s="2598"/>
      <c r="V389" s="441"/>
    </row>
    <row r="390" spans="2:22" ht="49.9" customHeight="1">
      <c r="B390" s="2272" t="str">
        <f>IF(Perfiles_usuario!B63=0,"",Perfiles_usuario!B63)</f>
        <v/>
      </c>
      <c r="C390" s="2259"/>
      <c r="D390" s="756" t="str">
        <f>IF(Perfiles_usuario!D63=0,"",Perfiles_usuario!D63)</f>
        <v/>
      </c>
      <c r="E390" s="756" t="str">
        <f>IF(Perfiles_usuario!D63=0,"",Perfiles_usuario!F63)</f>
        <v/>
      </c>
      <c r="F390" s="2259" t="str">
        <f>IF(Perfiles_usuario!D63=0,"","incluidas")</f>
        <v/>
      </c>
      <c r="G390" s="2259"/>
      <c r="H390" s="1516" t="str">
        <f t="shared" si="1"/>
        <v/>
      </c>
      <c r="I390" s="2259" t="str">
        <f>IF(Perfiles_usuario!D63=0,"",Perfiles_usuario!H63)</f>
        <v/>
      </c>
      <c r="J390" s="2259"/>
      <c r="K390" s="756" t="str">
        <f>IF(Perfiles_usuario!J63=0,"",Perfiles_usuario!J63)</f>
        <v/>
      </c>
      <c r="L390" s="756" t="str">
        <f>IF(Perfiles_usuario!D63=0,"",IF(Perfiles_usuario!N63="","No",Perfiles_usuario!N63))</f>
        <v/>
      </c>
      <c r="M390" s="699" t="str">
        <f>IF(Perfiles_usuario!D63=0,"",Perfiles_usuario!P63)</f>
        <v/>
      </c>
      <c r="N390" s="699" t="str">
        <f>IF(Perfiles_usuario!D63=0,"",Perfiles_usuario!R63)</f>
        <v/>
      </c>
      <c r="O390" s="797" t="str">
        <f>IF(Perfiles_usuario!$D63=0,"",Perfiles_usuario!Z63)</f>
        <v/>
      </c>
      <c r="P390" s="699" t="str">
        <f>IF(Perfiles_usuario!$D63=0,"",Perfiles_usuario!AB63)</f>
        <v/>
      </c>
      <c r="Q390" s="2596" t="str">
        <f>IF(Perfiles_usuario!D63=0,"",Perfiles_usuario!AF63)</f>
        <v/>
      </c>
      <c r="R390" s="2596"/>
      <c r="S390" s="2597" t="str">
        <f>IF(Perfiles_usuario!D63=0,"",Perfiles_usuario!AH63)</f>
        <v/>
      </c>
      <c r="T390" s="2598"/>
      <c r="V390" s="441"/>
    </row>
    <row r="391" spans="2:22" ht="49.9" customHeight="1">
      <c r="B391" s="2272" t="str">
        <f>IF(Perfiles_usuario!B66=0,"",Perfiles_usuario!B66)</f>
        <v/>
      </c>
      <c r="C391" s="2259"/>
      <c r="D391" s="756" t="str">
        <f>IF(Perfiles_usuario!D66=0,"",Perfiles_usuario!D66)</f>
        <v/>
      </c>
      <c r="E391" s="756" t="str">
        <f>IF(Perfiles_usuario!D66=0,"",Perfiles_usuario!F66)</f>
        <v/>
      </c>
      <c r="F391" s="2259" t="str">
        <f>IF(Perfiles_usuario!D66=0,"","incluidas")</f>
        <v/>
      </c>
      <c r="G391" s="2259"/>
      <c r="H391" s="1516" t="str">
        <f t="shared" si="1"/>
        <v/>
      </c>
      <c r="I391" s="2259" t="str">
        <f>IF(Perfiles_usuario!D66=0,"",Perfiles_usuario!H66)</f>
        <v/>
      </c>
      <c r="J391" s="2259"/>
      <c r="K391" s="756" t="str">
        <f>IF(Perfiles_usuario!J66=0,"",Perfiles_usuario!J66)</f>
        <v/>
      </c>
      <c r="L391" s="756" t="str">
        <f>IF(Perfiles_usuario!D66=0,"",IF(Perfiles_usuario!N66="","No",Perfiles_usuario!N66))</f>
        <v/>
      </c>
      <c r="M391" s="699" t="str">
        <f>IF(Perfiles_usuario!D66=0,"",Perfiles_usuario!P66)</f>
        <v/>
      </c>
      <c r="N391" s="699" t="str">
        <f>IF(Perfiles_usuario!D66=0,"",Perfiles_usuario!R66)</f>
        <v/>
      </c>
      <c r="O391" s="797" t="str">
        <f>IF(Perfiles_usuario!$D66=0,"",Perfiles_usuario!Z66)</f>
        <v/>
      </c>
      <c r="P391" s="699" t="str">
        <f>IF(Perfiles_usuario!$D66=0,"",Perfiles_usuario!AB66)</f>
        <v/>
      </c>
      <c r="Q391" s="2596" t="str">
        <f>IF(Perfiles_usuario!D66=0,"",Perfiles_usuario!AF66)</f>
        <v/>
      </c>
      <c r="R391" s="2596"/>
      <c r="S391" s="2597" t="str">
        <f>IF(Perfiles_usuario!D66=0,"",Perfiles_usuario!AH66)</f>
        <v/>
      </c>
      <c r="T391" s="2598"/>
      <c r="V391" s="441"/>
    </row>
    <row r="392" spans="2:22" ht="49.9" customHeight="1">
      <c r="B392" s="2272" t="str">
        <f>IF(Perfiles_usuario!B68=0,"",Perfiles_usuario!B68)</f>
        <v/>
      </c>
      <c r="C392" s="2259"/>
      <c r="D392" s="756" t="str">
        <f>IF(Perfiles_usuario!D68=0,"",Perfiles_usuario!D68)</f>
        <v/>
      </c>
      <c r="E392" s="756" t="str">
        <f>IF(Perfiles_usuario!D68=0,"",Perfiles_usuario!F68)</f>
        <v/>
      </c>
      <c r="F392" s="2259" t="str">
        <f>IF(Perfiles_usuario!D68=0,"","incluidas")</f>
        <v/>
      </c>
      <c r="G392" s="2259"/>
      <c r="H392" s="1516" t="str">
        <f t="shared" si="1"/>
        <v/>
      </c>
      <c r="I392" s="2259" t="str">
        <f>IF(Perfiles_usuario!D68=0,"",Perfiles_usuario!H68)</f>
        <v/>
      </c>
      <c r="J392" s="2259"/>
      <c r="K392" s="756" t="str">
        <f>IF(Perfiles_usuario!J68=0,"",Perfiles_usuario!J68)</f>
        <v/>
      </c>
      <c r="L392" s="756" t="str">
        <f>IF(Perfiles_usuario!D68=0,"",IF(Perfiles_usuario!N68="","No",Perfiles_usuario!N68))</f>
        <v/>
      </c>
      <c r="M392" s="699" t="str">
        <f>IF(Perfiles_usuario!D68=0,"",Perfiles_usuario!P68)</f>
        <v/>
      </c>
      <c r="N392" s="699" t="str">
        <f>IF(Perfiles_usuario!D68=0,"",Perfiles_usuario!R68)</f>
        <v/>
      </c>
      <c r="O392" s="797" t="str">
        <f>IF(Perfiles_usuario!$D68=0,"",Perfiles_usuario!Z68)</f>
        <v/>
      </c>
      <c r="P392" s="699" t="str">
        <f>IF(Perfiles_usuario!$D68=0,"",Perfiles_usuario!AB68)</f>
        <v/>
      </c>
      <c r="Q392" s="2596" t="str">
        <f>IF(Perfiles_usuario!D68=0,"",Perfiles_usuario!AF68)</f>
        <v/>
      </c>
      <c r="R392" s="2596"/>
      <c r="S392" s="2597" t="str">
        <f>IF(Perfiles_usuario!D68=0,"",Perfiles_usuario!AH68)</f>
        <v/>
      </c>
      <c r="T392" s="2598"/>
      <c r="V392" s="441"/>
    </row>
    <row r="393" spans="2:22" ht="49.9" customHeight="1">
      <c r="B393" s="2272" t="str">
        <f>IF(Perfiles_usuario!B70=0,"",Perfiles_usuario!B70)</f>
        <v/>
      </c>
      <c r="C393" s="2259"/>
      <c r="D393" s="756" t="str">
        <f>IF(Perfiles_usuario!D70=0,"",Perfiles_usuario!D70)</f>
        <v/>
      </c>
      <c r="E393" s="756" t="str">
        <f>IF(Perfiles_usuario!D70=0,"",Perfiles_usuario!F70)</f>
        <v/>
      </c>
      <c r="F393" s="2259" t="str">
        <f>IF(Perfiles_usuario!D70=0,"","incluidas")</f>
        <v/>
      </c>
      <c r="G393" s="2259"/>
      <c r="H393" s="1516" t="str">
        <f t="shared" si="1"/>
        <v/>
      </c>
      <c r="I393" s="2259" t="str">
        <f>IF(Perfiles_usuario!D70=0,"",Perfiles_usuario!H70)</f>
        <v/>
      </c>
      <c r="J393" s="2259"/>
      <c r="K393" s="756" t="str">
        <f>IF(Perfiles_usuario!J70=0,"",Perfiles_usuario!J70)</f>
        <v/>
      </c>
      <c r="L393" s="756" t="str">
        <f>IF(Perfiles_usuario!D70=0,"",IF(Perfiles_usuario!N70="","No",Perfiles_usuario!N70))</f>
        <v/>
      </c>
      <c r="M393" s="699" t="str">
        <f>IF(Perfiles_usuario!D70=0,"",Perfiles_usuario!P70)</f>
        <v/>
      </c>
      <c r="N393" s="699" t="str">
        <f>IF(Perfiles_usuario!D70=0,"",Perfiles_usuario!R70)</f>
        <v/>
      </c>
      <c r="O393" s="797" t="str">
        <f>IF(Perfiles_usuario!$D70=0,"",Perfiles_usuario!Z70)</f>
        <v/>
      </c>
      <c r="P393" s="699" t="str">
        <f>IF(Perfiles_usuario!$D70=0,"",Perfiles_usuario!AB70)</f>
        <v/>
      </c>
      <c r="Q393" s="2596" t="str">
        <f>IF(Perfiles_usuario!D70=0,"",Perfiles_usuario!AF70)</f>
        <v/>
      </c>
      <c r="R393" s="2596"/>
      <c r="S393" s="2597" t="str">
        <f>IF(Perfiles_usuario!D70=0,"",Perfiles_usuario!AH70)</f>
        <v/>
      </c>
      <c r="T393" s="2598"/>
      <c r="V393" s="441"/>
    </row>
    <row r="394" spans="2:22" ht="49.9" customHeight="1">
      <c r="B394" s="2272" t="str">
        <f>IF(Perfiles_usuario!B72=0,"",Perfiles_usuario!B72)</f>
        <v/>
      </c>
      <c r="C394" s="2259"/>
      <c r="D394" s="756" t="str">
        <f>IF(Perfiles_usuario!D72=0,"",Perfiles_usuario!D72)</f>
        <v/>
      </c>
      <c r="E394" s="756" t="str">
        <f>IF(Perfiles_usuario!D72=0,"",Perfiles_usuario!F72)</f>
        <v/>
      </c>
      <c r="F394" s="2259" t="str">
        <f>IF(Perfiles_usuario!D72=0,"","incluidas")</f>
        <v/>
      </c>
      <c r="G394" s="2259"/>
      <c r="H394" s="1516" t="str">
        <f t="shared" si="1"/>
        <v/>
      </c>
      <c r="I394" s="2259" t="str">
        <f>IF(Perfiles_usuario!D72=0,"",Perfiles_usuario!H72)</f>
        <v/>
      </c>
      <c r="J394" s="2259"/>
      <c r="K394" s="756" t="str">
        <f>IF(Perfiles_usuario!J72=0,"",Perfiles_usuario!J72)</f>
        <v/>
      </c>
      <c r="L394" s="756" t="str">
        <f>IF(Perfiles_usuario!D72=0,"",IF(Perfiles_usuario!N72="","No",Perfiles_usuario!N72))</f>
        <v/>
      </c>
      <c r="M394" s="699" t="str">
        <f>IF(Perfiles_usuario!D72=0,"",Perfiles_usuario!P72)</f>
        <v/>
      </c>
      <c r="N394" s="699" t="str">
        <f>IF(Perfiles_usuario!D72=0,"",Perfiles_usuario!R72)</f>
        <v/>
      </c>
      <c r="O394" s="797" t="str">
        <f>IF(Perfiles_usuario!$D72=0,"",Perfiles_usuario!Z72)</f>
        <v/>
      </c>
      <c r="P394" s="699" t="str">
        <f>IF(Perfiles_usuario!$D72=0,"",Perfiles_usuario!AB72)</f>
        <v/>
      </c>
      <c r="Q394" s="2596" t="str">
        <f>IF(Perfiles_usuario!D72=0,"",Perfiles_usuario!AF72)</f>
        <v/>
      </c>
      <c r="R394" s="2596"/>
      <c r="S394" s="2597" t="str">
        <f>IF(Perfiles_usuario!D72=0,"",Perfiles_usuario!AH72)</f>
        <v/>
      </c>
      <c r="T394" s="2598"/>
      <c r="V394" s="441"/>
    </row>
    <row r="395" spans="2:22" ht="49.9" customHeight="1">
      <c r="B395" s="2272" t="str">
        <f>IF(Perfiles_usuario!B74=0,"",Perfiles_usuario!B74)</f>
        <v/>
      </c>
      <c r="C395" s="2259"/>
      <c r="D395" s="756" t="str">
        <f>IF(Perfiles_usuario!D74=0,"",Perfiles_usuario!D74)</f>
        <v/>
      </c>
      <c r="E395" s="756" t="str">
        <f>IF(Perfiles_usuario!D74=0,"",Perfiles_usuario!F74)</f>
        <v/>
      </c>
      <c r="F395" s="2259" t="str">
        <f>IF(Perfiles_usuario!D74=0,"","incluidas")</f>
        <v/>
      </c>
      <c r="G395" s="2259"/>
      <c r="H395" s="1516" t="str">
        <f t="shared" si="1"/>
        <v/>
      </c>
      <c r="I395" s="2259" t="str">
        <f>IF(Perfiles_usuario!D74=0,"",Perfiles_usuario!H74)</f>
        <v/>
      </c>
      <c r="J395" s="2259"/>
      <c r="K395" s="756" t="str">
        <f>IF(Perfiles_usuario!J74=0,"",Perfiles_usuario!J74)</f>
        <v/>
      </c>
      <c r="L395" s="756" t="str">
        <f>IF(Perfiles_usuario!D74=0,"",IF(Perfiles_usuario!N74="","No",Perfiles_usuario!N74))</f>
        <v/>
      </c>
      <c r="M395" s="699" t="str">
        <f>IF(Perfiles_usuario!D74=0,"",Perfiles_usuario!P74)</f>
        <v/>
      </c>
      <c r="N395" s="699" t="str">
        <f>IF(Perfiles_usuario!D74=0,"",Perfiles_usuario!R74)</f>
        <v/>
      </c>
      <c r="O395" s="797" t="str">
        <f>IF(Perfiles_usuario!$D74=0,"",Perfiles_usuario!Z74)</f>
        <v/>
      </c>
      <c r="P395" s="699" t="str">
        <f>IF(Perfiles_usuario!$D74=0,"",Perfiles_usuario!AB74)</f>
        <v/>
      </c>
      <c r="Q395" s="2596" t="str">
        <f>IF(Perfiles_usuario!D74=0,"",Perfiles_usuario!AF74)</f>
        <v/>
      </c>
      <c r="R395" s="2596"/>
      <c r="S395" s="2597" t="str">
        <f>IF(Perfiles_usuario!D74=0,"",Perfiles_usuario!AH74)</f>
        <v/>
      </c>
      <c r="T395" s="2598"/>
      <c r="V395" s="441"/>
    </row>
    <row r="396" spans="2:22" ht="49.9" customHeight="1">
      <c r="B396" s="2272" t="str">
        <f>IF(Perfiles_usuario!B76=0,"",Perfiles_usuario!B76)</f>
        <v/>
      </c>
      <c r="C396" s="2259"/>
      <c r="D396" s="756" t="str">
        <f>IF(Perfiles_usuario!D76=0,"",Perfiles_usuario!D76)</f>
        <v/>
      </c>
      <c r="E396" s="756" t="str">
        <f>IF(Perfiles_usuario!D76=0,"",Perfiles_usuario!F76)</f>
        <v/>
      </c>
      <c r="F396" s="2259" t="str">
        <f>IF(Perfiles_usuario!D76=0,"","incluidas")</f>
        <v/>
      </c>
      <c r="G396" s="2259"/>
      <c r="H396" s="1516" t="str">
        <f t="shared" si="1"/>
        <v/>
      </c>
      <c r="I396" s="2259" t="str">
        <f>IF(Perfiles_usuario!D76=0,"",Perfiles_usuario!H76)</f>
        <v/>
      </c>
      <c r="J396" s="2259"/>
      <c r="K396" s="756" t="str">
        <f>IF(Perfiles_usuario!J76=0,"",Perfiles_usuario!J76)</f>
        <v/>
      </c>
      <c r="L396" s="756" t="str">
        <f>IF(Perfiles_usuario!D76=0,"",IF(Perfiles_usuario!N76="","No",Perfiles_usuario!N76))</f>
        <v/>
      </c>
      <c r="M396" s="699" t="str">
        <f>IF(Perfiles_usuario!D76=0,"",Perfiles_usuario!P76)</f>
        <v/>
      </c>
      <c r="N396" s="699" t="str">
        <f>IF(Perfiles_usuario!D76=0,"",Perfiles_usuario!R76)</f>
        <v/>
      </c>
      <c r="O396" s="797" t="str">
        <f>IF(Perfiles_usuario!$D76=0,"",Perfiles_usuario!Z76)</f>
        <v/>
      </c>
      <c r="P396" s="699" t="str">
        <f>IF(Perfiles_usuario!$D76=0,"",Perfiles_usuario!AB76)</f>
        <v/>
      </c>
      <c r="Q396" s="2596" t="str">
        <f>IF(Perfiles_usuario!D76=0,"",Perfiles_usuario!AF76)</f>
        <v/>
      </c>
      <c r="R396" s="2596"/>
      <c r="S396" s="2597" t="str">
        <f>IF(Perfiles_usuario!D76=0,"",Perfiles_usuario!AH76)</f>
        <v/>
      </c>
      <c r="T396" s="2598"/>
      <c r="V396" s="441"/>
    </row>
    <row r="397" spans="2:22" ht="7.15" customHeight="1"/>
    <row r="398" spans="2:22" ht="35.25" customHeight="1">
      <c r="B398" s="2452" t="s">
        <v>721</v>
      </c>
      <c r="C398" s="2453"/>
      <c r="D398" s="702">
        <f>Perfiles_usuario!D79</f>
        <v>0</v>
      </c>
      <c r="E398" s="703">
        <f>Perfiles_usuario!F79</f>
        <v>0</v>
      </c>
      <c r="I398" s="2571" t="s">
        <v>680</v>
      </c>
      <c r="J398" s="2571"/>
      <c r="K398" s="2571"/>
      <c r="L398" s="2571"/>
      <c r="M398" s="2572"/>
      <c r="N398" s="789">
        <f>Perfiles_usuario!R78</f>
        <v>0</v>
      </c>
      <c r="P398" s="2300"/>
      <c r="S398" s="2300"/>
      <c r="U398" s="705"/>
    </row>
    <row r="399" spans="2:22" ht="38.25" customHeight="1">
      <c r="B399" s="2454" t="s">
        <v>722</v>
      </c>
      <c r="C399" s="2455"/>
      <c r="D399" s="702">
        <f>Perfiles_usuario!D81</f>
        <v>3</v>
      </c>
      <c r="E399" s="703">
        <f>Perfiles_usuario!F81</f>
        <v>3</v>
      </c>
      <c r="P399" s="2300"/>
      <c r="Q399" s="706"/>
      <c r="R399" s="705"/>
      <c r="S399" s="2300"/>
      <c r="U399" s="705"/>
    </row>
    <row r="400" spans="2:22" ht="36.75" customHeight="1">
      <c r="F400" s="561"/>
      <c r="G400" s="561"/>
      <c r="H400" s="561"/>
      <c r="I400" s="2299"/>
      <c r="J400" s="2299"/>
      <c r="K400" s="2301" t="s">
        <v>844</v>
      </c>
      <c r="L400" s="2301"/>
      <c r="M400" s="2302"/>
      <c r="N400" s="707">
        <f>Perfiles_usuario!R82</f>
        <v>194</v>
      </c>
      <c r="O400" s="762" t="s">
        <v>847</v>
      </c>
      <c r="P400" s="707">
        <f>Perfiles_usuario!AB82</f>
        <v>174.60000000000002</v>
      </c>
      <c r="Q400" s="2621" t="s">
        <v>848</v>
      </c>
      <c r="R400" s="2301"/>
      <c r="S400" s="2622">
        <f>Perfiles_usuario!AH82</f>
        <v>155.20000000000005</v>
      </c>
      <c r="T400" s="2623"/>
      <c r="U400" s="466"/>
    </row>
    <row r="401" spans="1:22" s="470" customFormat="1" ht="31.5" customHeight="1">
      <c r="B401" s="2273" t="s">
        <v>679</v>
      </c>
      <c r="C401" s="2274"/>
      <c r="D401" s="713">
        <f>SUM(D382:D396)+SUM(D398:D399)</f>
        <v>8</v>
      </c>
      <c r="E401" s="714">
        <f>SUM(E382:E396)+SUM(E398:E399)</f>
        <v>6</v>
      </c>
      <c r="N401" s="2422" t="str">
        <f>IF(Perfiles_usuario!$R$83="Aplica consumo mínimo","Estos totales incluyen la aplicación de consumos mínimos pues el total de facturación estimada no alcanza el mínimo exigido","")</f>
        <v/>
      </c>
      <c r="O401" s="2422"/>
      <c r="P401" s="2422"/>
      <c r="Q401" s="2422"/>
      <c r="R401" s="2422"/>
      <c r="S401" s="2422"/>
      <c r="T401" s="2422"/>
      <c r="U401" s="2422"/>
    </row>
    <row r="402" spans="1:22" ht="21.75" customHeight="1">
      <c r="B402" s="2624" t="s">
        <v>849</v>
      </c>
      <c r="C402" s="2624"/>
      <c r="D402" s="2624"/>
      <c r="E402" s="2624"/>
      <c r="F402" s="2624"/>
      <c r="G402" s="2624"/>
      <c r="H402" s="2624"/>
      <c r="I402" s="2624"/>
      <c r="J402" s="2624"/>
      <c r="K402" s="2624"/>
      <c r="L402" s="2624"/>
      <c r="M402" s="2624"/>
      <c r="N402" s="2624"/>
      <c r="O402" s="2624"/>
      <c r="P402" s="2624"/>
      <c r="Q402" s="2624"/>
      <c r="R402" s="2624"/>
      <c r="S402" s="2624"/>
      <c r="T402" s="2624"/>
      <c r="U402" s="2624"/>
    </row>
    <row r="403" spans="1:22" ht="33" customHeight="1">
      <c r="B403" s="2624" t="s">
        <v>850</v>
      </c>
      <c r="C403" s="2624"/>
      <c r="D403" s="2624"/>
      <c r="E403" s="2624"/>
      <c r="F403" s="2624"/>
      <c r="G403" s="2624"/>
      <c r="H403" s="2624"/>
      <c r="I403" s="2624"/>
      <c r="J403" s="2624"/>
      <c r="K403" s="2624"/>
      <c r="L403" s="2624"/>
      <c r="M403" s="2624"/>
      <c r="N403" s="2624"/>
      <c r="O403" s="2624"/>
      <c r="P403" s="2624"/>
      <c r="Q403" s="2624"/>
      <c r="R403" s="2624"/>
      <c r="S403" s="2624"/>
      <c r="T403" s="2624"/>
      <c r="U403" s="2624"/>
    </row>
    <row r="404" spans="1:22" ht="15.75">
      <c r="M404" s="476" t="s">
        <v>1155</v>
      </c>
      <c r="R404" s="477" t="s">
        <v>692</v>
      </c>
      <c r="S404" s="478" t="str">
        <f>$E$29</f>
        <v>ILF5_90FCPRCP_B114CAGR43006</v>
      </c>
      <c r="T404" s="470"/>
      <c r="U404" s="470"/>
      <c r="V404" s="470"/>
    </row>
    <row r="405" spans="1:22" ht="22.9" customHeight="1">
      <c r="B405" s="522"/>
      <c r="C405" s="769"/>
      <c r="D405" s="561"/>
      <c r="E405" s="561"/>
      <c r="F405" s="561"/>
      <c r="G405" s="586"/>
      <c r="H405" s="586"/>
      <c r="I405" s="586"/>
      <c r="J405" s="586"/>
      <c r="K405" s="587"/>
      <c r="L405" s="587"/>
      <c r="M405" s="587"/>
      <c r="N405" s="587"/>
      <c r="O405" s="587"/>
      <c r="P405" s="587"/>
      <c r="Q405" s="561"/>
      <c r="R405" s="561"/>
      <c r="S405" s="441"/>
      <c r="T405" s="441"/>
      <c r="U405" s="588"/>
      <c r="V405" s="441"/>
    </row>
    <row r="406" spans="1:22" ht="11.45" customHeight="1">
      <c r="B406" s="522"/>
      <c r="C406" s="769"/>
      <c r="D406" s="561"/>
      <c r="E406" s="561"/>
      <c r="F406" s="561"/>
      <c r="G406" s="586"/>
      <c r="H406" s="586"/>
      <c r="I406" s="586"/>
      <c r="J406" s="586"/>
      <c r="K406" s="587"/>
      <c r="L406" s="587"/>
      <c r="M406" s="587"/>
      <c r="N406" s="587"/>
      <c r="O406" s="587"/>
      <c r="P406" s="587"/>
      <c r="Q406" s="561"/>
      <c r="R406" s="561"/>
      <c r="S406" s="441"/>
      <c r="T406" s="441"/>
      <c r="U406" s="588"/>
      <c r="V406" s="441"/>
    </row>
    <row r="407" spans="1:22">
      <c r="H407" s="436" t="s">
        <v>690</v>
      </c>
      <c r="I407" s="420"/>
      <c r="K407" s="420"/>
      <c r="L407" s="437" t="str">
        <f>$B$11</f>
        <v>INMOBILIARIA SERVIGESTION</v>
      </c>
      <c r="S407" s="420"/>
      <c r="T407" s="420"/>
      <c r="V407" s="437"/>
    </row>
    <row r="408" spans="1:22">
      <c r="A408" s="420"/>
      <c r="B408" s="420"/>
      <c r="C408" s="420"/>
      <c r="D408" s="420"/>
      <c r="E408" s="420"/>
      <c r="F408" s="420"/>
      <c r="G408" s="420"/>
      <c r="H408" s="420"/>
      <c r="I408" s="420"/>
      <c r="J408" s="420"/>
      <c r="K408" s="420"/>
      <c r="L408" s="420"/>
      <c r="M408" s="420"/>
      <c r="N408" s="420"/>
      <c r="O408" s="420"/>
      <c r="P408" s="420"/>
      <c r="Q408" s="420"/>
      <c r="R408" s="420"/>
      <c r="S408" s="420"/>
      <c r="T408" s="420"/>
      <c r="U408" s="420"/>
      <c r="V408" s="420"/>
    </row>
    <row r="409" spans="1:22">
      <c r="A409" s="420"/>
      <c r="B409" s="420"/>
      <c r="C409" s="420"/>
      <c r="D409" s="420"/>
      <c r="E409" s="420"/>
      <c r="F409" s="420"/>
      <c r="G409" s="420"/>
      <c r="H409" s="420"/>
      <c r="I409" s="420"/>
      <c r="J409" s="420"/>
      <c r="K409" s="420"/>
      <c r="L409" s="420"/>
      <c r="M409" s="420"/>
      <c r="N409" s="420"/>
      <c r="O409" s="420"/>
      <c r="P409" s="420"/>
      <c r="Q409" s="420"/>
      <c r="R409" s="420"/>
      <c r="S409" s="420"/>
      <c r="T409" s="420"/>
      <c r="U409" s="420"/>
      <c r="V409" s="420"/>
    </row>
    <row r="410" spans="1:22" ht="34.5">
      <c r="A410" s="420"/>
      <c r="B410" s="2268" t="s">
        <v>461</v>
      </c>
      <c r="C410" s="2268"/>
      <c r="D410" s="2268"/>
      <c r="E410" s="2268"/>
      <c r="F410" s="2268"/>
      <c r="G410" s="2268"/>
      <c r="H410" s="2268"/>
      <c r="I410" s="2268"/>
      <c r="J410" s="2268"/>
      <c r="K410" s="2268"/>
      <c r="L410" s="2268"/>
      <c r="M410" s="2268"/>
      <c r="N410" s="2268"/>
      <c r="O410" s="2268"/>
      <c r="P410" s="2268"/>
      <c r="Q410" s="2268"/>
      <c r="R410" s="2268"/>
      <c r="S410" s="2268"/>
      <c r="T410" s="2268"/>
      <c r="U410" s="2268"/>
      <c r="V410" s="420"/>
    </row>
    <row r="411" spans="1:22" ht="22.9" customHeight="1">
      <c r="A411" s="420"/>
      <c r="B411" s="2269" t="s">
        <v>876</v>
      </c>
      <c r="C411" s="2269"/>
      <c r="D411" s="2269"/>
      <c r="E411" s="2269"/>
      <c r="F411" s="2269"/>
      <c r="G411" s="2269"/>
      <c r="H411" s="2269"/>
      <c r="I411" s="2269"/>
      <c r="J411" s="2269"/>
      <c r="K411" s="2269"/>
      <c r="L411" s="2269"/>
      <c r="M411" s="2269"/>
      <c r="N411" s="2269"/>
      <c r="O411" s="2269"/>
      <c r="P411" s="2269"/>
      <c r="Q411" s="2269"/>
      <c r="R411" s="2269"/>
      <c r="S411" s="2269"/>
      <c r="T411" s="2269"/>
      <c r="U411" s="2269"/>
      <c r="V411" s="420"/>
    </row>
    <row r="412" spans="1:22" ht="9.75" customHeight="1">
      <c r="A412" s="420"/>
      <c r="B412" s="757"/>
      <c r="C412" s="757"/>
      <c r="D412" s="757"/>
      <c r="E412" s="757"/>
      <c r="F412" s="757"/>
      <c r="G412" s="757"/>
      <c r="H412" s="757"/>
      <c r="I412" s="757"/>
      <c r="J412" s="757"/>
      <c r="K412" s="757"/>
      <c r="L412" s="757"/>
      <c r="M412" s="757"/>
      <c r="N412" s="757"/>
      <c r="O412" s="757"/>
      <c r="P412" s="757"/>
      <c r="Q412" s="757"/>
      <c r="R412" s="757"/>
      <c r="S412" s="757"/>
      <c r="T412" s="757"/>
      <c r="U412" s="757"/>
      <c r="V412" s="420"/>
    </row>
    <row r="413" spans="1:22" ht="23.25">
      <c r="A413" s="420"/>
      <c r="B413" s="2279" t="s">
        <v>408</v>
      </c>
      <c r="C413" s="2279"/>
      <c r="D413" s="2279"/>
      <c r="E413" s="2279"/>
      <c r="F413" s="2279"/>
      <c r="G413" s="2279"/>
      <c r="H413" s="2279"/>
      <c r="I413" s="2279"/>
      <c r="J413" s="2279"/>
      <c r="K413" s="2279"/>
      <c r="L413" s="2279"/>
      <c r="M413" s="2279"/>
      <c r="N413" s="2279"/>
      <c r="O413" s="2279"/>
      <c r="P413" s="2279"/>
      <c r="Q413" s="2279"/>
      <c r="R413" s="2279"/>
      <c r="S413" s="2279"/>
      <c r="T413" s="2279"/>
      <c r="U413" s="2279"/>
      <c r="V413" s="420"/>
    </row>
    <row r="414" spans="1:22" ht="22.9" customHeight="1">
      <c r="B414" s="2251" t="s">
        <v>466</v>
      </c>
      <c r="C414" s="2251"/>
      <c r="D414" s="2251"/>
      <c r="E414" s="2251"/>
      <c r="F414" s="2251"/>
      <c r="G414" s="2251"/>
      <c r="H414" s="2251"/>
      <c r="I414" s="2251"/>
      <c r="J414" s="2251"/>
      <c r="K414" s="2251"/>
      <c r="L414" s="2251"/>
      <c r="M414" s="2251"/>
      <c r="N414" s="2251"/>
      <c r="O414" s="2251"/>
      <c r="P414" s="2251"/>
      <c r="Q414" s="2251"/>
      <c r="R414" s="2251"/>
      <c r="S414" s="2251"/>
      <c r="T414" s="2251"/>
      <c r="U414" s="2251"/>
      <c r="V414" s="441"/>
    </row>
    <row r="415" spans="1:22" ht="10.9" customHeight="1">
      <c r="B415" s="715"/>
      <c r="C415" s="715"/>
      <c r="D415" s="715"/>
      <c r="E415" s="715"/>
      <c r="F415" s="715"/>
      <c r="G415" s="715"/>
      <c r="H415" s="715"/>
      <c r="I415" s="715"/>
      <c r="J415" s="715"/>
      <c r="K415" s="715"/>
      <c r="L415" s="715"/>
      <c r="M415" s="715"/>
      <c r="N415" s="715"/>
      <c r="O415" s="715"/>
      <c r="P415" s="715"/>
      <c r="Q415" s="715"/>
      <c r="R415" s="715"/>
      <c r="S415" s="715"/>
      <c r="T415" s="715"/>
      <c r="U415" s="715"/>
      <c r="V415" s="441"/>
    </row>
    <row r="416" spans="1:22" ht="42.6" customHeight="1">
      <c r="B416" s="2253" t="s">
        <v>462</v>
      </c>
      <c r="C416" s="2254"/>
      <c r="D416" s="758" t="s">
        <v>463</v>
      </c>
      <c r="E416" s="2254" t="s">
        <v>875</v>
      </c>
      <c r="F416" s="2254"/>
      <c r="G416" s="2254"/>
      <c r="H416" s="2254"/>
      <c r="I416" s="2254"/>
      <c r="J416" s="2254"/>
      <c r="K416" s="2254" t="s">
        <v>851</v>
      </c>
      <c r="L416" s="2254"/>
      <c r="M416" s="2254" t="s">
        <v>852</v>
      </c>
      <c r="N416" s="2280"/>
      <c r="V416" s="441"/>
    </row>
    <row r="417" spans="2:22" ht="46.9" customHeight="1">
      <c r="B417" s="2294" t="str">
        <f>IF(Perfiles_usuario!B91=0,"",Perfiles_usuario!B91)</f>
        <v/>
      </c>
      <c r="C417" s="2295"/>
      <c r="D417" s="760" t="str">
        <f>IF(Perfiles_usuario!D91=0,"",Perfiles_usuario!D91)</f>
        <v/>
      </c>
      <c r="E417" s="2282" t="str">
        <f>IF(Perfiles_usuario!D91=0,"",Perfiles_usuario!F91)</f>
        <v/>
      </c>
      <c r="F417" s="2282"/>
      <c r="G417" s="2282"/>
      <c r="H417" s="2282"/>
      <c r="I417" s="2282"/>
      <c r="J417" s="2282"/>
      <c r="K417" s="2292" t="str">
        <f>IF(Perfiles_usuario!D91=0,"",Perfiles_usuario!J91)</f>
        <v/>
      </c>
      <c r="L417" s="2292"/>
      <c r="M417" s="2292" t="str">
        <f>IF(Perfiles_usuario!D91=0,"",Perfiles_usuario!L91)</f>
        <v/>
      </c>
      <c r="N417" s="2293"/>
      <c r="O417" s="522"/>
      <c r="P417" s="522"/>
      <c r="Q417" s="522"/>
      <c r="R417" s="522"/>
      <c r="S417" s="522"/>
      <c r="T417" s="522"/>
      <c r="U417" s="522"/>
      <c r="V417" s="441"/>
    </row>
    <row r="418" spans="2:22" ht="46.9" customHeight="1">
      <c r="B418" s="2460" t="str">
        <f>IF(Perfiles_usuario!B93=0,"",Perfiles_usuario!B93)</f>
        <v/>
      </c>
      <c r="C418" s="2461"/>
      <c r="D418" s="759" t="str">
        <f>IF(Perfiles_usuario!D93=0,"",Perfiles_usuario!D93)</f>
        <v/>
      </c>
      <c r="E418" s="2458" t="str">
        <f>IF(Perfiles_usuario!D93=0,"",Perfiles_usuario!F93)</f>
        <v/>
      </c>
      <c r="F418" s="2458"/>
      <c r="G418" s="2458"/>
      <c r="H418" s="2458"/>
      <c r="I418" s="2458"/>
      <c r="J418" s="2458"/>
      <c r="K418" s="2459" t="str">
        <f>IF(Perfiles_usuario!D93=0,"",Perfiles_usuario!J93)</f>
        <v/>
      </c>
      <c r="L418" s="2459"/>
      <c r="M418" s="2459" t="str">
        <f>IF(Perfiles_usuario!D93=0,"",Perfiles_usuario!L93)</f>
        <v/>
      </c>
      <c r="N418" s="2462"/>
      <c r="O418" s="522"/>
      <c r="P418" s="522"/>
      <c r="Q418" s="522"/>
      <c r="R418" s="522"/>
      <c r="S418" s="522"/>
      <c r="T418" s="522"/>
      <c r="U418" s="522"/>
      <c r="V418" s="441"/>
    </row>
    <row r="419" spans="2:22" ht="46.9" customHeight="1">
      <c r="B419" s="2460" t="str">
        <f>IF(Perfiles_usuario!B95=0,"",Perfiles_usuario!B95)</f>
        <v/>
      </c>
      <c r="C419" s="2461"/>
      <c r="D419" s="759" t="str">
        <f>IF(Perfiles_usuario!D95=0,"",Perfiles_usuario!D95)</f>
        <v/>
      </c>
      <c r="E419" s="2458" t="str">
        <f>IF(Perfiles_usuario!D95=0,"",Perfiles_usuario!F95)</f>
        <v/>
      </c>
      <c r="F419" s="2458"/>
      <c r="G419" s="2458"/>
      <c r="H419" s="2458"/>
      <c r="I419" s="2458"/>
      <c r="J419" s="2458"/>
      <c r="K419" s="2459" t="str">
        <f>IF(Perfiles_usuario!D95=0,"",Perfiles_usuario!J95)</f>
        <v/>
      </c>
      <c r="L419" s="2459"/>
      <c r="M419" s="2459" t="str">
        <f>IF(Perfiles_usuario!D95=0,"",Perfiles_usuario!L95)</f>
        <v/>
      </c>
      <c r="N419" s="2462"/>
      <c r="O419" s="522"/>
      <c r="P419" s="522"/>
      <c r="Q419" s="522"/>
      <c r="R419" s="522"/>
      <c r="S419" s="522"/>
      <c r="T419" s="522"/>
      <c r="U419" s="522"/>
      <c r="V419" s="441"/>
    </row>
    <row r="420" spans="2:22" ht="46.9" customHeight="1">
      <c r="B420" s="2460" t="str">
        <f>IF(Perfiles_usuario!B97=0,"",Perfiles_usuario!B97)</f>
        <v/>
      </c>
      <c r="C420" s="2461"/>
      <c r="D420" s="759" t="str">
        <f>IF(Perfiles_usuario!D97=0,"",Perfiles_usuario!D97)</f>
        <v/>
      </c>
      <c r="E420" s="2458" t="str">
        <f>IF(Perfiles_usuario!D97=0,"",Perfiles_usuario!F97)</f>
        <v/>
      </c>
      <c r="F420" s="2458"/>
      <c r="G420" s="2458"/>
      <c r="H420" s="2458"/>
      <c r="I420" s="2458"/>
      <c r="J420" s="2458"/>
      <c r="K420" s="2459" t="str">
        <f>IF(Perfiles_usuario!D97=0,"",Perfiles_usuario!J97)</f>
        <v/>
      </c>
      <c r="L420" s="2459"/>
      <c r="M420" s="2459" t="str">
        <f>IF(Perfiles_usuario!D97=0,"",Perfiles_usuario!L97)</f>
        <v/>
      </c>
      <c r="N420" s="2462"/>
      <c r="O420" s="522"/>
      <c r="P420" s="522"/>
      <c r="Q420" s="522"/>
      <c r="R420" s="522"/>
      <c r="S420" s="522"/>
      <c r="T420" s="522"/>
      <c r="U420" s="522"/>
      <c r="V420" s="441"/>
    </row>
    <row r="421" spans="2:22" ht="46.9" customHeight="1">
      <c r="B421" s="2460" t="str">
        <f>IF(Perfiles_usuario!B99=0,"",Perfiles_usuario!B99)</f>
        <v/>
      </c>
      <c r="C421" s="2461"/>
      <c r="D421" s="759" t="str">
        <f>IF(Perfiles_usuario!D99=0,"",Perfiles_usuario!D99)</f>
        <v/>
      </c>
      <c r="E421" s="2458" t="str">
        <f>IF(Perfiles_usuario!D99=0,"",Perfiles_usuario!F99)</f>
        <v/>
      </c>
      <c r="F421" s="2458"/>
      <c r="G421" s="2458"/>
      <c r="H421" s="2458"/>
      <c r="I421" s="2458"/>
      <c r="J421" s="2458"/>
      <c r="K421" s="2459" t="str">
        <f>IF(Perfiles_usuario!D99=0,"",Perfiles_usuario!J99)</f>
        <v/>
      </c>
      <c r="L421" s="2459"/>
      <c r="M421" s="2459" t="str">
        <f>IF(Perfiles_usuario!D99=0,"",Perfiles_usuario!L99)</f>
        <v/>
      </c>
      <c r="N421" s="2462"/>
      <c r="O421" s="522"/>
      <c r="P421" s="522"/>
      <c r="Q421" s="522"/>
      <c r="R421" s="522"/>
      <c r="S421" s="522"/>
      <c r="T421" s="522"/>
      <c r="U421" s="522"/>
      <c r="V421" s="441"/>
    </row>
    <row r="422" spans="2:22" ht="9.6" customHeight="1">
      <c r="B422" s="2495"/>
      <c r="C422" s="2495"/>
      <c r="D422" s="767"/>
      <c r="E422" s="2495"/>
      <c r="F422" s="2495"/>
      <c r="G422" s="2495"/>
      <c r="H422" s="2495"/>
      <c r="I422" s="2495"/>
      <c r="J422" s="2495"/>
      <c r="K422" s="2495"/>
      <c r="L422" s="2495"/>
      <c r="M422" s="2495"/>
      <c r="N422" s="2495"/>
      <c r="O422" s="561"/>
      <c r="P422" s="522"/>
      <c r="Q422" s="522"/>
      <c r="R422" s="522"/>
      <c r="S422" s="522"/>
      <c r="T422" s="522"/>
      <c r="U422" s="522"/>
      <c r="V422" s="441"/>
    </row>
    <row r="423" spans="2:22" ht="31.15" customHeight="1">
      <c r="B423" s="2273" t="s">
        <v>683</v>
      </c>
      <c r="C423" s="2274"/>
      <c r="D423" s="719">
        <f>SUM(Perfiles_usuario!D91:D99)</f>
        <v>0</v>
      </c>
      <c r="E423" s="522"/>
      <c r="F423" s="522"/>
      <c r="G423" s="522"/>
      <c r="H423" s="522"/>
      <c r="I423" s="522"/>
      <c r="J423" s="522"/>
      <c r="K423" s="2463" t="s">
        <v>295</v>
      </c>
      <c r="L423" s="2464"/>
      <c r="M423" s="2285" t="str">
        <f>IF(Perfiles_usuario!L101=0,"",Perfiles_usuario!L101)</f>
        <v/>
      </c>
      <c r="N423" s="2286"/>
      <c r="O423" s="522"/>
      <c r="P423" s="522"/>
      <c r="Q423" s="522"/>
      <c r="R423" s="522"/>
      <c r="S423" s="522"/>
      <c r="T423" s="522"/>
      <c r="U423" s="522"/>
      <c r="V423" s="441"/>
    </row>
    <row r="424" spans="2:22" ht="22.9" customHeight="1">
      <c r="B424" s="522"/>
      <c r="C424" s="522"/>
      <c r="D424" s="522"/>
      <c r="E424" s="522"/>
      <c r="F424" s="522"/>
      <c r="G424" s="522"/>
      <c r="H424" s="522"/>
      <c r="I424" s="522"/>
      <c r="J424" s="522"/>
      <c r="K424" s="522"/>
      <c r="L424" s="522"/>
      <c r="M424" s="522"/>
      <c r="N424" s="522"/>
      <c r="O424" s="522"/>
      <c r="P424" s="522"/>
      <c r="Q424" s="522"/>
      <c r="R424" s="522"/>
      <c r="S424" s="522"/>
      <c r="T424" s="522"/>
      <c r="U424" s="522"/>
      <c r="V424" s="441"/>
    </row>
    <row r="425" spans="2:22" ht="22.9" customHeight="1">
      <c r="B425" s="522"/>
      <c r="C425" s="769"/>
      <c r="D425" s="561"/>
      <c r="E425" s="561"/>
      <c r="F425" s="561"/>
      <c r="G425" s="586"/>
      <c r="H425" s="586"/>
      <c r="I425" s="586"/>
      <c r="J425" s="586"/>
      <c r="K425" s="587"/>
      <c r="L425" s="587"/>
      <c r="M425" s="587"/>
      <c r="N425" s="587"/>
      <c r="O425" s="587"/>
      <c r="P425" s="587"/>
      <c r="Q425" s="561"/>
      <c r="R425" s="561"/>
      <c r="S425" s="441"/>
      <c r="T425" s="441"/>
      <c r="U425" s="588"/>
      <c r="V425" s="441"/>
    </row>
    <row r="426" spans="2:22" ht="22.9" customHeight="1">
      <c r="B426" s="2251" t="s">
        <v>983</v>
      </c>
      <c r="C426" s="2251"/>
      <c r="D426" s="2251"/>
      <c r="E426" s="2251"/>
      <c r="F426" s="2251"/>
      <c r="G426" s="2251"/>
      <c r="H426" s="2251"/>
      <c r="I426" s="2251"/>
      <c r="J426" s="2251"/>
      <c r="K426" s="2251"/>
      <c r="L426" s="2251"/>
      <c r="M426" s="2251"/>
      <c r="N426" s="2251"/>
      <c r="O426" s="2251"/>
      <c r="P426" s="2251"/>
      <c r="Q426" s="2251"/>
      <c r="R426" s="2251"/>
      <c r="S426" s="2251"/>
      <c r="T426" s="2251"/>
      <c r="U426" s="2251"/>
      <c r="V426" s="441"/>
    </row>
    <row r="427" spans="2:22" ht="22.9" customHeight="1">
      <c r="B427" s="600"/>
      <c r="C427" s="2442"/>
      <c r="D427" s="2442"/>
      <c r="E427" s="2442"/>
      <c r="F427" s="2442"/>
      <c r="G427" s="2442"/>
      <c r="H427" s="2442"/>
      <c r="I427" s="2442"/>
      <c r="J427" s="2442"/>
      <c r="K427" s="601"/>
      <c r="L427" s="601"/>
      <c r="M427" s="601"/>
      <c r="N427" s="601"/>
      <c r="O427" s="601"/>
      <c r="P427" s="601"/>
      <c r="Q427" s="601"/>
      <c r="R427" s="601"/>
      <c r="S427" s="601"/>
      <c r="T427" s="601"/>
      <c r="U427" s="603"/>
      <c r="V427" s="441"/>
    </row>
    <row r="428" spans="2:22" ht="22.9" customHeight="1">
      <c r="B428" s="495"/>
      <c r="C428" s="2290"/>
      <c r="D428" s="2290"/>
      <c r="E428" s="501"/>
      <c r="F428" s="501"/>
      <c r="G428" s="501"/>
      <c r="H428" s="501"/>
      <c r="I428" s="501"/>
      <c r="J428" s="501"/>
      <c r="K428" s="501"/>
      <c r="L428" s="501"/>
      <c r="M428" s="501"/>
      <c r="N428" s="501"/>
      <c r="O428" s="479"/>
      <c r="P428" s="479"/>
      <c r="Q428" s="501"/>
      <c r="R428" s="501"/>
      <c r="S428" s="501"/>
      <c r="T428" s="501"/>
      <c r="U428" s="502"/>
      <c r="V428" s="441"/>
    </row>
    <row r="429" spans="2:22" ht="22.9" customHeight="1">
      <c r="B429" s="466"/>
      <c r="C429" s="2290" t="s">
        <v>759</v>
      </c>
      <c r="D429" s="2290"/>
      <c r="E429" s="2290" t="s">
        <v>399</v>
      </c>
      <c r="F429" s="2290"/>
      <c r="G429" s="2290"/>
      <c r="H429" s="2290"/>
      <c r="I429" s="2290"/>
      <c r="J429" s="2290"/>
      <c r="K429" s="720"/>
      <c r="L429" s="720"/>
      <c r="M429" s="2290" t="s">
        <v>1867</v>
      </c>
      <c r="N429" s="2290"/>
      <c r="O429" s="2290"/>
      <c r="P429" s="2290"/>
      <c r="Q429" s="2290"/>
      <c r="R429" s="2290"/>
      <c r="S429" s="2290"/>
      <c r="T429" s="2290"/>
      <c r="U429" s="721"/>
      <c r="V429" s="441"/>
    </row>
    <row r="430" spans="2:22" ht="65.45" customHeight="1">
      <c r="B430" s="466"/>
      <c r="C430" s="2275" t="s">
        <v>984</v>
      </c>
      <c r="D430" s="2275"/>
      <c r="E430" s="2275"/>
      <c r="F430" s="2275"/>
      <c r="G430" s="2275"/>
      <c r="H430" s="2275"/>
      <c r="I430" s="2275"/>
      <c r="J430" s="2275"/>
      <c r="K430" s="501"/>
      <c r="L430" s="501"/>
      <c r="M430" s="2275" t="s">
        <v>1216</v>
      </c>
      <c r="N430" s="2275"/>
      <c r="O430" s="2275"/>
      <c r="P430" s="2275"/>
      <c r="Q430" s="2275"/>
      <c r="R430" s="2275"/>
      <c r="S430" s="2275"/>
      <c r="T430" s="2275"/>
      <c r="U430" s="502"/>
      <c r="V430" s="441"/>
    </row>
    <row r="431" spans="2:22" ht="22.9" customHeight="1">
      <c r="B431" s="496"/>
      <c r="C431" s="441"/>
      <c r="D431" s="524" t="s">
        <v>491</v>
      </c>
      <c r="E431" s="499"/>
      <c r="F431" s="499"/>
      <c r="G431" s="499"/>
      <c r="H431" s="499"/>
      <c r="I431" s="499"/>
      <c r="J431" s="523">
        <v>35</v>
      </c>
      <c r="K431" s="499"/>
      <c r="L431" s="499"/>
      <c r="M431" s="492"/>
      <c r="N431" s="524" t="s">
        <v>491</v>
      </c>
      <c r="O431" s="499"/>
      <c r="P431" s="524"/>
      <c r="Q431" s="441"/>
      <c r="R431" s="499"/>
      <c r="S431" s="728">
        <v>7.35</v>
      </c>
      <c r="T431" s="492"/>
      <c r="U431" s="722"/>
      <c r="V431" s="441"/>
    </row>
    <row r="432" spans="2:22" ht="22.9" customHeight="1">
      <c r="B432" s="500"/>
      <c r="C432" s="499"/>
      <c r="D432" s="499"/>
      <c r="E432" s="499"/>
      <c r="F432" s="499"/>
      <c r="G432" s="499"/>
      <c r="H432" s="499"/>
      <c r="I432" s="499"/>
      <c r="J432" s="499"/>
      <c r="K432" s="499"/>
      <c r="L432" s="499"/>
      <c r="M432" s="499"/>
      <c r="N432" s="723"/>
      <c r="O432" s="724"/>
      <c r="P432" s="725"/>
      <c r="Q432" s="499"/>
      <c r="R432" s="503"/>
      <c r="S432" s="503"/>
      <c r="T432" s="503"/>
      <c r="U432" s="726"/>
      <c r="V432" s="441"/>
    </row>
    <row r="433" spans="1:22" ht="22.9" customHeight="1">
      <c r="B433" s="727"/>
      <c r="C433" s="2290" t="s">
        <v>1213</v>
      </c>
      <c r="D433" s="2290"/>
      <c r="E433" s="2290" t="s">
        <v>399</v>
      </c>
      <c r="F433" s="2290"/>
      <c r="G433" s="2290"/>
      <c r="H433" s="2290"/>
      <c r="I433" s="2290"/>
      <c r="J433" s="2290"/>
      <c r="K433" s="720"/>
      <c r="L433" s="720"/>
      <c r="M433" s="2467" t="s">
        <v>1078</v>
      </c>
      <c r="N433" s="2467"/>
      <c r="O433" s="2467"/>
      <c r="P433" s="2467"/>
      <c r="Q433" s="2467"/>
      <c r="R433" s="2467"/>
      <c r="S433" s="2467"/>
      <c r="T433" s="2467"/>
      <c r="U433" s="721"/>
      <c r="V433" s="441"/>
    </row>
    <row r="434" spans="1:22" ht="90" customHeight="1">
      <c r="B434" s="466"/>
      <c r="C434" s="2275" t="s">
        <v>1217</v>
      </c>
      <c r="D434" s="2275"/>
      <c r="E434" s="2275"/>
      <c r="F434" s="2275"/>
      <c r="G434" s="2275"/>
      <c r="H434" s="2275"/>
      <c r="I434" s="2275"/>
      <c r="J434" s="2275"/>
      <c r="K434" s="501"/>
      <c r="L434" s="501"/>
      <c r="M434" s="2276" t="s">
        <v>1975</v>
      </c>
      <c r="N434" s="2277"/>
      <c r="O434" s="2277"/>
      <c r="P434" s="2277"/>
      <c r="Q434" s="2277"/>
      <c r="R434" s="2277"/>
      <c r="S434" s="2277"/>
      <c r="T434" s="2278"/>
      <c r="U434" s="502"/>
      <c r="V434" s="441"/>
    </row>
    <row r="435" spans="1:22" ht="22.9" customHeight="1">
      <c r="B435" s="496"/>
      <c r="C435" s="441"/>
      <c r="D435" s="524" t="s">
        <v>491</v>
      </c>
      <c r="E435" s="499"/>
      <c r="F435" s="499"/>
      <c r="G435" s="499"/>
      <c r="H435" s="499"/>
      <c r="I435" s="499"/>
      <c r="J435" s="728">
        <v>20.619834710743802</v>
      </c>
      <c r="K435" s="499"/>
      <c r="L435" s="499"/>
      <c r="M435" s="561"/>
      <c r="N435" s="524" t="s">
        <v>491</v>
      </c>
      <c r="O435" s="586"/>
      <c r="P435" s="586"/>
      <c r="Q435" s="441"/>
      <c r="S435" s="728">
        <v>53.64</v>
      </c>
      <c r="T435" s="441"/>
      <c r="U435" s="722"/>
      <c r="V435" s="441"/>
    </row>
    <row r="436" spans="1:22" ht="22.9" customHeight="1">
      <c r="B436" s="515"/>
      <c r="C436" s="488"/>
      <c r="D436" s="516"/>
      <c r="E436" s="517"/>
      <c r="F436" s="517"/>
      <c r="G436" s="517"/>
      <c r="H436" s="517"/>
      <c r="I436" s="517"/>
      <c r="J436" s="518"/>
      <c r="K436" s="517"/>
      <c r="L436" s="517"/>
      <c r="M436" s="517"/>
      <c r="N436" s="516"/>
      <c r="O436" s="517"/>
      <c r="P436" s="516"/>
      <c r="Q436" s="488"/>
      <c r="R436" s="517"/>
      <c r="S436" s="518"/>
      <c r="T436" s="518"/>
      <c r="U436" s="519"/>
      <c r="V436" s="441"/>
    </row>
    <row r="437" spans="1:22" ht="22.9" customHeight="1">
      <c r="B437" s="520" t="s">
        <v>699</v>
      </c>
      <c r="C437" s="441"/>
      <c r="D437" s="480"/>
      <c r="E437" s="499"/>
      <c r="F437" s="499"/>
      <c r="G437" s="499"/>
      <c r="H437" s="499"/>
      <c r="I437" s="499"/>
      <c r="J437" s="523"/>
      <c r="K437" s="499"/>
      <c r="L437" s="499"/>
      <c r="M437" s="524"/>
      <c r="O437" s="499"/>
      <c r="P437" s="524"/>
      <c r="Q437" s="524"/>
      <c r="R437" s="499"/>
      <c r="S437" s="523"/>
      <c r="T437" s="523"/>
      <c r="U437" s="499"/>
      <c r="V437" s="441"/>
    </row>
    <row r="438" spans="1:22" ht="22.9" customHeight="1">
      <c r="A438" s="441"/>
      <c r="B438" s="524"/>
      <c r="C438" s="441"/>
      <c r="D438" s="480"/>
      <c r="E438" s="499"/>
      <c r="F438" s="499"/>
      <c r="G438" s="470"/>
      <c r="H438" s="470"/>
      <c r="I438" s="470"/>
      <c r="J438" s="470"/>
      <c r="K438" s="470"/>
      <c r="L438" s="470"/>
      <c r="M438" s="470"/>
      <c r="N438" s="470"/>
      <c r="O438" s="470"/>
      <c r="P438" s="470"/>
      <c r="Q438" s="524"/>
      <c r="R438" s="499"/>
      <c r="S438" s="523"/>
      <c r="T438" s="523"/>
      <c r="U438" s="499"/>
      <c r="V438" s="441"/>
    </row>
    <row r="439" spans="1:22" ht="22.9" customHeight="1">
      <c r="A439" s="441"/>
      <c r="B439" s="2287" t="s">
        <v>985</v>
      </c>
      <c r="C439" s="2287"/>
      <c r="D439" s="2287"/>
      <c r="E439" s="2287"/>
      <c r="F439" s="2287"/>
      <c r="G439" s="2287"/>
      <c r="H439" s="2287"/>
      <c r="I439" s="2287"/>
      <c r="J439" s="2287"/>
      <c r="K439" s="2287"/>
      <c r="L439" s="2287"/>
      <c r="M439" s="2287"/>
      <c r="N439" s="2287"/>
      <c r="O439" s="2287"/>
      <c r="P439" s="2287"/>
      <c r="Q439" s="2287"/>
      <c r="R439" s="2287"/>
      <c r="S439" s="2287"/>
      <c r="T439" s="2287"/>
      <c r="U439" s="2287"/>
      <c r="V439" s="441"/>
    </row>
    <row r="440" spans="1:22" ht="22.9" customHeight="1">
      <c r="A440" s="441"/>
      <c r="B440" s="1197"/>
      <c r="C440" s="1195"/>
      <c r="D440" s="1195"/>
      <c r="E440" s="1195"/>
      <c r="F440" s="1195"/>
      <c r="G440" s="1195"/>
      <c r="H440" s="1195"/>
      <c r="I440" s="1195"/>
      <c r="J440" s="1195"/>
      <c r="K440" s="1195"/>
      <c r="L440" s="601"/>
      <c r="M440" s="1195"/>
      <c r="N440" s="1195"/>
      <c r="O440" s="1195"/>
      <c r="P440" s="1195"/>
      <c r="Q440" s="1195"/>
      <c r="R440" s="1195"/>
      <c r="S440" s="1195"/>
      <c r="T440" s="1195"/>
      <c r="U440" s="603"/>
      <c r="V440" s="441"/>
    </row>
    <row r="441" spans="1:22" ht="22.9" customHeight="1">
      <c r="A441" s="441"/>
      <c r="B441" s="495"/>
      <c r="H441" s="2291" t="s">
        <v>1079</v>
      </c>
      <c r="I441" s="2291"/>
      <c r="J441" s="2291"/>
      <c r="K441" s="2291"/>
      <c r="L441" s="2291"/>
      <c r="M441" s="2291"/>
      <c r="N441" s="2291"/>
      <c r="O441" s="2291"/>
      <c r="U441" s="502"/>
      <c r="V441" s="441"/>
    </row>
    <row r="442" spans="1:22" ht="66.599999999999994" customHeight="1">
      <c r="A442" s="441"/>
      <c r="B442" s="466"/>
      <c r="H442" s="2275" t="s">
        <v>1968</v>
      </c>
      <c r="I442" s="2275"/>
      <c r="J442" s="2275"/>
      <c r="K442" s="2275"/>
      <c r="L442" s="2275"/>
      <c r="M442" s="2275"/>
      <c r="N442" s="2275"/>
      <c r="O442" s="2275"/>
      <c r="U442" s="721"/>
      <c r="V442" s="441"/>
    </row>
    <row r="443" spans="1:22" ht="22.9" customHeight="1">
      <c r="B443" s="466"/>
      <c r="C443" s="808"/>
      <c r="E443" s="561"/>
      <c r="F443" s="561"/>
      <c r="G443" s="586"/>
      <c r="H443" s="524" t="s">
        <v>491</v>
      </c>
      <c r="I443" s="441"/>
      <c r="K443" s="587"/>
      <c r="L443" s="587"/>
      <c r="N443" s="728">
        <v>33.020000000000003</v>
      </c>
      <c r="U443" s="502"/>
      <c r="V443" s="441"/>
    </row>
    <row r="444" spans="1:22" ht="22.9" customHeight="1">
      <c r="B444" s="515"/>
      <c r="C444" s="488"/>
      <c r="D444" s="488"/>
      <c r="E444" s="488"/>
      <c r="F444" s="488"/>
      <c r="G444" s="488"/>
      <c r="H444" s="488"/>
      <c r="I444" s="488"/>
      <c r="J444" s="488"/>
      <c r="K444" s="488"/>
      <c r="L444" s="488"/>
      <c r="M444" s="488"/>
      <c r="N444" s="488"/>
      <c r="O444" s="488"/>
      <c r="P444" s="488"/>
      <c r="Q444" s="488"/>
      <c r="R444" s="488"/>
      <c r="S444" s="488"/>
      <c r="T444" s="488"/>
      <c r="U444" s="519"/>
      <c r="V444" s="441"/>
    </row>
    <row r="445" spans="1:22" ht="22.9" customHeight="1">
      <c r="B445" s="520" t="s">
        <v>699</v>
      </c>
      <c r="C445" s="769"/>
      <c r="D445" s="561"/>
      <c r="E445" s="561"/>
      <c r="F445" s="561"/>
      <c r="G445" s="586"/>
      <c r="H445" s="586"/>
      <c r="I445" s="586"/>
      <c r="J445" s="586"/>
      <c r="K445" s="587"/>
      <c r="L445" s="587"/>
      <c r="M445" s="476" t="s">
        <v>1154</v>
      </c>
      <c r="N445" s="587"/>
      <c r="O445" s="587"/>
      <c r="P445" s="587"/>
      <c r="Q445" s="561"/>
      <c r="R445" s="477" t="s">
        <v>692</v>
      </c>
      <c r="S445" s="478" t="str">
        <f>$E$29</f>
        <v>ILF5_90FCPRCP_B114CAGR43006</v>
      </c>
      <c r="T445" s="441"/>
      <c r="U445" s="588"/>
      <c r="V445" s="441"/>
    </row>
    <row r="446" spans="1:22" ht="16.899999999999999" customHeight="1">
      <c r="B446" s="522"/>
      <c r="C446" s="585"/>
      <c r="D446" s="584"/>
      <c r="E446" s="584"/>
      <c r="F446" s="584"/>
      <c r="G446" s="586"/>
      <c r="H446" s="436"/>
      <c r="I446" s="420"/>
      <c r="K446" s="420"/>
      <c r="L446" s="437"/>
      <c r="M446" s="587"/>
      <c r="N446" s="587"/>
      <c r="O446" s="587"/>
      <c r="P446" s="587"/>
      <c r="Q446" s="561"/>
      <c r="R446" s="561"/>
      <c r="S446" s="441"/>
      <c r="T446" s="441"/>
      <c r="U446" s="588"/>
      <c r="V446" s="441"/>
    </row>
    <row r="447" spans="1:22" ht="16.899999999999999" customHeight="1">
      <c r="H447" s="436" t="s">
        <v>690</v>
      </c>
      <c r="I447" s="420"/>
      <c r="K447" s="420"/>
      <c r="L447" s="437" t="str">
        <f>$B$11</f>
        <v>INMOBILIARIA SERVIGESTION</v>
      </c>
      <c r="S447" s="420"/>
      <c r="T447" s="420"/>
      <c r="V447" s="441"/>
    </row>
    <row r="448" spans="1:22" ht="16.899999999999999" customHeight="1">
      <c r="B448" s="420"/>
      <c r="C448" s="420"/>
      <c r="D448" s="420"/>
      <c r="E448" s="420"/>
      <c r="F448" s="420"/>
      <c r="G448" s="420"/>
      <c r="H448" s="420"/>
      <c r="I448" s="420"/>
      <c r="J448" s="420"/>
      <c r="K448" s="420"/>
      <c r="L448" s="420"/>
      <c r="M448" s="420"/>
      <c r="N448" s="420"/>
      <c r="O448" s="420"/>
      <c r="P448" s="420"/>
      <c r="Q448" s="420"/>
      <c r="R448" s="420"/>
      <c r="S448" s="420"/>
      <c r="T448" s="420"/>
      <c r="U448" s="420"/>
      <c r="V448" s="441"/>
    </row>
    <row r="449" spans="2:22" ht="16.899999999999999" customHeight="1">
      <c r="B449" s="420"/>
      <c r="C449" s="420"/>
      <c r="D449" s="420"/>
      <c r="E449" s="420"/>
      <c r="F449" s="420"/>
      <c r="G449" s="420"/>
      <c r="H449" s="420"/>
      <c r="I449" s="420"/>
      <c r="J449" s="420"/>
      <c r="K449" s="420"/>
      <c r="L449" s="420"/>
      <c r="M449" s="420"/>
      <c r="N449" s="420"/>
      <c r="O449" s="420"/>
      <c r="P449" s="420"/>
      <c r="Q449" s="420"/>
      <c r="R449" s="420"/>
      <c r="S449" s="420"/>
      <c r="T449" s="420"/>
      <c r="U449" s="420"/>
      <c r="V449" s="441"/>
    </row>
    <row r="450" spans="2:22" ht="35.1" customHeight="1">
      <c r="B450" s="2268" t="s">
        <v>461</v>
      </c>
      <c r="C450" s="2268"/>
      <c r="D450" s="2268"/>
      <c r="E450" s="2268"/>
      <c r="F450" s="2268"/>
      <c r="G450" s="2268"/>
      <c r="H450" s="2268"/>
      <c r="I450" s="2268"/>
      <c r="J450" s="2268"/>
      <c r="K450" s="2268"/>
      <c r="L450" s="2268"/>
      <c r="M450" s="2268"/>
      <c r="N450" s="2268"/>
      <c r="O450" s="2268"/>
      <c r="P450" s="2268"/>
      <c r="Q450" s="2268"/>
      <c r="R450" s="2268"/>
      <c r="S450" s="2268"/>
      <c r="T450" s="2268"/>
      <c r="U450" s="2268"/>
      <c r="V450" s="441"/>
    </row>
    <row r="451" spans="2:22" ht="30" customHeight="1">
      <c r="B451" s="2269" t="s">
        <v>1191</v>
      </c>
      <c r="C451" s="2269"/>
      <c r="D451" s="2269"/>
      <c r="E451" s="2269"/>
      <c r="F451" s="2269"/>
      <c r="G451" s="2269"/>
      <c r="H451" s="2269"/>
      <c r="I451" s="2269"/>
      <c r="J451" s="2269"/>
      <c r="K451" s="2269"/>
      <c r="L451" s="2269"/>
      <c r="M451" s="2269"/>
      <c r="N451" s="2269"/>
      <c r="O451" s="2269"/>
      <c r="P451" s="2269"/>
      <c r="Q451" s="2269"/>
      <c r="R451" s="2269"/>
      <c r="S451" s="2269"/>
      <c r="T451" s="2269"/>
      <c r="U451" s="2269"/>
      <c r="V451" s="441"/>
    </row>
    <row r="452" spans="2:22" ht="16.899999999999999" customHeight="1">
      <c r="B452" s="1236"/>
      <c r="C452" s="1236"/>
      <c r="D452" s="1236"/>
      <c r="E452" s="1236"/>
      <c r="F452" s="1236"/>
      <c r="G452" s="1236"/>
      <c r="H452" s="1236"/>
      <c r="I452" s="1236"/>
      <c r="J452" s="1236"/>
      <c r="K452" s="1236"/>
      <c r="L452" s="1236"/>
      <c r="M452" s="1236"/>
      <c r="N452" s="1236"/>
      <c r="O452" s="1236"/>
      <c r="P452" s="1236"/>
      <c r="Q452" s="1236"/>
      <c r="R452" s="1236"/>
      <c r="S452" s="1236"/>
      <c r="T452" s="1236"/>
      <c r="U452" s="1236"/>
      <c r="V452" s="441"/>
    </row>
    <row r="453" spans="2:22" ht="16.899999999999999" customHeight="1">
      <c r="B453" s="2279" t="s">
        <v>1195</v>
      </c>
      <c r="C453" s="2279"/>
      <c r="D453" s="2279"/>
      <c r="E453" s="2279"/>
      <c r="F453" s="2279"/>
      <c r="G453" s="2279"/>
      <c r="H453" s="2279"/>
      <c r="I453" s="2279"/>
      <c r="J453" s="2279"/>
      <c r="K453" s="2279"/>
      <c r="L453" s="2279"/>
      <c r="M453" s="2279"/>
      <c r="N453" s="2279"/>
      <c r="O453" s="2279"/>
      <c r="P453" s="2279"/>
      <c r="Q453" s="2279"/>
      <c r="R453" s="2279"/>
      <c r="S453" s="2279"/>
      <c r="T453" s="2279"/>
      <c r="U453" s="2279"/>
      <c r="V453" s="441"/>
    </row>
    <row r="454" spans="2:22" ht="16.899999999999999" customHeight="1">
      <c r="B454" s="2251" t="s">
        <v>1196</v>
      </c>
      <c r="C454" s="2251"/>
      <c r="D454" s="2251"/>
      <c r="E454" s="2251"/>
      <c r="F454" s="2251"/>
      <c r="G454" s="2251"/>
      <c r="H454" s="2251"/>
      <c r="I454" s="2251"/>
      <c r="J454" s="2251"/>
      <c r="K454" s="2251"/>
      <c r="L454" s="2251"/>
      <c r="M454" s="2251"/>
      <c r="N454" s="2251"/>
      <c r="O454" s="2251"/>
      <c r="P454" s="2251"/>
      <c r="Q454" s="2251"/>
      <c r="R454" s="2251"/>
      <c r="S454" s="2251"/>
      <c r="T454" s="2251"/>
      <c r="U454" s="2251"/>
      <c r="V454" s="441"/>
    </row>
    <row r="455" spans="2:22" ht="16.899999999999999" customHeight="1">
      <c r="B455" s="902"/>
      <c r="C455" s="902"/>
      <c r="D455" s="902"/>
      <c r="E455" s="902"/>
      <c r="F455" s="902"/>
      <c r="G455" s="902"/>
      <c r="H455" s="902"/>
      <c r="I455" s="902"/>
      <c r="J455" s="902"/>
      <c r="K455" s="902"/>
      <c r="L455" s="902"/>
      <c r="M455" s="902"/>
      <c r="N455" s="902"/>
      <c r="O455" s="902"/>
      <c r="P455" s="902"/>
      <c r="Q455" s="902"/>
      <c r="R455" s="902"/>
      <c r="S455" s="902"/>
      <c r="T455" s="902"/>
      <c r="U455" s="902"/>
      <c r="V455" s="441"/>
    </row>
    <row r="456" spans="2:22" ht="42" customHeight="1">
      <c r="B456" s="2253" t="s">
        <v>462</v>
      </c>
      <c r="C456" s="2254"/>
      <c r="D456" s="1238" t="s">
        <v>463</v>
      </c>
      <c r="E456" s="2254" t="s">
        <v>1380</v>
      </c>
      <c r="F456" s="2254"/>
      <c r="G456" s="2254"/>
      <c r="H456" s="2254"/>
      <c r="I456" s="2254"/>
      <c r="J456" s="2254"/>
      <c r="K456" s="2254" t="s">
        <v>467</v>
      </c>
      <c r="L456" s="2254"/>
      <c r="M456" s="2254" t="s">
        <v>295</v>
      </c>
      <c r="N456" s="2280"/>
      <c r="V456" s="441"/>
    </row>
    <row r="457" spans="2:22" ht="42" customHeight="1">
      <c r="B457" s="2281" t="str">
        <f>IF(Perfiles_usuario!$B$107=0,"",Perfiles_usuario!$B$107)</f>
        <v/>
      </c>
      <c r="C457" s="2282"/>
      <c r="D457" s="1237" t="str">
        <f>IF(Perfiles_usuario!$D$107=0,"",Perfiles_usuario!$D$107)</f>
        <v/>
      </c>
      <c r="E457" s="2282" t="str">
        <f>IF(Perfiles_usuario!$D$107=0,"",Perfiles_usuario!$F$107)</f>
        <v/>
      </c>
      <c r="F457" s="2282"/>
      <c r="G457" s="2282"/>
      <c r="H457" s="2282"/>
      <c r="I457" s="2282"/>
      <c r="J457" s="2282"/>
      <c r="K457" s="2292" t="str">
        <f>IF(Perfiles_usuario!$D$107=0,"",Perfiles_usuario!$J$107)</f>
        <v/>
      </c>
      <c r="L457" s="2292"/>
      <c r="M457" s="2292" t="str">
        <f>IF(Perfiles_usuario!$D$107=0,"",Perfiles_usuario!$L$107)</f>
        <v/>
      </c>
      <c r="N457" s="2293"/>
      <c r="O457" s="522"/>
      <c r="P457" s="522"/>
      <c r="Q457" s="522"/>
      <c r="R457" s="522"/>
      <c r="S457" s="522"/>
      <c r="T457" s="522"/>
      <c r="U457" s="522"/>
      <c r="V457" s="441"/>
    </row>
    <row r="458" spans="2:22" ht="42" customHeight="1">
      <c r="B458" s="2294" t="str">
        <f>IF(Perfiles_usuario!$B$109=0,"",Perfiles_usuario!$B$109)</f>
        <v/>
      </c>
      <c r="C458" s="2295"/>
      <c r="D458" s="1237" t="str">
        <f>IF(Perfiles_usuario!$D$109=0,"",Perfiles_usuario!$D$109)</f>
        <v/>
      </c>
      <c r="E458" s="2282" t="str">
        <f>IF(Perfiles_usuario!$D$109=0,"",Perfiles_usuario!$F$109)</f>
        <v/>
      </c>
      <c r="F458" s="2282"/>
      <c r="G458" s="2282"/>
      <c r="H458" s="2282"/>
      <c r="I458" s="2282"/>
      <c r="J458" s="2282"/>
      <c r="K458" s="2292" t="str">
        <f>IF(Perfiles_usuario!$D$109=0,"",Perfiles_usuario!$J$109)</f>
        <v/>
      </c>
      <c r="L458" s="2292"/>
      <c r="M458" s="2292" t="str">
        <f>IF(Perfiles_usuario!$D$109=0,"",Perfiles_usuario!$L$109)</f>
        <v/>
      </c>
      <c r="N458" s="2293"/>
      <c r="O458" s="522"/>
      <c r="P458" s="522"/>
      <c r="Q458" s="522"/>
      <c r="R458" s="522"/>
      <c r="S458" s="522"/>
      <c r="T458" s="522"/>
      <c r="U458" s="522"/>
      <c r="V458" s="441"/>
    </row>
    <row r="459" spans="2:22" ht="42" customHeight="1">
      <c r="B459" s="2283"/>
      <c r="C459" s="2283"/>
      <c r="D459" s="1245"/>
      <c r="E459" s="2284"/>
      <c r="F459" s="2284"/>
      <c r="G459" s="2284"/>
      <c r="H459" s="2284"/>
      <c r="I459" s="2284"/>
      <c r="J459" s="2284"/>
      <c r="K459" s="2296"/>
      <c r="L459" s="2296"/>
      <c r="M459" s="2296"/>
      <c r="N459" s="2296"/>
      <c r="O459" s="522"/>
      <c r="P459" s="522"/>
      <c r="Q459" s="522"/>
      <c r="R459" s="522"/>
      <c r="S459" s="522"/>
      <c r="T459" s="522"/>
      <c r="U459" s="522"/>
      <c r="V459" s="441"/>
    </row>
    <row r="460" spans="2:22" ht="42" customHeight="1">
      <c r="B460" s="2273" t="s">
        <v>1192</v>
      </c>
      <c r="C460" s="2274"/>
      <c r="D460" s="719">
        <f>SUM(Perfiles_usuario!$D$107:$D$109)</f>
        <v>0</v>
      </c>
      <c r="E460" s="2284"/>
      <c r="F460" s="2284"/>
      <c r="G460" s="2284"/>
      <c r="H460" s="2284"/>
      <c r="I460" s="2284"/>
      <c r="J460" s="2284"/>
      <c r="K460" s="2463" t="s">
        <v>295</v>
      </c>
      <c r="L460" s="2464"/>
      <c r="M460" s="2285" t="str">
        <f>IF(Perfiles_usuario!$L$111=0,"",Perfiles_usuario!$L$111)</f>
        <v/>
      </c>
      <c r="N460" s="2286"/>
      <c r="O460" s="522"/>
      <c r="P460" s="522"/>
      <c r="Q460" s="522"/>
      <c r="R460" s="522"/>
      <c r="S460" s="522"/>
      <c r="T460" s="522"/>
      <c r="U460" s="522"/>
      <c r="V460" s="441"/>
    </row>
    <row r="461" spans="2:22" ht="16.899999999999999" customHeight="1">
      <c r="B461" s="522"/>
      <c r="C461" s="585"/>
      <c r="D461" s="584"/>
      <c r="E461" s="584"/>
      <c r="F461" s="584"/>
      <c r="G461" s="586"/>
      <c r="H461" s="436"/>
      <c r="I461" s="420"/>
      <c r="K461" s="420"/>
      <c r="L461" s="437"/>
      <c r="M461" s="587"/>
      <c r="N461" s="587"/>
      <c r="O461" s="587"/>
      <c r="P461" s="587"/>
      <c r="Q461" s="561"/>
      <c r="R461" s="561"/>
      <c r="S461" s="441"/>
      <c r="T461" s="441"/>
      <c r="U461" s="588"/>
      <c r="V461" s="441"/>
    </row>
    <row r="462" spans="2:22" ht="16.899999999999999" customHeight="1">
      <c r="B462" s="522"/>
      <c r="C462" s="585"/>
      <c r="D462" s="584"/>
      <c r="E462" s="584"/>
      <c r="F462" s="584"/>
      <c r="G462" s="586"/>
      <c r="H462" s="436"/>
      <c r="I462" s="420"/>
      <c r="K462" s="420"/>
      <c r="L462" s="437"/>
      <c r="M462" s="587"/>
      <c r="N462" s="587"/>
      <c r="O462" s="587"/>
      <c r="P462" s="587"/>
      <c r="Q462" s="561"/>
      <c r="R462" s="561"/>
      <c r="S462" s="441"/>
      <c r="T462" s="441"/>
      <c r="U462" s="588"/>
      <c r="V462" s="441"/>
    </row>
    <row r="463" spans="2:22" ht="16.899999999999999" customHeight="1">
      <c r="B463" s="522"/>
      <c r="C463" s="585"/>
      <c r="D463" s="584"/>
      <c r="E463" s="584"/>
      <c r="F463" s="584"/>
      <c r="G463" s="586"/>
      <c r="H463" s="436"/>
      <c r="I463" s="420"/>
      <c r="K463" s="420"/>
      <c r="L463" s="437"/>
      <c r="M463" s="587"/>
      <c r="N463" s="587"/>
      <c r="O463" s="587"/>
      <c r="P463" s="587"/>
      <c r="Q463" s="561"/>
      <c r="R463" s="561"/>
      <c r="S463" s="441"/>
      <c r="T463" s="441"/>
      <c r="U463" s="588"/>
      <c r="V463" s="441"/>
    </row>
    <row r="464" spans="2:22" ht="16.899999999999999" customHeight="1">
      <c r="B464" s="522"/>
      <c r="C464" s="585"/>
      <c r="D464" s="584"/>
      <c r="E464" s="584"/>
      <c r="F464" s="584"/>
      <c r="G464" s="586"/>
      <c r="H464" s="436"/>
      <c r="I464" s="420"/>
      <c r="K464" s="420"/>
      <c r="L464" s="437"/>
      <c r="M464" s="587"/>
      <c r="N464" s="587"/>
      <c r="O464" s="587"/>
      <c r="P464" s="587"/>
      <c r="Q464" s="561"/>
      <c r="R464" s="561"/>
      <c r="S464" s="441"/>
      <c r="T464" s="441"/>
      <c r="U464" s="588"/>
      <c r="V464" s="441"/>
    </row>
    <row r="465" spans="2:22" ht="16.899999999999999" customHeight="1">
      <c r="V465" s="441"/>
    </row>
    <row r="466" spans="2:22" ht="16.899999999999999" customHeight="1">
      <c r="U466" s="588"/>
      <c r="V466" s="441"/>
    </row>
    <row r="467" spans="2:22" ht="16.899999999999999" customHeight="1">
      <c r="B467" s="522"/>
      <c r="C467" s="585"/>
      <c r="D467" s="584"/>
      <c r="E467" s="584"/>
      <c r="F467" s="584"/>
      <c r="G467" s="586"/>
      <c r="H467" s="436"/>
      <c r="I467" s="420"/>
      <c r="K467" s="420"/>
      <c r="L467" s="437"/>
      <c r="M467" s="587"/>
      <c r="N467" s="587"/>
      <c r="O467" s="587"/>
      <c r="P467" s="587"/>
      <c r="Q467" s="561"/>
      <c r="R467" s="561"/>
      <c r="S467" s="441"/>
      <c r="T467" s="441"/>
      <c r="U467" s="588"/>
      <c r="V467" s="441"/>
    </row>
    <row r="468" spans="2:22" ht="79.5" customHeight="1">
      <c r="B468" s="2288" t="s">
        <v>1386</v>
      </c>
      <c r="C468" s="2288"/>
      <c r="D468" s="2288"/>
      <c r="E468" s="2288"/>
      <c r="F468" s="2288"/>
      <c r="G468" s="2288"/>
      <c r="H468" s="2288"/>
      <c r="I468" s="2288"/>
      <c r="J468" s="2288"/>
      <c r="K468" s="2288"/>
      <c r="L468" s="2288"/>
      <c r="M468" s="2288"/>
      <c r="N468" s="2288"/>
      <c r="O468" s="2288"/>
      <c r="P468" s="2288"/>
      <c r="Q468" s="2288"/>
      <c r="R468" s="2288"/>
      <c r="S468" s="2288"/>
      <c r="T468" s="2288"/>
      <c r="U468" s="2288"/>
      <c r="V468" s="441"/>
    </row>
    <row r="469" spans="2:22" ht="16.899999999999999" customHeight="1">
      <c r="B469" s="522"/>
      <c r="C469" s="585"/>
      <c r="D469" s="584"/>
      <c r="E469" s="584"/>
      <c r="F469" s="584"/>
      <c r="G469" s="586"/>
      <c r="H469" s="436"/>
      <c r="I469" s="420"/>
      <c r="K469" s="420"/>
      <c r="L469" s="437"/>
      <c r="M469" s="587"/>
      <c r="N469" s="587"/>
      <c r="O469" s="587"/>
      <c r="P469" s="587"/>
      <c r="Q469" s="561"/>
      <c r="R469" s="561"/>
      <c r="S469" s="441"/>
      <c r="T469" s="441"/>
      <c r="U469" s="588"/>
      <c r="V469" s="441"/>
    </row>
    <row r="470" spans="2:22" ht="60" customHeight="1">
      <c r="B470" s="2288" t="s">
        <v>1193</v>
      </c>
      <c r="C470" s="2288"/>
      <c r="D470" s="2288"/>
      <c r="E470" s="2288"/>
      <c r="F470" s="2288"/>
      <c r="G470" s="2288"/>
      <c r="H470" s="2288"/>
      <c r="I470" s="2288"/>
      <c r="J470" s="2288"/>
      <c r="K470" s="2288"/>
      <c r="L470" s="2288"/>
      <c r="M470" s="2288"/>
      <c r="N470" s="2288"/>
      <c r="O470" s="2288"/>
      <c r="P470" s="2288"/>
      <c r="Q470" s="2288"/>
      <c r="R470" s="2288"/>
      <c r="S470" s="2288"/>
      <c r="T470" s="2288"/>
      <c r="U470" s="2288"/>
      <c r="V470" s="441"/>
    </row>
    <row r="471" spans="2:22" ht="16.899999999999999" customHeight="1">
      <c r="B471" s="522"/>
      <c r="K471" s="420"/>
      <c r="L471" s="437"/>
      <c r="U471" s="588"/>
      <c r="V471" s="441"/>
    </row>
    <row r="472" spans="2:22" ht="16.899999999999999" customHeight="1">
      <c r="V472" s="441"/>
    </row>
    <row r="473" spans="2:22" ht="28.5" customHeight="1">
      <c r="B473" s="2288" t="s">
        <v>1208</v>
      </c>
      <c r="C473" s="2288"/>
      <c r="D473" s="2288"/>
      <c r="E473" s="2288"/>
      <c r="F473" s="2288"/>
      <c r="G473" s="2288"/>
      <c r="H473" s="2288"/>
      <c r="I473" s="2288"/>
      <c r="J473" s="2288"/>
      <c r="K473" s="2288"/>
      <c r="L473" s="2288"/>
      <c r="M473" s="2288"/>
      <c r="N473" s="2288"/>
      <c r="O473" s="2288"/>
      <c r="P473" s="2288"/>
      <c r="Q473" s="2288"/>
      <c r="R473" s="2288"/>
      <c r="S473" s="2288"/>
      <c r="T473" s="2288"/>
      <c r="U473" s="2288"/>
      <c r="V473" s="441"/>
    </row>
    <row r="474" spans="2:22" ht="16.899999999999999" customHeight="1">
      <c r="B474" s="522"/>
      <c r="K474" s="420"/>
      <c r="T474" s="441"/>
      <c r="U474" s="588"/>
      <c r="V474" s="441"/>
    </row>
    <row r="475" spans="2:22" ht="16.899999999999999" customHeight="1">
      <c r="B475" s="522"/>
      <c r="K475" s="420"/>
      <c r="L475" s="437"/>
      <c r="M475" s="587"/>
      <c r="N475" s="587"/>
      <c r="O475" s="587"/>
      <c r="P475" s="587"/>
      <c r="Q475" s="561"/>
      <c r="R475" s="561"/>
      <c r="S475" s="441"/>
      <c r="T475" s="441"/>
      <c r="U475" s="588"/>
      <c r="V475" s="441"/>
    </row>
    <row r="476" spans="2:22" ht="37.5" customHeight="1">
      <c r="B476" s="522"/>
      <c r="C476" s="2289" t="s">
        <v>1198</v>
      </c>
      <c r="D476" s="2289"/>
      <c r="E476" s="2289" t="s">
        <v>399</v>
      </c>
      <c r="F476" s="2289"/>
      <c r="G476" s="2289"/>
      <c r="H476" s="2289"/>
      <c r="I476" s="2289"/>
      <c r="J476" s="2289"/>
      <c r="K476" s="785"/>
      <c r="L476" s="1366">
        <v>15</v>
      </c>
      <c r="M476" s="587"/>
      <c r="N476" s="587"/>
      <c r="O476" s="587"/>
      <c r="P476" s="587"/>
      <c r="Q476" s="561"/>
      <c r="R476" s="561"/>
      <c r="S476" s="441"/>
      <c r="T476" s="441"/>
      <c r="U476" s="588"/>
      <c r="V476" s="441"/>
    </row>
    <row r="477" spans="2:22" ht="16.899999999999999" customHeight="1">
      <c r="B477" s="522"/>
      <c r="C477" s="585"/>
      <c r="D477" s="584"/>
      <c r="E477" s="584"/>
      <c r="F477" s="584"/>
      <c r="G477" s="586"/>
      <c r="H477" s="436"/>
      <c r="I477" s="420"/>
      <c r="K477" s="420"/>
      <c r="L477" s="437"/>
      <c r="M477" s="587"/>
      <c r="N477" s="587"/>
      <c r="O477" s="587"/>
      <c r="P477" s="587"/>
      <c r="Q477" s="561"/>
      <c r="R477" s="561"/>
      <c r="S477" s="441"/>
      <c r="T477" s="441"/>
      <c r="U477" s="588"/>
      <c r="V477" s="441"/>
    </row>
    <row r="478" spans="2:22" ht="16.899999999999999" customHeight="1">
      <c r="B478" s="522"/>
      <c r="C478" s="1240"/>
      <c r="D478" s="1241"/>
      <c r="E478" s="1241"/>
      <c r="F478" s="1241"/>
      <c r="G478" s="1242"/>
      <c r="H478" s="1243"/>
      <c r="I478" s="1244"/>
      <c r="J478" s="1239"/>
      <c r="K478" s="420"/>
      <c r="L478" s="437"/>
      <c r="M478" s="587"/>
      <c r="N478" s="587"/>
      <c r="O478" s="587"/>
      <c r="P478" s="587"/>
      <c r="Q478" s="561"/>
      <c r="R478" s="561"/>
      <c r="S478" s="441"/>
      <c r="T478" s="441"/>
      <c r="U478" s="588"/>
      <c r="V478" s="441"/>
    </row>
    <row r="479" spans="2:22" ht="16.899999999999999" customHeight="1">
      <c r="B479" s="522"/>
      <c r="C479" s="585"/>
      <c r="D479" s="584"/>
      <c r="E479" s="584"/>
      <c r="F479" s="584"/>
      <c r="G479" s="586"/>
      <c r="H479" s="436"/>
      <c r="I479" s="420"/>
      <c r="K479" s="420"/>
      <c r="L479" s="437"/>
      <c r="M479" s="587"/>
      <c r="N479" s="587"/>
      <c r="O479" s="587"/>
      <c r="P479" s="587"/>
      <c r="Q479" s="561"/>
      <c r="R479" s="561"/>
      <c r="S479" s="441"/>
      <c r="T479" s="441"/>
      <c r="U479" s="588"/>
      <c r="V479" s="441"/>
    </row>
    <row r="480" spans="2:22" ht="16.899999999999999" customHeight="1">
      <c r="B480" s="522"/>
      <c r="C480" s="585"/>
      <c r="D480" s="584"/>
      <c r="E480" s="584"/>
      <c r="F480" s="584"/>
      <c r="G480" s="586"/>
      <c r="H480" s="436"/>
      <c r="I480" s="420"/>
      <c r="K480" s="420"/>
      <c r="L480" s="437"/>
      <c r="M480" s="587"/>
      <c r="N480" s="587"/>
      <c r="O480" s="587"/>
      <c r="P480" s="587"/>
      <c r="Q480" s="561"/>
      <c r="R480" s="561"/>
      <c r="S480" s="441"/>
      <c r="T480" s="441"/>
      <c r="U480" s="588"/>
      <c r="V480" s="441"/>
    </row>
    <row r="481" spans="1:22" ht="16.899999999999999" customHeight="1">
      <c r="B481" s="522"/>
      <c r="C481" s="585"/>
      <c r="D481" s="584"/>
      <c r="E481" s="584"/>
      <c r="F481" s="584"/>
      <c r="G481" s="586"/>
      <c r="H481" s="436"/>
      <c r="I481" s="420"/>
      <c r="K481" s="420"/>
      <c r="L481" s="437"/>
      <c r="M481" s="587"/>
      <c r="N481" s="587"/>
      <c r="O481" s="587"/>
      <c r="P481" s="587"/>
      <c r="Q481" s="561"/>
      <c r="R481" s="561"/>
      <c r="S481" s="441"/>
      <c r="T481" s="441"/>
      <c r="U481" s="588"/>
      <c r="V481" s="441"/>
    </row>
    <row r="482" spans="1:22" ht="16.899999999999999" customHeight="1">
      <c r="T482" s="441"/>
      <c r="U482" s="588"/>
      <c r="V482" s="441"/>
    </row>
    <row r="483" spans="1:22" ht="16.899999999999999" customHeight="1">
      <c r="B483" s="522"/>
      <c r="C483" s="585"/>
      <c r="D483" s="584"/>
      <c r="E483" s="584"/>
      <c r="F483" s="584"/>
      <c r="G483" s="586"/>
      <c r="H483" s="436"/>
      <c r="I483" s="420"/>
      <c r="K483" s="420"/>
      <c r="L483" s="437"/>
      <c r="M483" s="587"/>
      <c r="N483" s="587"/>
      <c r="O483" s="587"/>
      <c r="P483" s="587"/>
      <c r="Q483" s="561"/>
      <c r="R483" s="561"/>
      <c r="S483" s="441"/>
      <c r="T483" s="441"/>
      <c r="U483" s="588"/>
      <c r="V483" s="441"/>
    </row>
    <row r="484" spans="1:22" ht="16.899999999999999" customHeight="1">
      <c r="B484" s="522"/>
      <c r="C484" s="585"/>
      <c r="D484" s="584"/>
      <c r="E484" s="584"/>
      <c r="F484" s="584"/>
      <c r="G484" s="586"/>
      <c r="H484" s="436"/>
      <c r="I484" s="420"/>
      <c r="K484" s="420"/>
      <c r="L484" s="437"/>
      <c r="M484" s="587"/>
      <c r="N484" s="587"/>
      <c r="O484" s="587"/>
      <c r="P484" s="587"/>
      <c r="Q484" s="561"/>
      <c r="R484" s="561"/>
      <c r="S484" s="441"/>
      <c r="T484" s="441"/>
      <c r="U484" s="588"/>
      <c r="V484" s="441"/>
    </row>
    <row r="485" spans="1:22" ht="16.899999999999999" customHeight="1">
      <c r="B485" s="522"/>
      <c r="C485" s="585"/>
      <c r="D485" s="584"/>
      <c r="E485" s="584"/>
      <c r="F485" s="584"/>
      <c r="G485" s="586"/>
      <c r="H485" s="436"/>
      <c r="I485" s="420"/>
      <c r="K485" s="420"/>
      <c r="L485" s="437"/>
      <c r="M485" s="587"/>
      <c r="N485" s="587"/>
      <c r="O485" s="587"/>
      <c r="P485" s="587"/>
      <c r="Q485" s="561"/>
      <c r="R485" s="561"/>
      <c r="S485" s="441"/>
      <c r="T485" s="441"/>
      <c r="U485" s="588"/>
      <c r="V485" s="441"/>
    </row>
    <row r="486" spans="1:22" ht="16.899999999999999" customHeight="1">
      <c r="B486" s="522"/>
      <c r="C486" s="585"/>
      <c r="D486" s="584"/>
      <c r="E486" s="584"/>
      <c r="F486" s="584"/>
      <c r="G486" s="586"/>
      <c r="H486" s="436"/>
      <c r="I486" s="420"/>
      <c r="K486" s="420"/>
      <c r="L486" s="437"/>
      <c r="M486" s="587"/>
      <c r="N486" s="587"/>
      <c r="O486" s="587"/>
      <c r="P486" s="587"/>
      <c r="Q486" s="561"/>
      <c r="R486" s="561"/>
      <c r="S486" s="441"/>
      <c r="T486" s="441"/>
      <c r="U486" s="588"/>
      <c r="V486" s="441"/>
    </row>
    <row r="487" spans="1:22" ht="16.899999999999999" customHeight="1">
      <c r="B487" s="520" t="s">
        <v>699</v>
      </c>
      <c r="C487" s="585"/>
      <c r="D487" s="584"/>
      <c r="E487" s="584"/>
      <c r="F487" s="584"/>
      <c r="G487" s="586"/>
      <c r="H487" s="436"/>
      <c r="I487" s="420"/>
      <c r="K487" s="420"/>
      <c r="L487" s="437"/>
      <c r="M487" s="476" t="s">
        <v>1153</v>
      </c>
      <c r="N487" s="587"/>
      <c r="O487" s="587"/>
      <c r="P487" s="587"/>
      <c r="Q487" s="561"/>
      <c r="R487" s="477" t="s">
        <v>692</v>
      </c>
      <c r="S487" s="478" t="str">
        <f>$E$29</f>
        <v>ILF5_90FCPRCP_B114CAGR43006</v>
      </c>
      <c r="T487" s="441"/>
      <c r="U487" s="588"/>
      <c r="V487" s="441"/>
    </row>
    <row r="488" spans="1:22" ht="16.899999999999999" customHeight="1">
      <c r="B488" s="522"/>
      <c r="C488" s="585"/>
      <c r="D488" s="584"/>
      <c r="E488" s="584"/>
      <c r="F488" s="584"/>
      <c r="G488" s="586"/>
      <c r="H488" s="436"/>
      <c r="I488" s="420"/>
      <c r="K488" s="420"/>
      <c r="L488" s="437"/>
      <c r="M488" s="587"/>
      <c r="N488" s="587"/>
      <c r="O488" s="587"/>
      <c r="P488" s="587"/>
      <c r="Q488" s="561"/>
      <c r="R488" s="561"/>
      <c r="S488" s="441"/>
      <c r="T488" s="441"/>
      <c r="U488" s="588"/>
      <c r="V488" s="441"/>
    </row>
    <row r="489" spans="1:22">
      <c r="A489" s="420"/>
      <c r="B489" s="420"/>
      <c r="C489" s="420"/>
      <c r="D489" s="420"/>
      <c r="E489" s="420"/>
      <c r="F489" s="420"/>
      <c r="G489" s="420"/>
      <c r="H489" s="436" t="s">
        <v>691</v>
      </c>
      <c r="I489" s="420"/>
      <c r="K489" s="420"/>
      <c r="L489" s="437" t="str">
        <f>$B$11</f>
        <v>INMOBILIARIA SERVIGESTION</v>
      </c>
      <c r="M489" s="420"/>
      <c r="N489" s="420"/>
      <c r="O489" s="420"/>
      <c r="P489" s="420"/>
      <c r="Q489" s="420"/>
      <c r="R489" s="420"/>
      <c r="S489" s="420"/>
      <c r="T489" s="420"/>
      <c r="U489" s="420"/>
      <c r="V489" s="420"/>
    </row>
    <row r="490" spans="1:22" ht="34.5">
      <c r="A490" s="420"/>
      <c r="B490" s="2268" t="s">
        <v>461</v>
      </c>
      <c r="C490" s="2268"/>
      <c r="D490" s="2268"/>
      <c r="E490" s="2268"/>
      <c r="F490" s="2268"/>
      <c r="G490" s="2268"/>
      <c r="H490" s="2268"/>
      <c r="I490" s="2268"/>
      <c r="J490" s="2268"/>
      <c r="K490" s="2268"/>
      <c r="L490" s="2268"/>
      <c r="M490" s="2268"/>
      <c r="N490" s="2268"/>
      <c r="O490" s="2268"/>
      <c r="P490" s="2268"/>
      <c r="Q490" s="2268"/>
      <c r="R490" s="2268"/>
      <c r="S490" s="2268"/>
      <c r="T490" s="2268"/>
      <c r="U490" s="2268"/>
      <c r="V490" s="420"/>
    </row>
    <row r="491" spans="1:22" ht="22.9" customHeight="1">
      <c r="A491" s="420"/>
      <c r="B491" s="2269" t="s">
        <v>1114</v>
      </c>
      <c r="C491" s="2269"/>
      <c r="D491" s="2269"/>
      <c r="E491" s="2269"/>
      <c r="F491" s="2269"/>
      <c r="G491" s="2269"/>
      <c r="H491" s="2269"/>
      <c r="I491" s="2269"/>
      <c r="J491" s="2269"/>
      <c r="K491" s="2269"/>
      <c r="L491" s="2269"/>
      <c r="M491" s="2269"/>
      <c r="N491" s="2269"/>
      <c r="O491" s="2269"/>
      <c r="P491" s="2269"/>
      <c r="Q491" s="2269"/>
      <c r="R491" s="2269"/>
      <c r="S491" s="2269"/>
      <c r="T491" s="2269"/>
      <c r="U491" s="2269"/>
      <c r="V491" s="420"/>
    </row>
    <row r="492" spans="1:22" ht="16.149999999999999" customHeight="1">
      <c r="A492" s="420"/>
      <c r="B492" s="1397"/>
      <c r="C492" s="1397"/>
      <c r="D492" s="1397"/>
      <c r="E492" s="1397"/>
      <c r="F492" s="1397"/>
      <c r="G492" s="1397"/>
      <c r="H492" s="1397"/>
      <c r="I492" s="1397"/>
      <c r="J492" s="1397"/>
      <c r="K492" s="1397"/>
      <c r="L492" s="1397"/>
      <c r="M492" s="1397"/>
      <c r="N492" s="1397"/>
      <c r="O492" s="1397"/>
      <c r="Q492" s="1397"/>
      <c r="R492" s="1397"/>
      <c r="S492" s="1397"/>
      <c r="T492" s="1397"/>
      <c r="U492" s="1397"/>
      <c r="V492" s="420"/>
    </row>
    <row r="493" spans="1:22" ht="23.25">
      <c r="A493" s="420"/>
      <c r="B493" s="2252" t="s">
        <v>513</v>
      </c>
      <c r="C493" s="2252"/>
      <c r="D493" s="2252"/>
      <c r="E493" s="2252"/>
      <c r="F493" s="2252"/>
      <c r="G493" s="2252"/>
      <c r="H493" s="2252"/>
      <c r="I493" s="2252"/>
      <c r="J493" s="2252"/>
      <c r="K493" s="2252"/>
      <c r="L493" s="1397"/>
      <c r="M493" s="1397"/>
      <c r="N493" s="1397"/>
      <c r="O493" s="1397"/>
      <c r="P493" s="1397"/>
      <c r="Q493" s="1397"/>
      <c r="R493" s="1397"/>
      <c r="S493" s="1397"/>
      <c r="T493" s="1397"/>
      <c r="U493" s="1397"/>
      <c r="V493" s="420"/>
    </row>
    <row r="494" spans="1:22" ht="42" customHeight="1">
      <c r="A494" s="420"/>
      <c r="B494" s="2260" t="s">
        <v>1373</v>
      </c>
      <c r="C494" s="2260"/>
      <c r="D494" s="2260"/>
      <c r="E494" s="2260"/>
      <c r="F494" s="2260"/>
      <c r="G494" s="2260"/>
      <c r="H494" s="2260"/>
      <c r="I494" s="2260"/>
      <c r="J494" s="2260"/>
      <c r="K494" s="2260"/>
      <c r="L494" s="2260"/>
      <c r="M494" s="2260"/>
      <c r="N494" s="2260"/>
      <c r="O494" s="2260"/>
      <c r="P494" s="2260"/>
      <c r="Q494" s="2260"/>
      <c r="R494" s="2260"/>
      <c r="S494" s="2260"/>
      <c r="T494" s="2260"/>
      <c r="U494" s="2260"/>
      <c r="V494" s="420"/>
    </row>
    <row r="495" spans="1:22" ht="29.45" customHeight="1">
      <c r="A495" s="420"/>
      <c r="B495" s="2251" t="s">
        <v>514</v>
      </c>
      <c r="C495" s="2251"/>
      <c r="D495" s="2251"/>
      <c r="E495" s="2251"/>
      <c r="F495" s="2251"/>
      <c r="G495" s="2251"/>
      <c r="H495" s="2251"/>
      <c r="I495" s="2251"/>
      <c r="J495" s="2251"/>
      <c r="K495" s="2251"/>
      <c r="L495" s="2251"/>
      <c r="M495" s="2251"/>
      <c r="N495" s="2251"/>
      <c r="O495" s="2251"/>
      <c r="P495" s="2251"/>
      <c r="Q495" s="2251"/>
      <c r="R495" s="2251"/>
      <c r="S495" s="2251"/>
      <c r="T495" s="2251"/>
      <c r="U495" s="2251"/>
      <c r="V495" s="420"/>
    </row>
    <row r="496" spans="1:22" ht="27.6" customHeight="1">
      <c r="A496" s="420"/>
      <c r="B496" s="2251" t="s">
        <v>1374</v>
      </c>
      <c r="C496" s="2251"/>
      <c r="D496" s="2251"/>
      <c r="E496" s="2251"/>
      <c r="F496" s="2251"/>
      <c r="G496" s="2251"/>
      <c r="H496" s="2251"/>
      <c r="I496" s="2251"/>
      <c r="J496" s="2251"/>
      <c r="K496" s="2251"/>
      <c r="L496" s="2251"/>
      <c r="M496" s="2251"/>
      <c r="N496" s="2251"/>
      <c r="O496" s="2251"/>
      <c r="P496" s="2251"/>
      <c r="Q496" s="2251"/>
      <c r="R496" s="2251"/>
      <c r="S496" s="2251"/>
      <c r="T496" s="2251"/>
      <c r="U496" s="2251"/>
      <c r="V496" s="420"/>
    </row>
    <row r="497" spans="1:22" ht="27.6" customHeight="1">
      <c r="A497" s="420"/>
      <c r="B497" s="2251" t="s">
        <v>1034</v>
      </c>
      <c r="C497" s="2251"/>
      <c r="D497" s="2251"/>
      <c r="E497" s="2251"/>
      <c r="F497" s="2251"/>
      <c r="G497" s="2251"/>
      <c r="H497" s="2251"/>
      <c r="I497" s="2251"/>
      <c r="J497" s="2251"/>
      <c r="K497" s="2251"/>
      <c r="L497" s="2251"/>
      <c r="M497" s="2251"/>
      <c r="N497" s="2251"/>
      <c r="O497" s="2251"/>
      <c r="P497" s="2251"/>
      <c r="Q497" s="2251"/>
      <c r="R497" s="2251"/>
      <c r="S497" s="2251"/>
      <c r="T497" s="2251"/>
      <c r="U497" s="2251"/>
      <c r="V497" s="420"/>
    </row>
    <row r="498" spans="1:22" ht="27.6" customHeight="1">
      <c r="A498" s="420"/>
      <c r="B498" s="1396"/>
      <c r="C498" s="2251" t="s">
        <v>2023</v>
      </c>
      <c r="D498" s="2251"/>
      <c r="E498" s="2251"/>
      <c r="F498" s="2251"/>
      <c r="G498" s="2251"/>
      <c r="H498" s="2251"/>
      <c r="I498" s="2251"/>
      <c r="J498" s="2251"/>
      <c r="K498" s="2251"/>
      <c r="L498" s="1396"/>
      <c r="M498" s="1396"/>
      <c r="N498" s="1396"/>
      <c r="O498" s="1396"/>
      <c r="P498" s="1396"/>
      <c r="Q498" s="1396"/>
      <c r="R498" s="1396"/>
      <c r="S498" s="1396"/>
      <c r="T498" s="1396"/>
      <c r="U498" s="1396"/>
      <c r="V498" s="420"/>
    </row>
    <row r="499" spans="1:22" ht="27.6" customHeight="1">
      <c r="A499" s="420"/>
      <c r="B499" s="1396"/>
      <c r="C499" s="2251" t="s">
        <v>1998</v>
      </c>
      <c r="D499" s="2251"/>
      <c r="E499" s="2251"/>
      <c r="F499" s="2251"/>
      <c r="G499" s="2251"/>
      <c r="H499" s="2251"/>
      <c r="I499" s="2251"/>
      <c r="J499" s="2251"/>
      <c r="K499" s="2251"/>
      <c r="L499" s="1396"/>
      <c r="M499" s="1396"/>
      <c r="N499" s="1396"/>
      <c r="O499" s="1396"/>
      <c r="P499" s="1396"/>
      <c r="Q499" s="1396"/>
      <c r="R499" s="1396"/>
      <c r="S499" s="1396"/>
      <c r="T499" s="1396"/>
      <c r="U499" s="1396"/>
      <c r="V499" s="420"/>
    </row>
    <row r="500" spans="1:22" ht="27.6" customHeight="1">
      <c r="A500" s="420"/>
      <c r="B500" s="1396"/>
      <c r="C500" s="2251" t="s">
        <v>1035</v>
      </c>
      <c r="D500" s="2251"/>
      <c r="E500" s="2251"/>
      <c r="F500" s="2251"/>
      <c r="G500" s="2251"/>
      <c r="H500" s="2251"/>
      <c r="I500" s="2251"/>
      <c r="J500" s="2251"/>
      <c r="K500" s="2251"/>
      <c r="L500" s="1396"/>
      <c r="M500" s="1396"/>
      <c r="N500" s="1396"/>
      <c r="O500" s="1396"/>
      <c r="P500" s="1396"/>
      <c r="Q500" s="1396"/>
      <c r="R500" s="1396"/>
      <c r="S500" s="1396"/>
      <c r="T500" s="1396"/>
      <c r="U500" s="1396"/>
      <c r="V500" s="420"/>
    </row>
    <row r="501" spans="1:22" ht="27.6" customHeight="1">
      <c r="A501" s="420"/>
      <c r="B501" s="2251" t="s">
        <v>1362</v>
      </c>
      <c r="C501" s="2251"/>
      <c r="D501" s="2251"/>
      <c r="E501" s="2251"/>
      <c r="F501" s="2251"/>
      <c r="G501" s="2251"/>
      <c r="H501" s="2251"/>
      <c r="I501" s="2251"/>
      <c r="J501" s="2251"/>
      <c r="K501" s="2251"/>
      <c r="L501" s="2251"/>
      <c r="M501" s="2251"/>
      <c r="N501" s="2251"/>
      <c r="O501" s="2251"/>
      <c r="P501" s="2251"/>
      <c r="Q501" s="2251"/>
      <c r="R501" s="2251"/>
      <c r="S501" s="2251"/>
      <c r="T501" s="2251"/>
      <c r="U501" s="2251"/>
      <c r="V501" s="420"/>
    </row>
    <row r="502" spans="1:22" ht="27.6" customHeight="1">
      <c r="A502" s="420"/>
      <c r="B502" s="2251" t="s">
        <v>1037</v>
      </c>
      <c r="C502" s="2251"/>
      <c r="D502" s="2251"/>
      <c r="E502" s="2251"/>
      <c r="F502" s="2251"/>
      <c r="G502" s="2251"/>
      <c r="H502" s="2251"/>
      <c r="I502" s="2251"/>
      <c r="J502" s="2251"/>
      <c r="K502" s="2251"/>
      <c r="L502" s="2251"/>
      <c r="M502" s="2251"/>
      <c r="N502" s="2251"/>
      <c r="O502" s="2251"/>
      <c r="P502" s="2251"/>
      <c r="Q502" s="2251"/>
      <c r="R502" s="2251"/>
      <c r="S502" s="2251"/>
      <c r="T502" s="2251"/>
      <c r="U502" s="2251"/>
      <c r="V502" s="420"/>
    </row>
    <row r="503" spans="1:22" ht="27.6" customHeight="1">
      <c r="A503" s="420"/>
      <c r="B503" s="2251" t="s">
        <v>1039</v>
      </c>
      <c r="C503" s="2251"/>
      <c r="D503" s="2251"/>
      <c r="E503" s="2251"/>
      <c r="F503" s="2251"/>
      <c r="G503" s="2251"/>
      <c r="H503" s="2251"/>
      <c r="I503" s="2251"/>
      <c r="J503" s="2251"/>
      <c r="K503" s="2251"/>
      <c r="L503" s="2251"/>
      <c r="M503" s="2251"/>
      <c r="N503" s="2251"/>
      <c r="O503" s="2251"/>
      <c r="P503" s="2251"/>
      <c r="Q503" s="2251"/>
      <c r="R503" s="2251"/>
      <c r="S503" s="2251"/>
      <c r="T503" s="2251"/>
      <c r="U503" s="2251"/>
      <c r="V503" s="420"/>
    </row>
    <row r="504" spans="1:22" ht="9.75" customHeight="1">
      <c r="A504" s="420"/>
      <c r="B504" s="2252"/>
      <c r="C504" s="2252"/>
      <c r="D504" s="2252"/>
      <c r="E504" s="2252"/>
      <c r="F504" s="2252"/>
      <c r="G504" s="2252"/>
      <c r="H504" s="2252"/>
      <c r="I504" s="2252"/>
      <c r="J504" s="2252"/>
      <c r="K504" s="2252"/>
      <c r="L504" s="1396"/>
      <c r="M504" s="1396"/>
      <c r="N504" s="1396"/>
      <c r="O504" s="1396"/>
      <c r="P504" s="1396"/>
      <c r="Q504" s="1396"/>
      <c r="R504" s="1396"/>
      <c r="S504" s="1396"/>
      <c r="T504" s="1396"/>
      <c r="U504" s="1396"/>
      <c r="V504" s="420"/>
    </row>
    <row r="505" spans="1:22" ht="23.25">
      <c r="A505" s="420"/>
      <c r="B505" s="2252" t="s">
        <v>1041</v>
      </c>
      <c r="C505" s="2252"/>
      <c r="D505" s="2252"/>
      <c r="E505" s="2252"/>
      <c r="F505" s="2252"/>
      <c r="G505" s="2252"/>
      <c r="H505" s="2252"/>
      <c r="I505" s="2252"/>
      <c r="J505" s="2252"/>
      <c r="K505" s="2252"/>
      <c r="L505" s="1396"/>
      <c r="M505" s="1396"/>
      <c r="N505" s="1396"/>
      <c r="O505" s="1396"/>
      <c r="P505" s="1396"/>
      <c r="Q505" s="1396"/>
      <c r="R505" s="1396"/>
      <c r="S505" s="1396"/>
      <c r="T505" s="1396"/>
      <c r="U505" s="1396"/>
      <c r="V505" s="420"/>
    </row>
    <row r="506" spans="1:22" ht="23.25">
      <c r="A506" s="420"/>
      <c r="B506" s="2251" t="s">
        <v>1375</v>
      </c>
      <c r="C506" s="2251"/>
      <c r="D506" s="2251"/>
      <c r="E506" s="2251"/>
      <c r="F506" s="2251"/>
      <c r="G506" s="2251"/>
      <c r="H506" s="2251"/>
      <c r="I506" s="2251"/>
      <c r="J506" s="2251"/>
      <c r="K506" s="2251"/>
      <c r="L506" s="2251"/>
      <c r="M506" s="2251"/>
      <c r="N506" s="2251"/>
      <c r="O506" s="2251"/>
      <c r="P506" s="2251"/>
      <c r="Q506" s="2251"/>
      <c r="R506" s="2251"/>
      <c r="S506" s="2251"/>
      <c r="T506" s="2251"/>
      <c r="U506" s="2251"/>
      <c r="V506" s="420"/>
    </row>
    <row r="507" spans="1:22" ht="16.5" customHeight="1">
      <c r="A507" s="420"/>
      <c r="B507" s="2251" t="s">
        <v>1042</v>
      </c>
      <c r="C507" s="2251"/>
      <c r="D507" s="2251"/>
      <c r="E507" s="2251"/>
      <c r="F507" s="2251"/>
      <c r="G507" s="2251"/>
      <c r="H507" s="2251"/>
      <c r="I507" s="2251"/>
      <c r="J507" s="2251"/>
      <c r="K507" s="2251"/>
      <c r="L507" s="2251"/>
      <c r="M507" s="2251"/>
      <c r="N507" s="2251"/>
      <c r="O507" s="2251"/>
      <c r="P507" s="2251"/>
      <c r="Q507" s="2251"/>
      <c r="R507" s="2251"/>
      <c r="S507" s="2251"/>
      <c r="T507" s="2251"/>
      <c r="U507" s="2251"/>
      <c r="V507" s="420"/>
    </row>
    <row r="508" spans="1:22" ht="28.15" customHeight="1">
      <c r="A508" s="420"/>
      <c r="B508" s="2251" t="s">
        <v>1043</v>
      </c>
      <c r="C508" s="2251"/>
      <c r="D508" s="2251"/>
      <c r="E508" s="2251"/>
      <c r="F508" s="2251"/>
      <c r="G508" s="2251"/>
      <c r="H508" s="2251"/>
      <c r="I508" s="2251"/>
      <c r="J508" s="2251"/>
      <c r="K508" s="2251"/>
      <c r="L508" s="2251"/>
      <c r="M508" s="2251"/>
      <c r="N508" s="2251"/>
      <c r="O508" s="2251"/>
      <c r="P508" s="2251"/>
      <c r="Q508" s="2251"/>
      <c r="R508" s="2251"/>
      <c r="S508" s="2251"/>
      <c r="T508" s="2251"/>
      <c r="U508" s="2251"/>
      <c r="V508" s="420"/>
    </row>
    <row r="509" spans="1:22" ht="28.15" customHeight="1">
      <c r="A509" s="420"/>
      <c r="B509" s="2251" t="s">
        <v>1034</v>
      </c>
      <c r="C509" s="2251"/>
      <c r="D509" s="2251"/>
      <c r="E509" s="2251"/>
      <c r="F509" s="2251"/>
      <c r="G509" s="2251"/>
      <c r="H509" s="2251"/>
      <c r="I509" s="2251"/>
      <c r="J509" s="2251"/>
      <c r="K509" s="2251"/>
      <c r="L509" s="2251"/>
      <c r="M509" s="2251"/>
      <c r="N509" s="2251"/>
      <c r="O509" s="2251"/>
      <c r="P509" s="2251"/>
      <c r="Q509" s="2251"/>
      <c r="R509" s="2251"/>
      <c r="S509" s="2251"/>
      <c r="T509" s="2251"/>
      <c r="U509" s="2251"/>
      <c r="V509" s="420"/>
    </row>
    <row r="510" spans="1:22" ht="28.15" customHeight="1">
      <c r="A510" s="420"/>
      <c r="B510" s="1396"/>
      <c r="C510" s="2251" t="s">
        <v>2023</v>
      </c>
      <c r="D510" s="2251"/>
      <c r="E510" s="2251"/>
      <c r="F510" s="2251"/>
      <c r="G510" s="2251"/>
      <c r="H510" s="2251"/>
      <c r="I510" s="2251"/>
      <c r="J510" s="2251"/>
      <c r="K510" s="2251"/>
      <c r="L510" s="1396"/>
      <c r="M510" s="1396"/>
      <c r="N510" s="1396"/>
      <c r="O510" s="1396"/>
      <c r="P510" s="1396"/>
      <c r="Q510" s="1396"/>
      <c r="R510" s="1396"/>
      <c r="S510" s="1396"/>
      <c r="T510" s="1396"/>
      <c r="U510" s="1396"/>
      <c r="V510" s="420"/>
    </row>
    <row r="511" spans="1:22" ht="28.15" customHeight="1">
      <c r="A511" s="420"/>
      <c r="B511" s="1396"/>
      <c r="C511" s="2251" t="s">
        <v>1998</v>
      </c>
      <c r="D511" s="2251"/>
      <c r="E511" s="2251"/>
      <c r="F511" s="2251"/>
      <c r="G511" s="2251"/>
      <c r="H511" s="2251"/>
      <c r="I511" s="2251"/>
      <c r="J511" s="2251"/>
      <c r="K511" s="2251"/>
      <c r="L511" s="1396"/>
      <c r="M511" s="1396"/>
      <c r="N511" s="1396"/>
      <c r="O511" s="1396"/>
      <c r="P511" s="1396"/>
      <c r="Q511" s="1396"/>
      <c r="R511" s="1396"/>
      <c r="S511" s="1396"/>
      <c r="T511" s="1396"/>
      <c r="U511" s="1396"/>
      <c r="V511" s="420"/>
    </row>
    <row r="512" spans="1:22" ht="28.15" customHeight="1">
      <c r="A512" s="420"/>
      <c r="B512" s="1396"/>
      <c r="C512" s="2251" t="s">
        <v>1035</v>
      </c>
      <c r="D512" s="2251"/>
      <c r="E512" s="2251"/>
      <c r="F512" s="2251"/>
      <c r="G512" s="2251"/>
      <c r="H512" s="2251"/>
      <c r="I512" s="2251"/>
      <c r="J512" s="2251"/>
      <c r="K512" s="2251"/>
      <c r="L512" s="1396"/>
      <c r="M512" s="1396"/>
      <c r="N512" s="1396"/>
      <c r="O512" s="1396"/>
      <c r="P512" s="1396"/>
      <c r="Q512" s="1396"/>
      <c r="R512" s="1396"/>
      <c r="S512" s="1396"/>
      <c r="T512" s="1396"/>
      <c r="U512" s="1396"/>
      <c r="V512" s="420"/>
    </row>
    <row r="513" spans="1:22" ht="28.15" customHeight="1">
      <c r="A513" s="420"/>
      <c r="B513" s="2251" t="s">
        <v>1045</v>
      </c>
      <c r="C513" s="2251"/>
      <c r="D513" s="2251"/>
      <c r="E513" s="2251"/>
      <c r="F513" s="2251"/>
      <c r="G513" s="2251"/>
      <c r="H513" s="2251"/>
      <c r="I513" s="2251"/>
      <c r="J513" s="2251"/>
      <c r="K513" s="2251"/>
      <c r="L513" s="2251"/>
      <c r="M513" s="2251"/>
      <c r="N513" s="2251"/>
      <c r="O513" s="2251"/>
      <c r="P513" s="2251"/>
      <c r="Q513" s="2251"/>
      <c r="R513" s="2251"/>
      <c r="S513" s="2251"/>
      <c r="T513" s="2251"/>
      <c r="U513" s="2251"/>
      <c r="V513" s="420"/>
    </row>
    <row r="514" spans="1:22" ht="28.15" customHeight="1">
      <c r="A514" s="420"/>
      <c r="B514" s="2251" t="s">
        <v>1046</v>
      </c>
      <c r="C514" s="2251"/>
      <c r="D514" s="2251"/>
      <c r="E514" s="2251"/>
      <c r="F514" s="2251"/>
      <c r="G514" s="2251"/>
      <c r="H514" s="2251"/>
      <c r="I514" s="2251"/>
      <c r="J514" s="2251"/>
      <c r="K514" s="2251"/>
      <c r="L514" s="2251"/>
      <c r="M514" s="2251"/>
      <c r="N514" s="2251"/>
      <c r="O514" s="2251"/>
      <c r="P514" s="2251"/>
      <c r="Q514" s="2251"/>
      <c r="R514" s="2251"/>
      <c r="S514" s="2251"/>
      <c r="T514" s="2251"/>
      <c r="U514" s="2251"/>
      <c r="V514" s="420"/>
    </row>
    <row r="515" spans="1:22" ht="28.15" customHeight="1">
      <c r="A515" s="420"/>
      <c r="B515" s="2251" t="s">
        <v>1076</v>
      </c>
      <c r="C515" s="2251"/>
      <c r="D515" s="2251"/>
      <c r="E515" s="2251"/>
      <c r="F515" s="2251"/>
      <c r="G515" s="2251"/>
      <c r="H515" s="2251"/>
      <c r="I515" s="2251"/>
      <c r="J515" s="2251"/>
      <c r="K515" s="2251"/>
      <c r="L515" s="2251"/>
      <c r="M515" s="2251"/>
      <c r="N515" s="2251"/>
      <c r="O515" s="2251"/>
      <c r="P515" s="2251"/>
      <c r="Q515" s="2251"/>
      <c r="R515" s="2251"/>
      <c r="S515" s="2251"/>
      <c r="T515" s="2251"/>
      <c r="U515" s="2251"/>
      <c r="V515" s="420"/>
    </row>
    <row r="516" spans="1:22" ht="28.15" customHeight="1">
      <c r="A516" s="420"/>
      <c r="B516" s="2251" t="s">
        <v>1047</v>
      </c>
      <c r="C516" s="2251"/>
      <c r="D516" s="2251"/>
      <c r="E516" s="2251"/>
      <c r="F516" s="2251"/>
      <c r="G516" s="2251"/>
      <c r="H516" s="2251"/>
      <c r="I516" s="2251"/>
      <c r="J516" s="2251"/>
      <c r="K516" s="2251"/>
      <c r="L516" s="2251"/>
      <c r="M516" s="2251"/>
      <c r="N516" s="2251"/>
      <c r="O516" s="2251"/>
      <c r="P516" s="2251"/>
      <c r="Q516" s="2251"/>
      <c r="R516" s="2251"/>
      <c r="S516" s="2251"/>
      <c r="T516" s="2251"/>
      <c r="U516" s="2251"/>
      <c r="V516" s="420"/>
    </row>
    <row r="517" spans="1:22" ht="28.15" customHeight="1">
      <c r="A517" s="420"/>
      <c r="B517" s="2251" t="s">
        <v>1048</v>
      </c>
      <c r="C517" s="2251"/>
      <c r="D517" s="2251"/>
      <c r="E517" s="2251"/>
      <c r="F517" s="2251"/>
      <c r="G517" s="2251"/>
      <c r="H517" s="2251"/>
      <c r="I517" s="2251"/>
      <c r="J517" s="2251"/>
      <c r="K517" s="2251"/>
      <c r="L517" s="2251"/>
      <c r="M517" s="2251"/>
      <c r="N517" s="2251"/>
      <c r="O517" s="2251"/>
      <c r="P517" s="2251"/>
      <c r="Q517" s="2251"/>
      <c r="R517" s="2251"/>
      <c r="S517" s="2251"/>
      <c r="T517" s="2251"/>
      <c r="U517" s="2251"/>
      <c r="V517" s="420"/>
    </row>
    <row r="518" spans="1:22" ht="28.15" customHeight="1">
      <c r="A518" s="420"/>
      <c r="B518" s="2251" t="s">
        <v>1039</v>
      </c>
      <c r="C518" s="2251"/>
      <c r="D518" s="2251"/>
      <c r="E518" s="2251"/>
      <c r="F518" s="2251"/>
      <c r="G518" s="2251"/>
      <c r="H518" s="2251"/>
      <c r="I518" s="2251"/>
      <c r="J518" s="2251"/>
      <c r="K518" s="2251"/>
      <c r="L518" s="2251"/>
      <c r="M518" s="2251"/>
      <c r="N518" s="2251"/>
      <c r="O518" s="2251"/>
      <c r="P518" s="2251"/>
      <c r="Q518" s="2251"/>
      <c r="R518" s="2251"/>
      <c r="S518" s="2251"/>
      <c r="T518" s="2251"/>
      <c r="U518" s="2251"/>
      <c r="V518" s="420"/>
    </row>
    <row r="519" spans="1:22" ht="28.9" customHeight="1">
      <c r="A519" s="420"/>
      <c r="B519" s="1396"/>
      <c r="C519" s="1396"/>
      <c r="D519" s="1396"/>
      <c r="E519" s="1396"/>
      <c r="F519" s="1396"/>
      <c r="G519" s="1396"/>
      <c r="H519" s="1396"/>
      <c r="I519" s="1396"/>
      <c r="J519" s="1396"/>
      <c r="K519" s="1396"/>
      <c r="L519" s="1396"/>
      <c r="M519" s="1396"/>
      <c r="N519" s="1396"/>
      <c r="O519" s="1396"/>
      <c r="P519" s="1396"/>
      <c r="Q519" s="1396"/>
      <c r="R519" s="1396"/>
      <c r="S519" s="1396"/>
      <c r="T519" s="1396"/>
      <c r="U519" s="1396"/>
      <c r="V519" s="420"/>
    </row>
    <row r="520" spans="1:22" ht="53.25" customHeight="1">
      <c r="A520" s="420"/>
      <c r="B520" s="2253" t="str">
        <f>Oferta_Optima!B569</f>
        <v>Sede</v>
      </c>
      <c r="C520" s="2255"/>
      <c r="D520" s="2254" t="str">
        <f>Oferta_Optima!D569</f>
        <v>Pack Conecta Pymes</v>
      </c>
      <c r="E520" s="2255"/>
      <c r="F520" s="2254" t="str">
        <f>Oferta_Optima!F569</f>
        <v>Tarifas planas 
fijo-móvil</v>
      </c>
      <c r="G520" s="2254"/>
      <c r="H520" s="1808" t="str">
        <f>Oferta_Optima!H569</f>
        <v>DDIs</v>
      </c>
      <c r="I520" s="1808" t="str">
        <f>Oferta_Optima!I569</f>
        <v>IPs fijas</v>
      </c>
      <c r="J520" s="2255" t="str">
        <f>Oferta_Optima!J569</f>
        <v>Líneas para fax (AMLT)</v>
      </c>
      <c r="K520" s="2256"/>
      <c r="L520" s="2255" t="str">
        <f>Oferta_Optima!L569</f>
        <v>Líneas dedicadas Internet (ADSL sólo datos)</v>
      </c>
      <c r="M520" s="2256"/>
      <c r="N520" s="2255" t="str">
        <f>Oferta_Optima!N569</f>
        <v>Teléfonos IP Premium</v>
      </c>
      <c r="O520" s="2256"/>
      <c r="P520" s="2255" t="str">
        <f>Oferta_Optima!P569</f>
        <v>Teléfonos IP Avanzados</v>
      </c>
      <c r="Q520" s="2256"/>
      <c r="R520" s="2255" t="str">
        <f>Oferta_Optima!R569</f>
        <v>Teléfonos DECT</v>
      </c>
      <c r="S520" s="2256"/>
      <c r="T520" s="1807" t="str">
        <f>Oferta_Optima!T569</f>
        <v>Switch</v>
      </c>
      <c r="U520" s="1809" t="str">
        <f>Oferta_Optima!U569</f>
        <v>Total cuotas</v>
      </c>
      <c r="V520" s="420"/>
    </row>
    <row r="521" spans="1:22" ht="29.1" customHeight="1">
      <c r="A521" s="420"/>
      <c r="B521" s="2272" t="str">
        <f>Oferta_Optima!B570</f>
        <v>OFICINA</v>
      </c>
      <c r="C521" s="2259"/>
      <c r="D521" s="2259" t="str">
        <f>Oferta_Optima!D570</f>
        <v>Conecta 2A</v>
      </c>
      <c r="E521" s="2259"/>
      <c r="F521" s="2259" t="str">
        <f>Oferta_Optima!F570</f>
        <v/>
      </c>
      <c r="G521" s="2259"/>
      <c r="H521" s="1806" t="str">
        <f>Oferta_Optima!H570</f>
        <v/>
      </c>
      <c r="I521" s="1806" t="str">
        <f>Oferta_Optima!I570</f>
        <v/>
      </c>
      <c r="J521" s="2259" t="str">
        <f>Oferta_Optima!J570</f>
        <v/>
      </c>
      <c r="K521" s="2259"/>
      <c r="L521" s="2259" t="str">
        <f>Oferta_Optima!L570</f>
        <v/>
      </c>
      <c r="M521" s="2259"/>
      <c r="N521" s="2259" t="str">
        <f>Oferta_Optima!N570</f>
        <v/>
      </c>
      <c r="O521" s="2259"/>
      <c r="P521" s="2259" t="str">
        <f>Oferta_Optima!P570</f>
        <v/>
      </c>
      <c r="Q521" s="2259"/>
      <c r="R521" s="2259" t="str">
        <f>Oferta_Optima!R570</f>
        <v/>
      </c>
      <c r="S521" s="2259"/>
      <c r="T521" s="1806" t="str">
        <f>Oferta_Optima!T570</f>
        <v/>
      </c>
      <c r="U521" s="1821">
        <f>Oferta_Optima!U570</f>
        <v>44.95</v>
      </c>
      <c r="V521" s="420"/>
    </row>
    <row r="522" spans="1:22" ht="29.1" customHeight="1">
      <c r="A522" s="420"/>
      <c r="B522" s="2272" t="str">
        <f>Oferta_Optima!B571</f>
        <v/>
      </c>
      <c r="C522" s="2259"/>
      <c r="D522" s="2259" t="str">
        <f>Oferta_Optima!D571</f>
        <v/>
      </c>
      <c r="E522" s="2259"/>
      <c r="F522" s="2259" t="str">
        <f>Oferta_Optima!F571</f>
        <v/>
      </c>
      <c r="G522" s="2259"/>
      <c r="H522" s="1806" t="str">
        <f>Oferta_Optima!H571</f>
        <v/>
      </c>
      <c r="I522" s="1806" t="str">
        <f>Oferta_Optima!I571</f>
        <v/>
      </c>
      <c r="J522" s="2259" t="str">
        <f>Oferta_Optima!J571</f>
        <v/>
      </c>
      <c r="K522" s="2259"/>
      <c r="L522" s="2259" t="str">
        <f>Oferta_Optima!L571</f>
        <v/>
      </c>
      <c r="M522" s="2259"/>
      <c r="N522" s="2259" t="str">
        <f>Oferta_Optima!N571</f>
        <v/>
      </c>
      <c r="O522" s="2259"/>
      <c r="P522" s="2259" t="str">
        <f>Oferta_Optima!P571</f>
        <v/>
      </c>
      <c r="Q522" s="2259"/>
      <c r="R522" s="2259" t="str">
        <f>Oferta_Optima!R571</f>
        <v/>
      </c>
      <c r="S522" s="2259"/>
      <c r="T522" s="1806" t="str">
        <f>Oferta_Optima!T571</f>
        <v/>
      </c>
      <c r="U522" s="1821">
        <f>Oferta_Optima!U571</f>
        <v>0</v>
      </c>
      <c r="V522" s="420"/>
    </row>
    <row r="523" spans="1:22" ht="29.1" customHeight="1">
      <c r="A523" s="420"/>
      <c r="B523" s="2272" t="str">
        <f>Oferta_Optima!B572</f>
        <v/>
      </c>
      <c r="C523" s="2259"/>
      <c r="D523" s="2259" t="str">
        <f>Oferta_Optima!D572</f>
        <v/>
      </c>
      <c r="E523" s="2259"/>
      <c r="F523" s="2259" t="str">
        <f>Oferta_Optima!F572</f>
        <v/>
      </c>
      <c r="G523" s="2259"/>
      <c r="H523" s="1806" t="str">
        <f>Oferta_Optima!H572</f>
        <v/>
      </c>
      <c r="I523" s="1806" t="str">
        <f>Oferta_Optima!I572</f>
        <v/>
      </c>
      <c r="J523" s="2259" t="str">
        <f>Oferta_Optima!J572</f>
        <v/>
      </c>
      <c r="K523" s="2259"/>
      <c r="L523" s="2259" t="str">
        <f>Oferta_Optima!L572</f>
        <v/>
      </c>
      <c r="M523" s="2259"/>
      <c r="N523" s="2259" t="str">
        <f>Oferta_Optima!N572</f>
        <v/>
      </c>
      <c r="O523" s="2259"/>
      <c r="P523" s="2259" t="str">
        <f>Oferta_Optima!P572</f>
        <v/>
      </c>
      <c r="Q523" s="2259"/>
      <c r="R523" s="2259" t="str">
        <f>Oferta_Optima!R572</f>
        <v/>
      </c>
      <c r="S523" s="2259"/>
      <c r="T523" s="1806" t="str">
        <f>Oferta_Optima!T572</f>
        <v/>
      </c>
      <c r="U523" s="1821">
        <f>Oferta_Optima!U572</f>
        <v>0</v>
      </c>
      <c r="V523" s="420"/>
    </row>
    <row r="524" spans="1:22" ht="29.1" customHeight="1">
      <c r="A524" s="420"/>
      <c r="B524" s="2272" t="str">
        <f>Oferta_Optima!B573</f>
        <v/>
      </c>
      <c r="C524" s="2259"/>
      <c r="D524" s="2259" t="str">
        <f>Oferta_Optima!D573</f>
        <v/>
      </c>
      <c r="E524" s="2259"/>
      <c r="F524" s="2259" t="str">
        <f>Oferta_Optima!F573</f>
        <v/>
      </c>
      <c r="G524" s="2259"/>
      <c r="H524" s="1806" t="str">
        <f>Oferta_Optima!H573</f>
        <v/>
      </c>
      <c r="I524" s="1806" t="str">
        <f>Oferta_Optima!I573</f>
        <v/>
      </c>
      <c r="J524" s="2259" t="str">
        <f>Oferta_Optima!J573</f>
        <v/>
      </c>
      <c r="K524" s="2259"/>
      <c r="L524" s="2259" t="str">
        <f>Oferta_Optima!L573</f>
        <v/>
      </c>
      <c r="M524" s="2259"/>
      <c r="N524" s="2259" t="str">
        <f>Oferta_Optima!N573</f>
        <v/>
      </c>
      <c r="O524" s="2259"/>
      <c r="P524" s="2259" t="str">
        <f>Oferta_Optima!P573</f>
        <v/>
      </c>
      <c r="Q524" s="2259"/>
      <c r="R524" s="2259" t="str">
        <f>Oferta_Optima!R573</f>
        <v/>
      </c>
      <c r="S524" s="2259"/>
      <c r="T524" s="1806" t="str">
        <f>Oferta_Optima!T573</f>
        <v/>
      </c>
      <c r="U524" s="1821">
        <f>Oferta_Optima!U573</f>
        <v>0</v>
      </c>
      <c r="V524" s="420"/>
    </row>
    <row r="525" spans="1:22" ht="29.1" customHeight="1">
      <c r="A525" s="420"/>
      <c r="B525" s="2272" t="str">
        <f>Oferta_Optima!B574</f>
        <v/>
      </c>
      <c r="C525" s="2259"/>
      <c r="D525" s="2259" t="str">
        <f>Oferta_Optima!D574</f>
        <v/>
      </c>
      <c r="E525" s="2259"/>
      <c r="F525" s="2259" t="str">
        <f>Oferta_Optima!F574</f>
        <v/>
      </c>
      <c r="G525" s="2259"/>
      <c r="H525" s="1806" t="str">
        <f>Oferta_Optima!H574</f>
        <v/>
      </c>
      <c r="I525" s="1806" t="str">
        <f>Oferta_Optima!I574</f>
        <v/>
      </c>
      <c r="J525" s="2259" t="str">
        <f>Oferta_Optima!J574</f>
        <v/>
      </c>
      <c r="K525" s="2259"/>
      <c r="L525" s="2259" t="str">
        <f>Oferta_Optima!L574</f>
        <v/>
      </c>
      <c r="M525" s="2259"/>
      <c r="N525" s="2259" t="str">
        <f>Oferta_Optima!N574</f>
        <v/>
      </c>
      <c r="O525" s="2259"/>
      <c r="P525" s="2259" t="str">
        <f>Oferta_Optima!P574</f>
        <v/>
      </c>
      <c r="Q525" s="2259"/>
      <c r="R525" s="2259" t="str">
        <f>Oferta_Optima!R574</f>
        <v/>
      </c>
      <c r="S525" s="2259"/>
      <c r="T525" s="1806" t="str">
        <f>Oferta_Optima!T574</f>
        <v/>
      </c>
      <c r="U525" s="1821">
        <f>Oferta_Optima!U574</f>
        <v>0</v>
      </c>
      <c r="V525" s="420"/>
    </row>
    <row r="526" spans="1:22" ht="29.1" customHeight="1">
      <c r="A526" s="420"/>
      <c r="B526" s="2272" t="str">
        <f>Oferta_Optima!B575</f>
        <v/>
      </c>
      <c r="C526" s="2259"/>
      <c r="D526" s="2259" t="str">
        <f>Oferta_Optima!D575</f>
        <v/>
      </c>
      <c r="E526" s="2259"/>
      <c r="F526" s="2259" t="str">
        <f>Oferta_Optima!F575</f>
        <v/>
      </c>
      <c r="G526" s="2259"/>
      <c r="H526" s="1806" t="str">
        <f>Oferta_Optima!H575</f>
        <v/>
      </c>
      <c r="I526" s="1806" t="str">
        <f>Oferta_Optima!I575</f>
        <v/>
      </c>
      <c r="J526" s="2259" t="str">
        <f>Oferta_Optima!J575</f>
        <v/>
      </c>
      <c r="K526" s="2259"/>
      <c r="L526" s="2259" t="str">
        <f>Oferta_Optima!L575</f>
        <v/>
      </c>
      <c r="M526" s="2259"/>
      <c r="N526" s="2259" t="str">
        <f>Oferta_Optima!N575</f>
        <v/>
      </c>
      <c r="O526" s="2259"/>
      <c r="P526" s="2259" t="str">
        <f>Oferta_Optima!P575</f>
        <v/>
      </c>
      <c r="Q526" s="2259"/>
      <c r="R526" s="2259" t="str">
        <f>Oferta_Optima!R575</f>
        <v/>
      </c>
      <c r="S526" s="2259"/>
      <c r="T526" s="1806" t="str">
        <f>Oferta_Optima!T575</f>
        <v/>
      </c>
      <c r="U526" s="1821">
        <f>Oferta_Optima!U575</f>
        <v>0</v>
      </c>
      <c r="V526" s="420"/>
    </row>
    <row r="527" spans="1:22" ht="29.1" customHeight="1">
      <c r="A527" s="420"/>
      <c r="B527" s="2272" t="str">
        <f>Oferta_Optima!B576</f>
        <v/>
      </c>
      <c r="C527" s="2259"/>
      <c r="D527" s="2259" t="str">
        <f>Oferta_Optima!D576</f>
        <v/>
      </c>
      <c r="E527" s="2259"/>
      <c r="F527" s="2259" t="str">
        <f>Oferta_Optima!F576</f>
        <v/>
      </c>
      <c r="G527" s="2259"/>
      <c r="H527" s="1806" t="str">
        <f>Oferta_Optima!H576</f>
        <v/>
      </c>
      <c r="I527" s="1806" t="str">
        <f>Oferta_Optima!I576</f>
        <v/>
      </c>
      <c r="J527" s="2259" t="str">
        <f>Oferta_Optima!J576</f>
        <v/>
      </c>
      <c r="K527" s="2259"/>
      <c r="L527" s="2259" t="str">
        <f>Oferta_Optima!L576</f>
        <v/>
      </c>
      <c r="M527" s="2259"/>
      <c r="N527" s="2259" t="str">
        <f>Oferta_Optima!N576</f>
        <v/>
      </c>
      <c r="O527" s="2259"/>
      <c r="P527" s="2259" t="str">
        <f>Oferta_Optima!P576</f>
        <v/>
      </c>
      <c r="Q527" s="2259"/>
      <c r="R527" s="2259" t="str">
        <f>Oferta_Optima!R576</f>
        <v/>
      </c>
      <c r="S527" s="2259"/>
      <c r="T527" s="1806" t="str">
        <f>Oferta_Optima!T576</f>
        <v/>
      </c>
      <c r="U527" s="1821">
        <f>Oferta_Optima!U576</f>
        <v>0</v>
      </c>
      <c r="V527" s="420"/>
    </row>
    <row r="528" spans="1:22" ht="29.1" customHeight="1">
      <c r="A528" s="420"/>
      <c r="B528" s="2272" t="str">
        <f>Oferta_Optima!B577</f>
        <v/>
      </c>
      <c r="C528" s="2259"/>
      <c r="D528" s="2259" t="str">
        <f>Oferta_Optima!D577</f>
        <v/>
      </c>
      <c r="E528" s="2259"/>
      <c r="F528" s="2259" t="str">
        <f>Oferta_Optima!F577</f>
        <v/>
      </c>
      <c r="G528" s="2259"/>
      <c r="H528" s="1806" t="str">
        <f>Oferta_Optima!H577</f>
        <v/>
      </c>
      <c r="I528" s="1806" t="str">
        <f>Oferta_Optima!I577</f>
        <v/>
      </c>
      <c r="J528" s="2259" t="str">
        <f>Oferta_Optima!J577</f>
        <v/>
      </c>
      <c r="K528" s="2259"/>
      <c r="L528" s="2259" t="str">
        <f>Oferta_Optima!L577</f>
        <v/>
      </c>
      <c r="M528" s="2259"/>
      <c r="N528" s="2259" t="str">
        <f>Oferta_Optima!N577</f>
        <v/>
      </c>
      <c r="O528" s="2259"/>
      <c r="P528" s="2259" t="str">
        <f>Oferta_Optima!P577</f>
        <v/>
      </c>
      <c r="Q528" s="2259"/>
      <c r="R528" s="2259" t="str">
        <f>Oferta_Optima!R577</f>
        <v/>
      </c>
      <c r="S528" s="2259"/>
      <c r="T528" s="1806" t="str">
        <f>Oferta_Optima!T577</f>
        <v/>
      </c>
      <c r="U528" s="1821">
        <f>Oferta_Optima!U577</f>
        <v>0</v>
      </c>
      <c r="V528" s="420"/>
    </row>
    <row r="529" spans="1:23" ht="29.1" customHeight="1">
      <c r="A529" s="420"/>
      <c r="B529" s="2272" t="str">
        <f>Oferta_Optima!B578</f>
        <v/>
      </c>
      <c r="C529" s="2259"/>
      <c r="D529" s="2259" t="str">
        <f>Oferta_Optima!D578</f>
        <v/>
      </c>
      <c r="E529" s="2259"/>
      <c r="F529" s="2259" t="str">
        <f>Oferta_Optima!F578</f>
        <v/>
      </c>
      <c r="G529" s="2259"/>
      <c r="H529" s="1806" t="str">
        <f>Oferta_Optima!H578</f>
        <v/>
      </c>
      <c r="I529" s="1806" t="str">
        <f>Oferta_Optima!I578</f>
        <v/>
      </c>
      <c r="J529" s="2259" t="str">
        <f>Oferta_Optima!J578</f>
        <v/>
      </c>
      <c r="K529" s="2259"/>
      <c r="L529" s="2259" t="str">
        <f>Oferta_Optima!L578</f>
        <v/>
      </c>
      <c r="M529" s="2259"/>
      <c r="N529" s="2259" t="str">
        <f>Oferta_Optima!N578</f>
        <v/>
      </c>
      <c r="O529" s="2259"/>
      <c r="P529" s="2259" t="str">
        <f>Oferta_Optima!P578</f>
        <v/>
      </c>
      <c r="Q529" s="2259"/>
      <c r="R529" s="2259" t="str">
        <f>Oferta_Optima!R578</f>
        <v/>
      </c>
      <c r="S529" s="2259"/>
      <c r="T529" s="1806" t="str">
        <f>Oferta_Optima!T578</f>
        <v/>
      </c>
      <c r="U529" s="1821">
        <f>Oferta_Optima!U578</f>
        <v>0</v>
      </c>
      <c r="V529" s="420"/>
    </row>
    <row r="530" spans="1:23" ht="29.1" customHeight="1">
      <c r="A530" s="420"/>
      <c r="B530" s="2272" t="str">
        <f>Oferta_Optima!B579</f>
        <v/>
      </c>
      <c r="C530" s="2259"/>
      <c r="D530" s="2259" t="str">
        <f>Oferta_Optima!D579</f>
        <v/>
      </c>
      <c r="E530" s="2259"/>
      <c r="F530" s="2259" t="str">
        <f>Oferta_Optima!F579</f>
        <v/>
      </c>
      <c r="G530" s="2259"/>
      <c r="H530" s="1806" t="str">
        <f>Oferta_Optima!H579</f>
        <v/>
      </c>
      <c r="I530" s="1806" t="str">
        <f>Oferta_Optima!I579</f>
        <v/>
      </c>
      <c r="J530" s="2259" t="str">
        <f>Oferta_Optima!J579</f>
        <v/>
      </c>
      <c r="K530" s="2259"/>
      <c r="L530" s="2259" t="str">
        <f>Oferta_Optima!L579</f>
        <v/>
      </c>
      <c r="M530" s="2259"/>
      <c r="N530" s="2259" t="str">
        <f>Oferta_Optima!N579</f>
        <v/>
      </c>
      <c r="O530" s="2259"/>
      <c r="P530" s="2259" t="str">
        <f>Oferta_Optima!P579</f>
        <v/>
      </c>
      <c r="Q530" s="2259"/>
      <c r="R530" s="2259" t="str">
        <f>Oferta_Optima!R579</f>
        <v/>
      </c>
      <c r="S530" s="2259"/>
      <c r="T530" s="1806" t="str">
        <f>Oferta_Optima!T579</f>
        <v/>
      </c>
      <c r="U530" s="1821">
        <f>Oferta_Optima!U579</f>
        <v>0</v>
      </c>
      <c r="V530" s="420"/>
    </row>
    <row r="531" spans="1:23" ht="29.1" customHeight="1">
      <c r="A531" s="420"/>
      <c r="B531" s="2272" t="str">
        <f>Oferta_Optima!B580</f>
        <v/>
      </c>
      <c r="C531" s="2259"/>
      <c r="D531" s="2259" t="str">
        <f>Oferta_Optima!D580</f>
        <v/>
      </c>
      <c r="E531" s="2259"/>
      <c r="F531" s="2259" t="str">
        <f>Oferta_Optima!F580</f>
        <v/>
      </c>
      <c r="G531" s="2259"/>
      <c r="H531" s="1806" t="str">
        <f>Oferta_Optima!H580</f>
        <v/>
      </c>
      <c r="I531" s="1806" t="str">
        <f>Oferta_Optima!I580</f>
        <v/>
      </c>
      <c r="J531" s="2259" t="str">
        <f>Oferta_Optima!J580</f>
        <v/>
      </c>
      <c r="K531" s="2259"/>
      <c r="L531" s="2259" t="str">
        <f>Oferta_Optima!L580</f>
        <v/>
      </c>
      <c r="M531" s="2259"/>
      <c r="N531" s="2259" t="str">
        <f>Oferta_Optima!N580</f>
        <v/>
      </c>
      <c r="O531" s="2259"/>
      <c r="P531" s="2259" t="str">
        <f>Oferta_Optima!P580</f>
        <v/>
      </c>
      <c r="Q531" s="2259"/>
      <c r="R531" s="2259" t="str">
        <f>Oferta_Optima!R580</f>
        <v/>
      </c>
      <c r="S531" s="2259"/>
      <c r="T531" s="1806" t="str">
        <f>Oferta_Optima!T580</f>
        <v/>
      </c>
      <c r="U531" s="1821">
        <f>Oferta_Optima!U580</f>
        <v>0</v>
      </c>
      <c r="V531" s="420"/>
    </row>
    <row r="532" spans="1:23" ht="29.1" customHeight="1">
      <c r="A532" s="441"/>
      <c r="B532" s="2272" t="str">
        <f>Oferta_Optima!B581</f>
        <v/>
      </c>
      <c r="C532" s="2259"/>
      <c r="D532" s="2259" t="str">
        <f>Oferta_Optima!D581</f>
        <v/>
      </c>
      <c r="E532" s="2259"/>
      <c r="F532" s="2259" t="str">
        <f>Oferta_Optima!F581</f>
        <v/>
      </c>
      <c r="G532" s="2259"/>
      <c r="H532" s="1806" t="str">
        <f>Oferta_Optima!H581</f>
        <v/>
      </c>
      <c r="I532" s="1806" t="str">
        <f>Oferta_Optima!I581</f>
        <v/>
      </c>
      <c r="J532" s="2259" t="str">
        <f>Oferta_Optima!J581</f>
        <v/>
      </c>
      <c r="K532" s="2259"/>
      <c r="L532" s="2259" t="str">
        <f>Oferta_Optima!L581</f>
        <v/>
      </c>
      <c r="M532" s="2259"/>
      <c r="N532" s="2259" t="str">
        <f>Oferta_Optima!N581</f>
        <v/>
      </c>
      <c r="O532" s="2259"/>
      <c r="P532" s="2259" t="str">
        <f>Oferta_Optima!P581</f>
        <v/>
      </c>
      <c r="Q532" s="2259"/>
      <c r="R532" s="2259" t="str">
        <f>Oferta_Optima!R581</f>
        <v/>
      </c>
      <c r="S532" s="2259"/>
      <c r="T532" s="1806" t="str">
        <f>Oferta_Optima!T581</f>
        <v/>
      </c>
      <c r="U532" s="1821">
        <f>Oferta_Optima!U581</f>
        <v>0</v>
      </c>
      <c r="V532" s="441"/>
    </row>
    <row r="533" spans="1:23" ht="29.1" customHeight="1">
      <c r="B533" s="2272" t="str">
        <f>Oferta_Optima!B582</f>
        <v/>
      </c>
      <c r="C533" s="2259"/>
      <c r="D533" s="2259" t="str">
        <f>Oferta_Optima!D582</f>
        <v/>
      </c>
      <c r="E533" s="2259"/>
      <c r="F533" s="2259" t="str">
        <f>Oferta_Optima!F582</f>
        <v/>
      </c>
      <c r="G533" s="2259"/>
      <c r="H533" s="1806" t="str">
        <f>Oferta_Optima!H582</f>
        <v/>
      </c>
      <c r="I533" s="1806" t="str">
        <f>Oferta_Optima!I582</f>
        <v/>
      </c>
      <c r="J533" s="2259" t="str">
        <f>Oferta_Optima!J582</f>
        <v/>
      </c>
      <c r="K533" s="2259"/>
      <c r="L533" s="2259" t="str">
        <f>Oferta_Optima!L582</f>
        <v/>
      </c>
      <c r="M533" s="2259"/>
      <c r="N533" s="2259" t="str">
        <f>Oferta_Optima!N582</f>
        <v/>
      </c>
      <c r="O533" s="2259"/>
      <c r="P533" s="2259" t="str">
        <f>Oferta_Optima!P582</f>
        <v/>
      </c>
      <c r="Q533" s="2259"/>
      <c r="R533" s="2259" t="str">
        <f>Oferta_Optima!R582</f>
        <v/>
      </c>
      <c r="S533" s="2259"/>
      <c r="T533" s="1806" t="str">
        <f>Oferta_Optima!T582</f>
        <v/>
      </c>
      <c r="U533" s="1821">
        <f>Oferta_Optima!U582</f>
        <v>0</v>
      </c>
      <c r="V533" s="441"/>
    </row>
    <row r="534" spans="1:23" ht="29.1" customHeight="1">
      <c r="B534" s="2272" t="str">
        <f>Oferta_Optima!B583</f>
        <v/>
      </c>
      <c r="C534" s="2259"/>
      <c r="D534" s="2259" t="str">
        <f>Oferta_Optima!D583</f>
        <v/>
      </c>
      <c r="E534" s="2259"/>
      <c r="F534" s="2259" t="str">
        <f>Oferta_Optima!F583</f>
        <v/>
      </c>
      <c r="G534" s="2259"/>
      <c r="H534" s="1806" t="str">
        <f>Oferta_Optima!H583</f>
        <v/>
      </c>
      <c r="I534" s="1806" t="str">
        <f>Oferta_Optima!I583</f>
        <v/>
      </c>
      <c r="J534" s="2259" t="str">
        <f>Oferta_Optima!J583</f>
        <v/>
      </c>
      <c r="K534" s="2259"/>
      <c r="L534" s="2259" t="str">
        <f>Oferta_Optima!L583</f>
        <v/>
      </c>
      <c r="M534" s="2259"/>
      <c r="N534" s="2259" t="str">
        <f>Oferta_Optima!N583</f>
        <v/>
      </c>
      <c r="O534" s="2259"/>
      <c r="P534" s="2259" t="str">
        <f>Oferta_Optima!P583</f>
        <v/>
      </c>
      <c r="Q534" s="2259"/>
      <c r="R534" s="2259" t="str">
        <f>Oferta_Optima!R583</f>
        <v/>
      </c>
      <c r="S534" s="2259"/>
      <c r="T534" s="1806" t="str">
        <f>Oferta_Optima!T583</f>
        <v/>
      </c>
      <c r="U534" s="1821">
        <f>Oferta_Optima!U583</f>
        <v>0</v>
      </c>
      <c r="V534" s="441"/>
    </row>
    <row r="535" spans="1:23" ht="29.1" customHeight="1">
      <c r="B535" s="2272" t="str">
        <f>Oferta_Optima!B584</f>
        <v/>
      </c>
      <c r="C535" s="2259"/>
      <c r="D535" s="2259" t="str">
        <f>Oferta_Optima!D584</f>
        <v/>
      </c>
      <c r="E535" s="2259"/>
      <c r="F535" s="2259" t="str">
        <f>Oferta_Optima!F584</f>
        <v/>
      </c>
      <c r="G535" s="2259"/>
      <c r="H535" s="1806" t="str">
        <f>Oferta_Optima!H584</f>
        <v/>
      </c>
      <c r="I535" s="1806" t="str">
        <f>Oferta_Optima!I584</f>
        <v/>
      </c>
      <c r="J535" s="2259" t="str">
        <f>Oferta_Optima!J584</f>
        <v/>
      </c>
      <c r="K535" s="2259"/>
      <c r="L535" s="2259" t="str">
        <f>Oferta_Optima!L584</f>
        <v/>
      </c>
      <c r="M535" s="2259"/>
      <c r="N535" s="2259" t="str">
        <f>Oferta_Optima!N584</f>
        <v/>
      </c>
      <c r="O535" s="2259"/>
      <c r="P535" s="2259" t="str">
        <f>Oferta_Optima!P584</f>
        <v/>
      </c>
      <c r="Q535" s="2259"/>
      <c r="R535" s="2259" t="str">
        <f>Oferta_Optima!R584</f>
        <v/>
      </c>
      <c r="S535" s="2259"/>
      <c r="T535" s="1806" t="str">
        <f>Oferta_Optima!T584</f>
        <v/>
      </c>
      <c r="U535" s="1821">
        <f>Oferta_Optima!U584</f>
        <v>0</v>
      </c>
      <c r="V535" s="441"/>
      <c r="W535" s="441"/>
    </row>
    <row r="536" spans="1:23" ht="12.75" customHeight="1">
      <c r="B536" s="808"/>
      <c r="C536" s="808"/>
      <c r="D536" s="808"/>
      <c r="E536" s="808"/>
      <c r="F536" s="808"/>
      <c r="G536" s="808"/>
      <c r="H536" s="808"/>
      <c r="I536" s="808"/>
      <c r="J536" s="808"/>
      <c r="K536" s="808"/>
      <c r="L536" s="808"/>
      <c r="M536" s="808"/>
      <c r="N536" s="1386"/>
      <c r="O536" s="1386"/>
      <c r="P536" s="1386"/>
      <c r="Q536" s="1386"/>
      <c r="R536" s="1386"/>
      <c r="S536" s="1386"/>
      <c r="T536" s="808"/>
      <c r="U536" s="1387"/>
      <c r="V536" s="441"/>
      <c r="W536" s="441"/>
    </row>
    <row r="537" spans="1:23" ht="29.1" customHeight="1">
      <c r="A537" s="420"/>
      <c r="B537" s="808"/>
      <c r="C537" s="808"/>
      <c r="D537" s="808"/>
      <c r="E537" s="808"/>
      <c r="F537" s="808"/>
      <c r="G537" s="808"/>
      <c r="H537" s="808"/>
      <c r="I537" s="808"/>
      <c r="J537" s="808"/>
      <c r="K537" s="808"/>
      <c r="L537" s="808"/>
      <c r="M537" s="808"/>
      <c r="N537" s="1386"/>
      <c r="O537" s="2466" t="str">
        <f>Oferta_Optima!O586</f>
        <v>Descuento por contratación de múltiples packs</v>
      </c>
      <c r="P537" s="2466"/>
      <c r="Q537" s="2466"/>
      <c r="R537" s="2466"/>
      <c r="S537" s="2466"/>
      <c r="T537" s="2466"/>
      <c r="U537" s="1388">
        <f>Oferta_Optima!U586</f>
        <v>0</v>
      </c>
      <c r="V537" s="1171"/>
      <c r="W537" s="441"/>
    </row>
    <row r="538" spans="1:23" ht="11.25" customHeight="1">
      <c r="A538" s="420"/>
      <c r="B538" s="1397"/>
      <c r="C538" s="1397"/>
      <c r="D538" s="1397"/>
      <c r="E538" s="1397"/>
      <c r="F538" s="1397"/>
      <c r="G538" s="1397"/>
      <c r="H538" s="1397"/>
      <c r="I538" s="1397"/>
      <c r="J538" s="1397"/>
      <c r="K538" s="1397"/>
      <c r="L538" s="1397"/>
      <c r="M538" s="1397"/>
      <c r="N538" s="475"/>
      <c r="O538" s="475"/>
      <c r="P538" s="1397"/>
      <c r="Q538" s="1179"/>
      <c r="V538" s="420"/>
    </row>
    <row r="539" spans="1:23" ht="23.25">
      <c r="A539" s="420"/>
      <c r="B539" s="1397"/>
      <c r="C539" s="1397"/>
      <c r="D539" s="1397"/>
      <c r="E539" s="1397"/>
      <c r="F539" s="1397"/>
      <c r="G539" s="1397"/>
      <c r="H539" s="1397"/>
      <c r="I539" s="1397"/>
      <c r="J539" s="1397"/>
      <c r="K539" s="1397"/>
      <c r="L539" s="1397"/>
      <c r="M539" s="1397"/>
      <c r="N539" s="1397"/>
      <c r="O539" s="629"/>
      <c r="S539" s="2262" t="s">
        <v>295</v>
      </c>
      <c r="T539" s="2263"/>
      <c r="U539" s="832">
        <f>Oferta_Optima!U588</f>
        <v>44.95</v>
      </c>
      <c r="V539" s="470"/>
    </row>
    <row r="540" spans="1:23" ht="16.149999999999999" customHeight="1">
      <c r="A540" s="420"/>
      <c r="B540" s="1397"/>
      <c r="C540" s="1397"/>
      <c r="D540" s="1397"/>
      <c r="E540" s="1397"/>
      <c r="F540" s="1397"/>
      <c r="G540" s="1397"/>
      <c r="H540" s="1397"/>
      <c r="I540" s="1397"/>
      <c r="J540" s="1397"/>
      <c r="K540" s="1397"/>
      <c r="L540" s="1397"/>
      <c r="M540" s="1397"/>
      <c r="N540" s="1397"/>
      <c r="O540" s="1397"/>
      <c r="P540" s="1397"/>
      <c r="Q540" s="1397"/>
      <c r="R540" s="1397"/>
      <c r="S540" s="1397"/>
      <c r="T540" s="1397"/>
      <c r="U540" s="1397"/>
      <c r="V540" s="420"/>
    </row>
    <row r="541" spans="1:23" ht="15.75">
      <c r="A541" s="420"/>
      <c r="B541" s="420"/>
      <c r="C541" s="420"/>
      <c r="D541" s="420"/>
      <c r="E541" s="420"/>
      <c r="F541" s="420"/>
      <c r="G541" s="420"/>
      <c r="H541" s="420"/>
      <c r="I541" s="420"/>
      <c r="J541" s="420"/>
      <c r="K541" s="420"/>
      <c r="L541" s="420"/>
      <c r="M541" s="476" t="s">
        <v>1152</v>
      </c>
      <c r="N541" s="420"/>
      <c r="O541" s="420"/>
      <c r="P541" s="420"/>
      <c r="Q541" s="420"/>
      <c r="R541" s="477" t="s">
        <v>692</v>
      </c>
      <c r="S541" s="478" t="str">
        <f>$E$29</f>
        <v>ILF5_90FCPRCP_B114CAGR43006</v>
      </c>
      <c r="T541" s="420"/>
      <c r="U541" s="420"/>
      <c r="V541" s="420"/>
    </row>
    <row r="542" spans="1:23">
      <c r="A542" s="420"/>
      <c r="B542" s="420"/>
      <c r="C542" s="420"/>
      <c r="D542" s="420"/>
      <c r="E542" s="420"/>
      <c r="F542" s="420"/>
      <c r="G542" s="420"/>
      <c r="H542" s="420"/>
      <c r="I542" s="420"/>
      <c r="J542" s="420"/>
      <c r="K542" s="420"/>
      <c r="L542" s="420"/>
      <c r="M542" s="420"/>
      <c r="N542" s="420"/>
      <c r="O542" s="420"/>
      <c r="P542" s="420"/>
      <c r="Q542" s="420"/>
      <c r="R542" s="420"/>
      <c r="S542" s="420"/>
      <c r="T542" s="420"/>
      <c r="U542" s="420"/>
      <c r="V542" s="420"/>
    </row>
    <row r="543" spans="1:23">
      <c r="A543" s="420"/>
      <c r="B543" s="420"/>
      <c r="C543" s="420"/>
      <c r="D543" s="420"/>
      <c r="E543" s="420"/>
      <c r="F543" s="420"/>
      <c r="G543" s="420"/>
      <c r="H543" s="436" t="s">
        <v>691</v>
      </c>
      <c r="I543" s="420"/>
      <c r="K543" s="420"/>
      <c r="L543" s="437" t="str">
        <f>$B$11</f>
        <v>INMOBILIARIA SERVIGESTION</v>
      </c>
      <c r="M543" s="420"/>
      <c r="N543" s="420"/>
      <c r="O543" s="420"/>
      <c r="P543" s="420"/>
      <c r="Q543" s="420"/>
      <c r="R543" s="420"/>
      <c r="S543" s="420"/>
      <c r="T543" s="420"/>
      <c r="U543" s="420"/>
      <c r="V543" s="420"/>
    </row>
    <row r="544" spans="1:23" ht="34.5">
      <c r="A544" s="420"/>
      <c r="B544" s="2268" t="s">
        <v>461</v>
      </c>
      <c r="C544" s="2268"/>
      <c r="D544" s="2268"/>
      <c r="E544" s="2268"/>
      <c r="F544" s="2268"/>
      <c r="G544" s="2268"/>
      <c r="H544" s="2268"/>
      <c r="I544" s="2268"/>
      <c r="J544" s="2268"/>
      <c r="K544" s="2268"/>
      <c r="L544" s="2268"/>
      <c r="M544" s="2268"/>
      <c r="N544" s="2268"/>
      <c r="O544" s="2268"/>
      <c r="P544" s="2268"/>
      <c r="Q544" s="2268"/>
      <c r="R544" s="2268"/>
      <c r="S544" s="2268"/>
      <c r="T544" s="2268"/>
      <c r="U544" s="2268"/>
      <c r="V544" s="420"/>
    </row>
    <row r="545" spans="1:22" ht="22.9" customHeight="1">
      <c r="A545" s="420"/>
      <c r="B545" s="2269" t="s">
        <v>1114</v>
      </c>
      <c r="C545" s="2269"/>
      <c r="D545" s="2269"/>
      <c r="E545" s="2269"/>
      <c r="F545" s="2269"/>
      <c r="G545" s="2269"/>
      <c r="H545" s="2269"/>
      <c r="I545" s="2269"/>
      <c r="J545" s="2269"/>
      <c r="K545" s="2269"/>
      <c r="L545" s="2269"/>
      <c r="M545" s="2269"/>
      <c r="N545" s="2269"/>
      <c r="O545" s="2269"/>
      <c r="P545" s="2269"/>
      <c r="Q545" s="2269"/>
      <c r="R545" s="2269"/>
      <c r="S545" s="2269"/>
      <c r="T545" s="2269"/>
      <c r="U545" s="2269"/>
      <c r="V545" s="420"/>
    </row>
    <row r="546" spans="1:22" ht="16.149999999999999" customHeight="1">
      <c r="A546" s="420"/>
      <c r="B546" s="1397"/>
      <c r="C546" s="1397"/>
      <c r="D546" s="1397"/>
      <c r="E546" s="1397"/>
      <c r="F546" s="1397"/>
      <c r="G546" s="1397"/>
      <c r="H546" s="1397"/>
      <c r="I546" s="1397"/>
      <c r="J546" s="1397"/>
      <c r="K546" s="1397"/>
      <c r="L546" s="1397"/>
      <c r="M546" s="1397"/>
      <c r="N546" s="1397"/>
      <c r="O546" s="1397"/>
      <c r="Q546" s="1397"/>
      <c r="R546" s="1397"/>
      <c r="S546" s="1397"/>
      <c r="T546" s="1397"/>
      <c r="U546" s="1397"/>
      <c r="V546" s="420"/>
    </row>
    <row r="547" spans="1:22" ht="18.399999999999999" customHeight="1">
      <c r="A547" s="429"/>
      <c r="B547" s="2251"/>
      <c r="C547" s="2251"/>
      <c r="D547" s="2251"/>
      <c r="E547" s="2251"/>
      <c r="F547" s="2251"/>
      <c r="G547" s="2251"/>
      <c r="H547" s="2251"/>
      <c r="I547" s="2251"/>
      <c r="J547" s="2251"/>
      <c r="K547" s="2251"/>
      <c r="L547" s="2251"/>
      <c r="M547" s="2251"/>
      <c r="N547" s="2251"/>
      <c r="O547" s="2251"/>
      <c r="P547" s="2251"/>
      <c r="Q547" s="2251"/>
      <c r="R547" s="2251"/>
      <c r="S547" s="2251"/>
      <c r="T547" s="2251"/>
      <c r="U547" s="2251"/>
      <c r="V547" s="429"/>
    </row>
    <row r="548" spans="1:22" ht="28.9" customHeight="1">
      <c r="A548" s="420"/>
      <c r="B548" s="2252" t="s">
        <v>1218</v>
      </c>
      <c r="C548" s="2252"/>
      <c r="D548" s="2252"/>
      <c r="E548" s="2252"/>
      <c r="F548" s="2252"/>
      <c r="G548" s="2252"/>
      <c r="H548" s="2252"/>
      <c r="I548" s="2252"/>
      <c r="J548" s="2252"/>
      <c r="K548" s="2252"/>
      <c r="L548" s="1396"/>
      <c r="M548" s="1396"/>
      <c r="N548" s="1396"/>
      <c r="O548" s="1396"/>
      <c r="P548" s="1396"/>
      <c r="Q548" s="1396"/>
      <c r="R548" s="1396"/>
      <c r="S548" s="1396"/>
      <c r="T548" s="1396"/>
      <c r="U548" s="1396"/>
      <c r="V548" s="420"/>
    </row>
    <row r="549" spans="1:22" ht="40.5" customHeight="1">
      <c r="A549" s="420"/>
      <c r="B549" s="2251" t="s">
        <v>1376</v>
      </c>
      <c r="C549" s="2251"/>
      <c r="D549" s="2251"/>
      <c r="E549" s="2251"/>
      <c r="F549" s="2251"/>
      <c r="G549" s="2251"/>
      <c r="H549" s="2251"/>
      <c r="I549" s="2251"/>
      <c r="J549" s="2251"/>
      <c r="K549" s="2251"/>
      <c r="L549" s="2251"/>
      <c r="M549" s="2251"/>
      <c r="N549" s="2251"/>
      <c r="O549" s="2251"/>
      <c r="P549" s="2251"/>
      <c r="Q549" s="2251"/>
      <c r="R549" s="2251"/>
      <c r="S549" s="2251"/>
      <c r="T549" s="2251"/>
      <c r="U549" s="2251"/>
      <c r="V549" s="420"/>
    </row>
    <row r="550" spans="1:22" ht="13.5" customHeight="1">
      <c r="A550" s="420"/>
      <c r="B550" s="1396"/>
      <c r="C550" s="1396"/>
      <c r="D550" s="1396"/>
      <c r="E550" s="1396"/>
      <c r="F550" s="1396"/>
      <c r="G550" s="1396"/>
      <c r="H550" s="1396"/>
      <c r="I550" s="1396"/>
      <c r="J550" s="1396"/>
      <c r="K550" s="1396"/>
      <c r="L550" s="1396"/>
      <c r="M550" s="1396"/>
      <c r="N550" s="1396"/>
      <c r="O550" s="1396"/>
      <c r="P550" s="1396"/>
      <c r="Q550" s="1396"/>
      <c r="R550" s="1396"/>
      <c r="S550" s="1396"/>
      <c r="T550" s="1396"/>
      <c r="U550" s="1396"/>
      <c r="V550" s="420"/>
    </row>
    <row r="551" spans="1:22" ht="28.9" customHeight="1">
      <c r="A551" s="420"/>
      <c r="B551" s="2251" t="s">
        <v>1219</v>
      </c>
      <c r="C551" s="2251"/>
      <c r="D551" s="2251"/>
      <c r="E551" s="2251"/>
      <c r="F551" s="2251"/>
      <c r="G551" s="2251"/>
      <c r="H551" s="2251"/>
      <c r="I551" s="2251"/>
      <c r="J551" s="2251"/>
      <c r="K551" s="2251"/>
      <c r="L551" s="2251"/>
      <c r="M551" s="2251"/>
      <c r="N551" s="2251"/>
      <c r="O551" s="2251"/>
      <c r="P551" s="2251"/>
      <c r="Q551" s="2251"/>
      <c r="R551" s="2251"/>
      <c r="S551" s="2251"/>
      <c r="T551" s="2251"/>
      <c r="U551" s="2251"/>
      <c r="V551" s="420"/>
    </row>
    <row r="552" spans="1:22" ht="28.9" customHeight="1">
      <c r="A552" s="420"/>
      <c r="B552" s="2251" t="s">
        <v>1223</v>
      </c>
      <c r="C552" s="2251"/>
      <c r="D552" s="2251"/>
      <c r="E552" s="2251"/>
      <c r="F552" s="2251"/>
      <c r="G552" s="2251"/>
      <c r="H552" s="2251"/>
      <c r="I552" s="2251"/>
      <c r="J552" s="2251"/>
      <c r="K552" s="2251"/>
      <c r="L552" s="2251"/>
      <c r="M552" s="2251"/>
      <c r="N552" s="2251"/>
      <c r="O552" s="2251"/>
      <c r="P552" s="2251"/>
      <c r="Q552" s="2251"/>
      <c r="R552" s="2251"/>
      <c r="S552" s="2251"/>
      <c r="T552" s="2251"/>
      <c r="U552" s="2251"/>
      <c r="V552" s="420"/>
    </row>
    <row r="553" spans="1:22" ht="28.9" customHeight="1">
      <c r="A553" s="420"/>
      <c r="B553" s="2251" t="s">
        <v>1377</v>
      </c>
      <c r="C553" s="2251"/>
      <c r="D553" s="2251"/>
      <c r="E553" s="2251"/>
      <c r="F553" s="2251"/>
      <c r="G553" s="2251"/>
      <c r="H553" s="2251"/>
      <c r="I553" s="2251"/>
      <c r="J553" s="2251"/>
      <c r="K553" s="2251"/>
      <c r="L553" s="2251"/>
      <c r="M553" s="2251"/>
      <c r="N553" s="2251"/>
      <c r="O553" s="2251"/>
      <c r="P553" s="2251"/>
      <c r="Q553" s="2251"/>
      <c r="R553" s="2251"/>
      <c r="S553" s="2251"/>
      <c r="T553" s="2251"/>
      <c r="U553" s="2251"/>
      <c r="V553" s="420"/>
    </row>
    <row r="554" spans="1:22" ht="45" customHeight="1">
      <c r="A554" s="420"/>
      <c r="B554" s="2251" t="s">
        <v>1034</v>
      </c>
      <c r="C554" s="2251"/>
      <c r="D554" s="2251"/>
      <c r="E554" s="2251"/>
      <c r="F554" s="2251"/>
      <c r="G554" s="2251"/>
      <c r="H554" s="2251"/>
      <c r="I554" s="2251"/>
      <c r="J554" s="2251"/>
      <c r="K554" s="2251"/>
      <c r="L554" s="2251"/>
      <c r="M554" s="2251"/>
      <c r="N554" s="2251"/>
      <c r="O554" s="2251"/>
      <c r="P554" s="2251"/>
      <c r="Q554" s="2251"/>
      <c r="R554" s="2251"/>
      <c r="S554" s="2251"/>
      <c r="T554" s="2251"/>
      <c r="U554" s="2251"/>
      <c r="V554" s="420"/>
    </row>
    <row r="555" spans="1:22" ht="28.9" customHeight="1">
      <c r="A555" s="420"/>
      <c r="B555" s="2451" t="s">
        <v>1378</v>
      </c>
      <c r="C555" s="2451"/>
      <c r="D555" s="2451"/>
      <c r="E555" s="2451"/>
      <c r="F555" s="2451"/>
      <c r="G555" s="2451"/>
      <c r="H555" s="2451"/>
      <c r="I555" s="2451"/>
      <c r="J555" s="2451"/>
      <c r="V555" s="420"/>
    </row>
    <row r="556" spans="1:22" ht="37.5" customHeight="1">
      <c r="A556" s="420"/>
      <c r="B556" s="2451" t="s">
        <v>1035</v>
      </c>
      <c r="C556" s="2451"/>
      <c r="D556" s="2451"/>
      <c r="E556" s="2451"/>
      <c r="F556" s="2451"/>
      <c r="G556" s="2451"/>
      <c r="H556" s="2451"/>
      <c r="I556" s="2451"/>
      <c r="J556" s="2451"/>
      <c r="V556" s="420"/>
    </row>
    <row r="557" spans="1:22" ht="28.9" customHeight="1">
      <c r="A557" s="420"/>
      <c r="B557" s="2251" t="s">
        <v>1379</v>
      </c>
      <c r="C557" s="2251"/>
      <c r="D557" s="2251"/>
      <c r="E557" s="2251"/>
      <c r="F557" s="2251"/>
      <c r="G557" s="2251"/>
      <c r="H557" s="2251"/>
      <c r="I557" s="2251"/>
      <c r="J557" s="2251"/>
      <c r="K557" s="2251"/>
      <c r="L557" s="2251"/>
      <c r="M557" s="2251"/>
      <c r="N557" s="2251"/>
      <c r="O557" s="2251"/>
      <c r="P557" s="2251"/>
      <c r="Q557" s="2251"/>
      <c r="R557" s="2251"/>
      <c r="S557" s="2251"/>
      <c r="T557" s="2251"/>
      <c r="U557" s="2251"/>
      <c r="V557" s="420"/>
    </row>
    <row r="558" spans="1:22" ht="48" customHeight="1">
      <c r="A558" s="420"/>
      <c r="B558" s="2251" t="s">
        <v>1221</v>
      </c>
      <c r="C558" s="2251"/>
      <c r="D558" s="2251"/>
      <c r="E558" s="2251"/>
      <c r="F558" s="2251"/>
      <c r="G558" s="2251"/>
      <c r="H558" s="2251"/>
      <c r="I558" s="2251"/>
      <c r="J558" s="2251"/>
      <c r="K558" s="2251"/>
      <c r="L558" s="2251"/>
      <c r="M558" s="2251"/>
      <c r="N558" s="2251"/>
      <c r="O558" s="2251"/>
      <c r="P558" s="2251"/>
      <c r="Q558" s="2251"/>
      <c r="R558" s="2251"/>
      <c r="S558" s="2251"/>
      <c r="T558" s="2251"/>
      <c r="U558" s="2251"/>
      <c r="V558" s="420"/>
    </row>
    <row r="559" spans="1:22" ht="31.5" customHeight="1">
      <c r="A559" s="420"/>
      <c r="B559" s="1397"/>
      <c r="C559" s="1397"/>
      <c r="D559" s="2563" t="s">
        <v>1371</v>
      </c>
      <c r="E559" s="2564"/>
      <c r="F559" s="2564"/>
      <c r="G559" s="2564"/>
      <c r="H559" s="2565"/>
      <c r="I559" s="2563" t="s">
        <v>1372</v>
      </c>
      <c r="J559" s="2564"/>
      <c r="K559" s="2564"/>
      <c r="L559" s="2565"/>
      <c r="M559" s="2563" t="s">
        <v>1346</v>
      </c>
      <c r="N559" s="2564"/>
      <c r="O559" s="2564"/>
      <c r="P559" s="2564"/>
      <c r="Q559" s="2564"/>
      <c r="R559" s="2564"/>
      <c r="S559" s="2564"/>
      <c r="T559" s="2565"/>
      <c r="U559" s="1397"/>
      <c r="V559" s="420"/>
    </row>
    <row r="560" spans="1:22" ht="60.6" customHeight="1">
      <c r="A560" s="441"/>
      <c r="B560" s="1389" t="str">
        <f>Oferta_Optima!B609</f>
        <v>Sede</v>
      </c>
      <c r="C560" s="1395" t="str">
        <f>Oferta_Optima!C609</f>
        <v>Pack Conecta Pymes</v>
      </c>
      <c r="D560" s="1398" t="str">
        <f>Oferta_Optima!D609</f>
        <v>TP Fijo
3000 minutos</v>
      </c>
      <c r="E560" s="1395" t="str">
        <f>Oferta_Optima!E609</f>
        <v>TP Fijo
4500 minutos</v>
      </c>
      <c r="F560" s="1398" t="str">
        <f>Oferta_Optima!F609</f>
        <v>TP Fijo
6000 minutos</v>
      </c>
      <c r="G560" s="1395" t="str">
        <f>Oferta_Optima!G609</f>
        <v>Bono Fijo- Móvil
240 minutos</v>
      </c>
      <c r="H560" s="1398" t="str">
        <f>Oferta_Optima!H609</f>
        <v>Bono Fijo- Móvil
600 minutos</v>
      </c>
      <c r="I560" s="1395" t="str">
        <f>Oferta_Optima!I609</f>
        <v>Locución de bienvenida</v>
      </c>
      <c r="J560" s="1398" t="str">
        <f>Oferta_Optima!J609</f>
        <v>SVA</v>
      </c>
      <c r="K560" s="1395" t="str">
        <f>Oferta_Optima!K609</f>
        <v>Opción Premium</v>
      </c>
      <c r="L560" s="1398" t="str">
        <f>Oferta_Optima!L609</f>
        <v>Línea para datáfono / alarma</v>
      </c>
      <c r="M560" s="1395" t="str">
        <f>Oferta_Optima!M609</f>
        <v>Avanzado 
Yealink (T24G)</v>
      </c>
      <c r="N560" s="1395" t="str">
        <f>Oferta_Optima!N609</f>
        <v>Avanzado 
Cisco (SPA 525)</v>
      </c>
      <c r="O560" s="1395" t="str">
        <f>Oferta_Optima!O609</f>
        <v>Básico 
Yealink (T21P)</v>
      </c>
      <c r="P560" s="1395" t="str">
        <f>Oferta_Optima!P609</f>
        <v>Básico 
Cisco (SPA 502)</v>
      </c>
      <c r="Q560" s="1395" t="str">
        <f>Oferta_Optima!Q609</f>
        <v>Inalámbrico Panasonic</v>
      </c>
      <c r="R560" s="1395" t="str">
        <f>Oferta_Optima!R609</f>
        <v>Fax 
(CISCO SPA 122 o Puerto Fritz!Box)</v>
      </c>
      <c r="S560" s="1395" t="str">
        <f>Oferta_Optima!S609</f>
        <v>Fax2Mail</v>
      </c>
      <c r="T560" s="1395" t="str">
        <f>Oferta_Optima!T609</f>
        <v>Puesto Móvil</v>
      </c>
      <c r="U560" s="1400" t="str">
        <f>Oferta_Optima!U609</f>
        <v>Total cuotas</v>
      </c>
      <c r="V560" s="466"/>
    </row>
    <row r="561" spans="1:23" ht="49.9" customHeight="1">
      <c r="B561" s="1392" t="str">
        <f>Oferta_Optima!B610</f>
        <v/>
      </c>
      <c r="C561" s="1393" t="str">
        <f>Oferta_Optima!C610</f>
        <v/>
      </c>
      <c r="D561" s="1393" t="str">
        <f>Oferta_Optima!D610</f>
        <v/>
      </c>
      <c r="E561" s="1393" t="str">
        <f>Oferta_Optima!E610</f>
        <v/>
      </c>
      <c r="F561" s="1393" t="str">
        <f>Oferta_Optima!F610</f>
        <v/>
      </c>
      <c r="G561" s="1394" t="str">
        <f>Oferta_Optima!G610</f>
        <v/>
      </c>
      <c r="H561" s="1394" t="str">
        <f>Oferta_Optima!H610</f>
        <v/>
      </c>
      <c r="I561" s="1394" t="str">
        <f>Oferta_Optima!I610</f>
        <v/>
      </c>
      <c r="J561" s="1393" t="str">
        <f>Oferta_Optima!J610</f>
        <v/>
      </c>
      <c r="K561" s="1393" t="str">
        <f>Oferta_Optima!K610</f>
        <v/>
      </c>
      <c r="L561" s="1393" t="str">
        <f>Oferta_Optima!L610</f>
        <v/>
      </c>
      <c r="M561" s="1393" t="str">
        <f>Oferta_Optima!M610</f>
        <v/>
      </c>
      <c r="N561" s="1393" t="str">
        <f>Oferta_Optima!N610</f>
        <v/>
      </c>
      <c r="O561" s="1393" t="str">
        <f>Oferta_Optima!O610</f>
        <v/>
      </c>
      <c r="P561" s="1393" t="str">
        <f>Oferta_Optima!P610</f>
        <v/>
      </c>
      <c r="Q561" s="1393" t="str">
        <f>Oferta_Optima!Q610</f>
        <v/>
      </c>
      <c r="R561" s="1393" t="str">
        <f>Oferta_Optima!R610</f>
        <v/>
      </c>
      <c r="S561" s="1393" t="str">
        <f>Oferta_Optima!S610</f>
        <v/>
      </c>
      <c r="T561" s="1393" t="str">
        <f>Oferta_Optima!T610</f>
        <v/>
      </c>
      <c r="U561" s="1399">
        <f>Oferta_Optima!U610</f>
        <v>0</v>
      </c>
      <c r="V561" s="441"/>
    </row>
    <row r="562" spans="1:23" ht="49.9" customHeight="1">
      <c r="B562" s="1392" t="str">
        <f>Oferta_Optima!B611</f>
        <v/>
      </c>
      <c r="C562" s="1393" t="str">
        <f>Oferta_Optima!C611</f>
        <v/>
      </c>
      <c r="D562" s="1393" t="str">
        <f>Oferta_Optima!D611</f>
        <v/>
      </c>
      <c r="E562" s="1393" t="str">
        <f>Oferta_Optima!E611</f>
        <v/>
      </c>
      <c r="F562" s="1393" t="str">
        <f>Oferta_Optima!F611</f>
        <v/>
      </c>
      <c r="G562" s="1394" t="str">
        <f>Oferta_Optima!G611</f>
        <v/>
      </c>
      <c r="H562" s="1394" t="str">
        <f>Oferta_Optima!H611</f>
        <v/>
      </c>
      <c r="I562" s="1394" t="str">
        <f>Oferta_Optima!I611</f>
        <v/>
      </c>
      <c r="J562" s="1393" t="str">
        <f>Oferta_Optima!J611</f>
        <v/>
      </c>
      <c r="K562" s="1393" t="str">
        <f>Oferta_Optima!K611</f>
        <v/>
      </c>
      <c r="L562" s="1393" t="str">
        <f>Oferta_Optima!L611</f>
        <v/>
      </c>
      <c r="M562" s="1393" t="str">
        <f>Oferta_Optima!M611</f>
        <v/>
      </c>
      <c r="N562" s="1393" t="str">
        <f>Oferta_Optima!N611</f>
        <v/>
      </c>
      <c r="O562" s="1393" t="str">
        <f>Oferta_Optima!O611</f>
        <v/>
      </c>
      <c r="P562" s="1393" t="str">
        <f>Oferta_Optima!P611</f>
        <v/>
      </c>
      <c r="Q562" s="1393" t="str">
        <f>Oferta_Optima!Q611</f>
        <v/>
      </c>
      <c r="R562" s="1393" t="str">
        <f>Oferta_Optima!R611</f>
        <v/>
      </c>
      <c r="S562" s="1393" t="str">
        <f>Oferta_Optima!S611</f>
        <v/>
      </c>
      <c r="T562" s="1393" t="str">
        <f>Oferta_Optima!T611</f>
        <v/>
      </c>
      <c r="U562" s="1399">
        <f>Oferta_Optima!U611</f>
        <v>0</v>
      </c>
      <c r="V562" s="466"/>
      <c r="W562" s="441"/>
    </row>
    <row r="563" spans="1:23" ht="49.9" customHeight="1">
      <c r="B563" s="1392" t="str">
        <f>Oferta_Optima!B612</f>
        <v/>
      </c>
      <c r="C563" s="1393" t="str">
        <f>Oferta_Optima!C612</f>
        <v/>
      </c>
      <c r="D563" s="1393" t="str">
        <f>Oferta_Optima!D612</f>
        <v/>
      </c>
      <c r="E563" s="1393" t="str">
        <f>Oferta_Optima!E612</f>
        <v/>
      </c>
      <c r="F563" s="1393" t="str">
        <f>Oferta_Optima!F612</f>
        <v/>
      </c>
      <c r="G563" s="1394" t="str">
        <f>Oferta_Optima!G612</f>
        <v/>
      </c>
      <c r="H563" s="1394" t="str">
        <f>Oferta_Optima!H612</f>
        <v/>
      </c>
      <c r="I563" s="1394" t="str">
        <f>Oferta_Optima!I612</f>
        <v/>
      </c>
      <c r="J563" s="1393" t="str">
        <f>Oferta_Optima!J612</f>
        <v/>
      </c>
      <c r="K563" s="1393" t="str">
        <f>Oferta_Optima!K612</f>
        <v/>
      </c>
      <c r="L563" s="1393" t="str">
        <f>Oferta_Optima!L612</f>
        <v/>
      </c>
      <c r="M563" s="1393" t="str">
        <f>Oferta_Optima!M612</f>
        <v/>
      </c>
      <c r="N563" s="1393" t="str">
        <f>Oferta_Optima!N612</f>
        <v/>
      </c>
      <c r="O563" s="1393" t="str">
        <f>Oferta_Optima!O612</f>
        <v/>
      </c>
      <c r="P563" s="1393" t="str">
        <f>Oferta_Optima!P612</f>
        <v/>
      </c>
      <c r="Q563" s="1393" t="str">
        <f>Oferta_Optima!Q612</f>
        <v/>
      </c>
      <c r="R563" s="1393" t="str">
        <f>Oferta_Optima!R612</f>
        <v/>
      </c>
      <c r="S563" s="1393" t="str">
        <f>Oferta_Optima!S612</f>
        <v/>
      </c>
      <c r="T563" s="1393" t="str">
        <f>Oferta_Optima!T612</f>
        <v/>
      </c>
      <c r="U563" s="1399">
        <f>Oferta_Optima!U612</f>
        <v>0</v>
      </c>
      <c r="V563" s="466"/>
      <c r="W563" s="441"/>
    </row>
    <row r="564" spans="1:23" ht="49.9" customHeight="1">
      <c r="B564" s="1392" t="str">
        <f>Oferta_Optima!B613</f>
        <v/>
      </c>
      <c r="C564" s="1393" t="str">
        <f>Oferta_Optima!C613</f>
        <v/>
      </c>
      <c r="D564" s="1393" t="str">
        <f>Oferta_Optima!D613</f>
        <v/>
      </c>
      <c r="E564" s="1393" t="str">
        <f>Oferta_Optima!E613</f>
        <v/>
      </c>
      <c r="F564" s="1393" t="str">
        <f>Oferta_Optima!F613</f>
        <v/>
      </c>
      <c r="G564" s="1394" t="str">
        <f>Oferta_Optima!G613</f>
        <v/>
      </c>
      <c r="H564" s="1394" t="str">
        <f>Oferta_Optima!H613</f>
        <v/>
      </c>
      <c r="I564" s="1394" t="str">
        <f>Oferta_Optima!I613</f>
        <v/>
      </c>
      <c r="J564" s="1393" t="str">
        <f>Oferta_Optima!J613</f>
        <v/>
      </c>
      <c r="K564" s="1393" t="str">
        <f>Oferta_Optima!K613</f>
        <v/>
      </c>
      <c r="L564" s="1393" t="str">
        <f>Oferta_Optima!L613</f>
        <v/>
      </c>
      <c r="M564" s="1393" t="str">
        <f>Oferta_Optima!M613</f>
        <v/>
      </c>
      <c r="N564" s="1393" t="str">
        <f>Oferta_Optima!N613</f>
        <v/>
      </c>
      <c r="O564" s="1393" t="str">
        <f>Oferta_Optima!O613</f>
        <v/>
      </c>
      <c r="P564" s="1393" t="str">
        <f>Oferta_Optima!P613</f>
        <v/>
      </c>
      <c r="Q564" s="1393" t="str">
        <f>Oferta_Optima!Q613</f>
        <v/>
      </c>
      <c r="R564" s="1393" t="str">
        <f>Oferta_Optima!R613</f>
        <v/>
      </c>
      <c r="S564" s="1393" t="str">
        <f>Oferta_Optima!S613</f>
        <v/>
      </c>
      <c r="T564" s="1393" t="str">
        <f>Oferta_Optima!T613</f>
        <v/>
      </c>
      <c r="U564" s="1399">
        <f>Oferta_Optima!U613</f>
        <v>0</v>
      </c>
      <c r="V564" s="466"/>
      <c r="W564" s="441"/>
    </row>
    <row r="565" spans="1:23" ht="50.45" customHeight="1">
      <c r="A565" s="420"/>
      <c r="B565" s="1392" t="str">
        <f>Oferta_Optima!B614</f>
        <v/>
      </c>
      <c r="C565" s="1393" t="str">
        <f>Oferta_Optima!C614</f>
        <v/>
      </c>
      <c r="D565" s="1393" t="str">
        <f>Oferta_Optima!D614</f>
        <v/>
      </c>
      <c r="E565" s="1393" t="str">
        <f>Oferta_Optima!E614</f>
        <v/>
      </c>
      <c r="F565" s="1393" t="str">
        <f>Oferta_Optima!F614</f>
        <v/>
      </c>
      <c r="G565" s="1394" t="str">
        <f>Oferta_Optima!G614</f>
        <v/>
      </c>
      <c r="H565" s="1394" t="str">
        <f>Oferta_Optima!H614</f>
        <v/>
      </c>
      <c r="I565" s="1394" t="str">
        <f>Oferta_Optima!I614</f>
        <v/>
      </c>
      <c r="J565" s="1393" t="str">
        <f>Oferta_Optima!J614</f>
        <v/>
      </c>
      <c r="K565" s="1393" t="str">
        <f>Oferta_Optima!K614</f>
        <v/>
      </c>
      <c r="L565" s="1393" t="str">
        <f>Oferta_Optima!L614</f>
        <v/>
      </c>
      <c r="M565" s="1393" t="str">
        <f>Oferta_Optima!M614</f>
        <v/>
      </c>
      <c r="N565" s="1393" t="str">
        <f>Oferta_Optima!N614</f>
        <v/>
      </c>
      <c r="O565" s="1393" t="str">
        <f>Oferta_Optima!O614</f>
        <v/>
      </c>
      <c r="P565" s="1393" t="str">
        <f>Oferta_Optima!P614</f>
        <v/>
      </c>
      <c r="Q565" s="1393" t="str">
        <f>Oferta_Optima!Q614</f>
        <v/>
      </c>
      <c r="R565" s="1393" t="str">
        <f>Oferta_Optima!R614</f>
        <v/>
      </c>
      <c r="S565" s="1393" t="str">
        <f>Oferta_Optima!S614</f>
        <v/>
      </c>
      <c r="T565" s="1393" t="str">
        <f>Oferta_Optima!T614</f>
        <v/>
      </c>
      <c r="U565" s="1399">
        <f>Oferta_Optima!U614</f>
        <v>0</v>
      </c>
      <c r="V565" s="729"/>
      <c r="W565" s="441"/>
    </row>
    <row r="566" spans="1:23" ht="50.45" customHeight="1">
      <c r="A566" s="420"/>
      <c r="B566" s="1392" t="str">
        <f>Oferta_Optima!B615</f>
        <v/>
      </c>
      <c r="C566" s="1393" t="str">
        <f>Oferta_Optima!C615</f>
        <v/>
      </c>
      <c r="D566" s="1393" t="str">
        <f>Oferta_Optima!D615</f>
        <v/>
      </c>
      <c r="E566" s="1393" t="str">
        <f>Oferta_Optima!E615</f>
        <v/>
      </c>
      <c r="F566" s="1393" t="str">
        <f>Oferta_Optima!F615</f>
        <v/>
      </c>
      <c r="G566" s="1394" t="str">
        <f>Oferta_Optima!G615</f>
        <v/>
      </c>
      <c r="H566" s="1394" t="str">
        <f>Oferta_Optima!H615</f>
        <v/>
      </c>
      <c r="I566" s="1394" t="str">
        <f>Oferta_Optima!I615</f>
        <v/>
      </c>
      <c r="J566" s="1393" t="str">
        <f>Oferta_Optima!J615</f>
        <v/>
      </c>
      <c r="K566" s="1393" t="str">
        <f>Oferta_Optima!K615</f>
        <v/>
      </c>
      <c r="L566" s="1393" t="str">
        <f>Oferta_Optima!L615</f>
        <v/>
      </c>
      <c r="M566" s="1393" t="str">
        <f>Oferta_Optima!M615</f>
        <v/>
      </c>
      <c r="N566" s="1393" t="str">
        <f>Oferta_Optima!N615</f>
        <v/>
      </c>
      <c r="O566" s="1393" t="str">
        <f>Oferta_Optima!O615</f>
        <v/>
      </c>
      <c r="P566" s="1393" t="str">
        <f>Oferta_Optima!P615</f>
        <v/>
      </c>
      <c r="Q566" s="1393" t="str">
        <f>Oferta_Optima!Q615</f>
        <v/>
      </c>
      <c r="R566" s="1393" t="str">
        <f>Oferta_Optima!R615</f>
        <v/>
      </c>
      <c r="S566" s="1393" t="str">
        <f>Oferta_Optima!S615</f>
        <v/>
      </c>
      <c r="T566" s="1393" t="str">
        <f>Oferta_Optima!T615</f>
        <v/>
      </c>
      <c r="U566" s="1399">
        <f>Oferta_Optima!U615</f>
        <v>0</v>
      </c>
      <c r="V566" s="1171"/>
      <c r="W566" s="441"/>
    </row>
    <row r="567" spans="1:23" ht="50.45" customHeight="1">
      <c r="A567" s="420"/>
      <c r="B567" s="1392" t="str">
        <f>Oferta_Optima!B616</f>
        <v/>
      </c>
      <c r="C567" s="1393" t="str">
        <f>Oferta_Optima!C616</f>
        <v/>
      </c>
      <c r="D567" s="1393" t="str">
        <f>Oferta_Optima!D616</f>
        <v/>
      </c>
      <c r="E567" s="1393" t="str">
        <f>Oferta_Optima!E616</f>
        <v/>
      </c>
      <c r="F567" s="1393" t="str">
        <f>Oferta_Optima!F616</f>
        <v/>
      </c>
      <c r="G567" s="1394" t="str">
        <f>Oferta_Optima!G616</f>
        <v/>
      </c>
      <c r="H567" s="1394" t="str">
        <f>Oferta_Optima!H616</f>
        <v/>
      </c>
      <c r="I567" s="1394" t="str">
        <f>Oferta_Optima!I616</f>
        <v/>
      </c>
      <c r="J567" s="1393" t="str">
        <f>Oferta_Optima!J616</f>
        <v/>
      </c>
      <c r="K567" s="1393" t="str">
        <f>Oferta_Optima!K616</f>
        <v/>
      </c>
      <c r="L567" s="1393" t="str">
        <f>Oferta_Optima!L616</f>
        <v/>
      </c>
      <c r="M567" s="1393" t="str">
        <f>Oferta_Optima!M616</f>
        <v/>
      </c>
      <c r="N567" s="1393" t="str">
        <f>Oferta_Optima!N616</f>
        <v/>
      </c>
      <c r="O567" s="1393" t="str">
        <f>Oferta_Optima!O616</f>
        <v/>
      </c>
      <c r="P567" s="1393" t="str">
        <f>Oferta_Optima!P616</f>
        <v/>
      </c>
      <c r="Q567" s="1393" t="str">
        <f>Oferta_Optima!Q616</f>
        <v/>
      </c>
      <c r="R567" s="1393" t="str">
        <f>Oferta_Optima!R616</f>
        <v/>
      </c>
      <c r="S567" s="1393" t="str">
        <f>Oferta_Optima!S616</f>
        <v/>
      </c>
      <c r="T567" s="1393" t="str">
        <f>Oferta_Optima!T616</f>
        <v/>
      </c>
      <c r="U567" s="1399">
        <f>Oferta_Optima!U616</f>
        <v>0</v>
      </c>
      <c r="V567" s="1171"/>
    </row>
    <row r="568" spans="1:23" ht="50.45" customHeight="1">
      <c r="A568" s="420"/>
      <c r="B568" s="1392" t="str">
        <f>Oferta_Optima!B617</f>
        <v/>
      </c>
      <c r="C568" s="1393" t="str">
        <f>Oferta_Optima!C617</f>
        <v/>
      </c>
      <c r="D568" s="1393" t="str">
        <f>Oferta_Optima!D617</f>
        <v/>
      </c>
      <c r="E568" s="1393" t="str">
        <f>Oferta_Optima!E617</f>
        <v/>
      </c>
      <c r="F568" s="1393" t="str">
        <f>Oferta_Optima!F617</f>
        <v/>
      </c>
      <c r="G568" s="1394" t="str">
        <f>Oferta_Optima!G617</f>
        <v/>
      </c>
      <c r="H568" s="1394" t="str">
        <f>Oferta_Optima!H617</f>
        <v/>
      </c>
      <c r="I568" s="1394" t="str">
        <f>Oferta_Optima!I617</f>
        <v/>
      </c>
      <c r="J568" s="1393" t="str">
        <f>Oferta_Optima!J617</f>
        <v/>
      </c>
      <c r="K568" s="1393" t="str">
        <f>Oferta_Optima!K617</f>
        <v/>
      </c>
      <c r="L568" s="1393" t="str">
        <f>Oferta_Optima!L617</f>
        <v/>
      </c>
      <c r="M568" s="1393" t="str">
        <f>Oferta_Optima!M617</f>
        <v/>
      </c>
      <c r="N568" s="1393" t="str">
        <f>Oferta_Optima!N617</f>
        <v/>
      </c>
      <c r="O568" s="1393" t="str">
        <f>Oferta_Optima!O617</f>
        <v/>
      </c>
      <c r="P568" s="1393" t="str">
        <f>Oferta_Optima!P617</f>
        <v/>
      </c>
      <c r="Q568" s="1393" t="str">
        <f>Oferta_Optima!Q617</f>
        <v/>
      </c>
      <c r="R568" s="1393" t="str">
        <f>Oferta_Optima!R617</f>
        <v/>
      </c>
      <c r="S568" s="1393" t="str">
        <f>Oferta_Optima!S617</f>
        <v/>
      </c>
      <c r="T568" s="1393" t="str">
        <f>Oferta_Optima!T617</f>
        <v/>
      </c>
      <c r="U568" s="1399">
        <f>Oferta_Optima!U617</f>
        <v>0</v>
      </c>
      <c r="V568" s="1171"/>
    </row>
    <row r="569" spans="1:23" ht="50.45" customHeight="1">
      <c r="A569" s="420"/>
      <c r="B569" s="1392" t="str">
        <f>Oferta_Optima!B618</f>
        <v/>
      </c>
      <c r="C569" s="1393" t="str">
        <f>Oferta_Optima!C618</f>
        <v/>
      </c>
      <c r="D569" s="1393" t="str">
        <f>Oferta_Optima!D618</f>
        <v/>
      </c>
      <c r="E569" s="1393" t="str">
        <f>Oferta_Optima!E618</f>
        <v/>
      </c>
      <c r="F569" s="1393" t="str">
        <f>Oferta_Optima!F618</f>
        <v/>
      </c>
      <c r="G569" s="1394" t="str">
        <f>Oferta_Optima!G618</f>
        <v/>
      </c>
      <c r="H569" s="1394" t="str">
        <f>Oferta_Optima!H618</f>
        <v/>
      </c>
      <c r="I569" s="1394" t="str">
        <f>Oferta_Optima!I618</f>
        <v/>
      </c>
      <c r="J569" s="1393" t="str">
        <f>Oferta_Optima!J618</f>
        <v/>
      </c>
      <c r="K569" s="1393" t="str">
        <f>Oferta_Optima!K618</f>
        <v/>
      </c>
      <c r="L569" s="1393" t="str">
        <f>Oferta_Optima!L618</f>
        <v/>
      </c>
      <c r="M569" s="1393" t="str">
        <f>Oferta_Optima!M618</f>
        <v/>
      </c>
      <c r="N569" s="1393" t="str">
        <f>Oferta_Optima!N618</f>
        <v/>
      </c>
      <c r="O569" s="1393" t="str">
        <f>Oferta_Optima!O618</f>
        <v/>
      </c>
      <c r="P569" s="1393" t="str">
        <f>Oferta_Optima!P618</f>
        <v/>
      </c>
      <c r="Q569" s="1393" t="str">
        <f>Oferta_Optima!Q618</f>
        <v/>
      </c>
      <c r="R569" s="1393" t="str">
        <f>Oferta_Optima!R618</f>
        <v/>
      </c>
      <c r="S569" s="1393" t="str">
        <f>Oferta_Optima!S618</f>
        <v/>
      </c>
      <c r="T569" s="1393" t="str">
        <f>Oferta_Optima!T618</f>
        <v/>
      </c>
      <c r="U569" s="1399">
        <f>Oferta_Optima!U618</f>
        <v>0</v>
      </c>
      <c r="V569" s="1171"/>
    </row>
    <row r="570" spans="1:23" ht="50.45" customHeight="1">
      <c r="A570" s="420"/>
      <c r="B570" s="1392" t="str">
        <f>Oferta_Optima!B619</f>
        <v/>
      </c>
      <c r="C570" s="1393" t="str">
        <f>Oferta_Optima!C619</f>
        <v/>
      </c>
      <c r="D570" s="1393" t="str">
        <f>Oferta_Optima!D619</f>
        <v/>
      </c>
      <c r="E570" s="1393" t="str">
        <f>Oferta_Optima!E619</f>
        <v/>
      </c>
      <c r="F570" s="1393" t="str">
        <f>Oferta_Optima!F619</f>
        <v/>
      </c>
      <c r="G570" s="1394" t="str">
        <f>Oferta_Optima!G619</f>
        <v/>
      </c>
      <c r="H570" s="1394" t="str">
        <f>Oferta_Optima!H619</f>
        <v/>
      </c>
      <c r="I570" s="1394" t="str">
        <f>Oferta_Optima!I619</f>
        <v/>
      </c>
      <c r="J570" s="1393" t="str">
        <f>Oferta_Optima!J619</f>
        <v/>
      </c>
      <c r="K570" s="1393" t="str">
        <f>Oferta_Optima!K619</f>
        <v/>
      </c>
      <c r="L570" s="1393" t="str">
        <f>Oferta_Optima!L619</f>
        <v/>
      </c>
      <c r="M570" s="1393" t="str">
        <f>Oferta_Optima!M619</f>
        <v/>
      </c>
      <c r="N570" s="1393" t="str">
        <f>Oferta_Optima!N619</f>
        <v/>
      </c>
      <c r="O570" s="1393" t="str">
        <f>Oferta_Optima!O619</f>
        <v/>
      </c>
      <c r="P570" s="1393" t="str">
        <f>Oferta_Optima!P619</f>
        <v/>
      </c>
      <c r="Q570" s="1393" t="str">
        <f>Oferta_Optima!Q619</f>
        <v/>
      </c>
      <c r="R570" s="1393" t="str">
        <f>Oferta_Optima!R619</f>
        <v/>
      </c>
      <c r="S570" s="1393" t="str">
        <f>Oferta_Optima!S619</f>
        <v/>
      </c>
      <c r="T570" s="1393" t="str">
        <f>Oferta_Optima!T619</f>
        <v/>
      </c>
      <c r="U570" s="1399">
        <f>Oferta_Optima!U619</f>
        <v>0</v>
      </c>
      <c r="V570" s="1171"/>
    </row>
    <row r="571" spans="1:23" ht="50.45" customHeight="1">
      <c r="A571" s="420"/>
      <c r="B571" s="1392" t="str">
        <f>Oferta_Optima!B620</f>
        <v/>
      </c>
      <c r="C571" s="1393" t="str">
        <f>Oferta_Optima!C620</f>
        <v/>
      </c>
      <c r="D571" s="1393" t="str">
        <f>Oferta_Optima!D620</f>
        <v/>
      </c>
      <c r="E571" s="1393" t="str">
        <f>Oferta_Optima!E620</f>
        <v/>
      </c>
      <c r="F571" s="1393" t="str">
        <f>Oferta_Optima!F620</f>
        <v/>
      </c>
      <c r="G571" s="1394" t="str">
        <f>Oferta_Optima!G620</f>
        <v/>
      </c>
      <c r="H571" s="1394" t="str">
        <f>Oferta_Optima!H620</f>
        <v/>
      </c>
      <c r="I571" s="1394" t="str">
        <f>Oferta_Optima!I620</f>
        <v/>
      </c>
      <c r="J571" s="1393" t="str">
        <f>Oferta_Optima!J620</f>
        <v/>
      </c>
      <c r="K571" s="1393" t="str">
        <f>Oferta_Optima!K620</f>
        <v/>
      </c>
      <c r="L571" s="1393" t="str">
        <f>Oferta_Optima!L620</f>
        <v/>
      </c>
      <c r="M571" s="1393" t="str">
        <f>Oferta_Optima!M620</f>
        <v/>
      </c>
      <c r="N571" s="1393" t="str">
        <f>Oferta_Optima!N620</f>
        <v/>
      </c>
      <c r="O571" s="1393" t="str">
        <f>Oferta_Optima!O620</f>
        <v/>
      </c>
      <c r="P571" s="1393" t="str">
        <f>Oferta_Optima!P620</f>
        <v/>
      </c>
      <c r="Q571" s="1393" t="str">
        <f>Oferta_Optima!Q620</f>
        <v/>
      </c>
      <c r="R571" s="1393" t="str">
        <f>Oferta_Optima!R620</f>
        <v/>
      </c>
      <c r="S571" s="1393" t="str">
        <f>Oferta_Optima!S620</f>
        <v/>
      </c>
      <c r="T571" s="1393" t="str">
        <f>Oferta_Optima!T620</f>
        <v/>
      </c>
      <c r="U571" s="1399">
        <f>Oferta_Optima!U620</f>
        <v>0</v>
      </c>
      <c r="V571" s="1171"/>
    </row>
    <row r="572" spans="1:23" ht="50.45" customHeight="1">
      <c r="A572" s="420"/>
      <c r="B572" s="1392" t="str">
        <f>Oferta_Optima!B621</f>
        <v/>
      </c>
      <c r="C572" s="1393" t="str">
        <f>Oferta_Optima!C621</f>
        <v/>
      </c>
      <c r="D572" s="1393" t="str">
        <f>Oferta_Optima!D621</f>
        <v/>
      </c>
      <c r="E572" s="1393" t="str">
        <f>Oferta_Optima!E621</f>
        <v/>
      </c>
      <c r="F572" s="1393" t="str">
        <f>Oferta_Optima!F621</f>
        <v/>
      </c>
      <c r="G572" s="1394" t="str">
        <f>Oferta_Optima!G621</f>
        <v/>
      </c>
      <c r="H572" s="1394" t="str">
        <f>Oferta_Optima!H621</f>
        <v/>
      </c>
      <c r="I572" s="1394" t="str">
        <f>Oferta_Optima!I621</f>
        <v/>
      </c>
      <c r="J572" s="1393" t="str">
        <f>Oferta_Optima!J621</f>
        <v/>
      </c>
      <c r="K572" s="1393" t="str">
        <f>Oferta_Optima!K621</f>
        <v/>
      </c>
      <c r="L572" s="1393" t="str">
        <f>Oferta_Optima!L621</f>
        <v/>
      </c>
      <c r="M572" s="1393" t="str">
        <f>Oferta_Optima!M621</f>
        <v/>
      </c>
      <c r="N572" s="1393" t="str">
        <f>Oferta_Optima!N621</f>
        <v/>
      </c>
      <c r="O572" s="1393" t="str">
        <f>Oferta_Optima!O621</f>
        <v/>
      </c>
      <c r="P572" s="1393" t="str">
        <f>Oferta_Optima!P621</f>
        <v/>
      </c>
      <c r="Q572" s="1393" t="str">
        <f>Oferta_Optima!Q621</f>
        <v/>
      </c>
      <c r="R572" s="1393" t="str">
        <f>Oferta_Optima!R621</f>
        <v/>
      </c>
      <c r="S572" s="1393" t="str">
        <f>Oferta_Optima!S621</f>
        <v/>
      </c>
      <c r="T572" s="1393" t="str">
        <f>Oferta_Optima!T621</f>
        <v/>
      </c>
      <c r="U572" s="1399">
        <f>Oferta_Optima!U621</f>
        <v>0</v>
      </c>
      <c r="V572" s="1171"/>
    </row>
    <row r="573" spans="1:23" ht="50.45" customHeight="1">
      <c r="A573" s="420"/>
      <c r="B573" s="1392" t="str">
        <f>Oferta_Optima!B622</f>
        <v/>
      </c>
      <c r="C573" s="1393" t="str">
        <f>Oferta_Optima!C622</f>
        <v/>
      </c>
      <c r="D573" s="1393" t="str">
        <f>Oferta_Optima!D622</f>
        <v/>
      </c>
      <c r="E573" s="1393" t="str">
        <f>Oferta_Optima!E622</f>
        <v/>
      </c>
      <c r="F573" s="1393" t="str">
        <f>Oferta_Optima!F622</f>
        <v/>
      </c>
      <c r="G573" s="1394" t="str">
        <f>Oferta_Optima!G622</f>
        <v/>
      </c>
      <c r="H573" s="1394" t="str">
        <f>Oferta_Optima!H622</f>
        <v/>
      </c>
      <c r="I573" s="1394" t="str">
        <f>Oferta_Optima!I622</f>
        <v/>
      </c>
      <c r="J573" s="1393" t="str">
        <f>Oferta_Optima!J622</f>
        <v/>
      </c>
      <c r="K573" s="1393" t="str">
        <f>Oferta_Optima!K622</f>
        <v/>
      </c>
      <c r="L573" s="1393" t="str">
        <f>Oferta_Optima!L622</f>
        <v/>
      </c>
      <c r="M573" s="1393" t="str">
        <f>Oferta_Optima!M622</f>
        <v/>
      </c>
      <c r="N573" s="1393" t="str">
        <f>Oferta_Optima!N622</f>
        <v/>
      </c>
      <c r="O573" s="1393" t="str">
        <f>Oferta_Optima!O622</f>
        <v/>
      </c>
      <c r="P573" s="1393" t="str">
        <f>Oferta_Optima!P622</f>
        <v/>
      </c>
      <c r="Q573" s="1393" t="str">
        <f>Oferta_Optima!Q622</f>
        <v/>
      </c>
      <c r="R573" s="1393" t="str">
        <f>Oferta_Optima!R622</f>
        <v/>
      </c>
      <c r="S573" s="1393" t="str">
        <f>Oferta_Optima!S622</f>
        <v/>
      </c>
      <c r="T573" s="1393" t="str">
        <f>Oferta_Optima!T622</f>
        <v/>
      </c>
      <c r="U573" s="1399">
        <f>Oferta_Optima!U622</f>
        <v>0</v>
      </c>
      <c r="V573" s="1171"/>
    </row>
    <row r="574" spans="1:23" ht="50.45" customHeight="1">
      <c r="A574" s="420"/>
      <c r="B574" s="1392" t="str">
        <f>Oferta_Optima!B623</f>
        <v/>
      </c>
      <c r="C574" s="1393" t="str">
        <f>Oferta_Optima!C623</f>
        <v/>
      </c>
      <c r="D574" s="1393" t="str">
        <f>Oferta_Optima!D623</f>
        <v/>
      </c>
      <c r="E574" s="1393" t="str">
        <f>Oferta_Optima!E623</f>
        <v/>
      </c>
      <c r="F574" s="1393" t="str">
        <f>Oferta_Optima!F623</f>
        <v/>
      </c>
      <c r="G574" s="1394" t="str">
        <f>Oferta_Optima!G623</f>
        <v/>
      </c>
      <c r="H574" s="1394" t="str">
        <f>Oferta_Optima!H623</f>
        <v/>
      </c>
      <c r="I574" s="1394" t="str">
        <f>Oferta_Optima!I623</f>
        <v/>
      </c>
      <c r="J574" s="1393" t="str">
        <f>Oferta_Optima!J623</f>
        <v/>
      </c>
      <c r="K574" s="1393" t="str">
        <f>Oferta_Optima!K623</f>
        <v/>
      </c>
      <c r="L574" s="1393" t="str">
        <f>Oferta_Optima!L623</f>
        <v/>
      </c>
      <c r="M574" s="1393" t="str">
        <f>Oferta_Optima!M623</f>
        <v/>
      </c>
      <c r="N574" s="1393" t="str">
        <f>Oferta_Optima!N623</f>
        <v/>
      </c>
      <c r="O574" s="1393" t="str">
        <f>Oferta_Optima!O623</f>
        <v/>
      </c>
      <c r="P574" s="1393" t="str">
        <f>Oferta_Optima!P623</f>
        <v/>
      </c>
      <c r="Q574" s="1393" t="str">
        <f>Oferta_Optima!Q623</f>
        <v/>
      </c>
      <c r="R574" s="1393" t="str">
        <f>Oferta_Optima!R623</f>
        <v/>
      </c>
      <c r="S574" s="1393" t="str">
        <f>Oferta_Optima!S623</f>
        <v/>
      </c>
      <c r="T574" s="1393" t="str">
        <f>Oferta_Optima!T623</f>
        <v/>
      </c>
      <c r="U574" s="1399">
        <f>Oferta_Optima!U623</f>
        <v>0</v>
      </c>
      <c r="V574" s="1171"/>
    </row>
    <row r="575" spans="1:23" ht="50.45" customHeight="1">
      <c r="A575" s="420"/>
      <c r="B575" s="1392" t="str">
        <f>Oferta_Optima!B624</f>
        <v/>
      </c>
      <c r="C575" s="1393" t="str">
        <f>Oferta_Optima!C624</f>
        <v/>
      </c>
      <c r="D575" s="1393" t="str">
        <f>Oferta_Optima!D624</f>
        <v/>
      </c>
      <c r="E575" s="1393" t="str">
        <f>Oferta_Optima!E624</f>
        <v/>
      </c>
      <c r="F575" s="1393" t="str">
        <f>Oferta_Optima!F624</f>
        <v/>
      </c>
      <c r="G575" s="1394" t="str">
        <f>Oferta_Optima!G624</f>
        <v/>
      </c>
      <c r="H575" s="1394" t="str">
        <f>Oferta_Optima!H624</f>
        <v/>
      </c>
      <c r="I575" s="1394" t="str">
        <f>Oferta_Optima!I624</f>
        <v/>
      </c>
      <c r="J575" s="1393" t="str">
        <f>Oferta_Optima!J624</f>
        <v/>
      </c>
      <c r="K575" s="1393" t="str">
        <f>Oferta_Optima!K624</f>
        <v/>
      </c>
      <c r="L575" s="1393" t="str">
        <f>Oferta_Optima!L624</f>
        <v/>
      </c>
      <c r="M575" s="1393" t="str">
        <f>Oferta_Optima!M624</f>
        <v/>
      </c>
      <c r="N575" s="1393" t="str">
        <f>Oferta_Optima!N624</f>
        <v/>
      </c>
      <c r="O575" s="1393" t="str">
        <f>Oferta_Optima!O624</f>
        <v/>
      </c>
      <c r="P575" s="1393" t="str">
        <f>Oferta_Optima!P624</f>
        <v/>
      </c>
      <c r="Q575" s="1393" t="str">
        <f>Oferta_Optima!Q624</f>
        <v/>
      </c>
      <c r="R575" s="1393" t="str">
        <f>Oferta_Optima!R624</f>
        <v/>
      </c>
      <c r="S575" s="1393" t="str">
        <f>Oferta_Optima!S624</f>
        <v/>
      </c>
      <c r="T575" s="1393" t="str">
        <f>Oferta_Optima!T624</f>
        <v/>
      </c>
      <c r="U575" s="1399">
        <f>Oferta_Optima!U624</f>
        <v>0</v>
      </c>
      <c r="V575" s="1171"/>
    </row>
    <row r="576" spans="1:23" ht="14.25" customHeight="1">
      <c r="A576" s="420"/>
      <c r="V576" s="420"/>
    </row>
    <row r="577" spans="1:22" ht="41.25" customHeight="1">
      <c r="A577" s="420"/>
      <c r="B577" s="420"/>
      <c r="C577" s="420"/>
      <c r="D577" s="420"/>
      <c r="E577" s="420"/>
      <c r="F577" s="420"/>
      <c r="G577" s="420"/>
      <c r="H577" s="420"/>
      <c r="I577" s="420"/>
      <c r="J577" s="420"/>
      <c r="K577" s="420"/>
      <c r="L577" s="420"/>
      <c r="M577" s="420"/>
      <c r="N577" s="420"/>
      <c r="O577" s="420"/>
      <c r="P577" s="420"/>
      <c r="Q577" s="420"/>
      <c r="S577" s="2262" t="s">
        <v>295</v>
      </c>
      <c r="T577" s="2263"/>
      <c r="U577" s="832">
        <f>Oferta_Optima!U626</f>
        <v>0</v>
      </c>
      <c r="V577" s="420"/>
    </row>
    <row r="579" spans="1:22">
      <c r="A579" s="420"/>
      <c r="B579" s="420"/>
      <c r="C579" s="420"/>
      <c r="D579" s="420"/>
      <c r="E579" s="420"/>
      <c r="F579" s="420"/>
      <c r="G579" s="420"/>
      <c r="H579" s="420"/>
      <c r="I579" s="420"/>
      <c r="J579" s="420"/>
      <c r="K579" s="420"/>
      <c r="L579" s="420"/>
      <c r="M579" s="420"/>
      <c r="N579" s="420"/>
      <c r="O579" s="420"/>
      <c r="P579" s="420"/>
      <c r="Q579" s="420"/>
      <c r="R579" s="420"/>
      <c r="S579" s="420"/>
      <c r="T579" s="420"/>
      <c r="U579" s="420"/>
      <c r="V579" s="420"/>
    </row>
    <row r="580" spans="1:22" ht="15.75">
      <c r="A580" s="420"/>
      <c r="B580" s="420"/>
      <c r="C580" s="420"/>
      <c r="D580" s="420"/>
      <c r="E580" s="420"/>
      <c r="F580" s="420"/>
      <c r="G580" s="420"/>
      <c r="H580" s="420"/>
      <c r="I580" s="420"/>
      <c r="J580" s="420"/>
      <c r="K580" s="420"/>
      <c r="L580" s="420"/>
      <c r="M580" s="476" t="s">
        <v>1151</v>
      </c>
      <c r="N580" s="420"/>
      <c r="O580" s="420"/>
      <c r="P580" s="420"/>
      <c r="Q580" s="420"/>
      <c r="R580" s="477" t="s">
        <v>692</v>
      </c>
      <c r="S580" s="478" t="str">
        <f>$E$29</f>
        <v>ILF5_90FCPRCP_B114CAGR43006</v>
      </c>
      <c r="T580" s="420"/>
      <c r="U580" s="420"/>
      <c r="V580" s="420"/>
    </row>
    <row r="581" spans="1:22">
      <c r="A581" s="420"/>
      <c r="B581" s="420"/>
      <c r="C581" s="420"/>
      <c r="D581" s="420"/>
      <c r="E581" s="420"/>
      <c r="F581" s="420"/>
      <c r="G581" s="420"/>
      <c r="H581" s="420"/>
      <c r="I581" s="420"/>
      <c r="J581" s="420"/>
      <c r="K581" s="420"/>
      <c r="L581" s="420"/>
      <c r="M581" s="420"/>
      <c r="N581" s="420"/>
      <c r="O581" s="420"/>
      <c r="P581" s="420"/>
      <c r="Q581" s="420"/>
      <c r="R581" s="420"/>
      <c r="S581" s="420"/>
      <c r="T581" s="420"/>
      <c r="U581" s="420"/>
      <c r="V581" s="420"/>
    </row>
    <row r="582" spans="1:22">
      <c r="A582" s="420"/>
      <c r="B582" s="420"/>
      <c r="C582" s="420"/>
      <c r="D582" s="420"/>
      <c r="E582" s="420"/>
      <c r="F582" s="420"/>
      <c r="G582" s="420"/>
      <c r="H582" s="436" t="s">
        <v>691</v>
      </c>
      <c r="I582" s="420"/>
      <c r="K582" s="420"/>
      <c r="L582" s="437" t="str">
        <f>$B$11</f>
        <v>INMOBILIARIA SERVIGESTION</v>
      </c>
      <c r="M582" s="420"/>
      <c r="N582" s="420"/>
      <c r="O582" s="420"/>
      <c r="P582" s="420"/>
      <c r="Q582" s="420"/>
      <c r="R582" s="420"/>
      <c r="S582" s="420"/>
      <c r="T582" s="420"/>
      <c r="U582" s="420"/>
      <c r="V582" s="420"/>
    </row>
    <row r="583" spans="1:22" ht="34.5">
      <c r="A583" s="420"/>
      <c r="B583" s="2268" t="s">
        <v>461</v>
      </c>
      <c r="C583" s="2268"/>
      <c r="D583" s="2268"/>
      <c r="E583" s="2268"/>
      <c r="F583" s="2268"/>
      <c r="G583" s="2268"/>
      <c r="H583" s="2268"/>
      <c r="I583" s="2268"/>
      <c r="J583" s="2268"/>
      <c r="K583" s="2268"/>
      <c r="L583" s="2268"/>
      <c r="M583" s="2268"/>
      <c r="N583" s="2268"/>
      <c r="O583" s="2268"/>
      <c r="P583" s="2268"/>
      <c r="Q583" s="2268"/>
      <c r="R583" s="2268"/>
      <c r="S583" s="2268"/>
      <c r="T583" s="2268"/>
      <c r="U583" s="2268"/>
      <c r="V583" s="420"/>
    </row>
    <row r="584" spans="1:22" ht="22.9" customHeight="1">
      <c r="A584" s="420"/>
      <c r="B584" s="2269" t="s">
        <v>1774</v>
      </c>
      <c r="C584" s="2269"/>
      <c r="D584" s="2269"/>
      <c r="E584" s="2269"/>
      <c r="F584" s="2269"/>
      <c r="G584" s="2269"/>
      <c r="H584" s="2269"/>
      <c r="I584" s="2269"/>
      <c r="J584" s="2269"/>
      <c r="K584" s="2269"/>
      <c r="L584" s="2269"/>
      <c r="M584" s="2269"/>
      <c r="N584" s="2269"/>
      <c r="O584" s="2269"/>
      <c r="P584" s="2269"/>
      <c r="Q584" s="2269"/>
      <c r="R584" s="2269"/>
      <c r="S584" s="2269"/>
      <c r="T584" s="2269"/>
      <c r="U584" s="2269"/>
      <c r="V584" s="420"/>
    </row>
    <row r="585" spans="1:22" ht="6" customHeight="1">
      <c r="A585" s="420"/>
      <c r="B585" s="1744"/>
      <c r="C585" s="1744"/>
      <c r="D585" s="1744"/>
      <c r="E585" s="1744"/>
      <c r="F585" s="1744"/>
      <c r="G585" s="1744"/>
      <c r="H585" s="1744"/>
      <c r="I585" s="1744"/>
      <c r="J585" s="1744"/>
      <c r="K585" s="1744"/>
      <c r="L585" s="1744"/>
      <c r="M585" s="1744"/>
      <c r="N585" s="1744"/>
      <c r="O585" s="1744"/>
      <c r="Q585" s="1744"/>
      <c r="R585" s="1744"/>
      <c r="S585" s="1744"/>
      <c r="T585" s="1744"/>
      <c r="U585" s="1744"/>
      <c r="V585" s="420"/>
    </row>
    <row r="586" spans="1:22" ht="23.25">
      <c r="A586" s="420"/>
      <c r="B586" s="2252" t="s">
        <v>1753</v>
      </c>
      <c r="C586" s="2252"/>
      <c r="D586" s="2252"/>
      <c r="E586" s="2252"/>
      <c r="F586" s="2252"/>
      <c r="G586" s="2252"/>
      <c r="H586" s="2252"/>
      <c r="I586" s="2252"/>
      <c r="J586" s="2252"/>
      <c r="K586" s="2252"/>
      <c r="L586" s="1744"/>
      <c r="M586" s="1744"/>
      <c r="N586" s="1744"/>
      <c r="O586" s="1744"/>
      <c r="P586" s="1744"/>
      <c r="Q586" s="1744"/>
      <c r="R586" s="1744"/>
      <c r="S586" s="1744"/>
      <c r="T586" s="1744"/>
      <c r="U586" s="1744"/>
      <c r="V586" s="420"/>
    </row>
    <row r="587" spans="1:22" ht="24.75" customHeight="1">
      <c r="A587" s="420"/>
      <c r="B587" s="2270" t="s">
        <v>1887</v>
      </c>
      <c r="C587" s="2270"/>
      <c r="D587" s="2270"/>
      <c r="E587" s="2270"/>
      <c r="F587" s="2270"/>
      <c r="G587" s="2270"/>
      <c r="H587" s="2270"/>
      <c r="I587" s="2270"/>
      <c r="J587" s="2270"/>
      <c r="K587" s="2270"/>
      <c r="L587" s="2270"/>
      <c r="M587" s="2270"/>
      <c r="N587" s="2270"/>
      <c r="O587" s="2270"/>
      <c r="P587" s="2270"/>
      <c r="Q587" s="2270"/>
      <c r="R587" s="2270"/>
      <c r="S587" s="2270"/>
      <c r="T587" s="2270"/>
      <c r="U587" s="2270"/>
      <c r="V587" s="420"/>
    </row>
    <row r="588" spans="1:22" ht="27.6" customHeight="1">
      <c r="A588" s="420"/>
      <c r="B588" s="2266" t="s">
        <v>1776</v>
      </c>
      <c r="C588" s="2266"/>
      <c r="D588" s="2266"/>
      <c r="E588" s="2266"/>
      <c r="F588" s="2266"/>
      <c r="G588" s="2266"/>
      <c r="H588" s="2266"/>
      <c r="I588" s="2266"/>
      <c r="J588" s="2266"/>
      <c r="K588" s="2266"/>
      <c r="L588" s="2266"/>
      <c r="M588" s="2266"/>
      <c r="N588" s="2266"/>
      <c r="O588" s="2266"/>
      <c r="P588" s="2266"/>
      <c r="Q588" s="2266"/>
      <c r="R588" s="2266"/>
      <c r="S588" s="2266"/>
      <c r="T588" s="2266"/>
      <c r="U588" s="2266"/>
      <c r="V588" s="420"/>
    </row>
    <row r="589" spans="1:22" ht="27.6" customHeight="1">
      <c r="A589" s="420"/>
      <c r="B589" s="2266" t="s">
        <v>1777</v>
      </c>
      <c r="C589" s="2266"/>
      <c r="D589" s="2266"/>
      <c r="E589" s="2266"/>
      <c r="F589" s="2266"/>
      <c r="G589" s="2266"/>
      <c r="H589" s="2266"/>
      <c r="I589" s="2266"/>
      <c r="J589" s="2266"/>
      <c r="K589" s="2266"/>
      <c r="L589" s="2266"/>
      <c r="M589" s="2266"/>
      <c r="N589" s="2266"/>
      <c r="O589" s="2266"/>
      <c r="P589" s="2266"/>
      <c r="Q589" s="2266"/>
      <c r="R589" s="2266"/>
      <c r="S589" s="2266"/>
      <c r="T589" s="2266"/>
      <c r="U589" s="2266"/>
      <c r="V589" s="420"/>
    </row>
    <row r="590" spans="1:22" ht="27.6" customHeight="1">
      <c r="A590" s="420"/>
      <c r="B590" s="2266" t="s">
        <v>1778</v>
      </c>
      <c r="C590" s="2266"/>
      <c r="D590" s="2266"/>
      <c r="E590" s="2266"/>
      <c r="F590" s="2266"/>
      <c r="G590" s="2266"/>
      <c r="H590" s="2266"/>
      <c r="I590" s="2266"/>
      <c r="J590" s="2266"/>
      <c r="K590" s="2266"/>
      <c r="L590" s="2266"/>
      <c r="M590" s="2266"/>
      <c r="N590" s="2266"/>
      <c r="O590" s="2266"/>
      <c r="P590" s="2266"/>
      <c r="Q590" s="2266"/>
      <c r="R590" s="2266"/>
      <c r="S590" s="2266"/>
      <c r="T590" s="2266"/>
      <c r="U590" s="2266"/>
      <c r="V590" s="420"/>
    </row>
    <row r="591" spans="1:22" ht="27.6" customHeight="1">
      <c r="A591" s="420"/>
      <c r="B591" s="2266" t="s">
        <v>1779</v>
      </c>
      <c r="C591" s="2266"/>
      <c r="D591" s="2266"/>
      <c r="E591" s="2266"/>
      <c r="F591" s="2266"/>
      <c r="G591" s="2266"/>
      <c r="H591" s="2266"/>
      <c r="I591" s="2266"/>
      <c r="J591" s="2266"/>
      <c r="K591" s="2266"/>
      <c r="L591" s="2266"/>
      <c r="M591" s="2266"/>
      <c r="N591" s="2266"/>
      <c r="O591" s="2266"/>
      <c r="P591" s="2266"/>
      <c r="Q591" s="2266"/>
      <c r="R591" s="2266"/>
      <c r="S591" s="2266"/>
      <c r="T591" s="2266"/>
      <c r="U591" s="2266"/>
      <c r="V591" s="420"/>
    </row>
    <row r="592" spans="1:22" ht="27.6" customHeight="1">
      <c r="A592" s="420"/>
      <c r="B592" s="2266" t="s">
        <v>1780</v>
      </c>
      <c r="C592" s="2266"/>
      <c r="D592" s="2266"/>
      <c r="E592" s="2266"/>
      <c r="F592" s="2266"/>
      <c r="G592" s="2266"/>
      <c r="H592" s="2266"/>
      <c r="I592" s="2266"/>
      <c r="J592" s="2266"/>
      <c r="K592" s="2266"/>
      <c r="L592" s="2266"/>
      <c r="M592" s="2266"/>
      <c r="N592" s="2266"/>
      <c r="O592" s="2266"/>
      <c r="P592" s="2266"/>
      <c r="Q592" s="2266"/>
      <c r="R592" s="2266"/>
      <c r="S592" s="2266"/>
      <c r="T592" s="2266"/>
      <c r="U592" s="2266"/>
      <c r="V592" s="420"/>
    </row>
    <row r="593" spans="1:22" ht="27.6" customHeight="1">
      <c r="A593" s="420"/>
      <c r="B593" s="2264" t="s">
        <v>1781</v>
      </c>
      <c r="C593" s="2264"/>
      <c r="D593" s="2264"/>
      <c r="E593" s="2264"/>
      <c r="F593" s="2264"/>
      <c r="G593" s="2264"/>
      <c r="H593" s="2264"/>
      <c r="I593" s="2264"/>
      <c r="J593" s="2264"/>
      <c r="K593" s="2264"/>
      <c r="L593" s="2264"/>
      <c r="M593" s="2264"/>
      <c r="N593" s="2264"/>
      <c r="O593" s="2264"/>
      <c r="P593" s="2264"/>
      <c r="Q593" s="2264"/>
      <c r="R593" s="2264"/>
      <c r="S593" s="2264"/>
      <c r="T593" s="2264"/>
      <c r="U593" s="2264"/>
      <c r="V593" s="420"/>
    </row>
    <row r="594" spans="1:22" ht="27.6" customHeight="1">
      <c r="A594" s="420"/>
      <c r="B594" s="2264" t="s">
        <v>1782</v>
      </c>
      <c r="C594" s="2264"/>
      <c r="D594" s="2264"/>
      <c r="E594" s="2264"/>
      <c r="F594" s="2264"/>
      <c r="G594" s="2264"/>
      <c r="H594" s="2264"/>
      <c r="I594" s="2264"/>
      <c r="J594" s="2264"/>
      <c r="K594" s="2264"/>
      <c r="L594" s="2264"/>
      <c r="M594" s="2264"/>
      <c r="N594" s="2264"/>
      <c r="O594" s="2264"/>
      <c r="P594" s="2264"/>
      <c r="Q594" s="2264"/>
      <c r="R594" s="2264"/>
      <c r="S594" s="2264"/>
      <c r="T594" s="2264"/>
      <c r="U594" s="2264"/>
      <c r="V594" s="420"/>
    </row>
    <row r="595" spans="1:22" ht="27.6" customHeight="1">
      <c r="A595" s="420"/>
      <c r="B595" s="2264" t="s">
        <v>1783</v>
      </c>
      <c r="C595" s="2264"/>
      <c r="D595" s="2264"/>
      <c r="E595" s="2264"/>
      <c r="F595" s="2264"/>
      <c r="G595" s="2264"/>
      <c r="H595" s="2264"/>
      <c r="I595" s="2264"/>
      <c r="J595" s="2264"/>
      <c r="K595" s="2264"/>
      <c r="L595" s="2264"/>
      <c r="M595" s="2264"/>
      <c r="N595" s="2264"/>
      <c r="O595" s="2264"/>
      <c r="P595" s="2264"/>
      <c r="Q595" s="2264"/>
      <c r="R595" s="2264"/>
      <c r="S595" s="2264"/>
      <c r="T595" s="2264"/>
      <c r="U595" s="2264"/>
      <c r="V595" s="420"/>
    </row>
    <row r="596" spans="1:22" ht="33.6" customHeight="1">
      <c r="A596" s="420"/>
      <c r="B596" s="2265" t="s">
        <v>1784</v>
      </c>
      <c r="C596" s="2266"/>
      <c r="D596" s="2266"/>
      <c r="E596" s="2266"/>
      <c r="F596" s="2266"/>
      <c r="G596" s="2266"/>
      <c r="H596" s="2266"/>
      <c r="I596" s="2266"/>
      <c r="J596" s="2266"/>
      <c r="K596" s="2266"/>
      <c r="L596" s="1777"/>
      <c r="M596" s="1777"/>
      <c r="N596" s="1777"/>
      <c r="O596" s="1777"/>
      <c r="P596" s="1777"/>
      <c r="Q596" s="1777"/>
      <c r="R596" s="1777"/>
      <c r="S596" s="1777"/>
      <c r="T596" s="1777"/>
      <c r="U596" s="1777"/>
      <c r="V596" s="420"/>
    </row>
    <row r="597" spans="1:22" ht="22.9" customHeight="1">
      <c r="A597" s="420"/>
      <c r="B597" s="2266" t="s">
        <v>1785</v>
      </c>
      <c r="C597" s="2266"/>
      <c r="D597" s="2266"/>
      <c r="E597" s="2266"/>
      <c r="F597" s="2266"/>
      <c r="G597" s="2266"/>
      <c r="H597" s="2266"/>
      <c r="I597" s="2266"/>
      <c r="J597" s="2266"/>
      <c r="K597" s="2266"/>
      <c r="L597" s="2266"/>
      <c r="M597" s="2266"/>
      <c r="N597" s="2266"/>
      <c r="O597" s="2266"/>
      <c r="P597" s="2266"/>
      <c r="Q597" s="2266"/>
      <c r="R597" s="2266"/>
      <c r="S597" s="2266"/>
      <c r="T597" s="2266"/>
      <c r="U597" s="2266"/>
      <c r="V597" s="420"/>
    </row>
    <row r="598" spans="1:22" ht="22.15" customHeight="1">
      <c r="A598" s="420"/>
      <c r="B598" s="2267" t="s">
        <v>1786</v>
      </c>
      <c r="C598" s="2267"/>
      <c r="D598" s="2267"/>
      <c r="E598" s="2267"/>
      <c r="F598" s="2267"/>
      <c r="G598" s="2267"/>
      <c r="H598" s="2267"/>
      <c r="I598" s="2267"/>
      <c r="J598" s="2267"/>
      <c r="K598" s="2267"/>
      <c r="L598" s="2267"/>
      <c r="M598" s="2267"/>
      <c r="N598" s="2267"/>
      <c r="O598" s="2267"/>
      <c r="P598" s="2267"/>
      <c r="Q598" s="2267"/>
      <c r="R598" s="2267"/>
      <c r="S598" s="2267"/>
      <c r="T598" s="2267"/>
      <c r="U598" s="2267"/>
      <c r="V598" s="420"/>
    </row>
    <row r="599" spans="1:22" ht="23.25">
      <c r="A599" s="420"/>
      <c r="B599" s="2252" t="s">
        <v>1755</v>
      </c>
      <c r="C599" s="2252"/>
      <c r="D599" s="2252"/>
      <c r="E599" s="2252"/>
      <c r="F599" s="2252"/>
      <c r="G599" s="2252"/>
      <c r="H599" s="2252"/>
      <c r="I599" s="2252"/>
      <c r="J599" s="2252"/>
      <c r="K599" s="2252"/>
      <c r="L599" s="1744"/>
      <c r="M599" s="1744"/>
      <c r="N599" s="1744"/>
      <c r="O599" s="1744"/>
      <c r="P599" s="1744"/>
      <c r="Q599" s="1744"/>
      <c r="R599" s="1744"/>
      <c r="S599" s="1744"/>
      <c r="T599" s="1744"/>
      <c r="U599" s="1744"/>
      <c r="V599" s="420"/>
    </row>
    <row r="600" spans="1:22" ht="28.15" customHeight="1">
      <c r="A600" s="420"/>
      <c r="B600" s="2260" t="s">
        <v>1888</v>
      </c>
      <c r="C600" s="2260"/>
      <c r="D600" s="2260"/>
      <c r="E600" s="2260"/>
      <c r="F600" s="2260"/>
      <c r="G600" s="2260"/>
      <c r="H600" s="2260"/>
      <c r="I600" s="2260"/>
      <c r="J600" s="2260"/>
      <c r="K600" s="2260"/>
      <c r="L600" s="2260"/>
      <c r="M600" s="2260"/>
      <c r="N600" s="2260"/>
      <c r="O600" s="2260"/>
      <c r="P600" s="2260"/>
      <c r="Q600" s="2260"/>
      <c r="R600" s="2260"/>
      <c r="S600" s="2260"/>
      <c r="T600" s="2260"/>
      <c r="U600" s="2260"/>
      <c r="V600" s="420"/>
    </row>
    <row r="601" spans="1:22" ht="28.15" customHeight="1">
      <c r="A601" s="420"/>
      <c r="B601" s="2251" t="s">
        <v>1789</v>
      </c>
      <c r="C601" s="2251"/>
      <c r="D601" s="2251"/>
      <c r="E601" s="2251"/>
      <c r="F601" s="2251"/>
      <c r="G601" s="2251"/>
      <c r="H601" s="2251"/>
      <c r="I601" s="2251"/>
      <c r="J601" s="2251"/>
      <c r="K601" s="2251"/>
      <c r="L601" s="2251"/>
      <c r="M601" s="2251"/>
      <c r="N601" s="2251"/>
      <c r="O601" s="2251"/>
      <c r="P601" s="2251"/>
      <c r="Q601" s="2251"/>
      <c r="R601" s="2251"/>
      <c r="S601" s="2251"/>
      <c r="T601" s="2251"/>
      <c r="U601" s="2251"/>
      <c r="V601" s="420"/>
    </row>
    <row r="602" spans="1:22" ht="28.15" customHeight="1">
      <c r="A602" s="420"/>
      <c r="B602" s="2251" t="s">
        <v>1790</v>
      </c>
      <c r="C602" s="2251"/>
      <c r="D602" s="2251"/>
      <c r="E602" s="2251"/>
      <c r="F602" s="2251"/>
      <c r="G602" s="2251"/>
      <c r="H602" s="2251"/>
      <c r="I602" s="2251"/>
      <c r="J602" s="2251"/>
      <c r="K602" s="2251"/>
      <c r="L602" s="2251"/>
      <c r="M602" s="2251"/>
      <c r="N602" s="2251"/>
      <c r="O602" s="2251"/>
      <c r="P602" s="2251"/>
      <c r="Q602" s="2251"/>
      <c r="R602" s="2251"/>
      <c r="S602" s="2251"/>
      <c r="T602" s="2251"/>
      <c r="U602" s="2251"/>
      <c r="V602" s="420"/>
    </row>
    <row r="603" spans="1:22" ht="28.15" customHeight="1">
      <c r="A603" s="420"/>
      <c r="B603" s="2251" t="s">
        <v>1791</v>
      </c>
      <c r="C603" s="2251"/>
      <c r="D603" s="2251"/>
      <c r="E603" s="2251"/>
      <c r="F603" s="2251"/>
      <c r="G603" s="2251"/>
      <c r="H603" s="2251"/>
      <c r="I603" s="2251"/>
      <c r="J603" s="2251"/>
      <c r="K603" s="2251"/>
      <c r="L603" s="2251"/>
      <c r="M603" s="2251"/>
      <c r="N603" s="2251"/>
      <c r="O603" s="2251"/>
      <c r="P603" s="2251"/>
      <c r="Q603" s="2251"/>
      <c r="R603" s="2251"/>
      <c r="S603" s="2251"/>
      <c r="T603" s="2251"/>
      <c r="U603" s="2251"/>
      <c r="V603" s="420"/>
    </row>
    <row r="604" spans="1:22" ht="28.15" customHeight="1">
      <c r="A604" s="420"/>
      <c r="B604" s="2251" t="s">
        <v>1792</v>
      </c>
      <c r="C604" s="2251"/>
      <c r="D604" s="2251"/>
      <c r="E604" s="2251"/>
      <c r="F604" s="2251"/>
      <c r="G604" s="2251"/>
      <c r="H604" s="2251"/>
      <c r="I604" s="2251"/>
      <c r="J604" s="2251"/>
      <c r="K604" s="2251"/>
      <c r="L604" s="2251"/>
      <c r="M604" s="2251"/>
      <c r="N604" s="2251"/>
      <c r="O604" s="2251"/>
      <c r="P604" s="2251"/>
      <c r="Q604" s="2251"/>
      <c r="R604" s="2251"/>
      <c r="S604" s="2251"/>
      <c r="T604" s="2251"/>
      <c r="U604" s="2251"/>
      <c r="V604" s="420"/>
    </row>
    <row r="605" spans="1:22" ht="28.15" customHeight="1">
      <c r="A605" s="420"/>
      <c r="B605" s="2251" t="s">
        <v>1793</v>
      </c>
      <c r="C605" s="2251"/>
      <c r="D605" s="2251"/>
      <c r="E605" s="2251"/>
      <c r="F605" s="2251"/>
      <c r="G605" s="2251"/>
      <c r="H605" s="2251"/>
      <c r="I605" s="2251"/>
      <c r="J605" s="2251"/>
      <c r="K605" s="2251"/>
      <c r="L605" s="2251"/>
      <c r="M605" s="2251"/>
      <c r="N605" s="2251"/>
      <c r="O605" s="2251"/>
      <c r="P605" s="2251"/>
      <c r="Q605" s="2251"/>
      <c r="R605" s="2251"/>
      <c r="S605" s="2251"/>
      <c r="T605" s="2251"/>
      <c r="U605" s="2251"/>
      <c r="V605" s="420"/>
    </row>
    <row r="606" spans="1:22" ht="28.15" customHeight="1">
      <c r="A606" s="420"/>
      <c r="B606" s="2249" t="s">
        <v>1781</v>
      </c>
      <c r="C606" s="2249"/>
      <c r="D606" s="2249"/>
      <c r="E606" s="2249"/>
      <c r="F606" s="2249"/>
      <c r="G606" s="2249"/>
      <c r="H606" s="2249"/>
      <c r="I606" s="2249"/>
      <c r="J606" s="2249"/>
      <c r="K606" s="2249"/>
      <c r="L606" s="2249"/>
      <c r="M606" s="2249"/>
      <c r="N606" s="2249"/>
      <c r="O606" s="2249"/>
      <c r="P606" s="2249"/>
      <c r="Q606" s="2249"/>
      <c r="R606" s="2249"/>
      <c r="S606" s="2249"/>
      <c r="T606" s="2249"/>
      <c r="U606" s="2249"/>
      <c r="V606" s="420"/>
    </row>
    <row r="607" spans="1:22" ht="28.15" customHeight="1">
      <c r="A607" s="420"/>
      <c r="B607" s="2249" t="s">
        <v>1782</v>
      </c>
      <c r="C607" s="2249"/>
      <c r="D607" s="2249"/>
      <c r="E607" s="2249"/>
      <c r="F607" s="2249"/>
      <c r="G607" s="2249"/>
      <c r="H607" s="2249"/>
      <c r="I607" s="2249"/>
      <c r="J607" s="2249"/>
      <c r="K607" s="2249"/>
      <c r="L607" s="2249"/>
      <c r="M607" s="2249"/>
      <c r="N607" s="2249"/>
      <c r="O607" s="2249"/>
      <c r="P607" s="2249"/>
      <c r="Q607" s="2249"/>
      <c r="R607" s="2249"/>
      <c r="S607" s="2249"/>
      <c r="T607" s="2249"/>
      <c r="U607" s="2249"/>
      <c r="V607" s="420"/>
    </row>
    <row r="608" spans="1:22" ht="28.15" customHeight="1">
      <c r="A608" s="420"/>
      <c r="B608" s="2249" t="s">
        <v>1783</v>
      </c>
      <c r="C608" s="2249"/>
      <c r="D608" s="2249"/>
      <c r="E608" s="2249"/>
      <c r="F608" s="2249"/>
      <c r="G608" s="2249"/>
      <c r="H608" s="2249"/>
      <c r="I608" s="2249"/>
      <c r="J608" s="2249"/>
      <c r="K608" s="2249"/>
      <c r="L608" s="2249"/>
      <c r="M608" s="2249"/>
      <c r="N608" s="2249"/>
      <c r="O608" s="2249"/>
      <c r="P608" s="2249"/>
      <c r="Q608" s="2249"/>
      <c r="R608" s="2249"/>
      <c r="S608" s="2249"/>
      <c r="T608" s="2249"/>
      <c r="U608" s="2249"/>
      <c r="V608" s="420"/>
    </row>
    <row r="609" spans="1:23" ht="28.9" customHeight="1">
      <c r="A609" s="420"/>
      <c r="B609" s="2250" t="s">
        <v>1784</v>
      </c>
      <c r="C609" s="2251"/>
      <c r="D609" s="2251"/>
      <c r="E609" s="2251"/>
      <c r="F609" s="2251"/>
      <c r="G609" s="2251"/>
      <c r="H609" s="2251"/>
      <c r="I609" s="2251"/>
      <c r="J609" s="2251"/>
      <c r="K609" s="2251"/>
      <c r="L609" s="1743"/>
      <c r="M609" s="1743"/>
      <c r="N609" s="1743"/>
      <c r="O609" s="1743"/>
      <c r="P609" s="1743"/>
      <c r="Q609" s="1743"/>
      <c r="R609" s="1743"/>
      <c r="S609" s="1743"/>
      <c r="T609" s="1743"/>
      <c r="U609" s="1743"/>
      <c r="V609" s="420"/>
    </row>
    <row r="610" spans="1:23" ht="28.9" customHeight="1">
      <c r="A610" s="420"/>
      <c r="B610" s="2251" t="s">
        <v>1794</v>
      </c>
      <c r="C610" s="2251"/>
      <c r="D610" s="2251"/>
      <c r="E610" s="2251"/>
      <c r="F610" s="2251"/>
      <c r="G610" s="2251"/>
      <c r="H610" s="2251"/>
      <c r="I610" s="2251"/>
      <c r="J610" s="2251"/>
      <c r="K610" s="2251"/>
      <c r="L610" s="2251"/>
      <c r="M610" s="2251"/>
      <c r="N610" s="2251"/>
      <c r="O610" s="2251"/>
      <c r="P610" s="2251"/>
      <c r="Q610" s="2251"/>
      <c r="R610" s="2251"/>
      <c r="S610" s="2251"/>
      <c r="T610" s="2251"/>
      <c r="U610" s="2251"/>
      <c r="V610" s="420"/>
    </row>
    <row r="611" spans="1:23" ht="23.25">
      <c r="A611" s="420"/>
      <c r="B611" s="2252" t="s">
        <v>1795</v>
      </c>
      <c r="C611" s="2252"/>
      <c r="D611" s="2252"/>
      <c r="E611" s="2252"/>
      <c r="F611" s="2252"/>
      <c r="G611" s="2252"/>
      <c r="H611" s="2252"/>
      <c r="I611" s="2252"/>
      <c r="J611" s="2252"/>
      <c r="K611" s="2252"/>
      <c r="L611" s="2252"/>
      <c r="M611" s="2252"/>
      <c r="N611" s="2252"/>
      <c r="O611" s="2252"/>
      <c r="P611" s="2252"/>
      <c r="Q611" s="2252"/>
      <c r="R611" s="2252"/>
      <c r="S611" s="2252"/>
      <c r="T611" s="2252"/>
      <c r="U611" s="2252"/>
      <c r="V611" s="420"/>
    </row>
    <row r="612" spans="1:23" ht="11.25" customHeight="1">
      <c r="A612" s="420"/>
      <c r="B612" s="1744"/>
      <c r="C612" s="1744"/>
      <c r="D612" s="1744"/>
      <c r="E612" s="1744"/>
      <c r="F612" s="1744"/>
      <c r="G612" s="1744"/>
      <c r="H612" s="1744"/>
      <c r="I612" s="1744"/>
      <c r="J612" s="1744"/>
      <c r="K612" s="1744"/>
      <c r="L612" s="1744"/>
      <c r="M612" s="1744"/>
      <c r="N612" s="1744"/>
      <c r="O612" s="1744"/>
      <c r="P612" s="1744"/>
      <c r="Q612" s="1744"/>
      <c r="R612" s="1744"/>
      <c r="S612" s="1744"/>
      <c r="T612" s="1744"/>
      <c r="U612" s="1744"/>
      <c r="V612" s="420"/>
    </row>
    <row r="613" spans="1:23" ht="67.5" customHeight="1">
      <c r="A613" s="441"/>
      <c r="B613" s="2253" t="str">
        <f>Oferta_OptimaRPV!B767</f>
        <v>Sede</v>
      </c>
      <c r="C613" s="2254"/>
      <c r="D613" s="1749" t="str">
        <f>Oferta_OptimaRPV!D767</f>
        <v>Modalidad</v>
      </c>
      <c r="E613" s="2255" t="str">
        <f>Oferta_OptimaRPV!E767</f>
        <v>Tipo de acceso</v>
      </c>
      <c r="F613" s="2256"/>
      <c r="G613" s="1749" t="str">
        <f>Oferta_OptimaRPV!G767</f>
        <v>WiFi</v>
      </c>
      <c r="H613" s="1749" t="str">
        <f>Oferta_OptimaRPV!H767</f>
        <v>Internet local dedicado</v>
      </c>
      <c r="I613" s="1749" t="str">
        <f>Oferta_OptimaRPV!I767</f>
        <v>Internet corporativo sede central</v>
      </c>
      <c r="J613" s="1749" t="str">
        <f>Oferta_OptimaRPV!J767</f>
        <v>QoS</v>
      </c>
      <c r="K613" s="1749" t="str">
        <f>Oferta_OptimaRPV!K767</f>
        <v>IP pública</v>
      </c>
      <c r="L613" s="1749" t="str">
        <f>Oferta_OptimaRPV!L767</f>
        <v>Pack de 8 IPs públicas</v>
      </c>
      <c r="M613" s="1749" t="str">
        <f>Oferta_OptimaRPV!M767</f>
        <v>Portal de cliente avanzado</v>
      </c>
      <c r="N613" s="1749" t="str">
        <f>Oferta_OptimaRPV!N767</f>
        <v>Pack 5 usuarios IPSEC</v>
      </c>
      <c r="O613" s="1749" t="str">
        <f>Oferta_OptimaRPV!O767</f>
        <v>Pack 10 usuarios IPSEC</v>
      </c>
      <c r="P613" s="1749" t="str">
        <f>Oferta_OptimaRPV!P767</f>
        <v>Pack 50 usuarios IPSEC</v>
      </c>
      <c r="Q613" s="1749" t="str">
        <f>Oferta_OptimaRPV!Q767</f>
        <v>Móvil</v>
      </c>
      <c r="R613" s="1749" t="str">
        <f>Oferta_OptimaRPV!R767</f>
        <v>Asimétrico</v>
      </c>
      <c r="S613" s="1749" t="str">
        <f>Oferta_OptimaRPV!S767</f>
        <v>Simétrico on net</v>
      </c>
      <c r="T613" s="1749" t="str">
        <f>Oferta_OptimaRPV!T767</f>
        <v>Simétrico off net</v>
      </c>
      <c r="U613" s="1749" t="str">
        <f>Oferta_OptimaRPV!U767</f>
        <v>Total cuotas</v>
      </c>
      <c r="V613" s="466"/>
    </row>
    <row r="614" spans="1:23" ht="39.950000000000003" customHeight="1">
      <c r="B614" s="2272">
        <f>Oferta_OptimaRPV!B768</f>
        <v>0</v>
      </c>
      <c r="C614" s="2259"/>
      <c r="D614" s="1745">
        <f>Oferta_OptimaRPV!D768</f>
        <v>0</v>
      </c>
      <c r="E614" s="2259">
        <f>Oferta_OptimaRPV!E768</f>
        <v>0</v>
      </c>
      <c r="F614" s="2259"/>
      <c r="G614" s="1745">
        <f>Oferta_OptimaRPV!G768</f>
        <v>0</v>
      </c>
      <c r="H614" s="1745">
        <f>Oferta_OptimaRPV!H768</f>
        <v>0</v>
      </c>
      <c r="I614" s="1745">
        <f>Oferta_OptimaRPV!I768</f>
        <v>0</v>
      </c>
      <c r="J614" s="1745" t="str">
        <f>Oferta_OptimaRPV!J768</f>
        <v>gratis</v>
      </c>
      <c r="K614" s="1745">
        <f>Oferta_OptimaRPV!K768</f>
        <v>0</v>
      </c>
      <c r="L614" s="1745">
        <f>Oferta_OptimaRPV!L768</f>
        <v>0</v>
      </c>
      <c r="M614" s="1745" t="str">
        <f>Oferta_OptimaRPV!M768</f>
        <v>gratis</v>
      </c>
      <c r="N614" s="1745">
        <f>Oferta_OptimaRPV!N768</f>
        <v>0</v>
      </c>
      <c r="O614" s="1745">
        <f>Oferta_OptimaRPV!O768</f>
        <v>0</v>
      </c>
      <c r="P614" s="1745">
        <f>Oferta_OptimaRPV!P768</f>
        <v>0</v>
      </c>
      <c r="Q614" s="1745">
        <f>Oferta_OptimaRPV!Q768</f>
        <v>0</v>
      </c>
      <c r="R614" s="1745">
        <f>Oferta_OptimaRPV!R768</f>
        <v>0</v>
      </c>
      <c r="S614" s="1745">
        <f>Oferta_OptimaRPV!S768</f>
        <v>0</v>
      </c>
      <c r="T614" s="1745">
        <f>Oferta_OptimaRPV!T768</f>
        <v>0</v>
      </c>
      <c r="U614" s="1748">
        <f>Oferta_OptimaRPV!U768</f>
        <v>0</v>
      </c>
      <c r="V614" s="466"/>
    </row>
    <row r="615" spans="1:23" ht="39.950000000000003" customHeight="1">
      <c r="B615" s="2272">
        <f>Oferta_OptimaRPV!B769</f>
        <v>0</v>
      </c>
      <c r="C615" s="2259"/>
      <c r="D615" s="1745">
        <f>Oferta_OptimaRPV!D769</f>
        <v>0</v>
      </c>
      <c r="E615" s="2259">
        <f>Oferta_OptimaRPV!E769</f>
        <v>0</v>
      </c>
      <c r="F615" s="2259"/>
      <c r="G615" s="1745">
        <f>Oferta_OptimaRPV!G769</f>
        <v>0</v>
      </c>
      <c r="H615" s="1745">
        <f>Oferta_OptimaRPV!H769</f>
        <v>0</v>
      </c>
      <c r="I615" s="1745">
        <f>Oferta_OptimaRPV!I769</f>
        <v>0</v>
      </c>
      <c r="J615" s="1745" t="str">
        <f>Oferta_OptimaRPV!J769</f>
        <v>gratis</v>
      </c>
      <c r="K615" s="1745">
        <f>Oferta_OptimaRPV!K769</f>
        <v>0</v>
      </c>
      <c r="L615" s="1745">
        <f>Oferta_OptimaRPV!L769</f>
        <v>0</v>
      </c>
      <c r="M615" s="1745" t="str">
        <f>Oferta_OptimaRPV!M769</f>
        <v>gratis</v>
      </c>
      <c r="N615" s="1745">
        <f>Oferta_OptimaRPV!N769</f>
        <v>0</v>
      </c>
      <c r="O615" s="1745">
        <f>Oferta_OptimaRPV!O769</f>
        <v>0</v>
      </c>
      <c r="P615" s="1745">
        <f>Oferta_OptimaRPV!P769</f>
        <v>0</v>
      </c>
      <c r="Q615" s="1745">
        <f>Oferta_OptimaRPV!Q769</f>
        <v>0</v>
      </c>
      <c r="R615" s="1745">
        <f>Oferta_OptimaRPV!R769</f>
        <v>0</v>
      </c>
      <c r="S615" s="1745">
        <f>Oferta_OptimaRPV!S769</f>
        <v>0</v>
      </c>
      <c r="T615" s="1745">
        <f>Oferta_OptimaRPV!T769</f>
        <v>0</v>
      </c>
      <c r="U615" s="1748">
        <f>Oferta_OptimaRPV!U769</f>
        <v>0</v>
      </c>
      <c r="V615" s="466"/>
      <c r="W615" s="441"/>
    </row>
    <row r="616" spans="1:23" ht="39.950000000000003" customHeight="1">
      <c r="B616" s="2272">
        <f>Oferta_OptimaRPV!B770</f>
        <v>0</v>
      </c>
      <c r="C616" s="2259"/>
      <c r="D616" s="1745">
        <f>Oferta_OptimaRPV!D770</f>
        <v>0</v>
      </c>
      <c r="E616" s="2259">
        <f>Oferta_OptimaRPV!E770</f>
        <v>0</v>
      </c>
      <c r="F616" s="2259"/>
      <c r="G616" s="1745">
        <f>Oferta_OptimaRPV!G770</f>
        <v>0</v>
      </c>
      <c r="H616" s="1745">
        <f>Oferta_OptimaRPV!H770</f>
        <v>0</v>
      </c>
      <c r="I616" s="1745">
        <f>Oferta_OptimaRPV!I770</f>
        <v>0</v>
      </c>
      <c r="J616" s="1745" t="str">
        <f>Oferta_OptimaRPV!J770</f>
        <v>gratis</v>
      </c>
      <c r="K616" s="1745">
        <f>Oferta_OptimaRPV!K770</f>
        <v>0</v>
      </c>
      <c r="L616" s="1745">
        <f>Oferta_OptimaRPV!L770</f>
        <v>0</v>
      </c>
      <c r="M616" s="1745" t="str">
        <f>Oferta_OptimaRPV!M770</f>
        <v>gratis</v>
      </c>
      <c r="N616" s="1745">
        <f>Oferta_OptimaRPV!N770</f>
        <v>0</v>
      </c>
      <c r="O616" s="1745">
        <f>Oferta_OptimaRPV!O770</f>
        <v>0</v>
      </c>
      <c r="P616" s="1745">
        <f>Oferta_OptimaRPV!P770</f>
        <v>0</v>
      </c>
      <c r="Q616" s="1745">
        <f>Oferta_OptimaRPV!Q770</f>
        <v>0</v>
      </c>
      <c r="R616" s="1745">
        <f>Oferta_OptimaRPV!R770</f>
        <v>0</v>
      </c>
      <c r="S616" s="1745">
        <f>Oferta_OptimaRPV!S770</f>
        <v>0</v>
      </c>
      <c r="T616" s="1745">
        <f>Oferta_OptimaRPV!T770</f>
        <v>0</v>
      </c>
      <c r="U616" s="1748">
        <f>Oferta_OptimaRPV!U770</f>
        <v>0</v>
      </c>
      <c r="V616" s="466"/>
      <c r="W616" s="441"/>
    </row>
    <row r="617" spans="1:23" ht="39.950000000000003" customHeight="1">
      <c r="B617" s="2272">
        <f>Oferta_OptimaRPV!B771</f>
        <v>0</v>
      </c>
      <c r="C617" s="2259"/>
      <c r="D617" s="1745">
        <f>Oferta_OptimaRPV!D771</f>
        <v>0</v>
      </c>
      <c r="E617" s="2259">
        <f>Oferta_OptimaRPV!E771</f>
        <v>0</v>
      </c>
      <c r="F617" s="2259"/>
      <c r="G617" s="1745">
        <f>Oferta_OptimaRPV!G771</f>
        <v>0</v>
      </c>
      <c r="H617" s="1745">
        <f>Oferta_OptimaRPV!H771</f>
        <v>0</v>
      </c>
      <c r="I617" s="1745">
        <f>Oferta_OptimaRPV!I771</f>
        <v>0</v>
      </c>
      <c r="J617" s="1745" t="str">
        <f>Oferta_OptimaRPV!J771</f>
        <v>gratis</v>
      </c>
      <c r="K617" s="1745">
        <f>Oferta_OptimaRPV!K771</f>
        <v>0</v>
      </c>
      <c r="L617" s="1745">
        <f>Oferta_OptimaRPV!L771</f>
        <v>0</v>
      </c>
      <c r="M617" s="1745" t="str">
        <f>Oferta_OptimaRPV!M771</f>
        <v>gratis</v>
      </c>
      <c r="N617" s="1745">
        <f>Oferta_OptimaRPV!N771</f>
        <v>0</v>
      </c>
      <c r="O617" s="1745">
        <f>Oferta_OptimaRPV!O771</f>
        <v>0</v>
      </c>
      <c r="P617" s="1745">
        <f>Oferta_OptimaRPV!P771</f>
        <v>0</v>
      </c>
      <c r="Q617" s="1745">
        <f>Oferta_OptimaRPV!Q771</f>
        <v>0</v>
      </c>
      <c r="R617" s="1745">
        <f>Oferta_OptimaRPV!R771</f>
        <v>0</v>
      </c>
      <c r="S617" s="1745">
        <f>Oferta_OptimaRPV!S771</f>
        <v>0</v>
      </c>
      <c r="T617" s="1745">
        <f>Oferta_OptimaRPV!T771</f>
        <v>0</v>
      </c>
      <c r="U617" s="1748">
        <f>Oferta_OptimaRPV!U771</f>
        <v>0</v>
      </c>
      <c r="V617" s="466"/>
      <c r="W617" s="441"/>
    </row>
    <row r="618" spans="1:23" ht="39.950000000000003" customHeight="1">
      <c r="B618" s="2272">
        <f>Oferta_OptimaRPV!B772</f>
        <v>0</v>
      </c>
      <c r="C618" s="2259"/>
      <c r="D618" s="1745">
        <f>Oferta_OptimaRPV!D772</f>
        <v>0</v>
      </c>
      <c r="E618" s="2259">
        <f>Oferta_OptimaRPV!E772</f>
        <v>0</v>
      </c>
      <c r="F618" s="2259"/>
      <c r="G618" s="1745">
        <f>Oferta_OptimaRPV!G772</f>
        <v>0</v>
      </c>
      <c r="H618" s="1745">
        <f>Oferta_OptimaRPV!H772</f>
        <v>0</v>
      </c>
      <c r="I618" s="1745">
        <f>Oferta_OptimaRPV!I772</f>
        <v>0</v>
      </c>
      <c r="J618" s="1745" t="str">
        <f>Oferta_OptimaRPV!J772</f>
        <v>gratis</v>
      </c>
      <c r="K618" s="1745">
        <f>Oferta_OptimaRPV!K772</f>
        <v>0</v>
      </c>
      <c r="L618" s="1745">
        <f>Oferta_OptimaRPV!L772</f>
        <v>0</v>
      </c>
      <c r="M618" s="1745" t="str">
        <f>Oferta_OptimaRPV!M772</f>
        <v>gratis</v>
      </c>
      <c r="N618" s="1745">
        <f>Oferta_OptimaRPV!N772</f>
        <v>0</v>
      </c>
      <c r="O618" s="1745">
        <f>Oferta_OptimaRPV!O772</f>
        <v>0</v>
      </c>
      <c r="P618" s="1745">
        <f>Oferta_OptimaRPV!P772</f>
        <v>0</v>
      </c>
      <c r="Q618" s="1745">
        <f>Oferta_OptimaRPV!Q772</f>
        <v>0</v>
      </c>
      <c r="R618" s="1745">
        <f>Oferta_OptimaRPV!R772</f>
        <v>0</v>
      </c>
      <c r="S618" s="1745">
        <f>Oferta_OptimaRPV!S772</f>
        <v>0</v>
      </c>
      <c r="T618" s="1745">
        <f>Oferta_OptimaRPV!T772</f>
        <v>0</v>
      </c>
      <c r="U618" s="1748">
        <f>Oferta_OptimaRPV!U772</f>
        <v>0</v>
      </c>
      <c r="V618" s="466"/>
      <c r="W618" s="441"/>
    </row>
    <row r="619" spans="1:23" ht="39.950000000000003" customHeight="1">
      <c r="B619" s="2272">
        <f>Oferta_OptimaRPV!B773</f>
        <v>0</v>
      </c>
      <c r="C619" s="2259"/>
      <c r="D619" s="1745">
        <f>Oferta_OptimaRPV!D773</f>
        <v>0</v>
      </c>
      <c r="E619" s="2259">
        <f>Oferta_OptimaRPV!E773</f>
        <v>0</v>
      </c>
      <c r="F619" s="2259"/>
      <c r="G619" s="1745">
        <f>Oferta_OptimaRPV!G773</f>
        <v>0</v>
      </c>
      <c r="H619" s="1745">
        <f>Oferta_OptimaRPV!H773</f>
        <v>0</v>
      </c>
      <c r="I619" s="1745">
        <f>Oferta_OptimaRPV!I773</f>
        <v>0</v>
      </c>
      <c r="J619" s="1745" t="str">
        <f>Oferta_OptimaRPV!J773</f>
        <v>gratis</v>
      </c>
      <c r="K619" s="1745">
        <f>Oferta_OptimaRPV!K773</f>
        <v>0</v>
      </c>
      <c r="L619" s="1745">
        <f>Oferta_OptimaRPV!L773</f>
        <v>0</v>
      </c>
      <c r="M619" s="1745" t="str">
        <f>Oferta_OptimaRPV!M773</f>
        <v>gratis</v>
      </c>
      <c r="N619" s="1745">
        <f>Oferta_OptimaRPV!N773</f>
        <v>0</v>
      </c>
      <c r="O619" s="1745">
        <f>Oferta_OptimaRPV!O773</f>
        <v>0</v>
      </c>
      <c r="P619" s="1745">
        <f>Oferta_OptimaRPV!P773</f>
        <v>0</v>
      </c>
      <c r="Q619" s="1745">
        <f>Oferta_OptimaRPV!Q773</f>
        <v>0</v>
      </c>
      <c r="R619" s="1745">
        <f>Oferta_OptimaRPV!R773</f>
        <v>0</v>
      </c>
      <c r="S619" s="1745">
        <f>Oferta_OptimaRPV!S773</f>
        <v>0</v>
      </c>
      <c r="T619" s="1745">
        <f>Oferta_OptimaRPV!T773</f>
        <v>0</v>
      </c>
      <c r="U619" s="1748">
        <f>Oferta_OptimaRPV!U773</f>
        <v>0</v>
      </c>
      <c r="V619" s="466"/>
      <c r="W619" s="441"/>
    </row>
    <row r="620" spans="1:23" ht="39.950000000000003" customHeight="1">
      <c r="B620" s="2272">
        <f>Oferta_OptimaRPV!B774</f>
        <v>0</v>
      </c>
      <c r="C620" s="2259"/>
      <c r="D620" s="1745">
        <f>Oferta_OptimaRPV!D774</f>
        <v>0</v>
      </c>
      <c r="E620" s="2259">
        <f>Oferta_OptimaRPV!E774</f>
        <v>0</v>
      </c>
      <c r="F620" s="2259"/>
      <c r="G620" s="1745">
        <f>Oferta_OptimaRPV!G774</f>
        <v>0</v>
      </c>
      <c r="H620" s="1745">
        <f>Oferta_OptimaRPV!H774</f>
        <v>0</v>
      </c>
      <c r="I620" s="1745">
        <f>Oferta_OptimaRPV!I774</f>
        <v>0</v>
      </c>
      <c r="J620" s="1745" t="str">
        <f>Oferta_OptimaRPV!J774</f>
        <v>gratis</v>
      </c>
      <c r="K620" s="1745">
        <f>Oferta_OptimaRPV!K774</f>
        <v>0</v>
      </c>
      <c r="L620" s="1745">
        <f>Oferta_OptimaRPV!L774</f>
        <v>0</v>
      </c>
      <c r="M620" s="1745" t="str">
        <f>Oferta_OptimaRPV!M774</f>
        <v>gratis</v>
      </c>
      <c r="N620" s="1745">
        <f>Oferta_OptimaRPV!N774</f>
        <v>0</v>
      </c>
      <c r="O620" s="1745">
        <f>Oferta_OptimaRPV!O774</f>
        <v>0</v>
      </c>
      <c r="P620" s="1745">
        <f>Oferta_OptimaRPV!P774</f>
        <v>0</v>
      </c>
      <c r="Q620" s="1745">
        <f>Oferta_OptimaRPV!Q774</f>
        <v>0</v>
      </c>
      <c r="R620" s="1745">
        <f>Oferta_OptimaRPV!R774</f>
        <v>0</v>
      </c>
      <c r="S620" s="1745">
        <f>Oferta_OptimaRPV!S774</f>
        <v>0</v>
      </c>
      <c r="T620" s="1745">
        <f>Oferta_OptimaRPV!T774</f>
        <v>0</v>
      </c>
      <c r="U620" s="1748">
        <f>Oferta_OptimaRPV!U774</f>
        <v>0</v>
      </c>
      <c r="V620" s="466"/>
      <c r="W620" s="441"/>
    </row>
    <row r="621" spans="1:23" ht="39.950000000000003" customHeight="1">
      <c r="B621" s="2272">
        <f>Oferta_OptimaRPV!B775</f>
        <v>0</v>
      </c>
      <c r="C621" s="2259"/>
      <c r="D621" s="1745">
        <f>Oferta_OptimaRPV!D775</f>
        <v>0</v>
      </c>
      <c r="E621" s="2259">
        <f>Oferta_OptimaRPV!E775</f>
        <v>0</v>
      </c>
      <c r="F621" s="2259"/>
      <c r="G621" s="1745">
        <f>Oferta_OptimaRPV!G775</f>
        <v>0</v>
      </c>
      <c r="H621" s="1745">
        <f>Oferta_OptimaRPV!H775</f>
        <v>0</v>
      </c>
      <c r="I621" s="1745">
        <f>Oferta_OptimaRPV!I775</f>
        <v>0</v>
      </c>
      <c r="J621" s="1745" t="str">
        <f>Oferta_OptimaRPV!J775</f>
        <v>gratis</v>
      </c>
      <c r="K621" s="1745">
        <f>Oferta_OptimaRPV!K775</f>
        <v>0</v>
      </c>
      <c r="L621" s="1745">
        <f>Oferta_OptimaRPV!L775</f>
        <v>0</v>
      </c>
      <c r="M621" s="1745" t="str">
        <f>Oferta_OptimaRPV!M775</f>
        <v>gratis</v>
      </c>
      <c r="N621" s="1745">
        <f>Oferta_OptimaRPV!N775</f>
        <v>0</v>
      </c>
      <c r="O621" s="1745">
        <f>Oferta_OptimaRPV!O775</f>
        <v>0</v>
      </c>
      <c r="P621" s="1745">
        <f>Oferta_OptimaRPV!P775</f>
        <v>0</v>
      </c>
      <c r="Q621" s="1745">
        <f>Oferta_OptimaRPV!Q775</f>
        <v>0</v>
      </c>
      <c r="R621" s="1745">
        <f>Oferta_OptimaRPV!R775</f>
        <v>0</v>
      </c>
      <c r="S621" s="1745">
        <f>Oferta_OptimaRPV!S775</f>
        <v>0</v>
      </c>
      <c r="T621" s="1745">
        <f>Oferta_OptimaRPV!T775</f>
        <v>0</v>
      </c>
      <c r="U621" s="1748">
        <f>Oferta_OptimaRPV!U775</f>
        <v>0</v>
      </c>
      <c r="V621" s="466"/>
      <c r="W621" s="441"/>
    </row>
    <row r="622" spans="1:23" ht="39.950000000000003" customHeight="1">
      <c r="B622" s="2272">
        <f>Oferta_OptimaRPV!B776</f>
        <v>0</v>
      </c>
      <c r="C622" s="2259"/>
      <c r="D622" s="1745">
        <f>Oferta_OptimaRPV!D776</f>
        <v>0</v>
      </c>
      <c r="E622" s="2259">
        <f>Oferta_OptimaRPV!E776</f>
        <v>0</v>
      </c>
      <c r="F622" s="2259"/>
      <c r="G622" s="1745">
        <f>Oferta_OptimaRPV!G776</f>
        <v>0</v>
      </c>
      <c r="H622" s="1745">
        <f>Oferta_OptimaRPV!H776</f>
        <v>0</v>
      </c>
      <c r="I622" s="1745">
        <f>Oferta_OptimaRPV!I776</f>
        <v>0</v>
      </c>
      <c r="J622" s="1745" t="str">
        <f>Oferta_OptimaRPV!J776</f>
        <v>gratis</v>
      </c>
      <c r="K622" s="1745">
        <f>Oferta_OptimaRPV!K776</f>
        <v>0</v>
      </c>
      <c r="L622" s="1745">
        <f>Oferta_OptimaRPV!L776</f>
        <v>0</v>
      </c>
      <c r="M622" s="1745" t="str">
        <f>Oferta_OptimaRPV!M776</f>
        <v>gratis</v>
      </c>
      <c r="N622" s="1745">
        <f>Oferta_OptimaRPV!N776</f>
        <v>0</v>
      </c>
      <c r="O622" s="1745">
        <f>Oferta_OptimaRPV!O776</f>
        <v>0</v>
      </c>
      <c r="P622" s="1745">
        <f>Oferta_OptimaRPV!P776</f>
        <v>0</v>
      </c>
      <c r="Q622" s="1745">
        <f>Oferta_OptimaRPV!Q776</f>
        <v>0</v>
      </c>
      <c r="R622" s="1745">
        <f>Oferta_OptimaRPV!R776</f>
        <v>0</v>
      </c>
      <c r="S622" s="1745">
        <f>Oferta_OptimaRPV!S776</f>
        <v>0</v>
      </c>
      <c r="T622" s="1745">
        <f>Oferta_OptimaRPV!T776</f>
        <v>0</v>
      </c>
      <c r="U622" s="1748">
        <f>Oferta_OptimaRPV!U776</f>
        <v>0</v>
      </c>
      <c r="V622" s="466"/>
    </row>
    <row r="623" spans="1:23" ht="39.950000000000003" customHeight="1">
      <c r="B623" s="2272">
        <f>Oferta_OptimaRPV!B777</f>
        <v>0</v>
      </c>
      <c r="C623" s="2259"/>
      <c r="D623" s="1745">
        <f>Oferta_OptimaRPV!D777</f>
        <v>0</v>
      </c>
      <c r="E623" s="2259">
        <f>Oferta_OptimaRPV!E777</f>
        <v>0</v>
      </c>
      <c r="F623" s="2259"/>
      <c r="G623" s="1745">
        <f>Oferta_OptimaRPV!G777</f>
        <v>0</v>
      </c>
      <c r="H623" s="1745">
        <f>Oferta_OptimaRPV!H777</f>
        <v>0</v>
      </c>
      <c r="I623" s="1745">
        <f>Oferta_OptimaRPV!I777</f>
        <v>0</v>
      </c>
      <c r="J623" s="1745" t="str">
        <f>Oferta_OptimaRPV!J777</f>
        <v>gratis</v>
      </c>
      <c r="K623" s="1745">
        <f>Oferta_OptimaRPV!K777</f>
        <v>0</v>
      </c>
      <c r="L623" s="1745">
        <f>Oferta_OptimaRPV!L777</f>
        <v>0</v>
      </c>
      <c r="M623" s="1745" t="str">
        <f>Oferta_OptimaRPV!M777</f>
        <v>gratis</v>
      </c>
      <c r="N623" s="1745">
        <f>Oferta_OptimaRPV!N777</f>
        <v>0</v>
      </c>
      <c r="O623" s="1745">
        <f>Oferta_OptimaRPV!O777</f>
        <v>0</v>
      </c>
      <c r="P623" s="1745">
        <f>Oferta_OptimaRPV!P777</f>
        <v>0</v>
      </c>
      <c r="Q623" s="1745">
        <f>Oferta_OptimaRPV!Q777</f>
        <v>0</v>
      </c>
      <c r="R623" s="1745">
        <f>Oferta_OptimaRPV!R777</f>
        <v>0</v>
      </c>
      <c r="S623" s="1745">
        <f>Oferta_OptimaRPV!S777</f>
        <v>0</v>
      </c>
      <c r="T623" s="1745">
        <f>Oferta_OptimaRPV!T777</f>
        <v>0</v>
      </c>
      <c r="U623" s="1748">
        <f>Oferta_OptimaRPV!U777</f>
        <v>0</v>
      </c>
      <c r="V623" s="466"/>
    </row>
    <row r="624" spans="1:23" ht="39.950000000000003" customHeight="1">
      <c r="A624" s="420"/>
      <c r="B624" s="2272">
        <f>Oferta_OptimaRPV!B778</f>
        <v>0</v>
      </c>
      <c r="C624" s="2259"/>
      <c r="D624" s="1745">
        <f>Oferta_OptimaRPV!D778</f>
        <v>0</v>
      </c>
      <c r="E624" s="2259">
        <f>Oferta_OptimaRPV!E778</f>
        <v>0</v>
      </c>
      <c r="F624" s="2259"/>
      <c r="G624" s="1745">
        <f>Oferta_OptimaRPV!G778</f>
        <v>0</v>
      </c>
      <c r="H624" s="1745">
        <f>Oferta_OptimaRPV!H778</f>
        <v>0</v>
      </c>
      <c r="I624" s="1745">
        <f>Oferta_OptimaRPV!I778</f>
        <v>0</v>
      </c>
      <c r="J624" s="1745" t="str">
        <f>Oferta_OptimaRPV!J778</f>
        <v>gratis</v>
      </c>
      <c r="K624" s="1745">
        <f>Oferta_OptimaRPV!K778</f>
        <v>0</v>
      </c>
      <c r="L624" s="1745">
        <f>Oferta_OptimaRPV!L778</f>
        <v>0</v>
      </c>
      <c r="M624" s="1745" t="str">
        <f>Oferta_OptimaRPV!M778</f>
        <v>gratis</v>
      </c>
      <c r="N624" s="1745">
        <f>Oferta_OptimaRPV!N778</f>
        <v>0</v>
      </c>
      <c r="O624" s="1745">
        <f>Oferta_OptimaRPV!O778</f>
        <v>0</v>
      </c>
      <c r="P624" s="1745">
        <f>Oferta_OptimaRPV!P778</f>
        <v>0</v>
      </c>
      <c r="Q624" s="1745">
        <f>Oferta_OptimaRPV!Q778</f>
        <v>0</v>
      </c>
      <c r="R624" s="1745">
        <f>Oferta_OptimaRPV!R778</f>
        <v>0</v>
      </c>
      <c r="S624" s="1745">
        <f>Oferta_OptimaRPV!S778</f>
        <v>0</v>
      </c>
      <c r="T624" s="1745">
        <f>Oferta_OptimaRPV!T778</f>
        <v>0</v>
      </c>
      <c r="U624" s="1748">
        <f>Oferta_OptimaRPV!U778</f>
        <v>0</v>
      </c>
      <c r="V624" s="729"/>
    </row>
    <row r="625" spans="1:23" ht="9" customHeight="1">
      <c r="A625" s="420"/>
      <c r="B625" s="1744"/>
      <c r="C625" s="1744"/>
      <c r="D625" s="1744"/>
      <c r="E625" s="1744"/>
      <c r="F625" s="1744"/>
      <c r="G625" s="1744"/>
      <c r="H625" s="1744"/>
      <c r="I625" s="1744"/>
      <c r="J625" s="1744"/>
      <c r="K625" s="1744"/>
      <c r="L625" s="1744"/>
      <c r="M625" s="1744"/>
      <c r="N625" s="1747"/>
      <c r="O625" s="1747"/>
      <c r="P625" s="1744"/>
      <c r="Q625" s="1778" t="str">
        <f>IF([6]Perfiles_usuario!X15=0,"",[6]Perfiles_usuario!X15)</f>
        <v/>
      </c>
      <c r="R625" s="2261"/>
      <c r="S625" s="2261"/>
      <c r="T625" s="2261"/>
      <c r="U625" s="1748"/>
      <c r="V625" s="420"/>
    </row>
    <row r="626" spans="1:23" ht="23.25">
      <c r="A626" s="420"/>
      <c r="B626" s="1744"/>
      <c r="C626" s="1744"/>
      <c r="D626" s="1744"/>
      <c r="E626" s="1744"/>
      <c r="F626" s="1744"/>
      <c r="G626" s="1744"/>
      <c r="H626" s="1744"/>
      <c r="I626" s="1744"/>
      <c r="J626" s="1744"/>
      <c r="K626" s="1744"/>
      <c r="L626" s="1744"/>
      <c r="M626" s="1744"/>
      <c r="N626" s="1744"/>
      <c r="O626" s="629"/>
      <c r="S626" s="2262" t="s">
        <v>295</v>
      </c>
      <c r="T626" s="2263"/>
      <c r="U626" s="832">
        <f>Oferta_OptimaRPV!U740</f>
        <v>0</v>
      </c>
      <c r="V626" s="470"/>
    </row>
    <row r="627" spans="1:23" ht="16.149999999999999" hidden="1" customHeight="1">
      <c r="A627" s="420"/>
      <c r="B627" s="1744"/>
      <c r="C627" s="1744"/>
      <c r="D627" s="1744"/>
      <c r="E627" s="1744"/>
      <c r="F627" s="1744"/>
      <c r="G627" s="1744"/>
      <c r="H627" s="1744"/>
      <c r="I627" s="1744"/>
      <c r="J627" s="1744"/>
      <c r="K627" s="1744"/>
      <c r="L627" s="1744"/>
      <c r="M627" s="1744"/>
      <c r="N627" s="1744"/>
      <c r="O627" s="1744"/>
      <c r="P627" s="1744"/>
      <c r="Q627" s="1744"/>
      <c r="R627" s="1744"/>
      <c r="S627" s="1744"/>
      <c r="T627" s="1744"/>
      <c r="U627" s="1744"/>
      <c r="V627" s="420"/>
    </row>
    <row r="628" spans="1:23" hidden="1">
      <c r="A628" s="420"/>
      <c r="B628" s="420"/>
      <c r="C628" s="420"/>
      <c r="D628" s="420"/>
      <c r="E628" s="420"/>
      <c r="F628" s="420"/>
      <c r="G628" s="420"/>
      <c r="H628" s="420"/>
      <c r="I628" s="420"/>
      <c r="J628" s="420"/>
      <c r="K628" s="420"/>
      <c r="L628" s="420"/>
      <c r="M628" s="420"/>
      <c r="N628" s="420"/>
      <c r="O628" s="420"/>
      <c r="P628" s="420"/>
      <c r="Q628" s="420"/>
      <c r="R628" s="420"/>
      <c r="S628" s="420"/>
      <c r="T628" s="420"/>
      <c r="U628" s="420"/>
      <c r="V628" s="420"/>
    </row>
    <row r="629" spans="1:23" hidden="1"/>
    <row r="630" spans="1:23" ht="19.149999999999999" hidden="1" customHeight="1">
      <c r="B630" s="522"/>
      <c r="C630" s="585"/>
      <c r="D630" s="584"/>
      <c r="E630" s="584"/>
      <c r="F630" s="584"/>
      <c r="G630" s="586"/>
      <c r="H630" s="586"/>
      <c r="I630" s="586"/>
      <c r="J630" s="586"/>
      <c r="K630" s="587"/>
      <c r="L630" s="587"/>
      <c r="M630" s="587"/>
      <c r="N630" s="587"/>
      <c r="O630" s="587"/>
      <c r="P630" s="587"/>
      <c r="Q630" s="561"/>
      <c r="R630" s="561"/>
      <c r="S630" s="441"/>
      <c r="T630" s="441"/>
      <c r="U630" s="588"/>
      <c r="V630" s="441"/>
    </row>
    <row r="631" spans="1:23" hidden="1">
      <c r="A631" s="420"/>
      <c r="B631" s="420"/>
      <c r="C631" s="420"/>
      <c r="D631" s="420"/>
      <c r="E631" s="420"/>
      <c r="F631" s="420"/>
      <c r="G631" s="420"/>
      <c r="H631" s="420"/>
      <c r="I631" s="420"/>
      <c r="J631" s="420"/>
      <c r="K631" s="420"/>
      <c r="L631" s="420"/>
      <c r="M631" s="420"/>
      <c r="N631" s="420"/>
      <c r="O631" s="420"/>
      <c r="P631" s="420"/>
      <c r="Q631" s="420"/>
      <c r="R631" s="420"/>
      <c r="S631" s="420"/>
      <c r="T631" s="420"/>
      <c r="U631" s="420"/>
      <c r="V631" s="420"/>
    </row>
    <row r="632" spans="1:23" ht="7.5" customHeight="1">
      <c r="A632" s="420"/>
      <c r="B632" s="420"/>
      <c r="C632" s="420"/>
      <c r="D632" s="420"/>
      <c r="E632" s="420"/>
      <c r="F632" s="420"/>
      <c r="G632" s="420"/>
      <c r="H632" s="420"/>
      <c r="I632" s="420"/>
      <c r="J632" s="420"/>
      <c r="K632" s="420"/>
      <c r="L632" s="420"/>
      <c r="M632" s="420"/>
      <c r="N632" s="420"/>
      <c r="O632" s="420"/>
      <c r="P632" s="420"/>
      <c r="Q632" s="420"/>
      <c r="R632" s="420"/>
      <c r="S632" s="420"/>
      <c r="T632" s="420"/>
      <c r="U632" s="420"/>
      <c r="V632" s="420"/>
    </row>
    <row r="633" spans="1:23" ht="15.75">
      <c r="A633" s="420"/>
      <c r="B633" s="420"/>
      <c r="C633" s="420"/>
      <c r="D633" s="420"/>
      <c r="E633" s="420"/>
      <c r="F633" s="420"/>
      <c r="G633" s="420"/>
      <c r="H633" s="420"/>
      <c r="I633" s="420"/>
      <c r="J633" s="420"/>
      <c r="K633" s="420"/>
      <c r="L633" s="420"/>
      <c r="M633" s="476" t="s">
        <v>1150</v>
      </c>
      <c r="N633" s="420"/>
      <c r="O633" s="420"/>
      <c r="P633" s="420"/>
      <c r="Q633" s="420"/>
      <c r="R633" s="477" t="s">
        <v>692</v>
      </c>
      <c r="S633" s="478" t="str">
        <f>$E$29</f>
        <v>ILF5_90FCPRCP_B114CAGR43006</v>
      </c>
      <c r="T633" s="420"/>
      <c r="U633" s="420"/>
      <c r="V633" s="420"/>
    </row>
    <row r="634" spans="1:23">
      <c r="A634" s="420"/>
      <c r="B634" s="420"/>
      <c r="C634" s="420"/>
      <c r="D634" s="420"/>
      <c r="E634" s="420"/>
      <c r="F634" s="420"/>
      <c r="G634" s="420"/>
      <c r="H634" s="436" t="s">
        <v>691</v>
      </c>
      <c r="I634" s="420"/>
      <c r="K634" s="420"/>
      <c r="L634" s="437" t="str">
        <f>$B$11</f>
        <v>INMOBILIARIA SERVIGESTION</v>
      </c>
      <c r="M634" s="420"/>
      <c r="N634" s="420"/>
      <c r="O634" s="420"/>
      <c r="P634" s="420"/>
      <c r="Q634" s="420"/>
      <c r="R634" s="420"/>
      <c r="S634" s="420"/>
      <c r="T634" s="420"/>
      <c r="U634" s="420"/>
      <c r="V634" s="420"/>
    </row>
    <row r="635" spans="1:23" ht="34.5">
      <c r="A635" s="420"/>
      <c r="B635" s="2268" t="s">
        <v>461</v>
      </c>
      <c r="C635" s="2268"/>
      <c r="D635" s="2268"/>
      <c r="E635" s="2268"/>
      <c r="F635" s="2268"/>
      <c r="G635" s="2268"/>
      <c r="H635" s="2268"/>
      <c r="I635" s="2268"/>
      <c r="J635" s="2268"/>
      <c r="K635" s="2268"/>
      <c r="L635" s="2268"/>
      <c r="M635" s="2268"/>
      <c r="N635" s="2268"/>
      <c r="O635" s="2268"/>
      <c r="P635" s="2268"/>
      <c r="Q635" s="2268"/>
      <c r="R635" s="2268"/>
      <c r="S635" s="2268"/>
      <c r="T635" s="2268"/>
      <c r="U635" s="2268"/>
      <c r="V635" s="420"/>
    </row>
    <row r="636" spans="1:23" ht="22.9" customHeight="1">
      <c r="A636" s="420"/>
      <c r="B636" s="2269" t="s">
        <v>1108</v>
      </c>
      <c r="C636" s="2269"/>
      <c r="D636" s="2269"/>
      <c r="E636" s="2269"/>
      <c r="F636" s="2269"/>
      <c r="G636" s="2269"/>
      <c r="H636" s="2269"/>
      <c r="I636" s="2269"/>
      <c r="J636" s="2269"/>
      <c r="K636" s="2269"/>
      <c r="L636" s="2269"/>
      <c r="M636" s="2269"/>
      <c r="N636" s="2269"/>
      <c r="O636" s="2269"/>
      <c r="P636" s="2269"/>
      <c r="Q636" s="2269"/>
      <c r="R636" s="2269"/>
      <c r="S636" s="2269"/>
      <c r="T636" s="2269"/>
      <c r="U636" s="2269"/>
      <c r="V636" s="420"/>
    </row>
    <row r="637" spans="1:23" ht="16.149999999999999" customHeight="1">
      <c r="A637" s="420"/>
      <c r="B637" s="1165"/>
      <c r="C637" s="1165"/>
      <c r="D637" s="1165"/>
      <c r="E637" s="1165"/>
      <c r="F637" s="1165"/>
      <c r="G637" s="1165"/>
      <c r="H637" s="1165"/>
      <c r="I637" s="1165"/>
      <c r="J637" s="1165"/>
      <c r="K637" s="1165"/>
      <c r="L637" s="1165"/>
      <c r="M637" s="1165"/>
      <c r="N637" s="1165"/>
      <c r="O637" s="1165"/>
      <c r="Q637" s="1165"/>
      <c r="R637" s="1165"/>
      <c r="S637" s="1165"/>
      <c r="T637" s="1165"/>
      <c r="U637" s="1165"/>
      <c r="V637" s="420"/>
    </row>
    <row r="638" spans="1:23" ht="23.25">
      <c r="A638" s="420"/>
      <c r="B638" s="2252" t="s">
        <v>1091</v>
      </c>
      <c r="C638" s="2252"/>
      <c r="D638" s="2252"/>
      <c r="E638" s="2252"/>
      <c r="F638" s="2252"/>
      <c r="G638" s="2252"/>
      <c r="H638" s="2252"/>
      <c r="I638" s="2252"/>
      <c r="J638" s="2252"/>
      <c r="K638" s="2252"/>
      <c r="L638" s="1165"/>
      <c r="M638" s="1165"/>
      <c r="N638" s="1165"/>
      <c r="O638" s="1165"/>
      <c r="P638" s="1165"/>
      <c r="Q638" s="1165"/>
      <c r="R638" s="1165"/>
      <c r="S638" s="1165"/>
      <c r="T638" s="1165"/>
      <c r="U638" s="1165"/>
      <c r="V638" s="420"/>
    </row>
    <row r="639" spans="1:23" ht="27.75" customHeight="1">
      <c r="A639" s="420"/>
      <c r="B639" s="2260" t="s">
        <v>1115</v>
      </c>
      <c r="C639" s="2260"/>
      <c r="D639" s="2260"/>
      <c r="E639" s="2260"/>
      <c r="F639" s="2260"/>
      <c r="G639" s="2260"/>
      <c r="H639" s="2260"/>
      <c r="I639" s="2260"/>
      <c r="J639" s="2260"/>
      <c r="K639" s="2260"/>
      <c r="L639" s="2260"/>
      <c r="M639" s="2260"/>
      <c r="N639" s="2260"/>
      <c r="O639" s="2260"/>
      <c r="P639" s="2260"/>
      <c r="Q639" s="2260"/>
      <c r="R639" s="2260"/>
      <c r="S639" s="2260"/>
      <c r="T639" s="2260"/>
      <c r="U639" s="2260"/>
      <c r="V639" s="420"/>
    </row>
    <row r="640" spans="1:23" ht="29.25" customHeight="1">
      <c r="A640" s="504"/>
      <c r="B640" s="1161"/>
      <c r="C640" s="2390" t="s">
        <v>1116</v>
      </c>
      <c r="D640" s="2390"/>
      <c r="E640" s="2390"/>
      <c r="F640" s="2390"/>
      <c r="G640" s="2390"/>
      <c r="H640" s="2390"/>
      <c r="I640" s="2390"/>
      <c r="J640" s="2390"/>
      <c r="K640" s="2390"/>
      <c r="L640" s="2390"/>
      <c r="M640" s="2390"/>
      <c r="N640" s="2390"/>
      <c r="O640" s="2390"/>
      <c r="P640" s="2390"/>
      <c r="Q640" s="2390"/>
      <c r="R640" s="2390"/>
      <c r="S640" s="2390"/>
      <c r="T640" s="2390"/>
      <c r="U640" s="1161"/>
      <c r="V640" s="1171"/>
      <c r="W640" s="441"/>
    </row>
    <row r="641" spans="1:25" ht="23.25">
      <c r="A641" s="441"/>
      <c r="B641" s="441"/>
      <c r="C641" s="2335" t="s">
        <v>1103</v>
      </c>
      <c r="D641" s="2335"/>
      <c r="E641" s="2335"/>
      <c r="F641" s="2335"/>
      <c r="G641" s="2335"/>
      <c r="H641" s="2335"/>
      <c r="I641" s="2335"/>
      <c r="J641" s="2335"/>
      <c r="K641" s="2335"/>
      <c r="L641" s="441"/>
      <c r="M641" s="2375" t="s">
        <v>1102</v>
      </c>
      <c r="N641" s="2376"/>
      <c r="O641" s="2376"/>
      <c r="P641" s="2376"/>
      <c r="Q641" s="2376"/>
      <c r="R641" s="2376"/>
      <c r="S641" s="2376"/>
      <c r="T641" s="2377"/>
      <c r="U641" s="546"/>
      <c r="V641" s="1171"/>
      <c r="W641" s="441"/>
    </row>
    <row r="642" spans="1:25" ht="165" customHeight="1">
      <c r="A642" s="441"/>
      <c r="B642" s="501" t="s">
        <v>362</v>
      </c>
      <c r="C642" s="2396" t="s">
        <v>1130</v>
      </c>
      <c r="D642" s="2397"/>
      <c r="E642" s="2397"/>
      <c r="F642" s="2397"/>
      <c r="G642" s="2397"/>
      <c r="H642" s="2397"/>
      <c r="I642" s="2397"/>
      <c r="J642" s="2397"/>
      <c r="K642" s="2398"/>
      <c r="L642" s="441"/>
      <c r="M642" s="2396" t="s">
        <v>1136</v>
      </c>
      <c r="N642" s="2397"/>
      <c r="O642" s="2397"/>
      <c r="P642" s="2397"/>
      <c r="Q642" s="2397"/>
      <c r="R642" s="2397"/>
      <c r="S642" s="2397"/>
      <c r="T642" s="2398"/>
      <c r="U642" s="546"/>
      <c r="V642" s="1171"/>
      <c r="W642" s="441"/>
    </row>
    <row r="643" spans="1:25" ht="26.25">
      <c r="A643" s="441"/>
      <c r="B643" s="524"/>
      <c r="C643" s="2399" t="s">
        <v>1119</v>
      </c>
      <c r="D643" s="2399"/>
      <c r="E643" s="2399"/>
      <c r="F643" s="2399"/>
      <c r="G643" s="2399"/>
      <c r="H643" s="1167">
        <v>10.5</v>
      </c>
      <c r="I643" s="498"/>
      <c r="J643" s="498"/>
      <c r="K643" s="498"/>
      <c r="L643" s="499"/>
      <c r="M643" s="2399" t="s">
        <v>1119</v>
      </c>
      <c r="N643" s="2399"/>
      <c r="O643" s="2399"/>
      <c r="P643" s="2399"/>
      <c r="Q643" s="2399"/>
      <c r="R643" s="1167">
        <v>4.5</v>
      </c>
      <c r="S643" s="498"/>
      <c r="T643" s="498"/>
      <c r="U643" s="1168"/>
      <c r="V643" s="1171"/>
      <c r="W643" s="441"/>
    </row>
    <row r="644" spans="1:25" customFormat="1" ht="12" customHeight="1">
      <c r="A644" s="325"/>
      <c r="B644" s="524"/>
      <c r="U644" s="1168"/>
      <c r="V644" s="1171"/>
      <c r="W644" s="441"/>
    </row>
    <row r="645" spans="1:25" customFormat="1" ht="58.5" customHeight="1">
      <c r="A645" s="325"/>
      <c r="B645" s="524"/>
      <c r="C645" s="2475" t="s">
        <v>1118</v>
      </c>
      <c r="D645" s="2475"/>
      <c r="E645" s="2475"/>
      <c r="F645" s="2475"/>
      <c r="G645" s="2475"/>
      <c r="H645" s="2475"/>
      <c r="I645" s="2475"/>
      <c r="J645" s="2475"/>
      <c r="K645" s="2475"/>
      <c r="M645" s="2541" t="s">
        <v>1120</v>
      </c>
      <c r="N645" s="2541"/>
      <c r="O645" s="2541"/>
      <c r="P645" s="2541"/>
      <c r="Q645" s="2541"/>
      <c r="R645" s="2541"/>
      <c r="S645" s="2541"/>
      <c r="T645" s="2541"/>
      <c r="U645" s="1168"/>
      <c r="V645" s="1171"/>
      <c r="W645" s="441"/>
    </row>
    <row r="646" spans="1:25" ht="27.6" customHeight="1">
      <c r="A646" s="1171"/>
      <c r="B646" s="524"/>
      <c r="C646" s="2335" t="s">
        <v>1092</v>
      </c>
      <c r="D646" s="2335"/>
      <c r="E646" s="2335"/>
      <c r="F646" s="2335"/>
      <c r="G646" s="2335"/>
      <c r="H646" s="2335"/>
      <c r="I646" s="2335"/>
      <c r="J646" s="2335"/>
      <c r="K646" s="2335"/>
      <c r="L646" s="1162"/>
      <c r="M646" s="2375" t="s">
        <v>1093</v>
      </c>
      <c r="N646" s="2376"/>
      <c r="O646" s="2376"/>
      <c r="P646" s="2376"/>
      <c r="Q646" s="2376"/>
      <c r="R646" s="2376"/>
      <c r="S646" s="2376"/>
      <c r="T646" s="2377"/>
      <c r="U646" s="1168"/>
      <c r="V646" s="1171"/>
      <c r="W646" s="441"/>
    </row>
    <row r="647" spans="1:25" ht="108" customHeight="1">
      <c r="A647" s="1171"/>
      <c r="B647" s="524"/>
      <c r="C647" s="2396" t="s">
        <v>1125</v>
      </c>
      <c r="D647" s="2397"/>
      <c r="E647" s="2397"/>
      <c r="F647" s="2397"/>
      <c r="G647" s="2397"/>
      <c r="H647" s="2397"/>
      <c r="I647" s="2397"/>
      <c r="J647" s="2397"/>
      <c r="K647" s="2398"/>
      <c r="L647" s="1162"/>
      <c r="M647" s="2396" t="s">
        <v>1880</v>
      </c>
      <c r="N647" s="2397"/>
      <c r="O647" s="2397"/>
      <c r="P647" s="2397"/>
      <c r="Q647" s="2397"/>
      <c r="R647" s="2397"/>
      <c r="S647" s="2397"/>
      <c r="T647" s="2398"/>
      <c r="U647" s="1168"/>
      <c r="V647" s="1171"/>
      <c r="W647" s="441"/>
    </row>
    <row r="648" spans="1:25" ht="26.25">
      <c r="A648" s="441"/>
      <c r="B648" s="524"/>
      <c r="C648" s="2399" t="s">
        <v>1119</v>
      </c>
      <c r="D648" s="2399"/>
      <c r="E648" s="2399"/>
      <c r="F648" s="2399"/>
      <c r="G648" s="2399"/>
      <c r="H648" s="1167">
        <v>10</v>
      </c>
      <c r="I648" s="498"/>
      <c r="J648" s="498"/>
      <c r="K648" s="498"/>
      <c r="L648" s="499"/>
      <c r="M648" s="2399" t="s">
        <v>1119</v>
      </c>
      <c r="N648" s="2399"/>
      <c r="O648" s="2399"/>
      <c r="P648" s="2399"/>
      <c r="Q648" s="2399"/>
      <c r="R648" s="1167">
        <v>5</v>
      </c>
      <c r="S648" s="498"/>
      <c r="T648" s="498"/>
      <c r="U648" s="1168"/>
      <c r="V648" s="1171"/>
      <c r="W648" s="441"/>
    </row>
    <row r="649" spans="1:25" ht="12" customHeight="1">
      <c r="A649" s="1171"/>
      <c r="B649" s="524"/>
      <c r="C649" s="1166"/>
      <c r="D649" s="1166"/>
      <c r="E649" s="1166"/>
      <c r="F649" s="1166"/>
      <c r="G649" s="1166"/>
      <c r="H649" s="1166"/>
      <c r="I649" s="1166"/>
      <c r="J649" s="1166"/>
      <c r="K649" s="1166"/>
      <c r="L649" s="1166"/>
      <c r="M649" s="1166"/>
      <c r="N649" s="1166"/>
      <c r="O649" s="1166"/>
      <c r="P649" s="1166"/>
      <c r="Q649" s="1166"/>
      <c r="R649" s="1166"/>
      <c r="S649" s="1166"/>
      <c r="T649" s="1166"/>
      <c r="U649" s="1168"/>
      <c r="V649" s="1171"/>
      <c r="W649" s="441"/>
    </row>
    <row r="650" spans="1:25" customFormat="1" ht="51" customHeight="1">
      <c r="A650" s="325"/>
      <c r="B650" s="524"/>
      <c r="C650" s="2475" t="s">
        <v>1121</v>
      </c>
      <c r="D650" s="2475"/>
      <c r="E650" s="2475"/>
      <c r="F650" s="2475"/>
      <c r="G650" s="2475"/>
      <c r="H650" s="2475"/>
      <c r="I650" s="2475"/>
      <c r="J650" s="2475"/>
      <c r="K650" s="2475"/>
      <c r="M650" s="2541" t="s">
        <v>1123</v>
      </c>
      <c r="N650" s="2541"/>
      <c r="O650" s="2541"/>
      <c r="P650" s="2541"/>
      <c r="Q650" s="2541"/>
      <c r="R650" s="2541"/>
      <c r="S650" s="2541"/>
      <c r="T650" s="2541"/>
      <c r="U650" s="1168"/>
      <c r="V650" s="1171"/>
      <c r="W650" s="441"/>
    </row>
    <row r="651" spans="1:25" ht="27.6" customHeight="1">
      <c r="A651" s="1171"/>
      <c r="B651" s="524"/>
      <c r="C651" s="2335" t="s">
        <v>1094</v>
      </c>
      <c r="D651" s="2335"/>
      <c r="E651" s="2335"/>
      <c r="F651" s="2335"/>
      <c r="G651" s="2335"/>
      <c r="H651" s="2335"/>
      <c r="I651" s="2335"/>
      <c r="J651" s="2335"/>
      <c r="K651" s="2335"/>
      <c r="L651" s="1162"/>
      <c r="M651" s="2375" t="s">
        <v>1095</v>
      </c>
      <c r="N651" s="2376"/>
      <c r="O651" s="2376"/>
      <c r="P651" s="2376"/>
      <c r="Q651" s="2376"/>
      <c r="R651" s="2376"/>
      <c r="S651" s="2376"/>
      <c r="T651" s="2377"/>
      <c r="U651" s="1168"/>
      <c r="V651" s="1171"/>
      <c r="W651" s="441"/>
    </row>
    <row r="652" spans="1:25" ht="102.75" customHeight="1">
      <c r="A652" s="1171"/>
      <c r="B652" s="524"/>
      <c r="C652" s="2396" t="s">
        <v>1126</v>
      </c>
      <c r="D652" s="2397"/>
      <c r="E652" s="2397"/>
      <c r="F652" s="2397"/>
      <c r="G652" s="2397"/>
      <c r="H652" s="2397"/>
      <c r="I652" s="2397"/>
      <c r="J652" s="2397"/>
      <c r="K652" s="2398"/>
      <c r="L652" s="1162"/>
      <c r="M652" s="2396" t="s">
        <v>1127</v>
      </c>
      <c r="N652" s="2397"/>
      <c r="O652" s="2397"/>
      <c r="P652" s="2397"/>
      <c r="Q652" s="2397"/>
      <c r="R652" s="2397"/>
      <c r="S652" s="2397"/>
      <c r="T652" s="2398"/>
      <c r="U652" s="1168"/>
      <c r="V652" s="1171"/>
      <c r="W652" s="441"/>
    </row>
    <row r="653" spans="1:25" ht="26.25">
      <c r="A653" s="441"/>
      <c r="B653" s="524"/>
      <c r="C653" s="2479" t="s">
        <v>1129</v>
      </c>
      <c r="D653" s="2479"/>
      <c r="E653" s="2479"/>
      <c r="F653" s="2479"/>
      <c r="G653" s="2479"/>
      <c r="H653" s="2468">
        <v>10</v>
      </c>
      <c r="I653" s="2543"/>
      <c r="J653" s="2543"/>
      <c r="K653" s="2544"/>
      <c r="L653" s="499"/>
      <c r="M653" s="2479" t="s">
        <v>1128</v>
      </c>
      <c r="N653" s="2480"/>
      <c r="O653" s="2480"/>
      <c r="P653" s="2480"/>
      <c r="Q653" s="2480"/>
      <c r="R653" s="2468">
        <v>15</v>
      </c>
      <c r="S653" s="2470"/>
      <c r="T653" s="2471"/>
      <c r="U653" s="1168"/>
      <c r="V653" s="1171"/>
      <c r="W653" s="441"/>
    </row>
    <row r="654" spans="1:25" ht="18.75" customHeight="1">
      <c r="A654" s="420"/>
      <c r="B654" s="1166"/>
      <c r="C654" s="2412"/>
      <c r="D654" s="2412"/>
      <c r="E654" s="2412"/>
      <c r="F654" s="2412"/>
      <c r="G654" s="2412"/>
      <c r="H654" s="2542"/>
      <c r="I654" s="2545"/>
      <c r="J654" s="2545"/>
      <c r="K654" s="2546"/>
      <c r="L654" s="1166"/>
      <c r="M654" s="2481"/>
      <c r="N654" s="2481"/>
      <c r="O654" s="2481"/>
      <c r="P654" s="2481"/>
      <c r="Q654" s="2481"/>
      <c r="R654" s="2469"/>
      <c r="S654" s="2472"/>
      <c r="T654" s="2473"/>
      <c r="U654" s="1166"/>
      <c r="V654" s="1171"/>
      <c r="W654" s="441"/>
    </row>
    <row r="655" spans="1:25" ht="15.75" customHeight="1">
      <c r="A655" s="420"/>
      <c r="B655" s="1165"/>
      <c r="C655" s="1165"/>
      <c r="D655" s="1165"/>
      <c r="E655" s="1165"/>
      <c r="F655" s="1165"/>
      <c r="G655" s="1165"/>
      <c r="H655" s="1165"/>
      <c r="I655" s="1165"/>
      <c r="J655" s="1165"/>
      <c r="K655" s="1165"/>
      <c r="L655" s="1165"/>
      <c r="M655" s="1165"/>
      <c r="N655" s="1165"/>
      <c r="O655" s="1165"/>
      <c r="P655" s="1165"/>
      <c r="Q655" s="1165"/>
      <c r="R655" s="1165"/>
      <c r="S655" s="1165"/>
      <c r="T655" s="1165"/>
      <c r="U655" s="1165"/>
      <c r="V655" s="1171"/>
      <c r="W655" s="441"/>
    </row>
    <row r="656" spans="1:25" ht="24.95" customHeight="1">
      <c r="A656" s="441"/>
      <c r="C656" s="2534" t="s">
        <v>1087</v>
      </c>
      <c r="D656" s="2486"/>
      <c r="E656" s="2486"/>
      <c r="F656" s="2486"/>
      <c r="G656" s="2256"/>
      <c r="H656" s="2255" t="s">
        <v>1122</v>
      </c>
      <c r="I656" s="2486"/>
      <c r="J656" s="2486"/>
      <c r="K656" s="2256"/>
      <c r="L656" s="2255" t="s">
        <v>1101</v>
      </c>
      <c r="M656" s="2256"/>
      <c r="N656" s="2254" t="s">
        <v>51</v>
      </c>
      <c r="O656" s="2255"/>
      <c r="P656" s="1170"/>
      <c r="Q656"/>
      <c r="R656"/>
      <c r="S656"/>
      <c r="T656"/>
      <c r="U656"/>
      <c r="V656" s="325"/>
      <c r="W656" s="325"/>
      <c r="X656"/>
      <c r="Y656"/>
    </row>
    <row r="657" spans="1:25" ht="24.95" customHeight="1">
      <c r="C657" s="2485">
        <f>Oferta_OptimaRPV!C811</f>
        <v>0</v>
      </c>
      <c r="D657" s="2484"/>
      <c r="E657" s="2484"/>
      <c r="F657" s="2484"/>
      <c r="G657" s="2484"/>
      <c r="H657" s="2482">
        <f>Oferta_OptimaRPV!H811</f>
        <v>0</v>
      </c>
      <c r="I657" s="2482"/>
      <c r="J657" s="2482"/>
      <c r="K657" s="2482"/>
      <c r="L657" s="2484">
        <f>Oferta_OptimaRPV!L811</f>
        <v>0</v>
      </c>
      <c r="M657" s="2484"/>
      <c r="N657" s="2482">
        <f>Oferta_OptimaRPV!N811</f>
        <v>0</v>
      </c>
      <c r="O657" s="2482"/>
      <c r="P657" s="1170"/>
      <c r="Q657"/>
      <c r="R657"/>
      <c r="S657"/>
      <c r="T657"/>
      <c r="U657"/>
      <c r="V657"/>
      <c r="W657"/>
      <c r="X657"/>
      <c r="Y657"/>
    </row>
    <row r="658" spans="1:25" ht="24.95" customHeight="1">
      <c r="C658" s="2485">
        <f>Oferta_OptimaRPV!C812</f>
        <v>0</v>
      </c>
      <c r="D658" s="2484"/>
      <c r="E658" s="2484"/>
      <c r="F658" s="2484"/>
      <c r="G658" s="2484"/>
      <c r="H658" s="2482">
        <f>Oferta_OptimaRPV!H812</f>
        <v>0</v>
      </c>
      <c r="I658" s="2482"/>
      <c r="J658" s="2482"/>
      <c r="K658" s="2482"/>
      <c r="L658" s="2484">
        <f>Oferta_OptimaRPV!L812</f>
        <v>0</v>
      </c>
      <c r="M658" s="2484"/>
      <c r="N658" s="2482">
        <f>Oferta_OptimaRPV!N812</f>
        <v>0</v>
      </c>
      <c r="O658" s="2482"/>
      <c r="P658" s="1170"/>
      <c r="Q658"/>
      <c r="R658"/>
      <c r="S658"/>
      <c r="T658"/>
      <c r="U658"/>
      <c r="V658"/>
      <c r="W658"/>
      <c r="X658"/>
      <c r="Y658"/>
    </row>
    <row r="659" spans="1:25" ht="24.95" customHeight="1">
      <c r="C659" s="2485">
        <f>Oferta_OptimaRPV!C813</f>
        <v>0</v>
      </c>
      <c r="D659" s="2484"/>
      <c r="E659" s="2484"/>
      <c r="F659" s="2484"/>
      <c r="G659" s="2484"/>
      <c r="H659" s="2482">
        <f>Oferta_OptimaRPV!H813</f>
        <v>0</v>
      </c>
      <c r="I659" s="2482"/>
      <c r="J659" s="2482"/>
      <c r="K659" s="2482"/>
      <c r="L659" s="2484">
        <f>Oferta_OptimaRPV!L813</f>
        <v>0</v>
      </c>
      <c r="M659" s="2484"/>
      <c r="N659" s="2482">
        <f>Oferta_OptimaRPV!N813</f>
        <v>0</v>
      </c>
      <c r="O659" s="2482"/>
      <c r="P659" s="1170"/>
      <c r="Q659"/>
      <c r="R659"/>
      <c r="S659"/>
      <c r="T659"/>
      <c r="U659"/>
      <c r="V659"/>
      <c r="W659"/>
      <c r="X659"/>
      <c r="Y659"/>
    </row>
    <row r="660" spans="1:25" ht="24.95" customHeight="1">
      <c r="C660" s="2485">
        <f>Oferta_OptimaRPV!C814</f>
        <v>0</v>
      </c>
      <c r="D660" s="2484"/>
      <c r="E660" s="2484"/>
      <c r="F660" s="2484"/>
      <c r="G660" s="2484"/>
      <c r="H660" s="2482">
        <f>Oferta_OptimaRPV!H814</f>
        <v>0</v>
      </c>
      <c r="I660" s="2482"/>
      <c r="J660" s="2482"/>
      <c r="K660" s="2482"/>
      <c r="L660" s="2484">
        <f>Oferta_OptimaRPV!L814</f>
        <v>0</v>
      </c>
      <c r="M660" s="2484"/>
      <c r="N660" s="2482">
        <f>Oferta_OptimaRPV!N814</f>
        <v>0</v>
      </c>
      <c r="O660" s="2482"/>
      <c r="P660" s="1170"/>
      <c r="Q660"/>
      <c r="R660"/>
      <c r="S660"/>
      <c r="T660"/>
      <c r="U660"/>
      <c r="V660"/>
      <c r="W660"/>
      <c r="X660"/>
      <c r="Y660"/>
    </row>
    <row r="661" spans="1:25" ht="24.95" customHeight="1">
      <c r="A661" s="420"/>
      <c r="C661" s="2485">
        <f>Oferta_OptimaRPV!C815</f>
        <v>0</v>
      </c>
      <c r="D661" s="2484"/>
      <c r="E661" s="2484"/>
      <c r="F661" s="2484"/>
      <c r="G661" s="2484"/>
      <c r="H661" s="2482">
        <f>Oferta_OptimaRPV!H815</f>
        <v>0</v>
      </c>
      <c r="I661" s="2482"/>
      <c r="J661" s="2482"/>
      <c r="K661" s="2482"/>
      <c r="L661" s="2484">
        <f>Oferta_OptimaRPV!L815</f>
        <v>0</v>
      </c>
      <c r="M661" s="2484"/>
      <c r="N661" s="2482">
        <f>Oferta_OptimaRPV!N815</f>
        <v>0</v>
      </c>
      <c r="O661" s="2482"/>
      <c r="P661" s="1170"/>
      <c r="Q661"/>
      <c r="R661"/>
      <c r="S661"/>
      <c r="T661"/>
      <c r="U661"/>
      <c r="V661"/>
      <c r="W661"/>
      <c r="X661"/>
      <c r="Y661"/>
    </row>
    <row r="662" spans="1:25" ht="12" customHeight="1">
      <c r="A662" s="420"/>
      <c r="B662" s="1165"/>
      <c r="C662" s="1165"/>
      <c r="D662" s="1165"/>
      <c r="E662" s="1165"/>
      <c r="F662" s="1165"/>
      <c r="G662" s="1165"/>
      <c r="H662" s="1165"/>
      <c r="I662" s="1165"/>
      <c r="J662" s="1165"/>
      <c r="K662" s="1165"/>
      <c r="L662" s="1165"/>
      <c r="M662" s="1165"/>
      <c r="N662" s="1160"/>
      <c r="O662" s="1169"/>
      <c r="P662" s="1165"/>
      <c r="Q662"/>
      <c r="R662"/>
      <c r="S662"/>
      <c r="T662"/>
      <c r="U662"/>
      <c r="V662" s="420"/>
    </row>
    <row r="663" spans="1:25" ht="18.75" customHeight="1">
      <c r="A663" s="420"/>
      <c r="B663" s="1165"/>
      <c r="C663" s="1165"/>
      <c r="D663" s="1165"/>
      <c r="E663" s="1165"/>
      <c r="F663" s="1165"/>
      <c r="G663" s="1165"/>
      <c r="H663" s="1165"/>
      <c r="I663" s="1165"/>
      <c r="J663" s="1165"/>
      <c r="K663" s="1165"/>
      <c r="L663" s="2301" t="s">
        <v>295</v>
      </c>
      <c r="M663" s="2301"/>
      <c r="N663" s="2547">
        <f>Oferta_OptimaRPV!N817</f>
        <v>0</v>
      </c>
      <c r="O663" s="2548"/>
      <c r="Q663"/>
      <c r="R663"/>
      <c r="S663"/>
      <c r="T663"/>
      <c r="U663"/>
      <c r="V663" s="470"/>
    </row>
    <row r="664" spans="1:25" ht="23.25">
      <c r="A664" s="420"/>
      <c r="B664" s="2252" t="s">
        <v>1090</v>
      </c>
      <c r="C664" s="2252"/>
      <c r="D664" s="2252"/>
      <c r="E664" s="2252"/>
      <c r="F664" s="2252"/>
      <c r="G664" s="2252"/>
      <c r="H664" s="2252"/>
      <c r="I664" s="2252"/>
      <c r="J664" s="2252"/>
      <c r="K664" s="2252"/>
      <c r="L664" s="1165"/>
      <c r="M664" s="1165"/>
      <c r="N664" s="1165"/>
      <c r="O664" s="1165"/>
      <c r="P664" s="1165"/>
      <c r="Q664" s="1165"/>
      <c r="R664" s="1165"/>
      <c r="S664" s="1165"/>
      <c r="T664" s="1165"/>
      <c r="U664" s="1165"/>
      <c r="V664" s="420"/>
    </row>
    <row r="665" spans="1:25" ht="23.25">
      <c r="A665" s="420"/>
      <c r="B665" s="2260" t="s">
        <v>1131</v>
      </c>
      <c r="C665" s="2260"/>
      <c r="D665" s="2260"/>
      <c r="E665" s="2260"/>
      <c r="F665" s="2260"/>
      <c r="G665" s="2260"/>
      <c r="H665" s="2260"/>
      <c r="I665" s="2260"/>
      <c r="J665" s="2260"/>
      <c r="K665" s="2260"/>
      <c r="L665" s="2260"/>
      <c r="M665" s="2260"/>
      <c r="N665" s="2260"/>
      <c r="O665" s="2260"/>
      <c r="P665" s="2260"/>
      <c r="Q665" s="2260"/>
      <c r="R665" s="2260"/>
      <c r="S665" s="2260"/>
      <c r="T665" s="2260"/>
      <c r="U665" s="2260"/>
      <c r="V665" s="420"/>
    </row>
    <row r="666" spans="1:25" ht="22.15" customHeight="1">
      <c r="A666" s="420"/>
      <c r="B666" s="1166"/>
      <c r="C666" s="2527" t="s">
        <v>1090</v>
      </c>
      <c r="D666" s="2527"/>
      <c r="E666" s="2527"/>
      <c r="F666" s="2527"/>
      <c r="G666" s="2527"/>
      <c r="H666" s="2527"/>
      <c r="I666" s="2527"/>
      <c r="J666" s="2527"/>
      <c r="K666" s="2527"/>
      <c r="L666" s="2527"/>
      <c r="M666" s="2527"/>
      <c r="N666" s="2527"/>
      <c r="O666" s="2527"/>
      <c r="P666" s="2527"/>
      <c r="Q666" s="2527"/>
      <c r="R666" s="2527"/>
      <c r="S666" s="2527"/>
      <c r="T666" s="2528"/>
      <c r="U666" s="1166"/>
      <c r="V666" s="420"/>
    </row>
    <row r="667" spans="1:25" ht="78.75" customHeight="1">
      <c r="A667" s="420"/>
      <c r="B667" s="1166"/>
      <c r="C667" s="2529" t="s">
        <v>1132</v>
      </c>
      <c r="D667" s="2530"/>
      <c r="E667" s="2530"/>
      <c r="F667" s="2530"/>
      <c r="G667" s="2530"/>
      <c r="H667" s="2530"/>
      <c r="I667" s="2530"/>
      <c r="J667" s="2530"/>
      <c r="K667" s="2530"/>
      <c r="L667" s="2530"/>
      <c r="M667" s="2530"/>
      <c r="N667" s="2530"/>
      <c r="O667" s="2530"/>
      <c r="P667" s="2530"/>
      <c r="Q667" s="2530"/>
      <c r="R667" s="2530"/>
      <c r="S667" s="2530"/>
      <c r="T667" s="2531"/>
      <c r="U667" s="1172"/>
      <c r="V667" s="420"/>
    </row>
    <row r="668" spans="1:25" ht="26.25">
      <c r="A668" s="420"/>
      <c r="B668" s="1166"/>
      <c r="C668" s="2532" t="s">
        <v>1860</v>
      </c>
      <c r="D668" s="2532"/>
      <c r="E668" s="2532"/>
      <c r="F668" s="2532"/>
      <c r="G668" s="2532"/>
      <c r="H668" s="2532"/>
      <c r="I668" s="2532"/>
      <c r="J668" s="2532"/>
      <c r="K668" s="2532"/>
      <c r="L668" s="2532"/>
      <c r="M668" s="2532"/>
      <c r="N668" s="2532"/>
      <c r="O668" s="2532"/>
      <c r="P668" s="2532"/>
      <c r="Q668" s="2533"/>
      <c r="R668" s="1167">
        <v>10</v>
      </c>
      <c r="S668" s="498"/>
      <c r="T668" s="498"/>
      <c r="U668" s="1166"/>
      <c r="V668" s="420"/>
    </row>
    <row r="669" spans="1:25" ht="9.75" customHeight="1">
      <c r="A669" s="420"/>
      <c r="B669" s="1166"/>
      <c r="C669" s="1166"/>
      <c r="D669" s="1166"/>
      <c r="E669" s="1166"/>
      <c r="F669" s="1166"/>
      <c r="G669" s="1166"/>
      <c r="H669" s="1166"/>
      <c r="I669" s="1166"/>
      <c r="J669" s="1166"/>
      <c r="K669" s="1166"/>
      <c r="L669" s="1166"/>
      <c r="M669" s="1166"/>
      <c r="N669" s="1166"/>
      <c r="O669" s="1166"/>
      <c r="P669" s="484"/>
      <c r="Q669" s="484"/>
      <c r="R669" s="1166"/>
      <c r="S669" s="1166"/>
      <c r="T669" s="1166"/>
      <c r="U669" s="1166"/>
      <c r="V669" s="420"/>
    </row>
    <row r="670" spans="1:25" ht="69" customHeight="1">
      <c r="A670" s="420"/>
      <c r="B670" s="420"/>
      <c r="C670" s="2534" t="s">
        <v>1838</v>
      </c>
      <c r="D670" s="2486"/>
      <c r="E670" s="2255" t="s">
        <v>1088</v>
      </c>
      <c r="F670" s="2486"/>
      <c r="G670" s="2256"/>
      <c r="H670" s="2255" t="s">
        <v>217</v>
      </c>
      <c r="I670" s="2256"/>
      <c r="J670" s="2486" t="s">
        <v>293</v>
      </c>
      <c r="K670" s="2256"/>
      <c r="L670" s="2255" t="s">
        <v>1836</v>
      </c>
      <c r="M670" s="2256"/>
      <c r="N670" s="2254" t="s">
        <v>1837</v>
      </c>
      <c r="O670" s="2255"/>
      <c r="P670" s="1163" t="s">
        <v>1861</v>
      </c>
      <c r="Q670" s="1163" t="s">
        <v>1862</v>
      </c>
      <c r="R670" s="1163" t="s">
        <v>1845</v>
      </c>
      <c r="S670" s="1163" t="s">
        <v>1846</v>
      </c>
      <c r="T670" s="1164" t="s">
        <v>1104</v>
      </c>
      <c r="U670" s="420"/>
      <c r="V670" s="420"/>
    </row>
    <row r="671" spans="1:25" ht="20.45" customHeight="1">
      <c r="A671" s="420"/>
      <c r="B671" s="420"/>
      <c r="C671" s="2485">
        <f>Oferta_OptimaRPV!C826</f>
        <v>0</v>
      </c>
      <c r="D671" s="2484"/>
      <c r="E671" s="2484" t="str">
        <f>Oferta_OptimaRPV!E826</f>
        <v>Acceso web, API y email</v>
      </c>
      <c r="F671" s="2484"/>
      <c r="G671" s="2484"/>
      <c r="H671" s="2586">
        <f>Oferta_OptimaRPV!H826</f>
        <v>0</v>
      </c>
      <c r="I671" s="2586"/>
      <c r="J671" s="2586">
        <f>Oferta_OptimaRPV!J826</f>
        <v>15</v>
      </c>
      <c r="K671" s="2586"/>
      <c r="L671" s="2484">
        <f>Oferta_OptimaRPV!L826</f>
        <v>0</v>
      </c>
      <c r="M671" s="2484"/>
      <c r="N671" s="2586">
        <f>Oferta_OptimaRPV!N826</f>
        <v>0</v>
      </c>
      <c r="O671" s="2586"/>
      <c r="P671" s="1824">
        <f>Oferta_OptimaRPV!P826</f>
        <v>0</v>
      </c>
      <c r="Q671" s="1824">
        <f>Oferta_OptimaRPV!Q826</f>
        <v>0</v>
      </c>
      <c r="R671" s="1824">
        <f>Oferta_OptimaRPV!R826</f>
        <v>0</v>
      </c>
      <c r="S671" s="1824">
        <f>Oferta_OptimaRPV!S826</f>
        <v>0</v>
      </c>
      <c r="T671" s="1799">
        <f>Oferta_OptimaRPV!T826</f>
        <v>0</v>
      </c>
      <c r="U671" s="729"/>
      <c r="V671" s="420"/>
    </row>
    <row r="672" spans="1:25" ht="20.25" customHeight="1">
      <c r="P672" s="1800">
        <f>Oferta_OptimaRPV!P827</f>
        <v>0</v>
      </c>
      <c r="Q672" s="1801">
        <f>Oferta_OptimaRPV!Q827</f>
        <v>0</v>
      </c>
      <c r="R672" s="1801">
        <f>Oferta_OptimaRPV!R827</f>
        <v>0</v>
      </c>
      <c r="S672" s="1801">
        <f>Oferta_OptimaRPV!S827</f>
        <v>0</v>
      </c>
      <c r="T672" s="1803"/>
    </row>
    <row r="673" spans="1:22" ht="8.25" customHeight="1">
      <c r="P673" s="1175"/>
      <c r="Q673" s="1175"/>
      <c r="R673" s="1174"/>
      <c r="S673" s="1175"/>
      <c r="T673" s="441"/>
    </row>
    <row r="674" spans="1:22" ht="15.75">
      <c r="A674" s="420"/>
      <c r="B674" s="420"/>
      <c r="C674" s="420"/>
      <c r="D674" s="420"/>
      <c r="E674" s="420"/>
      <c r="F674" s="420"/>
      <c r="G674" s="420"/>
      <c r="H674" s="420"/>
      <c r="I674" s="420"/>
      <c r="J674" s="420"/>
      <c r="K674" s="420"/>
      <c r="L674" s="420"/>
      <c r="M674" s="476" t="s">
        <v>1149</v>
      </c>
      <c r="N674" s="420"/>
      <c r="O674" s="420"/>
      <c r="P674" s="420"/>
      <c r="Q674" s="420"/>
      <c r="R674" s="477" t="s">
        <v>692</v>
      </c>
      <c r="S674" s="478" t="str">
        <f>$E$29</f>
        <v>ILF5_90FCPRCP_B114CAGR43006</v>
      </c>
      <c r="T674" s="420"/>
      <c r="U674" s="420"/>
      <c r="V674" s="420"/>
    </row>
    <row r="675" spans="1:22">
      <c r="H675" s="436" t="s">
        <v>690</v>
      </c>
      <c r="I675" s="420"/>
      <c r="K675" s="420"/>
      <c r="L675" s="437" t="str">
        <f>$B$11</f>
        <v>INMOBILIARIA SERVIGESTION</v>
      </c>
    </row>
    <row r="677" spans="1:22" ht="30">
      <c r="B677" s="2395" t="s">
        <v>461</v>
      </c>
      <c r="C677" s="2395"/>
      <c r="D677" s="2395"/>
      <c r="E677" s="2395"/>
      <c r="F677" s="2395"/>
      <c r="G677" s="2395"/>
      <c r="H677" s="2395"/>
      <c r="I677" s="2395"/>
      <c r="J677" s="2395"/>
      <c r="K677" s="2395"/>
      <c r="L677" s="2395"/>
      <c r="M677" s="2395"/>
      <c r="N677" s="2395"/>
      <c r="O677" s="2395"/>
      <c r="P677" s="2395"/>
      <c r="Q677" s="2395"/>
      <c r="R677" s="2395"/>
      <c r="S677" s="2395"/>
      <c r="T677" s="2395"/>
      <c r="U677" s="2395"/>
    </row>
    <row r="678" spans="1:22" ht="22.9" customHeight="1">
      <c r="B678" s="2252" t="s">
        <v>674</v>
      </c>
      <c r="C678" s="2252"/>
      <c r="D678" s="2252"/>
      <c r="E678" s="2252"/>
      <c r="F678" s="2252"/>
      <c r="G678" s="2252"/>
      <c r="H678" s="2252"/>
      <c r="I678" s="2252"/>
      <c r="J678" s="2252"/>
      <c r="K678" s="2252"/>
      <c r="L678" s="2252"/>
      <c r="M678" s="2252"/>
      <c r="N678" s="2252"/>
      <c r="O678" s="2252"/>
      <c r="P678" s="2252"/>
      <c r="Q678" s="2252"/>
      <c r="R678" s="2252"/>
      <c r="S678" s="2252"/>
      <c r="T678" s="2252"/>
      <c r="U678" s="2252"/>
    </row>
    <row r="680" spans="1:22" s="522" customFormat="1" ht="21" customHeight="1">
      <c r="B680" s="2474" t="s">
        <v>853</v>
      </c>
      <c r="C680" s="2474"/>
      <c r="D680" s="2474"/>
      <c r="E680" s="2474"/>
      <c r="F680" s="2474"/>
      <c r="G680" s="2474"/>
      <c r="H680" s="2474"/>
      <c r="I680" s="2474"/>
      <c r="J680" s="2474"/>
      <c r="K680" s="2474"/>
      <c r="L680" s="2474"/>
      <c r="M680" s="2474"/>
      <c r="N680" s="2474"/>
      <c r="O680" s="2474"/>
      <c r="P680" s="2474"/>
      <c r="Q680" s="2474"/>
      <c r="R680" s="2474"/>
      <c r="S680" s="2474"/>
      <c r="T680" s="2474"/>
      <c r="U680" s="2474"/>
    </row>
    <row r="681" spans="1:22" ht="40.5" customHeight="1">
      <c r="B681" s="2595" t="s">
        <v>1944</v>
      </c>
      <c r="C681" s="2595"/>
      <c r="D681" s="2595"/>
      <c r="E681" s="2595"/>
      <c r="F681" s="2595"/>
      <c r="G681" s="2595"/>
      <c r="H681" s="2595"/>
      <c r="I681" s="2595"/>
      <c r="J681" s="2595"/>
      <c r="K681" s="2595"/>
      <c r="L681" s="2595"/>
      <c r="M681" s="2595"/>
      <c r="N681" s="2595"/>
      <c r="O681" s="2595"/>
      <c r="P681" s="2595"/>
      <c r="Q681" s="2595"/>
      <c r="R681" s="2595"/>
      <c r="S681" s="2595"/>
      <c r="T681" s="2595"/>
      <c r="U681" s="2595"/>
    </row>
    <row r="682" spans="1:22" ht="31.5" customHeight="1">
      <c r="B682" s="2493" t="s">
        <v>1963</v>
      </c>
      <c r="C682" s="2493"/>
      <c r="D682" s="2493"/>
      <c r="E682" s="2493"/>
      <c r="F682" s="2493"/>
      <c r="G682" s="2493"/>
      <c r="H682" s="2493"/>
      <c r="I682" s="2493"/>
      <c r="J682" s="2493"/>
      <c r="K682" s="2493"/>
      <c r="L682" s="2493"/>
      <c r="M682" s="2493"/>
      <c r="N682" s="2493"/>
      <c r="O682" s="2493"/>
      <c r="P682" s="2493"/>
      <c r="Q682" s="2493"/>
      <c r="R682" s="2493"/>
      <c r="S682" s="2493"/>
      <c r="T682" s="2493"/>
      <c r="U682" s="2493"/>
    </row>
    <row r="683" spans="1:22" ht="60.75" customHeight="1">
      <c r="B683" s="2489" t="s">
        <v>1964</v>
      </c>
      <c r="C683" s="2489"/>
      <c r="D683" s="2489"/>
      <c r="E683" s="2489"/>
      <c r="F683" s="2489"/>
      <c r="G683" s="2489"/>
      <c r="H683" s="2489"/>
      <c r="I683" s="2489"/>
      <c r="J683" s="2489"/>
      <c r="K683" s="2489"/>
      <c r="L683" s="2489"/>
      <c r="M683" s="2489"/>
      <c r="N683" s="2489"/>
      <c r="O683" s="2489"/>
      <c r="P683" s="2489"/>
      <c r="Q683" s="2489"/>
      <c r="R683" s="2489"/>
      <c r="S683" s="2489"/>
      <c r="T683" s="2489"/>
      <c r="U683" s="2489"/>
    </row>
    <row r="684" spans="1:22" ht="26.25" customHeight="1">
      <c r="B684" s="2594" t="s">
        <v>1945</v>
      </c>
      <c r="C684" s="2594"/>
      <c r="D684" s="2594"/>
      <c r="E684" s="2594"/>
      <c r="F684" s="2594"/>
      <c r="G684" s="2594"/>
      <c r="H684" s="2594"/>
      <c r="I684" s="2594"/>
      <c r="J684" s="2594"/>
      <c r="K684" s="2594"/>
      <c r="L684" s="2594"/>
      <c r="M684" s="2594"/>
      <c r="N684" s="2594"/>
      <c r="O684" s="2594"/>
      <c r="P684" s="2594"/>
      <c r="Q684" s="2594"/>
      <c r="R684" s="2594"/>
      <c r="S684" s="2594"/>
      <c r="T684" s="2594"/>
      <c r="U684" s="2594"/>
    </row>
    <row r="685" spans="1:22" ht="21" customHeight="1">
      <c r="B685" s="2595" t="s">
        <v>652</v>
      </c>
      <c r="C685" s="2595"/>
      <c r="D685" s="2595"/>
      <c r="E685" s="2595"/>
      <c r="F685" s="2595"/>
      <c r="G685" s="2595"/>
      <c r="H685" s="2595"/>
      <c r="I685" s="2595"/>
      <c r="J685" s="2595"/>
      <c r="K685" s="2595"/>
      <c r="L685" s="2595"/>
      <c r="M685" s="2595"/>
      <c r="N685" s="2595"/>
      <c r="O685" s="2595"/>
      <c r="P685" s="2595"/>
      <c r="Q685" s="2595"/>
      <c r="R685" s="2595"/>
      <c r="S685" s="2595"/>
      <c r="T685" s="2595"/>
      <c r="U685" s="2595"/>
    </row>
    <row r="686" spans="1:22" ht="21" customHeight="1">
      <c r="B686" s="2594" t="s">
        <v>877</v>
      </c>
      <c r="C686" s="2594"/>
      <c r="D686" s="2594"/>
      <c r="E686" s="2594"/>
      <c r="F686" s="2594"/>
      <c r="G686" s="2594"/>
      <c r="H686" s="2594"/>
      <c r="I686" s="2594"/>
      <c r="J686" s="2594"/>
      <c r="K686" s="2594"/>
      <c r="L686" s="2594"/>
      <c r="M686" s="2594"/>
      <c r="N686" s="2594"/>
      <c r="O686" s="2594"/>
      <c r="P686" s="2594"/>
      <c r="Q686" s="2594"/>
      <c r="R686" s="2594"/>
      <c r="S686" s="2594"/>
      <c r="T686" s="2594"/>
      <c r="U686" s="2594"/>
    </row>
    <row r="687" spans="1:22" ht="21" customHeight="1">
      <c r="B687" s="2595" t="s">
        <v>854</v>
      </c>
      <c r="C687" s="2595"/>
      <c r="D687" s="2595"/>
      <c r="E687" s="2595"/>
      <c r="F687" s="2595"/>
      <c r="G687" s="2595"/>
      <c r="H687" s="2595"/>
      <c r="I687" s="2595"/>
      <c r="J687" s="2595"/>
      <c r="K687" s="2595"/>
      <c r="L687" s="2595"/>
      <c r="M687" s="2595"/>
      <c r="N687" s="2595"/>
      <c r="O687" s="2595"/>
      <c r="P687" s="2595"/>
      <c r="Q687" s="2595"/>
      <c r="R687" s="2595"/>
      <c r="S687" s="2595"/>
      <c r="T687" s="2595"/>
      <c r="U687" s="2595"/>
    </row>
    <row r="688" spans="1:22" ht="17.45" customHeight="1">
      <c r="B688" s="2594" t="s">
        <v>1946</v>
      </c>
      <c r="C688" s="2594"/>
      <c r="D688" s="2594"/>
      <c r="E688" s="2594"/>
      <c r="F688" s="2594"/>
      <c r="G688" s="2594"/>
      <c r="H688" s="2594"/>
      <c r="I688" s="2594"/>
      <c r="J688" s="2594"/>
      <c r="K688" s="2594"/>
      <c r="L688" s="2594"/>
      <c r="M688" s="2594"/>
      <c r="N688" s="2594"/>
      <c r="O688" s="2594"/>
      <c r="P688" s="2594"/>
      <c r="Q688" s="2594"/>
      <c r="R688" s="2594"/>
      <c r="S688" s="2594"/>
      <c r="T688" s="2594"/>
      <c r="U688" s="2594"/>
    </row>
    <row r="689" spans="1:23" s="522" customFormat="1" ht="20.45" customHeight="1">
      <c r="B689" s="2595" t="s">
        <v>731</v>
      </c>
      <c r="C689" s="2595"/>
      <c r="D689" s="2595"/>
      <c r="E689" s="2595"/>
      <c r="F689" s="2595"/>
      <c r="G689" s="2595"/>
      <c r="H689" s="2595"/>
      <c r="I689" s="2595"/>
      <c r="J689" s="2595"/>
      <c r="K689" s="2595"/>
      <c r="L689" s="2595"/>
      <c r="M689" s="2595"/>
      <c r="N689" s="2595"/>
      <c r="O689" s="2595"/>
      <c r="P689" s="2595"/>
      <c r="Q689" s="2595"/>
      <c r="R689" s="2595"/>
      <c r="S689" s="2595"/>
      <c r="T689" s="2595"/>
      <c r="U689" s="2595"/>
    </row>
    <row r="690" spans="1:23" s="522" customFormat="1" ht="16.149999999999999" customHeight="1">
      <c r="B690" s="2594" t="s">
        <v>732</v>
      </c>
      <c r="C690" s="2594"/>
      <c r="D690" s="2594"/>
      <c r="E690" s="2594"/>
      <c r="F690" s="2594"/>
      <c r="G690" s="2594"/>
      <c r="H690" s="2594"/>
      <c r="I690" s="2594"/>
      <c r="J690" s="2594"/>
      <c r="K690" s="2594"/>
      <c r="L690" s="2594"/>
      <c r="M690" s="2594"/>
      <c r="N690" s="2594"/>
      <c r="O690" s="2594"/>
      <c r="P690" s="2594"/>
      <c r="Q690" s="2594"/>
      <c r="R690" s="2594"/>
      <c r="S690" s="2594"/>
      <c r="T690" s="2594"/>
      <c r="U690" s="2594"/>
    </row>
    <row r="691" spans="1:23" s="522" customFormat="1" ht="16.149999999999999" customHeight="1">
      <c r="B691" s="2595" t="s">
        <v>733</v>
      </c>
      <c r="C691" s="2595"/>
      <c r="D691" s="2595"/>
      <c r="E691" s="2595"/>
      <c r="F691" s="2595"/>
      <c r="G691" s="2595"/>
      <c r="H691" s="2595"/>
      <c r="I691" s="2595"/>
      <c r="J691" s="2595"/>
      <c r="K691" s="2595"/>
      <c r="L691" s="2595"/>
      <c r="M691" s="2595"/>
      <c r="N691" s="2595"/>
      <c r="O691" s="2595"/>
      <c r="P691" s="2595"/>
      <c r="Q691" s="2595"/>
      <c r="R691" s="2595"/>
      <c r="S691" s="2595"/>
      <c r="T691" s="2595"/>
      <c r="U691" s="2595"/>
    </row>
    <row r="692" spans="1:23" s="522" customFormat="1" ht="67.150000000000006" customHeight="1">
      <c r="B692" s="2614" t="s">
        <v>860</v>
      </c>
      <c r="C692" s="2614"/>
      <c r="D692" s="2614"/>
      <c r="E692" s="2614"/>
      <c r="F692" s="2614"/>
      <c r="G692" s="2614"/>
      <c r="H692" s="2614"/>
      <c r="I692" s="2614"/>
      <c r="J692" s="2614"/>
      <c r="K692" s="2614"/>
      <c r="L692" s="2614"/>
      <c r="M692" s="2614"/>
      <c r="N692" s="2614"/>
      <c r="O692" s="2614"/>
      <c r="P692" s="2614"/>
      <c r="Q692" s="2614"/>
      <c r="R692" s="2614"/>
      <c r="S692" s="2614"/>
      <c r="T692" s="2614"/>
      <c r="U692" s="2614"/>
    </row>
    <row r="693" spans="1:23" s="522" customFormat="1" ht="24.6" customHeight="1">
      <c r="B693" s="2615" t="s">
        <v>855</v>
      </c>
      <c r="C693" s="2615"/>
      <c r="D693" s="2615"/>
      <c r="E693" s="2615"/>
      <c r="F693" s="2615"/>
      <c r="G693" s="2615"/>
      <c r="H693" s="2615"/>
      <c r="I693" s="2615"/>
      <c r="J693" s="2615"/>
      <c r="K693" s="2615"/>
      <c r="L693" s="2615"/>
      <c r="M693" s="2615"/>
      <c r="N693" s="2615"/>
      <c r="O693" s="2615"/>
      <c r="P693" s="2615"/>
      <c r="Q693" s="2615"/>
      <c r="R693" s="2615"/>
      <c r="S693" s="2615"/>
      <c r="T693" s="2615"/>
      <c r="U693" s="2615"/>
    </row>
    <row r="694" spans="1:23" s="522" customFormat="1" ht="21" customHeight="1">
      <c r="B694" s="2614" t="s">
        <v>1089</v>
      </c>
      <c r="C694" s="2614"/>
      <c r="D694" s="2614"/>
      <c r="E694" s="2614"/>
      <c r="F694" s="2614"/>
      <c r="G694" s="2614"/>
      <c r="H694" s="2614"/>
      <c r="I694" s="2614"/>
      <c r="J694" s="2614"/>
      <c r="K694" s="2614"/>
      <c r="L694" s="2614"/>
      <c r="M694" s="2614"/>
      <c r="N694" s="2614"/>
      <c r="O694" s="2614"/>
      <c r="P694" s="2614"/>
      <c r="Q694" s="2614"/>
      <c r="R694" s="2614"/>
      <c r="S694" s="2614"/>
      <c r="T694" s="2614"/>
      <c r="U694" s="2614"/>
    </row>
    <row r="695" spans="1:23" s="522" customFormat="1" ht="52.15" customHeight="1">
      <c r="B695" s="2536"/>
      <c r="C695" s="2536"/>
      <c r="D695" s="2536"/>
      <c r="E695" s="2536"/>
      <c r="F695" s="2536"/>
      <c r="G695" s="2536"/>
      <c r="H695" s="2536"/>
      <c r="I695" s="2536"/>
      <c r="J695" s="2536"/>
      <c r="K695" s="2536"/>
      <c r="L695" s="2536"/>
      <c r="M695" s="2536"/>
      <c r="N695" s="2536"/>
      <c r="O695" s="2536"/>
      <c r="P695" s="2536"/>
      <c r="Q695" s="2536"/>
      <c r="R695" s="2536"/>
      <c r="S695" s="2536"/>
      <c r="T695" s="2536"/>
      <c r="U695" s="2536"/>
    </row>
    <row r="696" spans="1:23" s="522" customFormat="1" ht="51.6" customHeight="1">
      <c r="B696" s="2494"/>
      <c r="C696" s="2494"/>
      <c r="D696" s="2494"/>
      <c r="E696" s="2494"/>
      <c r="F696" s="2494"/>
      <c r="G696" s="2494"/>
      <c r="H696" s="2494"/>
      <c r="I696" s="2494"/>
      <c r="J696" s="2494"/>
      <c r="K696" s="2494"/>
      <c r="L696" s="2494"/>
      <c r="M696" s="2494"/>
      <c r="N696" s="2494"/>
      <c r="O696" s="2494"/>
      <c r="P696" s="2494"/>
      <c r="Q696" s="2494"/>
      <c r="R696" s="2494"/>
      <c r="S696" s="2494"/>
      <c r="T696" s="2494"/>
      <c r="U696" s="2494"/>
    </row>
    <row r="697" spans="1:23" s="522" customFormat="1" ht="34.15" customHeight="1">
      <c r="B697" s="768"/>
      <c r="C697" s="768"/>
      <c r="D697" s="768"/>
      <c r="E697" s="768"/>
      <c r="F697" s="768"/>
      <c r="G697" s="768"/>
      <c r="H697" s="768"/>
      <c r="I697" s="768"/>
      <c r="J697" s="768"/>
      <c r="K697" s="768"/>
      <c r="L697" s="768"/>
      <c r="M697" s="768"/>
      <c r="N697" s="768"/>
      <c r="O697" s="768"/>
      <c r="P697" s="768"/>
      <c r="Q697" s="768"/>
      <c r="R697" s="768"/>
      <c r="S697" s="768"/>
      <c r="T697" s="768"/>
      <c r="U697" s="768"/>
      <c r="W697" s="429"/>
    </row>
    <row r="698" spans="1:23" s="522" customFormat="1" ht="21" customHeight="1">
      <c r="B698" s="2474" t="s">
        <v>856</v>
      </c>
      <c r="C698" s="2474"/>
      <c r="D698" s="2474"/>
      <c r="E698" s="2474"/>
      <c r="F698" s="2474"/>
      <c r="G698" s="2474"/>
      <c r="H698" s="2474"/>
      <c r="I698" s="2474"/>
      <c r="J698" s="2474"/>
      <c r="K698" s="2474"/>
      <c r="L698" s="2474"/>
      <c r="M698" s="2474"/>
      <c r="N698" s="2474"/>
      <c r="O698" s="2474"/>
      <c r="P698" s="2474"/>
      <c r="Q698" s="2474"/>
      <c r="R698" s="2474"/>
      <c r="S698" s="2474"/>
      <c r="T698" s="2474"/>
      <c r="U698" s="2474"/>
      <c r="W698" s="429"/>
    </row>
    <row r="699" spans="1:23" s="688" customFormat="1" ht="36" customHeight="1">
      <c r="B699" s="2440" t="s">
        <v>1932</v>
      </c>
      <c r="C699" s="2440"/>
      <c r="D699" s="2440"/>
      <c r="E699" s="2440"/>
      <c r="F699" s="2440"/>
      <c r="G699" s="2440"/>
      <c r="H699" s="2440"/>
      <c r="I699" s="2440"/>
      <c r="J699" s="2440"/>
      <c r="K699" s="2440"/>
      <c r="L699" s="2440"/>
      <c r="M699" s="2440"/>
      <c r="N699" s="2440"/>
      <c r="O699" s="2440"/>
      <c r="P699" s="2440"/>
      <c r="Q699" s="2440"/>
      <c r="R699" s="2440"/>
      <c r="S699" s="2440"/>
      <c r="T699" s="2440"/>
      <c r="U699" s="2440"/>
      <c r="W699" s="732"/>
    </row>
    <row r="700" spans="1:23" s="522" customFormat="1" ht="23.25" customHeight="1">
      <c r="B700" s="2613" t="s">
        <v>1903</v>
      </c>
      <c r="C700" s="2613"/>
      <c r="D700" s="2613"/>
      <c r="E700" s="2613"/>
      <c r="F700" s="2613"/>
      <c r="G700" s="2613"/>
      <c r="H700" s="2613"/>
      <c r="I700" s="2613"/>
      <c r="J700" s="2613"/>
      <c r="K700" s="2613"/>
      <c r="L700" s="2613"/>
      <c r="M700" s="2613"/>
      <c r="N700" s="2613"/>
      <c r="O700" s="2613"/>
      <c r="P700" s="2613"/>
      <c r="Q700" s="2613"/>
      <c r="R700" s="2613"/>
      <c r="S700" s="2613"/>
      <c r="T700" s="2613"/>
      <c r="U700" s="2613"/>
      <c r="W700" s="429"/>
    </row>
    <row r="701" spans="1:23" s="522" customFormat="1" ht="47.45" customHeight="1">
      <c r="B701" s="2493" t="s">
        <v>2058</v>
      </c>
      <c r="C701" s="2493"/>
      <c r="D701" s="2493"/>
      <c r="E701" s="2493"/>
      <c r="F701" s="2493"/>
      <c r="G701" s="2493"/>
      <c r="H701" s="2493"/>
      <c r="I701" s="2493"/>
      <c r="J701" s="2493"/>
      <c r="K701" s="2493"/>
      <c r="L701" s="2493"/>
      <c r="M701" s="2493"/>
      <c r="N701" s="2493"/>
      <c r="O701" s="2493"/>
      <c r="P701" s="2493"/>
      <c r="Q701" s="2493"/>
      <c r="R701" s="2493"/>
      <c r="S701" s="2493"/>
      <c r="T701" s="2493"/>
      <c r="U701" s="2493"/>
      <c r="V701" s="429"/>
      <c r="W701" s="429"/>
    </row>
    <row r="702" spans="1:23" s="522" customFormat="1" ht="46.5" customHeight="1">
      <c r="A702" s="429"/>
      <c r="B702" s="2489" t="s">
        <v>2051</v>
      </c>
      <c r="C702" s="2489"/>
      <c r="D702" s="2489"/>
      <c r="E702" s="2489"/>
      <c r="F702" s="2489"/>
      <c r="G702" s="2489"/>
      <c r="H702" s="2489"/>
      <c r="I702" s="2489"/>
      <c r="J702" s="2489"/>
      <c r="K702" s="2489"/>
      <c r="L702" s="2489"/>
      <c r="M702" s="2489"/>
      <c r="N702" s="2489"/>
      <c r="O702" s="2489"/>
      <c r="P702" s="2489"/>
      <c r="Q702" s="2489"/>
      <c r="R702" s="2489"/>
      <c r="S702" s="2489"/>
      <c r="T702" s="2489"/>
      <c r="U702" s="2489"/>
      <c r="V702" s="429"/>
      <c r="W702" s="429"/>
    </row>
    <row r="703" spans="1:23" s="429" customFormat="1" ht="33" customHeight="1">
      <c r="B703" s="2493" t="s">
        <v>2052</v>
      </c>
      <c r="C703" s="2493"/>
      <c r="D703" s="2493"/>
      <c r="E703" s="2493"/>
      <c r="F703" s="2493"/>
      <c r="G703" s="2493"/>
      <c r="H703" s="2493"/>
      <c r="I703" s="2493"/>
      <c r="J703" s="2493"/>
      <c r="K703" s="2493"/>
      <c r="L703" s="2493"/>
      <c r="M703" s="2493"/>
      <c r="N703" s="2493"/>
      <c r="O703" s="2493"/>
      <c r="P703" s="2493"/>
      <c r="Q703" s="2493"/>
      <c r="R703" s="2493"/>
      <c r="S703" s="2493"/>
      <c r="T703" s="2493"/>
      <c r="U703" s="2493"/>
    </row>
    <row r="704" spans="1:23" s="673" customFormat="1" ht="29.25" customHeight="1">
      <c r="A704" s="429"/>
      <c r="B704" s="2537" t="s">
        <v>2053</v>
      </c>
      <c r="C704" s="2537"/>
      <c r="D704" s="2537"/>
      <c r="E704" s="2537"/>
      <c r="F704" s="2537"/>
      <c r="G704" s="2537"/>
      <c r="H704" s="2537"/>
      <c r="I704" s="2537"/>
      <c r="J704" s="2537"/>
      <c r="K704" s="2537"/>
      <c r="L704" s="2537"/>
      <c r="M704" s="2537"/>
      <c r="N704" s="2537"/>
      <c r="O704" s="2537"/>
      <c r="P704" s="2537"/>
      <c r="Q704" s="2537"/>
      <c r="R704" s="2537"/>
      <c r="S704" s="2537"/>
      <c r="T704" s="2537"/>
      <c r="U704" s="2537"/>
      <c r="V704" s="429"/>
      <c r="W704" s="429"/>
    </row>
    <row r="705" spans="1:23" s="429" customFormat="1" ht="28.5" customHeight="1">
      <c r="B705" s="2493" t="s">
        <v>2054</v>
      </c>
      <c r="C705" s="2493"/>
      <c r="D705" s="2493"/>
      <c r="E705" s="2493"/>
      <c r="F705" s="2493"/>
      <c r="G705" s="2493"/>
      <c r="H705" s="2493"/>
      <c r="I705" s="2493"/>
      <c r="J705" s="2493"/>
      <c r="K705" s="2493"/>
      <c r="L705" s="2493"/>
      <c r="M705" s="2493"/>
      <c r="N705" s="2493"/>
      <c r="O705" s="2493"/>
      <c r="P705" s="2493"/>
      <c r="Q705" s="2493"/>
      <c r="R705" s="2493"/>
      <c r="S705" s="2493"/>
      <c r="T705" s="2493"/>
      <c r="U705" s="2493"/>
    </row>
    <row r="706" spans="1:23" s="673" customFormat="1" ht="22.5" customHeight="1">
      <c r="A706" s="429"/>
      <c r="B706" s="2537" t="s">
        <v>1934</v>
      </c>
      <c r="C706" s="2537"/>
      <c r="D706" s="2537"/>
      <c r="E706" s="2537"/>
      <c r="F706" s="2537"/>
      <c r="G706" s="2537"/>
      <c r="H706" s="2537"/>
      <c r="I706" s="2537"/>
      <c r="J706" s="2537"/>
      <c r="K706" s="2537"/>
      <c r="L706" s="2537"/>
      <c r="M706" s="2537"/>
      <c r="N706" s="2537"/>
      <c r="O706" s="2537"/>
      <c r="P706" s="2537"/>
      <c r="Q706" s="2537"/>
      <c r="R706" s="2537"/>
      <c r="S706" s="2537"/>
      <c r="T706" s="2537"/>
      <c r="U706" s="2537"/>
      <c r="V706" s="429"/>
      <c r="W706" s="429"/>
    </row>
    <row r="707" spans="1:23" s="673" customFormat="1" ht="18.75" customHeight="1">
      <c r="A707" s="429"/>
      <c r="B707" s="2540" t="s">
        <v>1935</v>
      </c>
      <c r="C707" s="2540"/>
      <c r="D707" s="2540"/>
      <c r="E707" s="2540"/>
      <c r="F707" s="2540"/>
      <c r="G707" s="2540"/>
      <c r="H707" s="2540"/>
      <c r="I707" s="2540"/>
      <c r="J707" s="2540"/>
      <c r="K707" s="2540"/>
      <c r="L707" s="2540"/>
      <c r="M707" s="2540"/>
      <c r="N707" s="2540"/>
      <c r="O707" s="2540"/>
      <c r="P707" s="2540"/>
      <c r="Q707" s="2540"/>
      <c r="R707" s="2540"/>
      <c r="S707" s="2540"/>
      <c r="T707" s="2540"/>
      <c r="U707" s="2540"/>
      <c r="V707" s="429"/>
      <c r="W707" s="429"/>
    </row>
    <row r="708" spans="1:23" s="673" customFormat="1" ht="30" customHeight="1">
      <c r="A708" s="429"/>
      <c r="B708" s="2487" t="s">
        <v>872</v>
      </c>
      <c r="C708" s="2487"/>
      <c r="D708" s="2487"/>
      <c r="E708" s="2487"/>
      <c r="F708" s="2487"/>
      <c r="G708" s="2487"/>
      <c r="H708" s="2487"/>
      <c r="I708" s="2487"/>
      <c r="J708" s="2487"/>
      <c r="K708" s="2487"/>
      <c r="L708" s="2487"/>
      <c r="M708" s="2487"/>
      <c r="N708" s="2487"/>
      <c r="O708" s="2487"/>
      <c r="P708" s="2487"/>
      <c r="Q708" s="2487"/>
      <c r="R708" s="2487"/>
      <c r="S708" s="2487"/>
      <c r="T708" s="2487"/>
      <c r="U708" s="2487"/>
      <c r="V708" s="429"/>
      <c r="W708" s="429"/>
    </row>
    <row r="709" spans="1:23" s="429" customFormat="1" ht="20.25" customHeight="1">
      <c r="B709" s="2616" t="s">
        <v>810</v>
      </c>
      <c r="C709" s="2616"/>
      <c r="D709" s="2616"/>
      <c r="E709" s="2616"/>
      <c r="F709" s="2616"/>
      <c r="G709" s="2616"/>
      <c r="H709" s="2616"/>
      <c r="I709" s="2616"/>
      <c r="J709" s="2616"/>
      <c r="K709" s="2616"/>
      <c r="L709" s="2616"/>
      <c r="M709" s="2616"/>
      <c r="N709" s="2616"/>
      <c r="O709" s="2616"/>
      <c r="P709" s="2616"/>
      <c r="Q709" s="2616"/>
      <c r="R709" s="2616"/>
      <c r="S709" s="2616"/>
      <c r="T709" s="2616"/>
      <c r="U709" s="2616"/>
    </row>
    <row r="710" spans="1:23" s="673" customFormat="1" ht="30" customHeight="1">
      <c r="A710" s="429"/>
      <c r="B710" s="2487" t="s">
        <v>673</v>
      </c>
      <c r="C710" s="2487"/>
      <c r="D710" s="2487"/>
      <c r="E710" s="2487"/>
      <c r="F710" s="2487"/>
      <c r="G710" s="2487"/>
      <c r="H710" s="2487"/>
      <c r="I710" s="2487"/>
      <c r="J710" s="2487"/>
      <c r="K710" s="2487"/>
      <c r="L710" s="2487"/>
      <c r="M710" s="2487"/>
      <c r="N710" s="2487"/>
      <c r="O710" s="2487"/>
      <c r="P710" s="2487"/>
      <c r="Q710" s="2487"/>
      <c r="R710" s="2487"/>
      <c r="S710" s="2487"/>
      <c r="T710" s="2487"/>
      <c r="U710" s="2487"/>
      <c r="V710" s="429"/>
      <c r="W710" s="429"/>
    </row>
    <row r="711" spans="1:23" s="522" customFormat="1" ht="57.75" customHeight="1">
      <c r="B711" s="2619" t="s">
        <v>1089</v>
      </c>
      <c r="C711" s="2619"/>
      <c r="D711" s="2619"/>
      <c r="E711" s="2619"/>
      <c r="F711" s="2619"/>
      <c r="G711" s="2619"/>
      <c r="H711" s="2619"/>
      <c r="I711" s="2619"/>
      <c r="J711" s="2619"/>
      <c r="K711" s="2619"/>
      <c r="L711" s="2619"/>
      <c r="M711" s="2619"/>
      <c r="N711" s="2619"/>
      <c r="O711" s="2619"/>
      <c r="P711" s="2619"/>
      <c r="Q711" s="2619"/>
      <c r="R711" s="2619"/>
      <c r="S711" s="2619"/>
      <c r="T711" s="2619"/>
      <c r="U711" s="2619"/>
      <c r="W711" s="429"/>
    </row>
    <row r="712" spans="1:23" ht="48" customHeight="1">
      <c r="B712" s="2539" t="s">
        <v>1902</v>
      </c>
      <c r="C712" s="2539"/>
      <c r="D712" s="2539"/>
      <c r="E712" s="2539"/>
      <c r="F712" s="2539"/>
      <c r="G712" s="2539"/>
      <c r="H712" s="2539"/>
      <c r="I712" s="2539"/>
      <c r="J712" s="2539"/>
      <c r="K712" s="2539"/>
      <c r="L712" s="2539"/>
      <c r="M712" s="2539"/>
      <c r="N712" s="2539"/>
      <c r="O712" s="2539"/>
      <c r="P712" s="2539"/>
      <c r="Q712" s="2539"/>
      <c r="R712" s="2539"/>
      <c r="S712" s="2539"/>
      <c r="T712" s="2539"/>
      <c r="U712" s="2539"/>
    </row>
    <row r="713" spans="1:23" ht="19.5" customHeight="1">
      <c r="B713" s="774"/>
      <c r="C713" s="774"/>
      <c r="D713" s="774"/>
      <c r="E713" s="774"/>
      <c r="F713" s="774"/>
      <c r="G713" s="774"/>
      <c r="H713" s="774"/>
      <c r="I713" s="774"/>
      <c r="J713" s="774"/>
      <c r="K713" s="774"/>
      <c r="L713" s="774"/>
      <c r="M713" s="476" t="s">
        <v>1148</v>
      </c>
      <c r="N713" s="774"/>
      <c r="O713" s="774"/>
      <c r="P713" s="774"/>
      <c r="Q713" s="774"/>
      <c r="R713" s="477" t="s">
        <v>692</v>
      </c>
      <c r="S713" s="478" t="str">
        <f>$E$29</f>
        <v>ILF5_90FCPRCP_B114CAGR43006</v>
      </c>
      <c r="T713" s="774"/>
      <c r="U713" s="774"/>
    </row>
    <row r="714" spans="1:23">
      <c r="H714" s="436" t="s">
        <v>690</v>
      </c>
      <c r="I714" s="420"/>
      <c r="K714" s="420"/>
      <c r="L714" s="437" t="str">
        <f>$B$11</f>
        <v>INMOBILIARIA SERVIGESTION</v>
      </c>
    </row>
    <row r="715" spans="1:23" ht="30">
      <c r="B715" s="2395" t="s">
        <v>461</v>
      </c>
      <c r="C715" s="2395"/>
      <c r="D715" s="2395"/>
      <c r="E715" s="2395"/>
      <c r="F715" s="2395"/>
      <c r="G715" s="2395"/>
      <c r="H715" s="2395"/>
      <c r="I715" s="2395"/>
      <c r="J715" s="2395"/>
      <c r="K715" s="2395"/>
      <c r="L715" s="2395"/>
      <c r="M715" s="2395"/>
      <c r="N715" s="2395"/>
      <c r="O715" s="2395"/>
      <c r="P715" s="2395"/>
      <c r="Q715" s="2395"/>
      <c r="R715" s="2395"/>
      <c r="S715" s="2395"/>
      <c r="T715" s="2395"/>
      <c r="U715" s="2395"/>
    </row>
    <row r="716" spans="1:23" ht="22.9" customHeight="1">
      <c r="B716" s="2252" t="s">
        <v>675</v>
      </c>
      <c r="C716" s="2252"/>
      <c r="D716" s="2252"/>
      <c r="E716" s="2252"/>
      <c r="F716" s="2252"/>
      <c r="G716" s="2252"/>
      <c r="H716" s="2252"/>
      <c r="I716" s="2252"/>
      <c r="J716" s="2252"/>
      <c r="K716" s="2252"/>
      <c r="L716" s="2252"/>
      <c r="M716" s="2252"/>
      <c r="N716" s="2252"/>
      <c r="O716" s="2252"/>
      <c r="P716" s="2252"/>
      <c r="Q716" s="2252"/>
      <c r="R716" s="2252"/>
      <c r="S716" s="2252"/>
      <c r="T716" s="2252"/>
      <c r="U716" s="2252"/>
    </row>
    <row r="717" spans="1:23" s="522" customFormat="1" ht="21" customHeight="1">
      <c r="B717" s="2474" t="s">
        <v>760</v>
      </c>
      <c r="C717" s="2474"/>
      <c r="D717" s="2474"/>
      <c r="E717" s="2474"/>
      <c r="F717" s="2474"/>
      <c r="G717" s="2474"/>
      <c r="H717" s="2474"/>
      <c r="I717" s="2474"/>
      <c r="J717" s="2474"/>
      <c r="K717" s="2474"/>
      <c r="L717" s="2474"/>
      <c r="M717" s="2474"/>
      <c r="N717" s="2474"/>
      <c r="O717" s="2474"/>
      <c r="P717" s="2474"/>
      <c r="Q717" s="2474"/>
      <c r="R717" s="2474"/>
      <c r="S717" s="2474"/>
      <c r="T717" s="2474"/>
      <c r="U717" s="2474"/>
    </row>
    <row r="718" spans="1:23" s="522" customFormat="1" ht="30.75" customHeight="1">
      <c r="B718" s="2441" t="s">
        <v>1179</v>
      </c>
      <c r="C718" s="2441"/>
      <c r="D718" s="2441"/>
      <c r="E718" s="2441"/>
      <c r="F718" s="2441"/>
      <c r="G718" s="2441"/>
      <c r="H718" s="2441"/>
      <c r="I718" s="2441"/>
      <c r="J718" s="2441"/>
      <c r="K718" s="2441"/>
      <c r="L718" s="2441"/>
      <c r="M718" s="2441"/>
      <c r="N718" s="2441"/>
      <c r="O718" s="2441"/>
      <c r="P718" s="2441"/>
      <c r="Q718" s="2441"/>
      <c r="R718" s="2441"/>
      <c r="S718" s="2441"/>
      <c r="T718" s="2441"/>
      <c r="U718" s="2441"/>
    </row>
    <row r="719" spans="1:23" s="522" customFormat="1" ht="21" customHeight="1">
      <c r="B719" s="2620" t="s">
        <v>1936</v>
      </c>
      <c r="C719" s="2620"/>
      <c r="D719" s="2620"/>
      <c r="E719" s="2620"/>
      <c r="F719" s="2620"/>
      <c r="G719" s="2620"/>
      <c r="H719" s="2620"/>
      <c r="I719" s="2620"/>
      <c r="J719" s="2620"/>
      <c r="K719" s="2620"/>
      <c r="L719" s="2620"/>
      <c r="M719" s="2620"/>
      <c r="N719" s="2620"/>
      <c r="O719" s="2620"/>
      <c r="P719" s="2620"/>
      <c r="Q719" s="2620"/>
      <c r="R719" s="2620"/>
      <c r="S719" s="2620"/>
      <c r="T719" s="2620"/>
      <c r="U719" s="2620"/>
    </row>
    <row r="720" spans="1:23" s="522" customFormat="1" ht="21" customHeight="1">
      <c r="B720" s="2584" t="s">
        <v>1947</v>
      </c>
      <c r="C720" s="2584"/>
      <c r="D720" s="2584"/>
      <c r="E720" s="2584"/>
      <c r="F720" s="2584"/>
      <c r="G720" s="2584"/>
      <c r="H720" s="2584"/>
      <c r="I720" s="2584"/>
      <c r="J720" s="2584"/>
      <c r="K720" s="2584"/>
      <c r="L720" s="2584"/>
      <c r="M720" s="2584"/>
      <c r="N720" s="2584"/>
      <c r="O720" s="2584"/>
      <c r="P720" s="2584"/>
      <c r="Q720" s="2584"/>
      <c r="R720" s="2584"/>
      <c r="S720" s="2584"/>
      <c r="T720" s="2584"/>
      <c r="U720" s="2584"/>
    </row>
    <row r="721" spans="1:23" s="522" customFormat="1" ht="19.149999999999999" customHeight="1">
      <c r="B721" s="2620" t="s">
        <v>1948</v>
      </c>
      <c r="C721" s="2620"/>
      <c r="D721" s="2620"/>
      <c r="E721" s="2620"/>
      <c r="F721" s="2620"/>
      <c r="G721" s="2620"/>
      <c r="H721" s="2620"/>
      <c r="I721" s="2620"/>
      <c r="J721" s="2620"/>
      <c r="K721" s="2620"/>
      <c r="L721" s="2620"/>
      <c r="M721" s="2620"/>
      <c r="N721" s="2620"/>
      <c r="O721" s="2620"/>
      <c r="P721" s="2620"/>
      <c r="Q721" s="2620"/>
      <c r="R721" s="2620"/>
      <c r="S721" s="2620"/>
      <c r="T721" s="2620"/>
      <c r="U721" s="2620"/>
    </row>
    <row r="722" spans="1:23" s="732" customFormat="1" ht="13.5" customHeight="1">
      <c r="B722" s="2491" t="s">
        <v>2055</v>
      </c>
      <c r="C722" s="2491"/>
      <c r="D722" s="2491"/>
      <c r="E722" s="2491"/>
      <c r="F722" s="2491"/>
      <c r="G722" s="2491"/>
      <c r="H722" s="2491"/>
      <c r="I722" s="2491"/>
      <c r="J722" s="2491"/>
      <c r="K722" s="2491"/>
      <c r="L722" s="2491"/>
      <c r="M722" s="2491"/>
      <c r="N722" s="2491"/>
      <c r="O722" s="2491"/>
      <c r="P722" s="2491"/>
      <c r="Q722" s="2491"/>
      <c r="R722" s="2491"/>
      <c r="S722" s="2491"/>
      <c r="T722" s="2491"/>
      <c r="U722" s="2491"/>
    </row>
    <row r="723" spans="1:23" s="522" customFormat="1" ht="22.5" customHeight="1">
      <c r="B723" s="2474" t="s">
        <v>1178</v>
      </c>
      <c r="C723" s="2474"/>
      <c r="D723" s="2474"/>
      <c r="E723" s="2474"/>
      <c r="F723" s="2474"/>
      <c r="G723" s="2474"/>
      <c r="H723" s="2474"/>
      <c r="I723" s="2474"/>
      <c r="J723" s="2474"/>
      <c r="K723" s="2474"/>
      <c r="L723" s="2474"/>
      <c r="M723" s="2474"/>
      <c r="N723" s="2474"/>
      <c r="O723" s="2474"/>
      <c r="P723" s="2474"/>
      <c r="Q723" s="2474"/>
      <c r="R723" s="2474"/>
      <c r="S723" s="2474"/>
      <c r="T723" s="2474"/>
      <c r="U723" s="2474"/>
      <c r="W723" s="429"/>
    </row>
    <row r="724" spans="1:23" s="522" customFormat="1" ht="59.25" customHeight="1">
      <c r="B724" s="2441" t="s">
        <v>2049</v>
      </c>
      <c r="C724" s="2441"/>
      <c r="D724" s="2441"/>
      <c r="E724" s="2441"/>
      <c r="F724" s="2441"/>
      <c r="G724" s="2441"/>
      <c r="H724" s="2441"/>
      <c r="I724" s="2441"/>
      <c r="J724" s="2441"/>
      <c r="K724" s="2441"/>
      <c r="L724" s="2441"/>
      <c r="M724" s="2441"/>
      <c r="N724" s="2441"/>
      <c r="O724" s="2441"/>
      <c r="P724" s="2441"/>
      <c r="Q724" s="2441"/>
      <c r="R724" s="2441"/>
      <c r="S724" s="2441"/>
      <c r="T724" s="2441"/>
      <c r="U724" s="2441"/>
      <c r="W724" s="429"/>
    </row>
    <row r="725" spans="1:23" s="522" customFormat="1" ht="21" customHeight="1">
      <c r="B725" s="2501" t="s">
        <v>949</v>
      </c>
      <c r="C725" s="2501"/>
      <c r="D725" s="2501"/>
      <c r="E725" s="2501"/>
      <c r="F725" s="2501"/>
      <c r="G725" s="2501"/>
      <c r="H725" s="2501"/>
      <c r="I725" s="2501"/>
      <c r="J725" s="2501"/>
      <c r="K725" s="2501"/>
      <c r="L725" s="2501"/>
      <c r="M725" s="2501"/>
      <c r="N725" s="2501"/>
      <c r="O725" s="2501"/>
      <c r="P725" s="2501"/>
      <c r="Q725" s="2501"/>
      <c r="R725" s="2501"/>
      <c r="S725" s="2501"/>
      <c r="T725" s="2501"/>
      <c r="U725" s="2501"/>
      <c r="V725" s="429"/>
      <c r="W725" s="429"/>
    </row>
    <row r="726" spans="1:23" s="733" customFormat="1" ht="28.5" customHeight="1">
      <c r="A726" s="429"/>
      <c r="B726" s="2441" t="s">
        <v>953</v>
      </c>
      <c r="C726" s="2441"/>
      <c r="D726" s="2441"/>
      <c r="E726" s="2441"/>
      <c r="F726" s="2441"/>
      <c r="G726" s="2441"/>
      <c r="H726" s="2441"/>
      <c r="I726" s="2441"/>
      <c r="J726" s="2441"/>
      <c r="K726" s="2441"/>
      <c r="L726" s="2441"/>
      <c r="M726" s="2441"/>
      <c r="N726" s="2441"/>
      <c r="O726" s="2441"/>
      <c r="P726" s="2441"/>
      <c r="Q726" s="2441"/>
      <c r="R726" s="2441"/>
      <c r="S726" s="2441"/>
      <c r="T726" s="2441"/>
      <c r="U726" s="2441"/>
      <c r="V726" s="429"/>
      <c r="W726" s="429"/>
    </row>
    <row r="727" spans="1:23" s="733" customFormat="1" ht="33.75" customHeight="1">
      <c r="A727" s="429"/>
      <c r="B727" s="2488" t="s">
        <v>954</v>
      </c>
      <c r="C727" s="2488"/>
      <c r="D727" s="2488"/>
      <c r="E727" s="2488"/>
      <c r="F727" s="2488"/>
      <c r="G727" s="2488"/>
      <c r="H727" s="2488"/>
      <c r="I727" s="2488"/>
      <c r="J727" s="2488"/>
      <c r="K727" s="2488"/>
      <c r="L727" s="2488"/>
      <c r="M727" s="2488"/>
      <c r="N727" s="2488"/>
      <c r="O727" s="2488"/>
      <c r="P727" s="2488"/>
      <c r="Q727" s="2488"/>
      <c r="R727" s="2488"/>
      <c r="S727" s="2488"/>
      <c r="T727" s="2488"/>
      <c r="U727" s="2488"/>
      <c r="V727" s="429"/>
      <c r="W727" s="429"/>
    </row>
    <row r="728" spans="1:23" s="733" customFormat="1" ht="16.149999999999999" customHeight="1">
      <c r="A728" s="429"/>
      <c r="B728" s="2441" t="s">
        <v>955</v>
      </c>
      <c r="C728" s="2441"/>
      <c r="D728" s="2441"/>
      <c r="E728" s="2441"/>
      <c r="F728" s="2441"/>
      <c r="G728" s="2441"/>
      <c r="H728" s="2441"/>
      <c r="I728" s="2441"/>
      <c r="J728" s="2441"/>
      <c r="K728" s="2441"/>
      <c r="L728" s="2441"/>
      <c r="M728" s="2441"/>
      <c r="N728" s="2441"/>
      <c r="O728" s="2441"/>
      <c r="P728" s="2441"/>
      <c r="Q728" s="2441"/>
      <c r="R728" s="2441"/>
      <c r="S728" s="2441"/>
      <c r="T728" s="2441"/>
      <c r="U728" s="2441"/>
      <c r="V728" s="429"/>
      <c r="W728" s="429"/>
    </row>
    <row r="729" spans="1:23" s="733" customFormat="1" ht="32.25" customHeight="1">
      <c r="A729" s="429"/>
      <c r="B729" s="2440" t="s">
        <v>1938</v>
      </c>
      <c r="C729" s="2440"/>
      <c r="D729" s="2440"/>
      <c r="E729" s="2440"/>
      <c r="F729" s="2440"/>
      <c r="G729" s="2440"/>
      <c r="H729" s="2440"/>
      <c r="I729" s="2440"/>
      <c r="J729" s="2440"/>
      <c r="K729" s="2440"/>
      <c r="L729" s="2440"/>
      <c r="M729" s="2440"/>
      <c r="N729" s="2440"/>
      <c r="O729" s="2440"/>
      <c r="P729" s="2440"/>
      <c r="Q729" s="2440"/>
      <c r="R729" s="2440"/>
      <c r="S729" s="2440"/>
      <c r="T729" s="2440"/>
      <c r="U729" s="2440"/>
      <c r="V729" s="429"/>
      <c r="W729" s="429"/>
    </row>
    <row r="730" spans="1:23" s="522" customFormat="1" ht="21" customHeight="1">
      <c r="B730" s="2501" t="s">
        <v>688</v>
      </c>
      <c r="C730" s="2501"/>
      <c r="D730" s="2501"/>
      <c r="E730" s="2501"/>
      <c r="F730" s="2501"/>
      <c r="G730" s="2501"/>
      <c r="H730" s="2501"/>
      <c r="I730" s="2501"/>
      <c r="J730" s="2501"/>
      <c r="K730" s="2501"/>
      <c r="L730" s="2501"/>
      <c r="M730" s="2501"/>
      <c r="N730" s="2501"/>
      <c r="O730" s="2501"/>
      <c r="P730" s="2501"/>
      <c r="Q730" s="2501"/>
      <c r="R730" s="2501"/>
      <c r="S730" s="2501"/>
      <c r="T730" s="2501"/>
      <c r="U730" s="2501"/>
      <c r="W730" s="429"/>
    </row>
    <row r="731" spans="1:23" s="522" customFormat="1" ht="60.75" customHeight="1">
      <c r="B731" s="2488" t="s">
        <v>1077</v>
      </c>
      <c r="C731" s="2488"/>
      <c r="D731" s="2488"/>
      <c r="E731" s="2488"/>
      <c r="F731" s="2488"/>
      <c r="G731" s="2488"/>
      <c r="H731" s="2488"/>
      <c r="I731" s="2488"/>
      <c r="J731" s="2488"/>
      <c r="K731" s="2488"/>
      <c r="L731" s="2488"/>
      <c r="M731" s="2488"/>
      <c r="N731" s="2488"/>
      <c r="O731" s="2488"/>
      <c r="P731" s="2488"/>
      <c r="Q731" s="2488"/>
      <c r="R731" s="2488"/>
      <c r="S731" s="2488"/>
      <c r="T731" s="2488"/>
      <c r="U731" s="2488"/>
      <c r="W731" s="429"/>
    </row>
    <row r="732" spans="1:23" s="522" customFormat="1" ht="160.5" customHeight="1">
      <c r="B732" s="2441" t="s">
        <v>1891</v>
      </c>
      <c r="C732" s="2441"/>
      <c r="D732" s="2441"/>
      <c r="E732" s="2441"/>
      <c r="F732" s="2441"/>
      <c r="G732" s="2441"/>
      <c r="H732" s="2441"/>
      <c r="I732" s="2441"/>
      <c r="J732" s="2441"/>
      <c r="K732" s="2441"/>
      <c r="L732" s="2441"/>
      <c r="M732" s="2441"/>
      <c r="N732" s="2441"/>
      <c r="O732" s="2441"/>
      <c r="P732" s="2441"/>
      <c r="Q732" s="2441"/>
      <c r="R732" s="2441"/>
      <c r="S732" s="2441"/>
      <c r="T732" s="2441"/>
      <c r="U732" s="2441"/>
      <c r="W732" s="429"/>
    </row>
    <row r="733" spans="1:23" s="522" customFormat="1" ht="30" customHeight="1">
      <c r="B733" s="2488" t="s">
        <v>1015</v>
      </c>
      <c r="C733" s="2488"/>
      <c r="D733" s="2488"/>
      <c r="E733" s="2488"/>
      <c r="F733" s="2488"/>
      <c r="G733" s="2488"/>
      <c r="H733" s="2488"/>
      <c r="I733" s="2488"/>
      <c r="J733" s="2488"/>
      <c r="K733" s="2488"/>
      <c r="L733" s="2488"/>
      <c r="M733" s="2488"/>
      <c r="N733" s="2488"/>
      <c r="O733" s="2488"/>
      <c r="P733" s="2488"/>
      <c r="Q733" s="2488"/>
      <c r="R733" s="2488"/>
      <c r="S733" s="2488"/>
      <c r="T733" s="2488"/>
      <c r="U733" s="2488"/>
      <c r="W733" s="429"/>
    </row>
    <row r="734" spans="1:23" s="522" customFormat="1" ht="20.25" customHeight="1">
      <c r="B734" s="2501" t="s">
        <v>1816</v>
      </c>
      <c r="C734" s="2501"/>
      <c r="D734" s="2501"/>
      <c r="E734" s="2501"/>
      <c r="F734" s="2501"/>
      <c r="G734" s="2501"/>
      <c r="H734" s="2501"/>
      <c r="I734" s="2501"/>
      <c r="J734" s="2501"/>
      <c r="K734" s="2501"/>
      <c r="L734" s="2501"/>
      <c r="M734" s="2501"/>
      <c r="N734" s="2501"/>
      <c r="O734" s="2501"/>
      <c r="P734" s="2501"/>
      <c r="Q734" s="2501"/>
      <c r="R734" s="2501"/>
      <c r="S734" s="2501"/>
      <c r="T734" s="2501"/>
      <c r="U734" s="2501"/>
      <c r="W734" s="429"/>
    </row>
    <row r="735" spans="1:23" s="429" customFormat="1" ht="30" customHeight="1">
      <c r="B735" s="2441" t="s">
        <v>1817</v>
      </c>
      <c r="C735" s="2441"/>
      <c r="D735" s="2441"/>
      <c r="E735" s="2441"/>
      <c r="F735" s="2441"/>
      <c r="G735" s="2441"/>
      <c r="H735" s="2441"/>
      <c r="I735" s="2441"/>
      <c r="J735" s="2441"/>
      <c r="K735" s="2441"/>
      <c r="L735" s="2441"/>
      <c r="M735" s="2441"/>
      <c r="N735" s="2441"/>
      <c r="O735" s="2441"/>
      <c r="P735" s="2441"/>
      <c r="Q735" s="2441"/>
      <c r="R735" s="2441"/>
      <c r="S735" s="2441"/>
      <c r="T735" s="2441"/>
      <c r="U735" s="2441"/>
    </row>
    <row r="736" spans="1:23" s="522" customFormat="1" ht="22.15" customHeight="1">
      <c r="B736" s="2501" t="s">
        <v>1135</v>
      </c>
      <c r="C736" s="2501"/>
      <c r="D736" s="2501"/>
      <c r="E736" s="2501"/>
      <c r="F736" s="2501"/>
      <c r="G736" s="2501"/>
      <c r="H736" s="2501"/>
      <c r="I736" s="2501"/>
      <c r="J736" s="2501"/>
      <c r="K736" s="2501"/>
      <c r="L736" s="2501"/>
      <c r="M736" s="2501"/>
      <c r="N736" s="2501"/>
      <c r="O736" s="2501"/>
      <c r="P736" s="2501"/>
      <c r="Q736" s="2501"/>
      <c r="R736" s="2501"/>
      <c r="S736" s="2501"/>
      <c r="T736" s="2501"/>
      <c r="U736" s="2501"/>
      <c r="V736" s="429"/>
      <c r="W736" s="429"/>
    </row>
    <row r="737" spans="1:23" s="522" customFormat="1" ht="29.25" customHeight="1">
      <c r="B737" s="2441" t="s">
        <v>1855</v>
      </c>
      <c r="C737" s="2441"/>
      <c r="D737" s="2441"/>
      <c r="E737" s="2441"/>
      <c r="F737" s="2441"/>
      <c r="G737" s="2441"/>
      <c r="H737" s="2441"/>
      <c r="I737" s="2441"/>
      <c r="J737" s="2441"/>
      <c r="K737" s="2441"/>
      <c r="L737" s="2441"/>
      <c r="M737" s="2441"/>
      <c r="N737" s="2441"/>
      <c r="O737" s="2441"/>
      <c r="P737" s="2441"/>
      <c r="Q737" s="2441"/>
      <c r="R737" s="2441"/>
      <c r="S737" s="2441"/>
      <c r="T737" s="2441"/>
      <c r="U737" s="2441"/>
      <c r="V737" s="429"/>
      <c r="W737" s="429"/>
    </row>
    <row r="738" spans="1:23" s="734" customFormat="1" ht="21.75" customHeight="1">
      <c r="A738" s="429"/>
      <c r="B738" s="2501" t="s">
        <v>912</v>
      </c>
      <c r="C738" s="2501"/>
      <c r="D738" s="2501"/>
      <c r="E738" s="2501"/>
      <c r="F738" s="2501"/>
      <c r="G738" s="2501"/>
      <c r="H738" s="2501"/>
      <c r="I738" s="2501"/>
      <c r="J738" s="2501"/>
      <c r="K738" s="2501"/>
      <c r="L738" s="2501"/>
      <c r="M738" s="2501"/>
      <c r="N738" s="2501"/>
      <c r="O738" s="2501"/>
      <c r="P738" s="2501"/>
      <c r="Q738" s="2501"/>
      <c r="R738" s="2501"/>
      <c r="S738" s="2501"/>
      <c r="T738" s="2501"/>
      <c r="U738" s="2501"/>
      <c r="V738" s="429"/>
      <c r="W738" s="429"/>
    </row>
    <row r="739" spans="1:23" s="733" customFormat="1" ht="61.5" customHeight="1">
      <c r="A739" s="429"/>
      <c r="B739" s="2488" t="s">
        <v>959</v>
      </c>
      <c r="C739" s="2488"/>
      <c r="D739" s="2488"/>
      <c r="E739" s="2488"/>
      <c r="F739" s="2488"/>
      <c r="G739" s="2488"/>
      <c r="H739" s="2488"/>
      <c r="I739" s="2488"/>
      <c r="J739" s="2488"/>
      <c r="K739" s="2488"/>
      <c r="L739" s="2488"/>
      <c r="M739" s="2488"/>
      <c r="N739" s="2488"/>
      <c r="O739" s="2488"/>
      <c r="P739" s="2488"/>
      <c r="Q739" s="2488"/>
      <c r="R739" s="2488"/>
      <c r="S739" s="2488"/>
      <c r="T739" s="2488"/>
      <c r="U739" s="2488"/>
      <c r="V739" s="429"/>
      <c r="W739" s="429"/>
    </row>
    <row r="740" spans="1:23" s="1239" customFormat="1" ht="47.25" customHeight="1">
      <c r="B740" s="2584" t="s">
        <v>1949</v>
      </c>
      <c r="C740" s="2584"/>
      <c r="D740" s="2584"/>
      <c r="E740" s="2584"/>
      <c r="F740" s="2584"/>
      <c r="G740" s="2584"/>
      <c r="H740" s="2584"/>
      <c r="I740" s="2584"/>
      <c r="J740" s="2584"/>
      <c r="K740" s="2584"/>
      <c r="L740" s="2584"/>
      <c r="M740" s="2584"/>
      <c r="N740" s="2584"/>
      <c r="O740" s="2584"/>
      <c r="P740" s="2584"/>
      <c r="Q740" s="2584"/>
      <c r="R740" s="2584"/>
      <c r="S740" s="2584"/>
      <c r="T740" s="2584"/>
      <c r="U740" s="2584"/>
      <c r="W740" s="429"/>
    </row>
    <row r="741" spans="1:23" s="522" customFormat="1" ht="52.15" customHeight="1">
      <c r="B741" s="2488" t="s">
        <v>1902</v>
      </c>
      <c r="C741" s="2488"/>
      <c r="D741" s="2488"/>
      <c r="E741" s="2488"/>
      <c r="F741" s="2488"/>
      <c r="G741" s="2488"/>
      <c r="H741" s="2488"/>
      <c r="I741" s="2488"/>
      <c r="J741" s="2488"/>
      <c r="K741" s="2488"/>
      <c r="L741" s="2488"/>
      <c r="M741" s="2488"/>
      <c r="N741" s="2488"/>
      <c r="O741" s="2488"/>
      <c r="P741" s="2488"/>
      <c r="Q741" s="2488"/>
      <c r="R741" s="2488"/>
      <c r="S741" s="2488"/>
      <c r="T741" s="2488"/>
      <c r="U741" s="2488"/>
      <c r="W741" s="429"/>
    </row>
    <row r="742" spans="1:23" s="522" customFormat="1" ht="24.75" customHeight="1">
      <c r="B742" s="2618" t="str">
        <f>IF(Perfiles_usuario!R282&gt;0,IF(Perfiles_usuario!J17&lt;&gt;"Nuevo","","Abono de penalizaciones"),"")</f>
        <v>Abono de penalizaciones</v>
      </c>
      <c r="C742" s="2618"/>
      <c r="D742" s="2618"/>
      <c r="E742" s="2618"/>
      <c r="F742" s="2618"/>
      <c r="G742" s="2618"/>
      <c r="H742" s="2618"/>
      <c r="I742" s="492"/>
      <c r="J742" s="492"/>
      <c r="K742" s="492"/>
      <c r="L742" s="492"/>
      <c r="M742" s="492"/>
      <c r="N742" s="492"/>
      <c r="O742" s="492"/>
      <c r="P742" s="492"/>
      <c r="Q742" s="492"/>
      <c r="R742" s="492"/>
      <c r="S742" s="492"/>
      <c r="T742" s="492"/>
      <c r="U742" s="735"/>
    </row>
    <row r="743" spans="1:23" s="522" customFormat="1" ht="35.25" customHeight="1">
      <c r="B743" s="2600" t="str">
        <f>IF(Perfiles_usuario!J17="Cartera Orange","",IF(Perfiles_usuario!$R$282=0,"",CONCATENATE(CONCATENATE("En el supuesto de que  ",$B$11," deba hacer frente a penalización por cancelación anticipada de su Contrato de prestación de servicios de telecomunicación con su actual operador, ORANGE se compromete a aplicar dicho importe como descuento en factura"), CONCATENATE(", con un máximo de ",ROUND(Perfiles_usuario!$R$282,0)," €"))))</f>
        <v>En el supuesto de que  INMOBILIARIA SERVIGESTION deba hacer frente a penalización por cancelación anticipada de su Contrato de prestación de servicios de telecomunicación con su actual operador, ORANGE se compromete a aplicar dicho importe como descuento en factura, con un máximo de 452 €</v>
      </c>
      <c r="C743" s="2600"/>
      <c r="D743" s="2600"/>
      <c r="E743" s="2600"/>
      <c r="F743" s="2600"/>
      <c r="G743" s="2600"/>
      <c r="H743" s="2600"/>
      <c r="I743" s="2600"/>
      <c r="J743" s="2600"/>
      <c r="K743" s="2600"/>
      <c r="L743" s="2600"/>
      <c r="M743" s="2600"/>
      <c r="N743" s="2600"/>
      <c r="O743" s="2600"/>
      <c r="P743" s="2600"/>
      <c r="Q743" s="2600"/>
      <c r="R743" s="2600"/>
      <c r="S743" s="2600"/>
      <c r="T743" s="2600"/>
      <c r="U743" s="2600"/>
    </row>
    <row r="744" spans="1:23" s="522" customFormat="1" ht="24" customHeight="1">
      <c r="B744" s="2600" t="str">
        <f>IF(Perfiles_usuario!J17="Cartera Orange","",IF(Perfiles_usuario!$R$282=0,"",CONCATENATE("Si ",B11, " no contrata el producto ",Calculos_cuotas!W140," dicha cantidad se verá reducida en ", Calculos_cuotas!V140, "€.")))</f>
        <v>Si INMOBILIARIA SERVIGESTION no contrata el producto Conecta 2A dicha cantidad se verá reducida en 80€.</v>
      </c>
      <c r="C744" s="2600"/>
      <c r="D744" s="2600"/>
      <c r="E744" s="2600"/>
      <c r="F744" s="2600"/>
      <c r="G744" s="2600"/>
      <c r="H744" s="2600"/>
      <c r="I744" s="2600"/>
      <c r="J744" s="2600"/>
      <c r="K744" s="2600"/>
      <c r="L744" s="2600"/>
      <c r="M744" s="2600"/>
      <c r="N744" s="2600"/>
      <c r="O744" s="2600"/>
      <c r="P744" s="2600"/>
      <c r="Q744" s="2600"/>
      <c r="R744" s="2600"/>
      <c r="S744" s="2600"/>
      <c r="T744" s="2600"/>
      <c r="U744" s="2600"/>
    </row>
    <row r="745" spans="1:23" s="522" customFormat="1" ht="57" customHeight="1">
      <c r="B745" s="2600"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INMOBILIARIA SERVIGESTION deberá acreditar la cuantía y pago de la correspondiente penalización a su actual operador para que dicho descuento sea aplicado. Si el valor efectivamente abonado es inferior al máximo descuento en factura, el descuento que se aplicará será lo efectivamente abonado por INMOBILIARIA SERVIGESTION. El descuento se realizará, en una sola factura, tras la recepción en ORANGE de los documentos acreditativos del pago de la penalización en un plazo inferior a 6 meses, contados a partir del comienzo de la activación de los servicios. </v>
      </c>
      <c r="C745" s="2600"/>
      <c r="D745" s="2600"/>
      <c r="E745" s="2600"/>
      <c r="F745" s="2600"/>
      <c r="G745" s="2600"/>
      <c r="H745" s="2600"/>
      <c r="I745" s="2600"/>
      <c r="J745" s="2600"/>
      <c r="K745" s="2600"/>
      <c r="L745" s="2600"/>
      <c r="M745" s="2600"/>
      <c r="N745" s="2600"/>
      <c r="O745" s="2600"/>
      <c r="P745" s="2600"/>
      <c r="Q745" s="2600"/>
      <c r="R745" s="2600"/>
      <c r="S745" s="2600"/>
      <c r="T745" s="2600"/>
      <c r="U745" s="2600"/>
    </row>
    <row r="746" spans="1:23" s="522" customFormat="1" ht="38.25" customHeight="1">
      <c r="B746" s="2600"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INMOBILIARIA SERVIGESTION se compromete a portar 6 líneas móviles y a permanecer de alta en el servicio móvil Empresas de ORANGE con 8 líneas móviles, manteniendo la tarifa y los productos y módulos contratados en la presente hoja de condiciones durante un mínimo de 12 meses. Dicho descuento está condicionado al mantenimiento del nº de líneas y nº de líneas activas facilitados por el cliente.</v>
      </c>
      <c r="C746" s="2600"/>
      <c r="D746" s="2600"/>
      <c r="E746" s="2600"/>
      <c r="F746" s="2600"/>
      <c r="G746" s="2600"/>
      <c r="H746" s="2600"/>
      <c r="I746" s="2600"/>
      <c r="J746" s="2600"/>
      <c r="K746" s="2600"/>
      <c r="L746" s="2600"/>
      <c r="M746" s="2600"/>
      <c r="N746" s="2600"/>
      <c r="O746" s="2600"/>
      <c r="P746" s="2600"/>
      <c r="Q746" s="2600"/>
      <c r="R746" s="2600"/>
      <c r="S746" s="2600"/>
      <c r="T746" s="2600"/>
      <c r="U746" s="2600"/>
    </row>
    <row r="747" spans="1:23" s="522" customFormat="1" ht="35.25" customHeight="1">
      <c r="B747" s="2600"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INMOBILIARIA SERVIGESTION desee cancelar, total o parcialmente, o modificar sustancialmente los servicios regulados por el Contrato Empresas de ORANGE tras la activación de los mismos y antes del abono del descuento, éste no se efectuará.</v>
      </c>
      <c r="C747" s="2600"/>
      <c r="D747" s="2600"/>
      <c r="E747" s="2600"/>
      <c r="F747" s="2600"/>
      <c r="G747" s="2600"/>
      <c r="H747" s="2600"/>
      <c r="I747" s="2600"/>
      <c r="J747" s="2600"/>
      <c r="K747" s="2600"/>
      <c r="L747" s="2600"/>
      <c r="M747" s="2600"/>
      <c r="N747" s="2600"/>
      <c r="O747" s="2600"/>
      <c r="P747" s="2600"/>
      <c r="Q747" s="2600"/>
      <c r="R747" s="2600"/>
      <c r="S747" s="2600"/>
      <c r="T747" s="2600"/>
      <c r="U747" s="2600"/>
    </row>
    <row r="748" spans="1:23" ht="26.25" customHeight="1">
      <c r="B748" s="2252" t="s">
        <v>676</v>
      </c>
      <c r="C748" s="2252"/>
      <c r="D748" s="2252"/>
      <c r="E748" s="2252"/>
      <c r="F748" s="2252"/>
      <c r="G748" s="2252"/>
      <c r="H748" s="2252"/>
      <c r="I748" s="2252"/>
      <c r="J748" s="2252"/>
      <c r="K748" s="2252"/>
      <c r="L748" s="2252"/>
      <c r="M748" s="2252"/>
      <c r="N748" s="2252"/>
      <c r="O748" s="2252"/>
      <c r="P748" s="2252"/>
      <c r="Q748" s="2252"/>
      <c r="R748" s="2252"/>
      <c r="S748" s="2252"/>
      <c r="T748" s="2252"/>
      <c r="U748" s="2252"/>
    </row>
    <row r="749" spans="1:23" ht="47.25" customHeight="1">
      <c r="B749" s="2617" t="s">
        <v>677</v>
      </c>
      <c r="C749" s="2617"/>
      <c r="D749" s="2617"/>
      <c r="E749" s="2617"/>
      <c r="F749" s="2617"/>
      <c r="G749" s="2617"/>
      <c r="H749" s="2617"/>
      <c r="I749" s="2617"/>
      <c r="J749" s="2617"/>
      <c r="K749" s="2617"/>
      <c r="L749" s="2617"/>
      <c r="M749" s="2617"/>
      <c r="N749" s="2617"/>
      <c r="O749" s="2617"/>
      <c r="P749" s="2617"/>
      <c r="Q749" s="2617"/>
      <c r="R749" s="2617"/>
      <c r="S749" s="2617"/>
      <c r="T749" s="2617"/>
      <c r="U749" s="2617"/>
    </row>
    <row r="750" spans="1:23" ht="5.25" customHeight="1">
      <c r="B750" s="773"/>
      <c r="D750" s="773"/>
      <c r="E750" s="773"/>
      <c r="F750" s="773"/>
      <c r="G750" s="773"/>
      <c r="H750" s="773"/>
      <c r="I750" s="766"/>
      <c r="J750" s="773"/>
      <c r="K750" s="773"/>
      <c r="L750" s="773"/>
      <c r="M750" s="773"/>
      <c r="N750" s="773"/>
      <c r="O750" s="773"/>
      <c r="P750" s="773"/>
      <c r="Q750" s="773"/>
      <c r="R750" s="773"/>
      <c r="S750" s="773"/>
      <c r="T750" s="773"/>
      <c r="U750" s="773"/>
    </row>
    <row r="751" spans="1:23" ht="87" customHeight="1">
      <c r="B751" s="522"/>
      <c r="C751" s="738" t="s">
        <v>668</v>
      </c>
      <c r="D751" s="584"/>
      <c r="E751" s="584"/>
      <c r="F751" s="584"/>
      <c r="G751" s="2498" t="s">
        <v>678</v>
      </c>
      <c r="H751" s="2499"/>
      <c r="I751" s="2499"/>
      <c r="J751" s="2499"/>
      <c r="K751" s="2499"/>
      <c r="L751" s="2499"/>
      <c r="M751" s="2499"/>
      <c r="N751" s="2499"/>
      <c r="O751" s="2499"/>
      <c r="P751" s="2500"/>
      <c r="Q751" s="561"/>
      <c r="R751" s="561"/>
      <c r="S751" s="441"/>
      <c r="T751" s="441"/>
      <c r="U751" s="588"/>
      <c r="V751" s="441"/>
    </row>
    <row r="753" spans="13:19" ht="15.75">
      <c r="M753" s="476" t="s">
        <v>1147</v>
      </c>
      <c r="R753" s="477" t="s">
        <v>692</v>
      </c>
      <c r="S753" s="478" t="str">
        <f>$E$29</f>
        <v>ILF5_90FCPRCP_B114CAGR43006</v>
      </c>
    </row>
  </sheetData>
  <sheetProtection algorithmName="SHA-512" hashValue="nLO88MCe0cm5Wv5LCZBqprORPb23xK7weu8662bYCO24kAi6Ns7Hvi4giulTxiQ5eR0EHaMqyTW34Sr8REdBIg==" saltValue="fU6iE8oRH3f8FxQstsVVSQ==" spinCount="100000" sheet="1" selectLockedCells="1" selectUnlockedCells="1"/>
  <mergeCells count="925">
    <mergeCell ref="L661:M661"/>
    <mergeCell ref="O537:T537"/>
    <mergeCell ref="C670:D670"/>
    <mergeCell ref="C671:D671"/>
    <mergeCell ref="E670:G670"/>
    <mergeCell ref="E671:G671"/>
    <mergeCell ref="B544:U544"/>
    <mergeCell ref="B545:U545"/>
    <mergeCell ref="B548:K548"/>
    <mergeCell ref="B552:U552"/>
    <mergeCell ref="B555:J555"/>
    <mergeCell ref="B556:J556"/>
    <mergeCell ref="D559:H559"/>
    <mergeCell ref="I559:L559"/>
    <mergeCell ref="M559:T559"/>
    <mergeCell ref="S577:T577"/>
    <mergeCell ref="B557:U557"/>
    <mergeCell ref="B558:U558"/>
    <mergeCell ref="B547:U547"/>
    <mergeCell ref="B549:U549"/>
    <mergeCell ref="B551:U551"/>
    <mergeCell ref="B553:U553"/>
    <mergeCell ref="B554:U554"/>
    <mergeCell ref="B664:K664"/>
    <mergeCell ref="O352:P352"/>
    <mergeCell ref="O353:P353"/>
    <mergeCell ref="O354:P354"/>
    <mergeCell ref="O355:P355"/>
    <mergeCell ref="O356:P356"/>
    <mergeCell ref="O357:P357"/>
    <mergeCell ref="O358:P358"/>
    <mergeCell ref="O359:P359"/>
    <mergeCell ref="O360:P360"/>
    <mergeCell ref="Q336:R336"/>
    <mergeCell ref="Q337:R337"/>
    <mergeCell ref="Q338:R338"/>
    <mergeCell ref="O341:P341"/>
    <mergeCell ref="O342:P342"/>
    <mergeCell ref="O343:P343"/>
    <mergeCell ref="O344:P344"/>
    <mergeCell ref="O345:P345"/>
    <mergeCell ref="O346:P346"/>
    <mergeCell ref="O339:P339"/>
    <mergeCell ref="Q339:R339"/>
    <mergeCell ref="O340:P340"/>
    <mergeCell ref="O336:P336"/>
    <mergeCell ref="Q326:R326"/>
    <mergeCell ref="O327:P327"/>
    <mergeCell ref="Q327:R327"/>
    <mergeCell ref="O328:P328"/>
    <mergeCell ref="Q328:R328"/>
    <mergeCell ref="O329:P329"/>
    <mergeCell ref="Q329:R329"/>
    <mergeCell ref="O330:P330"/>
    <mergeCell ref="Q330:R330"/>
    <mergeCell ref="O326:P326"/>
    <mergeCell ref="O324:P324"/>
    <mergeCell ref="Q324:R324"/>
    <mergeCell ref="O325:P325"/>
    <mergeCell ref="Q325:R325"/>
    <mergeCell ref="S272:U272"/>
    <mergeCell ref="Q274:R274"/>
    <mergeCell ref="Q275:Q277"/>
    <mergeCell ref="L279:O282"/>
    <mergeCell ref="Q279:U279"/>
    <mergeCell ref="S281:U281"/>
    <mergeCell ref="Q283:Q285"/>
    <mergeCell ref="S290:S291"/>
    <mergeCell ref="T290:T291"/>
    <mergeCell ref="N291:O291"/>
    <mergeCell ref="Q292:R293"/>
    <mergeCell ref="S292:S293"/>
    <mergeCell ref="O319:P319"/>
    <mergeCell ref="Q319:R319"/>
    <mergeCell ref="O321:P321"/>
    <mergeCell ref="Q321:R321"/>
    <mergeCell ref="O322:P322"/>
    <mergeCell ref="Q322:R322"/>
    <mergeCell ref="O323:P323"/>
    <mergeCell ref="Q323:R323"/>
    <mergeCell ref="B665:U665"/>
    <mergeCell ref="B534:C534"/>
    <mergeCell ref="D534:E534"/>
    <mergeCell ref="F534:G534"/>
    <mergeCell ref="J534:K534"/>
    <mergeCell ref="L534:M534"/>
    <mergeCell ref="N534:O534"/>
    <mergeCell ref="P534:Q534"/>
    <mergeCell ref="R534:S534"/>
    <mergeCell ref="B535:C535"/>
    <mergeCell ref="D535:E535"/>
    <mergeCell ref="F535:G535"/>
    <mergeCell ref="J535:K535"/>
    <mergeCell ref="L535:M535"/>
    <mergeCell ref="N535:O535"/>
    <mergeCell ref="P535:Q535"/>
    <mergeCell ref="R535:S535"/>
    <mergeCell ref="S539:T539"/>
    <mergeCell ref="N661:O661"/>
    <mergeCell ref="L663:M663"/>
    <mergeCell ref="N663:O663"/>
    <mergeCell ref="C658:G658"/>
    <mergeCell ref="H658:K658"/>
    <mergeCell ref="B611:U611"/>
    <mergeCell ref="B532:C532"/>
    <mergeCell ref="D532:E532"/>
    <mergeCell ref="F532:G532"/>
    <mergeCell ref="J532:K532"/>
    <mergeCell ref="L532:M532"/>
    <mergeCell ref="N532:O532"/>
    <mergeCell ref="P532:Q532"/>
    <mergeCell ref="R532:S532"/>
    <mergeCell ref="B533:C533"/>
    <mergeCell ref="D533:E533"/>
    <mergeCell ref="F533:G533"/>
    <mergeCell ref="J533:K533"/>
    <mergeCell ref="L533:M533"/>
    <mergeCell ref="N533:O533"/>
    <mergeCell ref="P533:Q533"/>
    <mergeCell ref="R533:S533"/>
    <mergeCell ref="B530:C530"/>
    <mergeCell ref="D530:E530"/>
    <mergeCell ref="F530:G530"/>
    <mergeCell ref="J530:K530"/>
    <mergeCell ref="L530:M530"/>
    <mergeCell ref="N530:O530"/>
    <mergeCell ref="P530:Q530"/>
    <mergeCell ref="R530:S530"/>
    <mergeCell ref="B531:C531"/>
    <mergeCell ref="D531:E531"/>
    <mergeCell ref="F531:G531"/>
    <mergeCell ref="J531:K531"/>
    <mergeCell ref="L531:M531"/>
    <mergeCell ref="N531:O531"/>
    <mergeCell ref="P531:Q531"/>
    <mergeCell ref="R531:S531"/>
    <mergeCell ref="B528:C528"/>
    <mergeCell ref="D528:E528"/>
    <mergeCell ref="F528:G528"/>
    <mergeCell ref="J528:K528"/>
    <mergeCell ref="L528:M528"/>
    <mergeCell ref="N528:O528"/>
    <mergeCell ref="P528:Q528"/>
    <mergeCell ref="R528:S528"/>
    <mergeCell ref="B529:C529"/>
    <mergeCell ref="D529:E529"/>
    <mergeCell ref="F529:G529"/>
    <mergeCell ref="J529:K529"/>
    <mergeCell ref="L529:M529"/>
    <mergeCell ref="N529:O529"/>
    <mergeCell ref="P529:Q529"/>
    <mergeCell ref="R529:S529"/>
    <mergeCell ref="B526:C526"/>
    <mergeCell ref="D526:E526"/>
    <mergeCell ref="F526:G526"/>
    <mergeCell ref="J526:K526"/>
    <mergeCell ref="L526:M526"/>
    <mergeCell ref="N526:O526"/>
    <mergeCell ref="P526:Q526"/>
    <mergeCell ref="R526:S526"/>
    <mergeCell ref="B527:C527"/>
    <mergeCell ref="D527:E527"/>
    <mergeCell ref="F527:G527"/>
    <mergeCell ref="J527:K527"/>
    <mergeCell ref="L527:M527"/>
    <mergeCell ref="N527:O527"/>
    <mergeCell ref="P527:Q527"/>
    <mergeCell ref="R527:S527"/>
    <mergeCell ref="B524:C524"/>
    <mergeCell ref="D524:E524"/>
    <mergeCell ref="F524:G524"/>
    <mergeCell ref="J524:K524"/>
    <mergeCell ref="L524:M524"/>
    <mergeCell ref="N524:O524"/>
    <mergeCell ref="P524:Q524"/>
    <mergeCell ref="R524:S524"/>
    <mergeCell ref="B525:C525"/>
    <mergeCell ref="D525:E525"/>
    <mergeCell ref="F525:G525"/>
    <mergeCell ref="J525:K525"/>
    <mergeCell ref="L525:M525"/>
    <mergeCell ref="N525:O525"/>
    <mergeCell ref="P525:Q525"/>
    <mergeCell ref="R525:S525"/>
    <mergeCell ref="B507:U507"/>
    <mergeCell ref="B508:U508"/>
    <mergeCell ref="B509:U509"/>
    <mergeCell ref="B503:U503"/>
    <mergeCell ref="B504:K504"/>
    <mergeCell ref="B505:K505"/>
    <mergeCell ref="B523:C523"/>
    <mergeCell ref="D523:E523"/>
    <mergeCell ref="F523:G523"/>
    <mergeCell ref="J523:K523"/>
    <mergeCell ref="L523:M523"/>
    <mergeCell ref="N523:O523"/>
    <mergeCell ref="P523:Q523"/>
    <mergeCell ref="R523:S523"/>
    <mergeCell ref="C510:K510"/>
    <mergeCell ref="C511:K511"/>
    <mergeCell ref="C512:K512"/>
    <mergeCell ref="B516:U516"/>
    <mergeCell ref="B517:U517"/>
    <mergeCell ref="B518:U518"/>
    <mergeCell ref="B521:C521"/>
    <mergeCell ref="D521:E521"/>
    <mergeCell ref="P522:Q522"/>
    <mergeCell ref="R522:S522"/>
    <mergeCell ref="B468:U468"/>
    <mergeCell ref="B470:U470"/>
    <mergeCell ref="B473:U473"/>
    <mergeCell ref="C476:J476"/>
    <mergeCell ref="B496:U496"/>
    <mergeCell ref="B497:U497"/>
    <mergeCell ref="B501:U501"/>
    <mergeCell ref="B502:U502"/>
    <mergeCell ref="B506:U506"/>
    <mergeCell ref="B490:U490"/>
    <mergeCell ref="B491:U491"/>
    <mergeCell ref="B493:K493"/>
    <mergeCell ref="B494:U494"/>
    <mergeCell ref="B495:U495"/>
    <mergeCell ref="C498:K498"/>
    <mergeCell ref="C499:K499"/>
    <mergeCell ref="C500:K500"/>
    <mergeCell ref="E458:J458"/>
    <mergeCell ref="K458:L458"/>
    <mergeCell ref="M458:N458"/>
    <mergeCell ref="B459:C459"/>
    <mergeCell ref="E459:J459"/>
    <mergeCell ref="K459:L459"/>
    <mergeCell ref="M459:N459"/>
    <mergeCell ref="B460:C460"/>
    <mergeCell ref="E460:J460"/>
    <mergeCell ref="K460:L460"/>
    <mergeCell ref="M460:N460"/>
    <mergeCell ref="B522:C522"/>
    <mergeCell ref="D522:E522"/>
    <mergeCell ref="F522:G522"/>
    <mergeCell ref="J522:K522"/>
    <mergeCell ref="L522:M522"/>
    <mergeCell ref="N522:O522"/>
    <mergeCell ref="B520:C520"/>
    <mergeCell ref="D520:E520"/>
    <mergeCell ref="F520:G520"/>
    <mergeCell ref="J520:K520"/>
    <mergeCell ref="L520:M520"/>
    <mergeCell ref="N520:O520"/>
    <mergeCell ref="B395:C395"/>
    <mergeCell ref="I395:J395"/>
    <mergeCell ref="F383:G383"/>
    <mergeCell ref="R521:S521"/>
    <mergeCell ref="F521:G521"/>
    <mergeCell ref="J521:K521"/>
    <mergeCell ref="L521:M521"/>
    <mergeCell ref="N521:O521"/>
    <mergeCell ref="B513:U513"/>
    <mergeCell ref="B514:U514"/>
    <mergeCell ref="B515:U515"/>
    <mergeCell ref="P520:Q520"/>
    <mergeCell ref="R520:S520"/>
    <mergeCell ref="B453:U453"/>
    <mergeCell ref="B454:U454"/>
    <mergeCell ref="B456:C456"/>
    <mergeCell ref="E456:J456"/>
    <mergeCell ref="K456:L456"/>
    <mergeCell ref="M456:N456"/>
    <mergeCell ref="B457:C457"/>
    <mergeCell ref="E457:J457"/>
    <mergeCell ref="K457:L457"/>
    <mergeCell ref="M457:N457"/>
    <mergeCell ref="B458:C458"/>
    <mergeCell ref="B744:U744"/>
    <mergeCell ref="T292:T293"/>
    <mergeCell ref="S396:T396"/>
    <mergeCell ref="Q400:R400"/>
    <mergeCell ref="S400:T400"/>
    <mergeCell ref="B403:U403"/>
    <mergeCell ref="S390:T390"/>
    <mergeCell ref="S391:T391"/>
    <mergeCell ref="S392:T392"/>
    <mergeCell ref="S393:T393"/>
    <mergeCell ref="S394:T394"/>
    <mergeCell ref="S395:T395"/>
    <mergeCell ref="Q391:R391"/>
    <mergeCell ref="Q392:R392"/>
    <mergeCell ref="Q393:R393"/>
    <mergeCell ref="Q394:R394"/>
    <mergeCell ref="F384:G384"/>
    <mergeCell ref="F385:G385"/>
    <mergeCell ref="Q381:R381"/>
    <mergeCell ref="Q382:R382"/>
    <mergeCell ref="Q383:R383"/>
    <mergeCell ref="Q395:R395"/>
    <mergeCell ref="Q396:R396"/>
    <mergeCell ref="B402:U402"/>
    <mergeCell ref="Q384:R384"/>
    <mergeCell ref="I383:J383"/>
    <mergeCell ref="B384:C384"/>
    <mergeCell ref="I384:J384"/>
    <mergeCell ref="B382:C382"/>
    <mergeCell ref="I382:J382"/>
    <mergeCell ref="B393:C393"/>
    <mergeCell ref="I393:J393"/>
    <mergeCell ref="B389:C389"/>
    <mergeCell ref="I389:J389"/>
    <mergeCell ref="B390:C390"/>
    <mergeCell ref="I390:J390"/>
    <mergeCell ref="B391:C391"/>
    <mergeCell ref="I391:J391"/>
    <mergeCell ref="F389:G389"/>
    <mergeCell ref="F390:G390"/>
    <mergeCell ref="F391:G391"/>
    <mergeCell ref="Q389:R389"/>
    <mergeCell ref="F386:G386"/>
    <mergeCell ref="F387:G387"/>
    <mergeCell ref="B385:C385"/>
    <mergeCell ref="I385:J385"/>
    <mergeCell ref="B386:C386"/>
    <mergeCell ref="I386:J386"/>
    <mergeCell ref="B738:U738"/>
    <mergeCell ref="B739:U739"/>
    <mergeCell ref="B745:U745"/>
    <mergeCell ref="B746:U746"/>
    <mergeCell ref="B748:U748"/>
    <mergeCell ref="B749:U749"/>
    <mergeCell ref="G751:P751"/>
    <mergeCell ref="F392:G392"/>
    <mergeCell ref="F393:G393"/>
    <mergeCell ref="F394:G394"/>
    <mergeCell ref="F395:G395"/>
    <mergeCell ref="B741:U741"/>
    <mergeCell ref="B742:H742"/>
    <mergeCell ref="B711:U711"/>
    <mergeCell ref="B712:U712"/>
    <mergeCell ref="B715:U715"/>
    <mergeCell ref="B716:U716"/>
    <mergeCell ref="B719:U719"/>
    <mergeCell ref="B717:U717"/>
    <mergeCell ref="B718:U718"/>
    <mergeCell ref="B743:U743"/>
    <mergeCell ref="B720:U720"/>
    <mergeCell ref="B721:U721"/>
    <mergeCell ref="B722:U722"/>
    <mergeCell ref="B733:U733"/>
    <mergeCell ref="B704:U704"/>
    <mergeCell ref="B705:U705"/>
    <mergeCell ref="B706:U706"/>
    <mergeCell ref="B707:U707"/>
    <mergeCell ref="B709:U709"/>
    <mergeCell ref="B710:U710"/>
    <mergeCell ref="B708:U708"/>
    <mergeCell ref="B725:U725"/>
    <mergeCell ref="B726:U726"/>
    <mergeCell ref="B727:U727"/>
    <mergeCell ref="B728:U728"/>
    <mergeCell ref="B729:U729"/>
    <mergeCell ref="B723:U723"/>
    <mergeCell ref="B724:U724"/>
    <mergeCell ref="B731:U731"/>
    <mergeCell ref="B732:U732"/>
    <mergeCell ref="B703:U703"/>
    <mergeCell ref="B690:U690"/>
    <mergeCell ref="B691:U691"/>
    <mergeCell ref="B692:U692"/>
    <mergeCell ref="B693:U693"/>
    <mergeCell ref="B694:U694"/>
    <mergeCell ref="B695:U695"/>
    <mergeCell ref="B699:U699"/>
    <mergeCell ref="B730:U730"/>
    <mergeCell ref="B677:U677"/>
    <mergeCell ref="B678:U678"/>
    <mergeCell ref="B680:U680"/>
    <mergeCell ref="B681:U681"/>
    <mergeCell ref="B696:U696"/>
    <mergeCell ref="B698:U698"/>
    <mergeCell ref="B700:U700"/>
    <mergeCell ref="B701:U701"/>
    <mergeCell ref="B702:U702"/>
    <mergeCell ref="B682:U682"/>
    <mergeCell ref="B683:U683"/>
    <mergeCell ref="B688:U688"/>
    <mergeCell ref="B689:U689"/>
    <mergeCell ref="C427:J427"/>
    <mergeCell ref="C428:D428"/>
    <mergeCell ref="C429:J429"/>
    <mergeCell ref="M429:T429"/>
    <mergeCell ref="C430:J430"/>
    <mergeCell ref="M430:T430"/>
    <mergeCell ref="C433:J433"/>
    <mergeCell ref="M433:T433"/>
    <mergeCell ref="C434:J434"/>
    <mergeCell ref="M434:T434"/>
    <mergeCell ref="B439:U439"/>
    <mergeCell ref="H441:O441"/>
    <mergeCell ref="H442:O442"/>
    <mergeCell ref="B450:U450"/>
    <mergeCell ref="B451:U451"/>
    <mergeCell ref="C650:K650"/>
    <mergeCell ref="C656:G656"/>
    <mergeCell ref="H656:K656"/>
    <mergeCell ref="L656:M656"/>
    <mergeCell ref="N656:O656"/>
    <mergeCell ref="B592:U592"/>
    <mergeCell ref="B593:U593"/>
    <mergeCell ref="B594:U594"/>
    <mergeCell ref="B595:U595"/>
    <mergeCell ref="B596:K596"/>
    <mergeCell ref="B597:U597"/>
    <mergeCell ref="B598:U598"/>
    <mergeCell ref="B599:K599"/>
    <mergeCell ref="B600:U600"/>
    <mergeCell ref="B601:U601"/>
    <mergeCell ref="B602:U602"/>
    <mergeCell ref="B603:U603"/>
    <mergeCell ref="B604:U604"/>
    <mergeCell ref="P521:Q521"/>
    <mergeCell ref="B423:C423"/>
    <mergeCell ref="K423:L423"/>
    <mergeCell ref="M423:N423"/>
    <mergeCell ref="B426:U426"/>
    <mergeCell ref="B421:C421"/>
    <mergeCell ref="E421:J421"/>
    <mergeCell ref="K421:L421"/>
    <mergeCell ref="M421:N421"/>
    <mergeCell ref="B422:C422"/>
    <mergeCell ref="E422:G422"/>
    <mergeCell ref="H422:J422"/>
    <mergeCell ref="K422:L422"/>
    <mergeCell ref="M422:N422"/>
    <mergeCell ref="B419:C419"/>
    <mergeCell ref="E419:J419"/>
    <mergeCell ref="K419:L419"/>
    <mergeCell ref="M419:N419"/>
    <mergeCell ref="B420:C420"/>
    <mergeCell ref="E420:J420"/>
    <mergeCell ref="K420:L420"/>
    <mergeCell ref="M420:N420"/>
    <mergeCell ref="B418:C418"/>
    <mergeCell ref="E418:J418"/>
    <mergeCell ref="K418:L418"/>
    <mergeCell ref="M418:N418"/>
    <mergeCell ref="B410:U410"/>
    <mergeCell ref="B411:U411"/>
    <mergeCell ref="B413:U413"/>
    <mergeCell ref="B414:U414"/>
    <mergeCell ref="B416:C416"/>
    <mergeCell ref="E416:J416"/>
    <mergeCell ref="K416:L416"/>
    <mergeCell ref="M416:N416"/>
    <mergeCell ref="P398:P399"/>
    <mergeCell ref="S398:S399"/>
    <mergeCell ref="B399:C399"/>
    <mergeCell ref="I400:J400"/>
    <mergeCell ref="K400:M400"/>
    <mergeCell ref="B401:C401"/>
    <mergeCell ref="N401:U401"/>
    <mergeCell ref="B398:C398"/>
    <mergeCell ref="I398:M398"/>
    <mergeCell ref="S383:T383"/>
    <mergeCell ref="S384:T384"/>
    <mergeCell ref="S385:T385"/>
    <mergeCell ref="B417:C417"/>
    <mergeCell ref="E417:J417"/>
    <mergeCell ref="K417:L417"/>
    <mergeCell ref="M417:N417"/>
    <mergeCell ref="B396:C396"/>
    <mergeCell ref="I396:J396"/>
    <mergeCell ref="F396:G396"/>
    <mergeCell ref="B392:C392"/>
    <mergeCell ref="I392:J392"/>
    <mergeCell ref="B394:C394"/>
    <mergeCell ref="I394:J394"/>
    <mergeCell ref="F388:G388"/>
    <mergeCell ref="Q385:R385"/>
    <mergeCell ref="Q386:R386"/>
    <mergeCell ref="Q387:R387"/>
    <mergeCell ref="Q388:R388"/>
    <mergeCell ref="B383:C383"/>
    <mergeCell ref="B387:C387"/>
    <mergeCell ref="I387:J387"/>
    <mergeCell ref="B388:C388"/>
    <mergeCell ref="I388:J388"/>
    <mergeCell ref="G357:H357"/>
    <mergeCell ref="B376:U376"/>
    <mergeCell ref="C358:D358"/>
    <mergeCell ref="G358:H358"/>
    <mergeCell ref="C361:D361"/>
    <mergeCell ref="G361:H361"/>
    <mergeCell ref="G359:H359"/>
    <mergeCell ref="C360:D360"/>
    <mergeCell ref="G360:H360"/>
    <mergeCell ref="O361:P361"/>
    <mergeCell ref="F381:G381"/>
    <mergeCell ref="F382:G382"/>
    <mergeCell ref="B381:C381"/>
    <mergeCell ref="I381:J381"/>
    <mergeCell ref="S381:T381"/>
    <mergeCell ref="S382:T382"/>
    <mergeCell ref="C351:D351"/>
    <mergeCell ref="G351:H351"/>
    <mergeCell ref="I351:J351"/>
    <mergeCell ref="C352:D352"/>
    <mergeCell ref="G352:H352"/>
    <mergeCell ref="C353:D353"/>
    <mergeCell ref="G353:H353"/>
    <mergeCell ref="C354:D354"/>
    <mergeCell ref="G354:H354"/>
    <mergeCell ref="C355:D355"/>
    <mergeCell ref="G355:H355"/>
    <mergeCell ref="B377:U377"/>
    <mergeCell ref="B378:U378"/>
    <mergeCell ref="B379:U379"/>
    <mergeCell ref="C359:D359"/>
    <mergeCell ref="G356:H356"/>
    <mergeCell ref="C356:D356"/>
    <mergeCell ref="C357:D357"/>
    <mergeCell ref="C349:D349"/>
    <mergeCell ref="G349:H349"/>
    <mergeCell ref="I349:J349"/>
    <mergeCell ref="C350:D350"/>
    <mergeCell ref="G350:H350"/>
    <mergeCell ref="I350:J350"/>
    <mergeCell ref="O351:P351"/>
    <mergeCell ref="C347:D347"/>
    <mergeCell ref="G347:H347"/>
    <mergeCell ref="I347:J347"/>
    <mergeCell ref="C348:D348"/>
    <mergeCell ref="G348:H348"/>
    <mergeCell ref="I348:J348"/>
    <mergeCell ref="O349:P350"/>
    <mergeCell ref="O347:P347"/>
    <mergeCell ref="O348:P348"/>
    <mergeCell ref="C345:D345"/>
    <mergeCell ref="G345:H345"/>
    <mergeCell ref="I345:J345"/>
    <mergeCell ref="C346:D346"/>
    <mergeCell ref="G346:H346"/>
    <mergeCell ref="I346:J346"/>
    <mergeCell ref="C343:D343"/>
    <mergeCell ref="G343:H343"/>
    <mergeCell ref="I343:J343"/>
    <mergeCell ref="C344:D344"/>
    <mergeCell ref="G344:H344"/>
    <mergeCell ref="I344:J344"/>
    <mergeCell ref="C341:D341"/>
    <mergeCell ref="G341:H341"/>
    <mergeCell ref="I341:J341"/>
    <mergeCell ref="C342:D342"/>
    <mergeCell ref="G342:H342"/>
    <mergeCell ref="I342:J342"/>
    <mergeCell ref="C339:D339"/>
    <mergeCell ref="E339:F339"/>
    <mergeCell ref="G339:H339"/>
    <mergeCell ref="I339:J339"/>
    <mergeCell ref="C340:D340"/>
    <mergeCell ref="G340:H340"/>
    <mergeCell ref="I340:J340"/>
    <mergeCell ref="C338:D338"/>
    <mergeCell ref="E338:F338"/>
    <mergeCell ref="G338:H338"/>
    <mergeCell ref="I338:J338"/>
    <mergeCell ref="C337:D337"/>
    <mergeCell ref="E337:F337"/>
    <mergeCell ref="G337:H337"/>
    <mergeCell ref="I337:J337"/>
    <mergeCell ref="O338:P338"/>
    <mergeCell ref="O337:P337"/>
    <mergeCell ref="C336:D336"/>
    <mergeCell ref="E336:F336"/>
    <mergeCell ref="G336:H336"/>
    <mergeCell ref="I336:J336"/>
    <mergeCell ref="C335:D335"/>
    <mergeCell ref="E335:F335"/>
    <mergeCell ref="G335:H335"/>
    <mergeCell ref="I335:J335"/>
    <mergeCell ref="C334:D334"/>
    <mergeCell ref="E334:F334"/>
    <mergeCell ref="G334:H334"/>
    <mergeCell ref="I334:J334"/>
    <mergeCell ref="Q333:R333"/>
    <mergeCell ref="C332:D332"/>
    <mergeCell ref="E332:F332"/>
    <mergeCell ref="G332:H332"/>
    <mergeCell ref="I332:J332"/>
    <mergeCell ref="K332:L332"/>
    <mergeCell ref="C329:D329"/>
    <mergeCell ref="E329:F329"/>
    <mergeCell ref="G329:H329"/>
    <mergeCell ref="I329:J329"/>
    <mergeCell ref="K329:L329"/>
    <mergeCell ref="Q331:R331"/>
    <mergeCell ref="Q332:R332"/>
    <mergeCell ref="O331:P332"/>
    <mergeCell ref="O333:P335"/>
    <mergeCell ref="K334:L334"/>
    <mergeCell ref="C333:D333"/>
    <mergeCell ref="E333:F333"/>
    <mergeCell ref="G333:H333"/>
    <mergeCell ref="I333:J333"/>
    <mergeCell ref="K333:L333"/>
    <mergeCell ref="Q334:R334"/>
    <mergeCell ref="Q335:R335"/>
    <mergeCell ref="C328:D328"/>
    <mergeCell ref="E328:F328"/>
    <mergeCell ref="G328:H328"/>
    <mergeCell ref="I328:J328"/>
    <mergeCell ref="K328:L328"/>
    <mergeCell ref="C331:D331"/>
    <mergeCell ref="E331:F331"/>
    <mergeCell ref="G331:H331"/>
    <mergeCell ref="I331:J331"/>
    <mergeCell ref="K331:L331"/>
    <mergeCell ref="C330:D330"/>
    <mergeCell ref="E330:F330"/>
    <mergeCell ref="G330:H330"/>
    <mergeCell ref="I330:J330"/>
    <mergeCell ref="K330:L330"/>
    <mergeCell ref="C325:D325"/>
    <mergeCell ref="E325:F325"/>
    <mergeCell ref="G325:H325"/>
    <mergeCell ref="I325:J325"/>
    <mergeCell ref="K325:L325"/>
    <mergeCell ref="C324:D324"/>
    <mergeCell ref="E324:F324"/>
    <mergeCell ref="G324:H324"/>
    <mergeCell ref="I324:J324"/>
    <mergeCell ref="K324:L324"/>
    <mergeCell ref="C327:D327"/>
    <mergeCell ref="E327:F327"/>
    <mergeCell ref="G327:H327"/>
    <mergeCell ref="I327:J327"/>
    <mergeCell ref="K327:L327"/>
    <mergeCell ref="C326:D326"/>
    <mergeCell ref="E326:F326"/>
    <mergeCell ref="G326:H326"/>
    <mergeCell ref="I326:J326"/>
    <mergeCell ref="K326:L326"/>
    <mergeCell ref="AB288:AD288"/>
    <mergeCell ref="Z290:Z292"/>
    <mergeCell ref="C321:D321"/>
    <mergeCell ref="E321:F321"/>
    <mergeCell ref="G321:H321"/>
    <mergeCell ref="I321:J321"/>
    <mergeCell ref="K321:L321"/>
    <mergeCell ref="C317:M317"/>
    <mergeCell ref="O317:S317"/>
    <mergeCell ref="C318:M318"/>
    <mergeCell ref="O318:S318"/>
    <mergeCell ref="C319:D319"/>
    <mergeCell ref="E319:F319"/>
    <mergeCell ref="G319:H319"/>
    <mergeCell ref="I319:J319"/>
    <mergeCell ref="K319:L319"/>
    <mergeCell ref="Z288:AA289"/>
    <mergeCell ref="O298:P298"/>
    <mergeCell ref="C300:S300"/>
    <mergeCell ref="C308:Q308"/>
    <mergeCell ref="L287:O288"/>
    <mergeCell ref="Q287:T288"/>
    <mergeCell ref="Q290:R291"/>
    <mergeCell ref="C239:J239"/>
    <mergeCell ref="L239:T239"/>
    <mergeCell ref="B249:U249"/>
    <mergeCell ref="B250:U250"/>
    <mergeCell ref="C252:T252"/>
    <mergeCell ref="L253:S253"/>
    <mergeCell ref="C254:K254"/>
    <mergeCell ref="M254:T254"/>
    <mergeCell ref="E322:F322"/>
    <mergeCell ref="G322:H322"/>
    <mergeCell ref="I322:J322"/>
    <mergeCell ref="K322:L322"/>
    <mergeCell ref="M255:T255"/>
    <mergeCell ref="C256:G256"/>
    <mergeCell ref="M256:Q256"/>
    <mergeCell ref="C255:K255"/>
    <mergeCell ref="E258:S258"/>
    <mergeCell ref="B264:U264"/>
    <mergeCell ref="L268:U268"/>
    <mergeCell ref="L270:O270"/>
    <mergeCell ref="Q270:U270"/>
    <mergeCell ref="C270:I270"/>
    <mergeCell ref="C273:D273"/>
    <mergeCell ref="C274:D274"/>
    <mergeCell ref="B212:U212"/>
    <mergeCell ref="B216:U216"/>
    <mergeCell ref="B218:U218"/>
    <mergeCell ref="B221:U221"/>
    <mergeCell ref="B222:U222"/>
    <mergeCell ref="B228:U228"/>
    <mergeCell ref="B229:U229"/>
    <mergeCell ref="B234:U234"/>
    <mergeCell ref="B235:U235"/>
    <mergeCell ref="B217:U217"/>
    <mergeCell ref="C323:D323"/>
    <mergeCell ref="E323:F323"/>
    <mergeCell ref="G323:H323"/>
    <mergeCell ref="I323:J323"/>
    <mergeCell ref="K323:L323"/>
    <mergeCell ref="C322:D322"/>
    <mergeCell ref="B304:U304"/>
    <mergeCell ref="B305:U305"/>
    <mergeCell ref="P99:T99"/>
    <mergeCell ref="B100:U100"/>
    <mergeCell ref="H101:I102"/>
    <mergeCell ref="J101:K102"/>
    <mergeCell ref="L101:M102"/>
    <mergeCell ref="N101:O102"/>
    <mergeCell ref="C130:N130"/>
    <mergeCell ref="H121:J121"/>
    <mergeCell ref="B202:U202"/>
    <mergeCell ref="C166:K166"/>
    <mergeCell ref="M166:T166"/>
    <mergeCell ref="C167:G167"/>
    <mergeCell ref="M167:Q167"/>
    <mergeCell ref="C169:T169"/>
    <mergeCell ref="C170:T170"/>
    <mergeCell ref="B175:U175"/>
    <mergeCell ref="B185:U185"/>
    <mergeCell ref="C188:T189"/>
    <mergeCell ref="C179:T181"/>
    <mergeCell ref="C182:T182"/>
    <mergeCell ref="B190:K190"/>
    <mergeCell ref="B198:U198"/>
    <mergeCell ref="B199:U199"/>
    <mergeCell ref="B201:U201"/>
    <mergeCell ref="B86:U86"/>
    <mergeCell ref="B87:U87"/>
    <mergeCell ref="D88:H88"/>
    <mergeCell ref="J88:N88"/>
    <mergeCell ref="P88:T88"/>
    <mergeCell ref="D89:H97"/>
    <mergeCell ref="J89:N97"/>
    <mergeCell ref="P89:T97"/>
    <mergeCell ref="P98:T98"/>
    <mergeCell ref="B114:U114"/>
    <mergeCell ref="C116:T116"/>
    <mergeCell ref="C137:T137"/>
    <mergeCell ref="B747:U747"/>
    <mergeCell ref="B8:U8"/>
    <mergeCell ref="B9:U9"/>
    <mergeCell ref="B10:U10"/>
    <mergeCell ref="B11:U11"/>
    <mergeCell ref="E16:I16"/>
    <mergeCell ref="E17:I17"/>
    <mergeCell ref="E25:I25"/>
    <mergeCell ref="D26:I26"/>
    <mergeCell ref="E27:I27"/>
    <mergeCell ref="E28:I28"/>
    <mergeCell ref="B31:I41"/>
    <mergeCell ref="B108:U108"/>
    <mergeCell ref="E18:I18"/>
    <mergeCell ref="E19:I19"/>
    <mergeCell ref="E20:I20"/>
    <mergeCell ref="E21:I21"/>
    <mergeCell ref="E23:I23"/>
    <mergeCell ref="M158:T158"/>
    <mergeCell ref="E24:I24"/>
    <mergeCell ref="B122:T122"/>
    <mergeCell ref="C124:N124"/>
    <mergeCell ref="C127:N127"/>
    <mergeCell ref="C135:T135"/>
    <mergeCell ref="B52:U52"/>
    <mergeCell ref="J73:N73"/>
    <mergeCell ref="P73:T73"/>
    <mergeCell ref="C118:S118"/>
    <mergeCell ref="C119:S119"/>
    <mergeCell ref="C120:S120"/>
    <mergeCell ref="B121:G121"/>
    <mergeCell ref="B55:U55"/>
    <mergeCell ref="B57:K57"/>
    <mergeCell ref="B58:U58"/>
    <mergeCell ref="D59:H59"/>
    <mergeCell ref="J59:N59"/>
    <mergeCell ref="P59:T59"/>
    <mergeCell ref="D60:H68"/>
    <mergeCell ref="J60:N68"/>
    <mergeCell ref="P60:T68"/>
    <mergeCell ref="D74:H82"/>
    <mergeCell ref="J74:N82"/>
    <mergeCell ref="P74:T82"/>
    <mergeCell ref="B85:K85"/>
    <mergeCell ref="M121:N121"/>
    <mergeCell ref="B109:U109"/>
    <mergeCell ref="B111:U111"/>
    <mergeCell ref="B113:K113"/>
    <mergeCell ref="B71:K71"/>
    <mergeCell ref="B72:U72"/>
    <mergeCell ref="D73:H73"/>
    <mergeCell ref="C117:S117"/>
    <mergeCell ref="B53:U53"/>
    <mergeCell ref="B736:U736"/>
    <mergeCell ref="B737:U737"/>
    <mergeCell ref="B635:U635"/>
    <mergeCell ref="B636:U636"/>
    <mergeCell ref="B638:K638"/>
    <mergeCell ref="B639:U639"/>
    <mergeCell ref="C640:T640"/>
    <mergeCell ref="C641:K641"/>
    <mergeCell ref="M641:T641"/>
    <mergeCell ref="C642:K642"/>
    <mergeCell ref="M642:T642"/>
    <mergeCell ref="C643:G643"/>
    <mergeCell ref="M643:Q643"/>
    <mergeCell ref="C645:K645"/>
    <mergeCell ref="M645:T645"/>
    <mergeCell ref="C646:K646"/>
    <mergeCell ref="M646:T646"/>
    <mergeCell ref="B152:U152"/>
    <mergeCell ref="C115:S115"/>
    <mergeCell ref="H671:I671"/>
    <mergeCell ref="J671:K671"/>
    <mergeCell ref="L671:M671"/>
    <mergeCell ref="N671:O671"/>
    <mergeCell ref="C666:T666"/>
    <mergeCell ref="C667:T667"/>
    <mergeCell ref="C668:Q668"/>
    <mergeCell ref="H670:I670"/>
    <mergeCell ref="J670:K670"/>
    <mergeCell ref="L670:M670"/>
    <mergeCell ref="N670:O670"/>
    <mergeCell ref="C661:G661"/>
    <mergeCell ref="M650:T650"/>
    <mergeCell ref="C651:K651"/>
    <mergeCell ref="M651:T651"/>
    <mergeCell ref="B151:U151"/>
    <mergeCell ref="M159:T159"/>
    <mergeCell ref="C160:G160"/>
    <mergeCell ref="C163:T163"/>
    <mergeCell ref="L164:S164"/>
    <mergeCell ref="C165:K165"/>
    <mergeCell ref="S626:T626"/>
    <mergeCell ref="C647:K647"/>
    <mergeCell ref="B613:C613"/>
    <mergeCell ref="E613:F613"/>
    <mergeCell ref="B154:U154"/>
    <mergeCell ref="C156:T156"/>
    <mergeCell ref="L157:S157"/>
    <mergeCell ref="C158:K158"/>
    <mergeCell ref="B617:C617"/>
    <mergeCell ref="E617:F617"/>
    <mergeCell ref="B618:C618"/>
    <mergeCell ref="E618:F618"/>
    <mergeCell ref="B619:C619"/>
    <mergeCell ref="E619:F619"/>
    <mergeCell ref="B740:U740"/>
    <mergeCell ref="C159:K159"/>
    <mergeCell ref="M165:T165"/>
    <mergeCell ref="B203:U203"/>
    <mergeCell ref="B210:U210"/>
    <mergeCell ref="Q390:R390"/>
    <mergeCell ref="S386:T386"/>
    <mergeCell ref="S387:T387"/>
    <mergeCell ref="S388:T388"/>
    <mergeCell ref="S389:T389"/>
    <mergeCell ref="C240:T240"/>
    <mergeCell ref="B246:U246"/>
    <mergeCell ref="B247:U247"/>
    <mergeCell ref="C268:J268"/>
    <mergeCell ref="C313:Q313"/>
    <mergeCell ref="C279:I279"/>
    <mergeCell ref="B614:C614"/>
    <mergeCell ref="E614:F614"/>
    <mergeCell ref="L658:M658"/>
    <mergeCell ref="N658:O658"/>
    <mergeCell ref="B615:C615"/>
    <mergeCell ref="E615:F615"/>
    <mergeCell ref="B616:C616"/>
    <mergeCell ref="E616:F616"/>
    <mergeCell ref="B620:C620"/>
    <mergeCell ref="E620:F620"/>
    <mergeCell ref="L659:M659"/>
    <mergeCell ref="C657:G657"/>
    <mergeCell ref="H657:K657"/>
    <mergeCell ref="L657:M657"/>
    <mergeCell ref="N657:O657"/>
    <mergeCell ref="M647:T647"/>
    <mergeCell ref="C648:G648"/>
    <mergeCell ref="M648:Q648"/>
    <mergeCell ref="H653:H654"/>
    <mergeCell ref="I653:K654"/>
    <mergeCell ref="M653:Q654"/>
    <mergeCell ref="M652:T652"/>
    <mergeCell ref="R653:R654"/>
    <mergeCell ref="S653:T654"/>
    <mergeCell ref="C652:K652"/>
    <mergeCell ref="B583:U583"/>
    <mergeCell ref="B584:U584"/>
    <mergeCell ref="B586:K586"/>
    <mergeCell ref="B587:U587"/>
    <mergeCell ref="B606:U606"/>
    <mergeCell ref="B607:U607"/>
    <mergeCell ref="B608:U608"/>
    <mergeCell ref="B609:K609"/>
    <mergeCell ref="B610:U610"/>
    <mergeCell ref="B588:U588"/>
    <mergeCell ref="B589:U589"/>
    <mergeCell ref="B590:U590"/>
    <mergeCell ref="B591:U591"/>
    <mergeCell ref="B605:U605"/>
    <mergeCell ref="B734:U734"/>
    <mergeCell ref="B735:U735"/>
    <mergeCell ref="B621:C621"/>
    <mergeCell ref="E621:F621"/>
    <mergeCell ref="B622:C622"/>
    <mergeCell ref="E622:F622"/>
    <mergeCell ref="B623:C623"/>
    <mergeCell ref="E623:F623"/>
    <mergeCell ref="B624:C624"/>
    <mergeCell ref="E624:F624"/>
    <mergeCell ref="R625:T625"/>
    <mergeCell ref="H661:K661"/>
    <mergeCell ref="N659:O659"/>
    <mergeCell ref="C660:G660"/>
    <mergeCell ref="H660:K660"/>
    <mergeCell ref="L660:M660"/>
    <mergeCell ref="N660:O660"/>
    <mergeCell ref="C653:G654"/>
    <mergeCell ref="B684:U684"/>
    <mergeCell ref="B685:U685"/>
    <mergeCell ref="B686:U686"/>
    <mergeCell ref="B687:U687"/>
    <mergeCell ref="C659:G659"/>
    <mergeCell ref="H659:K659"/>
  </mergeCells>
  <conditionalFormatting sqref="M319">
    <cfRule type="expression" dxfId="20" priority="5" stopIfTrue="1">
      <formula>#REF!=" "</formula>
    </cfRule>
  </conditionalFormatting>
  <conditionalFormatting sqref="O318">
    <cfRule type="expression" dxfId="19" priority="4" stopIfTrue="1">
      <formula>#REF!=" "</formula>
    </cfRule>
  </conditionalFormatting>
  <conditionalFormatting sqref="S319">
    <cfRule type="expression" dxfId="18" priority="3" stopIfTrue="1">
      <formula>#REF!=" "</formula>
    </cfRule>
  </conditionalFormatting>
  <conditionalFormatting sqref="Q319">
    <cfRule type="expression" dxfId="17" priority="2" stopIfTrue="1">
      <formula>#REF!=" "</formula>
    </cfRule>
  </conditionalFormatting>
  <conditionalFormatting sqref="O319">
    <cfRule type="expression" dxfId="16" priority="1" stopIfTrue="1">
      <formula>#REF!=" "</formula>
    </cfRule>
  </conditionalFormatting>
  <hyperlinks>
    <hyperlink ref="P98:T98" r:id="rId1" display="Descárguesela ya desde Google Play"/>
    <hyperlink ref="P99:T99" r:id="rId2" display="Descárguesela ya desde App Store"/>
  </hyperlinks>
  <printOptions horizontalCentered="1" verticalCentered="1"/>
  <pageMargins left="0.11811023622047245" right="0.11811023622047245" top="0" bottom="0" header="0.19685039370078741" footer="0.31496062992125984"/>
  <pageSetup paperSize="9" scale="42" fitToHeight="0" orientation="landscape" r:id="rId3"/>
  <headerFooter alignWithMargins="0"/>
  <rowBreaks count="15" manualBreakCount="15">
    <brk id="50" max="21" man="1"/>
    <brk id="104" max="21" man="1"/>
    <brk id="148" max="21" man="1"/>
    <brk id="194" max="21" man="1"/>
    <brk id="244" max="21" man="1"/>
    <brk id="301" max="21" man="1"/>
    <brk id="373" max="21" man="1"/>
    <brk id="405" max="21" man="1"/>
    <brk id="445" max="21" man="1"/>
    <brk id="488" max="21" man="1"/>
    <brk id="542" max="21" man="1"/>
    <brk id="581" max="21" man="1"/>
    <brk id="633" max="21" man="1"/>
    <brk id="674" max="21" man="1"/>
    <brk id="713" max="21" man="1"/>
  </rowBreaks>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3"/>
    <pageSetUpPr fitToPage="1"/>
  </sheetPr>
  <dimension ref="A1:AD805"/>
  <sheetViews>
    <sheetView showGridLines="0" showOutlineSymbols="0" view="pageBreakPreview" topLeftCell="A795" zoomScale="46" zoomScaleNormal="70" zoomScaleSheetLayoutView="46" zoomScalePageLayoutView="25" workbookViewId="0">
      <selection activeCell="B789" sqref="B789:U789"/>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5.5703125" style="422" bestFit="1" customWidth="1"/>
    <col min="11" max="11" width="13.140625" style="422" customWidth="1"/>
    <col min="12" max="12" width="13.85546875" style="422" customWidth="1"/>
    <col min="13" max="13" width="17.28515625" style="422" customWidth="1"/>
    <col min="14" max="14" width="17.85546875" style="422" customWidth="1"/>
    <col min="15" max="15" width="16.7109375" style="422" customWidth="1"/>
    <col min="16" max="16" width="18.140625" style="422" customWidth="1"/>
    <col min="17" max="17" width="17.85546875" style="422" customWidth="1"/>
    <col min="18" max="18" width="20.28515625" style="422" customWidth="1"/>
    <col min="19" max="19" width="17.7109375" style="422" customWidth="1"/>
    <col min="20" max="20" width="19.2851562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268" t="s">
        <v>667</v>
      </c>
      <c r="C8" s="2268"/>
      <c r="D8" s="2268"/>
      <c r="E8" s="2268"/>
      <c r="F8" s="2268"/>
      <c r="G8" s="2268"/>
      <c r="H8" s="2268"/>
      <c r="I8" s="2268"/>
      <c r="J8" s="2268"/>
      <c r="K8" s="2268"/>
      <c r="L8" s="2268"/>
      <c r="M8" s="2268"/>
      <c r="N8" s="2268"/>
      <c r="O8" s="2268"/>
      <c r="P8" s="2268"/>
      <c r="Q8" s="2268"/>
      <c r="R8" s="2268"/>
      <c r="S8" s="2268"/>
      <c r="T8" s="2268"/>
      <c r="U8" s="2268"/>
    </row>
    <row r="9" spans="1:21" s="416" customFormat="1" ht="34.5">
      <c r="A9" s="415"/>
      <c r="B9" s="2268" t="s">
        <v>696</v>
      </c>
      <c r="C9" s="2268"/>
      <c r="D9" s="2268"/>
      <c r="E9" s="2268"/>
      <c r="F9" s="2268"/>
      <c r="G9" s="2268"/>
      <c r="H9" s="2268"/>
      <c r="I9" s="2268"/>
      <c r="J9" s="2268"/>
      <c r="K9" s="2268"/>
      <c r="L9" s="2268"/>
      <c r="M9" s="2268"/>
      <c r="N9" s="2268"/>
      <c r="O9" s="2268"/>
      <c r="P9" s="2268"/>
      <c r="Q9" s="2268"/>
      <c r="R9" s="2268"/>
      <c r="S9" s="2268"/>
      <c r="T9" s="2268"/>
      <c r="U9" s="2268"/>
    </row>
    <row r="10" spans="1:21" s="416" customFormat="1" ht="34.5">
      <c r="A10" s="415"/>
      <c r="B10" s="2268"/>
      <c r="C10" s="2268"/>
      <c r="D10" s="2268"/>
      <c r="E10" s="2268"/>
      <c r="F10" s="2268"/>
      <c r="G10" s="2268"/>
      <c r="H10" s="2268"/>
      <c r="I10" s="2268"/>
      <c r="J10" s="2268"/>
      <c r="K10" s="2268"/>
      <c r="L10" s="2268"/>
      <c r="M10" s="2268"/>
      <c r="N10" s="2268"/>
      <c r="O10" s="2268"/>
      <c r="P10" s="2268"/>
      <c r="Q10" s="2268"/>
      <c r="R10" s="2268"/>
      <c r="S10" s="2268"/>
      <c r="T10" s="2268"/>
      <c r="U10" s="2268"/>
    </row>
    <row r="11" spans="1:21" s="416" customFormat="1" ht="34.5">
      <c r="A11" s="415"/>
      <c r="B11" s="2414" t="str">
        <f>'Seleccion de oferta'!E9</f>
        <v>INMOBILIARIA SERVIGESTION</v>
      </c>
      <c r="C11" s="2414"/>
      <c r="D11" s="2414"/>
      <c r="E11" s="2414"/>
      <c r="F11" s="2414"/>
      <c r="G11" s="2414"/>
      <c r="H11" s="2414"/>
      <c r="I11" s="2414"/>
      <c r="J11" s="2414"/>
      <c r="K11" s="2414"/>
      <c r="L11" s="2414"/>
      <c r="M11" s="2414"/>
      <c r="N11" s="2414"/>
      <c r="O11" s="2414"/>
      <c r="P11" s="2414"/>
      <c r="Q11" s="2414"/>
      <c r="R11" s="2414"/>
      <c r="S11" s="2414"/>
      <c r="T11" s="2414"/>
      <c r="U11" s="2414"/>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15" t="str">
        <f>'Seleccion de oferta'!E11</f>
        <v>B11412343</v>
      </c>
      <c r="F16" s="2415"/>
      <c r="G16" s="2415"/>
      <c r="H16" s="2415"/>
      <c r="I16" s="2415"/>
    </row>
    <row r="17" spans="1:22" s="416" customFormat="1" ht="25.9" customHeight="1">
      <c r="A17" s="415"/>
      <c r="B17" s="417" t="s">
        <v>187</v>
      </c>
      <c r="C17" s="418"/>
      <c r="D17" s="419"/>
      <c r="E17" s="2415" t="str">
        <f>'Seleccion de oferta'!E13</f>
        <v>PLAZA ESPAÑA Nº1, EDIFICIO ESPAÑA PLANTA 1º OFICINA 2</v>
      </c>
      <c r="F17" s="2415"/>
      <c r="G17" s="2415"/>
      <c r="H17" s="2415"/>
      <c r="I17" s="2415"/>
    </row>
    <row r="18" spans="1:22" s="416" customFormat="1" ht="25.9" customHeight="1">
      <c r="A18" s="415"/>
      <c r="B18" s="417" t="s">
        <v>646</v>
      </c>
      <c r="C18" s="418"/>
      <c r="D18" s="419"/>
      <c r="E18" s="2415" t="str">
        <f>'Seleccion de oferta'!E15</f>
        <v>CHICLANA</v>
      </c>
      <c r="F18" s="2415"/>
      <c r="G18" s="2415"/>
      <c r="H18" s="2415"/>
      <c r="I18" s="2415"/>
    </row>
    <row r="19" spans="1:22" ht="25.9" customHeight="1">
      <c r="A19" s="420"/>
      <c r="B19" s="417" t="s">
        <v>647</v>
      </c>
      <c r="C19" s="421"/>
      <c r="D19" s="421"/>
      <c r="E19" s="2415" t="str">
        <f>'Seleccion de oferta'!E17</f>
        <v>CADIZ</v>
      </c>
      <c r="F19" s="2415"/>
      <c r="G19" s="2415"/>
      <c r="H19" s="2415"/>
      <c r="I19" s="2415"/>
      <c r="V19" s="420"/>
    </row>
    <row r="20" spans="1:22" ht="25.9" customHeight="1">
      <c r="A20" s="420"/>
      <c r="B20" s="417" t="s">
        <v>644</v>
      </c>
      <c r="C20" s="423"/>
      <c r="D20" s="421"/>
      <c r="E20" s="2415" t="str">
        <f>'Seleccion de oferta'!E19</f>
        <v>MANUEL</v>
      </c>
      <c r="F20" s="2415"/>
      <c r="G20" s="2415"/>
      <c r="H20" s="2415"/>
      <c r="I20" s="2415"/>
      <c r="J20" s="424"/>
      <c r="K20" s="424"/>
      <c r="L20" s="424"/>
      <c r="M20" s="424"/>
      <c r="N20" s="424"/>
      <c r="O20" s="424"/>
      <c r="P20" s="424"/>
      <c r="Q20" s="424"/>
      <c r="R20" s="424"/>
      <c r="S20" s="424"/>
      <c r="T20" s="424"/>
      <c r="U20" s="424"/>
      <c r="V20" s="420"/>
    </row>
    <row r="21" spans="1:22" ht="25.9" customHeight="1">
      <c r="A21" s="420"/>
      <c r="B21" s="425" t="s">
        <v>645</v>
      </c>
      <c r="C21" s="426"/>
      <c r="D21" s="421"/>
      <c r="E21" s="2415">
        <f>'Seleccion de oferta'!E21</f>
        <v>956535624</v>
      </c>
      <c r="F21" s="2415"/>
      <c r="G21" s="2415"/>
      <c r="H21" s="2415"/>
      <c r="I21" s="2415"/>
      <c r="J21" s="757"/>
      <c r="K21" s="757"/>
      <c r="L21" s="757"/>
      <c r="M21" s="757"/>
      <c r="N21" s="757"/>
      <c r="O21" s="757"/>
      <c r="P21" s="757"/>
      <c r="Q21" s="757"/>
      <c r="R21" s="757"/>
      <c r="S21" s="757"/>
      <c r="T21" s="757"/>
      <c r="U21" s="757"/>
      <c r="V21" s="420"/>
    </row>
    <row r="22" spans="1:22" ht="60"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15" t="str">
        <f>'Seleccion de oferta'!E30:G30</f>
        <v>JOSE LUIS PARRA</v>
      </c>
      <c r="F23" s="2415"/>
      <c r="G23" s="2415"/>
      <c r="H23" s="2415"/>
      <c r="I23" s="2415"/>
      <c r="J23" s="428"/>
      <c r="V23" s="420"/>
    </row>
    <row r="24" spans="1:22" ht="25.9" customHeight="1">
      <c r="A24" s="429"/>
      <c r="B24" s="417" t="s">
        <v>645</v>
      </c>
      <c r="C24" s="418"/>
      <c r="D24" s="419"/>
      <c r="E24" s="2439">
        <f>'Seleccion de oferta'!E34</f>
        <v>630836774</v>
      </c>
      <c r="F24" s="2415"/>
      <c r="G24" s="2415"/>
      <c r="H24" s="2415"/>
      <c r="I24" s="2415"/>
      <c r="J24" s="428"/>
      <c r="V24" s="429"/>
    </row>
    <row r="25" spans="1:22" s="416" customFormat="1" ht="23.25">
      <c r="A25" s="415"/>
      <c r="B25" s="417" t="s">
        <v>650</v>
      </c>
      <c r="C25" s="418"/>
      <c r="D25" s="419"/>
      <c r="E25" s="2415" t="str">
        <f>'Seleccion de oferta'!E42:G42</f>
        <v>GRUPO PROMOVIL</v>
      </c>
      <c r="F25" s="2415"/>
      <c r="G25" s="2415"/>
      <c r="H25" s="2415"/>
      <c r="I25" s="2415"/>
      <c r="J25" s="428"/>
    </row>
    <row r="26" spans="1:22" s="416" customFormat="1" ht="25.9" customHeight="1">
      <c r="A26" s="415"/>
      <c r="B26" s="417"/>
      <c r="C26" s="422"/>
      <c r="D26" s="2404"/>
      <c r="E26" s="2404"/>
      <c r="F26" s="2404"/>
      <c r="G26" s="2404"/>
      <c r="H26" s="2404"/>
      <c r="I26" s="2404"/>
      <c r="J26" s="428"/>
    </row>
    <row r="27" spans="1:22" s="416" customFormat="1" ht="25.9" customHeight="1">
      <c r="A27" s="415"/>
      <c r="B27" s="417" t="s">
        <v>669</v>
      </c>
      <c r="C27" s="424"/>
      <c r="D27" s="430"/>
      <c r="E27" s="2417">
        <f>'Seleccion de oferta'!E50</f>
        <v>43006</v>
      </c>
      <c r="F27" s="2417"/>
      <c r="G27" s="2417"/>
      <c r="H27" s="2417"/>
      <c r="I27" s="2417"/>
      <c r="J27" s="428"/>
    </row>
    <row r="28" spans="1:22" s="416" customFormat="1" ht="25.9" customHeight="1">
      <c r="A28" s="415"/>
      <c r="B28" s="417" t="s">
        <v>670</v>
      </c>
      <c r="C28" s="757"/>
      <c r="D28" s="431"/>
      <c r="E28" s="2417">
        <f>'Seleccion de oferta'!E52</f>
        <v>43008</v>
      </c>
      <c r="F28" s="2417"/>
      <c r="G28" s="2417"/>
      <c r="H28" s="2417"/>
      <c r="I28" s="2417"/>
      <c r="J28" s="428"/>
    </row>
    <row r="29" spans="1:22" s="416" customFormat="1" ht="25.9" customHeight="1">
      <c r="A29" s="415"/>
      <c r="B29" s="417" t="s">
        <v>692</v>
      </c>
      <c r="C29" s="757"/>
      <c r="D29" s="431"/>
      <c r="E29" s="763" t="str">
        <f>CONCATENATE("ILF5_90FCOR_",MID(E16,1,4),MID(E19,1,2),MID(E25,1,2),E27)</f>
        <v>ILF5_90FCOR_B114CAGR43006</v>
      </c>
      <c r="F29" s="763"/>
      <c r="G29" s="763"/>
      <c r="H29" s="763"/>
      <c r="I29" s="763"/>
      <c r="J29" s="428"/>
    </row>
    <row r="30" spans="1:22" s="416" customFormat="1" ht="25.9" customHeight="1">
      <c r="A30" s="415"/>
      <c r="B30" s="417"/>
      <c r="C30" s="757"/>
      <c r="D30" s="431"/>
      <c r="E30" s="763"/>
      <c r="F30" s="763"/>
      <c r="G30" s="763"/>
      <c r="H30" s="763"/>
      <c r="I30" s="763"/>
      <c r="J30" s="428"/>
    </row>
    <row r="31" spans="1:22" s="416" customFormat="1" ht="25.9" customHeight="1">
      <c r="A31" s="415"/>
      <c r="B31" s="417"/>
      <c r="C31" s="757"/>
      <c r="D31" s="431"/>
      <c r="E31" s="763"/>
      <c r="F31" s="763"/>
      <c r="G31" s="763"/>
      <c r="H31" s="763"/>
      <c r="I31" s="763"/>
      <c r="J31" s="428"/>
    </row>
    <row r="32" spans="1:22" s="416" customFormat="1" ht="24" customHeight="1">
      <c r="A32" s="415"/>
      <c r="B32" s="417"/>
      <c r="C32" s="757"/>
      <c r="D32" s="433"/>
      <c r="E32" s="764"/>
      <c r="F32" s="764"/>
      <c r="G32" s="764"/>
      <c r="H32" s="764"/>
      <c r="I32" s="764"/>
      <c r="J32" s="428"/>
    </row>
    <row r="33" spans="1:21" s="416" customFormat="1" ht="25.9" customHeight="1">
      <c r="A33" s="415"/>
      <c r="B33" s="2569" t="s">
        <v>684</v>
      </c>
      <c r="C33" s="2569"/>
      <c r="D33" s="2569"/>
      <c r="E33" s="2569"/>
      <c r="F33" s="2569"/>
      <c r="G33" s="2569"/>
      <c r="H33" s="2569"/>
      <c r="I33" s="799"/>
      <c r="J33" s="428"/>
    </row>
    <row r="34" spans="1:21" s="416" customFormat="1" ht="25.9" customHeight="1">
      <c r="A34" s="415"/>
      <c r="B34" s="2569"/>
      <c r="C34" s="2569"/>
      <c r="D34" s="2569"/>
      <c r="E34" s="2569"/>
      <c r="F34" s="2569"/>
      <c r="G34" s="2569"/>
      <c r="H34" s="2569"/>
      <c r="I34" s="799"/>
      <c r="J34" s="428"/>
    </row>
    <row r="35" spans="1:21" s="416" customFormat="1" ht="25.9" customHeight="1">
      <c r="A35" s="415"/>
      <c r="B35" s="2569"/>
      <c r="C35" s="2569"/>
      <c r="D35" s="2569"/>
      <c r="E35" s="2569"/>
      <c r="F35" s="2569"/>
      <c r="G35" s="2569"/>
      <c r="H35" s="2569"/>
      <c r="I35" s="799"/>
    </row>
    <row r="36" spans="1:21" s="416" customFormat="1" ht="25.9" customHeight="1">
      <c r="A36" s="415"/>
      <c r="B36" s="2569"/>
      <c r="C36" s="2569"/>
      <c r="D36" s="2569"/>
      <c r="E36" s="2569"/>
      <c r="F36" s="2569"/>
      <c r="G36" s="2569"/>
      <c r="H36" s="2569"/>
      <c r="I36" s="799"/>
      <c r="J36" s="435"/>
      <c r="K36" s="435"/>
      <c r="L36" s="435"/>
      <c r="M36" s="435"/>
      <c r="N36" s="435"/>
      <c r="O36" s="435"/>
      <c r="P36" s="435"/>
      <c r="Q36" s="435"/>
      <c r="R36" s="435"/>
      <c r="S36" s="435"/>
      <c r="T36" s="435"/>
      <c r="U36" s="435"/>
    </row>
    <row r="37" spans="1:21" s="416" customFormat="1" ht="22.15" customHeight="1">
      <c r="B37" s="2569"/>
      <c r="C37" s="2569"/>
      <c r="D37" s="2569"/>
      <c r="E37" s="2569"/>
      <c r="F37" s="2569"/>
      <c r="G37" s="2569"/>
      <c r="H37" s="2569"/>
      <c r="I37" s="799"/>
      <c r="J37" s="428"/>
      <c r="K37" s="428"/>
      <c r="L37" s="428"/>
      <c r="M37" s="428"/>
      <c r="N37" s="428"/>
      <c r="O37" s="428"/>
      <c r="P37" s="428"/>
      <c r="Q37" s="428"/>
      <c r="R37" s="428"/>
      <c r="S37" s="428"/>
      <c r="T37" s="428"/>
      <c r="U37" s="428"/>
    </row>
    <row r="38" spans="1:21" s="416" customFormat="1" ht="13.15" customHeight="1">
      <c r="B38" s="2569"/>
      <c r="C38" s="2569"/>
      <c r="D38" s="2569"/>
      <c r="E38" s="2569"/>
      <c r="F38" s="2569"/>
      <c r="G38" s="2569"/>
      <c r="H38" s="2569"/>
      <c r="I38" s="799"/>
    </row>
    <row r="39" spans="1:21" s="416" customFormat="1" ht="13.15" customHeight="1">
      <c r="B39" s="2569"/>
      <c r="C39" s="2569"/>
      <c r="D39" s="2569"/>
      <c r="E39" s="2569"/>
      <c r="F39" s="2569"/>
      <c r="G39" s="2569"/>
      <c r="H39" s="2569"/>
      <c r="I39" s="799"/>
    </row>
    <row r="40" spans="1:21" s="416" customFormat="1" ht="13.15" customHeight="1">
      <c r="B40" s="2569"/>
      <c r="C40" s="2569"/>
      <c r="D40" s="2569"/>
      <c r="E40" s="2569"/>
      <c r="F40" s="2569"/>
      <c r="G40" s="2569"/>
      <c r="H40" s="2569"/>
      <c r="I40" s="799"/>
    </row>
    <row r="41" spans="1:21" s="416" customFormat="1" ht="13.15" customHeight="1">
      <c r="B41" s="2569"/>
      <c r="C41" s="2569"/>
      <c r="D41" s="2569"/>
      <c r="E41" s="2569"/>
      <c r="F41" s="2569"/>
      <c r="G41" s="2569"/>
      <c r="H41" s="2569"/>
      <c r="I41" s="799"/>
    </row>
    <row r="42" spans="1:21" s="416" customFormat="1" ht="13.15" customHeight="1">
      <c r="B42" s="2569"/>
      <c r="C42" s="2569"/>
      <c r="D42" s="2569"/>
      <c r="E42" s="2569"/>
      <c r="F42" s="2569"/>
      <c r="G42" s="2569"/>
      <c r="H42" s="2569"/>
      <c r="I42" s="799"/>
    </row>
    <row r="43" spans="1:21" s="416" customFormat="1" ht="13.15" customHeight="1">
      <c r="B43" s="799"/>
      <c r="C43" s="799"/>
      <c r="D43" s="799"/>
      <c r="E43" s="799"/>
      <c r="F43" s="799"/>
      <c r="G43" s="799"/>
      <c r="H43" s="799"/>
      <c r="I43" s="799"/>
    </row>
    <row r="44" spans="1:21" s="416" customFormat="1" ht="13.15" customHeight="1">
      <c r="B44" s="799"/>
      <c r="C44" s="799"/>
      <c r="D44" s="799"/>
      <c r="E44" s="799"/>
      <c r="F44" s="799"/>
      <c r="G44" s="799"/>
      <c r="H44" s="799"/>
      <c r="I44" s="799"/>
    </row>
    <row r="45" spans="1:21" s="416" customFormat="1" ht="13.15" customHeight="1">
      <c r="B45" s="799"/>
      <c r="C45" s="799"/>
      <c r="D45" s="799"/>
      <c r="E45" s="799"/>
      <c r="F45" s="799"/>
      <c r="G45" s="799"/>
      <c r="H45" s="799"/>
      <c r="I45" s="799"/>
    </row>
    <row r="46" spans="1:21" s="416" customFormat="1" ht="13.15" customHeight="1">
      <c r="B46" s="799"/>
      <c r="C46" s="799"/>
      <c r="D46" s="799"/>
      <c r="E46" s="799"/>
      <c r="F46" s="799"/>
      <c r="G46" s="799"/>
      <c r="H46" s="799"/>
      <c r="I46" s="799"/>
    </row>
    <row r="47" spans="1:21" s="416" customFormat="1"/>
    <row r="48" spans="1:21" s="416" customFormat="1"/>
    <row r="49" spans="1:22" s="416" customFormat="1"/>
    <row r="50" spans="1:22" s="416" customFormat="1"/>
    <row r="51" spans="1:22" s="416" customFormat="1"/>
    <row r="52" spans="1:22" s="416" customFormat="1"/>
    <row r="53" spans="1:22" s="416" customFormat="1"/>
    <row r="54" spans="1:22" s="416" customFormat="1"/>
    <row r="55" spans="1:22" s="416" customFormat="1"/>
    <row r="56" spans="1:22" s="416" customFormat="1"/>
    <row r="57" spans="1:22" s="416" customFormat="1"/>
    <row r="58" spans="1:22">
      <c r="A58" s="420"/>
      <c r="B58" s="420"/>
      <c r="C58" s="420"/>
      <c r="D58" s="420"/>
      <c r="E58" s="420"/>
      <c r="F58" s="420"/>
      <c r="G58" s="420"/>
      <c r="H58" s="436" t="s">
        <v>690</v>
      </c>
      <c r="I58" s="420"/>
      <c r="K58" s="420"/>
      <c r="L58" s="437" t="str">
        <f>$B$11</f>
        <v>INMOBILIARIA SERVIGESTION</v>
      </c>
      <c r="M58" s="420"/>
      <c r="N58" s="420"/>
      <c r="O58" s="420"/>
      <c r="P58" s="420"/>
      <c r="Q58" s="420"/>
      <c r="R58" s="420"/>
      <c r="S58" s="420"/>
      <c r="T58" s="420"/>
      <c r="U58" s="420"/>
      <c r="V58" s="420"/>
    </row>
    <row r="59" spans="1:22" ht="34.5">
      <c r="A59" s="420"/>
      <c r="B59" s="2268" t="s">
        <v>461</v>
      </c>
      <c r="C59" s="2268"/>
      <c r="D59" s="2268"/>
      <c r="E59" s="2268"/>
      <c r="F59" s="2268"/>
      <c r="G59" s="2268"/>
      <c r="H59" s="2268"/>
      <c r="I59" s="2268"/>
      <c r="J59" s="2268"/>
      <c r="K59" s="2268"/>
      <c r="L59" s="2268"/>
      <c r="M59" s="2268"/>
      <c r="N59" s="2268"/>
      <c r="O59" s="2268"/>
      <c r="P59" s="2268"/>
      <c r="Q59" s="2268"/>
      <c r="R59" s="2268"/>
      <c r="S59" s="2268"/>
      <c r="T59" s="2268"/>
      <c r="U59" s="2268"/>
      <c r="V59" s="420"/>
    </row>
    <row r="60" spans="1:22" ht="22.9" customHeight="1">
      <c r="A60" s="420"/>
      <c r="B60" s="2269" t="s">
        <v>885</v>
      </c>
      <c r="C60" s="2269"/>
      <c r="D60" s="2269"/>
      <c r="E60" s="2269"/>
      <c r="F60" s="2269"/>
      <c r="G60" s="2269"/>
      <c r="H60" s="2269"/>
      <c r="I60" s="2269"/>
      <c r="J60" s="2269"/>
      <c r="K60" s="2269"/>
      <c r="L60" s="2269"/>
      <c r="M60" s="2269"/>
      <c r="N60" s="2269"/>
      <c r="O60" s="2269"/>
      <c r="P60" s="2269"/>
      <c r="Q60" s="2269"/>
      <c r="R60" s="2269"/>
      <c r="S60" s="2269"/>
      <c r="T60" s="2269"/>
      <c r="U60" s="2269"/>
      <c r="V60" s="420"/>
    </row>
    <row r="61" spans="1:22" ht="16.149999999999999" customHeight="1">
      <c r="A61" s="420"/>
      <c r="B61" s="757"/>
      <c r="C61" s="757"/>
      <c r="D61" s="757"/>
      <c r="E61" s="757"/>
      <c r="F61" s="757"/>
      <c r="G61" s="757"/>
      <c r="H61" s="757"/>
      <c r="I61" s="757"/>
      <c r="J61" s="757"/>
      <c r="K61" s="757"/>
      <c r="L61" s="757"/>
      <c r="M61" s="757"/>
      <c r="N61" s="757"/>
      <c r="O61" s="757"/>
      <c r="Q61" s="757"/>
      <c r="R61" s="757"/>
      <c r="S61" s="757"/>
      <c r="T61" s="757"/>
      <c r="U61" s="757"/>
      <c r="V61" s="420"/>
    </row>
    <row r="62" spans="1:22" ht="18.399999999999999" customHeight="1">
      <c r="A62" s="429"/>
      <c r="B62" s="2251"/>
      <c r="C62" s="2251"/>
      <c r="D62" s="2251"/>
      <c r="E62" s="2251"/>
      <c r="F62" s="2251"/>
      <c r="G62" s="2251"/>
      <c r="H62" s="2251"/>
      <c r="I62" s="2251"/>
      <c r="J62" s="2251"/>
      <c r="K62" s="2251"/>
      <c r="L62" s="2251"/>
      <c r="M62" s="2251"/>
      <c r="N62" s="2251"/>
      <c r="O62" s="2251"/>
      <c r="P62" s="2251"/>
      <c r="Q62" s="2251"/>
      <c r="R62" s="2251"/>
      <c r="S62" s="2251"/>
      <c r="T62" s="2251"/>
      <c r="U62" s="2251"/>
      <c r="V62" s="429"/>
    </row>
    <row r="63" spans="1:22" ht="23.25">
      <c r="A63" s="420"/>
      <c r="B63" s="757"/>
      <c r="C63" s="757"/>
      <c r="D63" s="757"/>
      <c r="E63" s="757"/>
      <c r="F63" s="757"/>
      <c r="G63" s="757"/>
      <c r="H63" s="757"/>
      <c r="I63" s="757"/>
      <c r="J63" s="757"/>
      <c r="K63" s="757"/>
      <c r="L63" s="757"/>
      <c r="M63" s="757"/>
      <c r="N63" s="757"/>
      <c r="O63" s="757"/>
      <c r="P63" s="757"/>
      <c r="Q63" s="757"/>
      <c r="R63" s="757"/>
      <c r="S63" s="757"/>
      <c r="T63" s="757"/>
      <c r="U63" s="757"/>
      <c r="V63" s="420"/>
    </row>
    <row r="64" spans="1:22" ht="23.25" customHeight="1">
      <c r="A64" s="420"/>
      <c r="B64" s="2325" t="s">
        <v>886</v>
      </c>
      <c r="C64" s="2326"/>
      <c r="D64" s="2326"/>
      <c r="E64" s="2326"/>
      <c r="F64" s="2326"/>
      <c r="G64" s="2326"/>
      <c r="H64" s="2326"/>
      <c r="I64" s="2326"/>
      <c r="J64" s="2326"/>
      <c r="K64" s="2326"/>
      <c r="L64" s="745"/>
      <c r="M64" s="745"/>
      <c r="N64" s="745"/>
      <c r="O64" s="745"/>
      <c r="P64" s="745"/>
      <c r="Q64" s="745"/>
      <c r="R64" s="745"/>
      <c r="S64" s="745"/>
      <c r="T64" s="745"/>
      <c r="U64" s="439"/>
      <c r="V64" s="420"/>
    </row>
    <row r="65" spans="1:22" ht="23.25" customHeight="1">
      <c r="A65" s="420"/>
      <c r="B65" s="2297" t="s">
        <v>887</v>
      </c>
      <c r="C65" s="2288"/>
      <c r="D65" s="2288"/>
      <c r="E65" s="2288"/>
      <c r="F65" s="2288"/>
      <c r="G65" s="2288"/>
      <c r="H65" s="2288"/>
      <c r="I65" s="2288"/>
      <c r="J65" s="2288"/>
      <c r="K65" s="2288"/>
      <c r="L65" s="2288"/>
      <c r="M65" s="2288"/>
      <c r="N65" s="2288"/>
      <c r="O65" s="2288"/>
      <c r="P65" s="2288"/>
      <c r="Q65" s="2288"/>
      <c r="R65" s="2288"/>
      <c r="S65" s="2288"/>
      <c r="T65" s="2288"/>
      <c r="U65" s="2298"/>
      <c r="V65" s="420"/>
    </row>
    <row r="66" spans="1:22" ht="63" customHeight="1">
      <c r="A66" s="420"/>
      <c r="B66" s="742"/>
      <c r="C66" s="441"/>
      <c r="D66" s="2437" t="s">
        <v>889</v>
      </c>
      <c r="E66" s="2437"/>
      <c r="F66" s="2437"/>
      <c r="G66" s="2437"/>
      <c r="H66" s="2437"/>
      <c r="I66" s="441"/>
      <c r="J66" s="2437" t="s">
        <v>888</v>
      </c>
      <c r="K66" s="2437"/>
      <c r="L66" s="2437"/>
      <c r="M66" s="2437"/>
      <c r="N66" s="2437"/>
      <c r="O66" s="441"/>
      <c r="P66" s="2437" t="s">
        <v>890</v>
      </c>
      <c r="Q66" s="2437"/>
      <c r="R66" s="2437"/>
      <c r="S66" s="2437"/>
      <c r="T66" s="2437"/>
      <c r="U66" s="442"/>
      <c r="V66" s="420"/>
    </row>
    <row r="67" spans="1:22" s="416" customFormat="1" ht="13.15" customHeight="1">
      <c r="A67" s="415"/>
      <c r="B67" s="443"/>
      <c r="C67" s="444"/>
      <c r="D67" s="2436" t="s">
        <v>962</v>
      </c>
      <c r="E67" s="2436"/>
      <c r="F67" s="2436"/>
      <c r="G67" s="2436"/>
      <c r="H67" s="2436"/>
      <c r="I67" s="444"/>
      <c r="J67" s="2436" t="s">
        <v>963</v>
      </c>
      <c r="K67" s="2436"/>
      <c r="L67" s="2436"/>
      <c r="M67" s="2436"/>
      <c r="N67" s="2436"/>
      <c r="O67" s="444"/>
      <c r="P67" s="2436" t="s">
        <v>964</v>
      </c>
      <c r="Q67" s="2436"/>
      <c r="R67" s="2436"/>
      <c r="S67" s="2436"/>
      <c r="T67" s="2436"/>
      <c r="U67" s="445"/>
    </row>
    <row r="68" spans="1:22" s="416" customFormat="1" ht="13.15" customHeight="1">
      <c r="A68" s="415"/>
      <c r="B68" s="443"/>
      <c r="C68" s="444"/>
      <c r="D68" s="2436"/>
      <c r="E68" s="2436"/>
      <c r="F68" s="2436"/>
      <c r="G68" s="2436"/>
      <c r="H68" s="2436"/>
      <c r="I68" s="444"/>
      <c r="J68" s="2436"/>
      <c r="K68" s="2436"/>
      <c r="L68" s="2436"/>
      <c r="M68" s="2436"/>
      <c r="N68" s="2436"/>
      <c r="O68" s="444"/>
      <c r="P68" s="2436"/>
      <c r="Q68" s="2436"/>
      <c r="R68" s="2436"/>
      <c r="S68" s="2436"/>
      <c r="T68" s="2436"/>
      <c r="U68" s="445"/>
    </row>
    <row r="69" spans="1:22" s="416" customFormat="1" ht="13.15" customHeight="1">
      <c r="A69" s="415"/>
      <c r="B69" s="443"/>
      <c r="C69" s="444"/>
      <c r="D69" s="2436"/>
      <c r="E69" s="2436"/>
      <c r="F69" s="2436"/>
      <c r="G69" s="2436"/>
      <c r="H69" s="2436"/>
      <c r="I69" s="444"/>
      <c r="J69" s="2436"/>
      <c r="K69" s="2436"/>
      <c r="L69" s="2436"/>
      <c r="M69" s="2436"/>
      <c r="N69" s="2436"/>
      <c r="O69" s="444"/>
      <c r="P69" s="2436"/>
      <c r="Q69" s="2436"/>
      <c r="R69" s="2436"/>
      <c r="S69" s="2436"/>
      <c r="T69" s="2436"/>
      <c r="U69" s="445"/>
    </row>
    <row r="70" spans="1:22" s="416" customFormat="1" ht="25.9" customHeight="1">
      <c r="A70" s="415"/>
      <c r="B70" s="446"/>
      <c r="C70" s="444"/>
      <c r="D70" s="2436"/>
      <c r="E70" s="2436"/>
      <c r="F70" s="2436"/>
      <c r="G70" s="2436"/>
      <c r="H70" s="2436"/>
      <c r="I70" s="444"/>
      <c r="J70" s="2436"/>
      <c r="K70" s="2436"/>
      <c r="L70" s="2436"/>
      <c r="M70" s="2436"/>
      <c r="N70" s="2436"/>
      <c r="O70" s="444"/>
      <c r="P70" s="2436"/>
      <c r="Q70" s="2436"/>
      <c r="R70" s="2436"/>
      <c r="S70" s="2436"/>
      <c r="T70" s="2436"/>
      <c r="U70" s="445"/>
    </row>
    <row r="71" spans="1:22" s="416" customFormat="1" ht="25.9" customHeight="1">
      <c r="A71" s="415"/>
      <c r="B71" s="447"/>
      <c r="C71" s="448"/>
      <c r="D71" s="2436"/>
      <c r="E71" s="2436"/>
      <c r="F71" s="2436"/>
      <c r="G71" s="2436"/>
      <c r="H71" s="2436"/>
      <c r="I71" s="449"/>
      <c r="J71" s="2436"/>
      <c r="K71" s="2436"/>
      <c r="L71" s="2436"/>
      <c r="M71" s="2436"/>
      <c r="N71" s="2436"/>
      <c r="O71" s="444"/>
      <c r="P71" s="2436"/>
      <c r="Q71" s="2436"/>
      <c r="R71" s="2436"/>
      <c r="S71" s="2436"/>
      <c r="T71" s="2436"/>
      <c r="U71" s="445"/>
    </row>
    <row r="72" spans="1:22" s="416" customFormat="1" ht="25.9" customHeight="1">
      <c r="A72" s="415"/>
      <c r="B72" s="447"/>
      <c r="C72" s="448"/>
      <c r="D72" s="2436"/>
      <c r="E72" s="2436"/>
      <c r="F72" s="2436"/>
      <c r="G72" s="2436"/>
      <c r="H72" s="2436"/>
      <c r="I72" s="449"/>
      <c r="J72" s="2436"/>
      <c r="K72" s="2436"/>
      <c r="L72" s="2436"/>
      <c r="M72" s="2436"/>
      <c r="N72" s="2436"/>
      <c r="O72" s="444"/>
      <c r="P72" s="2436"/>
      <c r="Q72" s="2436"/>
      <c r="R72" s="2436"/>
      <c r="S72" s="2436"/>
      <c r="T72" s="2436"/>
      <c r="U72" s="445"/>
    </row>
    <row r="73" spans="1:22" s="416" customFormat="1" ht="25.9" customHeight="1">
      <c r="A73" s="415"/>
      <c r="B73" s="447"/>
      <c r="C73" s="448"/>
      <c r="D73" s="2436"/>
      <c r="E73" s="2436"/>
      <c r="F73" s="2436"/>
      <c r="G73" s="2436"/>
      <c r="H73" s="2436"/>
      <c r="I73" s="449"/>
      <c r="J73" s="2436"/>
      <c r="K73" s="2436"/>
      <c r="L73" s="2436"/>
      <c r="M73" s="2436"/>
      <c r="N73" s="2436"/>
      <c r="O73" s="444"/>
      <c r="P73" s="2436"/>
      <c r="Q73" s="2436"/>
      <c r="R73" s="2436"/>
      <c r="S73" s="2436"/>
      <c r="T73" s="2436"/>
      <c r="U73" s="445"/>
    </row>
    <row r="74" spans="1:22" ht="25.9" customHeight="1">
      <c r="A74" s="420"/>
      <c r="B74" s="447"/>
      <c r="C74" s="450"/>
      <c r="D74" s="2436"/>
      <c r="E74" s="2436"/>
      <c r="F74" s="2436"/>
      <c r="G74" s="2436"/>
      <c r="H74" s="2436"/>
      <c r="I74" s="449"/>
      <c r="J74" s="2436"/>
      <c r="K74" s="2436"/>
      <c r="L74" s="2436"/>
      <c r="M74" s="2436"/>
      <c r="N74" s="2436"/>
      <c r="O74" s="441"/>
      <c r="P74" s="2436"/>
      <c r="Q74" s="2436"/>
      <c r="R74" s="2436"/>
      <c r="S74" s="2436"/>
      <c r="T74" s="2436"/>
      <c r="U74" s="451"/>
      <c r="V74" s="420"/>
    </row>
    <row r="75" spans="1:22" ht="25.9" customHeight="1">
      <c r="A75" s="420"/>
      <c r="B75" s="447"/>
      <c r="C75" s="452"/>
      <c r="D75" s="2436"/>
      <c r="E75" s="2436"/>
      <c r="F75" s="2436"/>
      <c r="G75" s="2436"/>
      <c r="H75" s="2436"/>
      <c r="I75" s="449"/>
      <c r="J75" s="2436"/>
      <c r="K75" s="2436"/>
      <c r="L75" s="2436"/>
      <c r="M75" s="2436"/>
      <c r="N75" s="2436"/>
      <c r="O75" s="453"/>
      <c r="P75" s="2436"/>
      <c r="Q75" s="2436"/>
      <c r="R75" s="2436"/>
      <c r="S75" s="2436"/>
      <c r="T75" s="2436"/>
      <c r="U75" s="454"/>
      <c r="V75" s="420"/>
    </row>
    <row r="76" spans="1:22" ht="25.9" customHeight="1">
      <c r="A76" s="420"/>
      <c r="B76" s="455"/>
      <c r="C76" s="456"/>
      <c r="D76" s="457"/>
      <c r="E76" s="458"/>
      <c r="F76" s="458"/>
      <c r="G76" s="458"/>
      <c r="H76" s="458"/>
      <c r="I76" s="458"/>
      <c r="J76" s="459"/>
      <c r="K76" s="459"/>
      <c r="L76" s="459"/>
      <c r="M76" s="459"/>
      <c r="N76" s="459"/>
      <c r="O76" s="459"/>
      <c r="P76" s="459"/>
      <c r="Q76" s="459"/>
      <c r="R76" s="459"/>
      <c r="S76" s="459"/>
      <c r="T76" s="459"/>
      <c r="U76" s="460"/>
      <c r="V76" s="420"/>
    </row>
    <row r="77" spans="1:22" ht="21" customHeight="1">
      <c r="A77" s="420"/>
      <c r="C77" s="428"/>
      <c r="D77" s="428"/>
      <c r="E77" s="428"/>
      <c r="F77" s="428"/>
      <c r="G77" s="428"/>
      <c r="H77" s="428"/>
      <c r="I77" s="428"/>
      <c r="J77" s="428"/>
      <c r="K77" s="428"/>
      <c r="L77" s="428"/>
      <c r="M77" s="428"/>
      <c r="N77" s="428"/>
      <c r="O77" s="428"/>
      <c r="P77" s="428"/>
      <c r="Q77" s="428"/>
      <c r="R77" s="428"/>
      <c r="S77" s="428"/>
      <c r="T77" s="428"/>
      <c r="U77" s="428"/>
      <c r="V77" s="420"/>
    </row>
    <row r="78" spans="1:22" ht="23.25" customHeight="1">
      <c r="A78" s="420"/>
      <c r="B78" s="2325" t="s">
        <v>913</v>
      </c>
      <c r="C78" s="2326"/>
      <c r="D78" s="2326"/>
      <c r="E78" s="2326"/>
      <c r="F78" s="2326"/>
      <c r="G78" s="2326"/>
      <c r="H78" s="2326"/>
      <c r="I78" s="2326"/>
      <c r="J78" s="2326"/>
      <c r="K78" s="2326"/>
      <c r="L78" s="745"/>
      <c r="M78" s="745"/>
      <c r="N78" s="745"/>
      <c r="O78" s="745"/>
      <c r="P78" s="745"/>
      <c r="Q78" s="745"/>
      <c r="R78" s="745"/>
      <c r="S78" s="745"/>
      <c r="T78" s="745"/>
      <c r="U78" s="439"/>
      <c r="V78" s="420"/>
    </row>
    <row r="79" spans="1:22" ht="23.25" customHeight="1">
      <c r="A79" s="420"/>
      <c r="B79" s="2297" t="s">
        <v>914</v>
      </c>
      <c r="C79" s="2288"/>
      <c r="D79" s="2288"/>
      <c r="E79" s="2288"/>
      <c r="F79" s="2288"/>
      <c r="G79" s="2288"/>
      <c r="H79" s="2288"/>
      <c r="I79" s="2288"/>
      <c r="J79" s="2288"/>
      <c r="K79" s="2288"/>
      <c r="L79" s="2288"/>
      <c r="M79" s="2288"/>
      <c r="N79" s="2288"/>
      <c r="O79" s="2288"/>
      <c r="P79" s="2288"/>
      <c r="Q79" s="2288"/>
      <c r="R79" s="2288"/>
      <c r="S79" s="2288"/>
      <c r="T79" s="2288"/>
      <c r="U79" s="2298"/>
      <c r="V79" s="420"/>
    </row>
    <row r="80" spans="1:22" ht="38.25" customHeight="1">
      <c r="A80" s="420"/>
      <c r="B80" s="742"/>
      <c r="C80" s="441"/>
      <c r="D80" s="2437" t="s">
        <v>915</v>
      </c>
      <c r="E80" s="2437"/>
      <c r="F80" s="2437"/>
      <c r="G80" s="2437"/>
      <c r="H80" s="2437"/>
      <c r="I80" s="441"/>
      <c r="J80" s="2437" t="s">
        <v>924</v>
      </c>
      <c r="K80" s="2437"/>
      <c r="L80" s="2437"/>
      <c r="M80" s="2437"/>
      <c r="N80" s="2437"/>
      <c r="O80" s="441"/>
      <c r="P80" s="2437" t="s">
        <v>916</v>
      </c>
      <c r="Q80" s="2437"/>
      <c r="R80" s="2437"/>
      <c r="S80" s="2437"/>
      <c r="T80" s="2437"/>
      <c r="U80" s="442"/>
      <c r="V80" s="420"/>
    </row>
    <row r="81" spans="1:22" s="416" customFormat="1" ht="13.15" customHeight="1">
      <c r="A81" s="415"/>
      <c r="B81" s="443"/>
      <c r="C81" s="444"/>
      <c r="D81" s="2436" t="s">
        <v>965</v>
      </c>
      <c r="E81" s="2436"/>
      <c r="F81" s="2436"/>
      <c r="G81" s="2436"/>
      <c r="H81" s="2436"/>
      <c r="I81" s="444"/>
      <c r="J81" s="2436" t="s">
        <v>966</v>
      </c>
      <c r="K81" s="2436"/>
      <c r="L81" s="2436"/>
      <c r="M81" s="2436"/>
      <c r="N81" s="2436"/>
      <c r="O81" s="444"/>
      <c r="P81" s="2436" t="s">
        <v>967</v>
      </c>
      <c r="Q81" s="2436"/>
      <c r="R81" s="2436"/>
      <c r="S81" s="2436"/>
      <c r="T81" s="2436"/>
      <c r="U81" s="445"/>
    </row>
    <row r="82" spans="1:22" s="416" customFormat="1" ht="13.15" customHeight="1">
      <c r="A82" s="415"/>
      <c r="B82" s="443"/>
      <c r="C82" s="444"/>
      <c r="D82" s="2436"/>
      <c r="E82" s="2436"/>
      <c r="F82" s="2436"/>
      <c r="G82" s="2436"/>
      <c r="H82" s="2436"/>
      <c r="I82" s="444"/>
      <c r="J82" s="2436"/>
      <c r="K82" s="2436"/>
      <c r="L82" s="2436"/>
      <c r="M82" s="2436"/>
      <c r="N82" s="2436"/>
      <c r="O82" s="444"/>
      <c r="P82" s="2436"/>
      <c r="Q82" s="2436"/>
      <c r="R82" s="2436"/>
      <c r="S82" s="2436"/>
      <c r="T82" s="2436"/>
      <c r="U82" s="445"/>
    </row>
    <row r="83" spans="1:22" s="416" customFormat="1" ht="13.15" customHeight="1">
      <c r="A83" s="415"/>
      <c r="B83" s="443"/>
      <c r="C83" s="444"/>
      <c r="D83" s="2436"/>
      <c r="E83" s="2436"/>
      <c r="F83" s="2436"/>
      <c r="G83" s="2436"/>
      <c r="H83" s="2436"/>
      <c r="I83" s="444"/>
      <c r="J83" s="2436"/>
      <c r="K83" s="2436"/>
      <c r="L83" s="2436"/>
      <c r="M83" s="2436"/>
      <c r="N83" s="2436"/>
      <c r="O83" s="444"/>
      <c r="P83" s="2436"/>
      <c r="Q83" s="2436"/>
      <c r="R83" s="2436"/>
      <c r="S83" s="2436"/>
      <c r="T83" s="2436"/>
      <c r="U83" s="445"/>
    </row>
    <row r="84" spans="1:22" s="416" customFormat="1" ht="25.9" customHeight="1">
      <c r="A84" s="415"/>
      <c r="B84" s="446"/>
      <c r="C84" s="444"/>
      <c r="D84" s="2436"/>
      <c r="E84" s="2436"/>
      <c r="F84" s="2436"/>
      <c r="G84" s="2436"/>
      <c r="H84" s="2436"/>
      <c r="I84" s="444"/>
      <c r="J84" s="2436"/>
      <c r="K84" s="2436"/>
      <c r="L84" s="2436"/>
      <c r="M84" s="2436"/>
      <c r="N84" s="2436"/>
      <c r="O84" s="444"/>
      <c r="P84" s="2436"/>
      <c r="Q84" s="2436"/>
      <c r="R84" s="2436"/>
      <c r="S84" s="2436"/>
      <c r="T84" s="2436"/>
      <c r="U84" s="445"/>
    </row>
    <row r="85" spans="1:22" s="416" customFormat="1" ht="25.9" customHeight="1">
      <c r="A85" s="415"/>
      <c r="B85" s="447"/>
      <c r="C85" s="448"/>
      <c r="D85" s="2436"/>
      <c r="E85" s="2436"/>
      <c r="F85" s="2436"/>
      <c r="G85" s="2436"/>
      <c r="H85" s="2436"/>
      <c r="I85" s="449"/>
      <c r="J85" s="2436"/>
      <c r="K85" s="2436"/>
      <c r="L85" s="2436"/>
      <c r="M85" s="2436"/>
      <c r="N85" s="2436"/>
      <c r="O85" s="444"/>
      <c r="P85" s="2436"/>
      <c r="Q85" s="2436"/>
      <c r="R85" s="2436"/>
      <c r="S85" s="2436"/>
      <c r="T85" s="2436"/>
      <c r="U85" s="445"/>
    </row>
    <row r="86" spans="1:22" s="416" customFormat="1" ht="25.9" customHeight="1">
      <c r="A86" s="415"/>
      <c r="B86" s="461"/>
      <c r="C86" s="462"/>
      <c r="D86" s="2436"/>
      <c r="E86" s="2436"/>
      <c r="F86" s="2436"/>
      <c r="G86" s="2436"/>
      <c r="H86" s="2436"/>
      <c r="I86" s="462"/>
      <c r="J86" s="2436"/>
      <c r="K86" s="2436"/>
      <c r="L86" s="2436"/>
      <c r="M86" s="2436"/>
      <c r="N86" s="2436"/>
      <c r="O86" s="444"/>
      <c r="P86" s="2436"/>
      <c r="Q86" s="2436"/>
      <c r="R86" s="2436"/>
      <c r="S86" s="2436"/>
      <c r="T86" s="2436"/>
      <c r="U86" s="445"/>
    </row>
    <row r="87" spans="1:22" s="416" customFormat="1" ht="25.9" customHeight="1">
      <c r="A87" s="415"/>
      <c r="B87" s="461"/>
      <c r="C87" s="462"/>
      <c r="D87" s="2436"/>
      <c r="E87" s="2436"/>
      <c r="F87" s="2436"/>
      <c r="G87" s="2436"/>
      <c r="H87" s="2436"/>
      <c r="I87" s="462"/>
      <c r="J87" s="2436"/>
      <c r="K87" s="2436"/>
      <c r="L87" s="2436"/>
      <c r="M87" s="2436"/>
      <c r="N87" s="2436"/>
      <c r="O87" s="444"/>
      <c r="P87" s="2436"/>
      <c r="Q87" s="2436"/>
      <c r="R87" s="2436"/>
      <c r="S87" s="2436"/>
      <c r="T87" s="2436"/>
      <c r="U87" s="445"/>
    </row>
    <row r="88" spans="1:22" ht="25.9" customHeight="1">
      <c r="A88" s="420"/>
      <c r="B88" s="461"/>
      <c r="C88" s="462"/>
      <c r="D88" s="2436"/>
      <c r="E88" s="2436"/>
      <c r="F88" s="2436"/>
      <c r="G88" s="2436"/>
      <c r="H88" s="2436"/>
      <c r="I88" s="462"/>
      <c r="J88" s="2436"/>
      <c r="K88" s="2436"/>
      <c r="L88" s="2436"/>
      <c r="M88" s="2436"/>
      <c r="N88" s="2436"/>
      <c r="O88" s="441"/>
      <c r="P88" s="2436"/>
      <c r="Q88" s="2436"/>
      <c r="R88" s="2436"/>
      <c r="S88" s="2436"/>
      <c r="T88" s="2436"/>
      <c r="U88" s="451"/>
      <c r="V88" s="420"/>
    </row>
    <row r="89" spans="1:22" ht="13.9" customHeight="1">
      <c r="A89" s="420"/>
      <c r="B89" s="461"/>
      <c r="C89" s="462"/>
      <c r="D89" s="2436"/>
      <c r="E89" s="2436"/>
      <c r="F89" s="2436"/>
      <c r="G89" s="2436"/>
      <c r="H89" s="2436"/>
      <c r="I89" s="462"/>
      <c r="J89" s="2436"/>
      <c r="K89" s="2436"/>
      <c r="L89" s="2436"/>
      <c r="M89" s="2436"/>
      <c r="N89" s="2436"/>
      <c r="O89" s="453"/>
      <c r="P89" s="2436"/>
      <c r="Q89" s="2436"/>
      <c r="R89" s="2436"/>
      <c r="S89" s="2436"/>
      <c r="T89" s="2436"/>
      <c r="U89" s="454"/>
      <c r="V89" s="420"/>
    </row>
    <row r="90" spans="1:22" ht="25.9" customHeight="1">
      <c r="A90" s="420"/>
      <c r="B90" s="463"/>
      <c r="C90" s="464"/>
      <c r="D90" s="464"/>
      <c r="E90" s="464"/>
      <c r="F90" s="464"/>
      <c r="G90" s="464"/>
      <c r="H90" s="464"/>
      <c r="I90" s="464"/>
      <c r="J90" s="459"/>
      <c r="K90" s="459"/>
      <c r="L90" s="459"/>
      <c r="M90" s="459"/>
      <c r="N90" s="459"/>
      <c r="O90" s="459"/>
      <c r="P90" s="459"/>
      <c r="Q90" s="459"/>
      <c r="R90" s="459"/>
      <c r="S90" s="459"/>
      <c r="T90" s="459"/>
      <c r="U90" s="460"/>
      <c r="V90" s="420"/>
    </row>
    <row r="91" spans="1:22" ht="33" customHeight="1">
      <c r="A91" s="420"/>
      <c r="B91" s="465"/>
      <c r="C91" s="465"/>
      <c r="D91" s="465"/>
      <c r="E91" s="465"/>
      <c r="F91" s="465"/>
      <c r="G91" s="465"/>
      <c r="H91" s="465"/>
      <c r="I91" s="465"/>
      <c r="J91" s="428"/>
      <c r="K91" s="428"/>
      <c r="L91" s="428"/>
      <c r="M91" s="428"/>
      <c r="N91" s="428"/>
      <c r="O91" s="428"/>
      <c r="P91" s="428"/>
      <c r="Q91" s="428"/>
      <c r="R91" s="428"/>
      <c r="S91" s="428"/>
      <c r="T91" s="428"/>
      <c r="U91" s="428"/>
      <c r="V91" s="420"/>
    </row>
    <row r="92" spans="1:22" ht="23.25" customHeight="1">
      <c r="A92" s="420"/>
      <c r="B92" s="2325" t="s">
        <v>917</v>
      </c>
      <c r="C92" s="2326"/>
      <c r="D92" s="2326"/>
      <c r="E92" s="2326"/>
      <c r="F92" s="2326"/>
      <c r="G92" s="2326"/>
      <c r="H92" s="2326"/>
      <c r="I92" s="2326"/>
      <c r="J92" s="2326"/>
      <c r="K92" s="2326"/>
      <c r="L92" s="745"/>
      <c r="M92" s="745"/>
      <c r="N92" s="745"/>
      <c r="O92" s="745"/>
      <c r="P92" s="745"/>
      <c r="Q92" s="745"/>
      <c r="R92" s="745"/>
      <c r="S92" s="745"/>
      <c r="T92" s="745"/>
      <c r="U92" s="439"/>
      <c r="V92" s="420"/>
    </row>
    <row r="93" spans="1:22" ht="23.25" customHeight="1">
      <c r="A93" s="420"/>
      <c r="B93" s="2297" t="s">
        <v>918</v>
      </c>
      <c r="C93" s="2288"/>
      <c r="D93" s="2288"/>
      <c r="E93" s="2288"/>
      <c r="F93" s="2288"/>
      <c r="G93" s="2288"/>
      <c r="H93" s="2288"/>
      <c r="I93" s="2288"/>
      <c r="J93" s="2288"/>
      <c r="K93" s="2288"/>
      <c r="L93" s="2288"/>
      <c r="M93" s="2288"/>
      <c r="N93" s="2288"/>
      <c r="O93" s="2288"/>
      <c r="P93" s="2288"/>
      <c r="Q93" s="2288"/>
      <c r="R93" s="2288"/>
      <c r="S93" s="2288"/>
      <c r="T93" s="2288"/>
      <c r="U93" s="2298"/>
      <c r="V93" s="420"/>
    </row>
    <row r="94" spans="1:22" ht="33" customHeight="1">
      <c r="A94" s="420"/>
      <c r="B94" s="2297" t="s">
        <v>919</v>
      </c>
      <c r="C94" s="2288"/>
      <c r="D94" s="2288"/>
      <c r="E94" s="2288"/>
      <c r="F94" s="2288"/>
      <c r="G94" s="2288"/>
      <c r="H94" s="2288"/>
      <c r="I94" s="2288"/>
      <c r="J94" s="2288"/>
      <c r="K94" s="2288"/>
      <c r="L94" s="2288"/>
      <c r="M94" s="2288"/>
      <c r="N94" s="2288"/>
      <c r="O94" s="2288"/>
      <c r="P94" s="2288"/>
      <c r="Q94" s="2288"/>
      <c r="R94" s="2288"/>
      <c r="S94" s="2288"/>
      <c r="T94" s="2288"/>
      <c r="U94" s="2298"/>
      <c r="V94" s="420"/>
    </row>
    <row r="95" spans="1:22" ht="39" customHeight="1">
      <c r="A95" s="420"/>
      <c r="B95" s="466"/>
      <c r="C95" s="441"/>
      <c r="D95" s="2437" t="s">
        <v>920</v>
      </c>
      <c r="E95" s="2437"/>
      <c r="F95" s="2437"/>
      <c r="G95" s="2437"/>
      <c r="H95" s="2437"/>
      <c r="I95" s="441"/>
      <c r="J95" s="2437" t="s">
        <v>921</v>
      </c>
      <c r="K95" s="2437"/>
      <c r="L95" s="2437"/>
      <c r="M95" s="2437"/>
      <c r="N95" s="2437"/>
      <c r="O95" s="441"/>
      <c r="P95" s="2437" t="s">
        <v>922</v>
      </c>
      <c r="Q95" s="2437"/>
      <c r="R95" s="2437"/>
      <c r="S95" s="2437"/>
      <c r="T95" s="2437"/>
      <c r="U95" s="451"/>
      <c r="V95" s="420"/>
    </row>
    <row r="96" spans="1:22" s="416" customFormat="1" ht="13.15" customHeight="1">
      <c r="A96" s="415"/>
      <c r="B96" s="443"/>
      <c r="C96" s="444"/>
      <c r="D96" s="2436" t="s">
        <v>968</v>
      </c>
      <c r="E96" s="2436"/>
      <c r="F96" s="2436"/>
      <c r="G96" s="2436"/>
      <c r="H96" s="2436"/>
      <c r="I96" s="444"/>
      <c r="J96" s="2436" t="s">
        <v>969</v>
      </c>
      <c r="K96" s="2436"/>
      <c r="L96" s="2436"/>
      <c r="M96" s="2436"/>
      <c r="N96" s="2436"/>
      <c r="O96" s="444"/>
      <c r="P96" s="2438" t="s">
        <v>1003</v>
      </c>
      <c r="Q96" s="2438"/>
      <c r="R96" s="2438"/>
      <c r="S96" s="2438"/>
      <c r="T96" s="2438"/>
      <c r="U96" s="445"/>
    </row>
    <row r="97" spans="1:22" s="416" customFormat="1" ht="13.15" customHeight="1">
      <c r="A97" s="415"/>
      <c r="B97" s="443"/>
      <c r="C97" s="444"/>
      <c r="D97" s="2436"/>
      <c r="E97" s="2436"/>
      <c r="F97" s="2436"/>
      <c r="G97" s="2436"/>
      <c r="H97" s="2436"/>
      <c r="I97" s="444"/>
      <c r="J97" s="2436"/>
      <c r="K97" s="2436"/>
      <c r="L97" s="2436"/>
      <c r="M97" s="2436"/>
      <c r="N97" s="2436"/>
      <c r="O97" s="444"/>
      <c r="P97" s="2438"/>
      <c r="Q97" s="2438"/>
      <c r="R97" s="2438"/>
      <c r="S97" s="2438"/>
      <c r="T97" s="2438"/>
      <c r="U97" s="445"/>
    </row>
    <row r="98" spans="1:22" s="416" customFormat="1" ht="13.15" customHeight="1">
      <c r="A98" s="415"/>
      <c r="B98" s="443"/>
      <c r="C98" s="444"/>
      <c r="D98" s="2436"/>
      <c r="E98" s="2436"/>
      <c r="F98" s="2436"/>
      <c r="G98" s="2436"/>
      <c r="H98" s="2436"/>
      <c r="I98" s="444"/>
      <c r="J98" s="2436"/>
      <c r="K98" s="2436"/>
      <c r="L98" s="2436"/>
      <c r="M98" s="2436"/>
      <c r="N98" s="2436"/>
      <c r="O98" s="444"/>
      <c r="P98" s="2438"/>
      <c r="Q98" s="2438"/>
      <c r="R98" s="2438"/>
      <c r="S98" s="2438"/>
      <c r="T98" s="2438"/>
      <c r="U98" s="445"/>
    </row>
    <row r="99" spans="1:22" s="416" customFormat="1" ht="25.9" customHeight="1">
      <c r="A99" s="415"/>
      <c r="B99" s="446"/>
      <c r="C99" s="444"/>
      <c r="D99" s="2436"/>
      <c r="E99" s="2436"/>
      <c r="F99" s="2436"/>
      <c r="G99" s="2436"/>
      <c r="H99" s="2436"/>
      <c r="I99" s="444"/>
      <c r="J99" s="2436"/>
      <c r="K99" s="2436"/>
      <c r="L99" s="2436"/>
      <c r="M99" s="2436"/>
      <c r="N99" s="2436"/>
      <c r="O99" s="444"/>
      <c r="P99" s="2438"/>
      <c r="Q99" s="2438"/>
      <c r="R99" s="2438"/>
      <c r="S99" s="2438"/>
      <c r="T99" s="2438"/>
      <c r="U99" s="445"/>
    </row>
    <row r="100" spans="1:22" s="416" customFormat="1" ht="25.9" customHeight="1">
      <c r="A100" s="415"/>
      <c r="B100" s="447"/>
      <c r="C100" s="448"/>
      <c r="D100" s="2436"/>
      <c r="E100" s="2436"/>
      <c r="F100" s="2436"/>
      <c r="G100" s="2436"/>
      <c r="H100" s="2436"/>
      <c r="I100" s="449"/>
      <c r="J100" s="2436"/>
      <c r="K100" s="2436"/>
      <c r="L100" s="2436"/>
      <c r="M100" s="2436"/>
      <c r="N100" s="2436"/>
      <c r="O100" s="444"/>
      <c r="P100" s="2438"/>
      <c r="Q100" s="2438"/>
      <c r="R100" s="2438"/>
      <c r="S100" s="2438"/>
      <c r="T100" s="2438"/>
      <c r="U100" s="445"/>
    </row>
    <row r="101" spans="1:22" s="416" customFormat="1" ht="25.9" customHeight="1">
      <c r="A101" s="415"/>
      <c r="B101" s="461"/>
      <c r="C101" s="462"/>
      <c r="D101" s="2436"/>
      <c r="E101" s="2436"/>
      <c r="F101" s="2436"/>
      <c r="G101" s="2436"/>
      <c r="H101" s="2436"/>
      <c r="I101" s="462"/>
      <c r="J101" s="2436"/>
      <c r="K101" s="2436"/>
      <c r="L101" s="2436"/>
      <c r="M101" s="2436"/>
      <c r="N101" s="2436"/>
      <c r="O101" s="444"/>
      <c r="P101" s="2438"/>
      <c r="Q101" s="2438"/>
      <c r="R101" s="2438"/>
      <c r="S101" s="2438"/>
      <c r="T101" s="2438"/>
      <c r="U101" s="445"/>
    </row>
    <row r="102" spans="1:22" s="416" customFormat="1" ht="25.9" customHeight="1">
      <c r="A102" s="415"/>
      <c r="B102" s="461"/>
      <c r="C102" s="462"/>
      <c r="D102" s="2436"/>
      <c r="E102" s="2436"/>
      <c r="F102" s="2436"/>
      <c r="G102" s="2436"/>
      <c r="H102" s="2436"/>
      <c r="I102" s="462"/>
      <c r="J102" s="2436"/>
      <c r="K102" s="2436"/>
      <c r="L102" s="2436"/>
      <c r="M102" s="2436"/>
      <c r="N102" s="2436"/>
      <c r="O102" s="444"/>
      <c r="P102" s="2438"/>
      <c r="Q102" s="2438"/>
      <c r="R102" s="2438"/>
      <c r="S102" s="2438"/>
      <c r="T102" s="2438"/>
      <c r="U102" s="445"/>
    </row>
    <row r="103" spans="1:22" ht="25.9" customHeight="1">
      <c r="A103" s="420"/>
      <c r="B103" s="461"/>
      <c r="C103" s="462"/>
      <c r="D103" s="2436"/>
      <c r="E103" s="2436"/>
      <c r="F103" s="2436"/>
      <c r="G103" s="2436"/>
      <c r="H103" s="2436"/>
      <c r="I103" s="462"/>
      <c r="J103" s="2436"/>
      <c r="K103" s="2436"/>
      <c r="L103" s="2436"/>
      <c r="M103" s="2436"/>
      <c r="N103" s="2436"/>
      <c r="O103" s="441"/>
      <c r="P103" s="2438"/>
      <c r="Q103" s="2438"/>
      <c r="R103" s="2438"/>
      <c r="S103" s="2438"/>
      <c r="T103" s="2438"/>
      <c r="U103" s="451"/>
      <c r="V103" s="420"/>
    </row>
    <row r="104" spans="1:22" ht="25.9" customHeight="1">
      <c r="A104" s="420"/>
      <c r="B104" s="461"/>
      <c r="C104" s="462"/>
      <c r="D104" s="2436"/>
      <c r="E104" s="2436"/>
      <c r="F104" s="2436"/>
      <c r="G104" s="2436"/>
      <c r="H104" s="2436"/>
      <c r="I104" s="462"/>
      <c r="J104" s="2436"/>
      <c r="K104" s="2436"/>
      <c r="L104" s="2436"/>
      <c r="M104" s="2436"/>
      <c r="N104" s="2436"/>
      <c r="O104" s="453"/>
      <c r="P104" s="2438"/>
      <c r="Q104" s="2438"/>
      <c r="R104" s="2438"/>
      <c r="S104" s="2438"/>
      <c r="T104" s="2438"/>
      <c r="U104" s="454"/>
      <c r="V104" s="420"/>
    </row>
    <row r="105" spans="1:22" s="429" customFormat="1" ht="25.9" customHeight="1">
      <c r="A105" s="420"/>
      <c r="B105" s="461"/>
      <c r="C105" s="462"/>
      <c r="D105" s="467"/>
      <c r="E105" s="467"/>
      <c r="F105" s="467"/>
      <c r="G105" s="467"/>
      <c r="H105" s="467"/>
      <c r="I105" s="462"/>
      <c r="J105" s="467"/>
      <c r="K105" s="467"/>
      <c r="L105" s="467"/>
      <c r="M105" s="467"/>
      <c r="N105" s="467"/>
      <c r="O105" s="453"/>
      <c r="P105" s="2416" t="s">
        <v>923</v>
      </c>
      <c r="Q105" s="2416"/>
      <c r="R105" s="2416"/>
      <c r="S105" s="2416"/>
      <c r="T105" s="2416"/>
      <c r="U105" s="454"/>
      <c r="V105" s="420"/>
    </row>
    <row r="106" spans="1:22" s="429" customFormat="1" ht="25.9" customHeight="1">
      <c r="A106" s="420"/>
      <c r="B106" s="461"/>
      <c r="C106" s="462"/>
      <c r="D106" s="467"/>
      <c r="E106" s="467"/>
      <c r="F106" s="467"/>
      <c r="G106" s="467"/>
      <c r="H106" s="467"/>
      <c r="I106" s="462"/>
      <c r="J106" s="467"/>
      <c r="K106" s="467"/>
      <c r="L106" s="467"/>
      <c r="M106" s="467"/>
      <c r="N106" s="467"/>
      <c r="O106" s="453"/>
      <c r="P106" s="2416" t="s">
        <v>1005</v>
      </c>
      <c r="Q106" s="2416"/>
      <c r="R106" s="2416"/>
      <c r="S106" s="2416"/>
      <c r="T106" s="2416"/>
      <c r="U106" s="454"/>
      <c r="V106" s="420"/>
    </row>
    <row r="107" spans="1:22" ht="33" customHeight="1">
      <c r="A107" s="420"/>
      <c r="B107" s="2297" t="s">
        <v>971</v>
      </c>
      <c r="C107" s="2288"/>
      <c r="D107" s="2288"/>
      <c r="E107" s="2288"/>
      <c r="F107" s="2288"/>
      <c r="G107" s="2288"/>
      <c r="H107" s="2288"/>
      <c r="I107" s="2288"/>
      <c r="J107" s="2288"/>
      <c r="K107" s="2288"/>
      <c r="L107" s="2288"/>
      <c r="M107" s="2288"/>
      <c r="N107" s="2288"/>
      <c r="O107" s="2288"/>
      <c r="P107" s="2288"/>
      <c r="Q107" s="2288"/>
      <c r="R107" s="2288"/>
      <c r="S107" s="2288"/>
      <c r="T107" s="2288"/>
      <c r="U107" s="2298"/>
      <c r="V107" s="420"/>
    </row>
    <row r="108" spans="1:22" ht="33" customHeight="1">
      <c r="A108" s="420"/>
      <c r="B108" s="742"/>
      <c r="C108" s="743"/>
      <c r="D108" s="743"/>
      <c r="E108" s="743"/>
      <c r="F108" s="743"/>
      <c r="G108" s="743"/>
      <c r="H108" s="2423" t="s">
        <v>972</v>
      </c>
      <c r="I108" s="2424"/>
      <c r="J108" s="2423" t="s">
        <v>973</v>
      </c>
      <c r="K108" s="2424"/>
      <c r="L108" s="2423" t="s">
        <v>974</v>
      </c>
      <c r="M108" s="2424"/>
      <c r="N108" s="2423" t="s">
        <v>975</v>
      </c>
      <c r="O108" s="2424"/>
      <c r="P108" s="743"/>
      <c r="Q108" s="743"/>
      <c r="R108" s="743"/>
      <c r="S108" s="743"/>
      <c r="T108" s="743"/>
      <c r="U108" s="744"/>
      <c r="V108" s="420"/>
    </row>
    <row r="109" spans="1:22" ht="33" customHeight="1">
      <c r="A109" s="420"/>
      <c r="B109" s="742"/>
      <c r="C109" s="743"/>
      <c r="D109" s="743"/>
      <c r="E109" s="743"/>
      <c r="F109" s="743"/>
      <c r="G109" s="743"/>
      <c r="H109" s="2425"/>
      <c r="I109" s="2426"/>
      <c r="J109" s="2425"/>
      <c r="K109" s="2426"/>
      <c r="L109" s="2425"/>
      <c r="M109" s="2426"/>
      <c r="N109" s="2425"/>
      <c r="O109" s="2426"/>
      <c r="P109" s="743"/>
      <c r="Q109" s="743"/>
      <c r="R109" s="743"/>
      <c r="S109" s="743"/>
      <c r="T109" s="743"/>
      <c r="U109" s="744"/>
      <c r="V109" s="420"/>
    </row>
    <row r="110" spans="1:22" s="470" customFormat="1" ht="33" customHeight="1">
      <c r="B110" s="471"/>
      <c r="C110" s="472"/>
      <c r="D110" s="472"/>
      <c r="E110" s="472"/>
      <c r="F110" s="472"/>
      <c r="G110" s="472"/>
      <c r="H110" s="472"/>
      <c r="I110" s="472"/>
      <c r="J110" s="472"/>
      <c r="K110" s="472"/>
      <c r="L110" s="472"/>
      <c r="M110" s="472"/>
      <c r="N110" s="472"/>
      <c r="O110" s="472"/>
      <c r="P110" s="472"/>
      <c r="Q110" s="472"/>
      <c r="R110" s="472"/>
      <c r="S110" s="472"/>
      <c r="T110" s="472"/>
      <c r="U110" s="473"/>
    </row>
    <row r="111" spans="1:22" ht="15.75">
      <c r="A111" s="420"/>
      <c r="B111" s="474" t="s">
        <v>664</v>
      </c>
      <c r="C111" s="420"/>
      <c r="D111" s="420"/>
      <c r="E111" s="420"/>
      <c r="F111" s="420"/>
      <c r="G111" s="420"/>
      <c r="H111" s="420"/>
      <c r="I111" s="420"/>
      <c r="J111" s="420"/>
      <c r="K111" s="420"/>
      <c r="L111" s="420"/>
      <c r="S111" s="478" t="str">
        <f>$E$29</f>
        <v>ILF5_90FCOR_B114CAGR43006</v>
      </c>
      <c r="T111" s="420"/>
      <c r="U111" s="420"/>
      <c r="V111" s="420"/>
    </row>
    <row r="112" spans="1:22" ht="23.25">
      <c r="A112" s="420"/>
      <c r="C112" s="475"/>
      <c r="D112" s="475"/>
      <c r="E112" s="475"/>
      <c r="F112" s="475"/>
      <c r="G112" s="475"/>
      <c r="H112" s="475"/>
      <c r="I112" s="475"/>
      <c r="J112" s="475"/>
      <c r="K112" s="475"/>
      <c r="L112" s="475"/>
      <c r="M112" s="476" t="s">
        <v>1459</v>
      </c>
      <c r="N112" s="420"/>
      <c r="O112" s="420"/>
      <c r="P112" s="420"/>
      <c r="Q112" s="420"/>
      <c r="R112" s="477" t="s">
        <v>692</v>
      </c>
      <c r="S112" s="475"/>
      <c r="T112" s="475"/>
      <c r="U112" s="475"/>
      <c r="V112" s="420"/>
    </row>
    <row r="113" spans="1:22" ht="23.25">
      <c r="A113" s="420"/>
      <c r="B113" s="475"/>
      <c r="C113" s="475"/>
      <c r="D113" s="475"/>
      <c r="E113" s="475"/>
      <c r="F113" s="475"/>
      <c r="G113" s="475"/>
      <c r="H113" s="475"/>
      <c r="I113" s="475"/>
      <c r="J113" s="475"/>
      <c r="K113" s="475"/>
      <c r="L113" s="475"/>
      <c r="M113" s="475"/>
      <c r="N113" s="475"/>
      <c r="O113" s="475"/>
      <c r="P113" s="475"/>
      <c r="Q113" s="475"/>
      <c r="R113" s="475"/>
      <c r="S113" s="475"/>
      <c r="T113" s="475"/>
      <c r="U113" s="475"/>
      <c r="V113" s="420"/>
    </row>
    <row r="114" spans="1:22">
      <c r="A114" s="420"/>
      <c r="B114" s="420"/>
      <c r="C114" s="420"/>
      <c r="D114" s="420"/>
      <c r="E114" s="420"/>
      <c r="F114" s="420"/>
      <c r="G114" s="420"/>
      <c r="H114" s="436" t="s">
        <v>690</v>
      </c>
      <c r="I114" s="420"/>
      <c r="K114" s="420"/>
      <c r="L114" s="437" t="str">
        <f>$B$11</f>
        <v>INMOBILIARIA SERVIGESTION</v>
      </c>
      <c r="M114" s="420"/>
      <c r="N114" s="420"/>
      <c r="O114" s="420"/>
      <c r="P114" s="420"/>
      <c r="Q114" s="420"/>
      <c r="R114" s="420"/>
      <c r="S114" s="420"/>
      <c r="T114" s="420"/>
      <c r="U114" s="420"/>
      <c r="V114" s="420"/>
    </row>
    <row r="115" spans="1:22" ht="34.5">
      <c r="A115" s="420"/>
      <c r="B115" s="2268" t="s">
        <v>461</v>
      </c>
      <c r="C115" s="2268"/>
      <c r="D115" s="2268"/>
      <c r="E115" s="2268"/>
      <c r="F115" s="2268"/>
      <c r="G115" s="2268"/>
      <c r="H115" s="2268"/>
      <c r="I115" s="2268"/>
      <c r="J115" s="2268"/>
      <c r="K115" s="2268"/>
      <c r="L115" s="2268"/>
      <c r="M115" s="2268"/>
      <c r="N115" s="2268"/>
      <c r="O115" s="2268"/>
      <c r="P115" s="2268"/>
      <c r="Q115" s="2268"/>
      <c r="R115" s="2268"/>
      <c r="S115" s="2268"/>
      <c r="T115" s="2268"/>
      <c r="U115" s="2268"/>
      <c r="V115" s="420"/>
    </row>
    <row r="116" spans="1:22" ht="22.9" customHeight="1">
      <c r="A116" s="420"/>
      <c r="B116" s="2269" t="s">
        <v>1084</v>
      </c>
      <c r="C116" s="2269"/>
      <c r="D116" s="2269"/>
      <c r="E116" s="2269"/>
      <c r="F116" s="2269"/>
      <c r="G116" s="2269"/>
      <c r="H116" s="2269"/>
      <c r="I116" s="2269"/>
      <c r="J116" s="2269"/>
      <c r="K116" s="2269"/>
      <c r="L116" s="2269"/>
      <c r="M116" s="2269"/>
      <c r="N116" s="2269"/>
      <c r="O116" s="2269"/>
      <c r="P116" s="2269"/>
      <c r="Q116" s="2269"/>
      <c r="R116" s="2269"/>
      <c r="S116" s="2269"/>
      <c r="T116" s="2269"/>
      <c r="U116" s="2269"/>
      <c r="V116" s="420"/>
    </row>
    <row r="117" spans="1:22" ht="16.149999999999999" customHeight="1">
      <c r="A117" s="420"/>
      <c r="B117" s="459"/>
      <c r="C117" s="459"/>
      <c r="D117" s="459"/>
      <c r="E117" s="459"/>
      <c r="F117" s="459"/>
      <c r="G117" s="459"/>
      <c r="H117" s="459"/>
      <c r="I117" s="459"/>
      <c r="J117" s="459"/>
      <c r="K117" s="459"/>
      <c r="L117" s="459"/>
      <c r="M117" s="459"/>
      <c r="N117" s="459"/>
      <c r="O117" s="459"/>
      <c r="P117" s="488"/>
      <c r="Q117" s="459"/>
      <c r="R117" s="459"/>
      <c r="S117" s="459"/>
      <c r="T117" s="459"/>
      <c r="U117" s="459"/>
      <c r="V117" s="420"/>
    </row>
    <row r="118" spans="1:22" ht="102" customHeight="1">
      <c r="A118" s="489"/>
      <c r="B118" s="2444" t="s">
        <v>1908</v>
      </c>
      <c r="C118" s="2445"/>
      <c r="D118" s="2445"/>
      <c r="E118" s="2445"/>
      <c r="F118" s="2445"/>
      <c r="G118" s="2445"/>
      <c r="H118" s="2445"/>
      <c r="I118" s="2445"/>
      <c r="J118" s="2445"/>
      <c r="K118" s="2445"/>
      <c r="L118" s="2445"/>
      <c r="M118" s="2445"/>
      <c r="N118" s="2445"/>
      <c r="O118" s="2445"/>
      <c r="P118" s="2445"/>
      <c r="Q118" s="2445"/>
      <c r="R118" s="2445"/>
      <c r="S118" s="2445"/>
      <c r="T118" s="2445"/>
      <c r="U118" s="2446"/>
      <c r="V118" s="490"/>
    </row>
    <row r="119" spans="1:22" ht="13.9" customHeight="1">
      <c r="A119" s="489"/>
      <c r="B119" s="1887"/>
      <c r="C119" s="1887"/>
      <c r="D119" s="1887"/>
      <c r="E119" s="1887"/>
      <c r="F119" s="1887"/>
      <c r="G119" s="1887"/>
      <c r="H119" s="1887"/>
      <c r="I119" s="1887"/>
      <c r="J119" s="1887"/>
      <c r="K119" s="1887"/>
      <c r="L119" s="1887"/>
      <c r="M119" s="1887"/>
      <c r="N119" s="1887"/>
      <c r="O119" s="1887"/>
      <c r="P119" s="1887"/>
      <c r="Q119" s="1887"/>
      <c r="R119" s="1887"/>
      <c r="S119" s="1887"/>
      <c r="T119" s="1887"/>
      <c r="U119" s="1887"/>
      <c r="V119" s="490"/>
    </row>
    <row r="120" spans="1:22" ht="36.75" customHeight="1">
      <c r="A120" s="489"/>
      <c r="B120" s="1887"/>
      <c r="C120" s="2443" t="s">
        <v>784</v>
      </c>
      <c r="D120" s="2443"/>
      <c r="E120" s="2443"/>
      <c r="F120" s="2443"/>
      <c r="G120" s="2443"/>
      <c r="H120" s="2443"/>
      <c r="I120" s="2443"/>
      <c r="J120" s="2443"/>
      <c r="K120" s="2443"/>
      <c r="L120" s="2443"/>
      <c r="M120" s="2443"/>
      <c r="N120" s="2443"/>
      <c r="O120" s="2443"/>
      <c r="P120" s="2443"/>
      <c r="Q120" s="2443"/>
      <c r="R120" s="2443"/>
      <c r="S120" s="2443"/>
      <c r="T120" s="2443"/>
      <c r="U120" s="1887"/>
      <c r="V120" s="490"/>
    </row>
    <row r="121" spans="1:22" ht="22.15" customHeight="1">
      <c r="A121" s="451"/>
      <c r="B121" s="1862"/>
      <c r="C121" s="1862"/>
      <c r="D121" s="1862"/>
      <c r="E121" s="1862"/>
      <c r="F121" s="1862"/>
      <c r="G121" s="1862"/>
      <c r="H121" s="1862"/>
      <c r="I121" s="1862"/>
      <c r="J121" s="1862"/>
      <c r="K121" s="1862"/>
      <c r="L121" s="2400"/>
      <c r="M121" s="2400"/>
      <c r="N121" s="2400"/>
      <c r="O121" s="2400"/>
      <c r="P121" s="2400"/>
      <c r="Q121" s="2400"/>
      <c r="R121" s="2400"/>
      <c r="S121" s="2400"/>
      <c r="T121" s="1862"/>
      <c r="U121" s="1863"/>
      <c r="V121" s="493"/>
    </row>
    <row r="122" spans="1:22" ht="23.25">
      <c r="B122" s="1864"/>
      <c r="C122" s="2401" t="s">
        <v>1083</v>
      </c>
      <c r="D122" s="2401"/>
      <c r="E122" s="2401"/>
      <c r="F122" s="2401"/>
      <c r="G122" s="2401"/>
      <c r="H122" s="2401"/>
      <c r="I122" s="2401"/>
      <c r="J122" s="2401"/>
      <c r="K122" s="2401"/>
      <c r="L122" s="1865"/>
      <c r="M122" s="2447" t="s">
        <v>1988</v>
      </c>
      <c r="N122" s="2448"/>
      <c r="O122" s="2448"/>
      <c r="P122" s="2448"/>
      <c r="Q122" s="2448"/>
      <c r="R122" s="2448"/>
      <c r="S122" s="2448"/>
      <c r="T122" s="2449"/>
      <c r="U122" s="1866"/>
      <c r="V122" s="441"/>
    </row>
    <row r="123" spans="1:22" ht="108.75" customHeight="1">
      <c r="B123" s="495" t="s">
        <v>362</v>
      </c>
      <c r="C123" s="2396" t="s">
        <v>1909</v>
      </c>
      <c r="D123" s="2397"/>
      <c r="E123" s="2397"/>
      <c r="F123" s="2397"/>
      <c r="G123" s="2397"/>
      <c r="H123" s="2397"/>
      <c r="I123" s="2397"/>
      <c r="J123" s="2397"/>
      <c r="K123" s="2398"/>
      <c r="L123" s="1867"/>
      <c r="M123" s="2396" t="s">
        <v>1989</v>
      </c>
      <c r="N123" s="2397"/>
      <c r="O123" s="2397"/>
      <c r="P123" s="2397"/>
      <c r="Q123" s="2397"/>
      <c r="R123" s="2397"/>
      <c r="S123" s="2397"/>
      <c r="T123" s="2398"/>
      <c r="U123" s="1866"/>
      <c r="V123" s="441"/>
    </row>
    <row r="124" spans="1:22" ht="26.25">
      <c r="A124" s="441"/>
      <c r="B124" s="1868"/>
      <c r="C124" s="2327" t="s">
        <v>783</v>
      </c>
      <c r="D124" s="2327"/>
      <c r="E124" s="2327"/>
      <c r="F124" s="2327"/>
      <c r="G124" s="2327"/>
      <c r="H124" s="1869">
        <v>24</v>
      </c>
      <c r="I124" s="1870"/>
      <c r="J124" s="1870"/>
      <c r="K124" s="1870"/>
      <c r="L124" s="1871"/>
      <c r="M124" s="1872" t="s">
        <v>783</v>
      </c>
      <c r="N124" s="1873"/>
      <c r="O124" s="1874"/>
      <c r="P124" s="1874"/>
      <c r="Q124" s="1874"/>
      <c r="R124" s="1869">
        <v>32</v>
      </c>
      <c r="S124" s="1875"/>
      <c r="T124" s="1875"/>
      <c r="U124" s="1876"/>
    </row>
    <row r="125" spans="1:22" ht="10.9" customHeight="1">
      <c r="A125" s="441"/>
      <c r="B125" s="1877"/>
      <c r="C125" s="501"/>
      <c r="D125" s="501"/>
      <c r="E125" s="501"/>
      <c r="F125" s="501"/>
      <c r="G125" s="501"/>
      <c r="H125" s="501"/>
      <c r="I125" s="501"/>
      <c r="J125" s="501"/>
      <c r="K125" s="501"/>
      <c r="L125" s="501"/>
      <c r="M125" s="501"/>
      <c r="N125" s="501"/>
      <c r="O125" s="501"/>
      <c r="P125" s="501"/>
      <c r="Q125" s="501"/>
      <c r="R125" s="501"/>
      <c r="S125" s="501"/>
      <c r="T125" s="501"/>
      <c r="U125" s="502"/>
    </row>
    <row r="126" spans="1:22" ht="15.6" customHeight="1">
      <c r="A126" s="441"/>
      <c r="B126" s="495"/>
      <c r="C126" s="501"/>
      <c r="D126" s="501"/>
      <c r="E126" s="501"/>
      <c r="F126" s="501"/>
      <c r="G126" s="501"/>
      <c r="H126" s="501"/>
      <c r="I126" s="501"/>
      <c r="J126" s="501"/>
      <c r="K126" s="501"/>
      <c r="L126" s="501"/>
      <c r="M126" s="501"/>
      <c r="N126" s="501"/>
      <c r="O126" s="1871"/>
      <c r="P126" s="1878"/>
      <c r="Q126" s="501"/>
      <c r="R126" s="501"/>
      <c r="S126" s="501"/>
      <c r="T126" s="501"/>
      <c r="U126" s="502"/>
    </row>
    <row r="127" spans="1:22" s="429" customFormat="1" ht="99.75" customHeight="1">
      <c r="A127" s="504"/>
      <c r="B127" s="1879"/>
      <c r="C127" s="2443" t="s">
        <v>786</v>
      </c>
      <c r="D127" s="2443"/>
      <c r="E127" s="2443"/>
      <c r="F127" s="2443"/>
      <c r="G127" s="2443"/>
      <c r="H127" s="2443"/>
      <c r="I127" s="2443"/>
      <c r="J127" s="2443"/>
      <c r="K127" s="2443"/>
      <c r="L127" s="2443"/>
      <c r="M127" s="2443"/>
      <c r="N127" s="2443"/>
      <c r="O127" s="2443"/>
      <c r="P127" s="2443"/>
      <c r="Q127" s="2443"/>
      <c r="R127" s="2443"/>
      <c r="S127" s="2443"/>
      <c r="T127" s="2443"/>
      <c r="U127" s="505"/>
    </row>
    <row r="128" spans="1:22" s="429" customFormat="1" ht="20.25" customHeight="1">
      <c r="A128" s="504"/>
      <c r="B128" s="1879"/>
      <c r="C128" s="1862"/>
      <c r="D128" s="1862"/>
      <c r="E128" s="1862"/>
      <c r="F128" s="1862"/>
      <c r="G128" s="1862"/>
      <c r="H128" s="1862"/>
      <c r="I128" s="1862"/>
      <c r="J128" s="1862"/>
      <c r="K128" s="1862"/>
      <c r="L128" s="2400"/>
      <c r="M128" s="2400"/>
      <c r="N128" s="2400"/>
      <c r="O128" s="2400"/>
      <c r="P128" s="2400"/>
      <c r="Q128" s="2400"/>
      <c r="R128" s="2400"/>
      <c r="S128" s="2400"/>
      <c r="T128" s="1862"/>
      <c r="U128" s="505"/>
      <c r="V128" s="504"/>
    </row>
    <row r="129" spans="2:23" s="429" customFormat="1" ht="24" customHeight="1">
      <c r="B129" s="1880"/>
      <c r="C129" s="2401" t="s">
        <v>1986</v>
      </c>
      <c r="D129" s="2401"/>
      <c r="E129" s="2401"/>
      <c r="F129" s="2401"/>
      <c r="G129" s="2401"/>
      <c r="H129" s="2401"/>
      <c r="I129" s="2401"/>
      <c r="J129" s="2401"/>
      <c r="K129" s="2401"/>
      <c r="L129" s="1881"/>
      <c r="M129" s="2401" t="s">
        <v>1984</v>
      </c>
      <c r="N129" s="2401"/>
      <c r="O129" s="2401"/>
      <c r="P129" s="2401"/>
      <c r="Q129" s="2401"/>
      <c r="R129" s="2401"/>
      <c r="S129" s="2401"/>
      <c r="T129" s="2401"/>
      <c r="U129" s="505"/>
    </row>
    <row r="130" spans="2:23" s="429" customFormat="1" ht="181.5" customHeight="1">
      <c r="B130" s="1882"/>
      <c r="C130" s="2396" t="s">
        <v>1987</v>
      </c>
      <c r="D130" s="2402"/>
      <c r="E130" s="2402"/>
      <c r="F130" s="2402"/>
      <c r="G130" s="2402"/>
      <c r="H130" s="2402"/>
      <c r="I130" s="2402"/>
      <c r="J130" s="2402"/>
      <c r="K130" s="2403"/>
      <c r="L130" s="507"/>
      <c r="M130" s="2396" t="s">
        <v>1985</v>
      </c>
      <c r="N130" s="2402"/>
      <c r="O130" s="2402"/>
      <c r="P130" s="2402"/>
      <c r="Q130" s="2402"/>
      <c r="R130" s="2402"/>
      <c r="S130" s="2402"/>
      <c r="T130" s="2403"/>
      <c r="U130" s="505"/>
      <c r="V130" s="490"/>
      <c r="W130" s="504"/>
    </row>
    <row r="131" spans="2:23" s="429" customFormat="1" ht="27" customHeight="1">
      <c r="B131" s="1883"/>
      <c r="C131" s="2327" t="s">
        <v>783</v>
      </c>
      <c r="D131" s="2327"/>
      <c r="E131" s="2327"/>
      <c r="F131" s="2327"/>
      <c r="G131" s="2327"/>
      <c r="H131" s="1884">
        <v>53</v>
      </c>
      <c r="I131" s="1869"/>
      <c r="J131" s="1869"/>
      <c r="K131" s="1869"/>
      <c r="L131" s="1885"/>
      <c r="M131" s="2327" t="s">
        <v>783</v>
      </c>
      <c r="N131" s="2327"/>
      <c r="O131" s="2327"/>
      <c r="P131" s="2327"/>
      <c r="Q131" s="2327"/>
      <c r="R131" s="1884">
        <v>73</v>
      </c>
      <c r="S131" s="1869"/>
      <c r="T131" s="1869"/>
      <c r="U131" s="505"/>
      <c r="V131" s="490"/>
      <c r="W131" s="504"/>
    </row>
    <row r="132" spans="2:23" s="429" customFormat="1" ht="23.25">
      <c r="B132" s="509"/>
      <c r="C132" s="1886"/>
      <c r="D132" s="1886"/>
      <c r="E132" s="510"/>
      <c r="F132" s="510"/>
      <c r="G132" s="510"/>
      <c r="H132" s="510"/>
      <c r="I132" s="510"/>
      <c r="J132" s="510"/>
      <c r="K132" s="510"/>
      <c r="L132" s="510"/>
      <c r="M132" s="510"/>
      <c r="N132" s="510"/>
      <c r="O132" s="1887"/>
      <c r="P132" s="1887"/>
      <c r="Q132" s="510"/>
      <c r="R132" s="510"/>
      <c r="S132" s="510"/>
      <c r="T132" s="510"/>
      <c r="U132" s="505"/>
      <c r="V132" s="504"/>
    </row>
    <row r="133" spans="2:23" s="429" customFormat="1" ht="60" customHeight="1">
      <c r="B133" s="1879"/>
      <c r="C133" s="2450" t="s">
        <v>1910</v>
      </c>
      <c r="D133" s="2450"/>
      <c r="E133" s="2450"/>
      <c r="F133" s="2450"/>
      <c r="G133" s="2450"/>
      <c r="H133" s="2450"/>
      <c r="I133" s="2450"/>
      <c r="J133" s="2450"/>
      <c r="K133" s="2450"/>
      <c r="L133" s="2450"/>
      <c r="M133" s="2450"/>
      <c r="N133" s="2450"/>
      <c r="O133" s="2450"/>
      <c r="P133" s="2450"/>
      <c r="Q133" s="2450"/>
      <c r="R133" s="2450"/>
      <c r="S133" s="2450"/>
      <c r="T133" s="2450"/>
      <c r="U133" s="505"/>
    </row>
    <row r="134" spans="2:23" s="429" customFormat="1" ht="49.5" customHeight="1">
      <c r="B134" s="1880"/>
      <c r="C134" s="2328" t="s">
        <v>976</v>
      </c>
      <c r="D134" s="2328"/>
      <c r="E134" s="2328"/>
      <c r="F134" s="2328"/>
      <c r="G134" s="2328"/>
      <c r="H134" s="2328"/>
      <c r="I134" s="2328"/>
      <c r="J134" s="2328"/>
      <c r="K134" s="2328"/>
      <c r="L134" s="2328"/>
      <c r="M134" s="2328"/>
      <c r="N134" s="2328"/>
      <c r="O134" s="2328"/>
      <c r="P134" s="2328"/>
      <c r="Q134" s="2328"/>
      <c r="R134" s="2328"/>
      <c r="S134" s="2328"/>
      <c r="T134" s="2328"/>
      <c r="U134" s="1888"/>
    </row>
    <row r="135" spans="2:23" ht="2.25" customHeight="1">
      <c r="B135" s="515"/>
      <c r="C135" s="488"/>
      <c r="D135" s="516"/>
      <c r="E135" s="517"/>
      <c r="F135" s="517"/>
      <c r="G135" s="517"/>
      <c r="H135" s="517"/>
      <c r="I135" s="517"/>
      <c r="J135" s="518"/>
      <c r="K135" s="517"/>
      <c r="L135" s="517"/>
      <c r="M135" s="517"/>
      <c r="N135" s="516"/>
      <c r="O135" s="517"/>
      <c r="P135" s="516"/>
      <c r="Q135" s="488"/>
      <c r="R135" s="517"/>
      <c r="S135" s="518"/>
      <c r="T135" s="518"/>
      <c r="U135" s="519"/>
    </row>
    <row r="136" spans="2:23" ht="17.45" customHeight="1">
      <c r="B136" s="520" t="s">
        <v>785</v>
      </c>
      <c r="C136" s="521"/>
      <c r="D136" s="521"/>
      <c r="E136" s="521"/>
      <c r="F136" s="521"/>
      <c r="G136" s="521"/>
      <c r="H136" s="521"/>
      <c r="I136" s="521"/>
      <c r="J136" s="521"/>
      <c r="K136" s="521"/>
      <c r="L136" s="521"/>
      <c r="M136" s="521"/>
      <c r="N136" s="521"/>
      <c r="O136" s="479"/>
      <c r="P136" s="479"/>
      <c r="Q136" s="521"/>
      <c r="R136" s="521"/>
      <c r="S136" s="521"/>
      <c r="T136" s="521"/>
      <c r="U136" s="521"/>
      <c r="V136" s="441"/>
    </row>
    <row r="137" spans="2:23" ht="19.149999999999999" customHeight="1">
      <c r="B137" s="522"/>
      <c r="C137" s="522"/>
      <c r="D137" s="522"/>
      <c r="E137" s="522"/>
      <c r="F137" s="522"/>
      <c r="G137" s="522"/>
      <c r="H137" s="522"/>
      <c r="I137" s="499"/>
      <c r="J137" s="523"/>
      <c r="K137" s="499"/>
      <c r="L137" s="499"/>
      <c r="M137" s="499"/>
      <c r="N137" s="524"/>
      <c r="O137" s="499"/>
      <c r="P137" s="524"/>
      <c r="Q137" s="441"/>
      <c r="R137" s="499"/>
      <c r="S137" s="523"/>
      <c r="T137" s="523"/>
      <c r="U137" s="499"/>
    </row>
    <row r="138" spans="2:23" ht="26.25" customHeight="1">
      <c r="B138" s="2269" t="s">
        <v>1073</v>
      </c>
      <c r="C138" s="2269"/>
      <c r="D138" s="2269"/>
      <c r="E138" s="2269"/>
      <c r="F138" s="2269"/>
      <c r="G138" s="2269"/>
      <c r="H138" s="2269"/>
      <c r="I138" s="2269"/>
      <c r="J138" s="2269"/>
      <c r="K138" s="2269"/>
      <c r="L138" s="2269"/>
      <c r="M138" s="2269"/>
      <c r="N138" s="2269"/>
      <c r="O138" s="2269"/>
      <c r="P138" s="2269"/>
      <c r="Q138" s="2269"/>
      <c r="R138" s="2269"/>
      <c r="S138" s="2269"/>
      <c r="T138" s="2269"/>
      <c r="U138" s="2269"/>
      <c r="V138" s="441"/>
    </row>
    <row r="139" spans="2:23" ht="6.6" customHeight="1">
      <c r="B139" s="520"/>
      <c r="C139" s="521"/>
      <c r="D139" s="521"/>
      <c r="E139" s="521"/>
      <c r="F139" s="521"/>
      <c r="G139" s="521"/>
      <c r="H139" s="521"/>
      <c r="I139" s="521"/>
      <c r="J139" s="521"/>
      <c r="K139" s="521"/>
      <c r="L139" s="521"/>
      <c r="M139" s="521"/>
      <c r="N139" s="521"/>
      <c r="O139" s="479"/>
      <c r="P139" s="479"/>
      <c r="Q139" s="521"/>
      <c r="R139" s="521"/>
      <c r="S139" s="521"/>
      <c r="T139" s="521"/>
      <c r="U139" s="521"/>
      <c r="V139" s="441"/>
    </row>
    <row r="140" spans="2:23" ht="16.5" customHeight="1">
      <c r="B140" s="912"/>
      <c r="C140" s="913"/>
      <c r="D140" s="913"/>
      <c r="E140" s="913"/>
      <c r="F140" s="913"/>
      <c r="G140" s="913"/>
      <c r="H140" s="913"/>
      <c r="I140" s="913"/>
      <c r="J140" s="913"/>
      <c r="K140" s="913"/>
      <c r="L140" s="913"/>
      <c r="M140" s="913"/>
      <c r="N140" s="913"/>
      <c r="O140" s="914"/>
      <c r="P140" s="914"/>
      <c r="Q140" s="913"/>
      <c r="R140" s="913"/>
      <c r="S140" s="913"/>
      <c r="T140" s="913"/>
      <c r="U140" s="915"/>
      <c r="V140" s="441"/>
    </row>
    <row r="141" spans="2:23" ht="17.25" hidden="1" customHeight="1">
      <c r="B141" s="916"/>
      <c r="C141" s="513"/>
      <c r="D141" s="513"/>
      <c r="E141" s="513"/>
      <c r="F141" s="513"/>
      <c r="G141" s="513"/>
      <c r="H141" s="513"/>
      <c r="I141" s="513"/>
      <c r="J141" s="513"/>
      <c r="K141" s="513"/>
      <c r="L141" s="513"/>
      <c r="M141" s="513"/>
      <c r="N141" s="513"/>
      <c r="O141" s="479"/>
      <c r="P141" s="479"/>
      <c r="Q141" s="513"/>
      <c r="R141" s="513"/>
      <c r="S141" s="513"/>
      <c r="T141" s="513"/>
      <c r="U141" s="511"/>
      <c r="V141" s="441"/>
    </row>
    <row r="142" spans="2:23" ht="17.45" customHeight="1">
      <c r="B142" s="916"/>
      <c r="C142" s="2332" t="s">
        <v>1075</v>
      </c>
      <c r="D142" s="2332"/>
      <c r="E142" s="2332"/>
      <c r="F142" s="2332"/>
      <c r="G142" s="2332"/>
      <c r="H142" s="2332"/>
      <c r="I142" s="2332"/>
      <c r="J142" s="2332"/>
      <c r="K142" s="2332"/>
      <c r="L142" s="2332"/>
      <c r="M142" s="2332"/>
      <c r="N142" s="2332"/>
      <c r="O142" s="2332"/>
      <c r="P142" s="2332"/>
      <c r="Q142" s="2332"/>
      <c r="R142" s="2332"/>
      <c r="S142" s="2332"/>
      <c r="T142" s="2332"/>
      <c r="U142" s="511"/>
      <c r="V142" s="441"/>
    </row>
    <row r="143" spans="2:23" ht="17.45" customHeight="1">
      <c r="B143" s="916"/>
      <c r="C143" s="2332"/>
      <c r="D143" s="2332"/>
      <c r="E143" s="2332"/>
      <c r="F143" s="2332"/>
      <c r="G143" s="2332"/>
      <c r="H143" s="2332"/>
      <c r="I143" s="2332"/>
      <c r="J143" s="2332"/>
      <c r="K143" s="2332"/>
      <c r="L143" s="2332"/>
      <c r="M143" s="2332"/>
      <c r="N143" s="2332"/>
      <c r="O143" s="2332"/>
      <c r="P143" s="2332"/>
      <c r="Q143" s="2332"/>
      <c r="R143" s="2332"/>
      <c r="S143" s="2332"/>
      <c r="T143" s="2332"/>
      <c r="U143" s="511"/>
      <c r="V143" s="441"/>
    </row>
    <row r="144" spans="2:23" ht="59.45" customHeight="1">
      <c r="B144" s="916"/>
      <c r="C144" s="2332"/>
      <c r="D144" s="2332"/>
      <c r="E144" s="2332"/>
      <c r="F144" s="2332"/>
      <c r="G144" s="2332"/>
      <c r="H144" s="2332"/>
      <c r="I144" s="2332"/>
      <c r="J144" s="2332"/>
      <c r="K144" s="2332"/>
      <c r="L144" s="2332"/>
      <c r="M144" s="2332"/>
      <c r="N144" s="2332"/>
      <c r="O144" s="2332"/>
      <c r="P144" s="2332"/>
      <c r="Q144" s="2332"/>
      <c r="R144" s="2332"/>
      <c r="S144" s="2332"/>
      <c r="T144" s="2332"/>
      <c r="U144" s="511"/>
      <c r="V144" s="441"/>
    </row>
    <row r="145" spans="1:22" ht="22.15" customHeight="1">
      <c r="B145" s="916"/>
      <c r="C145" s="2332" t="s">
        <v>1074</v>
      </c>
      <c r="D145" s="2332"/>
      <c r="E145" s="2332"/>
      <c r="F145" s="2332"/>
      <c r="G145" s="2332"/>
      <c r="H145" s="2332"/>
      <c r="I145" s="2332"/>
      <c r="J145" s="2332"/>
      <c r="K145" s="2332"/>
      <c r="L145" s="2332"/>
      <c r="M145" s="2332"/>
      <c r="N145" s="2332"/>
      <c r="O145" s="2332"/>
      <c r="P145" s="2332"/>
      <c r="Q145" s="2332"/>
      <c r="R145" s="2332"/>
      <c r="S145" s="2332"/>
      <c r="T145" s="2332"/>
      <c r="U145" s="511"/>
      <c r="V145" s="441"/>
    </row>
    <row r="146" spans="1:22" ht="8.25" customHeight="1">
      <c r="B146" s="917"/>
      <c r="C146" s="918"/>
      <c r="D146" s="918"/>
      <c r="E146" s="918"/>
      <c r="F146" s="918"/>
      <c r="G146" s="918"/>
      <c r="H146" s="918"/>
      <c r="I146" s="918"/>
      <c r="J146" s="918"/>
      <c r="K146" s="918"/>
      <c r="L146" s="918"/>
      <c r="M146" s="918"/>
      <c r="N146" s="918"/>
      <c r="O146" s="919"/>
      <c r="P146" s="919"/>
      <c r="Q146" s="918"/>
      <c r="R146" s="918"/>
      <c r="S146" s="918"/>
      <c r="T146" s="918"/>
      <c r="U146" s="920"/>
      <c r="V146" s="441"/>
    </row>
    <row r="147" spans="1:22" ht="8.25" customHeight="1">
      <c r="B147" s="1977"/>
      <c r="C147" s="513"/>
      <c r="D147" s="513"/>
      <c r="E147" s="513"/>
      <c r="F147" s="513"/>
      <c r="G147" s="513"/>
      <c r="H147" s="513"/>
      <c r="I147" s="513"/>
      <c r="J147" s="513"/>
      <c r="K147" s="513"/>
      <c r="L147" s="513"/>
      <c r="M147" s="513"/>
      <c r="N147" s="513"/>
      <c r="O147" s="479"/>
      <c r="P147" s="479"/>
      <c r="Q147" s="513"/>
      <c r="R147" s="513"/>
      <c r="S147" s="513"/>
      <c r="T147" s="513"/>
      <c r="U147" s="513"/>
      <c r="V147" s="441"/>
    </row>
    <row r="148" spans="1:22" ht="26.25" customHeight="1">
      <c r="B148" s="2269" t="s">
        <v>1950</v>
      </c>
      <c r="C148" s="2269"/>
      <c r="D148" s="2269"/>
      <c r="E148" s="2269"/>
      <c r="F148" s="2269"/>
      <c r="G148" s="2269"/>
      <c r="H148" s="2269"/>
      <c r="I148" s="2269"/>
      <c r="J148" s="2269"/>
      <c r="K148" s="2269"/>
      <c r="L148" s="2269"/>
      <c r="M148" s="2269"/>
      <c r="N148" s="2269"/>
      <c r="O148" s="2269"/>
      <c r="P148" s="2269"/>
      <c r="Q148" s="2269"/>
      <c r="R148" s="2269"/>
      <c r="S148" s="2269"/>
      <c r="T148" s="2269"/>
      <c r="U148" s="2269"/>
      <c r="V148" s="441"/>
    </row>
    <row r="149" spans="1:22" ht="4.5" customHeight="1">
      <c r="B149" s="1850"/>
      <c r="C149" s="1850"/>
      <c r="D149" s="1850"/>
      <c r="E149" s="1850"/>
      <c r="F149" s="1850"/>
      <c r="G149" s="1850"/>
      <c r="H149" s="1850"/>
      <c r="I149" s="1850"/>
      <c r="J149" s="1850"/>
      <c r="K149" s="1850"/>
      <c r="L149" s="1850"/>
      <c r="M149" s="1850"/>
      <c r="N149" s="1850"/>
      <c r="O149" s="1850"/>
      <c r="P149" s="1850"/>
      <c r="Q149" s="1850"/>
      <c r="R149" s="1850"/>
      <c r="S149" s="1850"/>
      <c r="T149" s="1850"/>
      <c r="U149" s="1850"/>
      <c r="V149" s="441"/>
    </row>
    <row r="150" spans="1:22" ht="8.25" customHeight="1">
      <c r="B150" s="912"/>
      <c r="C150" s="913"/>
      <c r="D150" s="913"/>
      <c r="E150" s="913"/>
      <c r="F150" s="913"/>
      <c r="G150" s="913"/>
      <c r="H150" s="913"/>
      <c r="I150" s="913"/>
      <c r="J150" s="913"/>
      <c r="K150" s="913"/>
      <c r="L150" s="913"/>
      <c r="M150" s="913"/>
      <c r="N150" s="913"/>
      <c r="O150" s="914"/>
      <c r="P150" s="914"/>
      <c r="Q150" s="913"/>
      <c r="R150" s="913"/>
      <c r="S150" s="913"/>
      <c r="T150" s="913"/>
      <c r="U150" s="915"/>
      <c r="V150" s="441"/>
    </row>
    <row r="151" spans="1:22" ht="17.45" customHeight="1">
      <c r="B151" s="916"/>
      <c r="C151" s="2346" t="s">
        <v>1951</v>
      </c>
      <c r="D151" s="2346"/>
      <c r="E151" s="2346"/>
      <c r="F151" s="2346"/>
      <c r="G151" s="2346"/>
      <c r="H151" s="2346"/>
      <c r="I151" s="2346"/>
      <c r="J151" s="2346"/>
      <c r="K151" s="2346"/>
      <c r="L151" s="2346"/>
      <c r="M151" s="2346"/>
      <c r="N151" s="2346"/>
      <c r="O151" s="2346"/>
      <c r="P151" s="2346"/>
      <c r="Q151" s="2346"/>
      <c r="R151" s="2346"/>
      <c r="S151" s="2346"/>
      <c r="T151" s="2346"/>
      <c r="U151" s="511"/>
      <c r="V151" s="441"/>
    </row>
    <row r="152" spans="1:22" ht="34.5" customHeight="1">
      <c r="A152" s="420"/>
      <c r="B152" s="916"/>
      <c r="C152" s="2346"/>
      <c r="D152" s="2346"/>
      <c r="E152" s="2346"/>
      <c r="F152" s="2346"/>
      <c r="G152" s="2346"/>
      <c r="H152" s="2346"/>
      <c r="I152" s="2346"/>
      <c r="J152" s="2346"/>
      <c r="K152" s="2346"/>
      <c r="L152" s="2346"/>
      <c r="M152" s="2346"/>
      <c r="N152" s="2346"/>
      <c r="O152" s="2346"/>
      <c r="P152" s="2346"/>
      <c r="Q152" s="2346"/>
      <c r="R152" s="2346"/>
      <c r="S152" s="2346"/>
      <c r="T152" s="2346"/>
      <c r="U152" s="511"/>
      <c r="V152" s="420"/>
    </row>
    <row r="153" spans="1:22" ht="3.75" customHeight="1">
      <c r="B153" s="2333"/>
      <c r="C153" s="2334"/>
      <c r="D153" s="2334"/>
      <c r="E153" s="2334"/>
      <c r="F153" s="2334"/>
      <c r="G153" s="2334"/>
      <c r="H153" s="2334"/>
      <c r="I153" s="2334"/>
      <c r="J153" s="2334"/>
      <c r="K153" s="2334"/>
      <c r="L153" s="1978"/>
      <c r="M153" s="1978"/>
      <c r="N153" s="1978"/>
      <c r="O153" s="1978"/>
      <c r="P153" s="1978"/>
      <c r="Q153" s="1978"/>
      <c r="R153" s="1978"/>
      <c r="S153" s="1978"/>
      <c r="T153" s="1978"/>
      <c r="U153" s="1979"/>
    </row>
    <row r="154" spans="1:22" ht="19.149999999999999" customHeight="1">
      <c r="I154" s="522"/>
      <c r="J154" s="522"/>
      <c r="K154" s="522"/>
      <c r="L154" s="522"/>
      <c r="M154" s="522"/>
      <c r="N154" s="526"/>
      <c r="O154" s="527"/>
      <c r="P154" s="528"/>
      <c r="Q154" s="529"/>
      <c r="R154" s="522"/>
      <c r="S154" s="522"/>
      <c r="T154" s="522"/>
      <c r="U154" s="522"/>
    </row>
    <row r="155" spans="1:22" ht="15.75">
      <c r="A155" s="420"/>
      <c r="B155" s="420"/>
      <c r="C155" s="420"/>
      <c r="D155" s="420"/>
      <c r="E155" s="420"/>
      <c r="F155" s="420"/>
      <c r="G155" s="420"/>
      <c r="H155" s="420"/>
      <c r="I155" s="420"/>
      <c r="J155" s="420"/>
      <c r="K155" s="420"/>
      <c r="L155" s="420"/>
      <c r="M155" s="476" t="s">
        <v>1460</v>
      </c>
      <c r="N155" s="420"/>
      <c r="O155" s="420"/>
      <c r="P155" s="420"/>
      <c r="Q155" s="420"/>
      <c r="R155" s="477" t="s">
        <v>692</v>
      </c>
      <c r="S155" s="478" t="str">
        <f>$E$29</f>
        <v>ILF5_90FCOR_B114CAGR43006</v>
      </c>
      <c r="T155" s="420"/>
      <c r="U155" s="420"/>
      <c r="V155" s="420"/>
    </row>
    <row r="156" spans="1:22">
      <c r="A156" s="420"/>
      <c r="B156" s="420"/>
      <c r="C156" s="420"/>
      <c r="D156" s="420"/>
      <c r="E156" s="420"/>
      <c r="F156" s="420"/>
      <c r="G156" s="420"/>
      <c r="H156" s="420"/>
      <c r="I156" s="420"/>
      <c r="J156" s="420"/>
      <c r="K156" s="420"/>
      <c r="L156" s="420"/>
      <c r="M156" s="420"/>
      <c r="N156" s="420"/>
      <c r="O156" s="420"/>
      <c r="P156" s="420"/>
      <c r="Q156" s="420"/>
      <c r="R156" s="420"/>
      <c r="S156" s="420"/>
      <c r="T156" s="420"/>
      <c r="U156" s="420"/>
      <c r="V156" s="420"/>
    </row>
    <row r="158" spans="1:22">
      <c r="A158" s="420"/>
      <c r="B158" s="420"/>
      <c r="C158" s="420"/>
      <c r="D158" s="420"/>
      <c r="E158" s="420"/>
      <c r="F158" s="420"/>
      <c r="G158" s="420"/>
      <c r="H158" s="436" t="s">
        <v>690</v>
      </c>
      <c r="I158" s="420"/>
      <c r="K158" s="420"/>
      <c r="L158" s="437" t="str">
        <f>$B$11</f>
        <v>INMOBILIARIA SERVIGESTION</v>
      </c>
      <c r="M158" s="420"/>
      <c r="N158" s="420"/>
      <c r="O158" s="420"/>
      <c r="P158" s="420"/>
      <c r="Q158" s="420"/>
      <c r="R158" s="420"/>
      <c r="S158" s="420"/>
      <c r="T158" s="420"/>
      <c r="U158" s="420"/>
      <c r="V158" s="420"/>
    </row>
    <row r="159" spans="1:22">
      <c r="A159" s="420"/>
      <c r="B159" s="420"/>
      <c r="C159" s="420"/>
      <c r="D159" s="420"/>
      <c r="E159" s="420"/>
      <c r="F159" s="420"/>
      <c r="G159" s="420"/>
      <c r="H159" s="420"/>
      <c r="I159" s="420"/>
      <c r="J159" s="420"/>
      <c r="K159" s="420"/>
      <c r="L159" s="420"/>
      <c r="M159" s="420"/>
      <c r="N159" s="420"/>
      <c r="O159" s="420"/>
      <c r="P159" s="420"/>
      <c r="Q159" s="420"/>
      <c r="R159" s="420"/>
      <c r="S159" s="420"/>
      <c r="T159" s="420"/>
      <c r="U159" s="420"/>
      <c r="V159" s="420"/>
    </row>
    <row r="160" spans="1:22" ht="34.5">
      <c r="A160" s="420"/>
      <c r="B160" s="2268" t="s">
        <v>461</v>
      </c>
      <c r="C160" s="2268"/>
      <c r="D160" s="2268"/>
      <c r="E160" s="2268"/>
      <c r="F160" s="2268"/>
      <c r="G160" s="2268"/>
      <c r="H160" s="2268"/>
      <c r="I160" s="2268"/>
      <c r="J160" s="2268"/>
      <c r="K160" s="2268"/>
      <c r="L160" s="2268"/>
      <c r="M160" s="2268"/>
      <c r="N160" s="2268"/>
      <c r="O160" s="2268"/>
      <c r="P160" s="2268"/>
      <c r="Q160" s="2268"/>
      <c r="R160" s="2268"/>
      <c r="S160" s="2268"/>
      <c r="T160" s="2268"/>
      <c r="U160" s="2268"/>
      <c r="V160" s="420"/>
    </row>
    <row r="161" spans="1:22" ht="22.9" customHeight="1">
      <c r="A161" s="420"/>
      <c r="B161" s="2269" t="s">
        <v>788</v>
      </c>
      <c r="C161" s="2269"/>
      <c r="D161" s="2269"/>
      <c r="E161" s="2269"/>
      <c r="F161" s="2269"/>
      <c r="G161" s="2269"/>
      <c r="H161" s="2269"/>
      <c r="I161" s="2269"/>
      <c r="J161" s="2269"/>
      <c r="K161" s="2269"/>
      <c r="L161" s="2269"/>
      <c r="M161" s="2269"/>
      <c r="N161" s="2269"/>
      <c r="O161" s="2269"/>
      <c r="P161" s="2269"/>
      <c r="Q161" s="2269"/>
      <c r="R161" s="2269"/>
      <c r="S161" s="2269"/>
      <c r="T161" s="2269"/>
      <c r="U161" s="2269"/>
      <c r="V161" s="420"/>
    </row>
    <row r="162" spans="1:22" ht="16.149999999999999" customHeight="1">
      <c r="A162" s="420"/>
      <c r="B162" s="757"/>
      <c r="C162" s="757"/>
      <c r="D162" s="757"/>
      <c r="E162" s="757"/>
      <c r="F162" s="757"/>
      <c r="G162" s="757"/>
      <c r="H162" s="757"/>
      <c r="I162" s="757"/>
      <c r="J162" s="757"/>
      <c r="K162" s="757"/>
      <c r="L162" s="757"/>
      <c r="M162" s="757"/>
      <c r="N162" s="757"/>
      <c r="O162" s="757"/>
      <c r="P162" s="757"/>
      <c r="Q162" s="757"/>
      <c r="R162" s="757"/>
      <c r="S162" s="757"/>
      <c r="T162" s="757"/>
      <c r="U162" s="757"/>
      <c r="V162" s="420"/>
    </row>
    <row r="163" spans="1:22" ht="39.75" customHeight="1">
      <c r="A163" s="420"/>
      <c r="B163" s="2251" t="s">
        <v>789</v>
      </c>
      <c r="C163" s="2251"/>
      <c r="D163" s="2251"/>
      <c r="E163" s="2251"/>
      <c r="F163" s="2251"/>
      <c r="G163" s="2251"/>
      <c r="H163" s="2251"/>
      <c r="I163" s="2251"/>
      <c r="J163" s="2251"/>
      <c r="K163" s="2251"/>
      <c r="L163" s="2251"/>
      <c r="M163" s="2251"/>
      <c r="N163" s="2251"/>
      <c r="O163" s="2251"/>
      <c r="P163" s="2251"/>
      <c r="Q163" s="2251"/>
      <c r="R163" s="2251"/>
      <c r="S163" s="2251"/>
      <c r="T163" s="2251"/>
      <c r="U163" s="2251"/>
      <c r="V163" s="420"/>
    </row>
    <row r="164" spans="1:22" ht="22.15" customHeight="1">
      <c r="A164" s="441"/>
      <c r="B164" s="2348" t="s">
        <v>791</v>
      </c>
      <c r="C164" s="2349"/>
      <c r="D164" s="2349"/>
      <c r="E164" s="2349"/>
      <c r="F164" s="2349"/>
      <c r="G164" s="2349"/>
      <c r="H164" s="2349"/>
      <c r="I164" s="2349"/>
      <c r="J164" s="2349"/>
      <c r="K164" s="2349"/>
      <c r="L164" s="2349"/>
      <c r="M164" s="2349"/>
      <c r="N164" s="2349"/>
      <c r="O164" s="2349"/>
      <c r="P164" s="2349"/>
      <c r="Q164" s="2349"/>
      <c r="R164" s="2349"/>
      <c r="S164" s="2349"/>
      <c r="T164" s="2349"/>
      <c r="U164" s="2350"/>
    </row>
    <row r="165" spans="1:22" ht="48" customHeight="1">
      <c r="B165" s="2329" t="s">
        <v>1911</v>
      </c>
      <c r="C165" s="2330"/>
      <c r="D165" s="2330"/>
      <c r="E165" s="2330"/>
      <c r="F165" s="2330"/>
      <c r="G165" s="2330"/>
      <c r="H165" s="2330"/>
      <c r="I165" s="2330"/>
      <c r="J165" s="2330"/>
      <c r="K165" s="2330"/>
      <c r="L165" s="2330"/>
      <c r="M165" s="2330"/>
      <c r="N165" s="2330"/>
      <c r="O165" s="2330"/>
      <c r="P165" s="2330"/>
      <c r="Q165" s="2330"/>
      <c r="R165" s="2330"/>
      <c r="S165" s="2330"/>
      <c r="T165" s="2330"/>
      <c r="U165" s="2331"/>
      <c r="V165" s="441"/>
    </row>
    <row r="166" spans="1:22">
      <c r="B166" s="1889"/>
      <c r="C166" s="1890"/>
      <c r="D166" s="1890"/>
      <c r="E166" s="1890"/>
      <c r="F166" s="1890"/>
      <c r="G166" s="1890"/>
      <c r="H166" s="1890"/>
      <c r="I166" s="1890"/>
      <c r="J166" s="1890"/>
      <c r="K166" s="1890"/>
      <c r="L166" s="1890"/>
      <c r="M166" s="1890"/>
      <c r="N166" s="1890"/>
      <c r="O166" s="1890"/>
      <c r="P166" s="1890"/>
      <c r="Q166" s="1890"/>
      <c r="R166" s="1890"/>
      <c r="S166" s="1890"/>
      <c r="T166" s="1890"/>
      <c r="U166" s="1891"/>
      <c r="V166" s="441"/>
    </row>
    <row r="167" spans="1:22" ht="23.25">
      <c r="A167" s="441"/>
      <c r="B167" s="1892"/>
      <c r="C167" s="1893"/>
      <c r="D167" s="1894"/>
      <c r="E167" s="1895" t="s">
        <v>469</v>
      </c>
      <c r="F167" s="1896" t="s">
        <v>470</v>
      </c>
      <c r="G167" s="1897"/>
      <c r="H167" s="1897"/>
      <c r="I167" s="1897"/>
      <c r="J167" s="1898"/>
      <c r="K167" s="1894"/>
      <c r="L167" s="1894"/>
      <c r="M167" s="1895" t="s">
        <v>471</v>
      </c>
      <c r="N167" s="1899">
        <v>0</v>
      </c>
      <c r="O167" s="1898"/>
      <c r="P167" s="1865"/>
      <c r="Q167" s="1900" t="s">
        <v>472</v>
      </c>
      <c r="R167" s="1901" t="s">
        <v>790</v>
      </c>
      <c r="S167" s="1898"/>
      <c r="T167" s="1898"/>
      <c r="U167" s="1902"/>
    </row>
    <row r="168" spans="1:22" ht="23.25">
      <c r="A168" s="441"/>
      <c r="B168" s="1892"/>
      <c r="C168" s="1893"/>
      <c r="D168" s="1894"/>
      <c r="E168" s="1895"/>
      <c r="F168" s="1896"/>
      <c r="G168" s="1897"/>
      <c r="H168" s="1897"/>
      <c r="I168" s="1897"/>
      <c r="J168" s="1898"/>
      <c r="K168" s="1894"/>
      <c r="L168" s="1894"/>
      <c r="M168" s="1895"/>
      <c r="N168" s="1899"/>
      <c r="O168" s="1898"/>
      <c r="P168" s="1865"/>
      <c r="Q168" s="1900"/>
      <c r="R168" s="1901" t="s">
        <v>1912</v>
      </c>
      <c r="S168" s="1898"/>
      <c r="T168" s="1898"/>
      <c r="U168" s="1902"/>
    </row>
    <row r="169" spans="1:22" ht="20.25">
      <c r="A169" s="441"/>
      <c r="B169" s="1903"/>
      <c r="C169" s="1904"/>
      <c r="D169" s="1905"/>
      <c r="E169" s="1906"/>
      <c r="F169" s="1906"/>
      <c r="G169" s="1906"/>
      <c r="H169" s="1906"/>
      <c r="I169" s="1906"/>
      <c r="J169" s="1907"/>
      <c r="K169" s="1908"/>
      <c r="L169" s="1909"/>
      <c r="M169" s="1909"/>
      <c r="N169" s="1910"/>
      <c r="O169" s="1907"/>
      <c r="P169" s="1911"/>
      <c r="Q169" s="1912"/>
      <c r="R169" s="1913"/>
      <c r="S169" s="1907"/>
      <c r="T169" s="1907"/>
      <c r="U169" s="1914"/>
    </row>
    <row r="170" spans="1:22">
      <c r="B170" s="1865"/>
      <c r="C170" s="1865"/>
      <c r="D170" s="1865"/>
      <c r="E170" s="1865"/>
      <c r="F170" s="1865"/>
      <c r="G170" s="1865"/>
      <c r="H170" s="1865"/>
      <c r="I170" s="1865"/>
      <c r="J170" s="1865"/>
      <c r="K170" s="1865"/>
      <c r="L170" s="1865"/>
      <c r="M170" s="1865"/>
      <c r="N170" s="1865"/>
      <c r="O170" s="1865"/>
      <c r="P170" s="1865"/>
      <c r="Q170" s="1865"/>
      <c r="R170" s="1865"/>
      <c r="S170" s="1865"/>
      <c r="T170" s="1865"/>
      <c r="U170" s="1865"/>
    </row>
    <row r="171" spans="1:22">
      <c r="B171" s="1865"/>
      <c r="C171" s="1865"/>
      <c r="D171" s="1865"/>
      <c r="E171" s="1865"/>
      <c r="F171" s="1865"/>
      <c r="G171" s="1865"/>
      <c r="H171" s="1865"/>
      <c r="I171" s="1865"/>
      <c r="J171" s="1865"/>
      <c r="K171" s="1865"/>
      <c r="L171" s="1865"/>
      <c r="M171" s="1865"/>
      <c r="N171" s="1865"/>
      <c r="O171" s="1865"/>
      <c r="P171" s="1865"/>
      <c r="Q171" s="1865"/>
      <c r="R171" s="1865"/>
      <c r="S171" s="1865"/>
      <c r="T171" s="1865"/>
      <c r="U171" s="1865"/>
    </row>
    <row r="172" spans="1:22" s="521" customFormat="1" ht="18.399999999999999" customHeight="1">
      <c r="B172" s="2328" t="s">
        <v>977</v>
      </c>
      <c r="C172" s="2328"/>
      <c r="D172" s="2328"/>
      <c r="E172" s="2328"/>
      <c r="F172" s="2328"/>
      <c r="G172" s="2328"/>
      <c r="H172" s="2328"/>
      <c r="I172" s="2328"/>
      <c r="J172" s="2328"/>
      <c r="K172" s="2328"/>
      <c r="L172" s="2328"/>
      <c r="M172" s="2328"/>
      <c r="N172" s="2328"/>
      <c r="O172" s="2328"/>
      <c r="P172" s="2328"/>
      <c r="Q172" s="2328"/>
      <c r="R172" s="2328"/>
      <c r="S172" s="2328"/>
      <c r="T172" s="2328"/>
      <c r="U172" s="2328"/>
    </row>
    <row r="173" spans="1:22" s="521" customFormat="1" ht="8.4499999999999993" customHeight="1">
      <c r="B173" s="1887"/>
      <c r="C173" s="1887"/>
      <c r="D173" s="1887"/>
      <c r="E173" s="1887"/>
      <c r="F173" s="1887"/>
      <c r="G173" s="1887"/>
      <c r="H173" s="1887"/>
      <c r="I173" s="1887"/>
      <c r="J173" s="1887"/>
      <c r="K173" s="1887"/>
      <c r="L173" s="1887"/>
      <c r="M173" s="1887"/>
      <c r="N173" s="1887"/>
      <c r="O173" s="1887"/>
      <c r="P173" s="1887"/>
      <c r="Q173" s="1887"/>
      <c r="R173" s="1887"/>
      <c r="S173" s="1887"/>
      <c r="T173" s="1887"/>
      <c r="U173" s="1887"/>
    </row>
    <row r="174" spans="1:22" ht="22.15" customHeight="1">
      <c r="A174" s="441"/>
      <c r="B174" s="2342" t="s">
        <v>1913</v>
      </c>
      <c r="C174" s="2343"/>
      <c r="D174" s="2343"/>
      <c r="E174" s="2343"/>
      <c r="F174" s="2343"/>
      <c r="G174" s="2343"/>
      <c r="H174" s="2343"/>
      <c r="I174" s="2343"/>
      <c r="J174" s="2343"/>
      <c r="K174" s="2343"/>
      <c r="L174" s="2343"/>
      <c r="M174" s="2343"/>
      <c r="N174" s="2343"/>
      <c r="O174" s="2343"/>
      <c r="P174" s="2343"/>
      <c r="Q174" s="2343"/>
      <c r="R174" s="2343"/>
      <c r="S174" s="2343"/>
      <c r="T174" s="2343"/>
      <c r="U174" s="2344"/>
    </row>
    <row r="175" spans="1:22" ht="54.6" customHeight="1">
      <c r="B175" s="2336" t="s">
        <v>1914</v>
      </c>
      <c r="C175" s="2337"/>
      <c r="D175" s="2337"/>
      <c r="E175" s="2337"/>
      <c r="F175" s="2337"/>
      <c r="G175" s="2337"/>
      <c r="H175" s="2337"/>
      <c r="I175" s="2337"/>
      <c r="J175" s="2337"/>
      <c r="K175" s="2337"/>
      <c r="L175" s="2337"/>
      <c r="M175" s="2337"/>
      <c r="N175" s="2337"/>
      <c r="O175" s="2337"/>
      <c r="P175" s="2337"/>
      <c r="Q175" s="2337"/>
      <c r="R175" s="2337"/>
      <c r="S175" s="2337"/>
      <c r="T175" s="2337"/>
      <c r="U175" s="2338"/>
      <c r="V175" s="441"/>
    </row>
    <row r="176" spans="1:22">
      <c r="B176" s="1864"/>
      <c r="C176" s="1865"/>
      <c r="D176" s="1865"/>
      <c r="E176" s="1865"/>
      <c r="F176" s="1865"/>
      <c r="G176" s="1865"/>
      <c r="H176" s="1865"/>
      <c r="I176" s="1865"/>
      <c r="J176" s="1865"/>
      <c r="K176" s="1865"/>
      <c r="L176" s="1865"/>
      <c r="M176" s="1865"/>
      <c r="N176" s="1865"/>
      <c r="O176" s="1865"/>
      <c r="P176" s="1865"/>
      <c r="Q176" s="1865"/>
      <c r="R176" s="1865"/>
      <c r="S176" s="1865"/>
      <c r="T176" s="1865"/>
      <c r="U176" s="1915"/>
      <c r="V176" s="441"/>
    </row>
    <row r="177" spans="1:22" ht="23.25">
      <c r="A177" s="441"/>
      <c r="B177" s="1864"/>
      <c r="C177" s="1865"/>
      <c r="D177" s="1865"/>
      <c r="E177" s="1895" t="s">
        <v>474</v>
      </c>
      <c r="F177" s="1916" t="s">
        <v>475</v>
      </c>
      <c r="G177" s="1917"/>
      <c r="H177" s="1865"/>
      <c r="I177" s="1916"/>
      <c r="J177" s="1916"/>
      <c r="K177" s="1918"/>
      <c r="L177" s="1894"/>
      <c r="M177" s="1895" t="s">
        <v>476</v>
      </c>
      <c r="N177" s="1919">
        <v>7.0000000000000007E-2</v>
      </c>
      <c r="O177" s="1865"/>
      <c r="P177" s="1865"/>
      <c r="Q177" s="1920" t="s">
        <v>472</v>
      </c>
      <c r="R177" s="1921" t="s">
        <v>473</v>
      </c>
      <c r="S177" s="1865"/>
      <c r="T177" s="1865"/>
      <c r="U177" s="1915"/>
    </row>
    <row r="178" spans="1:22" ht="10.9" customHeight="1">
      <c r="A178" s="441"/>
      <c r="B178" s="1922"/>
      <c r="C178" s="1923"/>
      <c r="D178" s="1924"/>
      <c r="E178" s="1924"/>
      <c r="F178" s="1924"/>
      <c r="G178" s="1924"/>
      <c r="H178" s="1924"/>
      <c r="I178" s="1924"/>
      <c r="J178" s="1924"/>
      <c r="K178" s="1924"/>
      <c r="L178" s="1924"/>
      <c r="M178" s="1924"/>
      <c r="N178" s="1871"/>
      <c r="O178" s="1918"/>
      <c r="P178" s="1894"/>
      <c r="Q178" s="1894"/>
      <c r="R178" s="1925"/>
      <c r="S178" s="1918"/>
      <c r="T178" s="1918"/>
      <c r="U178" s="1926"/>
    </row>
    <row r="179" spans="1:22" ht="23.25" customHeight="1">
      <c r="A179" s="441"/>
      <c r="B179" s="2329" t="s">
        <v>681</v>
      </c>
      <c r="C179" s="2330"/>
      <c r="D179" s="2330"/>
      <c r="E179" s="2330"/>
      <c r="F179" s="2330"/>
      <c r="G179" s="2330"/>
      <c r="H179" s="2330"/>
      <c r="I179" s="2330"/>
      <c r="J179" s="2330"/>
      <c r="K179" s="2330"/>
      <c r="L179" s="2330"/>
      <c r="M179" s="2330"/>
      <c r="N179" s="2330"/>
      <c r="O179" s="2330"/>
      <c r="P179" s="2330"/>
      <c r="Q179" s="2330"/>
      <c r="R179" s="2330"/>
      <c r="S179" s="2330"/>
      <c r="T179" s="2330"/>
      <c r="U179" s="2331"/>
    </row>
    <row r="180" spans="1:22" ht="21" customHeight="1">
      <c r="A180" s="441"/>
      <c r="B180" s="2329" t="s">
        <v>477</v>
      </c>
      <c r="C180" s="2330"/>
      <c r="D180" s="2330"/>
      <c r="E180" s="2330"/>
      <c r="F180" s="2330"/>
      <c r="G180" s="2330"/>
      <c r="H180" s="2330"/>
      <c r="I180" s="2330"/>
      <c r="J180" s="2330"/>
      <c r="K180" s="2330"/>
      <c r="L180" s="2330"/>
      <c r="M180" s="2330"/>
      <c r="N180" s="2330"/>
      <c r="O180" s="2330"/>
      <c r="P180" s="2330"/>
      <c r="Q180" s="2330"/>
      <c r="R180" s="2330"/>
      <c r="S180" s="2330"/>
      <c r="T180" s="2330"/>
      <c r="U180" s="2331"/>
    </row>
    <row r="181" spans="1:22" ht="21" customHeight="1">
      <c r="A181" s="441"/>
      <c r="B181" s="1927"/>
      <c r="C181" s="1928"/>
      <c r="D181" s="1928"/>
      <c r="E181" s="1928"/>
      <c r="F181" s="1928"/>
      <c r="G181" s="1928"/>
      <c r="H181" s="1928"/>
      <c r="I181" s="1928"/>
      <c r="J181" s="1928"/>
      <c r="K181" s="1928"/>
      <c r="L181" s="1928"/>
      <c r="M181" s="1928"/>
      <c r="N181" s="1928"/>
      <c r="O181" s="1928"/>
      <c r="P181" s="1928"/>
      <c r="Q181" s="1928"/>
      <c r="R181" s="1928"/>
      <c r="S181" s="1928"/>
      <c r="T181" s="1928"/>
      <c r="U181" s="1929"/>
    </row>
    <row r="182" spans="1:22" ht="21" customHeight="1">
      <c r="A182" s="441"/>
      <c r="B182" s="1930"/>
      <c r="C182" s="1930"/>
      <c r="D182" s="1930"/>
      <c r="E182" s="1930"/>
      <c r="F182" s="1930"/>
      <c r="G182" s="1930"/>
      <c r="H182" s="1930"/>
      <c r="I182" s="1930"/>
      <c r="J182" s="1930"/>
      <c r="K182" s="1930"/>
      <c r="L182" s="1930"/>
      <c r="M182" s="1930"/>
      <c r="N182" s="1930"/>
      <c r="O182" s="1930"/>
      <c r="P182" s="1930"/>
      <c r="Q182" s="1930"/>
      <c r="R182" s="1930"/>
      <c r="S182" s="1930"/>
      <c r="T182" s="1930"/>
      <c r="U182" s="1930"/>
    </row>
    <row r="183" spans="1:22" ht="19.149999999999999" customHeight="1">
      <c r="B183" s="2342" t="s">
        <v>1915</v>
      </c>
      <c r="C183" s="2343"/>
      <c r="D183" s="2343"/>
      <c r="E183" s="2343"/>
      <c r="F183" s="2343"/>
      <c r="G183" s="2343"/>
      <c r="H183" s="2343"/>
      <c r="I183" s="2343"/>
      <c r="J183" s="2343"/>
      <c r="K183" s="2343"/>
      <c r="L183" s="2343"/>
      <c r="M183" s="2343"/>
      <c r="N183" s="2343"/>
      <c r="O183" s="2343"/>
      <c r="P183" s="2343"/>
      <c r="Q183" s="2343"/>
      <c r="R183" s="2343"/>
      <c r="S183" s="2343"/>
      <c r="T183" s="2343"/>
      <c r="U183" s="2344"/>
    </row>
    <row r="184" spans="1:22" ht="24.75" customHeight="1">
      <c r="B184" s="2336" t="s">
        <v>1916</v>
      </c>
      <c r="C184" s="2337"/>
      <c r="D184" s="2337"/>
      <c r="E184" s="2337"/>
      <c r="F184" s="2337"/>
      <c r="G184" s="2337"/>
      <c r="H184" s="2337"/>
      <c r="I184" s="2337"/>
      <c r="J184" s="2337"/>
      <c r="K184" s="2337"/>
      <c r="L184" s="2337"/>
      <c r="M184" s="2337"/>
      <c r="N184" s="2337"/>
      <c r="O184" s="2337"/>
      <c r="P184" s="2337"/>
      <c r="Q184" s="2337"/>
      <c r="R184" s="2337"/>
      <c r="S184" s="2337"/>
      <c r="T184" s="2337"/>
      <c r="U184" s="2338"/>
      <c r="V184" s="441"/>
    </row>
    <row r="185" spans="1:22">
      <c r="B185" s="1864"/>
      <c r="C185" s="1865"/>
      <c r="D185" s="1865"/>
      <c r="E185" s="1865"/>
      <c r="F185" s="1865"/>
      <c r="G185" s="1865"/>
      <c r="H185" s="1865"/>
      <c r="I185" s="1865"/>
      <c r="J185" s="1865"/>
      <c r="K185" s="1865"/>
      <c r="L185" s="1865"/>
      <c r="M185" s="1865"/>
      <c r="N185" s="1865"/>
      <c r="O185" s="1865"/>
      <c r="P185" s="1865"/>
      <c r="Q185" s="1865"/>
      <c r="R185" s="1865"/>
      <c r="S185" s="1865"/>
      <c r="T185" s="1865"/>
      <c r="U185" s="1915"/>
      <c r="V185" s="441"/>
    </row>
    <row r="186" spans="1:22" ht="23.25">
      <c r="B186" s="1864"/>
      <c r="C186" s="1865"/>
      <c r="D186" s="1923"/>
      <c r="E186" s="1895" t="s">
        <v>478</v>
      </c>
      <c r="F186" s="1896" t="s">
        <v>479</v>
      </c>
      <c r="G186" s="1865"/>
      <c r="H186" s="1865"/>
      <c r="I186" s="1865"/>
      <c r="J186" s="1865"/>
      <c r="K186" s="1865"/>
      <c r="L186" s="1865"/>
      <c r="M186" s="1865"/>
      <c r="N186" s="1865"/>
      <c r="O186" s="1865"/>
      <c r="P186" s="1865"/>
      <c r="Q186" s="1900" t="s">
        <v>472</v>
      </c>
      <c r="R186" s="1896" t="s">
        <v>480</v>
      </c>
      <c r="S186" s="1865"/>
      <c r="T186" s="1865"/>
      <c r="U186" s="1915"/>
      <c r="V186" s="441"/>
    </row>
    <row r="187" spans="1:22">
      <c r="B187" s="1864"/>
      <c r="C187" s="1865"/>
      <c r="D187" s="1865"/>
      <c r="E187" s="1865"/>
      <c r="F187" s="1865"/>
      <c r="G187" s="1865"/>
      <c r="H187" s="1865"/>
      <c r="I187" s="1865"/>
      <c r="J187" s="1865"/>
      <c r="K187" s="1865"/>
      <c r="L187" s="1865"/>
      <c r="M187" s="1865"/>
      <c r="N187" s="1865"/>
      <c r="O187" s="1865"/>
      <c r="P187" s="1865"/>
      <c r="Q187" s="1865"/>
      <c r="R187" s="1865"/>
      <c r="S187" s="1865"/>
      <c r="T187" s="1865"/>
      <c r="U187" s="1915"/>
      <c r="V187" s="441"/>
    </row>
    <row r="188" spans="1:22" ht="20.25" customHeight="1">
      <c r="B188" s="2339" t="s">
        <v>481</v>
      </c>
      <c r="C188" s="2340"/>
      <c r="D188" s="2340"/>
      <c r="E188" s="2340"/>
      <c r="F188" s="2340"/>
      <c r="G188" s="2340"/>
      <c r="H188" s="2340"/>
      <c r="I188" s="2340"/>
      <c r="J188" s="2340"/>
      <c r="K188" s="2340"/>
      <c r="L188" s="2340"/>
      <c r="M188" s="2340"/>
      <c r="N188" s="2340"/>
      <c r="O188" s="2340"/>
      <c r="P188" s="2340"/>
      <c r="Q188" s="2340"/>
      <c r="R188" s="2340"/>
      <c r="S188" s="2340"/>
      <c r="T188" s="2340"/>
      <c r="U188" s="2341"/>
      <c r="V188" s="441"/>
    </row>
    <row r="189" spans="1:22" ht="18">
      <c r="B189" s="1931"/>
      <c r="C189" s="1913"/>
      <c r="D189" s="1907"/>
      <c r="E189" s="1907"/>
      <c r="F189" s="1907"/>
      <c r="G189" s="1906"/>
      <c r="H189" s="1906"/>
      <c r="I189" s="1906"/>
      <c r="J189" s="1906"/>
      <c r="K189" s="1906"/>
      <c r="L189" s="1906"/>
      <c r="M189" s="1906"/>
      <c r="N189" s="1909"/>
      <c r="O189" s="1908"/>
      <c r="P189" s="1907"/>
      <c r="Q189" s="1907"/>
      <c r="R189" s="1932"/>
      <c r="S189" s="1908"/>
      <c r="T189" s="1908"/>
      <c r="U189" s="1933"/>
      <c r="V189" s="441"/>
    </row>
    <row r="190" spans="1:22" ht="23.25">
      <c r="A190" s="441"/>
      <c r="B190" s="1852"/>
      <c r="C190" s="1852"/>
      <c r="D190" s="1852"/>
      <c r="E190" s="1852"/>
      <c r="F190" s="1852"/>
      <c r="G190" s="1852"/>
      <c r="H190" s="1852"/>
      <c r="I190" s="1852"/>
      <c r="J190" s="1852"/>
      <c r="K190" s="1852"/>
      <c r="L190" s="1852"/>
      <c r="M190" s="1852"/>
      <c r="N190" s="1852"/>
      <c r="O190" s="1852"/>
      <c r="P190" s="1852"/>
      <c r="Q190" s="1852"/>
      <c r="R190" s="1852"/>
      <c r="S190" s="1852"/>
      <c r="T190" s="1852"/>
      <c r="U190" s="1852"/>
    </row>
    <row r="191" spans="1:22" ht="23.25" customHeight="1">
      <c r="B191" s="2342" t="s">
        <v>1917</v>
      </c>
      <c r="C191" s="2343"/>
      <c r="D191" s="2343"/>
      <c r="E191" s="2343"/>
      <c r="F191" s="2343"/>
      <c r="G191" s="2343"/>
      <c r="H191" s="2343"/>
      <c r="I191" s="2343"/>
      <c r="J191" s="2343"/>
      <c r="K191" s="2343"/>
      <c r="L191" s="2343"/>
      <c r="M191" s="2343"/>
      <c r="N191" s="2343"/>
      <c r="O191" s="2343"/>
      <c r="P191" s="2343"/>
      <c r="Q191" s="2343"/>
      <c r="R191" s="2343"/>
      <c r="S191" s="2343"/>
      <c r="T191" s="2343"/>
      <c r="U191" s="2344"/>
      <c r="V191" s="441"/>
    </row>
    <row r="192" spans="1:22" ht="23.25" customHeight="1">
      <c r="B192" s="2336" t="s">
        <v>1918</v>
      </c>
      <c r="C192" s="2337"/>
      <c r="D192" s="2337"/>
      <c r="E192" s="2337"/>
      <c r="F192" s="2337"/>
      <c r="G192" s="2337"/>
      <c r="H192" s="2337"/>
      <c r="I192" s="2337"/>
      <c r="J192" s="2337"/>
      <c r="K192" s="2337"/>
      <c r="L192" s="2337"/>
      <c r="M192" s="2337"/>
      <c r="N192" s="2337"/>
      <c r="O192" s="2337"/>
      <c r="P192" s="2337"/>
      <c r="Q192" s="2337"/>
      <c r="R192" s="2337"/>
      <c r="S192" s="2337"/>
      <c r="T192" s="2337"/>
      <c r="U192" s="2338"/>
      <c r="V192" s="441"/>
    </row>
    <row r="193" spans="1:22">
      <c r="B193" s="1864"/>
      <c r="C193" s="1865"/>
      <c r="D193" s="1865"/>
      <c r="E193" s="1865"/>
      <c r="F193" s="1865"/>
      <c r="G193" s="1865"/>
      <c r="H193" s="1865"/>
      <c r="I193" s="1865"/>
      <c r="J193" s="1865"/>
      <c r="K193" s="1865"/>
      <c r="L193" s="1865"/>
      <c r="M193" s="1865"/>
      <c r="N193" s="1865"/>
      <c r="O193" s="1865"/>
      <c r="P193" s="1865"/>
      <c r="Q193" s="1865"/>
      <c r="R193" s="1865"/>
      <c r="S193" s="1865"/>
      <c r="T193" s="1865"/>
      <c r="U193" s="1915"/>
    </row>
    <row r="194" spans="1:22" ht="23.25">
      <c r="B194" s="1864"/>
      <c r="C194" s="1934"/>
      <c r="D194" s="1923"/>
      <c r="E194" s="1935" t="s">
        <v>482</v>
      </c>
      <c r="F194" s="1917" t="s">
        <v>883</v>
      </c>
      <c r="G194" s="1865"/>
      <c r="H194" s="1923"/>
      <c r="I194" s="563"/>
      <c r="J194" s="1923"/>
      <c r="K194" s="1923"/>
      <c r="L194" s="564"/>
      <c r="M194" s="1924"/>
      <c r="N194" s="1894"/>
      <c r="O194" s="1925"/>
      <c r="P194" s="1865"/>
      <c r="Q194" s="1920" t="s">
        <v>472</v>
      </c>
      <c r="R194" s="1921" t="s">
        <v>473</v>
      </c>
      <c r="S194" s="1865"/>
      <c r="T194" s="1865"/>
      <c r="U194" s="1915"/>
    </row>
    <row r="195" spans="1:22" ht="23.25">
      <c r="B195" s="1931"/>
      <c r="C195" s="1913"/>
      <c r="D195" s="1904"/>
      <c r="E195" s="1936"/>
      <c r="F195" s="1937"/>
      <c r="G195" s="1907"/>
      <c r="H195" s="1904"/>
      <c r="I195" s="567"/>
      <c r="J195" s="1904"/>
      <c r="K195" s="1904"/>
      <c r="L195" s="568"/>
      <c r="M195" s="1906"/>
      <c r="N195" s="1909"/>
      <c r="O195" s="1932"/>
      <c r="P195" s="1938"/>
      <c r="Q195" s="1939"/>
      <c r="R195" s="1913"/>
      <c r="S195" s="1907"/>
      <c r="T195" s="1907"/>
      <c r="U195" s="1914"/>
    </row>
    <row r="196" spans="1:22" ht="20.25">
      <c r="B196" s="441"/>
      <c r="C196" s="561"/>
      <c r="D196" s="552"/>
      <c r="E196" s="552"/>
      <c r="F196" s="545"/>
      <c r="G196" s="441"/>
      <c r="H196" s="553"/>
      <c r="I196" s="553"/>
      <c r="J196" s="553"/>
      <c r="K196" s="571"/>
      <c r="L196" s="553"/>
      <c r="M196" s="553"/>
      <c r="N196" s="548"/>
      <c r="O196" s="554"/>
      <c r="P196" s="572"/>
      <c r="Q196" s="573"/>
      <c r="R196" s="561"/>
      <c r="S196" s="441"/>
      <c r="T196" s="441"/>
      <c r="U196" s="441"/>
    </row>
    <row r="197" spans="1:22" ht="23.25">
      <c r="A197" s="441"/>
      <c r="B197" s="2304" t="s">
        <v>483</v>
      </c>
      <c r="C197" s="2305"/>
      <c r="D197" s="2305"/>
      <c r="E197" s="2305"/>
      <c r="F197" s="2305"/>
      <c r="G197" s="2305"/>
      <c r="H197" s="2305"/>
      <c r="I197" s="2305"/>
      <c r="J197" s="2305"/>
      <c r="K197" s="2305"/>
      <c r="L197" s="2305"/>
      <c r="M197" s="2305"/>
      <c r="N197" s="2305"/>
      <c r="O197" s="2305"/>
      <c r="P197" s="2305"/>
      <c r="Q197" s="2305"/>
      <c r="R197" s="2305"/>
      <c r="S197" s="2305"/>
      <c r="T197" s="2305"/>
      <c r="U197" s="2386"/>
    </row>
    <row r="198" spans="1:22" ht="23.25">
      <c r="A198" s="441"/>
      <c r="B198" s="2345" t="s">
        <v>484</v>
      </c>
      <c r="C198" s="2346"/>
      <c r="D198" s="2346"/>
      <c r="E198" s="2346"/>
      <c r="F198" s="2346"/>
      <c r="G198" s="2346"/>
      <c r="H198" s="2346"/>
      <c r="I198" s="2346"/>
      <c r="J198" s="2346"/>
      <c r="K198" s="2346"/>
      <c r="L198" s="2346"/>
      <c r="M198" s="2346"/>
      <c r="N198" s="2346"/>
      <c r="O198" s="2346"/>
      <c r="P198" s="2346"/>
      <c r="Q198" s="2346"/>
      <c r="R198" s="2346"/>
      <c r="S198" s="2346"/>
      <c r="T198" s="2346"/>
      <c r="U198" s="2347"/>
    </row>
    <row r="199" spans="1:22" ht="23.25">
      <c r="A199" s="441"/>
      <c r="B199" s="749"/>
      <c r="C199" s="750"/>
      <c r="D199" s="750"/>
      <c r="E199" s="750"/>
      <c r="F199" s="750"/>
      <c r="G199" s="750"/>
      <c r="H199" s="750"/>
      <c r="I199" s="750"/>
      <c r="J199" s="750"/>
      <c r="K199" s="750"/>
      <c r="L199" s="750"/>
      <c r="M199" s="750"/>
      <c r="N199" s="750"/>
      <c r="O199" s="750"/>
      <c r="P199" s="750"/>
      <c r="Q199" s="750"/>
      <c r="R199" s="750"/>
      <c r="S199" s="750"/>
      <c r="T199" s="750"/>
      <c r="U199" s="751"/>
    </row>
    <row r="200" spans="1:22" ht="23.25">
      <c r="A200" s="441"/>
      <c r="B200" s="749"/>
      <c r="C200" s="576" t="s">
        <v>485</v>
      </c>
      <c r="D200" s="441"/>
      <c r="F200" s="577">
        <v>5</v>
      </c>
      <c r="G200" s="546"/>
      <c r="H200" s="441"/>
      <c r="I200" s="545"/>
      <c r="J200" s="545"/>
      <c r="K200" s="547"/>
      <c r="L200" s="576" t="s">
        <v>486</v>
      </c>
      <c r="Q200" s="577" t="s">
        <v>487</v>
      </c>
      <c r="R200" s="545"/>
      <c r="S200" s="545"/>
      <c r="T200" s="545"/>
      <c r="U200" s="451"/>
    </row>
    <row r="201" spans="1:22" ht="23.25">
      <c r="A201" s="441"/>
      <c r="B201" s="749"/>
      <c r="C201" s="750"/>
      <c r="D201" s="441"/>
      <c r="E201" s="531"/>
      <c r="F201" s="577"/>
      <c r="G201" s="546"/>
      <c r="H201" s="441"/>
      <c r="I201" s="545"/>
      <c r="J201" s="545"/>
      <c r="K201" s="547"/>
      <c r="L201" s="750"/>
      <c r="M201" s="441"/>
      <c r="N201" s="531"/>
      <c r="P201" s="546"/>
      <c r="Q201" s="577" t="s">
        <v>488</v>
      </c>
      <c r="R201" s="545"/>
      <c r="S201" s="545"/>
      <c r="T201" s="545"/>
      <c r="U201" s="451"/>
    </row>
    <row r="202" spans="1:22" ht="63.6" customHeight="1">
      <c r="A202" s="441"/>
      <c r="B202" s="578"/>
      <c r="C202" s="2378" t="s">
        <v>489</v>
      </c>
      <c r="D202" s="2378"/>
      <c r="E202" s="2378"/>
      <c r="F202" s="2378"/>
      <c r="G202" s="2378"/>
      <c r="H202" s="2378"/>
      <c r="I202" s="2378"/>
      <c r="J202" s="2378"/>
      <c r="K202" s="579"/>
      <c r="L202" s="2378" t="s">
        <v>490</v>
      </c>
      <c r="M202" s="2378"/>
      <c r="N202" s="2378"/>
      <c r="O202" s="2378"/>
      <c r="P202" s="2378"/>
      <c r="Q202" s="2378"/>
      <c r="R202" s="2378"/>
      <c r="S202" s="2378"/>
      <c r="T202" s="2378"/>
      <c r="U202" s="751"/>
    </row>
    <row r="203" spans="1:22" s="522" customFormat="1" ht="100.15" customHeight="1">
      <c r="B203" s="578"/>
      <c r="C203" s="2378" t="s">
        <v>682</v>
      </c>
      <c r="D203" s="2378"/>
      <c r="E203" s="2378"/>
      <c r="F203" s="2378"/>
      <c r="G203" s="2378"/>
      <c r="H203" s="2378"/>
      <c r="I203" s="2378"/>
      <c r="J203" s="2378"/>
      <c r="K203" s="2378"/>
      <c r="L203" s="2378"/>
      <c r="M203" s="2378"/>
      <c r="N203" s="2378"/>
      <c r="O203" s="2378"/>
      <c r="P203" s="2378"/>
      <c r="Q203" s="2378"/>
      <c r="R203" s="2378"/>
      <c r="S203" s="2378"/>
      <c r="T203" s="2378"/>
      <c r="U203" s="580"/>
    </row>
    <row r="204" spans="1:22" ht="22.9" customHeight="1">
      <c r="A204" s="441"/>
      <c r="B204" s="581"/>
      <c r="C204" s="488"/>
      <c r="D204" s="582"/>
      <c r="E204" s="582"/>
      <c r="F204" s="582"/>
      <c r="G204" s="543"/>
      <c r="H204" s="543"/>
      <c r="I204" s="543"/>
      <c r="J204" s="543"/>
      <c r="K204" s="543"/>
      <c r="L204" s="543"/>
      <c r="M204" s="543"/>
      <c r="N204" s="543"/>
      <c r="O204" s="543"/>
      <c r="P204" s="543"/>
      <c r="Q204" s="543"/>
      <c r="R204" s="543"/>
      <c r="S204" s="543"/>
      <c r="T204" s="543"/>
      <c r="U204" s="557"/>
    </row>
    <row r="205" spans="1:22" ht="23.25">
      <c r="A205" s="441"/>
      <c r="B205" s="520"/>
      <c r="C205" s="583"/>
      <c r="D205" s="583"/>
      <c r="E205" s="583"/>
      <c r="F205" s="583"/>
      <c r="G205" s="561"/>
      <c r="H205" s="561"/>
      <c r="I205" s="561"/>
      <c r="J205" s="561"/>
      <c r="K205" s="561"/>
      <c r="L205" s="561"/>
      <c r="M205" s="561"/>
      <c r="N205" s="561"/>
      <c r="O205" s="561"/>
      <c r="P205" s="561"/>
      <c r="Q205" s="561"/>
      <c r="R205" s="561"/>
      <c r="S205" s="561"/>
      <c r="T205" s="561"/>
      <c r="U205" s="750"/>
    </row>
    <row r="206" spans="1:22" ht="20.25" customHeight="1">
      <c r="B206" s="522"/>
      <c r="C206" s="584"/>
      <c r="D206" s="584"/>
      <c r="E206" s="584"/>
      <c r="F206" s="584"/>
      <c r="G206" s="522"/>
      <c r="H206" s="522"/>
      <c r="I206" s="522"/>
      <c r="J206" s="522"/>
      <c r="K206" s="522"/>
      <c r="L206" s="522"/>
      <c r="M206" s="476" t="s">
        <v>1461</v>
      </c>
      <c r="N206" s="522"/>
      <c r="O206" s="522"/>
      <c r="P206" s="522"/>
      <c r="Q206" s="522"/>
      <c r="R206" s="477" t="s">
        <v>692</v>
      </c>
      <c r="S206" s="478" t="str">
        <f>$E$29</f>
        <v>ILF5_90FCOR_B114CAGR43006</v>
      </c>
      <c r="T206" s="522"/>
    </row>
    <row r="207" spans="1:22" ht="16.899999999999999" customHeight="1">
      <c r="B207" s="522"/>
      <c r="C207" s="585"/>
      <c r="D207" s="584"/>
      <c r="E207" s="584"/>
      <c r="F207" s="584"/>
      <c r="G207" s="586"/>
      <c r="H207" s="586"/>
      <c r="I207" s="586"/>
      <c r="J207" s="586"/>
      <c r="K207" s="587"/>
      <c r="L207" s="587"/>
      <c r="M207" s="587"/>
      <c r="N207" s="587"/>
      <c r="O207" s="587"/>
      <c r="P207" s="587"/>
      <c r="Q207" s="561"/>
      <c r="R207" s="561"/>
      <c r="S207" s="441"/>
      <c r="T207" s="441"/>
      <c r="U207" s="588"/>
      <c r="V207" s="441"/>
    </row>
    <row r="208" spans="1:22">
      <c r="A208" s="420"/>
      <c r="B208" s="420"/>
      <c r="C208" s="420"/>
      <c r="D208" s="420"/>
      <c r="E208" s="420"/>
      <c r="F208" s="420"/>
      <c r="G208" s="420"/>
      <c r="H208" s="436" t="s">
        <v>690</v>
      </c>
      <c r="I208" s="420"/>
      <c r="K208" s="420"/>
      <c r="L208" s="437" t="str">
        <f>$B$11</f>
        <v>INMOBILIARIA SERVIGESTION</v>
      </c>
      <c r="M208" s="420"/>
      <c r="N208" s="420"/>
      <c r="O208" s="420"/>
      <c r="P208" s="420"/>
      <c r="Q208" s="420"/>
      <c r="R208" s="420"/>
      <c r="S208" s="420"/>
      <c r="T208" s="420"/>
      <c r="U208" s="420"/>
      <c r="V208" s="420"/>
    </row>
    <row r="209" spans="1:22" ht="34.5">
      <c r="A209" s="420"/>
      <c r="B209" s="2268" t="s">
        <v>461</v>
      </c>
      <c r="C209" s="2268"/>
      <c r="D209" s="2268"/>
      <c r="E209" s="2268"/>
      <c r="F209" s="2268"/>
      <c r="G209" s="2268"/>
      <c r="H209" s="2268"/>
      <c r="I209" s="2268"/>
      <c r="J209" s="2268"/>
      <c r="K209" s="2268"/>
      <c r="L209" s="2268"/>
      <c r="M209" s="2268"/>
      <c r="N209" s="2268"/>
      <c r="O209" s="2268"/>
      <c r="P209" s="2268"/>
      <c r="Q209" s="2268"/>
      <c r="R209" s="2268"/>
      <c r="S209" s="2268"/>
      <c r="T209" s="2268"/>
      <c r="U209" s="2268"/>
      <c r="V209" s="420"/>
    </row>
    <row r="210" spans="1:22" ht="22.9" customHeight="1">
      <c r="A210" s="420"/>
      <c r="B210" s="2269" t="s">
        <v>700</v>
      </c>
      <c r="C210" s="2269"/>
      <c r="D210" s="2269"/>
      <c r="E210" s="2269"/>
      <c r="F210" s="2269"/>
      <c r="G210" s="2269"/>
      <c r="H210" s="2269"/>
      <c r="I210" s="2269"/>
      <c r="J210" s="2269"/>
      <c r="K210" s="2269"/>
      <c r="L210" s="2269"/>
      <c r="M210" s="2269"/>
      <c r="N210" s="2269"/>
      <c r="O210" s="2269"/>
      <c r="P210" s="2269"/>
      <c r="Q210" s="2269"/>
      <c r="R210" s="2269"/>
      <c r="S210" s="2269"/>
      <c r="T210" s="2269"/>
      <c r="U210" s="2269"/>
      <c r="V210" s="420"/>
    </row>
    <row r="211" spans="1:22" ht="16.149999999999999" customHeight="1">
      <c r="A211" s="420"/>
      <c r="B211" s="757"/>
      <c r="C211" s="757"/>
      <c r="D211" s="757"/>
      <c r="E211" s="757"/>
      <c r="F211" s="757"/>
      <c r="G211" s="757"/>
      <c r="H211" s="757"/>
      <c r="I211" s="757"/>
      <c r="J211" s="757"/>
      <c r="K211" s="757"/>
      <c r="L211" s="757"/>
      <c r="M211" s="757"/>
      <c r="N211" s="757"/>
      <c r="O211" s="757"/>
      <c r="Q211" s="757"/>
      <c r="R211" s="757"/>
      <c r="S211" s="757"/>
      <c r="T211" s="757"/>
      <c r="U211" s="757"/>
      <c r="V211" s="420"/>
    </row>
    <row r="212" spans="1:22" ht="26.25">
      <c r="A212" s="504"/>
      <c r="B212" s="2387" t="s">
        <v>893</v>
      </c>
      <c r="C212" s="2388"/>
      <c r="D212" s="2388"/>
      <c r="E212" s="2388"/>
      <c r="F212" s="2388"/>
      <c r="G212" s="2388"/>
      <c r="H212" s="2388"/>
      <c r="I212" s="2388"/>
      <c r="J212" s="2388"/>
      <c r="K212" s="2388"/>
      <c r="L212" s="2388"/>
      <c r="M212" s="2388"/>
      <c r="N212" s="2388"/>
      <c r="O212" s="2388"/>
      <c r="P212" s="2388"/>
      <c r="Q212" s="2388"/>
      <c r="R212" s="2388"/>
      <c r="S212" s="2388"/>
      <c r="T212" s="2388"/>
      <c r="U212" s="2389"/>
      <c r="V212" s="504"/>
    </row>
    <row r="213" spans="1:22" ht="102" customHeight="1">
      <c r="A213" s="504"/>
      <c r="B213" s="2366" t="s">
        <v>1990</v>
      </c>
      <c r="C213" s="2367"/>
      <c r="D213" s="2367"/>
      <c r="E213" s="2367"/>
      <c r="F213" s="2367"/>
      <c r="G213" s="2367"/>
      <c r="H213" s="2367"/>
      <c r="I213" s="2367"/>
      <c r="J213" s="2367"/>
      <c r="K213" s="2367"/>
      <c r="L213" s="2367"/>
      <c r="M213" s="2367"/>
      <c r="N213" s="2367"/>
      <c r="O213" s="2367"/>
      <c r="P213" s="2367"/>
      <c r="Q213" s="2367"/>
      <c r="R213" s="2367"/>
      <c r="S213" s="2367"/>
      <c r="T213" s="2367"/>
      <c r="U213" s="2368"/>
      <c r="V213" s="504"/>
    </row>
    <row r="214" spans="1:22" ht="13.9" customHeight="1">
      <c r="A214" s="504"/>
      <c r="B214" s="742"/>
      <c r="C214" s="743"/>
      <c r="D214" s="743"/>
      <c r="E214" s="743"/>
      <c r="F214" s="743"/>
      <c r="G214" s="743"/>
      <c r="H214" s="743"/>
      <c r="I214" s="743"/>
      <c r="J214" s="743"/>
      <c r="K214" s="743"/>
      <c r="L214" s="743"/>
      <c r="M214" s="743"/>
      <c r="N214" s="743"/>
      <c r="O214" s="743"/>
      <c r="P214" s="743"/>
      <c r="Q214" s="743"/>
      <c r="R214" s="743"/>
      <c r="S214" s="743"/>
      <c r="T214" s="743"/>
      <c r="U214" s="744"/>
      <c r="V214" s="504"/>
    </row>
    <row r="215" spans="1:22" ht="36.75" customHeight="1">
      <c r="A215" s="504"/>
      <c r="B215" s="742"/>
      <c r="C215" s="2390" t="s">
        <v>956</v>
      </c>
      <c r="D215" s="2390"/>
      <c r="E215" s="2390"/>
      <c r="F215" s="2390"/>
      <c r="G215" s="2390"/>
      <c r="H215" s="2390"/>
      <c r="I215" s="2390"/>
      <c r="J215" s="2390"/>
      <c r="K215" s="2390"/>
      <c r="L215" s="2390"/>
      <c r="M215" s="2390"/>
      <c r="N215" s="2390"/>
      <c r="O215" s="2390"/>
      <c r="P215" s="2390"/>
      <c r="Q215" s="2390"/>
      <c r="R215" s="2390"/>
      <c r="S215" s="2390"/>
      <c r="T215" s="2390"/>
      <c r="U215" s="744"/>
      <c r="V215" s="504"/>
    </row>
    <row r="216" spans="1:22" ht="22.15" customHeight="1">
      <c r="A216" s="441"/>
      <c r="B216" s="508"/>
      <c r="C216" s="741"/>
      <c r="D216" s="741"/>
      <c r="E216" s="741"/>
      <c r="F216" s="741"/>
      <c r="G216" s="741"/>
      <c r="H216" s="741"/>
      <c r="I216" s="741"/>
      <c r="J216" s="741"/>
      <c r="K216" s="741"/>
      <c r="L216" s="2365"/>
      <c r="M216" s="2365"/>
      <c r="N216" s="2365"/>
      <c r="O216" s="2365"/>
      <c r="P216" s="2365"/>
      <c r="Q216" s="2365"/>
      <c r="R216" s="2365"/>
      <c r="S216" s="2365"/>
      <c r="T216" s="741"/>
      <c r="U216" s="589"/>
      <c r="V216" s="492"/>
    </row>
    <row r="217" spans="1:22" ht="23.25">
      <c r="B217" s="466"/>
      <c r="C217" s="2335" t="s">
        <v>933</v>
      </c>
      <c r="D217" s="2335"/>
      <c r="E217" s="2335"/>
      <c r="F217" s="2335"/>
      <c r="G217" s="2335"/>
      <c r="H217" s="2335"/>
      <c r="I217" s="2335"/>
      <c r="J217" s="2335"/>
      <c r="K217" s="2335"/>
      <c r="L217" s="441"/>
      <c r="M217" s="2375" t="s">
        <v>910</v>
      </c>
      <c r="N217" s="2376"/>
      <c r="O217" s="2376"/>
      <c r="P217" s="2376"/>
      <c r="Q217" s="2376"/>
      <c r="R217" s="2376"/>
      <c r="S217" s="2376"/>
      <c r="T217" s="2377"/>
      <c r="U217" s="494"/>
      <c r="V217" s="441"/>
    </row>
    <row r="218" spans="1:22" ht="137.44999999999999" customHeight="1">
      <c r="B218" s="495" t="s">
        <v>362</v>
      </c>
      <c r="C218" s="2396" t="s">
        <v>935</v>
      </c>
      <c r="D218" s="2397"/>
      <c r="E218" s="2397"/>
      <c r="F218" s="2397"/>
      <c r="G218" s="2397"/>
      <c r="H218" s="2397"/>
      <c r="I218" s="2397"/>
      <c r="J218" s="2397"/>
      <c r="K218" s="2398"/>
      <c r="L218" s="441"/>
      <c r="M218" s="2396" t="s">
        <v>937</v>
      </c>
      <c r="N218" s="2397"/>
      <c r="O218" s="2397"/>
      <c r="P218" s="2397"/>
      <c r="Q218" s="2397"/>
      <c r="R218" s="2397"/>
      <c r="S218" s="2397"/>
      <c r="T218" s="2398"/>
      <c r="U218" s="494"/>
      <c r="V218" s="441"/>
    </row>
    <row r="219" spans="1:22" ht="26.25">
      <c r="A219" s="441"/>
      <c r="B219" s="496"/>
      <c r="C219" s="2399" t="s">
        <v>934</v>
      </c>
      <c r="D219" s="2399"/>
      <c r="E219" s="2399"/>
      <c r="F219" s="2399"/>
      <c r="G219" s="2399"/>
      <c r="H219" s="497">
        <v>30</v>
      </c>
      <c r="I219" s="498"/>
      <c r="J219" s="498"/>
      <c r="K219" s="498"/>
      <c r="L219" s="499"/>
      <c r="M219" s="2399" t="s">
        <v>934</v>
      </c>
      <c r="N219" s="2399"/>
      <c r="O219" s="2399"/>
      <c r="P219" s="2399"/>
      <c r="Q219" s="2399"/>
      <c r="R219" s="497">
        <v>10</v>
      </c>
      <c r="S219" s="498"/>
      <c r="T219" s="498"/>
      <c r="U219" s="590"/>
    </row>
    <row r="220" spans="1:22" ht="16.149999999999999" customHeight="1">
      <c r="A220" s="420"/>
      <c r="B220" s="485"/>
      <c r="C220" s="475"/>
      <c r="D220" s="475"/>
      <c r="E220" s="475"/>
      <c r="F220" s="475"/>
      <c r="G220" s="475"/>
      <c r="H220" s="475"/>
      <c r="I220" s="475"/>
      <c r="J220" s="475"/>
      <c r="K220" s="475"/>
      <c r="L220" s="475"/>
      <c r="M220" s="475"/>
      <c r="N220" s="475"/>
      <c r="O220" s="475"/>
      <c r="P220" s="441"/>
      <c r="Q220" s="475"/>
      <c r="R220" s="475"/>
      <c r="S220" s="475"/>
      <c r="T220" s="475"/>
      <c r="U220" s="442"/>
      <c r="V220" s="420"/>
    </row>
    <row r="221" spans="1:22" ht="22.15" customHeight="1">
      <c r="A221" s="420"/>
      <c r="B221" s="485"/>
      <c r="C221" s="441"/>
      <c r="D221" s="441"/>
      <c r="E221" s="2406" t="s">
        <v>936</v>
      </c>
      <c r="F221" s="2406"/>
      <c r="G221" s="2406"/>
      <c r="H221" s="2406"/>
      <c r="I221" s="2406"/>
      <c r="J221" s="2406"/>
      <c r="K221" s="2406"/>
      <c r="L221" s="2406"/>
      <c r="M221" s="2406"/>
      <c r="N221" s="2406"/>
      <c r="O221" s="2406"/>
      <c r="P221" s="2406"/>
      <c r="Q221" s="2406"/>
      <c r="R221" s="2406"/>
      <c r="S221" s="2406"/>
      <c r="T221" s="475"/>
      <c r="U221" s="442"/>
      <c r="V221" s="420"/>
    </row>
    <row r="222" spans="1:22" ht="16.149999999999999" customHeight="1">
      <c r="A222" s="420"/>
      <c r="B222" s="485"/>
      <c r="C222" s="441"/>
      <c r="D222" s="441"/>
      <c r="E222" s="591" t="s">
        <v>525</v>
      </c>
      <c r="F222" s="592" t="s">
        <v>543</v>
      </c>
      <c r="G222" s="593" t="s">
        <v>550</v>
      </c>
      <c r="H222" s="593" t="s">
        <v>558</v>
      </c>
      <c r="I222" s="593" t="s">
        <v>580</v>
      </c>
      <c r="J222" s="593" t="s">
        <v>613</v>
      </c>
      <c r="K222" s="593" t="s">
        <v>549</v>
      </c>
      <c r="L222" s="593" t="s">
        <v>622</v>
      </c>
      <c r="M222" s="593" t="s">
        <v>624</v>
      </c>
      <c r="N222" s="593" t="s">
        <v>628</v>
      </c>
      <c r="O222" s="593" t="s">
        <v>928</v>
      </c>
      <c r="P222" s="593" t="s">
        <v>588</v>
      </c>
      <c r="Q222" s="593" t="s">
        <v>930</v>
      </c>
      <c r="R222" s="593" t="s">
        <v>596</v>
      </c>
      <c r="S222" s="594" t="s">
        <v>638</v>
      </c>
      <c r="T222" s="475"/>
      <c r="U222" s="442"/>
      <c r="V222" s="420"/>
    </row>
    <row r="223" spans="1:22">
      <c r="B223" s="466"/>
      <c r="C223" s="592"/>
      <c r="D223" s="592"/>
      <c r="E223" s="591" t="s">
        <v>520</v>
      </c>
      <c r="F223" s="593" t="s">
        <v>548</v>
      </c>
      <c r="G223" s="593" t="s">
        <v>554</v>
      </c>
      <c r="H223" s="593" t="s">
        <v>575</v>
      </c>
      <c r="I223" s="593" t="s">
        <v>595</v>
      </c>
      <c r="J223" s="593" t="s">
        <v>926</v>
      </c>
      <c r="K223" s="593" t="s">
        <v>559</v>
      </c>
      <c r="L223" s="593" t="s">
        <v>567</v>
      </c>
      <c r="M223" s="593" t="s">
        <v>927</v>
      </c>
      <c r="N223" s="593" t="s">
        <v>630</v>
      </c>
      <c r="O223" s="593" t="s">
        <v>929</v>
      </c>
      <c r="P223" s="593" t="s">
        <v>581</v>
      </c>
      <c r="Q223" s="593" t="s">
        <v>586</v>
      </c>
      <c r="R223" s="595" t="s">
        <v>600</v>
      </c>
      <c r="S223" s="596"/>
      <c r="T223" s="597"/>
      <c r="U223" s="451"/>
    </row>
    <row r="224" spans="1:22" ht="7.15" customHeight="1">
      <c r="B224" s="466"/>
      <c r="C224" s="441"/>
      <c r="D224" s="441"/>
      <c r="E224" s="598"/>
      <c r="F224" s="598"/>
      <c r="G224" s="598"/>
      <c r="H224" s="598"/>
      <c r="I224" s="598"/>
      <c r="J224" s="598"/>
      <c r="K224" s="598"/>
      <c r="L224" s="598"/>
      <c r="M224" s="598"/>
      <c r="N224" s="598"/>
      <c r="O224" s="598"/>
      <c r="P224" s="598"/>
      <c r="Q224" s="598"/>
      <c r="R224" s="598"/>
      <c r="S224" s="441"/>
      <c r="T224" s="441"/>
      <c r="U224" s="451"/>
    </row>
    <row r="225" spans="1:22" ht="16.149999999999999" customHeight="1">
      <c r="A225" s="420"/>
      <c r="B225" s="487"/>
      <c r="C225" s="459"/>
      <c r="D225" s="459"/>
      <c r="E225" s="459"/>
      <c r="F225" s="459"/>
      <c r="G225" s="459"/>
      <c r="H225" s="459"/>
      <c r="I225" s="459"/>
      <c r="J225" s="459"/>
      <c r="K225" s="459"/>
      <c r="L225" s="459"/>
      <c r="M225" s="459"/>
      <c r="N225" s="459"/>
      <c r="O225" s="459"/>
      <c r="P225" s="488"/>
      <c r="Q225" s="459"/>
      <c r="R225" s="459"/>
      <c r="S225" s="459"/>
      <c r="T225" s="459"/>
      <c r="U225" s="460"/>
      <c r="V225" s="420"/>
    </row>
    <row r="226" spans="1:22" ht="16.149999999999999" customHeight="1">
      <c r="A226" s="420"/>
      <c r="B226" s="757"/>
      <c r="C226" s="757"/>
      <c r="D226" s="757"/>
      <c r="E226" s="757"/>
      <c r="F226" s="757"/>
      <c r="G226" s="757"/>
      <c r="H226" s="757"/>
      <c r="I226" s="757"/>
      <c r="J226" s="757"/>
      <c r="K226" s="757"/>
      <c r="L226" s="757"/>
      <c r="M226" s="757"/>
      <c r="N226" s="757"/>
      <c r="O226" s="757"/>
      <c r="Q226" s="757"/>
      <c r="R226" s="757"/>
      <c r="S226" s="757"/>
      <c r="T226" s="757"/>
      <c r="U226" s="757"/>
      <c r="V226" s="420"/>
    </row>
    <row r="227" spans="1:22" ht="54" customHeight="1">
      <c r="A227" s="420"/>
      <c r="B227" s="2251" t="s">
        <v>792</v>
      </c>
      <c r="C227" s="2251"/>
      <c r="D227" s="2251"/>
      <c r="E227" s="2251"/>
      <c r="F227" s="2251"/>
      <c r="G227" s="2251"/>
      <c r="H227" s="2251"/>
      <c r="I227" s="2251"/>
      <c r="J227" s="2251"/>
      <c r="K227" s="2251"/>
      <c r="L227" s="2251"/>
      <c r="M227" s="2251"/>
      <c r="N227" s="2251"/>
      <c r="O227" s="2251"/>
      <c r="P227" s="2251"/>
      <c r="Q227" s="2251"/>
      <c r="R227" s="2251"/>
      <c r="S227" s="2251"/>
      <c r="T227" s="2251"/>
      <c r="U227" s="2251"/>
      <c r="V227" s="420"/>
    </row>
    <row r="228" spans="1:22" ht="22.9" customHeight="1">
      <c r="B228" s="600"/>
      <c r="C228" s="601"/>
      <c r="D228" s="601"/>
      <c r="E228" s="601"/>
      <c r="F228" s="601"/>
      <c r="G228" s="601"/>
      <c r="H228" s="601"/>
      <c r="I228" s="601"/>
      <c r="J228" s="601"/>
      <c r="K228" s="601"/>
      <c r="L228" s="601"/>
      <c r="M228" s="601"/>
      <c r="N228" s="601"/>
      <c r="O228" s="601"/>
      <c r="P228" s="601"/>
      <c r="Q228" s="601"/>
      <c r="R228" s="601"/>
      <c r="S228" s="601"/>
      <c r="T228" s="747"/>
      <c r="U228" s="603"/>
      <c r="V228" s="441"/>
    </row>
    <row r="229" spans="1:22" ht="16.149999999999999" customHeight="1">
      <c r="A229" s="420"/>
      <c r="B229" s="485"/>
      <c r="C229" s="441"/>
      <c r="D229" s="441"/>
      <c r="E229" s="441"/>
      <c r="F229" s="441"/>
      <c r="G229" s="441"/>
      <c r="H229" s="441"/>
      <c r="I229" s="441"/>
      <c r="J229" s="441"/>
      <c r="K229" s="475"/>
      <c r="L229" s="475"/>
      <c r="M229" s="604"/>
      <c r="N229" s="605"/>
      <c r="O229" s="605"/>
      <c r="P229" s="606"/>
      <c r="Q229" s="607"/>
      <c r="R229" s="475"/>
      <c r="S229" s="475"/>
      <c r="T229" s="475"/>
      <c r="U229" s="442"/>
      <c r="V229" s="420"/>
    </row>
    <row r="230" spans="1:22" ht="46.9" customHeight="1">
      <c r="A230" s="420"/>
      <c r="B230" s="466"/>
      <c r="C230" s="2412" t="s">
        <v>492</v>
      </c>
      <c r="D230" s="2412"/>
      <c r="E230" s="2412"/>
      <c r="F230" s="2412"/>
      <c r="G230" s="2412"/>
      <c r="H230" s="2412"/>
      <c r="I230" s="2412"/>
      <c r="J230" s="2412"/>
      <c r="K230" s="741"/>
      <c r="L230" s="2392" t="s">
        <v>493</v>
      </c>
      <c r="M230" s="2393"/>
      <c r="N230" s="2393"/>
      <c r="O230" s="2393"/>
      <c r="P230" s="2393"/>
      <c r="Q230" s="2393"/>
      <c r="R230" s="2393"/>
      <c r="S230" s="2393"/>
      <c r="T230" s="2393"/>
      <c r="U230" s="2394"/>
      <c r="V230" s="420"/>
    </row>
    <row r="231" spans="1:22" ht="30" customHeight="1">
      <c r="A231" s="420"/>
      <c r="B231" s="485"/>
      <c r="C231" s="754"/>
      <c r="D231" s="754"/>
      <c r="E231" s="754"/>
      <c r="F231" s="754"/>
      <c r="G231" s="754"/>
      <c r="H231" s="754"/>
      <c r="I231" s="754"/>
      <c r="J231" s="754"/>
      <c r="K231" s="475"/>
      <c r="L231" s="475"/>
      <c r="M231" s="609"/>
      <c r="N231" s="609"/>
      <c r="O231" s="609"/>
      <c r="P231" s="609"/>
      <c r="Q231" s="609"/>
      <c r="R231" s="609"/>
      <c r="S231" s="609"/>
      <c r="T231" s="609"/>
      <c r="U231" s="442"/>
      <c r="V231" s="420"/>
    </row>
    <row r="232" spans="1:22" ht="23.25">
      <c r="A232" s="420"/>
      <c r="B232" s="485"/>
      <c r="C232" s="2411" t="s">
        <v>494</v>
      </c>
      <c r="D232" s="2411"/>
      <c r="E232" s="2411"/>
      <c r="F232" s="2411"/>
      <c r="G232" s="2411"/>
      <c r="H232" s="2411"/>
      <c r="I232" s="2411"/>
      <c r="J232" s="561"/>
      <c r="K232" s="475"/>
      <c r="L232" s="2308" t="s">
        <v>495</v>
      </c>
      <c r="M232" s="2308"/>
      <c r="N232" s="2308"/>
      <c r="O232" s="2308"/>
      <c r="P232" s="610"/>
      <c r="Q232" s="2308" t="s">
        <v>501</v>
      </c>
      <c r="R232" s="2308"/>
      <c r="S232" s="2308"/>
      <c r="T232" s="2308"/>
      <c r="U232" s="2385"/>
      <c r="V232" s="420"/>
    </row>
    <row r="233" spans="1:22" ht="16.5" customHeight="1">
      <c r="A233" s="420"/>
      <c r="B233" s="485"/>
      <c r="C233" s="772"/>
      <c r="D233" s="772"/>
      <c r="E233" s="772"/>
      <c r="F233" s="772"/>
      <c r="G233" s="772"/>
      <c r="H233" s="772"/>
      <c r="I233" s="772"/>
      <c r="J233" s="561"/>
      <c r="K233" s="475"/>
      <c r="L233" s="475"/>
      <c r="M233" s="772"/>
      <c r="N233" s="772"/>
      <c r="O233" s="772"/>
      <c r="P233" s="772"/>
      <c r="Q233" s="772"/>
      <c r="R233" s="772"/>
      <c r="S233" s="772"/>
      <c r="T233" s="772"/>
      <c r="U233" s="442"/>
      <c r="V233" s="420"/>
    </row>
    <row r="234" spans="1:22" ht="27" customHeight="1">
      <c r="A234" s="420"/>
      <c r="B234" s="485"/>
      <c r="C234" s="548"/>
      <c r="D234" s="612"/>
      <c r="E234" s="771" t="s">
        <v>311</v>
      </c>
      <c r="F234" s="771" t="s">
        <v>312</v>
      </c>
      <c r="G234" s="771" t="s">
        <v>327</v>
      </c>
      <c r="H234" s="771" t="s">
        <v>496</v>
      </c>
      <c r="I234" s="771" t="s">
        <v>497</v>
      </c>
      <c r="J234" s="771" t="s">
        <v>498</v>
      </c>
      <c r="K234" s="475"/>
      <c r="L234" s="1940"/>
      <c r="M234" s="1941" t="s">
        <v>1919</v>
      </c>
      <c r="N234" s="1942" t="s">
        <v>312</v>
      </c>
      <c r="O234" s="1942" t="s">
        <v>327</v>
      </c>
      <c r="P234" s="1865"/>
      <c r="Q234" s="1894"/>
      <c r="R234" s="1894"/>
      <c r="S234" s="2351" t="s">
        <v>502</v>
      </c>
      <c r="T234" s="2352"/>
      <c r="U234" s="2353"/>
      <c r="V234" s="420"/>
    </row>
    <row r="235" spans="1:22" ht="25.5" customHeight="1">
      <c r="A235" s="420"/>
      <c r="B235" s="485"/>
      <c r="C235" s="2407" t="s">
        <v>499</v>
      </c>
      <c r="D235" s="2407"/>
      <c r="E235" s="614">
        <f t="shared" ref="E235:J235" si="0">0.45*(1-0.45)</f>
        <v>0.24750000000000003</v>
      </c>
      <c r="F235" s="614">
        <f t="shared" si="0"/>
        <v>0.24750000000000003</v>
      </c>
      <c r="G235" s="614">
        <f t="shared" si="0"/>
        <v>0.24750000000000003</v>
      </c>
      <c r="H235" s="614">
        <f t="shared" si="0"/>
        <v>0.24750000000000003</v>
      </c>
      <c r="I235" s="614">
        <f t="shared" si="0"/>
        <v>0.24750000000000003</v>
      </c>
      <c r="J235" s="614">
        <f t="shared" si="0"/>
        <v>0.24750000000000003</v>
      </c>
      <c r="K235" s="475"/>
      <c r="L235" s="1943" t="s">
        <v>938</v>
      </c>
      <c r="M235" s="615">
        <v>0</v>
      </c>
      <c r="N235" s="614">
        <v>0.82499999999999996</v>
      </c>
      <c r="O235" s="614">
        <f>N235</f>
        <v>0.82499999999999996</v>
      </c>
      <c r="P235" s="1865"/>
      <c r="Q235" s="1944"/>
      <c r="R235" s="1944"/>
      <c r="S235" s="1941" t="s">
        <v>1919</v>
      </c>
      <c r="T235" s="1942" t="s">
        <v>312</v>
      </c>
      <c r="U235" s="1942" t="s">
        <v>327</v>
      </c>
      <c r="V235" s="420"/>
    </row>
    <row r="236" spans="1:22" ht="25.5" customHeight="1">
      <c r="A236" s="420"/>
      <c r="B236" s="485"/>
      <c r="C236" s="2407" t="s">
        <v>500</v>
      </c>
      <c r="D236" s="2407"/>
      <c r="E236" s="616">
        <v>0.26400000000000001</v>
      </c>
      <c r="F236" s="616">
        <v>0.39600000000000002</v>
      </c>
      <c r="G236" s="616">
        <v>0.42899999999999999</v>
      </c>
      <c r="H236" s="616">
        <v>0.627</v>
      </c>
      <c r="I236" s="616">
        <v>0.75900000000000001</v>
      </c>
      <c r="J236" s="616">
        <v>0.89100000000000001</v>
      </c>
      <c r="K236" s="475"/>
      <c r="L236" s="1943" t="s">
        <v>939</v>
      </c>
      <c r="M236" s="1945" t="s">
        <v>1920</v>
      </c>
      <c r="N236" s="1946">
        <v>0.77</v>
      </c>
      <c r="O236" s="1946">
        <v>1.21</v>
      </c>
      <c r="P236" s="1865"/>
      <c r="Q236" s="2354" t="s">
        <v>503</v>
      </c>
      <c r="R236" s="2354"/>
      <c r="S236" s="1947" t="s">
        <v>1921</v>
      </c>
      <c r="T236" s="1948">
        <v>1.5</v>
      </c>
      <c r="U236" s="1948">
        <v>1.5</v>
      </c>
      <c r="V236" s="420"/>
    </row>
    <row r="237" spans="1:22" ht="23.25" customHeight="1">
      <c r="A237" s="420"/>
      <c r="B237" s="485"/>
      <c r="C237" s="548"/>
      <c r="D237" s="548"/>
      <c r="E237" s="548"/>
      <c r="F237" s="548"/>
      <c r="G237" s="548"/>
      <c r="H237" s="548"/>
      <c r="I237" s="548"/>
      <c r="J237" s="548"/>
      <c r="K237" s="475"/>
      <c r="L237" s="1940"/>
      <c r="M237" s="1865"/>
      <c r="N237" s="1865"/>
      <c r="O237" s="1865"/>
      <c r="P237" s="1865"/>
      <c r="Q237" s="2355" t="s">
        <v>506</v>
      </c>
      <c r="R237" s="1941" t="s">
        <v>1919</v>
      </c>
      <c r="S237" s="1947" t="s">
        <v>1921</v>
      </c>
      <c r="T237" s="1948">
        <v>1.4</v>
      </c>
      <c r="U237" s="1948">
        <v>2.6</v>
      </c>
      <c r="V237" s="420"/>
    </row>
    <row r="238" spans="1:22" ht="23.25">
      <c r="A238" s="420"/>
      <c r="B238" s="485"/>
      <c r="C238" s="548"/>
      <c r="D238" s="548"/>
      <c r="E238" s="548"/>
      <c r="F238" s="548"/>
      <c r="G238" s="548"/>
      <c r="H238" s="548"/>
      <c r="I238" s="548"/>
      <c r="J238" s="548"/>
      <c r="K238" s="475"/>
      <c r="L238" s="1940"/>
      <c r="M238" s="1867"/>
      <c r="N238" s="1867"/>
      <c r="O238" s="1867"/>
      <c r="P238" s="1949"/>
      <c r="Q238" s="2355"/>
      <c r="R238" s="1950" t="s">
        <v>312</v>
      </c>
      <c r="S238" s="1947">
        <v>1.26</v>
      </c>
      <c r="T238" s="1948">
        <v>1.4</v>
      </c>
      <c r="U238" s="1948">
        <v>2.6</v>
      </c>
      <c r="V238" s="420"/>
    </row>
    <row r="239" spans="1:22" ht="16.149999999999999" customHeight="1">
      <c r="A239" s="420"/>
      <c r="B239" s="485"/>
      <c r="C239" s="548"/>
      <c r="D239" s="548"/>
      <c r="E239" s="548"/>
      <c r="F239" s="548"/>
      <c r="G239" s="548"/>
      <c r="H239" s="548"/>
      <c r="I239" s="548"/>
      <c r="J239" s="548"/>
      <c r="K239" s="475"/>
      <c r="L239" s="1940"/>
      <c r="M239" s="1867"/>
      <c r="N239" s="1867"/>
      <c r="O239" s="1867"/>
      <c r="P239" s="1865"/>
      <c r="Q239" s="2355"/>
      <c r="R239" s="1950" t="s">
        <v>327</v>
      </c>
      <c r="S239" s="1947">
        <v>2.3400000000000003</v>
      </c>
      <c r="T239" s="1948">
        <v>2.6</v>
      </c>
      <c r="U239" s="1948">
        <v>2.6</v>
      </c>
      <c r="V239" s="420"/>
    </row>
    <row r="240" spans="1:22" ht="24" customHeight="1">
      <c r="A240" s="420"/>
      <c r="B240" s="485"/>
      <c r="C240" s="441"/>
      <c r="D240" s="441"/>
      <c r="E240" s="441"/>
      <c r="F240" s="441"/>
      <c r="G240" s="441"/>
      <c r="H240" s="441"/>
      <c r="I240" s="441"/>
      <c r="J240" s="441"/>
      <c r="K240" s="475"/>
      <c r="L240" s="475"/>
      <c r="M240" s="441"/>
      <c r="N240" s="441"/>
      <c r="O240" s="441"/>
      <c r="P240" s="441"/>
      <c r="Q240" s="441"/>
      <c r="R240" s="618"/>
      <c r="S240" s="441"/>
      <c r="T240" s="441"/>
      <c r="U240" s="442"/>
      <c r="V240" s="420"/>
    </row>
    <row r="241" spans="1:30" ht="23.25" customHeight="1">
      <c r="A241" s="420"/>
      <c r="B241" s="485"/>
      <c r="C241" s="2411" t="s">
        <v>234</v>
      </c>
      <c r="D241" s="2411"/>
      <c r="E241" s="2411"/>
      <c r="F241" s="2411"/>
      <c r="G241" s="2411"/>
      <c r="H241" s="2411"/>
      <c r="I241" s="2411"/>
      <c r="J241" s="441"/>
      <c r="K241" s="475"/>
      <c r="L241" s="2308" t="s">
        <v>510</v>
      </c>
      <c r="M241" s="2308"/>
      <c r="N241" s="2308"/>
      <c r="O241" s="2308"/>
      <c r="P241" s="610"/>
      <c r="Q241" s="2308" t="s">
        <v>507</v>
      </c>
      <c r="R241" s="2308"/>
      <c r="S241" s="2308"/>
      <c r="T241" s="2308"/>
      <c r="U241" s="2385"/>
      <c r="V241" s="420"/>
    </row>
    <row r="242" spans="1:30" s="437" customFormat="1" ht="27.75" customHeight="1">
      <c r="A242" s="785"/>
      <c r="B242" s="786"/>
      <c r="C242" s="619"/>
      <c r="D242" s="619"/>
      <c r="E242" s="619"/>
      <c r="F242" s="619"/>
      <c r="G242" s="619"/>
      <c r="H242" s="619"/>
      <c r="I242" s="619"/>
      <c r="J242" s="619"/>
      <c r="K242" s="787"/>
      <c r="L242" s="2308"/>
      <c r="M242" s="2308"/>
      <c r="N242" s="2308"/>
      <c r="O242" s="2308"/>
      <c r="P242" s="441"/>
      <c r="Q242" s="441"/>
      <c r="R242" s="1856"/>
      <c r="S242" s="1856"/>
      <c r="T242" s="1856"/>
      <c r="U242" s="442"/>
      <c r="V242" s="785"/>
    </row>
    <row r="243" spans="1:30" s="437" customFormat="1" ht="27.75" customHeight="1">
      <c r="A243" s="785"/>
      <c r="B243" s="786"/>
      <c r="C243" s="743"/>
      <c r="D243" s="619"/>
      <c r="E243" s="621" t="s">
        <v>504</v>
      </c>
      <c r="F243" s="622" t="s">
        <v>505</v>
      </c>
      <c r="G243" s="546"/>
      <c r="H243" s="619"/>
      <c r="I243" s="545"/>
      <c r="J243" s="619"/>
      <c r="K243" s="787"/>
      <c r="L243" s="2308"/>
      <c r="M243" s="2308"/>
      <c r="N243" s="2308"/>
      <c r="O243" s="2308"/>
      <c r="P243" s="624"/>
      <c r="Q243" s="1951"/>
      <c r="R243" s="1952"/>
      <c r="S243" s="2408" t="s">
        <v>508</v>
      </c>
      <c r="T243" s="2409"/>
      <c r="U243" s="2410"/>
      <c r="V243" s="785"/>
    </row>
    <row r="244" spans="1:30" s="437" customFormat="1" ht="27.75" customHeight="1">
      <c r="A244" s="785"/>
      <c r="B244" s="786"/>
      <c r="C244" s="619"/>
      <c r="D244" s="619"/>
      <c r="E244" s="619"/>
      <c r="F244" s="619"/>
      <c r="G244" s="619"/>
      <c r="H244" s="619"/>
      <c r="I244" s="619"/>
      <c r="J244" s="619"/>
      <c r="K244" s="787"/>
      <c r="L244" s="2308"/>
      <c r="M244" s="2308"/>
      <c r="N244" s="2308"/>
      <c r="O244" s="2308"/>
      <c r="P244" s="624"/>
      <c r="Q244" s="1951"/>
      <c r="R244" s="1953"/>
      <c r="S244" s="1941" t="s">
        <v>1919</v>
      </c>
      <c r="T244" s="1954" t="s">
        <v>312</v>
      </c>
      <c r="U244" s="1954" t="s">
        <v>327</v>
      </c>
      <c r="V244" s="785"/>
    </row>
    <row r="245" spans="1:30" s="437" customFormat="1" ht="27.75" customHeight="1">
      <c r="A245" s="785"/>
      <c r="B245" s="786"/>
      <c r="C245" s="619"/>
      <c r="D245" s="619"/>
      <c r="E245" s="619"/>
      <c r="F245" s="619"/>
      <c r="G245" s="619"/>
      <c r="H245" s="619"/>
      <c r="I245" s="619"/>
      <c r="J245" s="619"/>
      <c r="K245" s="787"/>
      <c r="L245" s="1855"/>
      <c r="M245" s="624"/>
      <c r="N245" s="624"/>
      <c r="O245" s="624"/>
      <c r="P245" s="624"/>
      <c r="Q245" s="2506" t="s">
        <v>509</v>
      </c>
      <c r="R245" s="1941" t="s">
        <v>1919</v>
      </c>
      <c r="S245" s="1947" t="s">
        <v>1921</v>
      </c>
      <c r="T245" s="1948">
        <v>1</v>
      </c>
      <c r="U245" s="1948">
        <v>1</v>
      </c>
      <c r="V245" s="785"/>
    </row>
    <row r="246" spans="1:30" ht="16.149999999999999" customHeight="1">
      <c r="A246" s="420"/>
      <c r="B246" s="485"/>
      <c r="C246" s="441"/>
      <c r="D246" s="441"/>
      <c r="E246" s="441"/>
      <c r="F246" s="441"/>
      <c r="G246" s="441"/>
      <c r="H246" s="441"/>
      <c r="I246" s="441"/>
      <c r="J246" s="441"/>
      <c r="K246" s="475"/>
      <c r="L246" s="1855"/>
      <c r="M246" s="624"/>
      <c r="N246" s="624"/>
      <c r="O246" s="624"/>
      <c r="P246" s="624"/>
      <c r="Q246" s="2506"/>
      <c r="R246" s="1954" t="s">
        <v>312</v>
      </c>
      <c r="S246" s="1948">
        <v>1</v>
      </c>
      <c r="T246" s="1948">
        <v>1</v>
      </c>
      <c r="U246" s="1948">
        <v>1</v>
      </c>
      <c r="V246" s="420"/>
    </row>
    <row r="247" spans="1:30" ht="23.25">
      <c r="A247" s="420"/>
      <c r="B247" s="485"/>
      <c r="C247" s="548"/>
      <c r="D247" s="548"/>
      <c r="E247" s="548"/>
      <c r="F247" s="548"/>
      <c r="G247" s="548"/>
      <c r="H247" s="548"/>
      <c r="I247" s="548"/>
      <c r="J247" s="548"/>
      <c r="K247" s="475"/>
      <c r="L247" s="1855"/>
      <c r="M247" s="624"/>
      <c r="N247" s="624"/>
      <c r="O247" s="624"/>
      <c r="P247" s="624"/>
      <c r="Q247" s="2506"/>
      <c r="R247" s="1954" t="s">
        <v>327</v>
      </c>
      <c r="S247" s="1948">
        <v>1</v>
      </c>
      <c r="T247" s="1948">
        <v>1</v>
      </c>
      <c r="U247" s="1948">
        <v>1</v>
      </c>
      <c r="V247" s="420"/>
    </row>
    <row r="248" spans="1:30" ht="17.45" customHeight="1">
      <c r="A248" s="420"/>
      <c r="B248" s="485"/>
      <c r="C248" s="548"/>
      <c r="D248" s="548"/>
      <c r="E248" s="548"/>
      <c r="F248" s="548"/>
      <c r="G248" s="548"/>
      <c r="H248" s="548"/>
      <c r="I248" s="548"/>
      <c r="J248" s="548"/>
      <c r="K248" s="475"/>
      <c r="L248" s="623"/>
      <c r="M248" s="808"/>
      <c r="N248" s="561"/>
      <c r="O248" s="561"/>
      <c r="P248" s="561"/>
      <c r="Q248" s="561"/>
      <c r="R248" s="561"/>
      <c r="S248" s="561"/>
      <c r="T248" s="561"/>
      <c r="U248" s="442"/>
      <c r="V248" s="420"/>
    </row>
    <row r="249" spans="1:30" s="625" customFormat="1" ht="2.25" customHeight="1">
      <c r="A249" s="620"/>
      <c r="B249" s="508"/>
      <c r="C249" s="623"/>
      <c r="D249" s="623"/>
      <c r="E249" s="623"/>
      <c r="F249" s="623"/>
      <c r="G249" s="623"/>
      <c r="H249" s="623"/>
      <c r="I249" s="623"/>
      <c r="J249" s="623"/>
      <c r="K249" s="741"/>
      <c r="L249" s="623"/>
      <c r="M249" s="808"/>
      <c r="N249" s="561"/>
      <c r="O249" s="561"/>
      <c r="P249" s="561"/>
      <c r="Q249" s="561"/>
      <c r="R249" s="561"/>
      <c r="S249" s="561"/>
      <c r="T249" s="561"/>
      <c r="U249" s="442"/>
      <c r="V249" s="620"/>
    </row>
    <row r="250" spans="1:30" s="625" customFormat="1" ht="2.25" customHeight="1">
      <c r="A250" s="620"/>
      <c r="B250" s="508"/>
      <c r="C250" s="623"/>
      <c r="D250" s="623"/>
      <c r="E250" s="623"/>
      <c r="F250" s="623"/>
      <c r="G250" s="623"/>
      <c r="H250" s="623"/>
      <c r="I250" s="623"/>
      <c r="J250" s="623"/>
      <c r="K250" s="741"/>
      <c r="L250" s="422"/>
      <c r="M250" s="422"/>
      <c r="N250" s="422"/>
      <c r="O250" s="422"/>
      <c r="P250" s="561"/>
      <c r="Q250" s="561"/>
      <c r="R250" s="561"/>
      <c r="S250" s="561"/>
      <c r="T250" s="561"/>
      <c r="U250" s="442"/>
      <c r="V250" s="620"/>
      <c r="Z250" s="2505"/>
      <c r="AA250" s="2505"/>
      <c r="AB250" s="2505"/>
      <c r="AC250" s="2505"/>
      <c r="AD250" s="2505"/>
    </row>
    <row r="251" spans="1:30" s="625" customFormat="1" ht="24" customHeight="1">
      <c r="A251" s="620"/>
      <c r="B251" s="508"/>
      <c r="C251" s="623"/>
      <c r="D251" s="623"/>
      <c r="E251" s="623"/>
      <c r="F251" s="623"/>
      <c r="G251" s="623"/>
      <c r="H251" s="623"/>
      <c r="I251" s="623"/>
      <c r="J251" s="623"/>
      <c r="K251" s="741"/>
      <c r="L251" s="2308" t="s">
        <v>986</v>
      </c>
      <c r="M251" s="2308"/>
      <c r="N251" s="2308"/>
      <c r="O251" s="2308"/>
      <c r="P251" s="561"/>
      <c r="Q251" s="2308" t="s">
        <v>987</v>
      </c>
      <c r="R251" s="2308"/>
      <c r="S251" s="2308"/>
      <c r="T251" s="2308"/>
      <c r="U251" s="442"/>
      <c r="V251" s="620"/>
      <c r="Z251" s="2505"/>
      <c r="AA251" s="2505"/>
      <c r="AB251" s="775"/>
      <c r="AC251" s="775"/>
      <c r="AD251" s="775"/>
    </row>
    <row r="252" spans="1:30" s="625" customFormat="1" ht="24" customHeight="1">
      <c r="A252" s="620"/>
      <c r="B252" s="508"/>
      <c r="C252" s="623"/>
      <c r="D252" s="623"/>
      <c r="E252" s="623"/>
      <c r="F252" s="623"/>
      <c r="G252" s="623"/>
      <c r="H252" s="623"/>
      <c r="I252" s="623"/>
      <c r="J252" s="623"/>
      <c r="K252" s="741"/>
      <c r="L252" s="2308"/>
      <c r="M252" s="2308"/>
      <c r="N252" s="2308"/>
      <c r="O252" s="2308"/>
      <c r="P252" s="561"/>
      <c r="Q252" s="2308"/>
      <c r="R252" s="2308"/>
      <c r="S252" s="2308"/>
      <c r="T252" s="2308"/>
      <c r="U252" s="599"/>
      <c r="V252" s="620"/>
      <c r="Z252" s="2505"/>
      <c r="AA252" s="775"/>
      <c r="AB252" s="627"/>
      <c r="AC252" s="627"/>
      <c r="AD252" s="627"/>
    </row>
    <row r="253" spans="1:30" s="625" customFormat="1" ht="52.5" customHeight="1">
      <c r="A253" s="620"/>
      <c r="B253" s="508"/>
      <c r="C253" s="623"/>
      <c r="D253" s="623"/>
      <c r="E253" s="623"/>
      <c r="F253" s="623"/>
      <c r="G253" s="623"/>
      <c r="H253" s="623"/>
      <c r="I253" s="623"/>
      <c r="J253" s="623"/>
      <c r="K253" s="741"/>
      <c r="M253" s="1981" t="s">
        <v>1919</v>
      </c>
      <c r="N253" s="1954" t="s">
        <v>312</v>
      </c>
      <c r="O253" s="1954" t="s">
        <v>327</v>
      </c>
      <c r="P253" s="1865"/>
      <c r="Q253" s="1951"/>
      <c r="R253" s="1865"/>
      <c r="S253" s="1986" t="s">
        <v>1922</v>
      </c>
      <c r="T253" s="1986" t="s">
        <v>1962</v>
      </c>
      <c r="U253" s="1976"/>
      <c r="V253" s="620"/>
      <c r="Z253" s="2505"/>
      <c r="AA253" s="775"/>
      <c r="AB253" s="627"/>
      <c r="AC253" s="627"/>
      <c r="AD253" s="627"/>
    </row>
    <row r="254" spans="1:30" ht="31.5" customHeight="1">
      <c r="A254" s="420"/>
      <c r="B254" s="485"/>
      <c r="C254" s="548"/>
      <c r="D254" s="548"/>
      <c r="E254" s="548"/>
      <c r="F254" s="548"/>
      <c r="G254" s="548"/>
      <c r="H254" s="548"/>
      <c r="I254" s="548"/>
      <c r="J254" s="548"/>
      <c r="K254" s="475"/>
      <c r="L254" s="1987" t="s">
        <v>988</v>
      </c>
      <c r="M254" s="1947" t="s">
        <v>1921</v>
      </c>
      <c r="N254" s="2362" t="s">
        <v>957</v>
      </c>
      <c r="O254" s="2363"/>
      <c r="P254" s="1934"/>
      <c r="Q254" s="2379" t="s">
        <v>960</v>
      </c>
      <c r="R254" s="2380"/>
      <c r="S254" s="1982">
        <v>1</v>
      </c>
      <c r="T254" s="1982">
        <v>8</v>
      </c>
      <c r="U254" s="599"/>
      <c r="V254" s="420"/>
      <c r="Z254" s="2505"/>
      <c r="AA254" s="775"/>
      <c r="AB254" s="627"/>
      <c r="AC254" s="627"/>
      <c r="AD254" s="627"/>
    </row>
    <row r="255" spans="1:30" ht="25.5" customHeight="1">
      <c r="A255" s="429"/>
      <c r="B255" s="633"/>
      <c r="C255" s="634"/>
      <c r="D255" s="634"/>
      <c r="E255" s="634"/>
      <c r="F255" s="634"/>
      <c r="G255" s="634"/>
      <c r="H255" s="634"/>
      <c r="I255" s="634"/>
      <c r="J255" s="634"/>
      <c r="K255" s="634"/>
      <c r="P255" s="1958"/>
      <c r="Q255" s="2625" t="s">
        <v>961</v>
      </c>
      <c r="R255" s="2626"/>
      <c r="S255" s="1988">
        <v>4.5</v>
      </c>
      <c r="T255" s="1988">
        <v>30</v>
      </c>
      <c r="U255" s="599"/>
      <c r="V255" s="429"/>
    </row>
    <row r="256" spans="1:30" ht="8.4499999999999993" customHeight="1">
      <c r="A256" s="429"/>
      <c r="B256" s="639"/>
      <c r="C256" s="640"/>
      <c r="D256" s="640"/>
      <c r="E256" s="640"/>
      <c r="F256" s="640"/>
      <c r="G256" s="640"/>
      <c r="H256" s="640"/>
      <c r="I256" s="640"/>
      <c r="J256" s="640"/>
      <c r="K256" s="640"/>
      <c r="L256" s="640"/>
      <c r="M256" s="640"/>
      <c r="N256" s="640"/>
      <c r="O256" s="788"/>
      <c r="P256" s="788"/>
      <c r="Q256" s="776"/>
      <c r="R256" s="776"/>
      <c r="S256" s="776"/>
      <c r="T256" s="776"/>
      <c r="U256" s="642"/>
      <c r="V256" s="429"/>
      <c r="AB256" s="643"/>
      <c r="AC256" s="643"/>
      <c r="AD256" s="643"/>
    </row>
    <row r="257" spans="2:22" ht="19.149999999999999" customHeight="1">
      <c r="B257" s="520" t="s">
        <v>699</v>
      </c>
      <c r="C257" s="644"/>
      <c r="D257" s="644"/>
      <c r="E257" s="644"/>
      <c r="F257" s="644"/>
      <c r="G257" s="644"/>
      <c r="H257" s="644"/>
      <c r="I257" s="644"/>
      <c r="J257" s="644"/>
      <c r="K257" s="644"/>
      <c r="L257" s="644"/>
      <c r="M257" s="644"/>
      <c r="N257" s="644"/>
      <c r="O257" s="645"/>
      <c r="P257" s="645"/>
      <c r="Q257" s="645"/>
      <c r="R257" s="645"/>
      <c r="S257" s="645"/>
      <c r="T257" s="645"/>
      <c r="U257" s="644"/>
    </row>
    <row r="258" spans="2:22" ht="18.75">
      <c r="B258" s="644"/>
      <c r="C258" s="2570"/>
      <c r="D258" s="2570"/>
      <c r="E258" s="2570"/>
      <c r="F258" s="2570"/>
      <c r="G258" s="2570"/>
      <c r="H258" s="2570"/>
      <c r="I258" s="2570"/>
      <c r="J258" s="2570"/>
      <c r="K258" s="2570"/>
      <c r="L258" s="2570"/>
      <c r="M258" s="2570"/>
      <c r="N258" s="2570"/>
      <c r="O258" s="2570"/>
      <c r="P258" s="2570"/>
      <c r="Q258" s="2570"/>
      <c r="R258" s="2570"/>
      <c r="S258" s="2570"/>
      <c r="T258" s="644"/>
      <c r="U258" s="644"/>
    </row>
    <row r="259" spans="2:22" ht="16.899999999999999" customHeight="1">
      <c r="B259" s="522"/>
      <c r="C259" s="585"/>
      <c r="D259" s="584"/>
      <c r="E259" s="584"/>
      <c r="F259" s="584"/>
      <c r="G259" s="586"/>
      <c r="H259" s="586"/>
      <c r="I259" s="586"/>
      <c r="J259" s="586"/>
      <c r="K259" s="587"/>
      <c r="L259" s="587"/>
      <c r="M259" s="476" t="s">
        <v>1462</v>
      </c>
      <c r="N259" s="587"/>
      <c r="O259" s="587"/>
      <c r="P259" s="587"/>
      <c r="Q259" s="561"/>
      <c r="R259" s="477" t="s">
        <v>692</v>
      </c>
      <c r="S259" s="478" t="str">
        <f>$E$29</f>
        <v>ILF5_90FCOR_B114CAGR43006</v>
      </c>
      <c r="T259" s="441"/>
      <c r="U259" s="588"/>
      <c r="V259" s="441"/>
    </row>
    <row r="260" spans="2:22" ht="16.899999999999999" customHeight="1">
      <c r="B260" s="522"/>
      <c r="C260" s="585"/>
      <c r="D260" s="584"/>
      <c r="E260" s="584"/>
      <c r="F260" s="584"/>
      <c r="G260" s="586"/>
      <c r="H260" s="586"/>
      <c r="I260" s="586"/>
      <c r="J260" s="586"/>
      <c r="K260" s="587"/>
      <c r="L260" s="587"/>
      <c r="M260" s="587"/>
      <c r="N260" s="587"/>
      <c r="O260" s="587"/>
      <c r="P260" s="587"/>
      <c r="Q260" s="561"/>
      <c r="R260" s="561"/>
      <c r="S260" s="441"/>
      <c r="T260" s="441"/>
      <c r="U260" s="588"/>
      <c r="V260" s="441"/>
    </row>
    <row r="261" spans="2:22">
      <c r="H261" s="436" t="s">
        <v>691</v>
      </c>
      <c r="I261" s="420"/>
      <c r="K261" s="420"/>
      <c r="L261" s="437" t="str">
        <f>$B$11</f>
        <v>INMOBILIARIA SERVIGESTION</v>
      </c>
    </row>
    <row r="262" spans="2:22" ht="30">
      <c r="B262" s="2395" t="s">
        <v>461</v>
      </c>
      <c r="C262" s="2395"/>
      <c r="D262" s="2395"/>
      <c r="E262" s="2395"/>
      <c r="F262" s="2395"/>
      <c r="G262" s="2395"/>
      <c r="H262" s="2395"/>
      <c r="I262" s="2395"/>
      <c r="J262" s="2395"/>
      <c r="K262" s="2395"/>
      <c r="L262" s="2395"/>
      <c r="M262" s="2395"/>
      <c r="N262" s="2395"/>
      <c r="O262" s="2395"/>
      <c r="P262" s="2395"/>
      <c r="Q262" s="2395"/>
      <c r="R262" s="2395"/>
      <c r="S262" s="2395"/>
      <c r="T262" s="2395"/>
      <c r="U262" s="2395"/>
    </row>
    <row r="263" spans="2:22" ht="22.9" customHeight="1">
      <c r="B263" s="2269" t="s">
        <v>793</v>
      </c>
      <c r="C263" s="2269"/>
      <c r="D263" s="2269"/>
      <c r="E263" s="2269"/>
      <c r="F263" s="2269"/>
      <c r="G263" s="2269"/>
      <c r="H263" s="2269"/>
      <c r="I263" s="2269"/>
      <c r="J263" s="2269"/>
      <c r="K263" s="2269"/>
      <c r="L263" s="2269"/>
      <c r="M263" s="2269"/>
      <c r="N263" s="2269"/>
      <c r="O263" s="2269"/>
      <c r="P263" s="2269"/>
      <c r="Q263" s="2269"/>
      <c r="R263" s="2269"/>
      <c r="S263" s="2269"/>
      <c r="T263" s="2269"/>
      <c r="U263" s="2269"/>
    </row>
    <row r="266" spans="2:22" ht="23.25">
      <c r="C266" s="2456" t="s">
        <v>1923</v>
      </c>
      <c r="D266" s="2456"/>
      <c r="E266" s="2456"/>
      <c r="F266" s="2456"/>
      <c r="G266" s="2456"/>
      <c r="H266" s="2456"/>
      <c r="I266" s="2456"/>
      <c r="J266" s="2456"/>
      <c r="K266" s="2456"/>
      <c r="L266" s="2456"/>
      <c r="M266" s="2456"/>
      <c r="N266" s="2456"/>
      <c r="O266" s="2456"/>
      <c r="P266" s="2456"/>
      <c r="Q266" s="2456"/>
      <c r="R266" s="1137"/>
      <c r="S266" s="470"/>
    </row>
    <row r="267" spans="2:22" ht="15">
      <c r="C267" s="1962" t="s">
        <v>516</v>
      </c>
      <c r="D267" s="1963" t="s">
        <v>539</v>
      </c>
      <c r="E267" s="1964" t="s">
        <v>546</v>
      </c>
      <c r="F267" s="1964" t="s">
        <v>551</v>
      </c>
      <c r="G267" s="1964" t="s">
        <v>561</v>
      </c>
      <c r="H267" s="1964" t="s">
        <v>577</v>
      </c>
      <c r="I267" s="1964" t="s">
        <v>582</v>
      </c>
      <c r="J267" s="1964" t="s">
        <v>601</v>
      </c>
      <c r="K267" s="1964" t="s">
        <v>662</v>
      </c>
      <c r="L267" s="1964" t="s">
        <v>611</v>
      </c>
      <c r="M267" s="1964" t="s">
        <v>620</v>
      </c>
      <c r="N267" s="1964" t="s">
        <v>627</v>
      </c>
      <c r="O267" s="1964" t="s">
        <v>633</v>
      </c>
      <c r="P267" s="1964" t="s">
        <v>663</v>
      </c>
      <c r="Q267" s="1965" t="s">
        <v>640</v>
      </c>
      <c r="R267" s="1136"/>
      <c r="S267" s="647"/>
    </row>
    <row r="268" spans="2:22" ht="15">
      <c r="C268" s="1962" t="s">
        <v>522</v>
      </c>
      <c r="D268" s="1963" t="s">
        <v>363</v>
      </c>
      <c r="E268" s="1964" t="s">
        <v>541</v>
      </c>
      <c r="F268" s="1964" t="s">
        <v>661</v>
      </c>
      <c r="G268" s="1964" t="s">
        <v>566</v>
      </c>
      <c r="H268" s="1964" t="s">
        <v>590</v>
      </c>
      <c r="I268" s="1964" t="s">
        <v>587</v>
      </c>
      <c r="J268" s="1964" t="s">
        <v>604</v>
      </c>
      <c r="K268" s="1964" t="s">
        <v>571</v>
      </c>
      <c r="L268" s="1964" t="s">
        <v>614</v>
      </c>
      <c r="M268" s="1964" t="s">
        <v>623</v>
      </c>
      <c r="N268" s="1867" t="s">
        <v>629</v>
      </c>
      <c r="O268" s="1964" t="s">
        <v>635</v>
      </c>
      <c r="P268" s="1964" t="s">
        <v>583</v>
      </c>
      <c r="Q268" s="1965" t="s">
        <v>641</v>
      </c>
      <c r="R268" s="1136"/>
      <c r="S268" s="647"/>
    </row>
    <row r="269" spans="2:22" ht="15">
      <c r="C269" s="1962" t="s">
        <v>529</v>
      </c>
      <c r="D269" s="1963" t="s">
        <v>534</v>
      </c>
      <c r="E269" s="1964" t="s">
        <v>545</v>
      </c>
      <c r="F269" s="1964" t="s">
        <v>556</v>
      </c>
      <c r="G269" s="1964" t="s">
        <v>572</v>
      </c>
      <c r="H269" s="1964" t="s">
        <v>603</v>
      </c>
      <c r="I269" s="1964" t="s">
        <v>597</v>
      </c>
      <c r="J269" s="1964" t="s">
        <v>552</v>
      </c>
      <c r="K269" s="1964" t="s">
        <v>565</v>
      </c>
      <c r="L269" s="1964" t="s">
        <v>617</v>
      </c>
      <c r="M269" s="1964" t="s">
        <v>619</v>
      </c>
      <c r="N269" s="1964" t="s">
        <v>631</v>
      </c>
      <c r="O269" s="1964" t="s">
        <v>1924</v>
      </c>
      <c r="P269" s="1964" t="s">
        <v>639</v>
      </c>
      <c r="Q269" s="1965" t="s">
        <v>642</v>
      </c>
      <c r="R269" s="595"/>
      <c r="S269" s="647"/>
    </row>
    <row r="270" spans="2:22">
      <c r="C270" s="598"/>
      <c r="D270" s="598"/>
      <c r="E270" s="598"/>
      <c r="F270" s="598"/>
      <c r="G270" s="598"/>
      <c r="H270" s="598"/>
      <c r="I270" s="598"/>
      <c r="J270" s="598"/>
      <c r="K270" s="598"/>
      <c r="L270" s="598"/>
      <c r="M270" s="598"/>
      <c r="N270" s="598"/>
      <c r="O270" s="598"/>
      <c r="P270" s="598"/>
      <c r="Q270" s="598"/>
      <c r="R270" s="441"/>
    </row>
    <row r="271" spans="2:22" ht="23.25">
      <c r="C271" s="2457" t="s">
        <v>925</v>
      </c>
      <c r="D271" s="2457"/>
      <c r="E271" s="2457"/>
      <c r="F271" s="2457"/>
      <c r="G271" s="2457"/>
      <c r="H271" s="2457"/>
      <c r="I271" s="2457"/>
      <c r="J271" s="2457"/>
      <c r="K271" s="2457"/>
      <c r="L271" s="2457"/>
      <c r="M271" s="2457"/>
      <c r="N271" s="2457"/>
      <c r="O271" s="2457"/>
      <c r="P271" s="2457"/>
      <c r="Q271" s="2457"/>
      <c r="R271" s="1137"/>
      <c r="S271" s="470"/>
    </row>
    <row r="272" spans="2:22" ht="15">
      <c r="C272" s="591" t="s">
        <v>525</v>
      </c>
      <c r="D272" s="592" t="s">
        <v>543</v>
      </c>
      <c r="E272" s="646" t="s">
        <v>550</v>
      </c>
      <c r="F272" s="646" t="s">
        <v>558</v>
      </c>
      <c r="G272" s="646" t="s">
        <v>580</v>
      </c>
      <c r="H272" s="646" t="s">
        <v>613</v>
      </c>
      <c r="I272" s="646" t="s">
        <v>549</v>
      </c>
      <c r="J272" s="646" t="s">
        <v>622</v>
      </c>
      <c r="K272" s="646" t="s">
        <v>624</v>
      </c>
      <c r="L272" s="646" t="s">
        <v>628</v>
      </c>
      <c r="M272" s="646" t="s">
        <v>928</v>
      </c>
      <c r="N272" s="646" t="s">
        <v>588</v>
      </c>
      <c r="O272" s="646" t="s">
        <v>930</v>
      </c>
      <c r="P272" s="646" t="s">
        <v>596</v>
      </c>
      <c r="Q272" s="593" t="s">
        <v>638</v>
      </c>
      <c r="R272" s="1136"/>
      <c r="S272" s="647"/>
    </row>
    <row r="273" spans="3:21" ht="15">
      <c r="C273" s="591" t="s">
        <v>520</v>
      </c>
      <c r="D273" s="592" t="s">
        <v>548</v>
      </c>
      <c r="E273" s="646" t="s">
        <v>554</v>
      </c>
      <c r="F273" s="646" t="s">
        <v>575</v>
      </c>
      <c r="G273" s="646" t="s">
        <v>595</v>
      </c>
      <c r="H273" s="646" t="s">
        <v>926</v>
      </c>
      <c r="I273" s="646" t="s">
        <v>559</v>
      </c>
      <c r="J273" s="646" t="s">
        <v>567</v>
      </c>
      <c r="K273" s="646" t="s">
        <v>927</v>
      </c>
      <c r="L273" s="646" t="s">
        <v>630</v>
      </c>
      <c r="M273" s="646" t="s">
        <v>929</v>
      </c>
      <c r="N273" s="646" t="s">
        <v>581</v>
      </c>
      <c r="O273" s="646" t="s">
        <v>586</v>
      </c>
      <c r="P273" s="646" t="s">
        <v>600</v>
      </c>
      <c r="Q273" s="646"/>
      <c r="R273" s="1136"/>
      <c r="S273" s="647"/>
    </row>
    <row r="274" spans="3:21">
      <c r="C274" s="598"/>
      <c r="D274" s="598"/>
      <c r="E274" s="598"/>
      <c r="F274" s="598"/>
      <c r="G274" s="598"/>
      <c r="H274" s="598"/>
      <c r="I274" s="598"/>
      <c r="J274" s="598"/>
      <c r="K274" s="598"/>
      <c r="L274" s="598"/>
      <c r="M274" s="598"/>
      <c r="N274" s="598"/>
      <c r="O274" s="598"/>
      <c r="P274" s="598"/>
      <c r="Q274" s="598"/>
      <c r="R274" s="441"/>
    </row>
    <row r="276" spans="3:21" ht="50.45" customHeight="1">
      <c r="C276" s="2364" t="s">
        <v>794</v>
      </c>
      <c r="D276" s="2364"/>
      <c r="E276" s="2364"/>
      <c r="F276" s="2364"/>
      <c r="G276" s="2364"/>
      <c r="H276" s="2364"/>
      <c r="I276" s="2364"/>
      <c r="J276" s="2364"/>
      <c r="K276" s="2364"/>
      <c r="L276" s="2364"/>
      <c r="M276" s="2364"/>
      <c r="O276" s="2364" t="s">
        <v>794</v>
      </c>
      <c r="P276" s="2364"/>
      <c r="Q276" s="2364"/>
      <c r="R276" s="2364"/>
      <c r="S276" s="2364"/>
    </row>
    <row r="277" spans="3:21" ht="60" customHeight="1">
      <c r="C277" s="2433" t="s">
        <v>931</v>
      </c>
      <c r="D277" s="2434"/>
      <c r="E277" s="2434"/>
      <c r="F277" s="2434"/>
      <c r="G277" s="2434"/>
      <c r="H277" s="2434"/>
      <c r="I277" s="2434"/>
      <c r="J277" s="2434"/>
      <c r="K277" s="2434"/>
      <c r="L277" s="2434"/>
      <c r="M277" s="2435"/>
      <c r="O277" s="2391" t="s">
        <v>932</v>
      </c>
      <c r="P277" s="2391"/>
      <c r="Q277" s="2391"/>
      <c r="R277" s="2391"/>
      <c r="S277" s="2391"/>
      <c r="T277" s="470"/>
      <c r="U277" s="470"/>
    </row>
    <row r="278" spans="3:21" ht="22.9" customHeight="1">
      <c r="C278" s="2374" t="s">
        <v>311</v>
      </c>
      <c r="D278" s="2374"/>
      <c r="E278" s="2374" t="s">
        <v>312</v>
      </c>
      <c r="F278" s="2374"/>
      <c r="G278" s="2374" t="s">
        <v>327</v>
      </c>
      <c r="H278" s="2374"/>
      <c r="I278" s="2374" t="s">
        <v>496</v>
      </c>
      <c r="J278" s="2374"/>
      <c r="K278" s="2374" t="s">
        <v>515</v>
      </c>
      <c r="L278" s="2374"/>
      <c r="M278" s="648" t="s">
        <v>498</v>
      </c>
      <c r="O278" s="2369" t="s">
        <v>1919</v>
      </c>
      <c r="P278" s="2369"/>
      <c r="Q278" s="2369" t="s">
        <v>312</v>
      </c>
      <c r="R278" s="2369"/>
      <c r="S278" s="1840" t="s">
        <v>327</v>
      </c>
      <c r="T278" s="470"/>
      <c r="U278" s="470"/>
    </row>
    <row r="279" spans="3:21">
      <c r="C279" s="649"/>
      <c r="D279" s="650"/>
      <c r="E279" s="649"/>
      <c r="F279" s="650"/>
      <c r="G279" s="649"/>
      <c r="H279" s="650"/>
      <c r="I279" s="649"/>
      <c r="J279" s="650"/>
      <c r="K279" s="649"/>
      <c r="L279" s="650"/>
      <c r="M279" s="651"/>
      <c r="O279" s="1966"/>
      <c r="P279" s="1967"/>
      <c r="Q279" s="1966"/>
      <c r="R279" s="1967"/>
      <c r="S279" s="651"/>
      <c r="T279" s="522"/>
    </row>
    <row r="280" spans="3:21" ht="15">
      <c r="C280" s="2314" t="s">
        <v>516</v>
      </c>
      <c r="D280" s="2313"/>
      <c r="E280" s="2312" t="s">
        <v>517</v>
      </c>
      <c r="F280" s="2313"/>
      <c r="G280" s="2312" t="s">
        <v>518</v>
      </c>
      <c r="H280" s="2313"/>
      <c r="I280" s="2312" t="s">
        <v>519</v>
      </c>
      <c r="J280" s="2313"/>
      <c r="K280" s="2312" t="s">
        <v>520</v>
      </c>
      <c r="L280" s="2313"/>
      <c r="M280" s="652" t="s">
        <v>521</v>
      </c>
      <c r="N280" s="441"/>
      <c r="O280" s="2370" t="s">
        <v>516</v>
      </c>
      <c r="P280" s="2371"/>
      <c r="Q280" s="2372" t="s">
        <v>517</v>
      </c>
      <c r="R280" s="2373"/>
      <c r="S280" s="653" t="s">
        <v>521</v>
      </c>
      <c r="T280" s="647"/>
    </row>
    <row r="281" spans="3:21" ht="15">
      <c r="C281" s="2314" t="s">
        <v>522</v>
      </c>
      <c r="D281" s="2313"/>
      <c r="E281" s="2312" t="s">
        <v>523</v>
      </c>
      <c r="F281" s="2313"/>
      <c r="G281" s="2312" t="s">
        <v>524</v>
      </c>
      <c r="H281" s="2313"/>
      <c r="I281" s="2312" t="s">
        <v>525</v>
      </c>
      <c r="J281" s="2313"/>
      <c r="K281" s="2312" t="s">
        <v>526</v>
      </c>
      <c r="L281" s="2313" t="s">
        <v>362</v>
      </c>
      <c r="M281" s="652" t="s">
        <v>527</v>
      </c>
      <c r="N281" s="441"/>
      <c r="O281" s="2370" t="s">
        <v>522</v>
      </c>
      <c r="P281" s="2371"/>
      <c r="Q281" s="2372" t="s">
        <v>528</v>
      </c>
      <c r="R281" s="2373"/>
      <c r="S281" s="653" t="s">
        <v>527</v>
      </c>
      <c r="T281" s="647"/>
    </row>
    <row r="282" spans="3:21" ht="15">
      <c r="C282" s="2314" t="s">
        <v>529</v>
      </c>
      <c r="D282" s="2313"/>
      <c r="E282" s="2312" t="s">
        <v>530</v>
      </c>
      <c r="F282" s="2313"/>
      <c r="G282" s="2312" t="s">
        <v>531</v>
      </c>
      <c r="H282" s="2313"/>
      <c r="I282" s="2312" t="s">
        <v>532</v>
      </c>
      <c r="J282" s="2313"/>
      <c r="K282" s="2312" t="s">
        <v>533</v>
      </c>
      <c r="L282" s="2313" t="s">
        <v>362</v>
      </c>
      <c r="M282" s="652"/>
      <c r="N282" s="441"/>
      <c r="O282" s="2370" t="s">
        <v>529</v>
      </c>
      <c r="P282" s="2371"/>
      <c r="Q282" s="2372" t="s">
        <v>1925</v>
      </c>
      <c r="R282" s="2373"/>
      <c r="S282" s="653" t="s">
        <v>362</v>
      </c>
      <c r="T282" s="647"/>
    </row>
    <row r="283" spans="3:21" ht="15">
      <c r="C283" s="2314" t="s">
        <v>534</v>
      </c>
      <c r="D283" s="2313"/>
      <c r="E283" s="2312" t="s">
        <v>535</v>
      </c>
      <c r="F283" s="2313"/>
      <c r="G283" s="2312" t="s">
        <v>536</v>
      </c>
      <c r="H283" s="2313"/>
      <c r="I283" s="2312" t="s">
        <v>537</v>
      </c>
      <c r="J283" s="2313"/>
      <c r="K283" s="2312" t="s">
        <v>538</v>
      </c>
      <c r="L283" s="2313" t="s">
        <v>362</v>
      </c>
      <c r="M283" s="652"/>
      <c r="N283" s="441"/>
      <c r="O283" s="2370" t="s">
        <v>539</v>
      </c>
      <c r="P283" s="2371"/>
      <c r="Q283" s="2372" t="s">
        <v>540</v>
      </c>
      <c r="R283" s="2373"/>
      <c r="S283" s="653" t="s">
        <v>362</v>
      </c>
      <c r="T283" s="647"/>
    </row>
    <row r="284" spans="3:21" ht="15">
      <c r="C284" s="2314" t="s">
        <v>541</v>
      </c>
      <c r="D284" s="2313"/>
      <c r="E284" s="2312" t="s">
        <v>539</v>
      </c>
      <c r="F284" s="2313"/>
      <c r="G284" s="2312" t="s">
        <v>542</v>
      </c>
      <c r="H284" s="2313"/>
      <c r="I284" s="2312" t="s">
        <v>543</v>
      </c>
      <c r="J284" s="2313"/>
      <c r="K284" s="2312" t="s">
        <v>544</v>
      </c>
      <c r="L284" s="2313" t="s">
        <v>362</v>
      </c>
      <c r="M284" s="652"/>
      <c r="N284" s="441"/>
      <c r="O284" s="2370" t="s">
        <v>546</v>
      </c>
      <c r="P284" s="2371"/>
      <c r="Q284" s="2372" t="s">
        <v>535</v>
      </c>
      <c r="R284" s="2373"/>
      <c r="S284" s="653" t="s">
        <v>362</v>
      </c>
      <c r="T284" s="647"/>
    </row>
    <row r="285" spans="3:21" ht="15">
      <c r="C285" s="2314" t="s">
        <v>545</v>
      </c>
      <c r="D285" s="2313"/>
      <c r="E285" s="2312" t="s">
        <v>546</v>
      </c>
      <c r="F285" s="2313"/>
      <c r="G285" s="2312" t="s">
        <v>547</v>
      </c>
      <c r="H285" s="2313"/>
      <c r="I285" s="2312" t="s">
        <v>548</v>
      </c>
      <c r="J285" s="2313"/>
      <c r="K285" s="2312" t="s">
        <v>549</v>
      </c>
      <c r="L285" s="2313" t="s">
        <v>362</v>
      </c>
      <c r="M285" s="652"/>
      <c r="N285" s="441"/>
      <c r="O285" s="2370" t="s">
        <v>534</v>
      </c>
      <c r="P285" s="2371"/>
      <c r="Q285" s="2372" t="s">
        <v>550</v>
      </c>
      <c r="R285" s="2373"/>
      <c r="S285" s="653" t="s">
        <v>362</v>
      </c>
      <c r="T285" s="647"/>
    </row>
    <row r="286" spans="3:21" ht="15.6" customHeight="1">
      <c r="C286" s="2314" t="s">
        <v>551</v>
      </c>
      <c r="D286" s="2313"/>
      <c r="E286" s="2312" t="s">
        <v>552</v>
      </c>
      <c r="F286" s="2313"/>
      <c r="G286" s="2312" t="s">
        <v>553</v>
      </c>
      <c r="H286" s="2313"/>
      <c r="I286" s="2312" t="s">
        <v>554</v>
      </c>
      <c r="J286" s="2313"/>
      <c r="K286" s="2312" t="s">
        <v>555</v>
      </c>
      <c r="L286" s="2313" t="s">
        <v>362</v>
      </c>
      <c r="M286" s="652"/>
      <c r="N286" s="441"/>
      <c r="O286" s="2370" t="s">
        <v>541</v>
      </c>
      <c r="P286" s="2371"/>
      <c r="Q286" s="2372" t="s">
        <v>137</v>
      </c>
      <c r="R286" s="2373"/>
      <c r="S286" s="653" t="s">
        <v>362</v>
      </c>
      <c r="T286" s="647"/>
    </row>
    <row r="287" spans="3:21" ht="15.6" customHeight="1">
      <c r="C287" s="2314" t="s">
        <v>556</v>
      </c>
      <c r="D287" s="2313"/>
      <c r="E287" s="2312" t="s">
        <v>557</v>
      </c>
      <c r="F287" s="2313"/>
      <c r="G287" s="2312" t="s">
        <v>550</v>
      </c>
      <c r="H287" s="2313"/>
      <c r="I287" s="2312" t="s">
        <v>558</v>
      </c>
      <c r="J287" s="2313"/>
      <c r="K287" s="2312" t="s">
        <v>559</v>
      </c>
      <c r="L287" s="2313" t="s">
        <v>362</v>
      </c>
      <c r="M287" s="652"/>
      <c r="N287" s="441"/>
      <c r="O287" s="2370" t="s">
        <v>556</v>
      </c>
      <c r="P287" s="2371"/>
      <c r="Q287" s="2372" t="s">
        <v>552</v>
      </c>
      <c r="R287" s="2373"/>
      <c r="S287" s="653" t="s">
        <v>362</v>
      </c>
      <c r="T287" s="647"/>
    </row>
    <row r="288" spans="3:21" ht="15.6" customHeight="1">
      <c r="C288" s="2314" t="s">
        <v>561</v>
      </c>
      <c r="D288" s="2313"/>
      <c r="E288" s="2312" t="s">
        <v>562</v>
      </c>
      <c r="F288" s="2313"/>
      <c r="G288" s="2312" t="s">
        <v>137</v>
      </c>
      <c r="H288" s="2313"/>
      <c r="I288" s="2312" t="s">
        <v>563</v>
      </c>
      <c r="J288" s="2313"/>
      <c r="K288" s="2312" t="s">
        <v>564</v>
      </c>
      <c r="L288" s="2313" t="s">
        <v>362</v>
      </c>
      <c r="M288" s="652"/>
      <c r="N288" s="441"/>
      <c r="O288" s="2370" t="s">
        <v>545</v>
      </c>
      <c r="P288" s="2371"/>
      <c r="Q288" s="2372" t="s">
        <v>560</v>
      </c>
      <c r="R288" s="2373"/>
      <c r="S288" s="653" t="s">
        <v>362</v>
      </c>
      <c r="T288" s="647"/>
    </row>
    <row r="289" spans="3:20" ht="15.6" customHeight="1">
      <c r="C289" s="2314" t="s">
        <v>566</v>
      </c>
      <c r="D289" s="2313"/>
      <c r="E289" s="2312" t="s">
        <v>567</v>
      </c>
      <c r="F289" s="2313"/>
      <c r="G289" s="2312" t="s">
        <v>568</v>
      </c>
      <c r="H289" s="2313"/>
      <c r="I289" s="2312" t="s">
        <v>569</v>
      </c>
      <c r="J289" s="2313"/>
      <c r="K289" s="2312" t="s">
        <v>570</v>
      </c>
      <c r="L289" s="2313" t="s">
        <v>362</v>
      </c>
      <c r="M289" s="652"/>
      <c r="N289" s="441"/>
      <c r="O289" s="2370" t="s">
        <v>551</v>
      </c>
      <c r="P289" s="2371"/>
      <c r="Q289" s="2372" t="s">
        <v>565</v>
      </c>
      <c r="R289" s="2373"/>
      <c r="S289" s="653" t="s">
        <v>362</v>
      </c>
      <c r="T289" s="647"/>
    </row>
    <row r="290" spans="3:20" ht="15.6" customHeight="1">
      <c r="C290" s="2314" t="s">
        <v>572</v>
      </c>
      <c r="D290" s="2313"/>
      <c r="E290" s="2312" t="s">
        <v>573</v>
      </c>
      <c r="F290" s="2313"/>
      <c r="G290" s="2312" t="s">
        <v>574</v>
      </c>
      <c r="H290" s="2313"/>
      <c r="I290" s="2312" t="s">
        <v>575</v>
      </c>
      <c r="J290" s="2313"/>
      <c r="K290" s="2312" t="s">
        <v>576</v>
      </c>
      <c r="L290" s="2313" t="s">
        <v>362</v>
      </c>
      <c r="M290" s="652"/>
      <c r="N290" s="441"/>
      <c r="O290" s="2370" t="s">
        <v>1926</v>
      </c>
      <c r="P290" s="2371"/>
      <c r="Q290" s="2372" t="s">
        <v>571</v>
      </c>
      <c r="R290" s="2373"/>
      <c r="S290" s="653" t="s">
        <v>362</v>
      </c>
      <c r="T290" s="647"/>
    </row>
    <row r="291" spans="3:20" ht="15">
      <c r="C291" s="2314" t="s">
        <v>577</v>
      </c>
      <c r="D291" s="2313"/>
      <c r="E291" s="2312" t="s">
        <v>578</v>
      </c>
      <c r="F291" s="2313"/>
      <c r="G291" s="2312" t="s">
        <v>579</v>
      </c>
      <c r="H291" s="2313"/>
      <c r="I291" s="2312" t="s">
        <v>580</v>
      </c>
      <c r="J291" s="2313"/>
      <c r="K291" s="2312" t="s">
        <v>581</v>
      </c>
      <c r="L291" s="2313" t="s">
        <v>362</v>
      </c>
      <c r="M291" s="652"/>
      <c r="N291" s="441"/>
      <c r="O291" s="2370" t="s">
        <v>1927</v>
      </c>
      <c r="P291" s="2371"/>
      <c r="Q291" s="2372" t="s">
        <v>562</v>
      </c>
      <c r="R291" s="2373"/>
      <c r="S291" s="653" t="s">
        <v>362</v>
      </c>
      <c r="T291" s="647"/>
    </row>
    <row r="292" spans="3:20" ht="15.6" customHeight="1">
      <c r="C292" s="2314" t="s">
        <v>582</v>
      </c>
      <c r="D292" s="2313"/>
      <c r="E292" s="2312" t="s">
        <v>583</v>
      </c>
      <c r="F292" s="2313"/>
      <c r="G292" s="2312" t="s">
        <v>584</v>
      </c>
      <c r="H292" s="2313"/>
      <c r="I292" s="2312" t="s">
        <v>585</v>
      </c>
      <c r="J292" s="2313"/>
      <c r="K292" s="2312" t="s">
        <v>586</v>
      </c>
      <c r="L292" s="2313" t="s">
        <v>362</v>
      </c>
      <c r="M292" s="652"/>
      <c r="N292" s="441"/>
      <c r="O292" s="2370" t="s">
        <v>577</v>
      </c>
      <c r="P292" s="2371"/>
      <c r="Q292" s="2372" t="s">
        <v>567</v>
      </c>
      <c r="R292" s="2373"/>
      <c r="S292" s="653" t="s">
        <v>362</v>
      </c>
      <c r="T292" s="647"/>
    </row>
    <row r="293" spans="3:20" ht="15">
      <c r="C293" s="2314" t="s">
        <v>587</v>
      </c>
      <c r="D293" s="2313"/>
      <c r="E293" s="2312" t="s">
        <v>588</v>
      </c>
      <c r="F293" s="2313"/>
      <c r="G293" s="2312" t="s">
        <v>589</v>
      </c>
      <c r="H293" s="2313"/>
      <c r="I293" s="2312" t="s">
        <v>590</v>
      </c>
      <c r="J293" s="2313"/>
      <c r="K293" s="2312" t="s">
        <v>591</v>
      </c>
      <c r="L293" s="2313" t="s">
        <v>362</v>
      </c>
      <c r="M293" s="652"/>
      <c r="N293" s="441"/>
      <c r="O293" s="2370" t="s">
        <v>587</v>
      </c>
      <c r="P293" s="2371"/>
      <c r="Q293" s="2372" t="s">
        <v>625</v>
      </c>
      <c r="R293" s="2373"/>
      <c r="S293" s="653" t="s">
        <v>362</v>
      </c>
      <c r="T293" s="647"/>
    </row>
    <row r="294" spans="3:20" ht="15">
      <c r="C294" s="2314" t="s">
        <v>571</v>
      </c>
      <c r="D294" s="2313"/>
      <c r="E294" s="2312" t="s">
        <v>593</v>
      </c>
      <c r="F294" s="2313"/>
      <c r="G294" s="2312" t="s">
        <v>594</v>
      </c>
      <c r="H294" s="2313"/>
      <c r="I294" s="2312" t="s">
        <v>595</v>
      </c>
      <c r="J294" s="2313"/>
      <c r="K294" s="753" t="s">
        <v>362</v>
      </c>
      <c r="L294" s="655" t="s">
        <v>362</v>
      </c>
      <c r="M294" s="652"/>
      <c r="N294" s="441"/>
      <c r="O294" s="2370" t="s">
        <v>597</v>
      </c>
      <c r="P294" s="2371"/>
      <c r="Q294" s="2372" t="s">
        <v>578</v>
      </c>
      <c r="R294" s="2373"/>
      <c r="S294" s="653" t="s">
        <v>362</v>
      </c>
      <c r="T294" s="647"/>
    </row>
    <row r="295" spans="3:20" ht="15.6" customHeight="1">
      <c r="C295" s="2314" t="s">
        <v>597</v>
      </c>
      <c r="D295" s="2313"/>
      <c r="E295" s="2312" t="s">
        <v>592</v>
      </c>
      <c r="F295" s="2313"/>
      <c r="G295" s="2312" t="s">
        <v>598</v>
      </c>
      <c r="H295" s="2313"/>
      <c r="I295" s="2312" t="s">
        <v>599</v>
      </c>
      <c r="J295" s="2313"/>
      <c r="K295" s="753" t="s">
        <v>362</v>
      </c>
      <c r="L295" s="655" t="s">
        <v>362</v>
      </c>
      <c r="M295" s="652"/>
      <c r="N295" s="441"/>
      <c r="O295" s="2370" t="s">
        <v>601</v>
      </c>
      <c r="P295" s="2371"/>
      <c r="Q295" s="2372" t="s">
        <v>592</v>
      </c>
      <c r="R295" s="2373"/>
      <c r="S295" s="653" t="s">
        <v>362</v>
      </c>
      <c r="T295" s="647"/>
    </row>
    <row r="296" spans="3:20" ht="15.6" customHeight="1">
      <c r="C296" s="2314" t="s">
        <v>601</v>
      </c>
      <c r="D296" s="2313"/>
      <c r="E296" s="2312" t="s">
        <v>596</v>
      </c>
      <c r="F296" s="2313"/>
      <c r="G296" s="2312" t="s">
        <v>602</v>
      </c>
      <c r="H296" s="2313"/>
      <c r="I296" s="2312" t="s">
        <v>603</v>
      </c>
      <c r="J296" s="2313"/>
      <c r="K296" s="753" t="s">
        <v>362</v>
      </c>
      <c r="L296" s="655" t="s">
        <v>362</v>
      </c>
      <c r="M296" s="652"/>
      <c r="N296" s="441"/>
      <c r="O296" s="2370" t="s">
        <v>604</v>
      </c>
      <c r="P296" s="2371"/>
      <c r="Q296" s="2372" t="s">
        <v>641</v>
      </c>
      <c r="R296" s="2373"/>
      <c r="S296" s="653" t="s">
        <v>362</v>
      </c>
      <c r="T296" s="647"/>
    </row>
    <row r="297" spans="3:20" ht="15.6" customHeight="1">
      <c r="C297" s="2314" t="s">
        <v>604</v>
      </c>
      <c r="D297" s="2313"/>
      <c r="E297" s="2312" t="s">
        <v>600</v>
      </c>
      <c r="F297" s="2313"/>
      <c r="G297" s="2312" t="s">
        <v>605</v>
      </c>
      <c r="H297" s="2313"/>
      <c r="I297" s="2312" t="s">
        <v>606</v>
      </c>
      <c r="J297" s="2313"/>
      <c r="K297" s="753" t="s">
        <v>362</v>
      </c>
      <c r="L297" s="655" t="s">
        <v>362</v>
      </c>
      <c r="M297" s="652"/>
      <c r="N297" s="441"/>
      <c r="O297" s="2370" t="s">
        <v>611</v>
      </c>
      <c r="P297" s="2371"/>
      <c r="Q297" s="2372" t="s">
        <v>596</v>
      </c>
      <c r="R297" s="2373"/>
      <c r="S297" s="653" t="s">
        <v>362</v>
      </c>
      <c r="T297" s="647"/>
    </row>
    <row r="298" spans="3:20" ht="15">
      <c r="C298" s="2314" t="s">
        <v>607</v>
      </c>
      <c r="D298" s="2313"/>
      <c r="E298" s="2312" t="s">
        <v>608</v>
      </c>
      <c r="F298" s="2313"/>
      <c r="G298" s="2312" t="s">
        <v>609</v>
      </c>
      <c r="H298" s="2313"/>
      <c r="I298" s="2312" t="s">
        <v>610</v>
      </c>
      <c r="J298" s="2313"/>
      <c r="K298" s="753" t="s">
        <v>362</v>
      </c>
      <c r="L298" s="655" t="s">
        <v>362</v>
      </c>
      <c r="M298" s="652"/>
      <c r="N298" s="441"/>
      <c r="O298" s="2370" t="s">
        <v>614</v>
      </c>
      <c r="P298" s="2371"/>
      <c r="Q298" s="2372" t="s">
        <v>600</v>
      </c>
      <c r="R298" s="2373"/>
      <c r="S298" s="653" t="s">
        <v>362</v>
      </c>
      <c r="T298" s="647"/>
    </row>
    <row r="299" spans="3:20" ht="15">
      <c r="C299" s="2314" t="s">
        <v>611</v>
      </c>
      <c r="D299" s="2313"/>
      <c r="E299" s="578"/>
      <c r="F299" s="580"/>
      <c r="G299" s="2312" t="s">
        <v>612</v>
      </c>
      <c r="H299" s="2313"/>
      <c r="I299" s="2312" t="s">
        <v>613</v>
      </c>
      <c r="J299" s="2313"/>
      <c r="K299" s="753" t="s">
        <v>362</v>
      </c>
      <c r="L299" s="655" t="s">
        <v>362</v>
      </c>
      <c r="M299" s="652"/>
      <c r="N299" s="441"/>
      <c r="O299" s="2370" t="s">
        <v>617</v>
      </c>
      <c r="P299" s="2371"/>
      <c r="Q299" s="1968"/>
      <c r="R299" s="1969"/>
      <c r="S299" s="653" t="s">
        <v>362</v>
      </c>
      <c r="T299" s="647"/>
    </row>
    <row r="300" spans="3:20" ht="15">
      <c r="C300" s="2314" t="s">
        <v>614</v>
      </c>
      <c r="D300" s="2313"/>
      <c r="E300" s="578"/>
      <c r="F300" s="580"/>
      <c r="G300" s="2312" t="s">
        <v>615</v>
      </c>
      <c r="H300" s="2313"/>
      <c r="I300" s="2312" t="s">
        <v>616</v>
      </c>
      <c r="J300" s="2313"/>
      <c r="K300" s="753" t="s">
        <v>362</v>
      </c>
      <c r="L300" s="655" t="s">
        <v>362</v>
      </c>
      <c r="M300" s="652"/>
      <c r="N300" s="441"/>
      <c r="O300" s="2370" t="s">
        <v>620</v>
      </c>
      <c r="P300" s="2371"/>
      <c r="Q300" s="1968"/>
      <c r="R300" s="1969"/>
      <c r="S300" s="653" t="s">
        <v>362</v>
      </c>
      <c r="T300" s="647"/>
    </row>
    <row r="301" spans="3:20" ht="15">
      <c r="C301" s="2314" t="s">
        <v>617</v>
      </c>
      <c r="D301" s="2313"/>
      <c r="E301" s="578"/>
      <c r="F301" s="580"/>
      <c r="G301" s="2312" t="s">
        <v>618</v>
      </c>
      <c r="H301" s="2313"/>
      <c r="I301" s="2312" t="s">
        <v>619</v>
      </c>
      <c r="J301" s="2313"/>
      <c r="K301" s="753" t="s">
        <v>362</v>
      </c>
      <c r="L301" s="655" t="s">
        <v>362</v>
      </c>
      <c r="M301" s="652"/>
      <c r="N301" s="441"/>
      <c r="O301" s="2370" t="s">
        <v>623</v>
      </c>
      <c r="P301" s="2371"/>
      <c r="Q301" s="1968"/>
      <c r="R301" s="1969"/>
      <c r="S301" s="653" t="s">
        <v>362</v>
      </c>
      <c r="T301" s="647"/>
    </row>
    <row r="302" spans="3:20" ht="15" customHeight="1">
      <c r="C302" s="2314" t="s">
        <v>620</v>
      </c>
      <c r="D302" s="2313"/>
      <c r="E302" s="578"/>
      <c r="F302" s="580"/>
      <c r="G302" s="2312" t="s">
        <v>621</v>
      </c>
      <c r="H302" s="2313"/>
      <c r="I302" s="2312" t="s">
        <v>622</v>
      </c>
      <c r="J302" s="2313"/>
      <c r="K302" s="753" t="s">
        <v>362</v>
      </c>
      <c r="L302" s="655" t="s">
        <v>362</v>
      </c>
      <c r="M302" s="652"/>
      <c r="N302" s="441"/>
      <c r="O302" s="2370" t="s">
        <v>627</v>
      </c>
      <c r="P302" s="2371"/>
      <c r="Q302" s="1968"/>
      <c r="R302" s="1969"/>
      <c r="S302" s="653" t="s">
        <v>362</v>
      </c>
      <c r="T302" s="647"/>
    </row>
    <row r="303" spans="3:20" ht="15" customHeight="1">
      <c r="C303" s="2314" t="s">
        <v>623</v>
      </c>
      <c r="D303" s="2313"/>
      <c r="E303" s="578"/>
      <c r="F303" s="580"/>
      <c r="G303" s="2312"/>
      <c r="H303" s="2313"/>
      <c r="I303" s="2312" t="s">
        <v>624</v>
      </c>
      <c r="J303" s="2313"/>
      <c r="K303" s="753" t="s">
        <v>362</v>
      </c>
      <c r="L303" s="655" t="s">
        <v>362</v>
      </c>
      <c r="M303" s="652"/>
      <c r="N303" s="441"/>
      <c r="O303" s="2370" t="s">
        <v>629</v>
      </c>
      <c r="P303" s="2371"/>
      <c r="Q303" s="1968"/>
      <c r="R303" s="1969"/>
      <c r="S303" s="653" t="s">
        <v>362</v>
      </c>
      <c r="T303" s="647"/>
    </row>
    <row r="304" spans="3:20" ht="15.6" customHeight="1">
      <c r="C304" s="2314" t="s">
        <v>625</v>
      </c>
      <c r="D304" s="2313"/>
      <c r="E304" s="578"/>
      <c r="F304" s="580"/>
      <c r="G304" s="2312"/>
      <c r="H304" s="2313"/>
      <c r="I304" s="2312" t="s">
        <v>626</v>
      </c>
      <c r="J304" s="2313"/>
      <c r="K304" s="753" t="s">
        <v>362</v>
      </c>
      <c r="L304" s="655" t="s">
        <v>362</v>
      </c>
      <c r="M304" s="652"/>
      <c r="N304" s="441"/>
      <c r="O304" s="2370" t="s">
        <v>631</v>
      </c>
      <c r="P304" s="2371"/>
      <c r="Q304" s="1968"/>
      <c r="R304" s="1969"/>
      <c r="S304" s="653" t="s">
        <v>362</v>
      </c>
      <c r="T304" s="647"/>
    </row>
    <row r="305" spans="3:20" ht="15">
      <c r="C305" s="2314" t="s">
        <v>627</v>
      </c>
      <c r="D305" s="2313"/>
      <c r="E305" s="578"/>
      <c r="F305" s="580"/>
      <c r="G305" s="2312"/>
      <c r="H305" s="2313"/>
      <c r="I305" s="2312" t="s">
        <v>628</v>
      </c>
      <c r="J305" s="2313"/>
      <c r="K305" s="753" t="s">
        <v>362</v>
      </c>
      <c r="L305" s="655" t="s">
        <v>362</v>
      </c>
      <c r="M305" s="652"/>
      <c r="N305" s="441"/>
      <c r="O305" s="2370" t="s">
        <v>1928</v>
      </c>
      <c r="P305" s="2371"/>
      <c r="Q305" s="1968"/>
      <c r="R305" s="1969"/>
      <c r="S305" s="653" t="s">
        <v>362</v>
      </c>
      <c r="T305" s="647"/>
    </row>
    <row r="306" spans="3:20" ht="15.6" customHeight="1">
      <c r="C306" s="2314" t="s">
        <v>629</v>
      </c>
      <c r="D306" s="2313"/>
      <c r="E306" s="578"/>
      <c r="F306" s="580"/>
      <c r="G306" s="2312"/>
      <c r="H306" s="2313"/>
      <c r="I306" s="2312" t="s">
        <v>630</v>
      </c>
      <c r="J306" s="2313"/>
      <c r="K306" s="753" t="s">
        <v>362</v>
      </c>
      <c r="L306" s="655" t="s">
        <v>362</v>
      </c>
      <c r="M306" s="652"/>
      <c r="N306" s="441"/>
      <c r="O306" s="2370" t="s">
        <v>1929</v>
      </c>
      <c r="P306" s="2371"/>
      <c r="Q306" s="1968"/>
      <c r="R306" s="1969"/>
      <c r="S306" s="653" t="s">
        <v>362</v>
      </c>
      <c r="T306" s="647"/>
    </row>
    <row r="307" spans="3:20" ht="15.6" customHeight="1">
      <c r="C307" s="2314" t="s">
        <v>631</v>
      </c>
      <c r="D307" s="2313"/>
      <c r="E307" s="578"/>
      <c r="F307" s="580"/>
      <c r="G307" s="2312"/>
      <c r="H307" s="2313"/>
      <c r="I307" s="2312" t="s">
        <v>632</v>
      </c>
      <c r="J307" s="2313"/>
      <c r="K307" s="753" t="s">
        <v>362</v>
      </c>
      <c r="L307" s="655" t="s">
        <v>362</v>
      </c>
      <c r="M307" s="652"/>
      <c r="N307" s="441"/>
      <c r="O307" s="2370" t="s">
        <v>637</v>
      </c>
      <c r="P307" s="2371"/>
      <c r="Q307" s="1968"/>
      <c r="R307" s="1969"/>
      <c r="S307" s="653" t="s">
        <v>362</v>
      </c>
      <c r="T307" s="647"/>
    </row>
    <row r="308" spans="3:20" ht="15.6" customHeight="1">
      <c r="C308" s="2314" t="s">
        <v>633</v>
      </c>
      <c r="D308" s="2313"/>
      <c r="E308" s="578"/>
      <c r="F308" s="580"/>
      <c r="G308" s="2312"/>
      <c r="H308" s="2313"/>
      <c r="I308" s="2312" t="s">
        <v>634</v>
      </c>
      <c r="J308" s="2313"/>
      <c r="K308" s="753" t="s">
        <v>362</v>
      </c>
      <c r="L308" s="655" t="s">
        <v>362</v>
      </c>
      <c r="M308" s="652"/>
      <c r="N308" s="441"/>
      <c r="O308" s="2370" t="s">
        <v>583</v>
      </c>
      <c r="P308" s="2371"/>
      <c r="Q308" s="1968"/>
      <c r="R308" s="1969"/>
      <c r="S308" s="653" t="s">
        <v>362</v>
      </c>
      <c r="T308" s="647"/>
    </row>
    <row r="309" spans="3:20" ht="15">
      <c r="C309" s="2314" t="s">
        <v>635</v>
      </c>
      <c r="D309" s="2313"/>
      <c r="E309" s="578"/>
      <c r="F309" s="580"/>
      <c r="G309" s="2312"/>
      <c r="H309" s="2313"/>
      <c r="I309" s="2312" t="s">
        <v>636</v>
      </c>
      <c r="J309" s="2313"/>
      <c r="K309" s="753" t="s">
        <v>362</v>
      </c>
      <c r="L309" s="655" t="s">
        <v>362</v>
      </c>
      <c r="M309" s="652"/>
      <c r="N309" s="441"/>
      <c r="O309" s="2370" t="s">
        <v>640</v>
      </c>
      <c r="P309" s="2371"/>
      <c r="Q309" s="1968"/>
      <c r="R309" s="1969"/>
      <c r="S309" s="653" t="s">
        <v>362</v>
      </c>
      <c r="T309" s="647"/>
    </row>
    <row r="310" spans="3:20" ht="15">
      <c r="C310" s="2314" t="s">
        <v>637</v>
      </c>
      <c r="D310" s="2313"/>
      <c r="E310" s="578"/>
      <c r="F310" s="580"/>
      <c r="G310" s="2312"/>
      <c r="H310" s="2313"/>
      <c r="I310" s="2312" t="s">
        <v>638</v>
      </c>
      <c r="J310" s="2313"/>
      <c r="K310" s="753" t="s">
        <v>362</v>
      </c>
      <c r="L310" s="655" t="s">
        <v>362</v>
      </c>
      <c r="M310" s="652"/>
      <c r="N310" s="441"/>
      <c r="O310" s="2372"/>
      <c r="P310" s="2373"/>
      <c r="Q310" s="1968"/>
      <c r="R310" s="1969"/>
      <c r="S310" s="653" t="s">
        <v>362</v>
      </c>
      <c r="T310" s="647"/>
    </row>
    <row r="311" spans="3:20" ht="15">
      <c r="C311" s="2314" t="s">
        <v>639</v>
      </c>
      <c r="D311" s="2313"/>
      <c r="E311" s="578"/>
      <c r="F311" s="580"/>
      <c r="G311" s="2312"/>
      <c r="H311" s="2313"/>
      <c r="I311" s="753" t="s">
        <v>362</v>
      </c>
      <c r="J311" s="655"/>
      <c r="K311" s="753" t="s">
        <v>362</v>
      </c>
      <c r="L311" s="655" t="s">
        <v>362</v>
      </c>
      <c r="M311" s="652"/>
      <c r="N311" s="441"/>
      <c r="O311" s="2372"/>
      <c r="P311" s="2373"/>
      <c r="Q311" s="1968"/>
      <c r="R311" s="1969"/>
      <c r="S311" s="653" t="s">
        <v>362</v>
      </c>
      <c r="T311" s="647"/>
    </row>
    <row r="312" spans="3:20" ht="15" customHeight="1">
      <c r="C312" s="2314" t="s">
        <v>640</v>
      </c>
      <c r="D312" s="2313"/>
      <c r="E312" s="578"/>
      <c r="F312" s="580"/>
      <c r="G312" s="2312"/>
      <c r="H312" s="2313"/>
      <c r="I312" s="753" t="s">
        <v>362</v>
      </c>
      <c r="J312" s="655"/>
      <c r="K312" s="753" t="s">
        <v>362</v>
      </c>
      <c r="L312" s="655" t="s">
        <v>362</v>
      </c>
      <c r="M312" s="652"/>
      <c r="N312" s="441"/>
      <c r="O312" s="2372"/>
      <c r="P312" s="2373"/>
      <c r="Q312" s="1968"/>
      <c r="R312" s="1969"/>
      <c r="S312" s="653" t="s">
        <v>362</v>
      </c>
      <c r="T312" s="647"/>
    </row>
    <row r="313" spans="3:20" ht="15.6" customHeight="1">
      <c r="C313" s="2314" t="s">
        <v>641</v>
      </c>
      <c r="D313" s="2313"/>
      <c r="E313" s="578"/>
      <c r="F313" s="580"/>
      <c r="G313" s="2312"/>
      <c r="H313" s="2313"/>
      <c r="I313" s="753" t="s">
        <v>362</v>
      </c>
      <c r="J313" s="655"/>
      <c r="K313" s="753" t="s">
        <v>362</v>
      </c>
      <c r="L313" s="752" t="s">
        <v>362</v>
      </c>
      <c r="M313" s="652"/>
      <c r="N313" s="441"/>
      <c r="O313" s="2372"/>
      <c r="P313" s="2373"/>
      <c r="Q313" s="1968"/>
      <c r="R313" s="1969"/>
      <c r="S313" s="653" t="s">
        <v>362</v>
      </c>
      <c r="T313" s="647"/>
    </row>
    <row r="314" spans="3:20" ht="15.6" customHeight="1">
      <c r="C314" s="2314" t="s">
        <v>642</v>
      </c>
      <c r="D314" s="2313"/>
      <c r="E314" s="578"/>
      <c r="F314" s="580"/>
      <c r="G314" s="2312"/>
      <c r="H314" s="2313"/>
      <c r="I314" s="753" t="s">
        <v>362</v>
      </c>
      <c r="J314" s="655"/>
      <c r="K314" s="753" t="s">
        <v>362</v>
      </c>
      <c r="L314" s="655" t="s">
        <v>362</v>
      </c>
      <c r="M314" s="652"/>
      <c r="N314" s="441"/>
      <c r="O314" s="2372"/>
      <c r="P314" s="2373"/>
      <c r="Q314" s="1968"/>
      <c r="R314" s="1969"/>
      <c r="S314" s="653" t="s">
        <v>362</v>
      </c>
      <c r="T314" s="647"/>
    </row>
    <row r="315" spans="3:20" ht="15.6" customHeight="1">
      <c r="C315" s="2314"/>
      <c r="D315" s="2313"/>
      <c r="E315" s="578"/>
      <c r="F315" s="580"/>
      <c r="G315" s="2312"/>
      <c r="H315" s="2313"/>
      <c r="I315" s="753" t="s">
        <v>362</v>
      </c>
      <c r="J315" s="655"/>
      <c r="K315" s="753" t="s">
        <v>362</v>
      </c>
      <c r="L315" s="655"/>
      <c r="M315" s="652"/>
      <c r="N315" s="441"/>
      <c r="O315" s="2372"/>
      <c r="P315" s="2373"/>
      <c r="Q315" s="1968"/>
      <c r="R315" s="1969"/>
      <c r="S315" s="653" t="s">
        <v>362</v>
      </c>
      <c r="T315" s="647"/>
    </row>
    <row r="316" spans="3:20" ht="15">
      <c r="C316" s="2314"/>
      <c r="D316" s="2313"/>
      <c r="E316" s="578"/>
      <c r="F316" s="580"/>
      <c r="G316" s="2312"/>
      <c r="H316" s="2313"/>
      <c r="I316" s="656"/>
      <c r="J316" s="655"/>
      <c r="K316" s="656"/>
      <c r="L316" s="655"/>
      <c r="M316" s="652"/>
      <c r="N316" s="441"/>
      <c r="O316" s="2372"/>
      <c r="P316" s="2373"/>
      <c r="Q316" s="1968"/>
      <c r="R316" s="1969"/>
      <c r="S316" s="653" t="s">
        <v>362</v>
      </c>
      <c r="T316" s="647"/>
    </row>
    <row r="317" spans="3:20" ht="15.6" customHeight="1">
      <c r="C317" s="2315" t="s">
        <v>859</v>
      </c>
      <c r="D317" s="2316"/>
      <c r="E317" s="578"/>
      <c r="F317" s="580"/>
      <c r="G317" s="2312"/>
      <c r="H317" s="2313"/>
      <c r="I317" s="656"/>
      <c r="J317" s="655"/>
      <c r="K317" s="656"/>
      <c r="L317" s="655"/>
      <c r="M317" s="652"/>
      <c r="N317" s="441"/>
      <c r="O317" s="2372"/>
      <c r="P317" s="2373"/>
      <c r="Q317" s="1968"/>
      <c r="R317" s="1969"/>
      <c r="S317" s="653" t="s">
        <v>362</v>
      </c>
      <c r="T317" s="647"/>
    </row>
    <row r="318" spans="3:20" ht="15">
      <c r="C318" s="2315" t="s">
        <v>643</v>
      </c>
      <c r="D318" s="2316"/>
      <c r="E318" s="578"/>
      <c r="F318" s="580"/>
      <c r="G318" s="2312"/>
      <c r="H318" s="2313"/>
      <c r="I318" s="656"/>
      <c r="J318" s="655"/>
      <c r="K318" s="656"/>
      <c r="L318" s="655"/>
      <c r="M318" s="652"/>
      <c r="N318" s="441"/>
      <c r="O318" s="2372"/>
      <c r="P318" s="2373"/>
      <c r="Q318" s="1968"/>
      <c r="R318" s="1969"/>
      <c r="S318" s="653" t="s">
        <v>362</v>
      </c>
      <c r="T318" s="647"/>
    </row>
    <row r="319" spans="3:20" ht="15">
      <c r="C319" s="2315"/>
      <c r="D319" s="2316"/>
      <c r="E319" s="578"/>
      <c r="F319" s="580"/>
      <c r="G319" s="2312"/>
      <c r="H319" s="2313"/>
      <c r="I319" s="658"/>
      <c r="J319" s="655"/>
      <c r="K319" s="659"/>
      <c r="L319" s="655"/>
      <c r="M319" s="652"/>
      <c r="N319" s="441"/>
      <c r="O319" s="2372"/>
      <c r="P319" s="2373"/>
      <c r="Q319" s="1970"/>
      <c r="R319" s="1969"/>
      <c r="S319" s="653" t="s">
        <v>362</v>
      </c>
      <c r="T319" s="647"/>
    </row>
    <row r="320" spans="3:20" ht="15">
      <c r="C320" s="2323"/>
      <c r="D320" s="2324"/>
      <c r="E320" s="581"/>
      <c r="F320" s="660"/>
      <c r="G320" s="2321"/>
      <c r="H320" s="2322"/>
      <c r="I320" s="661"/>
      <c r="J320" s="662"/>
      <c r="K320" s="663"/>
      <c r="L320" s="662"/>
      <c r="M320" s="664"/>
      <c r="N320" s="441"/>
      <c r="O320" s="2553"/>
      <c r="P320" s="2554"/>
      <c r="Q320" s="1971"/>
      <c r="R320" s="1972"/>
      <c r="S320" s="665" t="s">
        <v>362</v>
      </c>
      <c r="T320" s="647"/>
    </row>
    <row r="321" spans="1:22" ht="15">
      <c r="C321" s="441"/>
      <c r="D321" s="441"/>
      <c r="E321" s="441"/>
      <c r="F321" s="441"/>
      <c r="G321" s="441"/>
      <c r="H321" s="441"/>
      <c r="I321" s="441"/>
      <c r="J321" s="441"/>
      <c r="K321" s="441"/>
      <c r="L321" s="441"/>
      <c r="M321" s="441"/>
      <c r="N321" s="666"/>
      <c r="O321" s="441"/>
      <c r="P321" s="441"/>
      <c r="Q321" s="441"/>
      <c r="R321" s="441"/>
      <c r="S321" s="441"/>
    </row>
    <row r="322" spans="1:22" ht="15">
      <c r="C322" s="441"/>
      <c r="D322" s="441"/>
      <c r="E322" s="441"/>
      <c r="F322" s="441"/>
      <c r="G322" s="441"/>
      <c r="H322" s="441"/>
      <c r="I322" s="441"/>
      <c r="J322" s="441"/>
      <c r="K322" s="441"/>
      <c r="L322" s="441"/>
      <c r="M322" s="441"/>
      <c r="N322" s="666"/>
      <c r="O322" s="441"/>
      <c r="P322" s="441"/>
      <c r="Q322" s="441"/>
      <c r="R322" s="441"/>
      <c r="S322" s="441"/>
    </row>
    <row r="323" spans="1:22" ht="15">
      <c r="C323" s="441"/>
      <c r="D323" s="441"/>
      <c r="E323" s="441"/>
      <c r="F323" s="441"/>
      <c r="G323" s="441"/>
      <c r="H323" s="441"/>
      <c r="I323" s="441"/>
      <c r="J323" s="441"/>
      <c r="K323" s="441"/>
      <c r="L323" s="441"/>
      <c r="M323" s="441"/>
      <c r="N323" s="666"/>
      <c r="O323" s="441"/>
      <c r="P323" s="441"/>
      <c r="Q323" s="441"/>
      <c r="R323" s="441"/>
      <c r="S323" s="441"/>
    </row>
    <row r="324" spans="1:22" ht="15">
      <c r="C324" s="441"/>
      <c r="D324" s="441"/>
      <c r="E324" s="441"/>
      <c r="F324" s="441"/>
      <c r="G324" s="441"/>
      <c r="H324" s="441"/>
      <c r="I324" s="441"/>
      <c r="J324" s="441"/>
      <c r="K324" s="441"/>
      <c r="L324" s="441"/>
      <c r="M324" s="441"/>
      <c r="N324" s="666"/>
      <c r="O324" s="441"/>
      <c r="P324" s="441"/>
      <c r="Q324" s="441"/>
      <c r="R324" s="441"/>
      <c r="S324" s="441"/>
    </row>
    <row r="325" spans="1:22" ht="15">
      <c r="C325" s="441"/>
      <c r="D325" s="441"/>
      <c r="E325" s="441"/>
      <c r="F325" s="441"/>
      <c r="G325" s="441"/>
      <c r="H325" s="441"/>
      <c r="I325" s="441"/>
      <c r="J325" s="441"/>
      <c r="K325" s="441"/>
      <c r="L325" s="441"/>
      <c r="M325" s="441"/>
      <c r="N325" s="666"/>
      <c r="O325" s="441"/>
      <c r="P325" s="441"/>
      <c r="Q325" s="441"/>
      <c r="R325" s="441"/>
      <c r="S325" s="441"/>
    </row>
    <row r="328" spans="1:22" ht="19.149999999999999" customHeight="1">
      <c r="B328" s="522"/>
      <c r="C328" s="585"/>
      <c r="D328" s="584"/>
      <c r="E328" s="584"/>
      <c r="F328" s="584"/>
      <c r="G328" s="586"/>
      <c r="H328" s="586"/>
      <c r="I328" s="586"/>
      <c r="J328" s="586"/>
      <c r="K328" s="587"/>
      <c r="L328" s="587"/>
      <c r="M328" s="587"/>
      <c r="N328" s="587"/>
      <c r="O328" s="587"/>
      <c r="P328" s="587"/>
      <c r="Q328" s="561"/>
      <c r="R328" s="561"/>
      <c r="S328" s="441"/>
      <c r="T328" s="441"/>
      <c r="U328" s="588"/>
      <c r="V328" s="441"/>
    </row>
    <row r="330" spans="1:22" ht="15.75">
      <c r="M330" s="476" t="s">
        <v>1463</v>
      </c>
      <c r="R330" s="477" t="s">
        <v>692</v>
      </c>
      <c r="S330" s="478" t="str">
        <f>$E$29</f>
        <v>ILF5_90FCOR_B114CAGR43006</v>
      </c>
    </row>
    <row r="333" spans="1:22">
      <c r="A333" s="420"/>
      <c r="B333" s="420"/>
      <c r="C333" s="420"/>
      <c r="D333" s="420"/>
      <c r="E333" s="420"/>
      <c r="F333" s="420"/>
      <c r="G333" s="420"/>
      <c r="H333" s="436" t="s">
        <v>690</v>
      </c>
      <c r="I333" s="420"/>
      <c r="K333" s="420"/>
      <c r="L333" s="437" t="str">
        <f>$B$11</f>
        <v>INMOBILIARIA SERVIGESTION</v>
      </c>
      <c r="M333" s="420"/>
      <c r="N333" s="420"/>
      <c r="O333" s="420"/>
      <c r="P333" s="420"/>
      <c r="Q333" s="420"/>
      <c r="R333" s="420"/>
      <c r="S333" s="420"/>
      <c r="T333" s="420"/>
      <c r="U333" s="420"/>
      <c r="V333" s="420"/>
    </row>
    <row r="334" spans="1:22" ht="34.5">
      <c r="A334" s="420"/>
      <c r="B334" s="2268" t="s">
        <v>461</v>
      </c>
      <c r="C334" s="2268"/>
      <c r="D334" s="2268"/>
      <c r="E334" s="2268"/>
      <c r="F334" s="2268"/>
      <c r="G334" s="2268"/>
      <c r="H334" s="2268"/>
      <c r="I334" s="2268"/>
      <c r="J334" s="2268"/>
      <c r="K334" s="2268"/>
      <c r="L334" s="2268"/>
      <c r="M334" s="2268"/>
      <c r="N334" s="2268"/>
      <c r="O334" s="2268"/>
      <c r="P334" s="2268"/>
      <c r="Q334" s="2268"/>
      <c r="R334" s="2268"/>
      <c r="S334" s="2268"/>
      <c r="T334" s="2268"/>
      <c r="U334" s="2268"/>
      <c r="V334" s="420"/>
    </row>
    <row r="335" spans="1:22" ht="22.9" customHeight="1">
      <c r="A335" s="420"/>
      <c r="B335" s="2269" t="s">
        <v>787</v>
      </c>
      <c r="C335" s="2269"/>
      <c r="D335" s="2269"/>
      <c r="E335" s="2269"/>
      <c r="F335" s="2269"/>
      <c r="G335" s="2269"/>
      <c r="H335" s="2269"/>
      <c r="I335" s="2269"/>
      <c r="J335" s="2269"/>
      <c r="K335" s="2269"/>
      <c r="L335" s="2269"/>
      <c r="M335" s="2269"/>
      <c r="N335" s="2269"/>
      <c r="O335" s="2269"/>
      <c r="P335" s="2269"/>
      <c r="Q335" s="2269"/>
      <c r="R335" s="2269"/>
      <c r="S335" s="2269"/>
      <c r="T335" s="2269"/>
      <c r="U335" s="2269"/>
      <c r="V335" s="420"/>
    </row>
    <row r="336" spans="1:22" ht="16.149999999999999" customHeight="1">
      <c r="A336" s="420"/>
      <c r="B336" s="757"/>
      <c r="C336" s="757"/>
      <c r="D336" s="757"/>
      <c r="E336" s="757"/>
      <c r="F336" s="757"/>
      <c r="G336" s="757"/>
      <c r="H336" s="757"/>
      <c r="I336" s="757"/>
      <c r="J336" s="757"/>
      <c r="K336" s="757"/>
      <c r="L336" s="757"/>
      <c r="M336" s="757"/>
      <c r="N336" s="757"/>
      <c r="O336" s="757"/>
      <c r="Q336" s="757"/>
      <c r="R336" s="757"/>
      <c r="S336" s="757"/>
      <c r="T336" s="757"/>
      <c r="U336" s="757"/>
      <c r="V336" s="420"/>
    </row>
    <row r="337" spans="1:22" ht="18.399999999999999" customHeight="1">
      <c r="A337" s="429"/>
      <c r="B337" s="2251" t="s">
        <v>698</v>
      </c>
      <c r="C337" s="2251"/>
      <c r="D337" s="2251"/>
      <c r="E337" s="2251"/>
      <c r="F337" s="2251"/>
      <c r="G337" s="2251"/>
      <c r="H337" s="2251"/>
      <c r="I337" s="2251"/>
      <c r="J337" s="2251"/>
      <c r="K337" s="2251"/>
      <c r="L337" s="2251"/>
      <c r="M337" s="2251"/>
      <c r="N337" s="2251"/>
      <c r="O337" s="2251"/>
      <c r="P337" s="2251"/>
      <c r="Q337" s="2251"/>
      <c r="R337" s="2251"/>
      <c r="S337" s="2251"/>
      <c r="T337" s="2251"/>
      <c r="U337" s="2251"/>
      <c r="V337" s="429"/>
    </row>
    <row r="338" spans="1:22" ht="23.25">
      <c r="A338" s="420"/>
      <c r="B338" s="757"/>
      <c r="C338" s="757"/>
      <c r="D338" s="757"/>
      <c r="E338" s="757"/>
      <c r="F338" s="757"/>
      <c r="G338" s="757"/>
      <c r="H338" s="757"/>
      <c r="I338" s="757"/>
      <c r="J338" s="757"/>
      <c r="K338" s="757"/>
      <c r="L338" s="757"/>
      <c r="M338" s="757"/>
      <c r="N338" s="757"/>
      <c r="O338" s="757"/>
      <c r="P338" s="757"/>
      <c r="Q338" s="757"/>
      <c r="R338" s="757"/>
      <c r="S338" s="757"/>
      <c r="T338" s="757"/>
      <c r="U338" s="757"/>
      <c r="V338" s="420"/>
    </row>
    <row r="339" spans="1:22" ht="23.25" customHeight="1">
      <c r="A339" s="420"/>
      <c r="B339" s="2325" t="s">
        <v>512</v>
      </c>
      <c r="C339" s="2326"/>
      <c r="D339" s="2326"/>
      <c r="E339" s="2326"/>
      <c r="F339" s="2326"/>
      <c r="G339" s="2326"/>
      <c r="H339" s="2326"/>
      <c r="I339" s="2326"/>
      <c r="J339" s="2326"/>
      <c r="K339" s="2326"/>
      <c r="L339" s="745"/>
      <c r="M339" s="745"/>
      <c r="N339" s="745"/>
      <c r="O339" s="745"/>
      <c r="P339" s="745"/>
      <c r="Q339" s="745"/>
      <c r="R339" s="745"/>
      <c r="S339" s="745"/>
      <c r="T339" s="745"/>
      <c r="U339" s="439"/>
      <c r="V339" s="420"/>
    </row>
    <row r="340" spans="1:22" ht="23.25" customHeight="1">
      <c r="A340" s="420"/>
      <c r="B340" s="2297" t="s">
        <v>697</v>
      </c>
      <c r="C340" s="2288"/>
      <c r="D340" s="2288"/>
      <c r="E340" s="2288"/>
      <c r="F340" s="2288"/>
      <c r="G340" s="2288"/>
      <c r="H340" s="2288"/>
      <c r="I340" s="2288"/>
      <c r="J340" s="2288"/>
      <c r="K340" s="2288"/>
      <c r="L340" s="2288"/>
      <c r="M340" s="2288"/>
      <c r="N340" s="2288"/>
      <c r="O340" s="2288"/>
      <c r="P340" s="2288"/>
      <c r="Q340" s="2288"/>
      <c r="R340" s="2288"/>
      <c r="S340" s="2288"/>
      <c r="T340" s="2288"/>
      <c r="U340" s="2298"/>
      <c r="V340" s="420"/>
    </row>
    <row r="341" spans="1:22" ht="36.75" customHeight="1">
      <c r="A341" s="420"/>
      <c r="B341" s="742"/>
      <c r="C341" s="2288" t="s">
        <v>1066</v>
      </c>
      <c r="D341" s="2288"/>
      <c r="E341" s="2288"/>
      <c r="F341" s="2288"/>
      <c r="G341" s="2288"/>
      <c r="H341" s="2288"/>
      <c r="I341" s="2288"/>
      <c r="J341" s="2288"/>
      <c r="K341" s="2288"/>
      <c r="L341" s="2288"/>
      <c r="M341" s="2288"/>
      <c r="N341" s="2288"/>
      <c r="O341" s="2288"/>
      <c r="P341" s="2288"/>
      <c r="Q341" s="2288"/>
      <c r="R341" s="2288"/>
      <c r="S341" s="2288"/>
      <c r="T341" s="2288"/>
      <c r="U341" s="442"/>
      <c r="V341" s="420"/>
    </row>
    <row r="342" spans="1:22" ht="22.9" customHeight="1">
      <c r="A342" s="420"/>
      <c r="B342" s="742"/>
      <c r="C342" s="2288" t="s">
        <v>1067</v>
      </c>
      <c r="D342" s="2288"/>
      <c r="E342" s="2288"/>
      <c r="F342" s="2288"/>
      <c r="G342" s="2288"/>
      <c r="H342" s="2288"/>
      <c r="I342" s="2288"/>
      <c r="J342" s="2288"/>
      <c r="K342" s="2288"/>
      <c r="L342" s="2288"/>
      <c r="M342" s="2288"/>
      <c r="N342" s="2288"/>
      <c r="O342" s="2288"/>
      <c r="P342" s="2288"/>
      <c r="Q342" s="2288"/>
      <c r="R342" s="2288"/>
      <c r="S342" s="2288"/>
      <c r="T342" s="479"/>
      <c r="U342" s="442"/>
      <c r="V342" s="420"/>
    </row>
    <row r="343" spans="1:22" ht="23.25" customHeight="1">
      <c r="A343" s="420"/>
      <c r="B343" s="742"/>
      <c r="C343" s="2288" t="s">
        <v>1068</v>
      </c>
      <c r="D343" s="2288"/>
      <c r="E343" s="2288"/>
      <c r="F343" s="2288"/>
      <c r="G343" s="2288"/>
      <c r="H343" s="2288"/>
      <c r="I343" s="2288"/>
      <c r="J343" s="2288"/>
      <c r="K343" s="2288"/>
      <c r="L343" s="2288"/>
      <c r="M343" s="2288"/>
      <c r="N343" s="2288"/>
      <c r="O343" s="2288"/>
      <c r="P343" s="2288"/>
      <c r="Q343" s="2288"/>
      <c r="R343" s="2288"/>
      <c r="S343" s="2288"/>
      <c r="T343" s="480"/>
      <c r="U343" s="442"/>
      <c r="V343" s="420"/>
    </row>
    <row r="344" spans="1:22" ht="23.25" customHeight="1">
      <c r="A344" s="420"/>
      <c r="B344" s="742"/>
      <c r="C344" s="2288" t="s">
        <v>1069</v>
      </c>
      <c r="D344" s="2288"/>
      <c r="E344" s="2288"/>
      <c r="F344" s="2288"/>
      <c r="G344" s="2288"/>
      <c r="H344" s="2288"/>
      <c r="I344" s="2288"/>
      <c r="J344" s="2288"/>
      <c r="K344" s="2288"/>
      <c r="L344" s="2288"/>
      <c r="M344" s="2288"/>
      <c r="N344" s="2288"/>
      <c r="O344" s="2288"/>
      <c r="P344" s="2288"/>
      <c r="Q344" s="2288"/>
      <c r="R344" s="2288"/>
      <c r="S344" s="2288"/>
      <c r="T344" s="475"/>
      <c r="U344" s="442"/>
      <c r="V344" s="420"/>
    </row>
    <row r="345" spans="1:22" ht="23.25" customHeight="1">
      <c r="A345" s="420"/>
      <c r="B345" s="742"/>
      <c r="C345" s="2288" t="s">
        <v>1070</v>
      </c>
      <c r="D345" s="2288"/>
      <c r="E345" s="2288"/>
      <c r="F345" s="2288"/>
      <c r="G345" s="2288"/>
      <c r="H345" s="2288"/>
      <c r="I345" s="2288"/>
      <c r="J345" s="2288"/>
      <c r="K345" s="2288"/>
      <c r="L345" s="2288"/>
      <c r="M345" s="2288"/>
      <c r="N345" s="2288"/>
      <c r="O345" s="2288"/>
      <c r="P345" s="2288"/>
      <c r="Q345" s="2288"/>
      <c r="R345" s="2288"/>
      <c r="S345" s="2288"/>
      <c r="T345" s="475"/>
      <c r="U345" s="442"/>
      <c r="V345" s="420"/>
    </row>
    <row r="346" spans="1:22" ht="23.25">
      <c r="A346" s="420"/>
      <c r="B346" s="742"/>
      <c r="C346" s="667"/>
      <c r="D346" s="668"/>
      <c r="E346" s="668"/>
      <c r="F346" s="668"/>
      <c r="G346" s="668"/>
      <c r="H346" s="668"/>
      <c r="I346" s="668"/>
      <c r="J346" s="668"/>
      <c r="K346" s="668"/>
      <c r="L346" s="441"/>
      <c r="M346" s="475"/>
      <c r="N346" s="475"/>
      <c r="O346" s="475"/>
      <c r="P346" s="475"/>
      <c r="Q346" s="475"/>
      <c r="R346" s="475"/>
      <c r="S346" s="475"/>
      <c r="T346" s="475"/>
      <c r="U346" s="442"/>
      <c r="V346" s="420"/>
    </row>
    <row r="347" spans="1:22" ht="55.9" customHeight="1">
      <c r="A347" s="420"/>
      <c r="B347" s="2297" t="s">
        <v>978</v>
      </c>
      <c r="C347" s="2288"/>
      <c r="D347" s="2288"/>
      <c r="E347" s="2288"/>
      <c r="F347" s="2288"/>
      <c r="G347" s="2288"/>
      <c r="H347" s="2288"/>
      <c r="I347" s="2288"/>
      <c r="J347" s="2288"/>
      <c r="K347" s="2288"/>
      <c r="L347" s="2288"/>
      <c r="M347" s="2288"/>
      <c r="N347" s="2288"/>
      <c r="O347" s="2288"/>
      <c r="P347" s="2288"/>
      <c r="Q347" s="2288"/>
      <c r="R347" s="2288"/>
      <c r="S347" s="2288"/>
      <c r="T347" s="2288"/>
      <c r="U347" s="442"/>
      <c r="V347" s="420"/>
    </row>
    <row r="348" spans="1:22" ht="55.9" customHeight="1">
      <c r="A348" s="420"/>
      <c r="B348" s="742"/>
      <c r="C348" s="743"/>
      <c r="D348" s="743"/>
      <c r="E348" s="743"/>
      <c r="F348" s="743"/>
      <c r="G348" s="743"/>
      <c r="H348" s="743"/>
      <c r="I348" s="743"/>
      <c r="J348" s="743"/>
      <c r="K348" s="743"/>
      <c r="L348" s="743"/>
      <c r="M348" s="743"/>
      <c r="N348" s="743"/>
      <c r="O348" s="743"/>
      <c r="P348" s="743"/>
      <c r="Q348" s="743"/>
      <c r="R348" s="743"/>
      <c r="S348" s="743"/>
      <c r="T348" s="743"/>
      <c r="U348" s="442"/>
      <c r="V348" s="420"/>
    </row>
    <row r="349" spans="1:22" ht="55.9" customHeight="1">
      <c r="A349" s="420"/>
      <c r="B349" s="742"/>
      <c r="C349" s="743"/>
      <c r="D349" s="743"/>
      <c r="E349" s="743"/>
      <c r="F349" s="743"/>
      <c r="G349" s="743"/>
      <c r="H349" s="743"/>
      <c r="I349" s="743"/>
      <c r="J349" s="743"/>
      <c r="K349" s="743"/>
      <c r="L349" s="743"/>
      <c r="M349" s="743"/>
      <c r="N349" s="743"/>
      <c r="O349" s="743"/>
      <c r="P349" s="743"/>
      <c r="Q349" s="743"/>
      <c r="R349" s="743"/>
      <c r="S349" s="743"/>
      <c r="T349" s="743"/>
      <c r="U349" s="442"/>
      <c r="V349" s="420"/>
    </row>
    <row r="350" spans="1:22" ht="55.9" customHeight="1">
      <c r="A350" s="420"/>
      <c r="B350" s="742"/>
      <c r="C350" s="743"/>
      <c r="D350" s="743"/>
      <c r="E350" s="743"/>
      <c r="F350" s="743"/>
      <c r="G350" s="743"/>
      <c r="H350" s="743"/>
      <c r="I350" s="743"/>
      <c r="J350" s="743"/>
      <c r="K350" s="743"/>
      <c r="L350" s="743"/>
      <c r="M350" s="743"/>
      <c r="N350" s="743"/>
      <c r="O350" s="743"/>
      <c r="P350" s="743"/>
      <c r="Q350" s="743"/>
      <c r="R350" s="743"/>
      <c r="S350" s="743"/>
      <c r="T350" s="743"/>
      <c r="U350" s="442"/>
      <c r="V350" s="420"/>
    </row>
    <row r="351" spans="1:22" ht="55.9" customHeight="1">
      <c r="A351" s="420"/>
      <c r="B351" s="742"/>
      <c r="C351" s="743"/>
      <c r="D351" s="743"/>
      <c r="E351" s="743"/>
      <c r="F351" s="743"/>
      <c r="G351" s="743"/>
      <c r="H351" s="743"/>
      <c r="I351" s="743"/>
      <c r="J351" s="743"/>
      <c r="K351" s="743"/>
      <c r="L351" s="743"/>
      <c r="M351" s="743"/>
      <c r="N351" s="743"/>
      <c r="O351" s="743"/>
      <c r="P351" s="743"/>
      <c r="Q351" s="743"/>
      <c r="R351" s="743"/>
      <c r="S351" s="743"/>
      <c r="T351" s="743"/>
      <c r="U351" s="442"/>
      <c r="V351" s="420"/>
    </row>
    <row r="352" spans="1:22" ht="23.25">
      <c r="A352" s="420"/>
      <c r="B352" s="485"/>
      <c r="C352" s="475"/>
      <c r="D352" s="475"/>
      <c r="E352" s="475"/>
      <c r="F352" s="475"/>
      <c r="G352" s="475"/>
      <c r="H352" s="475"/>
      <c r="I352" s="475"/>
      <c r="J352" s="475"/>
      <c r="K352" s="475"/>
      <c r="L352" s="475"/>
      <c r="M352" s="475"/>
      <c r="N352" s="475"/>
      <c r="O352" s="475"/>
      <c r="P352" s="475"/>
      <c r="Q352" s="475"/>
      <c r="R352" s="475"/>
      <c r="S352" s="475"/>
      <c r="T352" s="475"/>
      <c r="U352" s="442"/>
      <c r="V352" s="420"/>
    </row>
    <row r="353" spans="1:22" ht="23.25">
      <c r="A353" s="420"/>
      <c r="B353" s="485"/>
      <c r="C353" s="475"/>
      <c r="D353" s="475"/>
      <c r="E353" s="475"/>
      <c r="F353" s="475"/>
      <c r="G353" s="475"/>
      <c r="H353" s="475"/>
      <c r="I353" s="475"/>
      <c r="J353" s="475"/>
      <c r="K353" s="475"/>
      <c r="L353" s="475"/>
      <c r="M353" s="475"/>
      <c r="N353" s="475"/>
      <c r="O353" s="475"/>
      <c r="P353" s="475"/>
      <c r="Q353" s="475"/>
      <c r="R353" s="475"/>
      <c r="S353" s="475"/>
      <c r="T353" s="475"/>
      <c r="U353" s="442"/>
      <c r="V353" s="420"/>
    </row>
    <row r="354" spans="1:22" ht="23.25">
      <c r="A354" s="420"/>
      <c r="B354" s="485"/>
      <c r="C354" s="475"/>
      <c r="D354" s="475"/>
      <c r="E354" s="475"/>
      <c r="F354" s="475"/>
      <c r="G354" s="475"/>
      <c r="H354" s="475"/>
      <c r="I354" s="475"/>
      <c r="J354" s="475"/>
      <c r="K354" s="475"/>
      <c r="L354" s="475"/>
      <c r="M354" s="475"/>
      <c r="N354" s="475"/>
      <c r="O354" s="475"/>
      <c r="P354" s="475"/>
      <c r="Q354" s="475"/>
      <c r="R354" s="475"/>
      <c r="S354" s="475"/>
      <c r="T354" s="475"/>
      <c r="U354" s="442"/>
      <c r="V354" s="420"/>
    </row>
    <row r="355" spans="1:22" ht="23.25">
      <c r="A355" s="420"/>
      <c r="B355" s="485"/>
      <c r="C355" s="475"/>
      <c r="D355" s="475"/>
      <c r="E355" s="475"/>
      <c r="F355" s="475"/>
      <c r="G355" s="475"/>
      <c r="H355" s="475"/>
      <c r="I355" s="475"/>
      <c r="J355" s="475"/>
      <c r="K355" s="475"/>
      <c r="L355" s="475"/>
      <c r="M355" s="475"/>
      <c r="N355" s="475"/>
      <c r="O355" s="475"/>
      <c r="P355" s="475"/>
      <c r="Q355" s="475"/>
      <c r="R355" s="475"/>
      <c r="S355" s="475"/>
      <c r="T355" s="475"/>
      <c r="U355" s="442"/>
      <c r="V355" s="420"/>
    </row>
    <row r="356" spans="1:22" ht="23.25">
      <c r="A356" s="420"/>
      <c r="B356" s="485"/>
      <c r="C356" s="475"/>
      <c r="D356" s="475"/>
      <c r="E356" s="475"/>
      <c r="F356" s="475"/>
      <c r="G356" s="475"/>
      <c r="H356" s="475"/>
      <c r="I356" s="475"/>
      <c r="J356" s="475"/>
      <c r="K356" s="475"/>
      <c r="L356" s="475"/>
      <c r="M356" s="475"/>
      <c r="N356" s="475"/>
      <c r="O356" s="475"/>
      <c r="P356" s="475"/>
      <c r="Q356" s="475"/>
      <c r="R356" s="475"/>
      <c r="S356" s="475"/>
      <c r="T356" s="475"/>
      <c r="U356" s="442"/>
      <c r="V356" s="420"/>
    </row>
    <row r="357" spans="1:22" ht="23.25">
      <c r="A357" s="420"/>
      <c r="B357" s="485"/>
      <c r="C357" s="475"/>
      <c r="D357" s="475"/>
      <c r="E357" s="475"/>
      <c r="F357" s="475"/>
      <c r="G357" s="475"/>
      <c r="H357" s="475"/>
      <c r="I357" s="475"/>
      <c r="J357" s="475"/>
      <c r="K357" s="475"/>
      <c r="L357" s="475"/>
      <c r="M357" s="475"/>
      <c r="N357" s="475"/>
      <c r="O357" s="475"/>
      <c r="P357" s="475"/>
      <c r="Q357" s="475"/>
      <c r="R357" s="475"/>
      <c r="S357" s="475"/>
      <c r="T357" s="475"/>
      <c r="U357" s="442"/>
      <c r="V357" s="420"/>
    </row>
    <row r="358" spans="1:22" ht="23.25">
      <c r="A358" s="420"/>
      <c r="B358" s="485"/>
      <c r="C358" s="475"/>
      <c r="D358" s="475"/>
      <c r="E358" s="475"/>
      <c r="F358" s="475"/>
      <c r="G358" s="475"/>
      <c r="H358" s="475"/>
      <c r="I358" s="475"/>
      <c r="J358" s="475"/>
      <c r="K358" s="475"/>
      <c r="L358" s="475"/>
      <c r="M358" s="475"/>
      <c r="N358" s="475"/>
      <c r="O358" s="475"/>
      <c r="P358" s="475"/>
      <c r="Q358" s="475"/>
      <c r="R358" s="475"/>
      <c r="S358" s="475"/>
      <c r="T358" s="475"/>
      <c r="U358" s="442"/>
      <c r="V358" s="420"/>
    </row>
    <row r="359" spans="1:22" ht="23.25">
      <c r="A359" s="420"/>
      <c r="B359" s="485"/>
      <c r="C359" s="475"/>
      <c r="D359" s="475"/>
      <c r="E359" s="475"/>
      <c r="F359" s="475"/>
      <c r="G359" s="475"/>
      <c r="H359" s="475"/>
      <c r="I359" s="475"/>
      <c r="J359" s="475"/>
      <c r="K359" s="475"/>
      <c r="L359" s="475"/>
      <c r="M359" s="475"/>
      <c r="N359" s="475"/>
      <c r="O359" s="475"/>
      <c r="P359" s="475"/>
      <c r="Q359" s="475"/>
      <c r="R359" s="475"/>
      <c r="S359" s="475"/>
      <c r="T359" s="475"/>
      <c r="U359" s="442"/>
      <c r="V359" s="420"/>
    </row>
    <row r="360" spans="1:22" ht="23.25">
      <c r="A360" s="420"/>
      <c r="B360" s="485"/>
      <c r="C360" s="475"/>
      <c r="D360" s="475"/>
      <c r="E360" s="475"/>
      <c r="F360" s="475"/>
      <c r="G360" s="475"/>
      <c r="H360" s="475"/>
      <c r="I360" s="475"/>
      <c r="J360" s="475"/>
      <c r="K360" s="475"/>
      <c r="L360" s="475"/>
      <c r="M360" s="475"/>
      <c r="N360" s="475"/>
      <c r="O360" s="475"/>
      <c r="P360" s="475"/>
      <c r="Q360" s="475"/>
      <c r="R360" s="475"/>
      <c r="S360" s="475"/>
      <c r="T360" s="475"/>
      <c r="U360" s="442"/>
      <c r="V360" s="420"/>
    </row>
    <row r="361" spans="1:22" ht="23.25">
      <c r="A361" s="420"/>
      <c r="B361" s="485"/>
      <c r="C361" s="475"/>
      <c r="D361" s="475"/>
      <c r="E361" s="475"/>
      <c r="F361" s="475"/>
      <c r="G361" s="475"/>
      <c r="H361" s="475"/>
      <c r="I361" s="475"/>
      <c r="J361" s="475"/>
      <c r="K361" s="475"/>
      <c r="L361" s="475"/>
      <c r="M361" s="475"/>
      <c r="N361" s="475"/>
      <c r="O361" s="475"/>
      <c r="P361" s="475"/>
      <c r="Q361" s="475"/>
      <c r="R361" s="475"/>
      <c r="S361" s="475"/>
      <c r="T361" s="475"/>
      <c r="U361" s="442"/>
      <c r="V361" s="420"/>
    </row>
    <row r="362" spans="1:22" ht="23.25">
      <c r="A362" s="420"/>
      <c r="B362" s="485"/>
      <c r="C362" s="475"/>
      <c r="D362" s="475"/>
      <c r="E362" s="475"/>
      <c r="F362" s="475"/>
      <c r="G362" s="475"/>
      <c r="H362" s="475"/>
      <c r="I362" s="475"/>
      <c r="J362" s="475"/>
      <c r="K362" s="475"/>
      <c r="L362" s="475"/>
      <c r="M362" s="475"/>
      <c r="N362" s="475"/>
      <c r="O362" s="475"/>
      <c r="P362" s="475"/>
      <c r="Q362" s="475"/>
      <c r="R362" s="475"/>
      <c r="S362" s="475"/>
      <c r="T362" s="475"/>
      <c r="U362" s="442"/>
      <c r="V362" s="420"/>
    </row>
    <row r="363" spans="1:22" ht="23.25">
      <c r="A363" s="420"/>
      <c r="B363" s="485"/>
      <c r="C363" s="475"/>
      <c r="D363" s="475"/>
      <c r="E363" s="475"/>
      <c r="F363" s="475"/>
      <c r="G363" s="475"/>
      <c r="H363" s="475"/>
      <c r="I363" s="475"/>
      <c r="J363" s="475"/>
      <c r="K363" s="475"/>
      <c r="L363" s="475"/>
      <c r="M363" s="475"/>
      <c r="N363" s="475"/>
      <c r="O363" s="475"/>
      <c r="P363" s="475"/>
      <c r="Q363" s="475"/>
      <c r="R363" s="475"/>
      <c r="S363" s="475"/>
      <c r="T363" s="475"/>
      <c r="U363" s="442"/>
      <c r="V363" s="420"/>
    </row>
    <row r="364" spans="1:22" ht="23.25">
      <c r="A364" s="420"/>
      <c r="B364" s="485"/>
      <c r="C364" s="475"/>
      <c r="D364" s="475"/>
      <c r="E364" s="475"/>
      <c r="F364" s="475"/>
      <c r="G364" s="475"/>
      <c r="H364" s="475"/>
      <c r="I364" s="475"/>
      <c r="J364" s="475"/>
      <c r="K364" s="475"/>
      <c r="L364" s="475"/>
      <c r="M364" s="475"/>
      <c r="N364" s="475"/>
      <c r="O364" s="475"/>
      <c r="P364" s="475"/>
      <c r="Q364" s="475"/>
      <c r="R364" s="475"/>
      <c r="S364" s="475"/>
      <c r="T364" s="475"/>
      <c r="U364" s="442"/>
      <c r="V364" s="420"/>
    </row>
    <row r="365" spans="1:22" ht="23.25">
      <c r="A365" s="420"/>
      <c r="B365" s="485"/>
      <c r="C365" s="475"/>
      <c r="D365" s="475"/>
      <c r="E365" s="475"/>
      <c r="F365" s="475"/>
      <c r="G365" s="475"/>
      <c r="H365" s="475"/>
      <c r="I365" s="475"/>
      <c r="J365" s="475"/>
      <c r="K365" s="475"/>
      <c r="L365" s="475"/>
      <c r="M365" s="475"/>
      <c r="N365" s="475"/>
      <c r="O365" s="475"/>
      <c r="P365" s="475"/>
      <c r="Q365" s="475"/>
      <c r="R365" s="475"/>
      <c r="S365" s="475"/>
      <c r="T365" s="475"/>
      <c r="U365" s="442"/>
      <c r="V365" s="420"/>
    </row>
    <row r="366" spans="1:22" ht="23.25">
      <c r="A366" s="420"/>
      <c r="B366" s="485"/>
      <c r="C366" s="475"/>
      <c r="D366" s="475"/>
      <c r="E366" s="475"/>
      <c r="F366" s="475"/>
      <c r="G366" s="475"/>
      <c r="H366" s="475"/>
      <c r="I366" s="475"/>
      <c r="J366" s="475"/>
      <c r="K366" s="475"/>
      <c r="L366" s="475"/>
      <c r="M366" s="475"/>
      <c r="N366" s="475"/>
      <c r="O366" s="475"/>
      <c r="P366" s="475"/>
      <c r="Q366" s="475"/>
      <c r="R366" s="475"/>
      <c r="S366" s="475"/>
      <c r="T366" s="475"/>
      <c r="U366" s="442"/>
      <c r="V366" s="420"/>
    </row>
    <row r="367" spans="1:22" ht="23.25">
      <c r="A367" s="420"/>
      <c r="B367" s="485"/>
      <c r="C367" s="475"/>
      <c r="D367" s="475"/>
      <c r="E367" s="475"/>
      <c r="F367" s="475"/>
      <c r="G367" s="475"/>
      <c r="H367" s="475"/>
      <c r="I367" s="475"/>
      <c r="J367" s="475"/>
      <c r="K367" s="475"/>
      <c r="L367" s="475"/>
      <c r="M367" s="475"/>
      <c r="N367" s="475"/>
      <c r="O367" s="475"/>
      <c r="P367" s="475"/>
      <c r="Q367" s="475"/>
      <c r="R367" s="475"/>
      <c r="S367" s="475"/>
      <c r="T367" s="475"/>
      <c r="U367" s="442"/>
      <c r="V367" s="420"/>
    </row>
    <row r="368" spans="1:22" ht="23.25">
      <c r="A368" s="420"/>
      <c r="B368" s="485"/>
      <c r="C368" s="475"/>
      <c r="D368" s="475"/>
      <c r="E368" s="475"/>
      <c r="F368" s="475"/>
      <c r="G368" s="475"/>
      <c r="H368" s="475"/>
      <c r="I368" s="475"/>
      <c r="J368" s="475"/>
      <c r="K368" s="475"/>
      <c r="L368" s="475"/>
      <c r="M368" s="475"/>
      <c r="N368" s="475"/>
      <c r="O368" s="475"/>
      <c r="P368" s="475"/>
      <c r="Q368" s="475"/>
      <c r="R368" s="475"/>
      <c r="S368" s="475"/>
      <c r="T368" s="475"/>
      <c r="U368" s="442"/>
      <c r="V368" s="420"/>
    </row>
    <row r="369" spans="1:22" ht="23.25">
      <c r="A369" s="420"/>
      <c r="B369" s="487"/>
      <c r="C369" s="459"/>
      <c r="D369" s="459"/>
      <c r="E369" s="459"/>
      <c r="F369" s="459"/>
      <c r="G369" s="459"/>
      <c r="H369" s="459"/>
      <c r="I369" s="459"/>
      <c r="J369" s="459"/>
      <c r="K369" s="459"/>
      <c r="L369" s="459"/>
      <c r="M369" s="459"/>
      <c r="N369" s="459"/>
      <c r="O369" s="459"/>
      <c r="P369" s="459"/>
      <c r="Q369" s="459"/>
      <c r="R369" s="459"/>
      <c r="S369" s="459"/>
      <c r="T369" s="459"/>
      <c r="U369" s="460"/>
      <c r="V369" s="420"/>
    </row>
    <row r="370" spans="1:22" ht="23.25">
      <c r="A370" s="420"/>
      <c r="B370" s="474" t="s">
        <v>664</v>
      </c>
      <c r="C370" s="475"/>
      <c r="D370" s="475"/>
      <c r="E370" s="475"/>
      <c r="F370" s="475"/>
      <c r="G370" s="475"/>
      <c r="H370" s="475"/>
      <c r="I370" s="475"/>
      <c r="J370" s="475"/>
      <c r="K370" s="475"/>
      <c r="L370" s="475"/>
      <c r="M370" s="475"/>
      <c r="N370" s="475"/>
      <c r="O370" s="475"/>
      <c r="P370" s="475"/>
      <c r="Q370" s="475"/>
      <c r="R370" s="475"/>
      <c r="S370" s="475"/>
      <c r="T370" s="475"/>
      <c r="U370" s="475"/>
      <c r="V370" s="420"/>
    </row>
    <row r="371" spans="1:22" ht="23.25">
      <c r="A371" s="420"/>
      <c r="B371" s="475"/>
      <c r="C371" s="475"/>
      <c r="D371" s="475"/>
      <c r="E371" s="475"/>
      <c r="F371" s="475"/>
      <c r="G371" s="475"/>
      <c r="H371" s="475"/>
      <c r="I371" s="475"/>
      <c r="J371" s="475"/>
      <c r="K371" s="475"/>
      <c r="L371" s="475"/>
      <c r="M371" s="475"/>
      <c r="N371" s="475"/>
      <c r="O371" s="475"/>
      <c r="P371" s="475"/>
      <c r="Q371" s="475"/>
      <c r="R371" s="475"/>
      <c r="S371" s="475"/>
      <c r="T371" s="475"/>
      <c r="U371" s="475"/>
      <c r="V371" s="420"/>
    </row>
    <row r="372" spans="1:22" ht="23.25">
      <c r="A372" s="420"/>
      <c r="B372" s="475"/>
      <c r="C372" s="475"/>
      <c r="D372" s="475"/>
      <c r="E372" s="475"/>
      <c r="F372" s="475"/>
      <c r="G372" s="475"/>
      <c r="H372" s="475"/>
      <c r="I372" s="475"/>
      <c r="J372" s="475"/>
      <c r="K372" s="475"/>
      <c r="L372" s="475"/>
      <c r="M372" s="475"/>
      <c r="N372" s="475"/>
      <c r="O372" s="475"/>
      <c r="P372" s="475"/>
      <c r="Q372" s="475"/>
      <c r="R372" s="475"/>
      <c r="S372" s="475"/>
      <c r="T372" s="475"/>
      <c r="U372" s="475"/>
      <c r="V372" s="420"/>
    </row>
    <row r="373" spans="1:22" ht="23.25">
      <c r="A373" s="420"/>
      <c r="C373" s="475"/>
      <c r="D373" s="475"/>
      <c r="E373" s="475"/>
      <c r="F373" s="475"/>
      <c r="G373" s="475"/>
      <c r="H373" s="475"/>
      <c r="I373" s="475"/>
      <c r="J373" s="475"/>
      <c r="K373" s="475"/>
      <c r="L373" s="475"/>
      <c r="M373" s="475"/>
      <c r="N373" s="475"/>
      <c r="O373" s="475"/>
      <c r="P373" s="475"/>
      <c r="Q373" s="475"/>
      <c r="R373" s="475"/>
      <c r="S373" s="475"/>
      <c r="T373" s="475"/>
      <c r="U373" s="475"/>
      <c r="V373" s="420"/>
    </row>
    <row r="374" spans="1:22" ht="23.25">
      <c r="A374" s="420"/>
      <c r="B374" s="475"/>
      <c r="C374" s="475"/>
      <c r="D374" s="475"/>
      <c r="E374" s="475"/>
      <c r="F374" s="475"/>
      <c r="G374" s="475"/>
      <c r="H374" s="475"/>
      <c r="I374" s="475"/>
      <c r="J374" s="475"/>
      <c r="K374" s="475"/>
      <c r="L374" s="475"/>
      <c r="M374" s="476" t="s">
        <v>1464</v>
      </c>
      <c r="N374" s="475"/>
      <c r="O374" s="475"/>
      <c r="P374" s="475"/>
      <c r="Q374" s="475"/>
      <c r="R374" s="477" t="s">
        <v>692</v>
      </c>
      <c r="S374" s="478" t="str">
        <f>$E$29</f>
        <v>ILF5_90FCOR_B114CAGR43006</v>
      </c>
      <c r="T374" s="475"/>
      <c r="U374" s="475"/>
      <c r="V374" s="420"/>
    </row>
    <row r="375" spans="1:22" ht="23.25">
      <c r="A375" s="420"/>
      <c r="B375" s="475"/>
      <c r="C375" s="475"/>
      <c r="D375" s="475"/>
      <c r="E375" s="475"/>
      <c r="F375" s="475"/>
      <c r="G375" s="475"/>
      <c r="H375" s="475"/>
      <c r="I375" s="475"/>
      <c r="J375" s="475"/>
      <c r="K375" s="475"/>
      <c r="L375" s="475"/>
      <c r="M375" s="475"/>
      <c r="N375" s="475"/>
      <c r="O375" s="475"/>
      <c r="P375" s="475"/>
      <c r="Q375" s="475"/>
      <c r="R375" s="475"/>
      <c r="S375" s="475"/>
      <c r="T375" s="475"/>
      <c r="U375" s="475"/>
      <c r="V375" s="420"/>
    </row>
    <row r="376" spans="1:22" ht="10.9" customHeight="1">
      <c r="A376" s="420"/>
      <c r="B376" s="475"/>
      <c r="C376" s="475"/>
      <c r="D376" s="475"/>
      <c r="E376" s="475"/>
      <c r="F376" s="475"/>
      <c r="G376" s="475"/>
      <c r="H376" s="475"/>
      <c r="I376" s="475"/>
      <c r="J376" s="475"/>
      <c r="K376" s="475"/>
      <c r="L376" s="475"/>
      <c r="M376" s="475"/>
      <c r="N376" s="475"/>
      <c r="O376" s="475"/>
      <c r="P376" s="475"/>
      <c r="Q376" s="475"/>
      <c r="R376" s="475"/>
      <c r="S376" s="475"/>
      <c r="T376" s="475"/>
      <c r="U376" s="475"/>
      <c r="V376" s="420"/>
    </row>
    <row r="377" spans="1:22">
      <c r="A377" s="420"/>
      <c r="B377" s="420"/>
      <c r="C377" s="420"/>
      <c r="D377" s="420"/>
      <c r="E377" s="420"/>
      <c r="F377" s="420"/>
      <c r="G377" s="420"/>
      <c r="H377" s="436" t="s">
        <v>690</v>
      </c>
      <c r="I377" s="420"/>
      <c r="K377" s="420"/>
      <c r="L377" s="437" t="str">
        <f>$B$11</f>
        <v>INMOBILIARIA SERVIGESTION</v>
      </c>
      <c r="M377" s="420"/>
      <c r="N377" s="420"/>
      <c r="O377" s="420"/>
      <c r="P377" s="420"/>
      <c r="Q377" s="420"/>
      <c r="R377" s="420"/>
      <c r="S377" s="420"/>
      <c r="T377" s="420"/>
      <c r="U377" s="420"/>
      <c r="V377" s="420"/>
    </row>
    <row r="378" spans="1:22" ht="34.5">
      <c r="A378" s="420"/>
      <c r="B378" s="2268" t="s">
        <v>461</v>
      </c>
      <c r="C378" s="2268"/>
      <c r="D378" s="2268"/>
      <c r="E378" s="2268"/>
      <c r="F378" s="2268"/>
      <c r="G378" s="2268"/>
      <c r="H378" s="2268"/>
      <c r="I378" s="2268"/>
      <c r="J378" s="2268"/>
      <c r="K378" s="2268"/>
      <c r="L378" s="2268"/>
      <c r="M378" s="2268"/>
      <c r="N378" s="2268"/>
      <c r="O378" s="2268"/>
      <c r="P378" s="2268"/>
      <c r="Q378" s="2268"/>
      <c r="R378" s="2268"/>
      <c r="S378" s="2268"/>
      <c r="T378" s="2268"/>
      <c r="U378" s="2268"/>
      <c r="V378" s="420"/>
    </row>
    <row r="379" spans="1:22" ht="22.9" customHeight="1">
      <c r="A379" s="420"/>
      <c r="B379" s="2269" t="s">
        <v>795</v>
      </c>
      <c r="C379" s="2269"/>
      <c r="D379" s="2269"/>
      <c r="E379" s="2269"/>
      <c r="F379" s="2269"/>
      <c r="G379" s="2269"/>
      <c r="H379" s="2269"/>
      <c r="I379" s="2269"/>
      <c r="J379" s="2269"/>
      <c r="K379" s="2269"/>
      <c r="L379" s="2269"/>
      <c r="M379" s="2269"/>
      <c r="N379" s="2269"/>
      <c r="O379" s="2269"/>
      <c r="P379" s="2269"/>
      <c r="Q379" s="2269"/>
      <c r="R379" s="2269"/>
      <c r="S379" s="2269"/>
      <c r="T379" s="2269"/>
      <c r="U379" s="2269"/>
      <c r="V379" s="420"/>
    </row>
    <row r="380" spans="1:22" ht="16.149999999999999" customHeight="1">
      <c r="A380" s="420"/>
      <c r="B380" s="757"/>
      <c r="C380" s="757"/>
      <c r="D380" s="757"/>
      <c r="E380" s="757"/>
      <c r="F380" s="757"/>
      <c r="G380" s="757"/>
      <c r="H380" s="757"/>
      <c r="I380" s="757"/>
      <c r="J380" s="757"/>
      <c r="K380" s="757"/>
      <c r="L380" s="757"/>
      <c r="M380" s="757"/>
      <c r="N380" s="757"/>
      <c r="O380" s="757"/>
      <c r="Q380" s="757"/>
      <c r="R380" s="757"/>
      <c r="S380" s="757"/>
      <c r="T380" s="757"/>
      <c r="U380" s="757"/>
      <c r="V380" s="420"/>
    </row>
    <row r="381" spans="1:22" ht="129.75" customHeight="1">
      <c r="A381" s="420"/>
      <c r="B381" s="2251" t="s">
        <v>1897</v>
      </c>
      <c r="C381" s="2251"/>
      <c r="D381" s="2251"/>
      <c r="E381" s="2251"/>
      <c r="F381" s="2251"/>
      <c r="G381" s="2251"/>
      <c r="H381" s="2251"/>
      <c r="I381" s="2251"/>
      <c r="J381" s="2251"/>
      <c r="K381" s="2251"/>
      <c r="L381" s="2251"/>
      <c r="M381" s="2251"/>
      <c r="N381" s="2251"/>
      <c r="O381" s="2251"/>
      <c r="P381" s="2251"/>
      <c r="Q381" s="2251"/>
      <c r="R381" s="2251"/>
      <c r="S381" s="2251"/>
      <c r="T381" s="2251"/>
      <c r="U381" s="2251"/>
      <c r="V381" s="420"/>
    </row>
    <row r="382" spans="1:22" ht="23.25" customHeight="1">
      <c r="A382" s="420"/>
      <c r="B382" s="2325" t="s">
        <v>339</v>
      </c>
      <c r="C382" s="2326"/>
      <c r="D382" s="2326"/>
      <c r="E382" s="2326"/>
      <c r="F382" s="669" t="s">
        <v>666</v>
      </c>
      <c r="G382" s="745"/>
      <c r="H382" s="745"/>
      <c r="I382" s="745"/>
      <c r="J382" s="745"/>
      <c r="K382" s="745"/>
      <c r="L382" s="745"/>
      <c r="M382" s="745"/>
      <c r="N382" s="745"/>
      <c r="O382" s="745"/>
      <c r="P382" s="745"/>
      <c r="Q382" s="745"/>
      <c r="R382" s="745"/>
      <c r="S382" s="745"/>
      <c r="T382" s="745"/>
      <c r="U382" s="439"/>
      <c r="V382" s="420"/>
    </row>
    <row r="383" spans="1:22" ht="40.9" customHeight="1">
      <c r="A383" s="420"/>
      <c r="B383" s="2297" t="s">
        <v>665</v>
      </c>
      <c r="C383" s="2288"/>
      <c r="D383" s="2288"/>
      <c r="E383" s="2288"/>
      <c r="F383" s="2288"/>
      <c r="G383" s="2288"/>
      <c r="H383" s="2288"/>
      <c r="I383" s="2288"/>
      <c r="J383" s="2288"/>
      <c r="K383" s="2288"/>
      <c r="L383" s="2288"/>
      <c r="M383" s="2288"/>
      <c r="N383" s="2288"/>
      <c r="O383" s="2288"/>
      <c r="P383" s="2288"/>
      <c r="Q383" s="2288"/>
      <c r="R383" s="2288"/>
      <c r="S383" s="2288"/>
      <c r="T383" s="2288"/>
      <c r="U383" s="2298"/>
      <c r="V383" s="420"/>
    </row>
    <row r="384" spans="1:22" ht="23.25" customHeight="1">
      <c r="A384" s="420"/>
      <c r="B384" s="742"/>
      <c r="C384" s="2288" t="s">
        <v>1058</v>
      </c>
      <c r="D384" s="2288"/>
      <c r="E384" s="2288"/>
      <c r="F384" s="2288"/>
      <c r="G384" s="2288"/>
      <c r="H384" s="2288"/>
      <c r="I384" s="2288"/>
      <c r="J384" s="2288"/>
      <c r="K384" s="2288"/>
      <c r="L384" s="2288"/>
      <c r="M384" s="2288"/>
      <c r="N384" s="2288"/>
      <c r="O384" s="2288"/>
      <c r="P384" s="2288"/>
      <c r="Q384" s="2288"/>
      <c r="R384" s="2288"/>
      <c r="S384" s="2288"/>
      <c r="T384" s="743"/>
      <c r="U384" s="744"/>
      <c r="V384" s="420"/>
    </row>
    <row r="385" spans="1:22" ht="23.25" customHeight="1">
      <c r="A385" s="420"/>
      <c r="B385" s="742"/>
      <c r="C385" s="2288" t="s">
        <v>1059</v>
      </c>
      <c r="D385" s="2288"/>
      <c r="E385" s="2288"/>
      <c r="F385" s="2288"/>
      <c r="G385" s="2288"/>
      <c r="H385" s="2288"/>
      <c r="I385" s="2288"/>
      <c r="J385" s="2288"/>
      <c r="K385" s="2288"/>
      <c r="L385" s="2288"/>
      <c r="M385" s="2288"/>
      <c r="N385" s="2288"/>
      <c r="O385" s="2288"/>
      <c r="P385" s="2288"/>
      <c r="Q385" s="2288"/>
      <c r="R385" s="2288"/>
      <c r="S385" s="2288"/>
      <c r="T385" s="743"/>
      <c r="U385" s="744"/>
      <c r="V385" s="420"/>
    </row>
    <row r="386" spans="1:22" ht="23.25" customHeight="1">
      <c r="A386" s="420"/>
      <c r="B386" s="742"/>
      <c r="C386" s="2288" t="s">
        <v>1060</v>
      </c>
      <c r="D386" s="2288"/>
      <c r="E386" s="2288"/>
      <c r="F386" s="2288"/>
      <c r="G386" s="2288"/>
      <c r="H386" s="2288"/>
      <c r="I386" s="2288"/>
      <c r="J386" s="2288"/>
      <c r="K386" s="2288"/>
      <c r="L386" s="2288"/>
      <c r="M386" s="2288"/>
      <c r="N386" s="2288"/>
      <c r="O386" s="2288"/>
      <c r="P386" s="2288"/>
      <c r="Q386" s="2288"/>
      <c r="R386" s="2288"/>
      <c r="S386" s="2288"/>
      <c r="T386" s="743"/>
      <c r="U386" s="744"/>
      <c r="V386" s="420"/>
    </row>
    <row r="387" spans="1:22" ht="23.25" customHeight="1">
      <c r="A387" s="420"/>
      <c r="B387" s="742"/>
      <c r="C387" s="2288" t="s">
        <v>1061</v>
      </c>
      <c r="D387" s="2288"/>
      <c r="E387" s="2288"/>
      <c r="F387" s="2288"/>
      <c r="G387" s="2288"/>
      <c r="H387" s="2288"/>
      <c r="I387" s="2288"/>
      <c r="J387" s="2288"/>
      <c r="K387" s="2288"/>
      <c r="L387" s="2288"/>
      <c r="M387" s="2288"/>
      <c r="N387" s="2288"/>
      <c r="O387" s="2288"/>
      <c r="P387" s="2288"/>
      <c r="Q387" s="2288"/>
      <c r="R387" s="2288"/>
      <c r="S387" s="2288"/>
      <c r="T387" s="743"/>
      <c r="U387" s="744"/>
      <c r="V387" s="420"/>
    </row>
    <row r="388" spans="1:22" ht="12" customHeight="1">
      <c r="A388" s="420"/>
      <c r="B388" s="487"/>
      <c r="C388" s="459"/>
      <c r="D388" s="459"/>
      <c r="E388" s="459"/>
      <c r="F388" s="459"/>
      <c r="G388" s="459"/>
      <c r="H388" s="459"/>
      <c r="I388" s="459"/>
      <c r="J388" s="459"/>
      <c r="K388" s="459"/>
      <c r="L388" s="459"/>
      <c r="M388" s="459"/>
      <c r="N388" s="459"/>
      <c r="O388" s="459"/>
      <c r="P388" s="459"/>
      <c r="Q388" s="459"/>
      <c r="R388" s="459"/>
      <c r="S388" s="459"/>
      <c r="T388" s="459"/>
      <c r="U388" s="460"/>
      <c r="V388" s="420"/>
    </row>
    <row r="389" spans="1:22" ht="23.25">
      <c r="A389" s="420"/>
      <c r="B389" s="474" t="s">
        <v>699</v>
      </c>
      <c r="C389" s="757"/>
      <c r="D389" s="757"/>
      <c r="E389" s="757"/>
      <c r="F389" s="757"/>
      <c r="G389" s="757"/>
      <c r="H389" s="757"/>
      <c r="I389" s="757"/>
      <c r="J389" s="757"/>
      <c r="K389" s="757"/>
      <c r="L389" s="757"/>
      <c r="M389" s="757"/>
      <c r="N389" s="757"/>
      <c r="O389" s="757"/>
      <c r="P389" s="757"/>
      <c r="Q389" s="757"/>
      <c r="R389" s="757"/>
      <c r="S389" s="757"/>
      <c r="T389" s="757"/>
      <c r="U389" s="757"/>
      <c r="V389" s="420"/>
    </row>
    <row r="390" spans="1:22" ht="12" customHeight="1">
      <c r="A390" s="420"/>
      <c r="B390" s="474"/>
      <c r="C390" s="757"/>
      <c r="D390" s="757"/>
      <c r="E390" s="757"/>
      <c r="F390" s="757"/>
      <c r="G390" s="757"/>
      <c r="H390" s="757"/>
      <c r="I390" s="757"/>
      <c r="J390" s="757"/>
      <c r="K390" s="757"/>
      <c r="L390" s="757"/>
      <c r="M390" s="757"/>
      <c r="N390" s="757"/>
      <c r="O390" s="757"/>
      <c r="P390" s="757"/>
      <c r="Q390" s="757"/>
      <c r="R390" s="757"/>
      <c r="S390" s="757"/>
      <c r="T390" s="757"/>
      <c r="U390" s="757"/>
      <c r="V390" s="420"/>
    </row>
    <row r="391" spans="1:22" ht="23.25">
      <c r="A391" s="420"/>
      <c r="B391" s="2325" t="s">
        <v>701</v>
      </c>
      <c r="C391" s="2326"/>
      <c r="D391" s="2326"/>
      <c r="E391" s="2326"/>
      <c r="F391" s="2326"/>
      <c r="G391" s="2326"/>
      <c r="H391" s="2326"/>
      <c r="I391" s="2326"/>
      <c r="J391" s="2326"/>
      <c r="K391" s="2326"/>
      <c r="L391" s="745"/>
      <c r="M391" s="745"/>
      <c r="N391" s="745"/>
      <c r="O391" s="745"/>
      <c r="P391" s="745"/>
      <c r="Q391" s="745"/>
      <c r="R391" s="745"/>
      <c r="S391" s="745"/>
      <c r="T391" s="745"/>
      <c r="U391" s="439"/>
      <c r="V391" s="420"/>
    </row>
    <row r="392" spans="1:22" ht="47.25" customHeight="1">
      <c r="A392" s="420"/>
      <c r="B392" s="2297" t="s">
        <v>702</v>
      </c>
      <c r="C392" s="2288"/>
      <c r="D392" s="2288"/>
      <c r="E392" s="2288"/>
      <c r="F392" s="2288"/>
      <c r="G392" s="2288"/>
      <c r="H392" s="2288"/>
      <c r="I392" s="2288"/>
      <c r="J392" s="2288"/>
      <c r="K392" s="2288"/>
      <c r="L392" s="2288"/>
      <c r="M392" s="2288"/>
      <c r="N392" s="2288"/>
      <c r="O392" s="2288"/>
      <c r="P392" s="2288"/>
      <c r="Q392" s="2288"/>
      <c r="R392" s="2288"/>
      <c r="S392" s="2288"/>
      <c r="T392" s="2288"/>
      <c r="U392" s="2298"/>
      <c r="V392" s="420"/>
    </row>
    <row r="393" spans="1:22" ht="23.25">
      <c r="A393" s="420"/>
      <c r="B393" s="742"/>
      <c r="C393" s="2288" t="s">
        <v>1062</v>
      </c>
      <c r="D393" s="2288"/>
      <c r="E393" s="2288"/>
      <c r="F393" s="2288"/>
      <c r="G393" s="2288"/>
      <c r="H393" s="2288"/>
      <c r="I393" s="2288"/>
      <c r="J393" s="2288"/>
      <c r="K393" s="2288"/>
      <c r="L393" s="2288"/>
      <c r="M393" s="2288"/>
      <c r="N393" s="2288"/>
      <c r="O393" s="2288"/>
      <c r="P393" s="2288"/>
      <c r="Q393" s="2288"/>
      <c r="R393" s="2288"/>
      <c r="S393" s="2288"/>
      <c r="T393" s="743"/>
      <c r="U393" s="744"/>
      <c r="V393" s="420"/>
    </row>
    <row r="394" spans="1:22" ht="23.25">
      <c r="A394" s="420"/>
      <c r="B394" s="742"/>
      <c r="C394" s="2288" t="s">
        <v>1063</v>
      </c>
      <c r="D394" s="2288"/>
      <c r="E394" s="2288"/>
      <c r="F394" s="2288"/>
      <c r="G394" s="2288"/>
      <c r="H394" s="2288"/>
      <c r="I394" s="2288"/>
      <c r="J394" s="2288"/>
      <c r="K394" s="2288"/>
      <c r="L394" s="2288"/>
      <c r="M394" s="2288"/>
      <c r="N394" s="2288"/>
      <c r="O394" s="2288"/>
      <c r="P394" s="2288"/>
      <c r="Q394" s="2288"/>
      <c r="R394" s="2288"/>
      <c r="S394" s="2288"/>
      <c r="T394" s="743"/>
      <c r="U394" s="744"/>
      <c r="V394" s="420"/>
    </row>
    <row r="395" spans="1:22" ht="23.25">
      <c r="A395" s="420"/>
      <c r="B395" s="742"/>
      <c r="C395" s="2288" t="s">
        <v>1064</v>
      </c>
      <c r="D395" s="2288"/>
      <c r="E395" s="2288"/>
      <c r="F395" s="2288"/>
      <c r="G395" s="2288"/>
      <c r="H395" s="2288"/>
      <c r="I395" s="2288"/>
      <c r="J395" s="2288"/>
      <c r="K395" s="2288"/>
      <c r="L395" s="2288"/>
      <c r="M395" s="2288"/>
      <c r="N395" s="2288"/>
      <c r="O395" s="2288"/>
      <c r="P395" s="2288"/>
      <c r="Q395" s="2288"/>
      <c r="R395" s="2288"/>
      <c r="S395" s="2288"/>
      <c r="T395" s="743"/>
      <c r="U395" s="744"/>
      <c r="V395" s="420"/>
    </row>
    <row r="396" spans="1:22" ht="23.25">
      <c r="A396" s="420"/>
      <c r="B396" s="742"/>
      <c r="C396" s="2288" t="s">
        <v>1065</v>
      </c>
      <c r="D396" s="2288"/>
      <c r="E396" s="2288"/>
      <c r="F396" s="2288"/>
      <c r="G396" s="2288"/>
      <c r="H396" s="2288"/>
      <c r="I396" s="2288"/>
      <c r="J396" s="2288"/>
      <c r="K396" s="2288"/>
      <c r="L396" s="2288"/>
      <c r="M396" s="2288"/>
      <c r="N396" s="2288"/>
      <c r="O396" s="2288"/>
      <c r="P396" s="2288"/>
      <c r="Q396" s="2288"/>
      <c r="R396" s="2288"/>
      <c r="S396" s="2288"/>
      <c r="T396" s="743"/>
      <c r="U396" s="744"/>
      <c r="V396" s="420"/>
    </row>
    <row r="397" spans="1:22" ht="23.25">
      <c r="A397" s="420"/>
      <c r="B397" s="742"/>
      <c r="C397" s="2288" t="s">
        <v>1071</v>
      </c>
      <c r="D397" s="2288"/>
      <c r="E397" s="2288"/>
      <c r="F397" s="2288"/>
      <c r="G397" s="2288"/>
      <c r="H397" s="2288"/>
      <c r="I397" s="2288"/>
      <c r="J397" s="2288"/>
      <c r="K397" s="2288"/>
      <c r="L397" s="2288"/>
      <c r="M397" s="2288"/>
      <c r="N397" s="2288"/>
      <c r="O397" s="2288"/>
      <c r="P397" s="2288"/>
      <c r="Q397" s="2288"/>
      <c r="R397" s="2288"/>
      <c r="S397" s="2288"/>
      <c r="T397" s="743"/>
      <c r="U397" s="744"/>
      <c r="V397" s="420"/>
    </row>
    <row r="398" spans="1:22" ht="38.25" customHeight="1">
      <c r="A398" s="420"/>
      <c r="B398" s="2297" t="s">
        <v>703</v>
      </c>
      <c r="C398" s="2288"/>
      <c r="D398" s="2288"/>
      <c r="E398" s="2288"/>
      <c r="F398" s="2288"/>
      <c r="G398" s="2288"/>
      <c r="H398" s="2288"/>
      <c r="I398" s="2288"/>
      <c r="J398" s="2288"/>
      <c r="K398" s="2288"/>
      <c r="L398" s="2288"/>
      <c r="M398" s="2288"/>
      <c r="N398" s="2288"/>
      <c r="O398" s="2288"/>
      <c r="P398" s="2288"/>
      <c r="Q398" s="2288"/>
      <c r="R398" s="2288"/>
      <c r="S398" s="2288"/>
      <c r="T398" s="2288"/>
      <c r="U398" s="2298"/>
      <c r="V398" s="420"/>
    </row>
    <row r="399" spans="1:22" ht="23.25" customHeight="1">
      <c r="A399" s="420"/>
      <c r="B399" s="742"/>
      <c r="C399" s="2418" t="s">
        <v>979</v>
      </c>
      <c r="D399" s="2418"/>
      <c r="E399" s="2418"/>
      <c r="F399" s="2418"/>
      <c r="G399" s="2418"/>
      <c r="H399" s="2418"/>
      <c r="I399" s="740"/>
      <c r="J399" s="2418" t="s">
        <v>980</v>
      </c>
      <c r="K399" s="2418"/>
      <c r="L399" s="2418"/>
      <c r="M399" s="2418"/>
      <c r="N399" s="2418"/>
      <c r="O399" s="2418"/>
      <c r="P399" s="479"/>
      <c r="Q399" s="671" t="s">
        <v>981</v>
      </c>
      <c r="R399" s="672"/>
      <c r="S399" s="672"/>
      <c r="T399" s="673"/>
      <c r="U399" s="674"/>
      <c r="V399" s="420"/>
    </row>
    <row r="400" spans="1:22" ht="105" customHeight="1">
      <c r="A400" s="420"/>
      <c r="B400" s="485"/>
      <c r="C400" s="2419" t="s">
        <v>707</v>
      </c>
      <c r="D400" s="2419"/>
      <c r="E400" s="2419"/>
      <c r="F400" s="2419"/>
      <c r="G400" s="2419"/>
      <c r="H400" s="2419"/>
      <c r="I400" s="475"/>
      <c r="J400" s="2419" t="s">
        <v>704</v>
      </c>
      <c r="K400" s="2419"/>
      <c r="L400" s="2419"/>
      <c r="M400" s="2419"/>
      <c r="N400" s="2419"/>
      <c r="O400" s="2419"/>
      <c r="P400" s="475"/>
      <c r="Q400" s="2419" t="s">
        <v>705</v>
      </c>
      <c r="R400" s="2419"/>
      <c r="S400" s="2419"/>
      <c r="T400" s="2419"/>
      <c r="U400" s="2420"/>
      <c r="V400" s="420"/>
    </row>
    <row r="401" spans="1:22" ht="59.25" customHeight="1">
      <c r="A401" s="420"/>
      <c r="B401" s="2297" t="s">
        <v>706</v>
      </c>
      <c r="C401" s="2288"/>
      <c r="D401" s="2288"/>
      <c r="E401" s="2288"/>
      <c r="F401" s="2288"/>
      <c r="G401" s="2288"/>
      <c r="H401" s="2288"/>
      <c r="I401" s="2288"/>
      <c r="J401" s="2288"/>
      <c r="K401" s="2288"/>
      <c r="L401" s="2288"/>
      <c r="M401" s="2288"/>
      <c r="N401" s="2288"/>
      <c r="O401" s="2288"/>
      <c r="P401" s="2288"/>
      <c r="Q401" s="2288"/>
      <c r="R401" s="2288"/>
      <c r="S401" s="2288"/>
      <c r="T401" s="2288"/>
      <c r="U401" s="2298"/>
      <c r="V401" s="420"/>
    </row>
    <row r="402" spans="1:22" ht="23.25">
      <c r="A402" s="420"/>
      <c r="B402" s="675"/>
      <c r="C402" s="475"/>
      <c r="D402" s="475"/>
      <c r="E402" s="475"/>
      <c r="F402" s="475"/>
      <c r="G402" s="475"/>
      <c r="H402" s="475"/>
      <c r="I402" s="475"/>
      <c r="J402" s="475"/>
      <c r="K402" s="475"/>
      <c r="L402" s="475"/>
      <c r="M402" s="475"/>
      <c r="N402" s="475"/>
      <c r="O402" s="475"/>
      <c r="P402" s="475"/>
      <c r="Q402" s="475"/>
      <c r="R402" s="475"/>
      <c r="S402" s="475"/>
      <c r="T402" s="475"/>
      <c r="U402" s="442"/>
      <c r="V402" s="420"/>
    </row>
    <row r="403" spans="1:22" ht="23.25">
      <c r="A403" s="420"/>
      <c r="B403" s="675"/>
      <c r="C403" s="475"/>
      <c r="D403" s="475"/>
      <c r="E403" s="475"/>
      <c r="F403" s="475"/>
      <c r="G403" s="475"/>
      <c r="H403" s="475"/>
      <c r="I403" s="475"/>
      <c r="J403" s="475"/>
      <c r="K403" s="475"/>
      <c r="L403" s="475"/>
      <c r="M403" s="475"/>
      <c r="N403" s="475"/>
      <c r="O403" s="475"/>
      <c r="P403" s="475"/>
      <c r="Q403" s="475"/>
      <c r="R403" s="475"/>
      <c r="S403" s="475"/>
      <c r="T403" s="475"/>
      <c r="U403" s="442"/>
      <c r="V403" s="420"/>
    </row>
    <row r="404" spans="1:22" ht="23.25">
      <c r="A404" s="420"/>
      <c r="B404" s="675"/>
      <c r="C404" s="475"/>
      <c r="D404" s="475"/>
      <c r="E404" s="475"/>
      <c r="F404" s="475"/>
      <c r="G404" s="475"/>
      <c r="H404" s="475"/>
      <c r="I404" s="475"/>
      <c r="J404" s="475"/>
      <c r="K404" s="475"/>
      <c r="L404" s="475"/>
      <c r="M404" s="475"/>
      <c r="N404" s="475"/>
      <c r="O404" s="475"/>
      <c r="P404" s="475"/>
      <c r="Q404" s="475"/>
      <c r="R404" s="475"/>
      <c r="S404" s="475"/>
      <c r="T404" s="475"/>
      <c r="U404" s="442"/>
      <c r="V404" s="420"/>
    </row>
    <row r="405" spans="1:22" ht="23.25">
      <c r="A405" s="420"/>
      <c r="B405" s="675"/>
      <c r="C405" s="475"/>
      <c r="D405" s="475"/>
      <c r="E405" s="475"/>
      <c r="F405" s="475"/>
      <c r="G405" s="475"/>
      <c r="H405" s="475"/>
      <c r="I405" s="475"/>
      <c r="J405" s="475"/>
      <c r="K405" s="475"/>
      <c r="L405" s="475"/>
      <c r="M405" s="475"/>
      <c r="N405" s="475"/>
      <c r="O405" s="475"/>
      <c r="P405" s="475"/>
      <c r="Q405" s="475"/>
      <c r="R405" s="475"/>
      <c r="S405" s="475"/>
      <c r="T405" s="475"/>
      <c r="U405" s="442"/>
      <c r="V405" s="420"/>
    </row>
    <row r="406" spans="1:22" ht="23.25">
      <c r="A406" s="420"/>
      <c r="B406" s="675"/>
      <c r="C406" s="475"/>
      <c r="D406" s="475"/>
      <c r="E406" s="475"/>
      <c r="F406" s="475"/>
      <c r="G406" s="475"/>
      <c r="H406" s="475"/>
      <c r="I406" s="475"/>
      <c r="J406" s="475"/>
      <c r="K406" s="475"/>
      <c r="L406" s="475"/>
      <c r="M406" s="475"/>
      <c r="N406" s="475"/>
      <c r="O406" s="475"/>
      <c r="P406" s="475"/>
      <c r="Q406" s="475"/>
      <c r="R406" s="475"/>
      <c r="S406" s="475"/>
      <c r="T406" s="475"/>
      <c r="U406" s="442"/>
      <c r="V406" s="420"/>
    </row>
    <row r="407" spans="1:22" ht="23.25">
      <c r="A407" s="420"/>
      <c r="B407" s="675"/>
      <c r="C407" s="475"/>
      <c r="D407" s="475"/>
      <c r="E407" s="475"/>
      <c r="F407" s="475"/>
      <c r="G407" s="475"/>
      <c r="H407" s="475"/>
      <c r="I407" s="475"/>
      <c r="J407" s="475"/>
      <c r="K407" s="475"/>
      <c r="L407" s="475"/>
      <c r="M407" s="475"/>
      <c r="N407" s="475"/>
      <c r="O407" s="475"/>
      <c r="P407" s="475"/>
      <c r="Q407" s="475"/>
      <c r="R407" s="475"/>
      <c r="S407" s="475"/>
      <c r="T407" s="475"/>
      <c r="U407" s="442"/>
      <c r="V407" s="420"/>
    </row>
    <row r="408" spans="1:22" ht="23.25">
      <c r="A408" s="420"/>
      <c r="B408" s="675"/>
      <c r="C408" s="475"/>
      <c r="D408" s="475"/>
      <c r="E408" s="475"/>
      <c r="F408" s="475"/>
      <c r="G408" s="475"/>
      <c r="H408" s="475"/>
      <c r="I408" s="475"/>
      <c r="J408" s="475"/>
      <c r="K408" s="475"/>
      <c r="L408" s="475"/>
      <c r="M408" s="475"/>
      <c r="N408" s="475"/>
      <c r="O408" s="475"/>
      <c r="P408" s="475"/>
      <c r="Q408" s="475"/>
      <c r="R408" s="475"/>
      <c r="S408" s="475"/>
      <c r="T408" s="475"/>
      <c r="U408" s="442"/>
      <c r="V408" s="420"/>
    </row>
    <row r="409" spans="1:22" ht="23.25">
      <c r="A409" s="420"/>
      <c r="B409" s="675"/>
      <c r="C409" s="475"/>
      <c r="D409" s="475"/>
      <c r="E409" s="475"/>
      <c r="F409" s="475"/>
      <c r="G409" s="475"/>
      <c r="H409" s="475"/>
      <c r="I409" s="475"/>
      <c r="J409" s="475"/>
      <c r="K409" s="475"/>
      <c r="L409" s="475"/>
      <c r="M409" s="475"/>
      <c r="N409" s="475"/>
      <c r="O409" s="475"/>
      <c r="P409" s="475"/>
      <c r="Q409" s="475"/>
      <c r="R409" s="475"/>
      <c r="S409" s="475"/>
      <c r="T409" s="475"/>
      <c r="U409" s="442"/>
      <c r="V409" s="420"/>
    </row>
    <row r="410" spans="1:22" ht="23.25">
      <c r="A410" s="420"/>
      <c r="B410" s="675"/>
      <c r="C410" s="475"/>
      <c r="D410" s="475"/>
      <c r="E410" s="475"/>
      <c r="F410" s="475"/>
      <c r="G410" s="475"/>
      <c r="H410" s="475"/>
      <c r="I410" s="475"/>
      <c r="J410" s="475"/>
      <c r="K410" s="475"/>
      <c r="L410" s="475"/>
      <c r="M410" s="475"/>
      <c r="N410" s="475"/>
      <c r="O410" s="475"/>
      <c r="P410" s="475"/>
      <c r="Q410" s="475"/>
      <c r="R410" s="475"/>
      <c r="S410" s="475"/>
      <c r="T410" s="475"/>
      <c r="U410" s="442"/>
      <c r="V410" s="420"/>
    </row>
    <row r="411" spans="1:22" ht="23.25">
      <c r="A411" s="420"/>
      <c r="B411" s="675"/>
      <c r="C411" s="475"/>
      <c r="D411" s="475"/>
      <c r="E411" s="475"/>
      <c r="F411" s="475"/>
      <c r="G411" s="475"/>
      <c r="H411" s="475"/>
      <c r="I411" s="475"/>
      <c r="J411" s="475"/>
      <c r="K411" s="475"/>
      <c r="L411" s="475"/>
      <c r="M411" s="475"/>
      <c r="N411" s="475"/>
      <c r="O411" s="475"/>
      <c r="P411" s="475"/>
      <c r="Q411" s="475"/>
      <c r="R411" s="475"/>
      <c r="S411" s="475"/>
      <c r="T411" s="475"/>
      <c r="U411" s="442"/>
      <c r="V411" s="420"/>
    </row>
    <row r="412" spans="1:22" ht="23.25">
      <c r="A412" s="420"/>
      <c r="B412" s="675"/>
      <c r="C412" s="475"/>
      <c r="D412" s="475"/>
      <c r="E412" s="475"/>
      <c r="F412" s="475"/>
      <c r="G412" s="475"/>
      <c r="H412" s="475"/>
      <c r="I412" s="475"/>
      <c r="J412" s="475"/>
      <c r="K412" s="475"/>
      <c r="L412" s="475"/>
      <c r="M412" s="475"/>
      <c r="N412" s="475"/>
      <c r="O412" s="475"/>
      <c r="P412" s="475"/>
      <c r="Q412" s="475"/>
      <c r="R412" s="475"/>
      <c r="S412" s="475"/>
      <c r="T412" s="475"/>
      <c r="U412" s="442"/>
      <c r="V412" s="420"/>
    </row>
    <row r="413" spans="1:22" ht="23.25">
      <c r="A413" s="420"/>
      <c r="B413" s="675"/>
      <c r="C413" s="475"/>
      <c r="D413" s="475"/>
      <c r="E413" s="475"/>
      <c r="F413" s="475"/>
      <c r="G413" s="475"/>
      <c r="H413" s="475"/>
      <c r="I413" s="475"/>
      <c r="J413" s="475"/>
      <c r="K413" s="475"/>
      <c r="L413" s="475"/>
      <c r="M413" s="475"/>
      <c r="N413" s="475"/>
      <c r="O413" s="475"/>
      <c r="P413" s="475"/>
      <c r="Q413" s="475"/>
      <c r="R413" s="475"/>
      <c r="S413" s="475"/>
      <c r="T413" s="475"/>
      <c r="U413" s="442"/>
      <c r="V413" s="420"/>
    </row>
    <row r="414" spans="1:22" ht="23.25">
      <c r="A414" s="420"/>
      <c r="B414" s="675"/>
      <c r="C414" s="475"/>
      <c r="D414" s="475"/>
      <c r="E414" s="475"/>
      <c r="F414" s="475"/>
      <c r="G414" s="475"/>
      <c r="H414" s="475"/>
      <c r="I414" s="475"/>
      <c r="J414" s="475"/>
      <c r="K414" s="475"/>
      <c r="L414" s="475"/>
      <c r="M414" s="475"/>
      <c r="N414" s="475"/>
      <c r="O414" s="475"/>
      <c r="P414" s="475"/>
      <c r="Q414" s="475"/>
      <c r="R414" s="475"/>
      <c r="S414" s="475"/>
      <c r="T414" s="475"/>
      <c r="U414" s="442"/>
      <c r="V414" s="420"/>
    </row>
    <row r="415" spans="1:22" ht="23.25">
      <c r="A415" s="420"/>
      <c r="B415" s="675"/>
      <c r="C415" s="475"/>
      <c r="D415" s="475"/>
      <c r="E415" s="475"/>
      <c r="F415" s="475"/>
      <c r="G415" s="475"/>
      <c r="H415" s="475"/>
      <c r="I415" s="475"/>
      <c r="J415" s="475"/>
      <c r="K415" s="475"/>
      <c r="L415" s="475"/>
      <c r="M415" s="475"/>
      <c r="N415" s="475"/>
      <c r="O415" s="475"/>
      <c r="P415" s="475"/>
      <c r="Q415" s="475"/>
      <c r="R415" s="475"/>
      <c r="S415" s="475"/>
      <c r="T415" s="475"/>
      <c r="U415" s="442"/>
      <c r="V415" s="420"/>
    </row>
    <row r="416" spans="1:22" ht="23.25">
      <c r="A416" s="420"/>
      <c r="B416" s="675"/>
      <c r="C416" s="475"/>
      <c r="D416" s="475"/>
      <c r="E416" s="475"/>
      <c r="F416" s="475"/>
      <c r="G416" s="475"/>
      <c r="H416" s="475"/>
      <c r="I416" s="475"/>
      <c r="J416" s="475"/>
      <c r="K416" s="475"/>
      <c r="L416" s="475"/>
      <c r="M416" s="475"/>
      <c r="N416" s="475"/>
      <c r="O416" s="475"/>
      <c r="P416" s="475"/>
      <c r="Q416" s="475"/>
      <c r="R416" s="475"/>
      <c r="S416" s="475"/>
      <c r="T416" s="475"/>
      <c r="U416" s="442"/>
      <c r="V416" s="420"/>
    </row>
    <row r="417" spans="1:22" ht="23.25">
      <c r="A417" s="420"/>
      <c r="B417" s="675"/>
      <c r="C417" s="475"/>
      <c r="D417" s="475"/>
      <c r="E417" s="475"/>
      <c r="F417" s="475"/>
      <c r="G417" s="475"/>
      <c r="H417" s="475"/>
      <c r="I417" s="475"/>
      <c r="J417" s="475"/>
      <c r="K417" s="475"/>
      <c r="L417" s="475"/>
      <c r="M417" s="475"/>
      <c r="N417" s="475"/>
      <c r="O417" s="475"/>
      <c r="P417" s="475"/>
      <c r="Q417" s="475"/>
      <c r="R417" s="475"/>
      <c r="S417" s="475"/>
      <c r="T417" s="475"/>
      <c r="U417" s="442"/>
      <c r="V417" s="420"/>
    </row>
    <row r="418" spans="1:22" ht="23.25">
      <c r="A418" s="420"/>
      <c r="B418" s="676"/>
      <c r="C418" s="459"/>
      <c r="D418" s="459"/>
      <c r="E418" s="459"/>
      <c r="F418" s="459"/>
      <c r="G418" s="459"/>
      <c r="H418" s="459"/>
      <c r="I418" s="459"/>
      <c r="J418" s="459"/>
      <c r="K418" s="459"/>
      <c r="L418" s="459"/>
      <c r="M418" s="459"/>
      <c r="N418" s="459"/>
      <c r="O418" s="459"/>
      <c r="P418" s="459"/>
      <c r="Q418" s="459"/>
      <c r="R418" s="459"/>
      <c r="S418" s="459"/>
      <c r="T418" s="459"/>
      <c r="U418" s="460"/>
      <c r="V418" s="420"/>
    </row>
    <row r="419" spans="1:22" ht="23.25">
      <c r="A419" s="420"/>
      <c r="B419" s="677" t="s">
        <v>699</v>
      </c>
      <c r="C419" s="757"/>
      <c r="D419" s="757"/>
      <c r="E419" s="757"/>
      <c r="F419" s="757"/>
      <c r="G419" s="757"/>
      <c r="H419" s="757"/>
      <c r="I419" s="757"/>
      <c r="J419" s="757"/>
      <c r="K419" s="757"/>
      <c r="L419" s="757"/>
      <c r="M419" s="757"/>
      <c r="N419" s="757"/>
      <c r="O419" s="757"/>
      <c r="P419" s="757"/>
      <c r="Q419" s="757"/>
      <c r="R419" s="757"/>
      <c r="S419" s="757"/>
      <c r="T419" s="757"/>
      <c r="U419" s="757"/>
      <c r="V419" s="420"/>
    </row>
    <row r="420" spans="1:22" ht="23.25">
      <c r="A420" s="420"/>
      <c r="B420" s="757"/>
      <c r="C420" s="757"/>
      <c r="D420" s="757"/>
      <c r="E420" s="757"/>
      <c r="F420" s="757"/>
      <c r="G420" s="757"/>
      <c r="H420" s="757"/>
      <c r="I420" s="757"/>
      <c r="J420" s="757"/>
      <c r="K420" s="757"/>
      <c r="L420" s="757"/>
      <c r="M420" s="476" t="s">
        <v>1465</v>
      </c>
      <c r="N420" s="757"/>
      <c r="O420" s="757"/>
      <c r="P420" s="757"/>
      <c r="Q420" s="757"/>
      <c r="R420" s="477" t="s">
        <v>692</v>
      </c>
      <c r="S420" s="478" t="str">
        <f>$E$29</f>
        <v>ILF5_90FCOR_B114CAGR43006</v>
      </c>
      <c r="T420" s="757"/>
      <c r="U420" s="757"/>
      <c r="V420" s="420"/>
    </row>
    <row r="421" spans="1:22" ht="19.149999999999999" customHeight="1">
      <c r="B421" s="522"/>
      <c r="C421" s="585"/>
      <c r="D421" s="584"/>
      <c r="E421" s="584"/>
      <c r="F421" s="584"/>
      <c r="G421" s="586"/>
      <c r="H421" s="586"/>
      <c r="I421" s="586"/>
      <c r="J421" s="586"/>
      <c r="K421" s="587"/>
      <c r="L421" s="587"/>
      <c r="M421" s="587"/>
      <c r="N421" s="587"/>
      <c r="O421" s="587"/>
      <c r="P421" s="587"/>
      <c r="Q421" s="561"/>
      <c r="R421" s="561"/>
      <c r="S421" s="441"/>
      <c r="T421" s="441"/>
      <c r="U421" s="588"/>
      <c r="V421" s="441"/>
    </row>
    <row r="422" spans="1:22" ht="16.899999999999999" customHeight="1">
      <c r="B422" s="522"/>
      <c r="C422" s="585"/>
      <c r="D422" s="584"/>
      <c r="E422" s="584"/>
      <c r="F422" s="584"/>
      <c r="G422" s="586"/>
      <c r="H422" s="436" t="s">
        <v>690</v>
      </c>
      <c r="I422" s="420"/>
      <c r="K422" s="420"/>
      <c r="L422" s="437" t="str">
        <f>$B$11</f>
        <v>INMOBILIARIA SERVIGESTION</v>
      </c>
      <c r="M422" s="587"/>
      <c r="N422" s="587"/>
      <c r="O422" s="587"/>
      <c r="P422" s="587"/>
      <c r="Q422" s="561"/>
      <c r="R422" s="561"/>
      <c r="S422" s="441"/>
      <c r="T422" s="441"/>
      <c r="U422" s="588"/>
      <c r="V422" s="441"/>
    </row>
    <row r="423" spans="1:22" ht="34.5">
      <c r="A423" s="420"/>
      <c r="B423" s="2268" t="s">
        <v>461</v>
      </c>
      <c r="C423" s="2268"/>
      <c r="D423" s="2268"/>
      <c r="E423" s="2268"/>
      <c r="F423" s="2268"/>
      <c r="G423" s="2268"/>
      <c r="H423" s="2268"/>
      <c r="I423" s="2268"/>
      <c r="J423" s="2268"/>
      <c r="K423" s="2268"/>
      <c r="L423" s="2268"/>
      <c r="M423" s="2268"/>
      <c r="N423" s="2268"/>
      <c r="O423" s="2268"/>
      <c r="P423" s="2268"/>
      <c r="Q423" s="2268"/>
      <c r="R423" s="2268"/>
      <c r="S423" s="2268"/>
      <c r="T423" s="2268"/>
      <c r="U423" s="2268"/>
      <c r="V423" s="420"/>
    </row>
    <row r="424" spans="1:22" ht="22.9" customHeight="1">
      <c r="A424" s="420"/>
      <c r="B424" s="2269" t="s">
        <v>796</v>
      </c>
      <c r="C424" s="2269"/>
      <c r="D424" s="2269"/>
      <c r="E424" s="2269"/>
      <c r="F424" s="2269"/>
      <c r="G424" s="2269"/>
      <c r="H424" s="2269"/>
      <c r="I424" s="2269"/>
      <c r="J424" s="2269"/>
      <c r="K424" s="2269"/>
      <c r="L424" s="2269"/>
      <c r="M424" s="2269"/>
      <c r="N424" s="2269"/>
      <c r="O424" s="2269"/>
      <c r="P424" s="2269"/>
      <c r="Q424" s="2269"/>
      <c r="R424" s="2269"/>
      <c r="S424" s="2269"/>
      <c r="T424" s="2269"/>
      <c r="U424" s="2269"/>
      <c r="V424" s="420"/>
    </row>
    <row r="425" spans="1:22" ht="16.149999999999999" customHeight="1">
      <c r="A425" s="420"/>
      <c r="B425" s="757"/>
      <c r="C425" s="757"/>
      <c r="D425" s="757"/>
      <c r="E425" s="757"/>
      <c r="F425" s="757"/>
      <c r="G425" s="757"/>
      <c r="H425" s="757"/>
      <c r="I425" s="757"/>
      <c r="J425" s="757"/>
      <c r="K425" s="757"/>
      <c r="L425" s="757"/>
      <c r="M425" s="757"/>
      <c r="N425" s="757"/>
      <c r="O425" s="757"/>
      <c r="Q425" s="757"/>
      <c r="R425" s="757"/>
      <c r="S425" s="757"/>
      <c r="T425" s="757"/>
      <c r="U425" s="757"/>
      <c r="V425" s="420"/>
    </row>
    <row r="426" spans="1:22" ht="38.25" customHeight="1">
      <c r="A426" s="429"/>
      <c r="B426" s="2251" t="s">
        <v>797</v>
      </c>
      <c r="C426" s="2251"/>
      <c r="D426" s="2251"/>
      <c r="E426" s="2251"/>
      <c r="F426" s="2251"/>
      <c r="G426" s="2251"/>
      <c r="H426" s="2251"/>
      <c r="I426" s="2251"/>
      <c r="J426" s="2251"/>
      <c r="K426" s="2251"/>
      <c r="L426" s="2251"/>
      <c r="M426" s="2251"/>
      <c r="N426" s="2251"/>
      <c r="O426" s="2251"/>
      <c r="P426" s="2251"/>
      <c r="Q426" s="2251"/>
      <c r="R426" s="2251"/>
      <c r="S426" s="2251"/>
      <c r="T426" s="2251"/>
      <c r="U426" s="2251"/>
      <c r="V426" s="429"/>
    </row>
    <row r="427" spans="1:22" ht="16.149999999999999" customHeight="1">
      <c r="A427" s="420"/>
      <c r="B427" s="757"/>
      <c r="C427" s="757"/>
      <c r="D427" s="757"/>
      <c r="E427" s="757"/>
      <c r="F427" s="757"/>
      <c r="G427" s="757"/>
      <c r="H427" s="757"/>
      <c r="I427" s="757"/>
      <c r="J427" s="757"/>
      <c r="K427" s="757"/>
      <c r="L427" s="757"/>
      <c r="M427" s="757"/>
      <c r="N427" s="757"/>
      <c r="O427" s="757"/>
      <c r="P427" s="757"/>
      <c r="Q427" s="757"/>
      <c r="R427" s="757"/>
      <c r="S427" s="757"/>
      <c r="T427" s="757"/>
      <c r="U427" s="757"/>
      <c r="V427" s="420"/>
    </row>
    <row r="428" spans="1:22" ht="22.15" customHeight="1">
      <c r="A428" s="441"/>
      <c r="B428" s="2304" t="s">
        <v>708</v>
      </c>
      <c r="C428" s="2305"/>
      <c r="D428" s="2305"/>
      <c r="E428" s="2305"/>
      <c r="F428" s="2305"/>
      <c r="G428" s="2305"/>
      <c r="H428" s="2305"/>
      <c r="I428" s="678"/>
      <c r="J428" s="678"/>
      <c r="K428" s="678"/>
      <c r="L428" s="678"/>
      <c r="M428" s="678"/>
      <c r="N428" s="678"/>
      <c r="O428" s="678"/>
      <c r="P428" s="678"/>
      <c r="Q428" s="678"/>
      <c r="R428" s="678"/>
      <c r="S428" s="678"/>
      <c r="T428" s="678"/>
      <c r="U428" s="603"/>
    </row>
    <row r="429" spans="1:22" ht="46.5" customHeight="1">
      <c r="A429" s="441"/>
      <c r="B429" s="2523" t="s">
        <v>737</v>
      </c>
      <c r="C429" s="2303"/>
      <c r="D429" s="2303"/>
      <c r="E429" s="2303"/>
      <c r="F429" s="2303"/>
      <c r="G429" s="2303"/>
      <c r="H429" s="2303"/>
      <c r="I429" s="2303"/>
      <c r="J429" s="2303"/>
      <c r="K429" s="2303"/>
      <c r="L429" s="2303"/>
      <c r="M429" s="2303"/>
      <c r="N429" s="2303"/>
      <c r="O429" s="2303"/>
      <c r="P429" s="2303"/>
      <c r="Q429" s="2303"/>
      <c r="R429" s="2303"/>
      <c r="S429" s="2303"/>
      <c r="T429" s="2303"/>
      <c r="U429" s="679"/>
    </row>
    <row r="430" spans="1:22" ht="10.5" customHeight="1">
      <c r="A430" s="441"/>
      <c r="B430" s="680"/>
      <c r="C430" s="681"/>
      <c r="D430" s="681"/>
      <c r="E430" s="681"/>
      <c r="F430" s="681"/>
      <c r="G430" s="681"/>
      <c r="H430" s="681"/>
      <c r="I430" s="681"/>
      <c r="J430" s="681"/>
      <c r="K430" s="681"/>
      <c r="L430" s="681"/>
      <c r="M430" s="681"/>
      <c r="N430" s="681"/>
      <c r="O430" s="681"/>
      <c r="P430" s="681"/>
      <c r="Q430" s="681"/>
      <c r="R430" s="681"/>
      <c r="S430" s="681"/>
      <c r="T430" s="681"/>
      <c r="U430" s="679"/>
    </row>
    <row r="431" spans="1:22" ht="33" customHeight="1">
      <c r="A431" s="441"/>
      <c r="B431" s="680"/>
      <c r="D431" s="682"/>
      <c r="E431" s="682"/>
      <c r="F431" s="682"/>
      <c r="G431" s="682"/>
      <c r="H431" s="2524" t="s">
        <v>511</v>
      </c>
      <c r="I431" s="2524"/>
      <c r="J431" s="2524"/>
      <c r="K431" s="2524"/>
      <c r="L431" s="683">
        <f>Oferta_OptimaRPV!L491</f>
        <v>0.15</v>
      </c>
      <c r="M431" s="684"/>
      <c r="N431" s="681"/>
      <c r="O431" s="681"/>
      <c r="P431" s="681"/>
      <c r="Q431" s="681"/>
      <c r="R431" s="681"/>
      <c r="S431" s="681"/>
      <c r="T431" s="681"/>
      <c r="U431" s="679"/>
    </row>
    <row r="432" spans="1:22" ht="12" customHeight="1">
      <c r="A432" s="441"/>
      <c r="B432" s="680"/>
      <c r="C432" s="681"/>
      <c r="D432" s="681"/>
      <c r="E432" s="681"/>
      <c r="F432" s="681"/>
      <c r="G432" s="681"/>
      <c r="H432" s="681"/>
      <c r="I432" s="681"/>
      <c r="J432" s="681"/>
      <c r="K432" s="681"/>
      <c r="L432" s="681"/>
      <c r="M432" s="681"/>
      <c r="N432" s="681"/>
      <c r="O432" s="681"/>
      <c r="P432" s="681"/>
      <c r="Q432" s="681"/>
      <c r="R432" s="681"/>
      <c r="S432" s="681"/>
      <c r="T432" s="681"/>
      <c r="U432" s="679"/>
    </row>
    <row r="433" spans="1:21" ht="63" customHeight="1">
      <c r="A433" s="441"/>
      <c r="B433" s="680"/>
      <c r="C433" s="2303" t="s">
        <v>798</v>
      </c>
      <c r="D433" s="2303"/>
      <c r="E433" s="2303"/>
      <c r="F433" s="2303"/>
      <c r="G433" s="2303"/>
      <c r="H433" s="2303"/>
      <c r="I433" s="2303"/>
      <c r="J433" s="2303"/>
      <c r="K433" s="2303"/>
      <c r="L433" s="2303"/>
      <c r="M433" s="2303"/>
      <c r="N433" s="2303"/>
      <c r="O433" s="2303"/>
      <c r="P433" s="2303"/>
      <c r="Q433" s="2303"/>
      <c r="R433" s="2303"/>
      <c r="S433" s="2303"/>
      <c r="T433" s="2303"/>
      <c r="U433" s="679"/>
    </row>
    <row r="434" spans="1:21" ht="22.15" customHeight="1">
      <c r="A434" s="441"/>
      <c r="B434" s="685"/>
      <c r="C434" s="686"/>
      <c r="D434" s="686"/>
      <c r="E434" s="686"/>
      <c r="F434" s="686"/>
      <c r="G434" s="686"/>
      <c r="H434" s="686"/>
      <c r="I434" s="686"/>
      <c r="J434" s="686"/>
      <c r="K434" s="686"/>
      <c r="L434" s="686"/>
      <c r="M434" s="686"/>
      <c r="N434" s="686"/>
      <c r="O434" s="686"/>
      <c r="P434" s="686"/>
      <c r="Q434" s="686"/>
      <c r="R434" s="686"/>
      <c r="S434" s="686"/>
      <c r="T434" s="686"/>
      <c r="U434" s="687"/>
    </row>
    <row r="435" spans="1:21" ht="22.15" customHeight="1">
      <c r="A435" s="441"/>
      <c r="B435" s="688" t="s">
        <v>671</v>
      </c>
      <c r="C435" s="681"/>
      <c r="D435" s="681"/>
      <c r="E435" s="681"/>
      <c r="F435" s="681"/>
      <c r="G435" s="681"/>
      <c r="H435" s="681"/>
      <c r="I435" s="681"/>
      <c r="J435" s="681"/>
      <c r="K435" s="681"/>
      <c r="L435" s="681"/>
      <c r="M435" s="681"/>
      <c r="N435" s="681"/>
      <c r="O435" s="681"/>
      <c r="P435" s="681"/>
      <c r="Q435" s="681"/>
      <c r="R435" s="681"/>
      <c r="S435" s="681"/>
      <c r="T435" s="681"/>
      <c r="U435" s="681"/>
    </row>
    <row r="436" spans="1:21" ht="22.15" customHeight="1">
      <c r="A436" s="441"/>
      <c r="B436" s="2304" t="s">
        <v>709</v>
      </c>
      <c r="C436" s="2305"/>
      <c r="D436" s="2305"/>
      <c r="E436" s="2305"/>
      <c r="F436" s="2305"/>
      <c r="G436" s="2305"/>
      <c r="H436" s="2305"/>
      <c r="I436" s="678"/>
      <c r="J436" s="678"/>
      <c r="K436" s="678"/>
      <c r="L436" s="678"/>
      <c r="M436" s="678"/>
      <c r="N436" s="678"/>
      <c r="O436" s="678"/>
      <c r="P436" s="678"/>
      <c r="Q436" s="678"/>
      <c r="R436" s="678"/>
      <c r="S436" s="678"/>
      <c r="T436" s="678"/>
      <c r="U436" s="603"/>
    </row>
    <row r="437" spans="1:21" ht="42.75" customHeight="1">
      <c r="A437" s="441"/>
      <c r="B437" s="2523" t="s">
        <v>799</v>
      </c>
      <c r="C437" s="2303"/>
      <c r="D437" s="2303"/>
      <c r="E437" s="2303"/>
      <c r="F437" s="2303"/>
      <c r="G437" s="2303"/>
      <c r="H437" s="2303"/>
      <c r="I437" s="2303"/>
      <c r="J437" s="2303"/>
      <c r="K437" s="2303"/>
      <c r="L437" s="2303"/>
      <c r="M437" s="2303"/>
      <c r="N437" s="2303"/>
      <c r="O437" s="2303"/>
      <c r="P437" s="2303"/>
      <c r="Q437" s="2303"/>
      <c r="R437" s="2303"/>
      <c r="S437" s="2303"/>
      <c r="T437" s="2303"/>
      <c r="U437" s="679"/>
    </row>
    <row r="438" spans="1:21" ht="22.15" customHeight="1">
      <c r="A438" s="441"/>
      <c r="B438" s="680"/>
      <c r="C438" s="681"/>
      <c r="D438" s="681"/>
      <c r="E438" s="681"/>
      <c r="F438" s="681"/>
      <c r="G438" s="681"/>
      <c r="H438" s="681"/>
      <c r="I438" s="681"/>
      <c r="J438" s="2509" t="s">
        <v>710</v>
      </c>
      <c r="K438" s="2525"/>
      <c r="L438" s="2525"/>
      <c r="M438" s="2526"/>
      <c r="N438" s="2508" t="s">
        <v>220</v>
      </c>
      <c r="O438" s="2508"/>
      <c r="P438" s="681"/>
      <c r="Q438" s="681"/>
      <c r="R438" s="681"/>
      <c r="S438" s="681"/>
      <c r="T438" s="681"/>
      <c r="U438" s="679"/>
    </row>
    <row r="439" spans="1:21" ht="22.15" customHeight="1">
      <c r="A439" s="441"/>
      <c r="B439" s="680"/>
      <c r="C439" s="2308"/>
      <c r="D439" s="2308"/>
      <c r="E439" s="2308"/>
      <c r="F439" s="2308"/>
      <c r="G439" s="740"/>
      <c r="H439" s="740"/>
      <c r="I439" s="740"/>
      <c r="J439" s="2309" t="str">
        <f>Oferta_OptimaRPV!J499</f>
        <v>menor de 100€</v>
      </c>
      <c r="K439" s="2310"/>
      <c r="L439" s="2310"/>
      <c r="M439" s="2311"/>
      <c r="N439" s="2421">
        <f>Oferta_OptimaRPV!N499</f>
        <v>0</v>
      </c>
      <c r="O439" s="2421"/>
      <c r="P439" s="681"/>
      <c r="Q439" s="681"/>
      <c r="R439" s="681"/>
      <c r="S439" s="681"/>
      <c r="T439" s="681"/>
      <c r="U439" s="679"/>
    </row>
    <row r="440" spans="1:21" ht="22.15" customHeight="1">
      <c r="A440" s="441"/>
      <c r="B440" s="680"/>
      <c r="C440" s="681"/>
      <c r="D440" s="681"/>
      <c r="E440" s="681"/>
      <c r="F440" s="681"/>
      <c r="G440" s="681"/>
      <c r="H440" s="681"/>
      <c r="I440" s="681"/>
      <c r="J440" s="2309" t="str">
        <f>Oferta_OptimaRPV!J500</f>
        <v>de 100€ a 249€</v>
      </c>
      <c r="K440" s="2310"/>
      <c r="L440" s="2310"/>
      <c r="M440" s="2311"/>
      <c r="N440" s="2421">
        <f>Oferta_OptimaRPV!N500</f>
        <v>0.1</v>
      </c>
      <c r="O440" s="2421"/>
      <c r="P440" s="681"/>
      <c r="Q440" s="681"/>
      <c r="R440" s="681"/>
      <c r="S440" s="681"/>
      <c r="T440" s="681"/>
      <c r="U440" s="679"/>
    </row>
    <row r="441" spans="1:21" ht="22.15" customHeight="1">
      <c r="A441" s="441"/>
      <c r="B441" s="680"/>
      <c r="C441" s="681"/>
      <c r="D441" s="681"/>
      <c r="E441" s="681"/>
      <c r="F441" s="681"/>
      <c r="G441" s="681"/>
      <c r="H441" s="681"/>
      <c r="I441" s="681"/>
      <c r="J441" s="2309" t="str">
        <f>Oferta_OptimaRPV!J501</f>
        <v>de 250€ a 599€</v>
      </c>
      <c r="K441" s="2310"/>
      <c r="L441" s="2310"/>
      <c r="M441" s="2311"/>
      <c r="N441" s="2421">
        <f>Oferta_OptimaRPV!N501</f>
        <v>0.26</v>
      </c>
      <c r="O441" s="2421"/>
      <c r="P441" s="681"/>
      <c r="Q441" s="681"/>
      <c r="R441" s="681"/>
      <c r="S441" s="681"/>
      <c r="T441" s="681"/>
      <c r="U441" s="679"/>
    </row>
    <row r="442" spans="1:21" ht="22.15" customHeight="1">
      <c r="A442" s="441"/>
      <c r="B442" s="680"/>
      <c r="C442" s="681"/>
      <c r="D442" s="681"/>
      <c r="E442" s="681"/>
      <c r="F442" s="681"/>
      <c r="G442" s="681"/>
      <c r="H442" s="681"/>
      <c r="I442" s="681"/>
      <c r="J442" s="2309" t="str">
        <f>Oferta_OptimaRPV!J502</f>
        <v>de 600€ a 899€</v>
      </c>
      <c r="K442" s="2310"/>
      <c r="L442" s="2310"/>
      <c r="M442" s="2311"/>
      <c r="N442" s="2421">
        <f>Oferta_OptimaRPV!N502</f>
        <v>0.33</v>
      </c>
      <c r="O442" s="2421"/>
      <c r="P442" s="681"/>
      <c r="Q442" s="681"/>
      <c r="R442" s="681"/>
      <c r="S442" s="681"/>
      <c r="T442" s="681"/>
      <c r="U442" s="679"/>
    </row>
    <row r="443" spans="1:21" ht="22.15" customHeight="1">
      <c r="A443" s="441"/>
      <c r="B443" s="680"/>
      <c r="C443" s="681"/>
      <c r="D443" s="681"/>
      <c r="E443" s="681"/>
      <c r="F443" s="681"/>
      <c r="G443" s="681"/>
      <c r="H443" s="681"/>
      <c r="I443" s="681"/>
      <c r="J443" s="2309" t="str">
        <f>Oferta_OptimaRPV!J503</f>
        <v>900€ o más</v>
      </c>
      <c r="K443" s="2310"/>
      <c r="L443" s="2310"/>
      <c r="M443" s="2311"/>
      <c r="N443" s="2421">
        <f>Oferta_OptimaRPV!N503</f>
        <v>0.4</v>
      </c>
      <c r="O443" s="2421"/>
      <c r="P443" s="681"/>
      <c r="Q443" s="681"/>
      <c r="R443" s="681"/>
      <c r="S443" s="681"/>
      <c r="T443" s="681"/>
      <c r="U443" s="679"/>
    </row>
    <row r="444" spans="1:21" ht="22.15" customHeight="1">
      <c r="A444" s="441"/>
      <c r="B444" s="680"/>
      <c r="C444" s="681"/>
      <c r="D444" s="681"/>
      <c r="E444" s="681"/>
      <c r="F444" s="681"/>
      <c r="G444" s="681"/>
      <c r="H444" s="681"/>
      <c r="I444" s="681"/>
      <c r="J444" s="1193"/>
      <c r="K444" s="1193"/>
      <c r="L444" s="1193"/>
      <c r="M444" s="1193"/>
      <c r="N444" s="1194"/>
      <c r="O444" s="1194"/>
      <c r="P444" s="681"/>
      <c r="Q444" s="681"/>
      <c r="R444" s="681"/>
      <c r="S444" s="681"/>
      <c r="T444" s="681"/>
      <c r="U444" s="679"/>
    </row>
    <row r="445" spans="1:21" ht="47.25" customHeight="1">
      <c r="A445" s="441"/>
      <c r="B445" s="680"/>
      <c r="C445" s="2303" t="str">
        <f>IF(Calculos_cuotas!$V$106&gt;0, CONCATENATE("En caso de activación de sus productos en el mes de ",VLOOKUP(MONTH('Seleccion de oferta'!E52),Calculos_cuotas!Q111:R124,2,FALSE),", disfrutará de un descuento adicional del 10% sobre esta tabla, condicionado a la activación de todos los productos y servicios especificados en la presente oferta."),"")</f>
        <v/>
      </c>
      <c r="D445" s="2303"/>
      <c r="E445" s="2303"/>
      <c r="F445" s="2303"/>
      <c r="G445" s="2303"/>
      <c r="H445" s="2303"/>
      <c r="I445" s="2303"/>
      <c r="J445" s="2303"/>
      <c r="K445" s="2303"/>
      <c r="L445" s="2303"/>
      <c r="M445" s="2303"/>
      <c r="N445" s="2303"/>
      <c r="O445" s="2303"/>
      <c r="P445" s="2303"/>
      <c r="Q445" s="2303"/>
      <c r="R445" s="2303"/>
      <c r="S445" s="2303"/>
      <c r="T445" s="2303"/>
      <c r="U445" s="679"/>
    </row>
    <row r="446" spans="1:21" ht="122.25" customHeight="1">
      <c r="A446" s="441"/>
      <c r="B446" s="680"/>
      <c r="C446" s="2303" t="s">
        <v>982</v>
      </c>
      <c r="D446" s="2303"/>
      <c r="E446" s="2303"/>
      <c r="F446" s="2303"/>
      <c r="G446" s="2303"/>
      <c r="H446" s="2303"/>
      <c r="I446" s="2303"/>
      <c r="J446" s="2303"/>
      <c r="K446" s="2303"/>
      <c r="L446" s="2303"/>
      <c r="M446" s="2303"/>
      <c r="N446" s="2303"/>
      <c r="O446" s="2303"/>
      <c r="P446" s="2303"/>
      <c r="Q446" s="2303"/>
      <c r="R446" s="2303"/>
      <c r="S446" s="2303"/>
      <c r="T446" s="2303"/>
      <c r="U446" s="679"/>
    </row>
    <row r="447" spans="1:21" ht="22.15" customHeight="1">
      <c r="A447" s="441"/>
      <c r="B447" s="685"/>
      <c r="C447" s="686"/>
      <c r="D447" s="686"/>
      <c r="E447" s="686"/>
      <c r="F447" s="686"/>
      <c r="G447" s="686"/>
      <c r="H447" s="686"/>
      <c r="I447" s="686"/>
      <c r="J447" s="686"/>
      <c r="K447" s="686"/>
      <c r="L447" s="686"/>
      <c r="M447" s="686"/>
      <c r="N447" s="686"/>
      <c r="O447" s="686"/>
      <c r="P447" s="686"/>
      <c r="Q447" s="686"/>
      <c r="R447" s="686"/>
      <c r="S447" s="686"/>
      <c r="T447" s="686"/>
      <c r="U447" s="687"/>
    </row>
    <row r="448" spans="1:21" ht="22.15" customHeight="1">
      <c r="A448" s="441"/>
      <c r="B448" s="688" t="s">
        <v>671</v>
      </c>
      <c r="C448" s="681"/>
      <c r="D448" s="681"/>
      <c r="E448" s="681"/>
      <c r="F448" s="681"/>
      <c r="G448" s="681"/>
      <c r="H448" s="681"/>
      <c r="I448" s="681"/>
      <c r="J448" s="681"/>
      <c r="K448" s="681"/>
      <c r="L448" s="681"/>
      <c r="M448" s="681"/>
      <c r="N448" s="681"/>
      <c r="O448" s="681"/>
      <c r="P448" s="681"/>
      <c r="Q448" s="681"/>
      <c r="R448" s="681"/>
      <c r="S448" s="681"/>
      <c r="T448" s="681"/>
      <c r="U448" s="681"/>
    </row>
    <row r="449" spans="1:22" ht="22.15" customHeight="1">
      <c r="A449" s="441"/>
      <c r="B449" s="2304" t="s">
        <v>1848</v>
      </c>
      <c r="C449" s="2305"/>
      <c r="D449" s="2305"/>
      <c r="E449" s="2305"/>
      <c r="F449" s="2305"/>
      <c r="G449" s="2305"/>
      <c r="H449" s="2305"/>
      <c r="I449" s="2305"/>
      <c r="J449" s="2305"/>
      <c r="K449" s="2305"/>
      <c r="L449" s="2305"/>
      <c r="M449" s="2305"/>
      <c r="N449" s="2305"/>
      <c r="O449" s="2305"/>
      <c r="P449" s="2305"/>
      <c r="Q449" s="678"/>
      <c r="R449" s="678"/>
      <c r="S449" s="678"/>
      <c r="T449" s="678"/>
      <c r="U449" s="603"/>
    </row>
    <row r="450" spans="1:22" ht="51" customHeight="1">
      <c r="A450" s="441"/>
      <c r="B450" s="2345" t="s">
        <v>1849</v>
      </c>
      <c r="C450" s="2346"/>
      <c r="D450" s="2346"/>
      <c r="E450" s="2346"/>
      <c r="F450" s="2346"/>
      <c r="G450" s="2346"/>
      <c r="H450" s="2346"/>
      <c r="I450" s="2346"/>
      <c r="J450" s="2346"/>
      <c r="K450" s="2346"/>
      <c r="L450" s="2346"/>
      <c r="M450" s="2346"/>
      <c r="N450" s="2346"/>
      <c r="O450" s="2346"/>
      <c r="P450" s="2346"/>
      <c r="Q450" s="2346"/>
      <c r="R450" s="2346"/>
      <c r="S450" s="2346"/>
      <c r="T450" s="2346"/>
      <c r="U450" s="679"/>
    </row>
    <row r="451" spans="1:22" ht="17.100000000000001" customHeight="1">
      <c r="A451" s="441"/>
      <c r="B451" s="680"/>
      <c r="C451" s="681"/>
      <c r="D451" s="681"/>
      <c r="E451" s="681"/>
      <c r="F451" s="681"/>
      <c r="G451" s="681"/>
      <c r="H451" s="2631" t="s">
        <v>1087</v>
      </c>
      <c r="I451" s="2631"/>
      <c r="J451" s="2632"/>
      <c r="K451" s="2633" t="s">
        <v>220</v>
      </c>
      <c r="L451" s="2632"/>
      <c r="M451" s="2633" t="s">
        <v>1850</v>
      </c>
      <c r="N451" s="2631"/>
      <c r="O451" s="2631"/>
      <c r="P451" s="504"/>
      <c r="Q451" s="1798"/>
      <c r="R451" s="681"/>
      <c r="S451" s="681"/>
      <c r="T451" s="681"/>
      <c r="U451" s="679"/>
    </row>
    <row r="452" spans="1:22" ht="17.100000000000001" customHeight="1">
      <c r="A452" s="441"/>
      <c r="B452" s="680"/>
      <c r="C452" s="681"/>
      <c r="D452" s="681"/>
      <c r="E452" s="681"/>
      <c r="F452" s="681"/>
      <c r="G452" s="681"/>
      <c r="H452" s="2510" t="str">
        <f>Oferta_OptimaRPV!H512</f>
        <v>Conecta Pymes 2A</v>
      </c>
      <c r="I452" s="2511"/>
      <c r="J452" s="2512"/>
      <c r="K452" s="2513">
        <f>Oferta_OptimaRPV!K512</f>
        <v>0.1</v>
      </c>
      <c r="L452" s="2513"/>
      <c r="M452" s="2515">
        <f>Oferta_OptimaRPV!M512</f>
        <v>20</v>
      </c>
      <c r="N452" s="2516"/>
      <c r="O452" s="2516"/>
      <c r="P452" s="681"/>
      <c r="Q452" s="681"/>
      <c r="R452" s="681"/>
      <c r="S452" s="681"/>
      <c r="T452" s="681"/>
      <c r="U452" s="679"/>
    </row>
    <row r="453" spans="1:22" ht="17.100000000000001" customHeight="1">
      <c r="A453" s="441"/>
      <c r="B453" s="680"/>
      <c r="C453" s="681"/>
      <c r="D453" s="681"/>
      <c r="E453" s="681"/>
      <c r="F453" s="681"/>
      <c r="G453" s="681"/>
      <c r="H453" s="2510" t="str">
        <f>Oferta_OptimaRPV!H513</f>
        <v>Resto Conecta Pymes 2A y 3A</v>
      </c>
      <c r="I453" s="2511"/>
      <c r="J453" s="2512"/>
      <c r="K453" s="2513">
        <f>Oferta_OptimaRPV!K513</f>
        <v>0.1</v>
      </c>
      <c r="L453" s="2513"/>
      <c r="M453" s="2515">
        <f>Oferta_OptimaRPV!M513</f>
        <v>35</v>
      </c>
      <c r="N453" s="2516"/>
      <c r="O453" s="2516"/>
      <c r="P453" s="681"/>
      <c r="Q453" s="681"/>
      <c r="R453" s="681"/>
      <c r="S453" s="681"/>
      <c r="T453" s="681"/>
      <c r="U453" s="679"/>
    </row>
    <row r="454" spans="1:22" ht="17.100000000000001" customHeight="1">
      <c r="A454" s="441"/>
      <c r="B454" s="680"/>
      <c r="C454" s="681"/>
      <c r="D454" s="681"/>
      <c r="E454" s="681"/>
      <c r="F454" s="681"/>
      <c r="G454" s="681"/>
      <c r="H454" s="2510" t="str">
        <f>Oferta_OptimaRPV!H514</f>
        <v>Conecta Pymes 2D</v>
      </c>
      <c r="I454" s="2511"/>
      <c r="J454" s="2512"/>
      <c r="K454" s="2513">
        <f>Oferta_OptimaRPV!K514</f>
        <v>0.1</v>
      </c>
      <c r="L454" s="2513"/>
      <c r="M454" s="2515">
        <f>Oferta_OptimaRPV!M514</f>
        <v>35</v>
      </c>
      <c r="N454" s="2516"/>
      <c r="O454" s="2516"/>
      <c r="P454" s="681"/>
      <c r="Q454" s="681"/>
      <c r="R454" s="681"/>
      <c r="S454" s="681"/>
      <c r="T454" s="681"/>
      <c r="U454" s="679"/>
    </row>
    <row r="455" spans="1:22" ht="17.100000000000001" customHeight="1">
      <c r="A455" s="441"/>
      <c r="B455" s="680"/>
      <c r="C455" s="681"/>
      <c r="D455" s="681"/>
      <c r="E455" s="681"/>
      <c r="F455" s="681"/>
      <c r="G455" s="681"/>
      <c r="H455" s="2510" t="str">
        <f>Oferta_OptimaRPV!H515</f>
        <v>Conecta Pymes IP</v>
      </c>
      <c r="I455" s="2511"/>
      <c r="J455" s="2512"/>
      <c r="K455" s="2513">
        <f>Oferta_OptimaRPV!K515</f>
        <v>0.1</v>
      </c>
      <c r="L455" s="2513"/>
      <c r="M455" s="2515">
        <f>Oferta_OptimaRPV!M515</f>
        <v>80</v>
      </c>
      <c r="N455" s="2516"/>
      <c r="O455" s="2516"/>
      <c r="P455" s="681"/>
      <c r="Q455" s="681"/>
      <c r="R455" s="681"/>
      <c r="S455" s="681"/>
      <c r="T455" s="681"/>
      <c r="U455" s="679"/>
    </row>
    <row r="456" spans="1:22" ht="17.100000000000001" customHeight="1">
      <c r="A456" s="441"/>
      <c r="B456" s="680"/>
      <c r="C456" s="681"/>
      <c r="D456" s="681"/>
      <c r="E456" s="681"/>
      <c r="F456" s="681"/>
      <c r="G456" s="681"/>
      <c r="H456" s="2510" t="str">
        <f>Oferta_OptimaRPV!H516</f>
        <v>Conecta Pymes 4A</v>
      </c>
      <c r="I456" s="2511"/>
      <c r="J456" s="2512"/>
      <c r="K456" s="2513">
        <f>Oferta_OptimaRPV!K516</f>
        <v>0.1</v>
      </c>
      <c r="L456" s="2513"/>
      <c r="M456" s="2515">
        <f>Oferta_OptimaRPV!M516</f>
        <v>80</v>
      </c>
      <c r="N456" s="2516"/>
      <c r="O456" s="2516"/>
      <c r="P456" s="681"/>
      <c r="Q456" s="681"/>
      <c r="R456" s="681"/>
      <c r="S456" s="681"/>
      <c r="T456" s="681"/>
      <c r="U456" s="679"/>
    </row>
    <row r="457" spans="1:22" ht="17.100000000000001" customHeight="1">
      <c r="A457" s="441"/>
      <c r="B457" s="680"/>
      <c r="C457" s="681"/>
      <c r="D457" s="681"/>
      <c r="E457" s="681"/>
      <c r="F457" s="681"/>
      <c r="G457" s="681"/>
      <c r="H457" s="2510" t="str">
        <f>Oferta_OptimaRPV!H517</f>
        <v>Conecta Pymes 4D</v>
      </c>
      <c r="I457" s="2511"/>
      <c r="J457" s="2512"/>
      <c r="K457" s="2513">
        <f>Oferta_OptimaRPV!K517</f>
        <v>0.1</v>
      </c>
      <c r="L457" s="2513"/>
      <c r="M457" s="2515">
        <f>Oferta_OptimaRPV!M517</f>
        <v>80</v>
      </c>
      <c r="N457" s="2516"/>
      <c r="O457" s="2516"/>
      <c r="P457" s="681"/>
      <c r="Q457" s="681"/>
      <c r="R457" s="681"/>
      <c r="S457" s="681"/>
      <c r="T457" s="681"/>
      <c r="U457" s="679"/>
    </row>
    <row r="458" spans="1:22" ht="17.100000000000001" customHeight="1">
      <c r="A458" s="441"/>
      <c r="B458" s="680"/>
      <c r="C458" s="681"/>
      <c r="D458" s="681"/>
      <c r="E458" s="681"/>
      <c r="F458" s="681"/>
      <c r="G458" s="681"/>
      <c r="H458" s="2510" t="str">
        <f>Oferta_OptimaRPV!H518</f>
        <v>Conecta Pymes 6D</v>
      </c>
      <c r="I458" s="2511"/>
      <c r="J458" s="2512"/>
      <c r="K458" s="2513">
        <f>Oferta_OptimaRPV!K518</f>
        <v>0.1</v>
      </c>
      <c r="L458" s="2513"/>
      <c r="M458" s="2515">
        <f>Oferta_OptimaRPV!M518</f>
        <v>80</v>
      </c>
      <c r="N458" s="2516"/>
      <c r="O458" s="2516"/>
      <c r="P458" s="681"/>
      <c r="Q458" s="681"/>
      <c r="R458" s="681"/>
      <c r="S458" s="681"/>
      <c r="T458" s="681"/>
      <c r="U458" s="679"/>
    </row>
    <row r="459" spans="1:22" ht="17.100000000000001" customHeight="1">
      <c r="A459" s="441"/>
      <c r="B459" s="680"/>
      <c r="C459" s="681"/>
      <c r="D459" s="681"/>
      <c r="E459" s="681"/>
      <c r="F459" s="681"/>
      <c r="G459" s="681"/>
      <c r="H459" s="2510" t="str">
        <f>Oferta_OptimaRPV!H519</f>
        <v>Conecta Pymes 8D</v>
      </c>
      <c r="I459" s="2511"/>
      <c r="J459" s="2512"/>
      <c r="K459" s="2513">
        <f>Oferta_OptimaRPV!K519</f>
        <v>0.1</v>
      </c>
      <c r="L459" s="2513"/>
      <c r="M459" s="2515">
        <f>Oferta_OptimaRPV!M519</f>
        <v>80</v>
      </c>
      <c r="N459" s="2516"/>
      <c r="O459" s="2516"/>
      <c r="P459" s="681"/>
      <c r="Q459" s="681"/>
      <c r="R459" s="681"/>
      <c r="S459" s="681"/>
      <c r="T459" s="681"/>
      <c r="U459" s="679"/>
    </row>
    <row r="460" spans="1:22" ht="17.100000000000001" customHeight="1">
      <c r="A460" s="441"/>
      <c r="B460" s="680"/>
      <c r="C460" s="681"/>
      <c r="D460" s="681"/>
      <c r="E460" s="681"/>
      <c r="F460" s="681"/>
      <c r="G460" s="681"/>
      <c r="H460" s="2510" t="str">
        <f>Oferta_OptimaRPV!H520</f>
        <v>Conecta Pymes Centralita</v>
      </c>
      <c r="I460" s="2511"/>
      <c r="J460" s="2512"/>
      <c r="K460" s="2513">
        <f>Oferta_OptimaRPV!K520</f>
        <v>0.1</v>
      </c>
      <c r="L460" s="2513"/>
      <c r="M460" s="2515">
        <f>Oferta_OptimaRPV!M520</f>
        <v>80</v>
      </c>
      <c r="N460" s="2516"/>
      <c r="O460" s="2516"/>
      <c r="P460" s="681"/>
      <c r="Q460" s="681"/>
      <c r="R460" s="681"/>
      <c r="S460" s="681"/>
      <c r="T460" s="681"/>
      <c r="U460" s="679"/>
    </row>
    <row r="461" spans="1:22" ht="17.100000000000001" customHeight="1">
      <c r="B461" s="680"/>
      <c r="C461" s="681"/>
      <c r="D461" s="681"/>
      <c r="E461" s="681"/>
      <c r="F461" s="681"/>
      <c r="G461" s="681"/>
      <c r="H461" s="2510" t="str">
        <f>Oferta_OptimaRPV!H521</f>
        <v>Servicios Avanzados de Fijo ("SAF")</v>
      </c>
      <c r="I461" s="2511"/>
      <c r="J461" s="2512"/>
      <c r="K461" s="2513">
        <f>Oferta_OptimaRPV!K521</f>
        <v>0.1</v>
      </c>
      <c r="L461" s="2513"/>
      <c r="M461" s="2515">
        <f>Oferta_OptimaRPV!M521</f>
        <v>60</v>
      </c>
      <c r="N461" s="2516"/>
      <c r="O461" s="2516"/>
      <c r="P461" s="681"/>
      <c r="Q461" s="681"/>
      <c r="R461" s="681"/>
      <c r="S461" s="681"/>
      <c r="T461" s="681"/>
      <c r="U461" s="679"/>
      <c r="V461" s="522"/>
    </row>
    <row r="462" spans="1:22" ht="17.100000000000001" customHeight="1">
      <c r="B462" s="680"/>
      <c r="C462" s="441"/>
      <c r="D462" s="1782"/>
      <c r="E462" s="1782"/>
      <c r="F462" s="1782"/>
      <c r="G462" s="1782"/>
      <c r="H462" s="2510" t="str">
        <f>Oferta_OptimaRPV!H522</f>
        <v>Servicios digitales</v>
      </c>
      <c r="I462" s="2511"/>
      <c r="J462" s="2512"/>
      <c r="K462" s="2513">
        <f>Oferta_OptimaRPV!K522</f>
        <v>0</v>
      </c>
      <c r="L462" s="2513"/>
      <c r="M462" s="2515" t="str">
        <f>Oferta_OptimaRPV!M522</f>
        <v>NA</v>
      </c>
      <c r="N462" s="2516"/>
      <c r="O462" s="2516"/>
      <c r="P462" s="1782"/>
      <c r="Q462" s="1782"/>
      <c r="R462" s="1782"/>
      <c r="S462" s="1782"/>
      <c r="T462" s="1782"/>
      <c r="U462" s="679"/>
      <c r="V462" s="522"/>
    </row>
    <row r="463" spans="1:22" ht="76.5" customHeight="1">
      <c r="A463" s="522"/>
      <c r="B463" s="2496" t="s">
        <v>1853</v>
      </c>
      <c r="C463" s="2287"/>
      <c r="D463" s="2287"/>
      <c r="E463" s="2287"/>
      <c r="F463" s="2287"/>
      <c r="G463" s="2287"/>
      <c r="H463" s="2287"/>
      <c r="I463" s="2287"/>
      <c r="J463" s="2287"/>
      <c r="K463" s="2287"/>
      <c r="L463" s="2287"/>
      <c r="M463" s="2287"/>
      <c r="N463" s="2287"/>
      <c r="O463" s="2287"/>
      <c r="P463" s="2287"/>
      <c r="Q463" s="2287"/>
      <c r="R463" s="2287"/>
      <c r="S463" s="2287"/>
      <c r="T463" s="2287"/>
      <c r="U463" s="2497"/>
      <c r="V463" s="522"/>
    </row>
    <row r="464" spans="1:22">
      <c r="B464" s="691"/>
      <c r="C464" s="691"/>
      <c r="D464" s="691"/>
      <c r="E464" s="691"/>
      <c r="F464" s="691"/>
      <c r="G464" s="691"/>
      <c r="H464" s="691"/>
      <c r="I464" s="691"/>
      <c r="J464" s="691"/>
      <c r="K464" s="691"/>
      <c r="L464" s="691"/>
      <c r="M464" s="691"/>
      <c r="N464" s="691"/>
      <c r="O464" s="691"/>
      <c r="P464" s="691"/>
      <c r="Q464" s="691"/>
      <c r="R464" s="691"/>
      <c r="S464" s="691"/>
      <c r="T464" s="691"/>
      <c r="U464" s="522"/>
      <c r="V464" s="522"/>
    </row>
    <row r="466" spans="1:22" ht="19.149999999999999" customHeight="1">
      <c r="B466" s="522"/>
      <c r="C466" s="585"/>
      <c r="D466" s="584"/>
      <c r="E466" s="584"/>
      <c r="F466" s="584"/>
      <c r="G466" s="586"/>
      <c r="H466" s="586"/>
      <c r="I466" s="586"/>
      <c r="J466" s="586"/>
      <c r="K466" s="587"/>
      <c r="L466" s="587"/>
      <c r="M466" s="476" t="s">
        <v>1466</v>
      </c>
      <c r="N466" s="587"/>
      <c r="O466" s="587"/>
      <c r="P466" s="587"/>
      <c r="Q466" s="561"/>
      <c r="R466" s="477" t="s">
        <v>692</v>
      </c>
      <c r="S466" s="478" t="str">
        <f>$E$29</f>
        <v>ILF5_90FCOR_B114CAGR43006</v>
      </c>
      <c r="T466" s="441"/>
      <c r="U466" s="588"/>
      <c r="V466" s="441"/>
    </row>
    <row r="467" spans="1:22" ht="19.149999999999999" customHeight="1">
      <c r="B467" s="522"/>
      <c r="C467" s="585"/>
      <c r="D467" s="584"/>
      <c r="E467" s="584"/>
      <c r="F467" s="584"/>
      <c r="G467" s="586"/>
      <c r="H467" s="586"/>
      <c r="I467" s="586"/>
      <c r="J467" s="586"/>
      <c r="K467" s="587"/>
      <c r="L467" s="587"/>
      <c r="M467" s="587"/>
      <c r="N467" s="587"/>
      <c r="O467" s="587"/>
      <c r="P467" s="587"/>
      <c r="Q467" s="561"/>
      <c r="R467" s="561"/>
      <c r="S467" s="441"/>
      <c r="T467" s="441"/>
      <c r="U467" s="588"/>
      <c r="V467" s="441"/>
    </row>
    <row r="468" spans="1:22">
      <c r="A468" s="420"/>
      <c r="B468" s="420"/>
      <c r="C468" s="420"/>
      <c r="D468" s="420"/>
      <c r="E468" s="420"/>
      <c r="F468" s="420"/>
      <c r="G468" s="420"/>
      <c r="H468" s="420"/>
      <c r="I468" s="420"/>
      <c r="K468" s="420"/>
      <c r="L468" s="420"/>
      <c r="M468" s="420"/>
      <c r="N468" s="420"/>
      <c r="O468" s="420"/>
      <c r="P468" s="420"/>
      <c r="Q468" s="420"/>
      <c r="R468" s="420"/>
      <c r="S468" s="420"/>
      <c r="T468" s="420"/>
      <c r="U468" s="420"/>
      <c r="V468" s="420"/>
    </row>
    <row r="469" spans="1:22">
      <c r="A469" s="420"/>
      <c r="B469" s="420"/>
      <c r="C469" s="420"/>
      <c r="D469" s="420"/>
      <c r="E469" s="420"/>
      <c r="F469" s="420"/>
      <c r="G469" s="420"/>
      <c r="H469" s="436" t="s">
        <v>690</v>
      </c>
      <c r="I469" s="420"/>
      <c r="K469" s="420"/>
      <c r="L469" s="437" t="str">
        <f>$B$11</f>
        <v>INMOBILIARIA SERVIGESTION</v>
      </c>
      <c r="M469" s="420"/>
      <c r="N469" s="420"/>
      <c r="P469" s="420"/>
      <c r="Q469" s="420"/>
      <c r="S469" s="420"/>
      <c r="T469" s="420"/>
      <c r="V469" s="437"/>
    </row>
    <row r="470" spans="1:22" ht="34.5">
      <c r="A470" s="420"/>
      <c r="B470" s="2268" t="s">
        <v>461</v>
      </c>
      <c r="C470" s="2268"/>
      <c r="D470" s="2268"/>
      <c r="E470" s="2268"/>
      <c r="F470" s="2268"/>
      <c r="G470" s="2268"/>
      <c r="H470" s="2268"/>
      <c r="I470" s="2268"/>
      <c r="J470" s="2268"/>
      <c r="K470" s="2268"/>
      <c r="L470" s="2268"/>
      <c r="M470" s="2268"/>
      <c r="N470" s="2268"/>
      <c r="O470" s="2268"/>
      <c r="P470" s="2268"/>
      <c r="Q470" s="2268"/>
      <c r="R470" s="2268"/>
      <c r="S470" s="2268"/>
      <c r="T470" s="2268"/>
      <c r="U470" s="2268"/>
      <c r="V470" s="420"/>
    </row>
    <row r="471" spans="1:22" ht="22.9" customHeight="1">
      <c r="A471" s="420"/>
      <c r="B471" s="2269" t="s">
        <v>808</v>
      </c>
      <c r="C471" s="2269"/>
      <c r="D471" s="2269"/>
      <c r="E471" s="2269"/>
      <c r="F471" s="2269"/>
      <c r="G471" s="2269"/>
      <c r="H471" s="2269"/>
      <c r="I471" s="2269"/>
      <c r="J471" s="2269"/>
      <c r="K471" s="2269"/>
      <c r="L471" s="2269"/>
      <c r="M471" s="2269"/>
      <c r="N471" s="2269"/>
      <c r="O471" s="2269"/>
      <c r="P471" s="2269"/>
      <c r="Q471" s="2269"/>
      <c r="R471" s="2269"/>
      <c r="S471" s="2269"/>
      <c r="T471" s="2269"/>
      <c r="U471" s="2269"/>
      <c r="V471" s="420"/>
    </row>
    <row r="472" spans="1:22" ht="21" customHeight="1">
      <c r="A472" s="420"/>
      <c r="B472" s="2251" t="s">
        <v>711</v>
      </c>
      <c r="C472" s="2251"/>
      <c r="D472" s="2251"/>
      <c r="E472" s="2251"/>
      <c r="F472" s="2251"/>
      <c r="G472" s="2251"/>
      <c r="H472" s="2251"/>
      <c r="I472" s="2251"/>
      <c r="J472" s="2251"/>
      <c r="K472" s="2251"/>
      <c r="L472" s="2251"/>
      <c r="M472" s="2251"/>
      <c r="N472" s="2251"/>
      <c r="O472" s="2251"/>
      <c r="P472" s="2251"/>
      <c r="Q472" s="2251"/>
      <c r="R472" s="2251"/>
      <c r="S472" s="2251"/>
      <c r="T472" s="2251"/>
      <c r="U472" s="2251"/>
      <c r="V472" s="420"/>
    </row>
    <row r="473" spans="1:22" ht="23.25">
      <c r="A473" s="420"/>
      <c r="B473" s="2279" t="s">
        <v>712</v>
      </c>
      <c r="C473" s="2279"/>
      <c r="D473" s="2279"/>
      <c r="E473" s="2279"/>
      <c r="F473" s="2279"/>
      <c r="G473" s="2279"/>
      <c r="H473" s="2279"/>
      <c r="I473" s="2279"/>
      <c r="J473" s="2279"/>
      <c r="K473" s="2279"/>
      <c r="L473" s="2279"/>
      <c r="M473" s="2279"/>
      <c r="N473" s="2279"/>
      <c r="O473" s="2279"/>
      <c r="P473" s="2279"/>
      <c r="Q473" s="2279"/>
      <c r="R473" s="2279"/>
      <c r="S473" s="2279"/>
      <c r="T473" s="2279"/>
      <c r="U473" s="2279"/>
      <c r="V473" s="420"/>
    </row>
    <row r="474" spans="1:22" ht="7.15" customHeight="1">
      <c r="A474" s="429"/>
      <c r="V474" s="429"/>
    </row>
    <row r="475" spans="1:22" ht="72.75" customHeight="1">
      <c r="A475" s="441"/>
      <c r="B475" s="2253" t="s">
        <v>462</v>
      </c>
      <c r="C475" s="2254"/>
      <c r="D475" s="758" t="s">
        <v>463</v>
      </c>
      <c r="E475" s="758" t="s">
        <v>464</v>
      </c>
      <c r="F475" s="758" t="s">
        <v>468</v>
      </c>
      <c r="G475" s="758" t="s">
        <v>465</v>
      </c>
      <c r="H475" s="758" t="s">
        <v>693</v>
      </c>
      <c r="I475" s="2254" t="s">
        <v>763</v>
      </c>
      <c r="J475" s="2254"/>
      <c r="K475" s="758" t="s">
        <v>713</v>
      </c>
      <c r="L475" s="758" t="s">
        <v>444</v>
      </c>
      <c r="M475" s="758" t="s">
        <v>651</v>
      </c>
      <c r="N475" s="758" t="s">
        <v>51</v>
      </c>
      <c r="O475" s="758" t="s">
        <v>694</v>
      </c>
      <c r="P475" s="758" t="s">
        <v>714</v>
      </c>
      <c r="Q475" s="758" t="s">
        <v>807</v>
      </c>
      <c r="R475" s="758" t="s">
        <v>806</v>
      </c>
      <c r="S475" s="758" t="s">
        <v>811</v>
      </c>
      <c r="T475" s="758" t="s">
        <v>715</v>
      </c>
      <c r="U475" s="761" t="s">
        <v>295</v>
      </c>
    </row>
    <row r="476" spans="1:22" ht="48.75" customHeight="1">
      <c r="B476" s="2257" t="str">
        <f>IF(Perfiles_usuario!B39=0,"",Perfiles_usuario!B39)</f>
        <v>LINEA JEFE</v>
      </c>
      <c r="C476" s="2258"/>
      <c r="D476" s="770">
        <f>IF(Perfiles_usuario!D39=0,"",Perfiles_usuario!D39)</f>
        <v>1</v>
      </c>
      <c r="E476" s="770">
        <f>IF(Perfiles_usuario!D39=0,"",Perfiles_usuario!F39)</f>
        <v>1</v>
      </c>
      <c r="F476" s="770" t="str">
        <f>IF(Perfiles_usuario!D39=0,"","incluidas")</f>
        <v>incluidas</v>
      </c>
      <c r="G476" s="770" t="str">
        <f>IF(Perfiles_usuario!D39=0,"","incluidos")</f>
        <v>incluidos</v>
      </c>
      <c r="H476" s="770" t="str">
        <f>IF(Perfiles_usuario!$D$17="Óptima RPV",IF(Perfiles_usuario!D39=0,"","incluido"),"")</f>
        <v>incluido</v>
      </c>
      <c r="I476" s="2258" t="str">
        <f>IF(Perfiles_usuario!D39=0,"",Perfiles_usuario!H39)</f>
        <v>Ilimitada+8GB</v>
      </c>
      <c r="J476" s="2258"/>
      <c r="K476" s="770" t="str">
        <f>IF(Perfiles_usuario!J39=0,"",Perfiles_usuario!J39)</f>
        <v/>
      </c>
      <c r="L476" s="770" t="str">
        <f>IF(Perfiles_usuario!D39=0,"",IF(Perfiles_usuario!N39="","No",Perfiles_usuario!N39))</f>
        <v>No</v>
      </c>
      <c r="M476" s="695">
        <f>IF(Perfiles_usuario!D39=0,"",Perfiles_usuario!P39)</f>
        <v>53</v>
      </c>
      <c r="N476" s="695">
        <f>IF(Perfiles_usuario!D39=0,"",Perfiles_usuario!R39)</f>
        <v>53</v>
      </c>
      <c r="O476" s="696">
        <f>IF(Perfiles_usuario!D39=0,"",Perfiles_usuario!V39)</f>
        <v>0</v>
      </c>
      <c r="P476" s="696">
        <f>IF(Perfiles_usuario!$D39=0,"",Perfiles_usuario!X39)</f>
        <v>0.1</v>
      </c>
      <c r="Q476" s="695">
        <f>IF(Perfiles_usuario!$D39=0,"",Perfiles_usuario!Z39)</f>
        <v>47.7</v>
      </c>
      <c r="R476" s="695">
        <f>IF(Perfiles_usuario!$D39=0,"",Perfiles_usuario!AB39)</f>
        <v>47.7</v>
      </c>
      <c r="S476" s="696">
        <f>IF(Perfiles_usuario!$D39=0,"",Perfiles_usuario!AD39)</f>
        <v>0.1</v>
      </c>
      <c r="T476" s="695">
        <f>IF(Perfiles_usuario!D39=0,"",Perfiles_usuario!AF39)</f>
        <v>42.400000000000006</v>
      </c>
      <c r="U476" s="697">
        <f>IF(Perfiles_usuario!D39=0,"",Perfiles_usuario!AH39)</f>
        <v>42.400000000000006</v>
      </c>
      <c r="V476" s="441"/>
    </row>
    <row r="477" spans="1:22" ht="49.9" customHeight="1">
      <c r="B477" s="2272" t="str">
        <f>IF(Perfiles_usuario!B42=0,"",Perfiles_usuario!B42)</f>
        <v>ILIMITADA</v>
      </c>
      <c r="C477" s="2259"/>
      <c r="D477" s="756">
        <f>IF(Perfiles_usuario!D42=0,"",Perfiles_usuario!D42)</f>
        <v>1</v>
      </c>
      <c r="E477" s="756">
        <f>IF(Perfiles_usuario!D42=0,"",Perfiles_usuario!F42)</f>
        <v>1</v>
      </c>
      <c r="F477" s="756" t="str">
        <f>IF(Perfiles_usuario!D42=0,"","incluidas")</f>
        <v>incluidas</v>
      </c>
      <c r="G477" s="756" t="str">
        <f>IF(Perfiles_usuario!D42=0,"","incluidos")</f>
        <v>incluidos</v>
      </c>
      <c r="H477" s="756" t="str">
        <f>IF(Perfiles_usuario!$D$17="Óptima RPV",IF(Perfiles_usuario!D42=0,"","incluido"),"")</f>
        <v>incluido</v>
      </c>
      <c r="I477" s="2259" t="str">
        <f>IF(Perfiles_usuario!D42=0,"",Perfiles_usuario!H42)</f>
        <v>Ilimitada+8GB</v>
      </c>
      <c r="J477" s="2259"/>
      <c r="K477" s="756" t="str">
        <f>IF(Perfiles_usuario!J42=0,"",Perfiles_usuario!J42)</f>
        <v/>
      </c>
      <c r="L477" s="756" t="str">
        <f>IF(Perfiles_usuario!D42=0,"",IF(Perfiles_usuario!N42="","No",Perfiles_usuario!N42))</f>
        <v>No</v>
      </c>
      <c r="M477" s="699">
        <f>IF(Perfiles_usuario!D42=0,"",Perfiles_usuario!P42)</f>
        <v>53</v>
      </c>
      <c r="N477" s="699">
        <f>IF(Perfiles_usuario!D42=0,"",Perfiles_usuario!R42)</f>
        <v>53</v>
      </c>
      <c r="O477" s="700">
        <f>IF(Perfiles_usuario!D42=0,"",Perfiles_usuario!V42)</f>
        <v>0</v>
      </c>
      <c r="P477" s="700">
        <f>IF(Perfiles_usuario!D42=0,"",Perfiles_usuario!X42)</f>
        <v>0.1</v>
      </c>
      <c r="Q477" s="699">
        <f>IF(Perfiles_usuario!$D42=0,"",Perfiles_usuario!Z42)</f>
        <v>47.7</v>
      </c>
      <c r="R477" s="699">
        <f>IF(Perfiles_usuario!$D42=0,"",Perfiles_usuario!AB42)</f>
        <v>47.7</v>
      </c>
      <c r="S477" s="700">
        <f>IF(Perfiles_usuario!$D42=0,"",Perfiles_usuario!AD42)</f>
        <v>0.1</v>
      </c>
      <c r="T477" s="699">
        <f>IF(Perfiles_usuario!D42=0,"",Perfiles_usuario!AF42)</f>
        <v>42.400000000000006</v>
      </c>
      <c r="U477" s="701">
        <f>IF(Perfiles_usuario!D42=0,"",Perfiles_usuario!AH42)</f>
        <v>42.400000000000006</v>
      </c>
      <c r="V477" s="441"/>
    </row>
    <row r="478" spans="1:22" ht="49.9" customHeight="1">
      <c r="B478" s="2272" t="str">
        <f>IF(Perfiles_usuario!B45=0,"",Perfiles_usuario!B45)</f>
        <v>ILIMITADA</v>
      </c>
      <c r="C478" s="2259"/>
      <c r="D478" s="756">
        <f>IF(Perfiles_usuario!D45=0,"",Perfiles_usuario!D45)</f>
        <v>1</v>
      </c>
      <c r="E478" s="756">
        <f>IF(Perfiles_usuario!D45=0,"",Perfiles_usuario!F45)</f>
        <v>1</v>
      </c>
      <c r="F478" s="756" t="str">
        <f>IF(Perfiles_usuario!D45=0,"","incluidas")</f>
        <v>incluidas</v>
      </c>
      <c r="G478" s="756" t="str">
        <f>IF(Perfiles_usuario!D45=0,"","incluidos")</f>
        <v>incluidos</v>
      </c>
      <c r="H478" s="756" t="str">
        <f>IF(Perfiles_usuario!$D$17="Óptima RPV",IF(Perfiles_usuario!D45=0,"","incluido"),"")</f>
        <v>incluido</v>
      </c>
      <c r="I478" s="2259" t="str">
        <f>IF(Perfiles_usuario!D45=0,"",Perfiles_usuario!H45)</f>
        <v>Ilimitada+8GB</v>
      </c>
      <c r="J478" s="2259"/>
      <c r="K478" s="756" t="str">
        <f>IF(Perfiles_usuario!J45=0,"",Perfiles_usuario!J45)</f>
        <v/>
      </c>
      <c r="L478" s="756" t="str">
        <f>IF(Perfiles_usuario!D45=0,"",IF(Perfiles_usuario!N45="","No",Perfiles_usuario!N45))</f>
        <v>No</v>
      </c>
      <c r="M478" s="699">
        <f>IF(Perfiles_usuario!D45=0,"",Perfiles_usuario!P45)</f>
        <v>53</v>
      </c>
      <c r="N478" s="699">
        <f>IF(Perfiles_usuario!D45=0,"",Perfiles_usuario!R45)</f>
        <v>53</v>
      </c>
      <c r="O478" s="700">
        <f>IF(Perfiles_usuario!D45=0,"",Perfiles_usuario!V45)</f>
        <v>0</v>
      </c>
      <c r="P478" s="700">
        <f>IF(Perfiles_usuario!D45=0,"",Perfiles_usuario!X45)</f>
        <v>0.1</v>
      </c>
      <c r="Q478" s="699">
        <f>IF(Perfiles_usuario!$D45=0,"",Perfiles_usuario!Z45)</f>
        <v>47.7</v>
      </c>
      <c r="R478" s="699">
        <f>IF(Perfiles_usuario!$D45=0,"",Perfiles_usuario!AB45)</f>
        <v>47.7</v>
      </c>
      <c r="S478" s="700">
        <f>IF(Perfiles_usuario!$D45=0,"",Perfiles_usuario!AD45)</f>
        <v>0.1</v>
      </c>
      <c r="T478" s="699">
        <f>IF(Perfiles_usuario!D45=0,"",Perfiles_usuario!AF45)</f>
        <v>42.400000000000006</v>
      </c>
      <c r="U478" s="701">
        <f>IF(Perfiles_usuario!D45=0,"",Perfiles_usuario!AH45)</f>
        <v>42.400000000000006</v>
      </c>
    </row>
    <row r="479" spans="1:22" ht="49.9" customHeight="1">
      <c r="B479" s="2272" t="str">
        <f>IF(Perfiles_usuario!B48=0,"",Perfiles_usuario!B48)</f>
        <v>ILIMITADA CV</v>
      </c>
      <c r="C479" s="2259"/>
      <c r="D479" s="756">
        <f>IF(Perfiles_usuario!D48=0,"",Perfiles_usuario!D48)</f>
        <v>1</v>
      </c>
      <c r="E479" s="756">
        <f>IF(Perfiles_usuario!D48=0,"",Perfiles_usuario!F48)</f>
        <v>0</v>
      </c>
      <c r="F479" s="756" t="str">
        <f>IF(Perfiles_usuario!D48=0,"","incluidas")</f>
        <v>incluidas</v>
      </c>
      <c r="G479" s="756" t="str">
        <f>IF(Perfiles_usuario!D48=0,"","incluidos")</f>
        <v>incluidos</v>
      </c>
      <c r="H479" s="756" t="str">
        <f>IF(Perfiles_usuario!$D$17="Óptima RPV",IF(Perfiles_usuario!D48=0,"","incluido"),"")</f>
        <v>incluido</v>
      </c>
      <c r="I479" s="2259" t="str">
        <f>IF(Perfiles_usuario!D48=0,"",Perfiles_usuario!H48)</f>
        <v>Ilimitada+1GB</v>
      </c>
      <c r="J479" s="2259"/>
      <c r="K479" s="756" t="str">
        <f>IF(Perfiles_usuario!J48=0,"",Perfiles_usuario!J48)</f>
        <v>Agente Centralita Virtual</v>
      </c>
      <c r="L479" s="756" t="str">
        <f>IF(Perfiles_usuario!D48=0,"",IF(Perfiles_usuario!N48="","No",Perfiles_usuario!N48))</f>
        <v>No</v>
      </c>
      <c r="M479" s="699">
        <f>IF(Perfiles_usuario!D48=0,"",Perfiles_usuario!P48)</f>
        <v>29</v>
      </c>
      <c r="N479" s="699">
        <f>IF(Perfiles_usuario!D48=0,"",Perfiles_usuario!R48)</f>
        <v>29</v>
      </c>
      <c r="O479" s="700">
        <f>IF(Perfiles_usuario!D48=0,"",Perfiles_usuario!V48)</f>
        <v>0</v>
      </c>
      <c r="P479" s="700">
        <f>IF(Perfiles_usuario!D48=0,"",Perfiles_usuario!X48)</f>
        <v>0.1</v>
      </c>
      <c r="Q479" s="699">
        <f>IF(Perfiles_usuario!$D48=0,"",Perfiles_usuario!Z48)</f>
        <v>26.1</v>
      </c>
      <c r="R479" s="699">
        <f>IF(Perfiles_usuario!$D48=0,"",Perfiles_usuario!AB48)</f>
        <v>26.1</v>
      </c>
      <c r="S479" s="700">
        <f>IF(Perfiles_usuario!$D48=0,"",Perfiles_usuario!AD48)</f>
        <v>0.1</v>
      </c>
      <c r="T479" s="699">
        <f>IF(Perfiles_usuario!D48=0,"",Perfiles_usuario!AF48)</f>
        <v>23.200000000000003</v>
      </c>
      <c r="U479" s="701">
        <f>IF(Perfiles_usuario!D48=0,"",Perfiles_usuario!AH48)</f>
        <v>23.200000000000003</v>
      </c>
      <c r="V479" s="441"/>
    </row>
    <row r="480" spans="1:22" ht="49.9" customHeight="1">
      <c r="B480" s="2272" t="str">
        <f>IF(Perfiles_usuario!B51=0,"",Perfiles_usuario!B51)</f>
        <v>1 NUEVA</v>
      </c>
      <c r="C480" s="2259"/>
      <c r="D480" s="756">
        <f>IF(Perfiles_usuario!D51=0,"",Perfiles_usuario!D51)</f>
        <v>1</v>
      </c>
      <c r="E480" s="756">
        <f>IF(Perfiles_usuario!D51=0,"",Perfiles_usuario!F51)</f>
        <v>0</v>
      </c>
      <c r="F480" s="756" t="str">
        <f>IF(Perfiles_usuario!D51=0,"","incluidas")</f>
        <v>incluidas</v>
      </c>
      <c r="G480" s="756" t="str">
        <f>IF(Perfiles_usuario!D51=0,"","incluidos")</f>
        <v>incluidos</v>
      </c>
      <c r="H480" s="756" t="str">
        <f>IF(Perfiles_usuario!$D$17="Óptima RPV",IF(Perfiles_usuario!D51=0,"","incluido"),"")</f>
        <v>incluido</v>
      </c>
      <c r="I480" s="2259" t="str">
        <f>IF(Perfiles_usuario!D51=0,"",Perfiles_usuario!H51)</f>
        <v>Sin tarifa plana (0-50 min)</v>
      </c>
      <c r="J480" s="2259"/>
      <c r="K480" s="756" t="str">
        <f>IF(Perfiles_usuario!J51=0,"",Perfiles_usuario!J51)</f>
        <v/>
      </c>
      <c r="L480" s="756" t="str">
        <f>IF(Perfiles_usuario!D51=0,"",IF(Perfiles_usuario!N51="","No",Perfiles_usuario!N51))</f>
        <v>No</v>
      </c>
      <c r="M480" s="699">
        <f>IF(Perfiles_usuario!D51=0,"",Perfiles_usuario!P51)</f>
        <v>6</v>
      </c>
      <c r="N480" s="699">
        <f>IF(Perfiles_usuario!D51=0,"",Perfiles_usuario!R51)</f>
        <v>6</v>
      </c>
      <c r="O480" s="700">
        <f>IF(Perfiles_usuario!D51=0,"",Perfiles_usuario!V51)</f>
        <v>0</v>
      </c>
      <c r="P480" s="700">
        <f>IF(Perfiles_usuario!D51=0,"",Perfiles_usuario!X51)</f>
        <v>0.1</v>
      </c>
      <c r="Q480" s="699">
        <f>IF(Perfiles_usuario!$D51=0,"",Perfiles_usuario!Z51)</f>
        <v>5.4</v>
      </c>
      <c r="R480" s="699">
        <f>IF(Perfiles_usuario!$D51=0,"",Perfiles_usuario!AB51)</f>
        <v>5.4</v>
      </c>
      <c r="S480" s="700">
        <f>IF(Perfiles_usuario!$D51=0,"",Perfiles_usuario!AD51)</f>
        <v>0.1</v>
      </c>
      <c r="T480" s="699">
        <f>IF(Perfiles_usuario!D51=0,"",Perfiles_usuario!AF51)</f>
        <v>4.8000000000000007</v>
      </c>
      <c r="U480" s="701">
        <f>IF(Perfiles_usuario!D51=0,"",Perfiles_usuario!AH51)</f>
        <v>4.8000000000000007</v>
      </c>
    </row>
    <row r="481" spans="2:22" ht="49.9" customHeight="1">
      <c r="B481" s="2272" t="str">
        <f>IF(Perfiles_usuario!B54=0,"",Perfiles_usuario!B54)</f>
        <v/>
      </c>
      <c r="C481" s="2259"/>
      <c r="D481" s="756" t="str">
        <f>IF(Perfiles_usuario!D54=0,"",Perfiles_usuario!D54)</f>
        <v/>
      </c>
      <c r="E481" s="756" t="str">
        <f>IF(Perfiles_usuario!D54=0,"",Perfiles_usuario!F54)</f>
        <v/>
      </c>
      <c r="F481" s="756" t="str">
        <f>IF(Perfiles_usuario!D54=0,"","incluidas")</f>
        <v/>
      </c>
      <c r="G481" s="756" t="str">
        <f>IF(Perfiles_usuario!D54=0,"","incluidos")</f>
        <v/>
      </c>
      <c r="H481" s="756" t="str">
        <f>IF(Perfiles_usuario!$D$17="Óptima RPV",IF(Perfiles_usuario!D54=0,"","incluido"),"")</f>
        <v/>
      </c>
      <c r="I481" s="2259" t="str">
        <f>IF(Perfiles_usuario!D54=0,"",Perfiles_usuario!H54)</f>
        <v/>
      </c>
      <c r="J481" s="2259"/>
      <c r="K481" s="756" t="str">
        <f>IF(Perfiles_usuario!J54=0,"",Perfiles_usuario!J54)</f>
        <v/>
      </c>
      <c r="L481" s="756" t="str">
        <f>IF(Perfiles_usuario!D54=0,"",IF(Perfiles_usuario!N54="","No",Perfiles_usuario!N54))</f>
        <v/>
      </c>
      <c r="M481" s="699" t="str">
        <f>IF(Perfiles_usuario!D54=0,"",Perfiles_usuario!P54)</f>
        <v/>
      </c>
      <c r="N481" s="699" t="str">
        <f>IF(Perfiles_usuario!D54=0,"",Perfiles_usuario!R54)</f>
        <v/>
      </c>
      <c r="O481" s="700" t="str">
        <f>IF(Perfiles_usuario!D54=0,"",Perfiles_usuario!V54)</f>
        <v/>
      </c>
      <c r="P481" s="700" t="str">
        <f>IF(Perfiles_usuario!D54=0,"",Perfiles_usuario!X54)</f>
        <v/>
      </c>
      <c r="Q481" s="699" t="str">
        <f>IF(Perfiles_usuario!$D54=0,"",Perfiles_usuario!Z54)</f>
        <v/>
      </c>
      <c r="R481" s="699" t="str">
        <f>IF(Perfiles_usuario!$D54=0,"",Perfiles_usuario!AB54)</f>
        <v/>
      </c>
      <c r="S481" s="700" t="str">
        <f>IF(Perfiles_usuario!$D54=0,"",Perfiles_usuario!AD54)</f>
        <v/>
      </c>
      <c r="T481" s="699" t="str">
        <f>IF(Perfiles_usuario!D54=0,"",Perfiles_usuario!AF54)</f>
        <v/>
      </c>
      <c r="U481" s="701" t="str">
        <f>IF(Perfiles_usuario!D54=0,"",Perfiles_usuario!AH54)</f>
        <v/>
      </c>
    </row>
    <row r="482" spans="2:22" ht="49.9" customHeight="1">
      <c r="B482" s="2272" t="str">
        <f>IF(Perfiles_usuario!B57=0,"",Perfiles_usuario!B57)</f>
        <v/>
      </c>
      <c r="C482" s="2259"/>
      <c r="D482" s="756" t="str">
        <f>IF(Perfiles_usuario!D57=0,"",Perfiles_usuario!D57)</f>
        <v/>
      </c>
      <c r="E482" s="756" t="str">
        <f>IF(Perfiles_usuario!D57=0,"",Perfiles_usuario!F57)</f>
        <v/>
      </c>
      <c r="F482" s="756" t="str">
        <f>IF(Perfiles_usuario!D57=0,"","incluidas")</f>
        <v/>
      </c>
      <c r="G482" s="756" t="str">
        <f>IF(Perfiles_usuario!D57=0,"","incluidos")</f>
        <v/>
      </c>
      <c r="H482" s="756" t="str">
        <f>IF(Perfiles_usuario!$D$17="Óptima RPV",IF(Perfiles_usuario!D57=0,"","incluido"),"")</f>
        <v/>
      </c>
      <c r="I482" s="2259" t="str">
        <f>IF(Perfiles_usuario!D57=0,"",Perfiles_usuario!H57)</f>
        <v/>
      </c>
      <c r="J482" s="2259"/>
      <c r="K482" s="756" t="str">
        <f>IF(Perfiles_usuario!J57=0,"",Perfiles_usuario!J57)</f>
        <v/>
      </c>
      <c r="L482" s="756" t="str">
        <f>IF(Perfiles_usuario!D57=0,"",IF(Perfiles_usuario!N57="","No",Perfiles_usuario!N57))</f>
        <v/>
      </c>
      <c r="M482" s="699" t="str">
        <f>IF(Perfiles_usuario!D57=0,"",Perfiles_usuario!P57)</f>
        <v/>
      </c>
      <c r="N482" s="699" t="str">
        <f>IF(Perfiles_usuario!D57=0,"",Perfiles_usuario!R57)</f>
        <v/>
      </c>
      <c r="O482" s="700" t="str">
        <f>IF(Perfiles_usuario!D57=0,"",Perfiles_usuario!V57)</f>
        <v/>
      </c>
      <c r="P482" s="700" t="str">
        <f>IF(Perfiles_usuario!D57=0,"",Perfiles_usuario!X57)</f>
        <v/>
      </c>
      <c r="Q482" s="699" t="str">
        <f>IF(Perfiles_usuario!$D57=0,"",Perfiles_usuario!Z57)</f>
        <v/>
      </c>
      <c r="R482" s="699" t="str">
        <f>IF(Perfiles_usuario!$D57=0,"",Perfiles_usuario!AB57)</f>
        <v/>
      </c>
      <c r="S482" s="700" t="str">
        <f>IF(Perfiles_usuario!$D57=0,"",Perfiles_usuario!AD57)</f>
        <v/>
      </c>
      <c r="T482" s="699" t="str">
        <f>IF(Perfiles_usuario!D57=0,"",Perfiles_usuario!AF57)</f>
        <v/>
      </c>
      <c r="U482" s="701" t="str">
        <f>IF(Perfiles_usuario!D57=0,"",Perfiles_usuario!AH57)</f>
        <v/>
      </c>
      <c r="V482" s="441"/>
    </row>
    <row r="483" spans="2:22" ht="49.9" customHeight="1">
      <c r="B483" s="2272" t="str">
        <f>IF(Perfiles_usuario!B60=0,"",Perfiles_usuario!B60)</f>
        <v/>
      </c>
      <c r="C483" s="2259"/>
      <c r="D483" s="756" t="str">
        <f>IF(Perfiles_usuario!D60=0,"",Perfiles_usuario!D60)</f>
        <v/>
      </c>
      <c r="E483" s="756" t="str">
        <f>IF(Perfiles_usuario!D60=0,"",Perfiles_usuario!F60)</f>
        <v/>
      </c>
      <c r="F483" s="756" t="str">
        <f>IF(Perfiles_usuario!D60=0,"","incluidas")</f>
        <v/>
      </c>
      <c r="G483" s="756" t="str">
        <f>IF(Perfiles_usuario!D60=0,"","incluidos")</f>
        <v/>
      </c>
      <c r="H483" s="756" t="str">
        <f>IF(Perfiles_usuario!$D$17="Óptima RPV",IF(Perfiles_usuario!D60=0,"","incluido"),"")</f>
        <v/>
      </c>
      <c r="I483" s="2259" t="str">
        <f>IF(Perfiles_usuario!D60=0,"",Perfiles_usuario!H60)</f>
        <v/>
      </c>
      <c r="J483" s="2259"/>
      <c r="K483" s="756" t="str">
        <f>IF(Perfiles_usuario!J60=0,"",Perfiles_usuario!J60)</f>
        <v/>
      </c>
      <c r="L483" s="756" t="str">
        <f>IF(Perfiles_usuario!D60=0,"",IF(Perfiles_usuario!N60="","No",Perfiles_usuario!N60))</f>
        <v/>
      </c>
      <c r="M483" s="699" t="str">
        <f>IF(Perfiles_usuario!D60=0,"",Perfiles_usuario!P60)</f>
        <v/>
      </c>
      <c r="N483" s="699" t="str">
        <f>IF(Perfiles_usuario!D60=0,"",Perfiles_usuario!R60)</f>
        <v/>
      </c>
      <c r="O483" s="700" t="str">
        <f>IF(Perfiles_usuario!D60=0,"",Perfiles_usuario!V60)</f>
        <v/>
      </c>
      <c r="P483" s="700" t="str">
        <f>IF(Perfiles_usuario!D60=0,"",Perfiles_usuario!X60)</f>
        <v/>
      </c>
      <c r="Q483" s="699" t="str">
        <f>IF(Perfiles_usuario!$D60=0,"",Perfiles_usuario!Z60)</f>
        <v/>
      </c>
      <c r="R483" s="699" t="str">
        <f>IF(Perfiles_usuario!$D60=0,"",Perfiles_usuario!AB60)</f>
        <v/>
      </c>
      <c r="S483" s="700" t="str">
        <f>IF(Perfiles_usuario!$D60=0,"",Perfiles_usuario!AD60)</f>
        <v/>
      </c>
      <c r="T483" s="699" t="str">
        <f>IF(Perfiles_usuario!D60=0,"",Perfiles_usuario!AF60)</f>
        <v/>
      </c>
      <c r="U483" s="701" t="str">
        <f>IF(Perfiles_usuario!D60=0,"",Perfiles_usuario!AH60)</f>
        <v/>
      </c>
      <c r="V483" s="441"/>
    </row>
    <row r="484" spans="2:22" ht="49.9" customHeight="1">
      <c r="B484" s="2272" t="str">
        <f>IF(Perfiles_usuario!B63=0,"",Perfiles_usuario!B63)</f>
        <v/>
      </c>
      <c r="C484" s="2259"/>
      <c r="D484" s="756" t="str">
        <f>IF(Perfiles_usuario!D63=0,"",Perfiles_usuario!D63)</f>
        <v/>
      </c>
      <c r="E484" s="756" t="str">
        <f>IF(Perfiles_usuario!D63=0,"",Perfiles_usuario!F63)</f>
        <v/>
      </c>
      <c r="F484" s="756" t="str">
        <f>IF(Perfiles_usuario!D63=0,"","incluidas")</f>
        <v/>
      </c>
      <c r="G484" s="756" t="str">
        <f>IF(Perfiles_usuario!D63=0,"","incluidos")</f>
        <v/>
      </c>
      <c r="H484" s="756" t="str">
        <f>IF(Perfiles_usuario!$D$17="Óptima RPV",IF(Perfiles_usuario!D63=0,"","incluido"),"")</f>
        <v/>
      </c>
      <c r="I484" s="2259" t="str">
        <f>IF(Perfiles_usuario!D63=0,"",Perfiles_usuario!H63)</f>
        <v/>
      </c>
      <c r="J484" s="2259"/>
      <c r="K484" s="756" t="str">
        <f>IF(Perfiles_usuario!J63=0,"",Perfiles_usuario!J63)</f>
        <v/>
      </c>
      <c r="L484" s="756" t="str">
        <f>IF(Perfiles_usuario!D63=0,"",IF(Perfiles_usuario!N63="","No",Perfiles_usuario!N63))</f>
        <v/>
      </c>
      <c r="M484" s="699" t="str">
        <f>IF(Perfiles_usuario!D63=0,"",Perfiles_usuario!P63)</f>
        <v/>
      </c>
      <c r="N484" s="699" t="str">
        <f>IF(Perfiles_usuario!D63=0,"",Perfiles_usuario!R63)</f>
        <v/>
      </c>
      <c r="O484" s="700" t="str">
        <f>IF(Perfiles_usuario!D63=0,"",Perfiles_usuario!V63)</f>
        <v/>
      </c>
      <c r="P484" s="700" t="str">
        <f>IF(Perfiles_usuario!D63=0,"",Perfiles_usuario!X63)</f>
        <v/>
      </c>
      <c r="Q484" s="699" t="str">
        <f>IF(Perfiles_usuario!$D63=0,"",Perfiles_usuario!Z63)</f>
        <v/>
      </c>
      <c r="R484" s="699" t="str">
        <f>IF(Perfiles_usuario!$D63=0,"",Perfiles_usuario!AB63)</f>
        <v/>
      </c>
      <c r="S484" s="700" t="str">
        <f>IF(Perfiles_usuario!$D63=0,"",Perfiles_usuario!AD63)</f>
        <v/>
      </c>
      <c r="T484" s="699" t="str">
        <f>IF(Perfiles_usuario!D63=0,"",Perfiles_usuario!AF63)</f>
        <v/>
      </c>
      <c r="U484" s="701" t="str">
        <f>IF(Perfiles_usuario!D63=0,"",Perfiles_usuario!AH63)</f>
        <v/>
      </c>
      <c r="V484" s="441"/>
    </row>
    <row r="485" spans="2:22" ht="49.9" customHeight="1">
      <c r="B485" s="2272" t="str">
        <f>IF(Perfiles_usuario!B66=0,"",Perfiles_usuario!B66)</f>
        <v/>
      </c>
      <c r="C485" s="2259"/>
      <c r="D485" s="756" t="str">
        <f>IF(Perfiles_usuario!D66=0,"",Perfiles_usuario!D66)</f>
        <v/>
      </c>
      <c r="E485" s="756" t="str">
        <f>IF(Perfiles_usuario!D66=0,"",Perfiles_usuario!F66)</f>
        <v/>
      </c>
      <c r="F485" s="756" t="str">
        <f>IF(Perfiles_usuario!D66=0,"","incluidas")</f>
        <v/>
      </c>
      <c r="G485" s="756" t="str">
        <f>IF(Perfiles_usuario!D66=0,"","incluidos")</f>
        <v/>
      </c>
      <c r="H485" s="756" t="str">
        <f>IF(Perfiles_usuario!$D$17="Óptima RPV",IF(Perfiles_usuario!D66=0,"","incluido"),"")</f>
        <v/>
      </c>
      <c r="I485" s="2259" t="str">
        <f>IF(Perfiles_usuario!D66=0,"",Perfiles_usuario!H66)</f>
        <v/>
      </c>
      <c r="J485" s="2259"/>
      <c r="K485" s="756" t="str">
        <f>IF(Perfiles_usuario!J66=0,"",Perfiles_usuario!J66)</f>
        <v/>
      </c>
      <c r="L485" s="756" t="str">
        <f>IF(Perfiles_usuario!D66=0,"",IF(Perfiles_usuario!N66="","No",Perfiles_usuario!N66))</f>
        <v/>
      </c>
      <c r="M485" s="699" t="str">
        <f>IF(Perfiles_usuario!D66=0,"",Perfiles_usuario!P66)</f>
        <v/>
      </c>
      <c r="N485" s="699" t="str">
        <f>IF(Perfiles_usuario!D66=0,"",Perfiles_usuario!R66)</f>
        <v/>
      </c>
      <c r="O485" s="700" t="str">
        <f>IF(Perfiles_usuario!D66=0,"",Perfiles_usuario!V66)</f>
        <v/>
      </c>
      <c r="P485" s="700" t="str">
        <f>IF(Perfiles_usuario!D66=0,"",Perfiles_usuario!X66)</f>
        <v/>
      </c>
      <c r="Q485" s="699" t="str">
        <f>IF(Perfiles_usuario!$D66=0,"",Perfiles_usuario!Z66)</f>
        <v/>
      </c>
      <c r="R485" s="699" t="str">
        <f>IF(Perfiles_usuario!$D66=0,"",Perfiles_usuario!AB66)</f>
        <v/>
      </c>
      <c r="S485" s="700" t="str">
        <f>IF(Perfiles_usuario!$D66=0,"",Perfiles_usuario!AD66)</f>
        <v/>
      </c>
      <c r="T485" s="699" t="str">
        <f>IF(Perfiles_usuario!D66=0,"",Perfiles_usuario!AF66)</f>
        <v/>
      </c>
      <c r="U485" s="701" t="str">
        <f>IF(Perfiles_usuario!D66=0,"",Perfiles_usuario!AH66)</f>
        <v/>
      </c>
      <c r="V485" s="441"/>
    </row>
    <row r="486" spans="2:22" ht="49.9" customHeight="1">
      <c r="B486" s="2272" t="str">
        <f>IF(Perfiles_usuario!B68=0,"",Perfiles_usuario!B68)</f>
        <v/>
      </c>
      <c r="C486" s="2259"/>
      <c r="D486" s="756" t="str">
        <f>IF(Perfiles_usuario!D68=0,"",Perfiles_usuario!D68)</f>
        <v/>
      </c>
      <c r="E486" s="756" t="str">
        <f>IF(Perfiles_usuario!D68=0,"",Perfiles_usuario!F68)</f>
        <v/>
      </c>
      <c r="F486" s="756" t="str">
        <f>IF(Perfiles_usuario!D68=0,"","incluidas")</f>
        <v/>
      </c>
      <c r="G486" s="756" t="str">
        <f>IF(Perfiles_usuario!D68=0,"","incluidos")</f>
        <v/>
      </c>
      <c r="H486" s="756" t="str">
        <f>IF(Perfiles_usuario!$D$17="Óptima RPV",IF(Perfiles_usuario!D68=0,"","incluido"),"")</f>
        <v/>
      </c>
      <c r="I486" s="2259" t="str">
        <f>IF(Perfiles_usuario!D68=0,"",Perfiles_usuario!H68)</f>
        <v/>
      </c>
      <c r="J486" s="2259"/>
      <c r="K486" s="756" t="str">
        <f>IF(Perfiles_usuario!J68=0,"",Perfiles_usuario!J68)</f>
        <v/>
      </c>
      <c r="L486" s="756" t="str">
        <f>IF(Perfiles_usuario!D68=0,"",IF(Perfiles_usuario!N68="","No",Perfiles_usuario!N68))</f>
        <v/>
      </c>
      <c r="M486" s="699" t="str">
        <f>IF(Perfiles_usuario!D68=0,"",Perfiles_usuario!P68)</f>
        <v/>
      </c>
      <c r="N486" s="699" t="str">
        <f>IF(Perfiles_usuario!D68=0,"",Perfiles_usuario!R68)</f>
        <v/>
      </c>
      <c r="O486" s="700" t="str">
        <f>IF(Perfiles_usuario!D68=0,"",Perfiles_usuario!V68)</f>
        <v/>
      </c>
      <c r="P486" s="700" t="str">
        <f>IF(Perfiles_usuario!D68=0,"",Perfiles_usuario!X68)</f>
        <v/>
      </c>
      <c r="Q486" s="699" t="str">
        <f>IF(Perfiles_usuario!$D68=0,"",Perfiles_usuario!Z68)</f>
        <v/>
      </c>
      <c r="R486" s="699" t="str">
        <f>IF(Perfiles_usuario!$D68=0,"",Perfiles_usuario!AB68)</f>
        <v/>
      </c>
      <c r="S486" s="700" t="str">
        <f>IF(Perfiles_usuario!$D68=0,"",Perfiles_usuario!AD68)</f>
        <v/>
      </c>
      <c r="T486" s="699" t="str">
        <f>IF(Perfiles_usuario!D68=0,"",Perfiles_usuario!AF68)</f>
        <v/>
      </c>
      <c r="U486" s="701" t="str">
        <f>IF(Perfiles_usuario!D68=0,"",Perfiles_usuario!AH68)</f>
        <v/>
      </c>
      <c r="V486" s="441"/>
    </row>
    <row r="487" spans="2:22" ht="49.9" customHeight="1">
      <c r="B487" s="2272" t="str">
        <f>IF(Perfiles_usuario!B70=0,"",Perfiles_usuario!B70)</f>
        <v/>
      </c>
      <c r="C487" s="2259"/>
      <c r="D487" s="756" t="str">
        <f>IF(Perfiles_usuario!D70=0,"",Perfiles_usuario!D70)</f>
        <v/>
      </c>
      <c r="E487" s="756" t="str">
        <f>IF(Perfiles_usuario!D70=0,"",Perfiles_usuario!F70)</f>
        <v/>
      </c>
      <c r="F487" s="756" t="str">
        <f>IF(Perfiles_usuario!D70=0,"","incluidas")</f>
        <v/>
      </c>
      <c r="G487" s="756" t="str">
        <f>IF(Perfiles_usuario!D70=0,"","incluidos")</f>
        <v/>
      </c>
      <c r="H487" s="756" t="str">
        <f>IF(Perfiles_usuario!$D$17="Óptima RPV",IF(Perfiles_usuario!D70=0,"","incluido"),"")</f>
        <v/>
      </c>
      <c r="I487" s="2259" t="str">
        <f>IF(Perfiles_usuario!D70=0,"",Perfiles_usuario!H70)</f>
        <v/>
      </c>
      <c r="J487" s="2259"/>
      <c r="K487" s="756" t="str">
        <f>IF(Perfiles_usuario!J70=0,"",Perfiles_usuario!J70)</f>
        <v/>
      </c>
      <c r="L487" s="756" t="str">
        <f>IF(Perfiles_usuario!D70=0,"",IF(Perfiles_usuario!N70="","No",Perfiles_usuario!N70))</f>
        <v/>
      </c>
      <c r="M487" s="699" t="str">
        <f>IF(Perfiles_usuario!D70=0,"",Perfiles_usuario!P70)</f>
        <v/>
      </c>
      <c r="N487" s="699" t="str">
        <f>IF(Perfiles_usuario!D70=0,"",Perfiles_usuario!R70)</f>
        <v/>
      </c>
      <c r="O487" s="700" t="str">
        <f>IF(Perfiles_usuario!D70=0,"",Perfiles_usuario!V70)</f>
        <v/>
      </c>
      <c r="P487" s="700" t="str">
        <f>IF(Perfiles_usuario!D70=0,"",Perfiles_usuario!X70)</f>
        <v/>
      </c>
      <c r="Q487" s="699" t="str">
        <f>IF(Perfiles_usuario!$D70=0,"",Perfiles_usuario!Z70)</f>
        <v/>
      </c>
      <c r="R487" s="699" t="str">
        <f>IF(Perfiles_usuario!$D70=0,"",Perfiles_usuario!AB70)</f>
        <v/>
      </c>
      <c r="S487" s="700" t="str">
        <f>IF(Perfiles_usuario!$D70=0,"",Perfiles_usuario!AD70)</f>
        <v/>
      </c>
      <c r="T487" s="699" t="str">
        <f>IF(Perfiles_usuario!D70=0,"",Perfiles_usuario!AF70)</f>
        <v/>
      </c>
      <c r="U487" s="701" t="str">
        <f>IF(Perfiles_usuario!D70=0,"",Perfiles_usuario!AH70)</f>
        <v/>
      </c>
      <c r="V487" s="441"/>
    </row>
    <row r="488" spans="2:22" ht="49.9" customHeight="1">
      <c r="B488" s="2272" t="str">
        <f>IF(Perfiles_usuario!B72=0,"",Perfiles_usuario!B72)</f>
        <v/>
      </c>
      <c r="C488" s="2259"/>
      <c r="D488" s="756" t="str">
        <f>IF(Perfiles_usuario!D72=0,"",Perfiles_usuario!D72)</f>
        <v/>
      </c>
      <c r="E488" s="756" t="str">
        <f>IF(Perfiles_usuario!D72=0,"",Perfiles_usuario!F72)</f>
        <v/>
      </c>
      <c r="F488" s="756" t="str">
        <f>IF(Perfiles_usuario!D72=0,"","incluidas")</f>
        <v/>
      </c>
      <c r="G488" s="756" t="str">
        <f>IF(Perfiles_usuario!D72=0,"","incluidos")</f>
        <v/>
      </c>
      <c r="H488" s="756" t="str">
        <f>IF(Perfiles_usuario!$D$17="Óptima RPV",IF(Perfiles_usuario!D72=0,"","incluido"),"")</f>
        <v/>
      </c>
      <c r="I488" s="2259" t="str">
        <f>IF(Perfiles_usuario!D72=0,"",Perfiles_usuario!H72)</f>
        <v/>
      </c>
      <c r="J488" s="2259"/>
      <c r="K488" s="756" t="str">
        <f>IF(Perfiles_usuario!J72=0,"",Perfiles_usuario!J72)</f>
        <v/>
      </c>
      <c r="L488" s="756" t="str">
        <f>IF(Perfiles_usuario!D72=0,"",IF(Perfiles_usuario!N72="","No",Perfiles_usuario!N72))</f>
        <v/>
      </c>
      <c r="M488" s="699" t="str">
        <f>IF(Perfiles_usuario!D72=0,"",Perfiles_usuario!P72)</f>
        <v/>
      </c>
      <c r="N488" s="699" t="str">
        <f>IF(Perfiles_usuario!D72=0,"",Perfiles_usuario!R72)</f>
        <v/>
      </c>
      <c r="O488" s="700" t="str">
        <f>IF(Perfiles_usuario!D72=0,"",Perfiles_usuario!V72)</f>
        <v/>
      </c>
      <c r="P488" s="700" t="str">
        <f>IF(Perfiles_usuario!D72=0,"",Perfiles_usuario!X72)</f>
        <v/>
      </c>
      <c r="Q488" s="699" t="str">
        <f>IF(Perfiles_usuario!$D72=0,"",Perfiles_usuario!Z72)</f>
        <v/>
      </c>
      <c r="R488" s="699" t="str">
        <f>IF(Perfiles_usuario!$D72=0,"",Perfiles_usuario!AB72)</f>
        <v/>
      </c>
      <c r="S488" s="700" t="str">
        <f>IF(Perfiles_usuario!$D72=0,"",Perfiles_usuario!AD72)</f>
        <v/>
      </c>
      <c r="T488" s="699" t="str">
        <f>IF(Perfiles_usuario!D72=0,"",Perfiles_usuario!AF72)</f>
        <v/>
      </c>
      <c r="U488" s="701" t="str">
        <f>IF(Perfiles_usuario!D72=0,"",Perfiles_usuario!AH72)</f>
        <v/>
      </c>
      <c r="V488" s="441"/>
    </row>
    <row r="489" spans="2:22" ht="49.9" customHeight="1">
      <c r="B489" s="2272" t="str">
        <f>IF(Perfiles_usuario!B74=0,"",Perfiles_usuario!B74)</f>
        <v/>
      </c>
      <c r="C489" s="2259"/>
      <c r="D489" s="756" t="str">
        <f>IF(Perfiles_usuario!D74=0,"",Perfiles_usuario!D74)</f>
        <v/>
      </c>
      <c r="E489" s="756" t="str">
        <f>IF(Perfiles_usuario!D74=0,"",Perfiles_usuario!F74)</f>
        <v/>
      </c>
      <c r="F489" s="756" t="str">
        <f>IF(Perfiles_usuario!D74=0,"","incluidas")</f>
        <v/>
      </c>
      <c r="G489" s="756" t="str">
        <f>IF(Perfiles_usuario!D74=0,"","incluidos")</f>
        <v/>
      </c>
      <c r="H489" s="756" t="str">
        <f>IF(Perfiles_usuario!$D$17="Óptima RPV",IF(Perfiles_usuario!D74=0,"","incluido"),"")</f>
        <v/>
      </c>
      <c r="I489" s="2259" t="str">
        <f>IF(Perfiles_usuario!D74=0,"",Perfiles_usuario!H74)</f>
        <v/>
      </c>
      <c r="J489" s="2259"/>
      <c r="K489" s="756" t="str">
        <f>IF(Perfiles_usuario!J74=0,"",Perfiles_usuario!J74)</f>
        <v/>
      </c>
      <c r="L489" s="756" t="str">
        <f>IF(Perfiles_usuario!D74=0,"",IF(Perfiles_usuario!N74="","No",Perfiles_usuario!N74))</f>
        <v/>
      </c>
      <c r="M489" s="699" t="str">
        <f>IF(Perfiles_usuario!D74=0,"",Perfiles_usuario!P74)</f>
        <v/>
      </c>
      <c r="N489" s="699" t="str">
        <f>IF(Perfiles_usuario!D74=0,"",Perfiles_usuario!R74)</f>
        <v/>
      </c>
      <c r="O489" s="700" t="str">
        <f>IF(Perfiles_usuario!D74=0,"",Perfiles_usuario!V74)</f>
        <v/>
      </c>
      <c r="P489" s="700" t="str">
        <f>IF(Perfiles_usuario!D74=0,"",Perfiles_usuario!X74)</f>
        <v/>
      </c>
      <c r="Q489" s="699" t="str">
        <f>IF(Perfiles_usuario!$D74=0,"",Perfiles_usuario!Z74)</f>
        <v/>
      </c>
      <c r="R489" s="699" t="str">
        <f>IF(Perfiles_usuario!$D74=0,"",Perfiles_usuario!AB74)</f>
        <v/>
      </c>
      <c r="S489" s="700" t="str">
        <f>IF(Perfiles_usuario!$D74=0,"",Perfiles_usuario!AD74)</f>
        <v/>
      </c>
      <c r="T489" s="699" t="str">
        <f>IF(Perfiles_usuario!D74=0,"",Perfiles_usuario!AF74)</f>
        <v/>
      </c>
      <c r="U489" s="701" t="str">
        <f>IF(Perfiles_usuario!D74=0,"",Perfiles_usuario!AH74)</f>
        <v/>
      </c>
      <c r="V489" s="441"/>
    </row>
    <row r="490" spans="2:22" ht="49.9" customHeight="1">
      <c r="B490" s="2272" t="str">
        <f>IF(Perfiles_usuario!B76=0,"",Perfiles_usuario!B76)</f>
        <v/>
      </c>
      <c r="C490" s="2259"/>
      <c r="D490" s="756" t="str">
        <f>IF(Perfiles_usuario!D76=0,"",Perfiles_usuario!D76)</f>
        <v/>
      </c>
      <c r="E490" s="756" t="str">
        <f>IF(Perfiles_usuario!D76=0,"",Perfiles_usuario!F76)</f>
        <v/>
      </c>
      <c r="F490" s="756" t="str">
        <f>IF(Perfiles_usuario!D76=0,"","incluidas")</f>
        <v/>
      </c>
      <c r="G490" s="756" t="str">
        <f>IF(Perfiles_usuario!D76=0,"","incluidos")</f>
        <v/>
      </c>
      <c r="H490" s="756" t="str">
        <f>IF(Perfiles_usuario!$D$17="Óptima RPV",IF(Perfiles_usuario!D76=0,"","incluido"),"")</f>
        <v/>
      </c>
      <c r="I490" s="2259" t="str">
        <f>IF(Perfiles_usuario!D76=0,"",Perfiles_usuario!H76)</f>
        <v/>
      </c>
      <c r="J490" s="2259"/>
      <c r="K490" s="756" t="str">
        <f>IF(Perfiles_usuario!J76=0,"",Perfiles_usuario!J76)</f>
        <v/>
      </c>
      <c r="L490" s="756" t="str">
        <f>IF(Perfiles_usuario!D76=0,"",IF(Perfiles_usuario!N76="","No",Perfiles_usuario!N76))</f>
        <v/>
      </c>
      <c r="M490" s="699" t="str">
        <f>IF(Perfiles_usuario!D76=0,"",Perfiles_usuario!P76)</f>
        <v/>
      </c>
      <c r="N490" s="699" t="str">
        <f>IF(Perfiles_usuario!D76=0,"",Perfiles_usuario!R76)</f>
        <v/>
      </c>
      <c r="O490" s="700" t="str">
        <f>IF(Perfiles_usuario!D76=0,"",Perfiles_usuario!V76)</f>
        <v/>
      </c>
      <c r="P490" s="700" t="str">
        <f>IF(Perfiles_usuario!D76=0,"",Perfiles_usuario!X76)</f>
        <v/>
      </c>
      <c r="Q490" s="699" t="str">
        <f>IF(Perfiles_usuario!$D76=0,"",Perfiles_usuario!Z76)</f>
        <v/>
      </c>
      <c r="R490" s="699" t="str">
        <f>IF(Perfiles_usuario!$D76=0,"",Perfiles_usuario!AB76)</f>
        <v/>
      </c>
      <c r="S490" s="700" t="str">
        <f>IF(Perfiles_usuario!$D76=0,"",Perfiles_usuario!AD76)</f>
        <v/>
      </c>
      <c r="T490" s="699" t="str">
        <f>IF(Perfiles_usuario!D76=0,"",Perfiles_usuario!AF76)</f>
        <v/>
      </c>
      <c r="U490" s="701" t="str">
        <f>IF(Perfiles_usuario!D76=0,"",Perfiles_usuario!AH76)</f>
        <v/>
      </c>
      <c r="V490" s="441"/>
    </row>
    <row r="491" spans="2:22" ht="7.15" customHeight="1"/>
    <row r="492" spans="2:22" ht="35.25" customHeight="1">
      <c r="B492" s="2452" t="s">
        <v>721</v>
      </c>
      <c r="C492" s="2453"/>
      <c r="D492" s="702">
        <f>Perfiles_usuario!D79</f>
        <v>0</v>
      </c>
      <c r="E492" s="703">
        <f>Perfiles_usuario!F79</f>
        <v>0</v>
      </c>
      <c r="I492" s="2571" t="s">
        <v>680</v>
      </c>
      <c r="J492" s="2571"/>
      <c r="K492" s="2571"/>
      <c r="L492" s="2571"/>
      <c r="M492" s="2572"/>
      <c r="N492" s="789">
        <f>Perfiles_usuario!R78</f>
        <v>0</v>
      </c>
      <c r="P492" s="2300" t="s">
        <v>803</v>
      </c>
      <c r="S492" s="2300" t="s">
        <v>813</v>
      </c>
      <c r="U492" s="705"/>
    </row>
    <row r="493" spans="2:22" ht="38.25" customHeight="1">
      <c r="B493" s="2454" t="s">
        <v>722</v>
      </c>
      <c r="C493" s="2455"/>
      <c r="D493" s="702">
        <f>Perfiles_usuario!D81</f>
        <v>3</v>
      </c>
      <c r="E493" s="703">
        <f>Perfiles_usuario!F81</f>
        <v>3</v>
      </c>
      <c r="P493" s="2300"/>
      <c r="Q493" s="706"/>
      <c r="R493" s="705"/>
      <c r="S493" s="2306"/>
      <c r="U493" s="705"/>
    </row>
    <row r="494" spans="2:22" ht="25.9" customHeight="1">
      <c r="F494" s="561"/>
      <c r="G494" s="561"/>
      <c r="H494" s="561"/>
      <c r="I494" s="2299"/>
      <c r="J494" s="2299"/>
      <c r="K494" s="2301" t="s">
        <v>802</v>
      </c>
      <c r="L494" s="2301"/>
      <c r="M494" s="2302"/>
      <c r="N494" s="707">
        <f>Perfiles_usuario!R82</f>
        <v>194</v>
      </c>
      <c r="O494" s="708"/>
      <c r="P494" s="709">
        <f>Perfiles_usuario!$X$78</f>
        <v>0.1</v>
      </c>
      <c r="Q494" s="762" t="s">
        <v>804</v>
      </c>
      <c r="R494" s="707">
        <f>Perfiles_usuario!AB82</f>
        <v>174.60000000000002</v>
      </c>
      <c r="S494" s="711">
        <f>Perfiles_usuario!AD78</f>
        <v>0.1</v>
      </c>
      <c r="T494" s="762" t="s">
        <v>805</v>
      </c>
      <c r="U494" s="755">
        <f>Perfiles_usuario!AH82</f>
        <v>155.20000000000005</v>
      </c>
    </row>
    <row r="495" spans="2:22" s="470" customFormat="1" ht="31.5" customHeight="1">
      <c r="B495" s="2273" t="s">
        <v>679</v>
      </c>
      <c r="C495" s="2274"/>
      <c r="D495" s="713">
        <f>SUM(D476:D490)+SUM(D492:D493)</f>
        <v>8</v>
      </c>
      <c r="E495" s="714">
        <f>SUM(E476:E490)+SUM(E492:E493)</f>
        <v>6</v>
      </c>
      <c r="N495" s="2422" t="str">
        <f>IF(Perfiles_usuario!$R$83="Aplica consumo mínimo","Estos totales incluyen la aplicación de consumos mínimos pues el total de facturación estimada no alcanza el mínimo exigido","")</f>
        <v/>
      </c>
      <c r="O495" s="2422"/>
      <c r="P495" s="2422"/>
      <c r="Q495" s="2422"/>
      <c r="R495" s="2422"/>
      <c r="S495" s="2422"/>
      <c r="T495" s="2422"/>
      <c r="U495" s="2422"/>
    </row>
    <row r="496" spans="2:22" ht="33" customHeight="1">
      <c r="B496" s="2465" t="s">
        <v>809</v>
      </c>
      <c r="C496" s="2465"/>
      <c r="D496" s="2465"/>
      <c r="E496" s="2465"/>
      <c r="F496" s="2465"/>
      <c r="G496" s="2465"/>
      <c r="H496" s="2465"/>
      <c r="I496" s="2465"/>
      <c r="J496" s="2465"/>
      <c r="K496" s="2465"/>
      <c r="L496" s="2465"/>
      <c r="M496" s="2465"/>
      <c r="N496" s="2465"/>
      <c r="O496" s="2465"/>
      <c r="P496" s="2465"/>
      <c r="Q496" s="2465"/>
      <c r="R496" s="2465"/>
      <c r="S496" s="2465"/>
      <c r="T496" s="2465"/>
      <c r="U496" s="2465"/>
    </row>
    <row r="497" spans="1:22" ht="15.75">
      <c r="M497" s="476" t="s">
        <v>1467</v>
      </c>
      <c r="R497" s="477" t="s">
        <v>692</v>
      </c>
      <c r="S497" s="478" t="str">
        <f>$E$29</f>
        <v>ILF5_90FCOR_B114CAGR43006</v>
      </c>
      <c r="T497" s="470"/>
      <c r="U497" s="470"/>
      <c r="V497" s="470"/>
    </row>
    <row r="498" spans="1:22" ht="22.9" customHeight="1">
      <c r="B498" s="522"/>
      <c r="C498" s="769"/>
      <c r="D498" s="561"/>
      <c r="E498" s="561"/>
      <c r="F498" s="561"/>
      <c r="G498" s="586"/>
      <c r="H498" s="586"/>
      <c r="I498" s="586"/>
      <c r="J498" s="586"/>
      <c r="K498" s="587"/>
      <c r="L498" s="587"/>
      <c r="M498" s="587"/>
      <c r="N498" s="587"/>
      <c r="O498" s="587"/>
      <c r="P498" s="587"/>
      <c r="Q498" s="561"/>
      <c r="R498" s="561"/>
      <c r="S498" s="441"/>
      <c r="T498" s="441"/>
      <c r="U498" s="588"/>
      <c r="V498" s="441"/>
    </row>
    <row r="499" spans="1:22" ht="11.45" customHeight="1">
      <c r="B499" s="522"/>
      <c r="C499" s="769"/>
      <c r="D499" s="561"/>
      <c r="E499" s="561"/>
      <c r="F499" s="561"/>
      <c r="G499" s="586"/>
      <c r="H499" s="586"/>
      <c r="I499" s="586"/>
      <c r="J499" s="586"/>
      <c r="K499" s="587"/>
      <c r="L499" s="587"/>
      <c r="M499" s="587"/>
      <c r="N499" s="587"/>
      <c r="O499" s="587"/>
      <c r="P499" s="587"/>
      <c r="Q499" s="561"/>
      <c r="R499" s="561"/>
      <c r="S499" s="441"/>
      <c r="T499" s="441"/>
      <c r="U499" s="588"/>
      <c r="V499" s="441"/>
    </row>
    <row r="500" spans="1:22">
      <c r="H500" s="436" t="s">
        <v>690</v>
      </c>
      <c r="I500" s="420"/>
      <c r="K500" s="420"/>
      <c r="L500" s="437" t="str">
        <f>$B$11</f>
        <v>INMOBILIARIA SERVIGESTION</v>
      </c>
      <c r="S500" s="420"/>
      <c r="T500" s="420"/>
      <c r="V500" s="437"/>
    </row>
    <row r="501" spans="1:22">
      <c r="A501" s="420"/>
      <c r="B501" s="420"/>
      <c r="C501" s="420"/>
      <c r="D501" s="420"/>
      <c r="E501" s="420"/>
      <c r="F501" s="420"/>
      <c r="G501" s="420"/>
      <c r="H501" s="420"/>
      <c r="I501" s="420"/>
      <c r="J501" s="420"/>
      <c r="K501" s="420"/>
      <c r="L501" s="420"/>
      <c r="M501" s="420"/>
      <c r="N501" s="420"/>
      <c r="O501" s="420"/>
      <c r="P501" s="420"/>
      <c r="Q501" s="420"/>
      <c r="R501" s="420"/>
      <c r="S501" s="420"/>
      <c r="T501" s="420"/>
      <c r="U501" s="420"/>
      <c r="V501" s="420"/>
    </row>
    <row r="502" spans="1:22">
      <c r="A502" s="420"/>
      <c r="B502" s="420"/>
      <c r="C502" s="420"/>
      <c r="D502" s="420"/>
      <c r="E502" s="420"/>
      <c r="F502" s="420"/>
      <c r="G502" s="420"/>
      <c r="H502" s="420"/>
      <c r="I502" s="420"/>
      <c r="J502" s="420"/>
      <c r="K502" s="420"/>
      <c r="L502" s="420"/>
      <c r="M502" s="420"/>
      <c r="N502" s="420"/>
      <c r="O502" s="420"/>
      <c r="P502" s="420"/>
      <c r="Q502" s="420"/>
      <c r="R502" s="420"/>
      <c r="S502" s="420"/>
      <c r="T502" s="420"/>
      <c r="U502" s="420"/>
      <c r="V502" s="420"/>
    </row>
    <row r="503" spans="1:22" ht="34.5">
      <c r="A503" s="420"/>
      <c r="B503" s="2268" t="s">
        <v>461</v>
      </c>
      <c r="C503" s="2268"/>
      <c r="D503" s="2268"/>
      <c r="E503" s="2268"/>
      <c r="F503" s="2268"/>
      <c r="G503" s="2268"/>
      <c r="H503" s="2268"/>
      <c r="I503" s="2268"/>
      <c r="J503" s="2268"/>
      <c r="K503" s="2268"/>
      <c r="L503" s="2268"/>
      <c r="M503" s="2268"/>
      <c r="N503" s="2268"/>
      <c r="O503" s="2268"/>
      <c r="P503" s="2268"/>
      <c r="Q503" s="2268"/>
      <c r="R503" s="2268"/>
      <c r="S503" s="2268"/>
      <c r="T503" s="2268"/>
      <c r="U503" s="2268"/>
      <c r="V503" s="420"/>
    </row>
    <row r="504" spans="1:22" ht="22.9" customHeight="1">
      <c r="A504" s="420"/>
      <c r="B504" s="2269" t="s">
        <v>876</v>
      </c>
      <c r="C504" s="2269"/>
      <c r="D504" s="2269"/>
      <c r="E504" s="2269"/>
      <c r="F504" s="2269"/>
      <c r="G504" s="2269"/>
      <c r="H504" s="2269"/>
      <c r="I504" s="2269"/>
      <c r="J504" s="2269"/>
      <c r="K504" s="2269"/>
      <c r="L504" s="2269"/>
      <c r="M504" s="2269"/>
      <c r="N504" s="2269"/>
      <c r="O504" s="2269"/>
      <c r="P504" s="2269"/>
      <c r="Q504" s="2269"/>
      <c r="R504" s="2269"/>
      <c r="S504" s="2269"/>
      <c r="T504" s="2269"/>
      <c r="U504" s="2269"/>
      <c r="V504" s="420"/>
    </row>
    <row r="505" spans="1:22" ht="9.75" customHeight="1">
      <c r="A505" s="420"/>
      <c r="B505" s="757"/>
      <c r="C505" s="757"/>
      <c r="D505" s="757"/>
      <c r="E505" s="757"/>
      <c r="F505" s="757"/>
      <c r="G505" s="757"/>
      <c r="H505" s="757"/>
      <c r="I505" s="757"/>
      <c r="J505" s="757"/>
      <c r="K505" s="757"/>
      <c r="L505" s="757"/>
      <c r="M505" s="757"/>
      <c r="N505" s="757"/>
      <c r="O505" s="757"/>
      <c r="P505" s="757"/>
      <c r="Q505" s="757"/>
      <c r="R505" s="757"/>
      <c r="S505" s="757"/>
      <c r="T505" s="757"/>
      <c r="U505" s="757"/>
      <c r="V505" s="420"/>
    </row>
    <row r="506" spans="1:22" ht="23.25">
      <c r="A506" s="420"/>
      <c r="B506" s="2279" t="s">
        <v>408</v>
      </c>
      <c r="C506" s="2279"/>
      <c r="D506" s="2279"/>
      <c r="E506" s="2279"/>
      <c r="F506" s="2279"/>
      <c r="G506" s="2279"/>
      <c r="H506" s="2279"/>
      <c r="I506" s="2279"/>
      <c r="J506" s="2279"/>
      <c r="K506" s="2279"/>
      <c r="L506" s="2279"/>
      <c r="M506" s="2279"/>
      <c r="N506" s="2279"/>
      <c r="O506" s="2279"/>
      <c r="P506" s="2279"/>
      <c r="Q506" s="2279"/>
      <c r="R506" s="2279"/>
      <c r="S506" s="2279"/>
      <c r="T506" s="2279"/>
      <c r="U506" s="2279"/>
      <c r="V506" s="420"/>
    </row>
    <row r="507" spans="1:22" ht="22.9" customHeight="1">
      <c r="B507" s="2251" t="s">
        <v>466</v>
      </c>
      <c r="C507" s="2251"/>
      <c r="D507" s="2251"/>
      <c r="E507" s="2251"/>
      <c r="F507" s="2251"/>
      <c r="G507" s="2251"/>
      <c r="H507" s="2251"/>
      <c r="I507" s="2251"/>
      <c r="J507" s="2251"/>
      <c r="K507" s="2251"/>
      <c r="L507" s="2251"/>
      <c r="M507" s="2251"/>
      <c r="N507" s="2251"/>
      <c r="O507" s="2251"/>
      <c r="P507" s="2251"/>
      <c r="Q507" s="2251"/>
      <c r="R507" s="2251"/>
      <c r="S507" s="2251"/>
      <c r="T507" s="2251"/>
      <c r="U507" s="2251"/>
      <c r="V507" s="441"/>
    </row>
    <row r="508" spans="1:22" ht="10.9" customHeight="1">
      <c r="B508" s="715"/>
      <c r="C508" s="715"/>
      <c r="D508" s="715"/>
      <c r="E508" s="715"/>
      <c r="F508" s="715"/>
      <c r="G508" s="715"/>
      <c r="H508" s="715"/>
      <c r="I508" s="715"/>
      <c r="J508" s="715"/>
      <c r="K508" s="715"/>
      <c r="L508" s="715"/>
      <c r="M508" s="715"/>
      <c r="N508" s="715"/>
      <c r="O508" s="715"/>
      <c r="P508" s="715"/>
      <c r="Q508" s="715"/>
      <c r="R508" s="715"/>
      <c r="S508" s="715"/>
      <c r="T508" s="715"/>
      <c r="U508" s="715"/>
      <c r="V508" s="441"/>
    </row>
    <row r="509" spans="1:22" ht="42.6" customHeight="1">
      <c r="B509" s="2253" t="s">
        <v>462</v>
      </c>
      <c r="C509" s="2254"/>
      <c r="D509" s="758" t="s">
        <v>463</v>
      </c>
      <c r="E509" s="2254" t="s">
        <v>875</v>
      </c>
      <c r="F509" s="2254"/>
      <c r="G509" s="2254"/>
      <c r="H509" s="2254"/>
      <c r="I509" s="2254"/>
      <c r="J509" s="2254"/>
      <c r="K509" s="2254" t="s">
        <v>467</v>
      </c>
      <c r="L509" s="2254"/>
      <c r="M509" s="2254" t="s">
        <v>295</v>
      </c>
      <c r="N509" s="2280"/>
      <c r="V509" s="441"/>
    </row>
    <row r="510" spans="1:22" ht="46.9" customHeight="1">
      <c r="B510" s="2294" t="str">
        <f>IF(Perfiles_usuario!B91=0,"",Perfiles_usuario!B91)</f>
        <v/>
      </c>
      <c r="C510" s="2295"/>
      <c r="D510" s="760" t="str">
        <f>IF(Perfiles_usuario!D91=0,"",Perfiles_usuario!D91)</f>
        <v/>
      </c>
      <c r="E510" s="2282" t="str">
        <f>IF(Perfiles_usuario!D91=0,"",Perfiles_usuario!F91)</f>
        <v/>
      </c>
      <c r="F510" s="2282"/>
      <c r="G510" s="2282"/>
      <c r="H510" s="2282"/>
      <c r="I510" s="2282"/>
      <c r="J510" s="2282"/>
      <c r="K510" s="2292" t="str">
        <f>IF(Perfiles_usuario!D91=0,"",Perfiles_usuario!J91)</f>
        <v/>
      </c>
      <c r="L510" s="2292"/>
      <c r="M510" s="2292" t="str">
        <f>IF(Perfiles_usuario!D91=0,"",Perfiles_usuario!L91)</f>
        <v/>
      </c>
      <c r="N510" s="2293"/>
      <c r="O510" s="522"/>
      <c r="P510" s="522"/>
      <c r="Q510" s="522"/>
      <c r="R510" s="522"/>
      <c r="S510" s="522"/>
      <c r="T510" s="522"/>
      <c r="U510" s="522"/>
      <c r="V510" s="441"/>
    </row>
    <row r="511" spans="1:22" ht="46.9" customHeight="1">
      <c r="B511" s="2460" t="str">
        <f>IF(Perfiles_usuario!B93=0,"",Perfiles_usuario!B93)</f>
        <v/>
      </c>
      <c r="C511" s="2461"/>
      <c r="D511" s="759" t="str">
        <f>IF(Perfiles_usuario!D93=0,"",Perfiles_usuario!D93)</f>
        <v/>
      </c>
      <c r="E511" s="2458" t="str">
        <f>IF(Perfiles_usuario!D93=0,"",Perfiles_usuario!F93)</f>
        <v/>
      </c>
      <c r="F511" s="2458"/>
      <c r="G511" s="2458"/>
      <c r="H511" s="2458"/>
      <c r="I511" s="2458"/>
      <c r="J511" s="2458"/>
      <c r="K511" s="2459" t="str">
        <f>IF(Perfiles_usuario!D93=0,"",Perfiles_usuario!J93)</f>
        <v/>
      </c>
      <c r="L511" s="2459"/>
      <c r="M511" s="2459" t="str">
        <f>IF(Perfiles_usuario!D93=0,"",Perfiles_usuario!L93)</f>
        <v/>
      </c>
      <c r="N511" s="2462"/>
      <c r="O511" s="522"/>
      <c r="P511" s="522"/>
      <c r="Q511" s="522"/>
      <c r="R511" s="522"/>
      <c r="S511" s="522"/>
      <c r="T511" s="522"/>
      <c r="U511" s="522"/>
      <c r="V511" s="441"/>
    </row>
    <row r="512" spans="1:22" ht="46.9" customHeight="1">
      <c r="B512" s="2460" t="str">
        <f>IF(Perfiles_usuario!B95=0,"",Perfiles_usuario!B95)</f>
        <v/>
      </c>
      <c r="C512" s="2461"/>
      <c r="D512" s="759" t="str">
        <f>IF(Perfiles_usuario!D95=0,"",Perfiles_usuario!D95)</f>
        <v/>
      </c>
      <c r="E512" s="2458" t="str">
        <f>IF(Perfiles_usuario!D95=0,"",Perfiles_usuario!F95)</f>
        <v/>
      </c>
      <c r="F512" s="2458"/>
      <c r="G512" s="2458"/>
      <c r="H512" s="2458"/>
      <c r="I512" s="2458"/>
      <c r="J512" s="2458"/>
      <c r="K512" s="2459" t="str">
        <f>IF(Perfiles_usuario!D95=0,"",Perfiles_usuario!J95)</f>
        <v/>
      </c>
      <c r="L512" s="2459"/>
      <c r="M512" s="2459" t="str">
        <f>IF(Perfiles_usuario!D95=0,"",Perfiles_usuario!L95)</f>
        <v/>
      </c>
      <c r="N512" s="2462"/>
      <c r="O512" s="522"/>
      <c r="P512" s="522"/>
      <c r="Q512" s="522"/>
      <c r="R512" s="522"/>
      <c r="S512" s="522"/>
      <c r="T512" s="522"/>
      <c r="U512" s="522"/>
      <c r="V512" s="441"/>
    </row>
    <row r="513" spans="2:22" ht="46.9" customHeight="1">
      <c r="B513" s="2460" t="str">
        <f>IF(Perfiles_usuario!B97=0,"",Perfiles_usuario!B97)</f>
        <v/>
      </c>
      <c r="C513" s="2461"/>
      <c r="D513" s="759" t="str">
        <f>IF(Perfiles_usuario!D97=0,"",Perfiles_usuario!D97)</f>
        <v/>
      </c>
      <c r="E513" s="2458" t="str">
        <f>IF(Perfiles_usuario!D97=0,"",Perfiles_usuario!F97)</f>
        <v/>
      </c>
      <c r="F513" s="2458"/>
      <c r="G513" s="2458"/>
      <c r="H513" s="2458"/>
      <c r="I513" s="2458"/>
      <c r="J513" s="2458"/>
      <c r="K513" s="2459" t="str">
        <f>IF(Perfiles_usuario!D97=0,"",Perfiles_usuario!J97)</f>
        <v/>
      </c>
      <c r="L513" s="2459"/>
      <c r="M513" s="2459" t="str">
        <f>IF(Perfiles_usuario!D97=0,"",Perfiles_usuario!L97)</f>
        <v/>
      </c>
      <c r="N513" s="2462"/>
      <c r="O513" s="522"/>
      <c r="P513" s="522"/>
      <c r="Q513" s="522"/>
      <c r="R513" s="522"/>
      <c r="S513" s="522"/>
      <c r="T513" s="522"/>
      <c r="U513" s="522"/>
      <c r="V513" s="441"/>
    </row>
    <row r="514" spans="2:22" ht="46.9" customHeight="1">
      <c r="B514" s="2460" t="str">
        <f>IF(Perfiles_usuario!B99=0,"",Perfiles_usuario!B99)</f>
        <v/>
      </c>
      <c r="C514" s="2461"/>
      <c r="D514" s="759" t="str">
        <f>IF(Perfiles_usuario!D99=0,"",Perfiles_usuario!D99)</f>
        <v/>
      </c>
      <c r="E514" s="2458" t="str">
        <f>IF(Perfiles_usuario!D99=0,"",Perfiles_usuario!F99)</f>
        <v/>
      </c>
      <c r="F514" s="2458"/>
      <c r="G514" s="2458"/>
      <c r="H514" s="2458"/>
      <c r="I514" s="2458"/>
      <c r="J514" s="2458"/>
      <c r="K514" s="2459" t="str">
        <f>IF(Perfiles_usuario!D99=0,"",Perfiles_usuario!J99)</f>
        <v/>
      </c>
      <c r="L514" s="2459"/>
      <c r="M514" s="2459" t="str">
        <f>IF(Perfiles_usuario!D99=0,"",Perfiles_usuario!L99)</f>
        <v/>
      </c>
      <c r="N514" s="2462"/>
      <c r="O514" s="522"/>
      <c r="P514" s="522"/>
      <c r="Q514" s="522"/>
      <c r="R514" s="522"/>
      <c r="S514" s="522"/>
      <c r="T514" s="522"/>
      <c r="U514" s="522"/>
      <c r="V514" s="441"/>
    </row>
    <row r="515" spans="2:22" ht="9.6" customHeight="1">
      <c r="B515" s="2495"/>
      <c r="C515" s="2495"/>
      <c r="D515" s="767"/>
      <c r="E515" s="2495"/>
      <c r="F515" s="2495"/>
      <c r="G515" s="2495"/>
      <c r="H515" s="2495"/>
      <c r="I515" s="2495"/>
      <c r="J515" s="2495"/>
      <c r="K515" s="2495"/>
      <c r="L515" s="2495"/>
      <c r="M515" s="2495"/>
      <c r="N515" s="2495"/>
      <c r="O515" s="561"/>
      <c r="P515" s="522"/>
      <c r="Q515" s="522"/>
      <c r="R515" s="522"/>
      <c r="S515" s="522"/>
      <c r="T515" s="522"/>
      <c r="U515" s="522"/>
      <c r="V515" s="441"/>
    </row>
    <row r="516" spans="2:22" ht="31.15" customHeight="1">
      <c r="B516" s="2273" t="s">
        <v>683</v>
      </c>
      <c r="C516" s="2274"/>
      <c r="D516" s="719">
        <f>SUM(Perfiles_usuario!D91:D99)</f>
        <v>0</v>
      </c>
      <c r="E516" s="522"/>
      <c r="F516" s="522"/>
      <c r="G516" s="522"/>
      <c r="H516" s="522"/>
      <c r="I516" s="522"/>
      <c r="J516" s="522"/>
      <c r="K516" s="2463" t="s">
        <v>295</v>
      </c>
      <c r="L516" s="2464"/>
      <c r="M516" s="2285" t="str">
        <f>IF(Perfiles_usuario!L101=0,"",Perfiles_usuario!L101)</f>
        <v/>
      </c>
      <c r="N516" s="2286"/>
      <c r="O516" s="522"/>
      <c r="P516" s="522"/>
      <c r="Q516" s="522"/>
      <c r="R516" s="522"/>
      <c r="S516" s="522"/>
      <c r="T516" s="522"/>
      <c r="U516" s="522"/>
      <c r="V516" s="441"/>
    </row>
    <row r="517" spans="2:22" ht="22.9" customHeight="1">
      <c r="B517" s="522"/>
      <c r="C517" s="522"/>
      <c r="D517" s="522"/>
      <c r="E517" s="522"/>
      <c r="F517" s="522"/>
      <c r="G517" s="522"/>
      <c r="H517" s="522"/>
      <c r="I517" s="522"/>
      <c r="J517" s="522"/>
      <c r="K517" s="522"/>
      <c r="L517" s="522"/>
      <c r="M517" s="522"/>
      <c r="N517" s="522"/>
      <c r="O517" s="522"/>
      <c r="P517" s="522"/>
      <c r="Q517" s="522"/>
      <c r="R517" s="522"/>
      <c r="S517" s="522"/>
      <c r="T517" s="522"/>
      <c r="U517" s="522"/>
      <c r="V517" s="441"/>
    </row>
    <row r="518" spans="2:22" ht="22.9" customHeight="1">
      <c r="B518" s="522"/>
      <c r="C518" s="769"/>
      <c r="D518" s="561"/>
      <c r="E518" s="561"/>
      <c r="F518" s="561"/>
      <c r="G518" s="586"/>
      <c r="H518" s="586"/>
      <c r="I518" s="586"/>
      <c r="J518" s="586"/>
      <c r="K518" s="587"/>
      <c r="L518" s="587"/>
      <c r="M518" s="587"/>
      <c r="N518" s="587"/>
      <c r="O518" s="587"/>
      <c r="P518" s="587"/>
      <c r="Q518" s="561"/>
      <c r="R518" s="561"/>
      <c r="S518" s="441"/>
      <c r="T518" s="441"/>
      <c r="U518" s="588"/>
      <c r="V518" s="441"/>
    </row>
    <row r="519" spans="2:22" ht="22.9" customHeight="1">
      <c r="B519" s="2251" t="s">
        <v>983</v>
      </c>
      <c r="C519" s="2251"/>
      <c r="D519" s="2251"/>
      <c r="E519" s="2251"/>
      <c r="F519" s="2251"/>
      <c r="G519" s="2251"/>
      <c r="H519" s="2251"/>
      <c r="I519" s="2251"/>
      <c r="J519" s="2251"/>
      <c r="K519" s="2251"/>
      <c r="L519" s="2251"/>
      <c r="M519" s="2251"/>
      <c r="N519" s="2251"/>
      <c r="O519" s="2251"/>
      <c r="P519" s="2251"/>
      <c r="Q519" s="2251"/>
      <c r="R519" s="2251"/>
      <c r="S519" s="2251"/>
      <c r="T519" s="2251"/>
      <c r="U519" s="2251"/>
      <c r="V519" s="441"/>
    </row>
    <row r="520" spans="2:22" ht="22.9" customHeight="1">
      <c r="B520" s="600"/>
      <c r="C520" s="2442"/>
      <c r="D520" s="2442"/>
      <c r="E520" s="2442"/>
      <c r="F520" s="2442"/>
      <c r="G520" s="2442"/>
      <c r="H520" s="2442"/>
      <c r="I520" s="2442"/>
      <c r="J520" s="2442"/>
      <c r="K520" s="601"/>
      <c r="L520" s="601"/>
      <c r="M520" s="601"/>
      <c r="N520" s="601"/>
      <c r="O520" s="601"/>
      <c r="P520" s="601"/>
      <c r="Q520" s="601"/>
      <c r="R520" s="601"/>
      <c r="S520" s="601"/>
      <c r="T520" s="601"/>
      <c r="U520" s="603"/>
      <c r="V520" s="441"/>
    </row>
    <row r="521" spans="2:22" ht="22.9" customHeight="1">
      <c r="B521" s="495"/>
      <c r="C521" s="2290"/>
      <c r="D521" s="2290"/>
      <c r="E521" s="501"/>
      <c r="F521" s="501"/>
      <c r="G521" s="501"/>
      <c r="H521" s="501"/>
      <c r="I521" s="501"/>
      <c r="J521" s="501"/>
      <c r="K521" s="501"/>
      <c r="L521" s="501"/>
      <c r="M521" s="501"/>
      <c r="N521" s="501"/>
      <c r="O521" s="479"/>
      <c r="P521" s="479"/>
      <c r="Q521" s="501"/>
      <c r="R521" s="501"/>
      <c r="S521" s="501"/>
      <c r="T521" s="501"/>
      <c r="U521" s="502"/>
      <c r="V521" s="441"/>
    </row>
    <row r="522" spans="2:22" ht="22.9" customHeight="1">
      <c r="B522" s="466"/>
      <c r="C522" s="2290" t="s">
        <v>759</v>
      </c>
      <c r="D522" s="2290"/>
      <c r="E522" s="2290" t="s">
        <v>399</v>
      </c>
      <c r="F522" s="2290"/>
      <c r="G522" s="2290"/>
      <c r="H522" s="2290"/>
      <c r="I522" s="2290"/>
      <c r="J522" s="2290"/>
      <c r="K522" s="720"/>
      <c r="L522" s="720"/>
      <c r="M522" s="2290" t="s">
        <v>1867</v>
      </c>
      <c r="N522" s="2290"/>
      <c r="O522" s="2290"/>
      <c r="P522" s="2290"/>
      <c r="Q522" s="2290"/>
      <c r="R522" s="2290"/>
      <c r="S522" s="2290"/>
      <c r="T522" s="2290"/>
      <c r="U522" s="721"/>
      <c r="V522" s="441"/>
    </row>
    <row r="523" spans="2:22" ht="65.45" customHeight="1">
      <c r="B523" s="466"/>
      <c r="C523" s="2275" t="s">
        <v>984</v>
      </c>
      <c r="D523" s="2275"/>
      <c r="E523" s="2275"/>
      <c r="F523" s="2275"/>
      <c r="G523" s="2275"/>
      <c r="H523" s="2275"/>
      <c r="I523" s="2275"/>
      <c r="J523" s="2275"/>
      <c r="K523" s="501"/>
      <c r="L523" s="501"/>
      <c r="M523" s="2275" t="s">
        <v>1215</v>
      </c>
      <c r="N523" s="2275"/>
      <c r="O523" s="2275"/>
      <c r="P523" s="2275"/>
      <c r="Q523" s="2275"/>
      <c r="R523" s="2275"/>
      <c r="S523" s="2275"/>
      <c r="T523" s="2275"/>
      <c r="U523" s="502"/>
      <c r="V523" s="441"/>
    </row>
    <row r="524" spans="2:22" ht="22.9" customHeight="1">
      <c r="B524" s="496"/>
      <c r="C524" s="441"/>
      <c r="D524" s="524" t="s">
        <v>491</v>
      </c>
      <c r="E524" s="499"/>
      <c r="F524" s="499"/>
      <c r="G524" s="499"/>
      <c r="H524" s="499"/>
      <c r="I524" s="499"/>
      <c r="J524" s="523">
        <v>35</v>
      </c>
      <c r="K524" s="499"/>
      <c r="L524" s="499"/>
      <c r="M524" s="492"/>
      <c r="N524" s="524" t="s">
        <v>491</v>
      </c>
      <c r="O524" s="499"/>
      <c r="P524" s="524"/>
      <c r="Q524" s="441"/>
      <c r="R524" s="499"/>
      <c r="S524" s="728">
        <v>7.35</v>
      </c>
      <c r="T524" s="492"/>
      <c r="U524" s="722"/>
      <c r="V524" s="441"/>
    </row>
    <row r="525" spans="2:22" ht="22.9" customHeight="1">
      <c r="B525" s="500"/>
      <c r="C525" s="499"/>
      <c r="D525" s="499"/>
      <c r="E525" s="499"/>
      <c r="F525" s="499"/>
      <c r="G525" s="499"/>
      <c r="H525" s="499"/>
      <c r="I525" s="499"/>
      <c r="J525" s="499"/>
      <c r="K525" s="499"/>
      <c r="L525" s="499"/>
      <c r="M525" s="499"/>
      <c r="N525" s="723"/>
      <c r="O525" s="724"/>
      <c r="P525" s="725"/>
      <c r="Q525" s="499"/>
      <c r="R525" s="503"/>
      <c r="S525" s="503"/>
      <c r="T525" s="503"/>
      <c r="U525" s="726"/>
      <c r="V525" s="441"/>
    </row>
    <row r="526" spans="2:22" ht="22.9" customHeight="1">
      <c r="B526" s="727"/>
      <c r="C526" s="2290" t="s">
        <v>1213</v>
      </c>
      <c r="D526" s="2290"/>
      <c r="E526" s="2290" t="s">
        <v>399</v>
      </c>
      <c r="F526" s="2290"/>
      <c r="G526" s="2290"/>
      <c r="H526" s="2290"/>
      <c r="I526" s="2290"/>
      <c r="J526" s="2290"/>
      <c r="K526" s="720"/>
      <c r="L526" s="720"/>
      <c r="M526" s="2467" t="s">
        <v>1078</v>
      </c>
      <c r="N526" s="2467"/>
      <c r="O526" s="2467"/>
      <c r="P526" s="2467"/>
      <c r="Q526" s="2467"/>
      <c r="R526" s="2467"/>
      <c r="S526" s="2467"/>
      <c r="T526" s="2467"/>
      <c r="U526" s="721"/>
      <c r="V526" s="441"/>
    </row>
    <row r="527" spans="2:22" ht="90" customHeight="1">
      <c r="B527" s="466"/>
      <c r="C527" s="2275" t="s">
        <v>1217</v>
      </c>
      <c r="D527" s="2275"/>
      <c r="E527" s="2275"/>
      <c r="F527" s="2275"/>
      <c r="G527" s="2275"/>
      <c r="H527" s="2275"/>
      <c r="I527" s="2275"/>
      <c r="J527" s="2275"/>
      <c r="K527" s="501"/>
      <c r="L527" s="501"/>
      <c r="M527" s="2276" t="s">
        <v>1975</v>
      </c>
      <c r="N527" s="2277"/>
      <c r="O527" s="2277"/>
      <c r="P527" s="2277"/>
      <c r="Q527" s="2277"/>
      <c r="R527" s="2277"/>
      <c r="S527" s="2277"/>
      <c r="T527" s="2278"/>
      <c r="U527" s="502"/>
      <c r="V527" s="441"/>
    </row>
    <row r="528" spans="2:22" ht="22.9" customHeight="1">
      <c r="B528" s="496"/>
      <c r="C528" s="441"/>
      <c r="D528" s="524" t="s">
        <v>491</v>
      </c>
      <c r="E528" s="499"/>
      <c r="F528" s="499"/>
      <c r="G528" s="499"/>
      <c r="H528" s="499"/>
      <c r="I528" s="499"/>
      <c r="J528" s="728">
        <v>20.619834710743802</v>
      </c>
      <c r="K528" s="499"/>
      <c r="L528" s="499"/>
      <c r="M528" s="561"/>
      <c r="N528" s="524" t="s">
        <v>491</v>
      </c>
      <c r="O528" s="586"/>
      <c r="P528" s="586"/>
      <c r="Q528" s="441"/>
      <c r="S528" s="728">
        <v>53.64</v>
      </c>
      <c r="T528" s="441"/>
      <c r="U528" s="722"/>
      <c r="V528" s="441"/>
    </row>
    <row r="529" spans="1:22" ht="22.9" customHeight="1">
      <c r="B529" s="515"/>
      <c r="C529" s="488"/>
      <c r="D529" s="516"/>
      <c r="E529" s="517"/>
      <c r="F529" s="517"/>
      <c r="G529" s="517"/>
      <c r="H529" s="517"/>
      <c r="I529" s="517"/>
      <c r="J529" s="518"/>
      <c r="K529" s="517"/>
      <c r="L529" s="517"/>
      <c r="M529" s="517"/>
      <c r="N529" s="516"/>
      <c r="O529" s="517"/>
      <c r="P529" s="516"/>
      <c r="Q529" s="488"/>
      <c r="R529" s="517"/>
      <c r="S529" s="518"/>
      <c r="T529" s="518"/>
      <c r="U529" s="519"/>
      <c r="V529" s="441"/>
    </row>
    <row r="530" spans="1:22" ht="22.9" customHeight="1">
      <c r="B530" s="520" t="s">
        <v>699</v>
      </c>
      <c r="C530" s="441"/>
      <c r="D530" s="480"/>
      <c r="E530" s="499"/>
      <c r="F530" s="499"/>
      <c r="G530" s="499"/>
      <c r="H530" s="499"/>
      <c r="I530" s="499"/>
      <c r="J530" s="523"/>
      <c r="K530" s="499"/>
      <c r="L530" s="499"/>
      <c r="M530" s="524"/>
      <c r="O530" s="499"/>
      <c r="P530" s="524"/>
      <c r="Q530" s="524"/>
      <c r="R530" s="499"/>
      <c r="S530" s="523"/>
      <c r="T530" s="523"/>
      <c r="U530" s="499"/>
      <c r="V530" s="441"/>
    </row>
    <row r="531" spans="1:22" ht="22.9" customHeight="1">
      <c r="A531" s="441"/>
      <c r="B531" s="524"/>
      <c r="C531" s="441"/>
      <c r="D531" s="480"/>
      <c r="E531" s="499"/>
      <c r="F531" s="499"/>
      <c r="G531" s="470"/>
      <c r="H531" s="470"/>
      <c r="I531" s="470"/>
      <c r="J531" s="470"/>
      <c r="K531" s="470"/>
      <c r="L531" s="470"/>
      <c r="M531" s="470"/>
      <c r="N531" s="470"/>
      <c r="O531" s="470"/>
      <c r="P531" s="470"/>
      <c r="Q531" s="524"/>
      <c r="R531" s="499"/>
      <c r="S531" s="523"/>
      <c r="T531" s="523"/>
      <c r="U531" s="499"/>
      <c r="V531" s="441"/>
    </row>
    <row r="532" spans="1:22" ht="22.9" customHeight="1">
      <c r="A532" s="441"/>
      <c r="B532" s="2287" t="s">
        <v>985</v>
      </c>
      <c r="C532" s="2287"/>
      <c r="D532" s="2287"/>
      <c r="E532" s="2287"/>
      <c r="F532" s="2287"/>
      <c r="G532" s="2287"/>
      <c r="H532" s="2287"/>
      <c r="I532" s="2287"/>
      <c r="J532" s="2287"/>
      <c r="K532" s="2287"/>
      <c r="L532" s="2287"/>
      <c r="M532" s="2287"/>
      <c r="N532" s="2287"/>
      <c r="O532" s="2287"/>
      <c r="P532" s="2287"/>
      <c r="Q532" s="2287"/>
      <c r="R532" s="2287"/>
      <c r="S532" s="2287"/>
      <c r="T532" s="2287"/>
      <c r="U532" s="2287"/>
      <c r="V532" s="441"/>
    </row>
    <row r="533" spans="1:22" ht="22.9" customHeight="1">
      <c r="A533" s="441"/>
      <c r="B533" s="958"/>
      <c r="C533" s="957"/>
      <c r="D533" s="957"/>
      <c r="E533" s="957"/>
      <c r="F533" s="957"/>
      <c r="G533" s="957"/>
      <c r="H533" s="957"/>
      <c r="I533" s="957"/>
      <c r="J533" s="957"/>
      <c r="K533" s="957"/>
      <c r="L533" s="601"/>
      <c r="M533" s="957"/>
      <c r="N533" s="957"/>
      <c r="O533" s="957"/>
      <c r="P533" s="957"/>
      <c r="Q533" s="957"/>
      <c r="R533" s="957"/>
      <c r="S533" s="957"/>
      <c r="T533" s="957"/>
      <c r="U533" s="603"/>
      <c r="V533" s="441"/>
    </row>
    <row r="534" spans="1:22" ht="22.9" customHeight="1">
      <c r="A534" s="441"/>
      <c r="B534" s="495"/>
      <c r="H534" s="2291" t="s">
        <v>1079</v>
      </c>
      <c r="I534" s="2291"/>
      <c r="J534" s="2291"/>
      <c r="K534" s="2291"/>
      <c r="L534" s="2291"/>
      <c r="M534" s="2291"/>
      <c r="N534" s="2291"/>
      <c r="O534" s="2291"/>
      <c r="U534" s="502"/>
      <c r="V534" s="441"/>
    </row>
    <row r="535" spans="1:22" ht="66.599999999999994" customHeight="1">
      <c r="A535" s="441"/>
      <c r="B535" s="466"/>
      <c r="H535" s="2275" t="s">
        <v>1969</v>
      </c>
      <c r="I535" s="2275"/>
      <c r="J535" s="2275"/>
      <c r="K535" s="2275"/>
      <c r="L535" s="2275"/>
      <c r="M535" s="2275"/>
      <c r="N535" s="2275"/>
      <c r="O535" s="2275"/>
      <c r="U535" s="721"/>
      <c r="V535" s="441"/>
    </row>
    <row r="536" spans="1:22" ht="22.9" customHeight="1">
      <c r="B536" s="466"/>
      <c r="C536" s="808"/>
      <c r="E536" s="561"/>
      <c r="F536" s="561"/>
      <c r="G536" s="586"/>
      <c r="H536" s="524" t="s">
        <v>491</v>
      </c>
      <c r="I536" s="441"/>
      <c r="K536" s="587"/>
      <c r="L536" s="587"/>
      <c r="N536" s="728">
        <v>33.020000000000003</v>
      </c>
      <c r="U536" s="502"/>
      <c r="V536" s="441"/>
    </row>
    <row r="537" spans="1:22" ht="22.9" customHeight="1">
      <c r="B537" s="515"/>
      <c r="C537" s="488"/>
      <c r="D537" s="488"/>
      <c r="E537" s="488"/>
      <c r="F537" s="488"/>
      <c r="G537" s="488"/>
      <c r="H537" s="488"/>
      <c r="I537" s="488"/>
      <c r="J537" s="488"/>
      <c r="K537" s="488"/>
      <c r="L537" s="488"/>
      <c r="M537" s="488"/>
      <c r="N537" s="488"/>
      <c r="O537" s="488"/>
      <c r="P537" s="488"/>
      <c r="Q537" s="488"/>
      <c r="R537" s="488"/>
      <c r="S537" s="488"/>
      <c r="T537" s="488"/>
      <c r="U537" s="519"/>
      <c r="V537" s="441"/>
    </row>
    <row r="538" spans="1:22" ht="22.9" customHeight="1">
      <c r="B538" s="520" t="s">
        <v>699</v>
      </c>
      <c r="C538" s="769"/>
      <c r="D538" s="561"/>
      <c r="E538" s="561"/>
      <c r="F538" s="561"/>
      <c r="G538" s="586"/>
      <c r="H538" s="586"/>
      <c r="I538" s="586"/>
      <c r="J538" s="586"/>
      <c r="K538" s="587"/>
      <c r="L538" s="587"/>
      <c r="M538" s="476" t="s">
        <v>1468</v>
      </c>
      <c r="N538" s="587"/>
      <c r="O538" s="587"/>
      <c r="P538" s="587"/>
      <c r="Q538" s="561"/>
      <c r="R538" s="477" t="s">
        <v>692</v>
      </c>
      <c r="S538" s="478" t="str">
        <f>$E$29</f>
        <v>ILF5_90FCOR_B114CAGR43006</v>
      </c>
      <c r="T538" s="441"/>
      <c r="U538" s="588"/>
      <c r="V538" s="441"/>
    </row>
    <row r="539" spans="1:22" ht="16.899999999999999" customHeight="1">
      <c r="B539" s="522"/>
      <c r="C539" s="585"/>
      <c r="D539" s="584"/>
      <c r="E539" s="584"/>
      <c r="F539" s="584"/>
      <c r="G539" s="586"/>
      <c r="H539" s="436"/>
      <c r="I539" s="420"/>
      <c r="K539" s="420"/>
      <c r="L539" s="437"/>
      <c r="M539" s="587"/>
      <c r="N539" s="587"/>
      <c r="O539" s="587"/>
      <c r="P539" s="587"/>
      <c r="Q539" s="561"/>
      <c r="R539" s="561"/>
      <c r="S539" s="441"/>
      <c r="T539" s="441"/>
      <c r="U539" s="588"/>
      <c r="V539" s="441"/>
    </row>
    <row r="540" spans="1:22" ht="16.899999999999999" customHeight="1">
      <c r="H540" s="436" t="s">
        <v>690</v>
      </c>
      <c r="I540" s="420"/>
      <c r="K540" s="420"/>
      <c r="L540" s="437" t="str">
        <f>$B$11</f>
        <v>INMOBILIARIA SERVIGESTION</v>
      </c>
      <c r="S540" s="420"/>
      <c r="T540" s="420"/>
      <c r="V540" s="441"/>
    </row>
    <row r="541" spans="1:22" ht="16.899999999999999" customHeight="1">
      <c r="B541" s="420"/>
      <c r="C541" s="420"/>
      <c r="D541" s="420"/>
      <c r="E541" s="420"/>
      <c r="F541" s="420"/>
      <c r="G541" s="420"/>
      <c r="H541" s="420"/>
      <c r="I541" s="420"/>
      <c r="J541" s="420"/>
      <c r="K541" s="420"/>
      <c r="L541" s="420"/>
      <c r="M541" s="420"/>
      <c r="N541" s="420"/>
      <c r="O541" s="420"/>
      <c r="P541" s="420"/>
      <c r="Q541" s="420"/>
      <c r="R541" s="420"/>
      <c r="S541" s="420"/>
      <c r="T541" s="420"/>
      <c r="U541" s="420"/>
      <c r="V541" s="441"/>
    </row>
    <row r="542" spans="1:22" ht="16.899999999999999" customHeight="1">
      <c r="B542" s="420"/>
      <c r="C542" s="420"/>
      <c r="D542" s="420"/>
      <c r="E542" s="420"/>
      <c r="F542" s="420"/>
      <c r="G542" s="420"/>
      <c r="H542" s="420"/>
      <c r="I542" s="420"/>
      <c r="J542" s="420"/>
      <c r="K542" s="420"/>
      <c r="L542" s="420"/>
      <c r="M542" s="420"/>
      <c r="N542" s="420"/>
      <c r="O542" s="420"/>
      <c r="P542" s="420"/>
      <c r="Q542" s="420"/>
      <c r="R542" s="420"/>
      <c r="S542" s="420"/>
      <c r="T542" s="420"/>
      <c r="U542" s="420"/>
      <c r="V542" s="441"/>
    </row>
    <row r="543" spans="1:22" ht="35.1" customHeight="1">
      <c r="B543" s="2268" t="s">
        <v>461</v>
      </c>
      <c r="C543" s="2268"/>
      <c r="D543" s="2268"/>
      <c r="E543" s="2268"/>
      <c r="F543" s="2268"/>
      <c r="G543" s="2268"/>
      <c r="H543" s="2268"/>
      <c r="I543" s="2268"/>
      <c r="J543" s="2268"/>
      <c r="K543" s="2268"/>
      <c r="L543" s="2268"/>
      <c r="M543" s="2268"/>
      <c r="N543" s="2268"/>
      <c r="O543" s="2268"/>
      <c r="P543" s="2268"/>
      <c r="Q543" s="2268"/>
      <c r="R543" s="2268"/>
      <c r="S543" s="2268"/>
      <c r="T543" s="2268"/>
      <c r="U543" s="2268"/>
      <c r="V543" s="441"/>
    </row>
    <row r="544" spans="1:22" ht="30" customHeight="1">
      <c r="B544" s="2269" t="s">
        <v>1191</v>
      </c>
      <c r="C544" s="2269"/>
      <c r="D544" s="2269"/>
      <c r="E544" s="2269"/>
      <c r="F544" s="2269"/>
      <c r="G544" s="2269"/>
      <c r="H544" s="2269"/>
      <c r="I544" s="2269"/>
      <c r="J544" s="2269"/>
      <c r="K544" s="2269"/>
      <c r="L544" s="2269"/>
      <c r="M544" s="2269"/>
      <c r="N544" s="2269"/>
      <c r="O544" s="2269"/>
      <c r="P544" s="2269"/>
      <c r="Q544" s="2269"/>
      <c r="R544" s="2269"/>
      <c r="S544" s="2269"/>
      <c r="T544" s="2269"/>
      <c r="U544" s="2269"/>
      <c r="V544" s="441"/>
    </row>
    <row r="545" spans="2:22" ht="16.899999999999999" customHeight="1">
      <c r="B545" s="1204"/>
      <c r="C545" s="1204"/>
      <c r="D545" s="1204"/>
      <c r="E545" s="1204"/>
      <c r="F545" s="1204"/>
      <c r="G545" s="1204"/>
      <c r="H545" s="1204"/>
      <c r="I545" s="1204"/>
      <c r="J545" s="1204"/>
      <c r="K545" s="1204"/>
      <c r="L545" s="1204"/>
      <c r="M545" s="1204"/>
      <c r="N545" s="1204"/>
      <c r="O545" s="1204"/>
      <c r="P545" s="1204"/>
      <c r="Q545" s="1204"/>
      <c r="R545" s="1204"/>
      <c r="S545" s="1204"/>
      <c r="T545" s="1204"/>
      <c r="U545" s="1204"/>
      <c r="V545" s="441"/>
    </row>
    <row r="546" spans="2:22" ht="16.899999999999999" customHeight="1">
      <c r="B546" s="2279" t="s">
        <v>1195</v>
      </c>
      <c r="C546" s="2279"/>
      <c r="D546" s="2279"/>
      <c r="E546" s="2279"/>
      <c r="F546" s="2279"/>
      <c r="G546" s="2279"/>
      <c r="H546" s="2279"/>
      <c r="I546" s="2279"/>
      <c r="J546" s="2279"/>
      <c r="K546" s="2279"/>
      <c r="L546" s="2279"/>
      <c r="M546" s="2279"/>
      <c r="N546" s="2279"/>
      <c r="O546" s="2279"/>
      <c r="P546" s="2279"/>
      <c r="Q546" s="2279"/>
      <c r="R546" s="2279"/>
      <c r="S546" s="2279"/>
      <c r="T546" s="2279"/>
      <c r="U546" s="2279"/>
      <c r="V546" s="441"/>
    </row>
    <row r="547" spans="2:22" ht="16.899999999999999" customHeight="1">
      <c r="B547" s="2251" t="s">
        <v>1196</v>
      </c>
      <c r="C547" s="2251"/>
      <c r="D547" s="2251"/>
      <c r="E547" s="2251"/>
      <c r="F547" s="2251"/>
      <c r="G547" s="2251"/>
      <c r="H547" s="2251"/>
      <c r="I547" s="2251"/>
      <c r="J547" s="2251"/>
      <c r="K547" s="2251"/>
      <c r="L547" s="2251"/>
      <c r="M547" s="2251"/>
      <c r="N547" s="2251"/>
      <c r="O547" s="2251"/>
      <c r="P547" s="2251"/>
      <c r="Q547" s="2251"/>
      <c r="R547" s="2251"/>
      <c r="S547" s="2251"/>
      <c r="T547" s="2251"/>
      <c r="U547" s="2251"/>
      <c r="V547" s="441"/>
    </row>
    <row r="548" spans="2:22" ht="16.899999999999999" customHeight="1">
      <c r="B548" s="902"/>
      <c r="C548" s="902"/>
      <c r="D548" s="902"/>
      <c r="E548" s="902"/>
      <c r="F548" s="902"/>
      <c r="G548" s="902"/>
      <c r="H548" s="902"/>
      <c r="I548" s="902"/>
      <c r="J548" s="902"/>
      <c r="K548" s="902"/>
      <c r="L548" s="902"/>
      <c r="M548" s="902"/>
      <c r="N548" s="902"/>
      <c r="O548" s="902"/>
      <c r="P548" s="902"/>
      <c r="Q548" s="902"/>
      <c r="R548" s="902"/>
      <c r="S548" s="902"/>
      <c r="T548" s="902"/>
      <c r="U548" s="902"/>
      <c r="V548" s="441"/>
    </row>
    <row r="549" spans="2:22" ht="42" customHeight="1">
      <c r="B549" s="2253" t="s">
        <v>462</v>
      </c>
      <c r="C549" s="2254"/>
      <c r="D549" s="1202" t="s">
        <v>463</v>
      </c>
      <c r="E549" s="2254" t="s">
        <v>1380</v>
      </c>
      <c r="F549" s="2254"/>
      <c r="G549" s="2254"/>
      <c r="H549" s="2254"/>
      <c r="I549" s="2254"/>
      <c r="J549" s="2254"/>
      <c r="K549" s="2254" t="s">
        <v>467</v>
      </c>
      <c r="L549" s="2254"/>
      <c r="M549" s="2254" t="s">
        <v>295</v>
      </c>
      <c r="N549" s="2280"/>
      <c r="V549" s="441"/>
    </row>
    <row r="550" spans="2:22" ht="42" customHeight="1">
      <c r="B550" s="2281" t="str">
        <f>IF(Perfiles_usuario!$B$107=0,"",Perfiles_usuario!$B$107)</f>
        <v/>
      </c>
      <c r="C550" s="2282"/>
      <c r="D550" s="1205" t="str">
        <f>IF(Perfiles_usuario!$D$107=0,"",Perfiles_usuario!$D$107)</f>
        <v/>
      </c>
      <c r="E550" s="2282" t="str">
        <f>IF(Perfiles_usuario!$D$107=0,"",Perfiles_usuario!$F$107)</f>
        <v/>
      </c>
      <c r="F550" s="2282"/>
      <c r="G550" s="2282"/>
      <c r="H550" s="2282"/>
      <c r="I550" s="2282"/>
      <c r="J550" s="2282"/>
      <c r="K550" s="2292" t="str">
        <f>IF(Perfiles_usuario!$D$107=0,"",Perfiles_usuario!$J$107)</f>
        <v/>
      </c>
      <c r="L550" s="2292"/>
      <c r="M550" s="2292" t="str">
        <f>IF(Perfiles_usuario!$D$107=0,"",Perfiles_usuario!$L$107)</f>
        <v/>
      </c>
      <c r="N550" s="2293"/>
      <c r="O550" s="522"/>
      <c r="P550" s="522"/>
      <c r="Q550" s="522"/>
      <c r="R550" s="522"/>
      <c r="S550" s="522"/>
      <c r="T550" s="522"/>
      <c r="U550" s="522"/>
      <c r="V550" s="441"/>
    </row>
    <row r="551" spans="2:22" ht="42" customHeight="1">
      <c r="B551" s="2294" t="str">
        <f>IF(Perfiles_usuario!$B$109=0,"",Perfiles_usuario!$B$109)</f>
        <v/>
      </c>
      <c r="C551" s="2295"/>
      <c r="D551" s="1205" t="str">
        <f>IF(Perfiles_usuario!$D$109=0,"",Perfiles_usuario!$D$109)</f>
        <v/>
      </c>
      <c r="E551" s="2282" t="str">
        <f>IF(Perfiles_usuario!$D$109=0,"",Perfiles_usuario!$F$109)</f>
        <v/>
      </c>
      <c r="F551" s="2282"/>
      <c r="G551" s="2282"/>
      <c r="H551" s="2282"/>
      <c r="I551" s="2282"/>
      <c r="J551" s="2282"/>
      <c r="K551" s="2292" t="str">
        <f>IF(Perfiles_usuario!$D$109=0,"",Perfiles_usuario!$J$109)</f>
        <v/>
      </c>
      <c r="L551" s="2292"/>
      <c r="M551" s="2292" t="str">
        <f>IF(Perfiles_usuario!$D$109=0,"",Perfiles_usuario!$L$109)</f>
        <v/>
      </c>
      <c r="N551" s="2293"/>
      <c r="O551" s="522"/>
      <c r="P551" s="522"/>
      <c r="Q551" s="522"/>
      <c r="R551" s="522"/>
      <c r="S551" s="522"/>
      <c r="T551" s="522"/>
      <c r="U551" s="522"/>
      <c r="V551" s="441"/>
    </row>
    <row r="552" spans="2:22" ht="16.899999999999999" customHeight="1">
      <c r="B552" s="2283"/>
      <c r="C552" s="2283"/>
      <c r="D552" s="1245"/>
      <c r="E552" s="2284"/>
      <c r="F552" s="2284"/>
      <c r="G552" s="2284"/>
      <c r="H552" s="2284"/>
      <c r="I552" s="2284"/>
      <c r="J552" s="2284"/>
      <c r="K552" s="2296"/>
      <c r="L552" s="2296"/>
      <c r="M552" s="2296"/>
      <c r="N552" s="2296"/>
      <c r="O552" s="522"/>
      <c r="P552" s="522"/>
      <c r="Q552" s="522"/>
      <c r="R552" s="522"/>
      <c r="S552" s="522"/>
      <c r="T552" s="522"/>
      <c r="U552" s="522"/>
      <c r="V552" s="441"/>
    </row>
    <row r="553" spans="2:22" ht="42" customHeight="1">
      <c r="B553" s="2273" t="s">
        <v>1192</v>
      </c>
      <c r="C553" s="2274"/>
      <c r="D553" s="719">
        <f>SUM(Perfiles_usuario!$D$107:$D$109)</f>
        <v>0</v>
      </c>
      <c r="E553" s="2284"/>
      <c r="F553" s="2284"/>
      <c r="G553" s="2284"/>
      <c r="H553" s="2284"/>
      <c r="I553" s="2284"/>
      <c r="J553" s="2284"/>
      <c r="K553" s="2463" t="s">
        <v>295</v>
      </c>
      <c r="L553" s="2464"/>
      <c r="M553" s="2285" t="str">
        <f>IF(Perfiles_usuario!$L$111=0,"",Perfiles_usuario!$L$111)</f>
        <v/>
      </c>
      <c r="N553" s="2286"/>
      <c r="O553" s="522"/>
      <c r="P553" s="522"/>
      <c r="Q553" s="522"/>
      <c r="R553" s="522"/>
      <c r="S553" s="522"/>
      <c r="T553" s="522"/>
      <c r="U553" s="522"/>
      <c r="V553" s="441"/>
    </row>
    <row r="554" spans="2:22" ht="16.899999999999999" customHeight="1">
      <c r="B554" s="522"/>
      <c r="C554" s="585"/>
      <c r="D554" s="584"/>
      <c r="E554" s="584"/>
      <c r="F554" s="584"/>
      <c r="G554" s="586"/>
      <c r="H554" s="436"/>
      <c r="I554" s="420"/>
      <c r="K554" s="420"/>
      <c r="L554" s="437"/>
      <c r="M554" s="587"/>
      <c r="N554" s="587"/>
      <c r="O554" s="587"/>
      <c r="P554" s="587"/>
      <c r="Q554" s="561"/>
      <c r="R554" s="561"/>
      <c r="S554" s="441"/>
      <c r="T554" s="441"/>
      <c r="U554" s="588"/>
      <c r="V554" s="441"/>
    </row>
    <row r="555" spans="2:22" ht="16.899999999999999" customHeight="1">
      <c r="B555" s="522"/>
      <c r="C555" s="585"/>
      <c r="D555" s="584"/>
      <c r="E555" s="584"/>
      <c r="F555" s="584"/>
      <c r="G555" s="586"/>
      <c r="H555" s="436"/>
      <c r="I555" s="420"/>
      <c r="K555" s="420"/>
      <c r="L555" s="437"/>
      <c r="M555" s="587"/>
      <c r="N555" s="587"/>
      <c r="O555" s="587"/>
      <c r="P555" s="587"/>
      <c r="Q555" s="561"/>
      <c r="R555" s="561"/>
      <c r="S555" s="441"/>
      <c r="T555" s="441"/>
      <c r="U555" s="588"/>
      <c r="V555" s="441"/>
    </row>
    <row r="556" spans="2:22" ht="16.899999999999999" customHeight="1">
      <c r="B556" s="522"/>
      <c r="C556" s="585"/>
      <c r="D556" s="584"/>
      <c r="E556" s="584"/>
      <c r="F556" s="584"/>
      <c r="G556" s="586"/>
      <c r="H556" s="436"/>
      <c r="I556" s="420"/>
      <c r="K556" s="420"/>
      <c r="L556" s="437"/>
      <c r="M556" s="587"/>
      <c r="N556" s="587"/>
      <c r="O556" s="587"/>
      <c r="P556" s="587"/>
      <c r="Q556" s="561"/>
      <c r="R556" s="561"/>
      <c r="S556" s="441"/>
      <c r="T556" s="441"/>
      <c r="U556" s="588"/>
      <c r="V556" s="441"/>
    </row>
    <row r="557" spans="2:22" ht="16.899999999999999" customHeight="1">
      <c r="B557" s="522"/>
      <c r="C557" s="585"/>
      <c r="D557" s="584"/>
      <c r="E557" s="584"/>
      <c r="F557" s="584"/>
      <c r="G557" s="586"/>
      <c r="H557" s="436"/>
      <c r="I557" s="420"/>
      <c r="K557" s="420"/>
      <c r="L557" s="437"/>
      <c r="M557" s="587"/>
      <c r="N557" s="587"/>
      <c r="O557" s="587"/>
      <c r="P557" s="587"/>
      <c r="Q557" s="561"/>
      <c r="R557" s="561"/>
      <c r="S557" s="441"/>
      <c r="T557" s="441"/>
      <c r="U557" s="588"/>
      <c r="V557" s="441"/>
    </row>
    <row r="558" spans="2:22" ht="16.899999999999999" customHeight="1">
      <c r="V558" s="441"/>
    </row>
    <row r="559" spans="2:22" ht="16.899999999999999" customHeight="1">
      <c r="U559" s="588"/>
      <c r="V559" s="441"/>
    </row>
    <row r="560" spans="2:22" ht="16.899999999999999" customHeight="1">
      <c r="B560" s="522"/>
      <c r="C560" s="585"/>
      <c r="D560" s="584"/>
      <c r="E560" s="584"/>
      <c r="F560" s="584"/>
      <c r="G560" s="586"/>
      <c r="H560" s="436"/>
      <c r="I560" s="420"/>
      <c r="K560" s="420"/>
      <c r="L560" s="437"/>
      <c r="M560" s="587"/>
      <c r="N560" s="587"/>
      <c r="O560" s="587"/>
      <c r="P560" s="587"/>
      <c r="Q560" s="561"/>
      <c r="R560" s="561"/>
      <c r="S560" s="441"/>
      <c r="T560" s="441"/>
      <c r="U560" s="588"/>
      <c r="V560" s="441"/>
    </row>
    <row r="561" spans="2:22" ht="88.5" customHeight="1">
      <c r="B561" s="2288" t="s">
        <v>1386</v>
      </c>
      <c r="C561" s="2288"/>
      <c r="D561" s="2288"/>
      <c r="E561" s="2288"/>
      <c r="F561" s="2288"/>
      <c r="G561" s="2288"/>
      <c r="H561" s="2288"/>
      <c r="I561" s="2288"/>
      <c r="J561" s="2288"/>
      <c r="K561" s="2288"/>
      <c r="L561" s="2288"/>
      <c r="M561" s="2288"/>
      <c r="N561" s="2288"/>
      <c r="O561" s="2288"/>
      <c r="P561" s="2288"/>
      <c r="Q561" s="2288"/>
      <c r="R561" s="2288"/>
      <c r="S561" s="2288"/>
      <c r="T561" s="2288"/>
      <c r="U561" s="2288"/>
      <c r="V561" s="441"/>
    </row>
    <row r="562" spans="2:22" ht="16.899999999999999" customHeight="1">
      <c r="B562" s="522"/>
      <c r="C562" s="585"/>
      <c r="D562" s="584"/>
      <c r="E562" s="584"/>
      <c r="F562" s="584"/>
      <c r="G562" s="586"/>
      <c r="H562" s="436"/>
      <c r="I562" s="420"/>
      <c r="K562" s="420"/>
      <c r="L562" s="437"/>
      <c r="M562" s="587"/>
      <c r="N562" s="587"/>
      <c r="O562" s="587"/>
      <c r="P562" s="587"/>
      <c r="Q562" s="561"/>
      <c r="R562" s="561"/>
      <c r="S562" s="441"/>
      <c r="T562" s="441"/>
      <c r="U562" s="588"/>
      <c r="V562" s="441"/>
    </row>
    <row r="563" spans="2:22" ht="49.5" customHeight="1">
      <c r="B563" s="2288" t="s">
        <v>1193</v>
      </c>
      <c r="C563" s="2288"/>
      <c r="D563" s="2288"/>
      <c r="E563" s="2288"/>
      <c r="F563" s="2288"/>
      <c r="G563" s="2288"/>
      <c r="H563" s="2288"/>
      <c r="I563" s="2288"/>
      <c r="J563" s="2288"/>
      <c r="K563" s="2288"/>
      <c r="L563" s="2288"/>
      <c r="M563" s="2288"/>
      <c r="N563" s="2288"/>
      <c r="O563" s="2288"/>
      <c r="P563" s="2288"/>
      <c r="Q563" s="2288"/>
      <c r="R563" s="2288"/>
      <c r="S563" s="2288"/>
      <c r="T563" s="2288"/>
      <c r="U563" s="2288"/>
      <c r="V563" s="441"/>
    </row>
    <row r="564" spans="2:22" ht="16.899999999999999" customHeight="1">
      <c r="B564" s="522"/>
      <c r="K564" s="420"/>
      <c r="L564" s="437"/>
      <c r="U564" s="588"/>
      <c r="V564" s="441"/>
    </row>
    <row r="565" spans="2:22" ht="16.899999999999999" customHeight="1">
      <c r="V565" s="441"/>
    </row>
    <row r="566" spans="2:22" ht="30" customHeight="1">
      <c r="B566" s="2288" t="s">
        <v>1208</v>
      </c>
      <c r="C566" s="2288"/>
      <c r="D566" s="2288"/>
      <c r="E566" s="2288"/>
      <c r="F566" s="2288"/>
      <c r="G566" s="2288"/>
      <c r="H566" s="2288"/>
      <c r="I566" s="2288"/>
      <c r="J566" s="2288"/>
      <c r="K566" s="2288"/>
      <c r="L566" s="2288"/>
      <c r="M566" s="2288"/>
      <c r="N566" s="2288"/>
      <c r="O566" s="2288"/>
      <c r="P566" s="2288"/>
      <c r="Q566" s="2288"/>
      <c r="R566" s="2288"/>
      <c r="S566" s="2288"/>
      <c r="T566" s="2288"/>
      <c r="U566" s="2288"/>
      <c r="V566" s="441"/>
    </row>
    <row r="567" spans="2:22" ht="16.899999999999999" customHeight="1">
      <c r="B567" s="522"/>
      <c r="K567" s="420"/>
      <c r="T567" s="441"/>
      <c r="U567" s="588"/>
      <c r="V567" s="441"/>
    </row>
    <row r="568" spans="2:22" ht="16.899999999999999" customHeight="1">
      <c r="B568" s="522"/>
      <c r="K568" s="420"/>
      <c r="L568" s="437"/>
      <c r="M568" s="587"/>
      <c r="N568" s="587"/>
      <c r="O568" s="587"/>
      <c r="P568" s="587"/>
      <c r="Q568" s="561"/>
      <c r="R568" s="561"/>
      <c r="S568" s="441"/>
      <c r="T568" s="441"/>
      <c r="U568" s="588"/>
      <c r="V568" s="441"/>
    </row>
    <row r="569" spans="2:22" ht="28.5" customHeight="1">
      <c r="B569" s="522"/>
      <c r="C569" s="2579" t="s">
        <v>1198</v>
      </c>
      <c r="D569" s="2579"/>
      <c r="E569" s="2579" t="s">
        <v>399</v>
      </c>
      <c r="F569" s="2579"/>
      <c r="G569" s="2579"/>
      <c r="H569" s="2579"/>
      <c r="I569" s="2579"/>
      <c r="J569" s="2579"/>
      <c r="K569" s="420"/>
      <c r="L569" s="1246">
        <v>15</v>
      </c>
      <c r="M569" s="587"/>
      <c r="N569" s="587"/>
      <c r="O569" s="587"/>
      <c r="P569" s="587"/>
      <c r="Q569" s="561"/>
      <c r="R569" s="561"/>
      <c r="S569" s="441"/>
      <c r="T569" s="441"/>
      <c r="U569" s="588"/>
      <c r="V569" s="441"/>
    </row>
    <row r="570" spans="2:22" ht="16.899999999999999" customHeight="1">
      <c r="B570" s="522"/>
      <c r="C570" s="585"/>
      <c r="D570" s="584"/>
      <c r="E570" s="584"/>
      <c r="F570" s="584"/>
      <c r="G570" s="586"/>
      <c r="H570" s="436"/>
      <c r="I570" s="420"/>
      <c r="K570" s="420"/>
      <c r="L570" s="437"/>
      <c r="M570" s="587"/>
      <c r="N570" s="587"/>
      <c r="O570" s="587"/>
      <c r="P570" s="587"/>
      <c r="Q570" s="561"/>
      <c r="R570" s="561"/>
      <c r="S570" s="441"/>
      <c r="T570" s="441"/>
      <c r="U570" s="588"/>
      <c r="V570" s="441"/>
    </row>
    <row r="571" spans="2:22" ht="16.899999999999999" customHeight="1">
      <c r="B571" s="522"/>
      <c r="C571" s="1240"/>
      <c r="D571" s="1241"/>
      <c r="E571" s="1241"/>
      <c r="F571" s="1241"/>
      <c r="G571" s="1242"/>
      <c r="H571" s="1243"/>
      <c r="I571" s="1244"/>
      <c r="J571" s="1239"/>
      <c r="K571" s="420"/>
      <c r="L571" s="437"/>
      <c r="M571" s="587"/>
      <c r="N571" s="587"/>
      <c r="O571" s="587"/>
      <c r="P571" s="587"/>
      <c r="Q571" s="561"/>
      <c r="R571" s="561"/>
      <c r="S571" s="441"/>
      <c r="T571" s="441"/>
      <c r="U571" s="588"/>
      <c r="V571" s="441"/>
    </row>
    <row r="572" spans="2:22" ht="16.899999999999999" customHeight="1">
      <c r="B572" s="522"/>
      <c r="C572" s="585"/>
      <c r="D572" s="584"/>
      <c r="E572" s="584"/>
      <c r="F572" s="584"/>
      <c r="G572" s="586"/>
      <c r="H572" s="436"/>
      <c r="I572" s="420"/>
      <c r="K572" s="420"/>
      <c r="L572" s="437"/>
      <c r="M572" s="587"/>
      <c r="N572" s="587"/>
      <c r="O572" s="587"/>
      <c r="P572" s="587"/>
      <c r="Q572" s="561"/>
      <c r="R572" s="561"/>
      <c r="S572" s="441"/>
      <c r="T572" s="441"/>
      <c r="U572" s="588"/>
      <c r="V572" s="441"/>
    </row>
    <row r="573" spans="2:22" ht="16.899999999999999" customHeight="1">
      <c r="B573" s="522"/>
      <c r="C573" s="585"/>
      <c r="D573" s="584"/>
      <c r="E573" s="584"/>
      <c r="F573" s="584"/>
      <c r="G573" s="586"/>
      <c r="H573" s="436"/>
      <c r="I573" s="420"/>
      <c r="K573" s="420"/>
      <c r="L573" s="437"/>
      <c r="M573" s="587"/>
      <c r="N573" s="587"/>
      <c r="O573" s="587"/>
      <c r="P573" s="587"/>
      <c r="Q573" s="561"/>
      <c r="R573" s="561"/>
      <c r="S573" s="441"/>
      <c r="T573" s="441"/>
      <c r="U573" s="588"/>
      <c r="V573" s="441"/>
    </row>
    <row r="574" spans="2:22" ht="16.899999999999999" customHeight="1">
      <c r="B574" s="522"/>
      <c r="C574" s="585"/>
      <c r="D574" s="584"/>
      <c r="E574" s="584"/>
      <c r="F574" s="584"/>
      <c r="G574" s="586"/>
      <c r="H574" s="436"/>
      <c r="I574" s="420"/>
      <c r="K574" s="420"/>
      <c r="L574" s="437"/>
      <c r="M574" s="587"/>
      <c r="N574" s="587"/>
      <c r="O574" s="587"/>
      <c r="P574" s="587"/>
      <c r="Q574" s="561"/>
      <c r="R574" s="561"/>
      <c r="S574" s="441"/>
      <c r="T574" s="441"/>
      <c r="U574" s="588"/>
      <c r="V574" s="441"/>
    </row>
    <row r="575" spans="2:22" ht="16.899999999999999" customHeight="1">
      <c r="T575" s="441"/>
      <c r="U575" s="588"/>
      <c r="V575" s="441"/>
    </row>
    <row r="576" spans="2:22" ht="16.899999999999999" customHeight="1">
      <c r="B576" s="522"/>
      <c r="C576" s="585"/>
      <c r="D576" s="584"/>
      <c r="E576" s="584"/>
      <c r="F576" s="584"/>
      <c r="G576" s="586"/>
      <c r="H576" s="436"/>
      <c r="I576" s="420"/>
      <c r="K576" s="420"/>
      <c r="L576" s="437"/>
      <c r="M576" s="587"/>
      <c r="N576" s="587"/>
      <c r="O576" s="587"/>
      <c r="P576" s="587"/>
      <c r="Q576" s="561"/>
      <c r="R576" s="561"/>
      <c r="S576" s="441"/>
      <c r="T576" s="441"/>
      <c r="U576" s="588"/>
      <c r="V576" s="441"/>
    </row>
    <row r="577" spans="1:22" ht="16.899999999999999" customHeight="1">
      <c r="B577" s="522"/>
      <c r="C577" s="585"/>
      <c r="D577" s="584"/>
      <c r="E577" s="584"/>
      <c r="F577" s="584"/>
      <c r="G577" s="586"/>
      <c r="H577" s="436"/>
      <c r="I577" s="420"/>
      <c r="K577" s="420"/>
      <c r="L577" s="437"/>
      <c r="M577" s="587"/>
      <c r="N577" s="587"/>
      <c r="O577" s="587"/>
      <c r="P577" s="587"/>
      <c r="Q577" s="561"/>
      <c r="R577" s="561"/>
      <c r="S577" s="441"/>
      <c r="T577" s="441"/>
      <c r="U577" s="588"/>
      <c r="V577" s="441"/>
    </row>
    <row r="578" spans="1:22" ht="16.899999999999999" customHeight="1">
      <c r="B578" s="522"/>
      <c r="C578" s="585"/>
      <c r="D578" s="584"/>
      <c r="E578" s="584"/>
      <c r="F578" s="584"/>
      <c r="G578" s="586"/>
      <c r="H578" s="436"/>
      <c r="I578" s="420"/>
      <c r="K578" s="420"/>
      <c r="L578" s="437"/>
      <c r="M578" s="587"/>
      <c r="N578" s="587"/>
      <c r="O578" s="587"/>
      <c r="P578" s="587"/>
      <c r="Q578" s="561"/>
      <c r="R578" s="561"/>
      <c r="S578" s="441"/>
      <c r="T578" s="441"/>
      <c r="U578" s="588"/>
      <c r="V578" s="441"/>
    </row>
    <row r="579" spans="1:22" ht="16.899999999999999" customHeight="1">
      <c r="B579" s="522"/>
      <c r="C579" s="585"/>
      <c r="D579" s="584"/>
      <c r="E579" s="584"/>
      <c r="F579" s="584"/>
      <c r="G579" s="586"/>
      <c r="H579" s="436"/>
      <c r="I579" s="420"/>
      <c r="K579" s="420"/>
      <c r="L579" s="437"/>
      <c r="M579" s="587"/>
      <c r="N579" s="587"/>
      <c r="O579" s="587"/>
      <c r="P579" s="587"/>
      <c r="Q579" s="561"/>
      <c r="R579" s="561"/>
      <c r="S579" s="441"/>
      <c r="T579" s="441"/>
      <c r="U579" s="588"/>
      <c r="V579" s="441"/>
    </row>
    <row r="580" spans="1:22" ht="16.899999999999999" customHeight="1">
      <c r="B580" s="520" t="s">
        <v>699</v>
      </c>
      <c r="C580" s="585"/>
      <c r="D580" s="584"/>
      <c r="E580" s="584"/>
      <c r="F580" s="584"/>
      <c r="G580" s="586"/>
      <c r="H580" s="436"/>
      <c r="I580" s="420"/>
      <c r="K580" s="420"/>
      <c r="L580" s="437"/>
      <c r="M580" s="476" t="s">
        <v>1469</v>
      </c>
      <c r="N580" s="587"/>
      <c r="O580" s="587"/>
      <c r="P580" s="587"/>
      <c r="Q580" s="561"/>
      <c r="R580" s="477" t="s">
        <v>692</v>
      </c>
      <c r="S580" s="478" t="str">
        <f>$E$29</f>
        <v>ILF5_90FCOR_B114CAGR43006</v>
      </c>
      <c r="T580" s="441"/>
      <c r="U580" s="588"/>
      <c r="V580" s="441"/>
    </row>
    <row r="581" spans="1:22" ht="16.899999999999999" customHeight="1">
      <c r="B581" s="522"/>
      <c r="C581" s="585"/>
      <c r="D581" s="584"/>
      <c r="E581" s="584"/>
      <c r="F581" s="584"/>
      <c r="G581" s="586"/>
      <c r="H581" s="436"/>
      <c r="I581" s="420"/>
      <c r="K581" s="420"/>
      <c r="L581" s="437"/>
      <c r="M581" s="587"/>
      <c r="N581" s="587"/>
      <c r="O581" s="587"/>
      <c r="P581" s="587"/>
      <c r="Q581" s="561"/>
      <c r="R581" s="561"/>
      <c r="S581" s="441"/>
      <c r="T581" s="441"/>
      <c r="U581" s="588"/>
      <c r="V581" s="441"/>
    </row>
    <row r="582" spans="1:22">
      <c r="A582" s="420"/>
      <c r="B582" s="420"/>
      <c r="C582" s="420"/>
      <c r="D582" s="420"/>
      <c r="E582" s="420"/>
      <c r="F582" s="420"/>
      <c r="G582" s="420"/>
      <c r="H582" s="436" t="s">
        <v>691</v>
      </c>
      <c r="I582" s="420"/>
      <c r="K582" s="420"/>
      <c r="L582" s="437" t="str">
        <f>$B$11</f>
        <v>INMOBILIARIA SERVIGESTION</v>
      </c>
      <c r="M582" s="420"/>
      <c r="N582" s="420"/>
      <c r="O582" s="420"/>
      <c r="P582" s="420"/>
      <c r="Q582" s="420"/>
      <c r="R582" s="420"/>
      <c r="S582" s="420"/>
      <c r="T582" s="420"/>
      <c r="U582" s="420"/>
      <c r="V582" s="420"/>
    </row>
    <row r="583" spans="1:22" ht="34.5">
      <c r="A583" s="420"/>
      <c r="B583" s="2268" t="s">
        <v>461</v>
      </c>
      <c r="C583" s="2268"/>
      <c r="D583" s="2268"/>
      <c r="E583" s="2268"/>
      <c r="F583" s="2268"/>
      <c r="G583" s="2268"/>
      <c r="H583" s="2268"/>
      <c r="I583" s="2268"/>
      <c r="J583" s="2268"/>
      <c r="K583" s="2268"/>
      <c r="L583" s="2268"/>
      <c r="M583" s="2268"/>
      <c r="N583" s="2268"/>
      <c r="O583" s="2268"/>
      <c r="P583" s="2268"/>
      <c r="Q583" s="2268"/>
      <c r="R583" s="2268"/>
      <c r="S583" s="2268"/>
      <c r="T583" s="2268"/>
      <c r="U583" s="2268"/>
      <c r="V583" s="420"/>
    </row>
    <row r="584" spans="1:22" ht="22.9" customHeight="1">
      <c r="A584" s="420"/>
      <c r="B584" s="2269" t="s">
        <v>1114</v>
      </c>
      <c r="C584" s="2269"/>
      <c r="D584" s="2269"/>
      <c r="E584" s="2269"/>
      <c r="F584" s="2269"/>
      <c r="G584" s="2269"/>
      <c r="H584" s="2269"/>
      <c r="I584" s="2269"/>
      <c r="J584" s="2269"/>
      <c r="K584" s="2269"/>
      <c r="L584" s="2269"/>
      <c r="M584" s="2269"/>
      <c r="N584" s="2269"/>
      <c r="O584" s="2269"/>
      <c r="P584" s="2269"/>
      <c r="Q584" s="2269"/>
      <c r="R584" s="2269"/>
      <c r="S584" s="2269"/>
      <c r="T584" s="2269"/>
      <c r="U584" s="2269"/>
      <c r="V584" s="420"/>
    </row>
    <row r="585" spans="1:22" ht="16.149999999999999" customHeight="1">
      <c r="A585" s="420"/>
      <c r="B585" s="831"/>
      <c r="C585" s="831"/>
      <c r="D585" s="831"/>
      <c r="E585" s="831"/>
      <c r="F585" s="831"/>
      <c r="G585" s="831"/>
      <c r="H585" s="831"/>
      <c r="I585" s="831"/>
      <c r="J585" s="831"/>
      <c r="K585" s="831"/>
      <c r="L585" s="831"/>
      <c r="M585" s="831"/>
      <c r="N585" s="831"/>
      <c r="O585" s="831"/>
      <c r="Q585" s="831"/>
      <c r="R585" s="831"/>
      <c r="S585" s="831"/>
      <c r="T585" s="831"/>
      <c r="U585" s="831"/>
      <c r="V585" s="420"/>
    </row>
    <row r="586" spans="1:22" ht="18.399999999999999" customHeight="1">
      <c r="A586" s="429"/>
      <c r="B586" s="2251"/>
      <c r="C586" s="2251"/>
      <c r="D586" s="2251"/>
      <c r="E586" s="2251"/>
      <c r="F586" s="2251"/>
      <c r="G586" s="2251"/>
      <c r="H586" s="2251"/>
      <c r="I586" s="2251"/>
      <c r="J586" s="2251"/>
      <c r="K586" s="2251"/>
      <c r="L586" s="2251"/>
      <c r="M586" s="2251"/>
      <c r="N586" s="2251"/>
      <c r="O586" s="2251"/>
      <c r="P586" s="2251"/>
      <c r="Q586" s="2251"/>
      <c r="R586" s="2251"/>
      <c r="S586" s="2251"/>
      <c r="T586" s="2251"/>
      <c r="U586" s="2251"/>
      <c r="V586" s="429"/>
    </row>
    <row r="587" spans="1:22" ht="23.25">
      <c r="A587" s="420"/>
      <c r="B587" s="2252" t="s">
        <v>513</v>
      </c>
      <c r="C587" s="2252"/>
      <c r="D587" s="2252"/>
      <c r="E587" s="2252"/>
      <c r="F587" s="2252"/>
      <c r="G587" s="2252"/>
      <c r="H587" s="2252"/>
      <c r="I587" s="2252"/>
      <c r="J587" s="2252"/>
      <c r="K587" s="2252"/>
      <c r="L587" s="908"/>
      <c r="M587" s="908"/>
      <c r="N587" s="908"/>
      <c r="O587" s="908"/>
      <c r="P587" s="908"/>
      <c r="Q587" s="908"/>
      <c r="R587" s="908"/>
      <c r="S587" s="908"/>
      <c r="T587" s="908"/>
      <c r="U587" s="908"/>
      <c r="V587" s="420"/>
    </row>
    <row r="588" spans="1:22" ht="61.15" customHeight="1">
      <c r="A588" s="420"/>
      <c r="B588" s="2260" t="s">
        <v>1049</v>
      </c>
      <c r="C588" s="2260"/>
      <c r="D588" s="2260"/>
      <c r="E588" s="2260"/>
      <c r="F588" s="2260"/>
      <c r="G588" s="2260"/>
      <c r="H588" s="2260"/>
      <c r="I588" s="2260"/>
      <c r="J588" s="2260"/>
      <c r="K588" s="2260"/>
      <c r="L588" s="2260"/>
      <c r="M588" s="2260"/>
      <c r="N588" s="2260"/>
      <c r="O588" s="2260"/>
      <c r="P588" s="2260"/>
      <c r="Q588" s="2260"/>
      <c r="R588" s="2260"/>
      <c r="S588" s="2260"/>
      <c r="T588" s="2260"/>
      <c r="U588" s="2260"/>
      <c r="V588" s="420"/>
    </row>
    <row r="589" spans="1:22">
      <c r="A589" s="420"/>
      <c r="V589" s="420"/>
    </row>
    <row r="590" spans="1:22" ht="29.45" customHeight="1">
      <c r="A590" s="420"/>
      <c r="B590" s="2251" t="s">
        <v>514</v>
      </c>
      <c r="C590" s="2251"/>
      <c r="D590" s="2251"/>
      <c r="E590" s="2251"/>
      <c r="F590" s="2251"/>
      <c r="G590" s="2251"/>
      <c r="H590" s="2251"/>
      <c r="I590" s="2251"/>
      <c r="J590" s="2251"/>
      <c r="K590" s="2251"/>
      <c r="L590" s="2251"/>
      <c r="M590" s="2251"/>
      <c r="N590" s="2251"/>
      <c r="O590" s="2251"/>
      <c r="P590" s="2251"/>
      <c r="Q590" s="2251"/>
      <c r="R590" s="2251"/>
      <c r="S590" s="2251"/>
      <c r="T590" s="2251"/>
      <c r="U590" s="2251"/>
      <c r="V590" s="420"/>
    </row>
    <row r="591" spans="1:22" ht="27.6" customHeight="1">
      <c r="A591" s="420"/>
      <c r="B591" s="2251" t="s">
        <v>1374</v>
      </c>
      <c r="C591" s="2251"/>
      <c r="D591" s="2251"/>
      <c r="E591" s="2251"/>
      <c r="F591" s="2251"/>
      <c r="G591" s="2251"/>
      <c r="H591" s="2251"/>
      <c r="I591" s="2251"/>
      <c r="J591" s="2251"/>
      <c r="K591" s="2251"/>
      <c r="L591" s="2251"/>
      <c r="M591" s="2251"/>
      <c r="N591" s="2251"/>
      <c r="O591" s="2251"/>
      <c r="P591" s="2251"/>
      <c r="Q591" s="2251"/>
      <c r="R591" s="2251"/>
      <c r="S591" s="2251"/>
      <c r="T591" s="2251"/>
      <c r="U591" s="2251"/>
      <c r="V591" s="420"/>
    </row>
    <row r="592" spans="1:22" ht="27.6" customHeight="1">
      <c r="A592" s="420"/>
      <c r="B592" s="2251" t="s">
        <v>1034</v>
      </c>
      <c r="C592" s="2251"/>
      <c r="D592" s="2251"/>
      <c r="E592" s="2251"/>
      <c r="F592" s="2251"/>
      <c r="G592" s="2251"/>
      <c r="H592" s="2251"/>
      <c r="I592" s="2251"/>
      <c r="J592" s="2251"/>
      <c r="K592" s="2251"/>
      <c r="L592" s="2251"/>
      <c r="M592" s="2251"/>
      <c r="N592" s="2251"/>
      <c r="O592" s="2251"/>
      <c r="P592" s="2251"/>
      <c r="Q592" s="2251"/>
      <c r="R592" s="2251"/>
      <c r="S592" s="2251"/>
      <c r="T592" s="2251"/>
      <c r="U592" s="2251"/>
      <c r="V592" s="420"/>
    </row>
    <row r="593" spans="1:22" ht="27.6" customHeight="1">
      <c r="A593" s="420"/>
      <c r="B593" s="909"/>
      <c r="C593" s="2251" t="s">
        <v>2024</v>
      </c>
      <c r="D593" s="2251"/>
      <c r="E593" s="2251"/>
      <c r="F593" s="2251"/>
      <c r="G593" s="2251"/>
      <c r="H593" s="2251"/>
      <c r="I593" s="2251"/>
      <c r="J593" s="2251"/>
      <c r="K593" s="2251"/>
      <c r="L593" s="909"/>
      <c r="M593" s="909"/>
      <c r="N593" s="909"/>
      <c r="O593" s="909"/>
      <c r="P593" s="909"/>
      <c r="Q593" s="909"/>
      <c r="R593" s="909"/>
      <c r="S593" s="909"/>
      <c r="T593" s="909"/>
      <c r="U593" s="909"/>
      <c r="V593" s="420"/>
    </row>
    <row r="594" spans="1:22" ht="33.6" customHeight="1">
      <c r="A594" s="420"/>
      <c r="B594" s="909"/>
      <c r="C594" s="2251" t="s">
        <v>1997</v>
      </c>
      <c r="D594" s="2251"/>
      <c r="E594" s="2251"/>
      <c r="F594" s="2251"/>
      <c r="G594" s="2251"/>
      <c r="H594" s="2251"/>
      <c r="I594" s="2251"/>
      <c r="J594" s="2251"/>
      <c r="K594" s="2251"/>
      <c r="L594" s="909"/>
      <c r="M594" s="909"/>
      <c r="N594" s="909"/>
      <c r="O594" s="909"/>
      <c r="P594" s="909"/>
      <c r="Q594" s="909"/>
      <c r="R594" s="909"/>
      <c r="S594" s="909"/>
      <c r="T594" s="909"/>
      <c r="U594" s="909"/>
      <c r="V594" s="420"/>
    </row>
    <row r="595" spans="1:22" ht="30.6" customHeight="1">
      <c r="A595" s="420"/>
      <c r="B595" s="909"/>
      <c r="C595" s="2251" t="s">
        <v>1035</v>
      </c>
      <c r="D595" s="2251"/>
      <c r="E595" s="2251"/>
      <c r="F595" s="2251"/>
      <c r="G595" s="2251"/>
      <c r="H595" s="2251"/>
      <c r="I595" s="2251"/>
      <c r="J595" s="2251"/>
      <c r="K595" s="2251"/>
      <c r="L595" s="909"/>
      <c r="M595" s="909"/>
      <c r="N595" s="909"/>
      <c r="O595" s="909"/>
      <c r="P595" s="909"/>
      <c r="Q595" s="909"/>
      <c r="R595" s="909"/>
      <c r="S595" s="909"/>
      <c r="T595" s="909"/>
      <c r="U595" s="909"/>
      <c r="V595" s="420"/>
    </row>
    <row r="596" spans="1:22" ht="22.9" customHeight="1">
      <c r="A596" s="420"/>
      <c r="B596" s="2251" t="s">
        <v>1036</v>
      </c>
      <c r="C596" s="2251"/>
      <c r="D596" s="2251"/>
      <c r="E596" s="2251"/>
      <c r="F596" s="2251"/>
      <c r="G596" s="2251"/>
      <c r="H596" s="2251"/>
      <c r="I596" s="2251"/>
      <c r="J596" s="2251"/>
      <c r="K596" s="2251"/>
      <c r="L596" s="2251"/>
      <c r="M596" s="2251"/>
      <c r="N596" s="2251"/>
      <c r="O596" s="2251"/>
      <c r="P596" s="2251"/>
      <c r="Q596" s="2251"/>
      <c r="R596" s="2251"/>
      <c r="S596" s="2251"/>
      <c r="T596" s="2251"/>
      <c r="U596" s="2251"/>
      <c r="V596" s="420"/>
    </row>
    <row r="597" spans="1:22" ht="34.15" customHeight="1">
      <c r="A597" s="420"/>
      <c r="B597" s="2251" t="s">
        <v>1037</v>
      </c>
      <c r="C597" s="2251"/>
      <c r="D597" s="2251"/>
      <c r="E597" s="2251"/>
      <c r="F597" s="2251"/>
      <c r="G597" s="2251"/>
      <c r="H597" s="2251"/>
      <c r="I597" s="2251"/>
      <c r="J597" s="2251"/>
      <c r="K597" s="2251"/>
      <c r="L597" s="2251"/>
      <c r="M597" s="2251"/>
      <c r="N597" s="2251"/>
      <c r="O597" s="2251"/>
      <c r="P597" s="2251"/>
      <c r="Q597" s="2251"/>
      <c r="R597" s="2251"/>
      <c r="S597" s="2251"/>
      <c r="T597" s="2251"/>
      <c r="U597" s="2251"/>
      <c r="V597" s="420"/>
    </row>
    <row r="598" spans="1:22" ht="27" customHeight="1">
      <c r="A598" s="420"/>
      <c r="B598" s="2251" t="s">
        <v>1039</v>
      </c>
      <c r="C598" s="2251"/>
      <c r="D598" s="2251"/>
      <c r="E598" s="2251"/>
      <c r="F598" s="2251"/>
      <c r="G598" s="2251"/>
      <c r="H598" s="2251"/>
      <c r="I598" s="2251"/>
      <c r="J598" s="2251"/>
      <c r="K598" s="2251"/>
      <c r="L598" s="2251"/>
      <c r="M598" s="2251"/>
      <c r="N598" s="2251"/>
      <c r="O598" s="2251"/>
      <c r="P598" s="2251"/>
      <c r="Q598" s="2251"/>
      <c r="R598" s="2251"/>
      <c r="S598" s="2251"/>
      <c r="T598" s="2251"/>
      <c r="U598" s="2251"/>
      <c r="V598" s="420"/>
    </row>
    <row r="599" spans="1:22" ht="23.25">
      <c r="A599" s="420"/>
      <c r="B599" s="2251" t="s">
        <v>1038</v>
      </c>
      <c r="C599" s="2251"/>
      <c r="D599" s="2251"/>
      <c r="E599" s="2251"/>
      <c r="F599" s="2251"/>
      <c r="G599" s="2251"/>
      <c r="H599" s="2251"/>
      <c r="I599" s="2251"/>
      <c r="J599" s="2251"/>
      <c r="K599" s="2251"/>
      <c r="L599" s="2251"/>
      <c r="M599" s="2251"/>
      <c r="N599" s="2251"/>
      <c r="O599" s="2251"/>
      <c r="P599" s="2251"/>
      <c r="Q599" s="2251"/>
      <c r="R599" s="2251"/>
      <c r="S599" s="2251"/>
      <c r="T599" s="2251"/>
      <c r="U599" s="2251"/>
      <c r="V599" s="420"/>
    </row>
    <row r="600" spans="1:22" ht="23.25">
      <c r="A600" s="420"/>
      <c r="B600" s="2252"/>
      <c r="C600" s="2252"/>
      <c r="D600" s="2252"/>
      <c r="E600" s="2252"/>
      <c r="F600" s="2252"/>
      <c r="G600" s="2252"/>
      <c r="H600" s="2252"/>
      <c r="I600" s="2252"/>
      <c r="J600" s="2252"/>
      <c r="K600" s="2252"/>
      <c r="L600" s="909"/>
      <c r="M600" s="909"/>
      <c r="N600" s="909"/>
      <c r="O600" s="909"/>
      <c r="P600" s="909"/>
      <c r="Q600" s="909"/>
      <c r="R600" s="909"/>
      <c r="S600" s="909"/>
      <c r="T600" s="909"/>
      <c r="U600" s="909"/>
      <c r="V600" s="420"/>
    </row>
    <row r="601" spans="1:22" ht="28.15" customHeight="1">
      <c r="A601" s="420"/>
      <c r="B601" s="2252" t="s">
        <v>1041</v>
      </c>
      <c r="C601" s="2252"/>
      <c r="D601" s="2252"/>
      <c r="E601" s="2252"/>
      <c r="F601" s="2252"/>
      <c r="G601" s="2252"/>
      <c r="H601" s="2252"/>
      <c r="I601" s="2252"/>
      <c r="J601" s="2252"/>
      <c r="K601" s="2252"/>
      <c r="L601" s="909"/>
      <c r="M601" s="909"/>
      <c r="N601" s="909"/>
      <c r="O601" s="909"/>
      <c r="P601" s="909"/>
      <c r="Q601" s="909"/>
      <c r="R601" s="909"/>
      <c r="S601" s="909"/>
      <c r="T601" s="909"/>
      <c r="U601" s="909"/>
      <c r="V601" s="420"/>
    </row>
    <row r="602" spans="1:22" ht="48" customHeight="1">
      <c r="A602" s="420"/>
      <c r="B602" s="2251" t="s">
        <v>1040</v>
      </c>
      <c r="C602" s="2251"/>
      <c r="D602" s="2251"/>
      <c r="E602" s="2251"/>
      <c r="F602" s="2251"/>
      <c r="G602" s="2251"/>
      <c r="H602" s="2251"/>
      <c r="I602" s="2251"/>
      <c r="J602" s="2251"/>
      <c r="K602" s="2251"/>
      <c r="L602" s="2251"/>
      <c r="M602" s="2251"/>
      <c r="N602" s="2251"/>
      <c r="O602" s="2251"/>
      <c r="P602" s="2251"/>
      <c r="Q602" s="2251"/>
      <c r="R602" s="2251"/>
      <c r="S602" s="2251"/>
      <c r="T602" s="2251"/>
      <c r="U602" s="2251"/>
      <c r="V602" s="420"/>
    </row>
    <row r="603" spans="1:22" ht="28.15" customHeight="1">
      <c r="A603" s="420"/>
      <c r="V603" s="420"/>
    </row>
    <row r="604" spans="1:22" ht="28.15" customHeight="1">
      <c r="A604" s="420"/>
      <c r="B604" s="2251" t="s">
        <v>1042</v>
      </c>
      <c r="C604" s="2251"/>
      <c r="D604" s="2251"/>
      <c r="E604" s="2251"/>
      <c r="F604" s="2251"/>
      <c r="G604" s="2251"/>
      <c r="H604" s="2251"/>
      <c r="I604" s="2251"/>
      <c r="J604" s="2251"/>
      <c r="K604" s="2251"/>
      <c r="L604" s="2251"/>
      <c r="M604" s="2251"/>
      <c r="N604" s="2251"/>
      <c r="O604" s="2251"/>
      <c r="P604" s="2251"/>
      <c r="Q604" s="2251"/>
      <c r="R604" s="2251"/>
      <c r="S604" s="2251"/>
      <c r="T604" s="2251"/>
      <c r="U604" s="2251"/>
      <c r="V604" s="420"/>
    </row>
    <row r="605" spans="1:22" ht="28.15" customHeight="1">
      <c r="A605" s="420"/>
      <c r="B605" s="2251" t="s">
        <v>1043</v>
      </c>
      <c r="C605" s="2251"/>
      <c r="D605" s="2251"/>
      <c r="E605" s="2251"/>
      <c r="F605" s="2251"/>
      <c r="G605" s="2251"/>
      <c r="H605" s="2251"/>
      <c r="I605" s="2251"/>
      <c r="J605" s="2251"/>
      <c r="K605" s="2251"/>
      <c r="L605" s="2251"/>
      <c r="M605" s="2251"/>
      <c r="N605" s="2251"/>
      <c r="O605" s="2251"/>
      <c r="P605" s="2251"/>
      <c r="Q605" s="2251"/>
      <c r="R605" s="2251"/>
      <c r="S605" s="2251"/>
      <c r="T605" s="2251"/>
      <c r="U605" s="2251"/>
      <c r="V605" s="420"/>
    </row>
    <row r="606" spans="1:22" ht="28.15" customHeight="1">
      <c r="A606" s="420"/>
      <c r="B606" s="2251" t="s">
        <v>1034</v>
      </c>
      <c r="C606" s="2251"/>
      <c r="D606" s="2251"/>
      <c r="E606" s="2251"/>
      <c r="F606" s="2251"/>
      <c r="G606" s="2251"/>
      <c r="H606" s="2251"/>
      <c r="I606" s="2251"/>
      <c r="J606" s="2251"/>
      <c r="K606" s="2251"/>
      <c r="L606" s="2251"/>
      <c r="M606" s="2251"/>
      <c r="N606" s="2251"/>
      <c r="O606" s="2251"/>
      <c r="P606" s="2251"/>
      <c r="Q606" s="2251"/>
      <c r="R606" s="2251"/>
      <c r="S606" s="2251"/>
      <c r="T606" s="2251"/>
      <c r="U606" s="2251"/>
      <c r="V606" s="420"/>
    </row>
    <row r="607" spans="1:22" ht="28.15" customHeight="1">
      <c r="A607" s="420"/>
      <c r="B607" s="909"/>
      <c r="C607" s="2251" t="s">
        <v>2024</v>
      </c>
      <c r="D607" s="2251"/>
      <c r="E607" s="2251"/>
      <c r="F607" s="2251"/>
      <c r="G607" s="2251"/>
      <c r="H607" s="2251"/>
      <c r="I607" s="2251"/>
      <c r="J607" s="2251"/>
      <c r="K607" s="2251"/>
      <c r="L607" s="909"/>
      <c r="M607" s="909"/>
      <c r="N607" s="909"/>
      <c r="O607" s="909"/>
      <c r="P607" s="909"/>
      <c r="Q607" s="909"/>
      <c r="R607" s="909"/>
      <c r="S607" s="909"/>
      <c r="T607" s="909"/>
      <c r="U607" s="909"/>
      <c r="V607" s="420"/>
    </row>
    <row r="608" spans="1:22" ht="28.9" customHeight="1">
      <c r="A608" s="420"/>
      <c r="B608" s="909"/>
      <c r="C608" s="2251" t="s">
        <v>1997</v>
      </c>
      <c r="D608" s="2251"/>
      <c r="E608" s="2251"/>
      <c r="F608" s="2251"/>
      <c r="G608" s="2251"/>
      <c r="H608" s="2251"/>
      <c r="I608" s="2251"/>
      <c r="J608" s="2251"/>
      <c r="K608" s="2251"/>
      <c r="L608" s="909"/>
      <c r="M608" s="909"/>
      <c r="N608" s="909"/>
      <c r="O608" s="909"/>
      <c r="P608" s="909"/>
      <c r="Q608" s="909"/>
      <c r="R608" s="909"/>
      <c r="S608" s="909"/>
      <c r="T608" s="909"/>
      <c r="U608" s="909"/>
      <c r="V608" s="420"/>
    </row>
    <row r="609" spans="1:22" ht="23.25">
      <c r="A609" s="420"/>
      <c r="B609" s="909"/>
      <c r="C609" s="2251" t="s">
        <v>1035</v>
      </c>
      <c r="D609" s="2251"/>
      <c r="E609" s="2251"/>
      <c r="F609" s="2251"/>
      <c r="G609" s="2251"/>
      <c r="H609" s="2251"/>
      <c r="I609" s="2251"/>
      <c r="J609" s="2251"/>
      <c r="K609" s="2251"/>
      <c r="L609" s="909"/>
      <c r="M609" s="909"/>
      <c r="N609" s="909"/>
      <c r="O609" s="909"/>
      <c r="P609" s="909"/>
      <c r="Q609" s="909"/>
      <c r="R609" s="909"/>
      <c r="S609" s="909"/>
      <c r="T609" s="909"/>
      <c r="U609" s="909"/>
      <c r="V609" s="420"/>
    </row>
    <row r="610" spans="1:22" ht="30" customHeight="1">
      <c r="A610" s="420"/>
      <c r="B610" s="2251" t="s">
        <v>1045</v>
      </c>
      <c r="C610" s="2251"/>
      <c r="D610" s="2251"/>
      <c r="E610" s="2251"/>
      <c r="F610" s="2251"/>
      <c r="G610" s="2251"/>
      <c r="H610" s="2251"/>
      <c r="I610" s="2251"/>
      <c r="J610" s="2251"/>
      <c r="K610" s="2251"/>
      <c r="L610" s="2251"/>
      <c r="M610" s="2251"/>
      <c r="N610" s="2251"/>
      <c r="O610" s="2251"/>
      <c r="P610" s="2251"/>
      <c r="Q610" s="2251"/>
      <c r="R610" s="2251"/>
      <c r="S610" s="2251"/>
      <c r="T610" s="2251"/>
      <c r="U610" s="2251"/>
      <c r="V610" s="420"/>
    </row>
    <row r="611" spans="1:22" ht="30" customHeight="1">
      <c r="A611" s="429"/>
      <c r="B611" s="2251" t="s">
        <v>1046</v>
      </c>
      <c r="C611" s="2251"/>
      <c r="D611" s="2251"/>
      <c r="E611" s="2251"/>
      <c r="F611" s="2251"/>
      <c r="G611" s="2251"/>
      <c r="H611" s="2251"/>
      <c r="I611" s="2251"/>
      <c r="J611" s="2251"/>
      <c r="K611" s="2251"/>
      <c r="L611" s="2251"/>
      <c r="M611" s="2251"/>
      <c r="N611" s="2251"/>
      <c r="O611" s="2251"/>
      <c r="P611" s="2251"/>
      <c r="Q611" s="2251"/>
      <c r="R611" s="2251"/>
      <c r="S611" s="2251"/>
      <c r="T611" s="2251"/>
      <c r="U611" s="2251"/>
      <c r="V611" s="429"/>
    </row>
    <row r="612" spans="1:22" ht="30" customHeight="1">
      <c r="A612" s="429"/>
      <c r="B612" s="2251" t="s">
        <v>1076</v>
      </c>
      <c r="C612" s="2251"/>
      <c r="D612" s="2251"/>
      <c r="E612" s="2251"/>
      <c r="F612" s="2251"/>
      <c r="G612" s="2251"/>
      <c r="H612" s="2251"/>
      <c r="I612" s="2251"/>
      <c r="J612" s="2251"/>
      <c r="K612" s="2251"/>
      <c r="L612" s="2251"/>
      <c r="M612" s="2251"/>
      <c r="N612" s="2251"/>
      <c r="O612" s="2251"/>
      <c r="P612" s="2251"/>
      <c r="Q612" s="2251"/>
      <c r="R612" s="2251"/>
      <c r="S612" s="2251"/>
      <c r="T612" s="2251"/>
      <c r="U612" s="2251"/>
      <c r="V612" s="429"/>
    </row>
    <row r="613" spans="1:22" ht="30" customHeight="1">
      <c r="A613" s="522"/>
      <c r="B613" s="2251" t="s">
        <v>1047</v>
      </c>
      <c r="C613" s="2251"/>
      <c r="D613" s="2251"/>
      <c r="E613" s="2251"/>
      <c r="F613" s="2251"/>
      <c r="G613" s="2251"/>
      <c r="H613" s="2251"/>
      <c r="I613" s="2251"/>
      <c r="J613" s="2251"/>
      <c r="K613" s="2251"/>
      <c r="L613" s="2251"/>
      <c r="M613" s="2251"/>
      <c r="N613" s="2251"/>
      <c r="O613" s="2251"/>
      <c r="P613" s="2251"/>
      <c r="Q613" s="2251"/>
      <c r="R613" s="2251"/>
      <c r="S613" s="2251"/>
      <c r="T613" s="2251"/>
      <c r="U613" s="2251"/>
    </row>
    <row r="614" spans="1:22" ht="30" customHeight="1">
      <c r="A614" s="522"/>
      <c r="B614" s="2251" t="s">
        <v>1048</v>
      </c>
      <c r="C614" s="2251"/>
      <c r="D614" s="2251"/>
      <c r="E614" s="2251"/>
      <c r="F614" s="2251"/>
      <c r="G614" s="2251"/>
      <c r="H614" s="2251"/>
      <c r="I614" s="2251"/>
      <c r="J614" s="2251"/>
      <c r="K614" s="2251"/>
      <c r="L614" s="2251"/>
      <c r="M614" s="2251"/>
      <c r="N614" s="2251"/>
      <c r="O614" s="2251"/>
      <c r="P614" s="2251"/>
      <c r="Q614" s="2251"/>
      <c r="R614" s="2251"/>
      <c r="S614" s="2251"/>
      <c r="T614" s="2251"/>
      <c r="U614" s="2251"/>
      <c r="V614" s="522"/>
    </row>
    <row r="615" spans="1:22" ht="30" customHeight="1">
      <c r="A615" s="522"/>
      <c r="B615" s="2251" t="s">
        <v>1039</v>
      </c>
      <c r="C615" s="2251"/>
      <c r="D615" s="2251"/>
      <c r="E615" s="2251"/>
      <c r="F615" s="2251"/>
      <c r="G615" s="2251"/>
      <c r="H615" s="2251"/>
      <c r="I615" s="2251"/>
      <c r="J615" s="2251"/>
      <c r="K615" s="2251"/>
      <c r="L615" s="2251"/>
      <c r="M615" s="2251"/>
      <c r="N615" s="2251"/>
      <c r="O615" s="2251"/>
      <c r="P615" s="2251"/>
      <c r="Q615" s="2251"/>
      <c r="R615" s="2251"/>
      <c r="S615" s="2251"/>
      <c r="T615" s="2251"/>
      <c r="U615" s="2251"/>
      <c r="V615" s="522"/>
    </row>
    <row r="616" spans="1:22" ht="30" customHeight="1">
      <c r="A616" s="522"/>
      <c r="B616" s="2251" t="s">
        <v>1038</v>
      </c>
      <c r="C616" s="2251"/>
      <c r="D616" s="2251"/>
      <c r="E616" s="2251"/>
      <c r="F616" s="2251"/>
      <c r="G616" s="2251"/>
      <c r="H616" s="2251"/>
      <c r="I616" s="2251"/>
      <c r="J616" s="2251"/>
      <c r="K616" s="2251"/>
      <c r="L616" s="2251"/>
      <c r="M616" s="2251"/>
      <c r="N616" s="2251"/>
      <c r="O616" s="2251"/>
      <c r="P616" s="2251"/>
      <c r="Q616" s="2251"/>
      <c r="R616" s="2251"/>
      <c r="S616" s="2251"/>
      <c r="T616" s="2251"/>
      <c r="U616" s="2251"/>
      <c r="V616" s="522"/>
    </row>
    <row r="617" spans="1:22">
      <c r="A617" s="522"/>
      <c r="B617" s="522"/>
      <c r="C617" s="522"/>
      <c r="D617" s="522"/>
      <c r="E617" s="522"/>
      <c r="F617" s="522"/>
      <c r="G617" s="522"/>
      <c r="H617" s="522"/>
      <c r="I617" s="522"/>
      <c r="J617" s="522"/>
      <c r="K617" s="522"/>
      <c r="L617" s="522"/>
      <c r="M617" s="522"/>
      <c r="N617" s="522"/>
      <c r="O617" s="522"/>
      <c r="P617" s="522"/>
      <c r="Q617" s="522"/>
      <c r="R617" s="522"/>
      <c r="S617" s="522"/>
      <c r="T617" s="522"/>
      <c r="U617" s="522"/>
      <c r="V617" s="522"/>
    </row>
    <row r="618" spans="1:22" ht="30" customHeight="1">
      <c r="A618" s="522"/>
      <c r="B618" s="2252" t="s">
        <v>1218</v>
      </c>
      <c r="C618" s="2252"/>
      <c r="D618" s="2252"/>
      <c r="E618" s="2252"/>
      <c r="F618" s="2252"/>
      <c r="G618" s="2252"/>
      <c r="H618" s="2252"/>
      <c r="I618" s="2252"/>
      <c r="J618" s="2252"/>
      <c r="K618" s="2252"/>
      <c r="L618" s="1261"/>
      <c r="M618" s="1261"/>
      <c r="N618" s="1261"/>
      <c r="O618" s="1261"/>
      <c r="P618" s="1261"/>
      <c r="Q618" s="1261"/>
      <c r="R618" s="1261"/>
      <c r="S618" s="1261"/>
      <c r="T618" s="1261"/>
      <c r="U618" s="1261"/>
      <c r="V618" s="522"/>
    </row>
    <row r="619" spans="1:22" ht="30" customHeight="1">
      <c r="A619" s="522"/>
      <c r="B619" s="2251" t="s">
        <v>1222</v>
      </c>
      <c r="C619" s="2251"/>
      <c r="D619" s="2251"/>
      <c r="E619" s="2251"/>
      <c r="F619" s="2251"/>
      <c r="G619" s="2251"/>
      <c r="H619" s="2251"/>
      <c r="I619" s="2251"/>
      <c r="J619" s="2251"/>
      <c r="K619" s="2251"/>
      <c r="L619" s="2251"/>
      <c r="M619" s="2251"/>
      <c r="N619" s="2251"/>
      <c r="O619" s="2251"/>
      <c r="P619" s="2251"/>
      <c r="Q619" s="2251"/>
      <c r="R619" s="2251"/>
      <c r="S619" s="2251"/>
      <c r="T619" s="2251"/>
      <c r="U619" s="2251"/>
      <c r="V619" s="522"/>
    </row>
    <row r="620" spans="1:22" ht="27" customHeight="1">
      <c r="A620" s="522"/>
      <c r="B620" s="1261"/>
      <c r="C620" s="1261"/>
      <c r="D620" s="1261"/>
      <c r="E620" s="1261"/>
      <c r="F620" s="1261"/>
      <c r="G620" s="1261"/>
      <c r="H620" s="1261"/>
      <c r="I620" s="1261"/>
      <c r="J620" s="1261"/>
      <c r="K620" s="1261"/>
      <c r="L620" s="1261"/>
      <c r="M620" s="1261"/>
      <c r="N620" s="1261"/>
      <c r="O620" s="1261"/>
      <c r="P620" s="1261"/>
      <c r="Q620" s="1261"/>
      <c r="R620" s="1261"/>
      <c r="S620" s="1261"/>
      <c r="T620" s="1261"/>
      <c r="U620" s="1261"/>
      <c r="V620" s="522"/>
    </row>
    <row r="621" spans="1:22" ht="27" customHeight="1">
      <c r="A621" s="522"/>
      <c r="B621" s="2251" t="s">
        <v>1219</v>
      </c>
      <c r="C621" s="2251"/>
      <c r="D621" s="2251"/>
      <c r="E621" s="2251"/>
      <c r="F621" s="2251"/>
      <c r="G621" s="2251"/>
      <c r="H621" s="2251"/>
      <c r="I621" s="2251"/>
      <c r="J621" s="2251"/>
      <c r="K621" s="2251"/>
      <c r="L621" s="2251"/>
      <c r="M621" s="2251"/>
      <c r="N621" s="2251"/>
      <c r="O621" s="2251"/>
      <c r="P621" s="2251"/>
      <c r="Q621" s="2251"/>
      <c r="R621" s="2251"/>
      <c r="S621" s="2251"/>
      <c r="T621" s="2251"/>
      <c r="U621" s="2251"/>
      <c r="V621" s="522"/>
    </row>
    <row r="622" spans="1:22" ht="30" customHeight="1">
      <c r="A622" s="522"/>
      <c r="B622" s="2251" t="s">
        <v>1223</v>
      </c>
      <c r="C622" s="2251"/>
      <c r="D622" s="2251"/>
      <c r="E622" s="2251"/>
      <c r="F622" s="2251"/>
      <c r="G622" s="2251"/>
      <c r="H622" s="2251"/>
      <c r="I622" s="2251"/>
      <c r="J622" s="2251"/>
      <c r="K622" s="2251"/>
      <c r="L622" s="2251"/>
      <c r="M622" s="2251"/>
      <c r="N622" s="2251"/>
      <c r="O622" s="2251"/>
      <c r="P622" s="2251"/>
      <c r="Q622" s="2251"/>
      <c r="R622" s="2251"/>
      <c r="S622" s="2251"/>
      <c r="T622" s="2251"/>
      <c r="U622" s="2251"/>
      <c r="V622" s="522"/>
    </row>
    <row r="623" spans="1:22" ht="30" customHeight="1">
      <c r="A623" s="522"/>
      <c r="B623" s="2251" t="s">
        <v>1224</v>
      </c>
      <c r="C623" s="2251"/>
      <c r="D623" s="2251"/>
      <c r="E623" s="2251"/>
      <c r="F623" s="2251"/>
      <c r="G623" s="2251"/>
      <c r="H623" s="2251"/>
      <c r="I623" s="2251"/>
      <c r="J623" s="2251"/>
      <c r="K623" s="2251"/>
      <c r="L623" s="2251"/>
      <c r="M623" s="2251"/>
      <c r="N623" s="2251"/>
      <c r="O623" s="2251"/>
      <c r="P623" s="2251"/>
      <c r="Q623" s="2251"/>
      <c r="R623" s="2251"/>
      <c r="S623" s="2251"/>
      <c r="T623" s="2251"/>
      <c r="U623" s="2251"/>
      <c r="V623" s="522"/>
    </row>
    <row r="624" spans="1:22" ht="31.5" customHeight="1">
      <c r="A624" s="522"/>
      <c r="B624" s="2251" t="s">
        <v>1034</v>
      </c>
      <c r="C624" s="2251"/>
      <c r="D624" s="2251"/>
      <c r="E624" s="2251"/>
      <c r="F624" s="2251"/>
      <c r="G624" s="2251"/>
      <c r="H624" s="2251"/>
      <c r="I624" s="2251"/>
      <c r="J624" s="2251"/>
      <c r="K624" s="2251"/>
      <c r="L624" s="2251"/>
      <c r="M624" s="2251"/>
      <c r="N624" s="2251"/>
      <c r="O624" s="2251"/>
      <c r="P624" s="2251"/>
      <c r="Q624" s="2251"/>
      <c r="R624" s="2251"/>
      <c r="S624" s="2251"/>
      <c r="T624" s="2251"/>
      <c r="U624" s="2251"/>
      <c r="V624" s="522"/>
    </row>
    <row r="625" spans="1:22" ht="22.5" customHeight="1">
      <c r="A625" s="522"/>
      <c r="B625" s="2451" t="s">
        <v>1220</v>
      </c>
      <c r="C625" s="2451"/>
      <c r="D625" s="2451"/>
      <c r="E625" s="2451"/>
      <c r="F625" s="2451"/>
      <c r="G625" s="2451"/>
      <c r="H625" s="2451"/>
      <c r="I625" s="2451"/>
      <c r="J625" s="2451"/>
      <c r="V625" s="522"/>
    </row>
    <row r="626" spans="1:22" ht="22.5" customHeight="1">
      <c r="A626" s="522"/>
      <c r="B626" s="2451" t="s">
        <v>1035</v>
      </c>
      <c r="C626" s="2451"/>
      <c r="D626" s="2451"/>
      <c r="E626" s="2451"/>
      <c r="F626" s="2451"/>
      <c r="G626" s="2451"/>
      <c r="H626" s="2451"/>
      <c r="I626" s="2451"/>
      <c r="J626" s="2451"/>
      <c r="V626" s="522"/>
    </row>
    <row r="627" spans="1:22" ht="22.5" customHeight="1">
      <c r="A627" s="522"/>
      <c r="B627" s="2251" t="s">
        <v>1385</v>
      </c>
      <c r="C627" s="2251"/>
      <c r="D627" s="2251"/>
      <c r="E627" s="2251"/>
      <c r="F627" s="2251"/>
      <c r="G627" s="2251"/>
      <c r="H627" s="2251"/>
      <c r="I627" s="2251"/>
      <c r="J627" s="2251"/>
      <c r="K627" s="2251"/>
      <c r="L627" s="2251"/>
      <c r="M627" s="2251"/>
      <c r="N627" s="2251"/>
      <c r="O627" s="2251"/>
      <c r="P627" s="2251"/>
      <c r="Q627" s="2251"/>
      <c r="R627" s="2251"/>
      <c r="S627" s="2251"/>
      <c r="T627" s="2251"/>
      <c r="U627" s="2251"/>
      <c r="V627" s="522"/>
    </row>
    <row r="628" spans="1:22" ht="36" customHeight="1">
      <c r="A628" s="522"/>
      <c r="B628" s="2251" t="s">
        <v>1221</v>
      </c>
      <c r="C628" s="2251"/>
      <c r="D628" s="2251"/>
      <c r="E628" s="2251"/>
      <c r="F628" s="2251"/>
      <c r="G628" s="2251"/>
      <c r="H628" s="2251"/>
      <c r="I628" s="2251"/>
      <c r="J628" s="2251"/>
      <c r="K628" s="2251"/>
      <c r="L628" s="2251"/>
      <c r="M628" s="2251"/>
      <c r="N628" s="2251"/>
      <c r="O628" s="2251"/>
      <c r="P628" s="2251"/>
      <c r="Q628" s="2251"/>
      <c r="R628" s="2251"/>
      <c r="S628" s="2251"/>
      <c r="T628" s="2251"/>
      <c r="U628" s="2251"/>
      <c r="V628" s="522"/>
    </row>
    <row r="629" spans="1:22" ht="19.149999999999999" customHeight="1">
      <c r="B629" s="522"/>
      <c r="C629" s="585"/>
      <c r="D629" s="584"/>
      <c r="E629" s="584"/>
      <c r="F629" s="584"/>
      <c r="G629" s="586"/>
      <c r="H629" s="586"/>
      <c r="I629" s="586"/>
      <c r="J629" s="586"/>
      <c r="K629" s="587"/>
      <c r="L629" s="587"/>
      <c r="M629" s="587"/>
      <c r="N629" s="587"/>
      <c r="O629" s="587"/>
      <c r="P629" s="587"/>
      <c r="Q629" s="561"/>
      <c r="R629" s="561"/>
      <c r="S629" s="441"/>
      <c r="T629" s="441"/>
      <c r="U629" s="588"/>
      <c r="V629" s="441"/>
    </row>
    <row r="630" spans="1:22">
      <c r="A630" s="420"/>
      <c r="B630" s="420"/>
      <c r="C630" s="420"/>
      <c r="D630" s="420"/>
      <c r="E630" s="420"/>
      <c r="F630" s="420"/>
      <c r="G630" s="420"/>
      <c r="H630" s="420"/>
      <c r="I630" s="420"/>
      <c r="J630" s="420"/>
      <c r="K630" s="420"/>
      <c r="L630" s="420"/>
      <c r="M630" s="420"/>
      <c r="N630" s="420"/>
      <c r="O630" s="420"/>
      <c r="P630" s="420"/>
      <c r="Q630" s="420"/>
      <c r="R630" s="420"/>
      <c r="S630" s="420"/>
      <c r="T630" s="420"/>
      <c r="U630" s="420"/>
      <c r="V630" s="420"/>
    </row>
    <row r="631" spans="1:22" ht="15.75">
      <c r="A631" s="420"/>
      <c r="B631" s="420"/>
      <c r="C631" s="420"/>
      <c r="D631" s="420"/>
      <c r="E631" s="420"/>
      <c r="F631" s="420"/>
      <c r="G631" s="420"/>
      <c r="H631" s="420"/>
      <c r="I631" s="420"/>
      <c r="J631" s="420"/>
      <c r="K631" s="420"/>
      <c r="L631" s="420"/>
      <c r="M631" s="476" t="s">
        <v>1202</v>
      </c>
      <c r="N631" s="420"/>
      <c r="O631" s="420"/>
      <c r="P631" s="420"/>
      <c r="Q631" s="420"/>
      <c r="R631" s="477" t="s">
        <v>692</v>
      </c>
      <c r="S631" s="478" t="str">
        <f>$E$29</f>
        <v>ILF5_90FCOR_B114CAGR43006</v>
      </c>
      <c r="T631" s="420"/>
      <c r="U631" s="420"/>
      <c r="V631" s="420"/>
    </row>
    <row r="632" spans="1:22">
      <c r="A632" s="420"/>
      <c r="B632" s="420"/>
      <c r="C632" s="420"/>
      <c r="D632" s="420"/>
      <c r="E632" s="420"/>
      <c r="F632" s="420"/>
      <c r="G632" s="420"/>
      <c r="H632" s="436" t="s">
        <v>691</v>
      </c>
      <c r="I632" s="420"/>
      <c r="K632" s="420"/>
      <c r="L632" s="437" t="str">
        <f>$B$11</f>
        <v>INMOBILIARIA SERVIGESTION</v>
      </c>
      <c r="M632" s="420"/>
      <c r="N632" s="420"/>
      <c r="O632" s="420"/>
      <c r="P632" s="420"/>
      <c r="Q632" s="420"/>
      <c r="R632" s="420"/>
      <c r="S632" s="420"/>
      <c r="T632" s="420"/>
      <c r="U632" s="420"/>
      <c r="V632" s="420"/>
    </row>
    <row r="633" spans="1:22" ht="34.5">
      <c r="A633" s="420"/>
      <c r="B633" s="2268" t="s">
        <v>461</v>
      </c>
      <c r="C633" s="2268"/>
      <c r="D633" s="2268"/>
      <c r="E633" s="2268"/>
      <c r="F633" s="2268"/>
      <c r="G633" s="2268"/>
      <c r="H633" s="2268"/>
      <c r="I633" s="2268"/>
      <c r="J633" s="2268"/>
      <c r="K633" s="2268"/>
      <c r="L633" s="2268"/>
      <c r="M633" s="2268"/>
      <c r="N633" s="2268"/>
      <c r="O633" s="2268"/>
      <c r="P633" s="2268"/>
      <c r="Q633" s="2268"/>
      <c r="R633" s="2268"/>
      <c r="S633" s="2268"/>
      <c r="T633" s="2268"/>
      <c r="U633" s="2268"/>
      <c r="V633" s="420"/>
    </row>
    <row r="634" spans="1:22" ht="22.9" customHeight="1">
      <c r="A634" s="420"/>
      <c r="B634" s="2269" t="s">
        <v>1774</v>
      </c>
      <c r="C634" s="2269"/>
      <c r="D634" s="2269"/>
      <c r="E634" s="2269"/>
      <c r="F634" s="2269"/>
      <c r="G634" s="2269"/>
      <c r="H634" s="2269"/>
      <c r="I634" s="2269"/>
      <c r="J634" s="2269"/>
      <c r="K634" s="2269"/>
      <c r="L634" s="2269"/>
      <c r="M634" s="2269"/>
      <c r="N634" s="2269"/>
      <c r="O634" s="2269"/>
      <c r="P634" s="2269"/>
      <c r="Q634" s="2269"/>
      <c r="R634" s="2269"/>
      <c r="S634" s="2269"/>
      <c r="T634" s="2269"/>
      <c r="U634" s="2269"/>
      <c r="V634" s="420"/>
    </row>
    <row r="635" spans="1:22" ht="16.149999999999999" customHeight="1">
      <c r="A635" s="420"/>
      <c r="B635" s="1744"/>
      <c r="C635" s="1744"/>
      <c r="D635" s="1744"/>
      <c r="E635" s="1744"/>
      <c r="F635" s="1744"/>
      <c r="G635" s="1744"/>
      <c r="H635" s="1744"/>
      <c r="I635" s="1744"/>
      <c r="J635" s="1744"/>
      <c r="K635" s="1744"/>
      <c r="L635" s="1744"/>
      <c r="M635" s="1744"/>
      <c r="N635" s="1744"/>
      <c r="O635" s="1744"/>
      <c r="Q635" s="1744"/>
      <c r="R635" s="1744"/>
      <c r="S635" s="1744"/>
      <c r="T635" s="1744"/>
      <c r="U635" s="1744"/>
      <c r="V635" s="420"/>
    </row>
    <row r="636" spans="1:22" ht="23.25">
      <c r="A636" s="420"/>
      <c r="B636" s="2252" t="s">
        <v>1753</v>
      </c>
      <c r="C636" s="2252"/>
      <c r="D636" s="2252"/>
      <c r="E636" s="2252"/>
      <c r="F636" s="2252"/>
      <c r="G636" s="2252"/>
      <c r="H636" s="2252"/>
      <c r="I636" s="2252"/>
      <c r="J636" s="2252"/>
      <c r="K636" s="2252"/>
      <c r="L636" s="1744"/>
      <c r="M636" s="1744"/>
      <c r="N636" s="1744"/>
      <c r="O636" s="1744"/>
      <c r="P636" s="1744"/>
      <c r="Q636" s="1744"/>
      <c r="R636" s="1744"/>
      <c r="S636" s="1744"/>
      <c r="T636" s="1744"/>
      <c r="U636" s="1744"/>
      <c r="V636" s="420"/>
    </row>
    <row r="637" spans="1:22" ht="44.25" customHeight="1">
      <c r="A637" s="420"/>
      <c r="B637" s="2270" t="s">
        <v>1797</v>
      </c>
      <c r="C637" s="2270"/>
      <c r="D637" s="2270"/>
      <c r="E637" s="2270"/>
      <c r="F637" s="2270"/>
      <c r="G637" s="2270"/>
      <c r="H637" s="2270"/>
      <c r="I637" s="2270"/>
      <c r="J637" s="2270"/>
      <c r="K637" s="2270"/>
      <c r="L637" s="2270"/>
      <c r="M637" s="2270"/>
      <c r="N637" s="2270"/>
      <c r="O637" s="2270"/>
      <c r="P637" s="2270"/>
      <c r="Q637" s="2270"/>
      <c r="R637" s="2270"/>
      <c r="S637" s="2270"/>
      <c r="T637" s="2270"/>
      <c r="U637" s="2270"/>
      <c r="V637" s="420"/>
    </row>
    <row r="638" spans="1:22" ht="29.45" customHeight="1">
      <c r="A638" s="420"/>
      <c r="B638" s="2265" t="s">
        <v>1775</v>
      </c>
      <c r="C638" s="2266"/>
      <c r="D638" s="2266"/>
      <c r="E638" s="2266"/>
      <c r="F638" s="2266"/>
      <c r="G638" s="2266"/>
      <c r="H638" s="2266"/>
      <c r="I638" s="2266"/>
      <c r="J638" s="2266"/>
      <c r="K638" s="2266"/>
      <c r="L638" s="2266"/>
      <c r="M638" s="2266"/>
      <c r="N638" s="2266"/>
      <c r="O638" s="2266"/>
      <c r="P638" s="2266"/>
      <c r="Q638" s="2266"/>
      <c r="R638" s="2266"/>
      <c r="S638" s="2266"/>
      <c r="T638" s="2266"/>
      <c r="U638" s="2266"/>
      <c r="V638" s="420"/>
    </row>
    <row r="639" spans="1:22" ht="27.6" customHeight="1">
      <c r="A639" s="420"/>
      <c r="B639" s="2266" t="s">
        <v>1776</v>
      </c>
      <c r="C639" s="2266"/>
      <c r="D639" s="2266"/>
      <c r="E639" s="2266"/>
      <c r="F639" s="2266"/>
      <c r="G639" s="2266"/>
      <c r="H639" s="2266"/>
      <c r="I639" s="2266"/>
      <c r="J639" s="2266"/>
      <c r="K639" s="2266"/>
      <c r="L639" s="2266"/>
      <c r="M639" s="2266"/>
      <c r="N639" s="2266"/>
      <c r="O639" s="2266"/>
      <c r="P639" s="2266"/>
      <c r="Q639" s="2266"/>
      <c r="R639" s="2266"/>
      <c r="S639" s="2266"/>
      <c r="T639" s="2266"/>
      <c r="U639" s="2266"/>
      <c r="V639" s="420"/>
    </row>
    <row r="640" spans="1:22" ht="27.6" customHeight="1">
      <c r="A640" s="420"/>
      <c r="B640" s="2266" t="s">
        <v>1777</v>
      </c>
      <c r="C640" s="2266"/>
      <c r="D640" s="2266"/>
      <c r="E640" s="2266"/>
      <c r="F640" s="2266"/>
      <c r="G640" s="2266"/>
      <c r="H640" s="2266"/>
      <c r="I640" s="2266"/>
      <c r="J640" s="2266"/>
      <c r="K640" s="2266"/>
      <c r="L640" s="2266"/>
      <c r="M640" s="2266"/>
      <c r="N640" s="2266"/>
      <c r="O640" s="2266"/>
      <c r="P640" s="2266"/>
      <c r="Q640" s="2266"/>
      <c r="R640" s="2266"/>
      <c r="S640" s="2266"/>
      <c r="T640" s="2266"/>
      <c r="U640" s="2266"/>
      <c r="V640" s="420"/>
    </row>
    <row r="641" spans="1:22" ht="27.6" customHeight="1">
      <c r="A641" s="420"/>
      <c r="B641" s="2266" t="s">
        <v>1778</v>
      </c>
      <c r="C641" s="2266"/>
      <c r="D641" s="2266"/>
      <c r="E641" s="2266"/>
      <c r="F641" s="2266"/>
      <c r="G641" s="2266"/>
      <c r="H641" s="2266"/>
      <c r="I641" s="2266"/>
      <c r="J641" s="2266"/>
      <c r="K641" s="2266"/>
      <c r="L641" s="2266"/>
      <c r="M641" s="2266"/>
      <c r="N641" s="2266"/>
      <c r="O641" s="2266"/>
      <c r="P641" s="2266"/>
      <c r="Q641" s="2266"/>
      <c r="R641" s="2266"/>
      <c r="S641" s="2266"/>
      <c r="T641" s="2266"/>
      <c r="U641" s="2266"/>
      <c r="V641" s="420"/>
    </row>
    <row r="642" spans="1:22" ht="27.6" customHeight="1">
      <c r="A642" s="420"/>
      <c r="B642" s="2266" t="s">
        <v>1779</v>
      </c>
      <c r="C642" s="2266"/>
      <c r="D642" s="2266"/>
      <c r="E642" s="2266"/>
      <c r="F642" s="2266"/>
      <c r="G642" s="2266"/>
      <c r="H642" s="2266"/>
      <c r="I642" s="2266"/>
      <c r="J642" s="2266"/>
      <c r="K642" s="2266"/>
      <c r="L642" s="2266"/>
      <c r="M642" s="2266"/>
      <c r="N642" s="2266"/>
      <c r="O642" s="2266"/>
      <c r="P642" s="2266"/>
      <c r="Q642" s="2266"/>
      <c r="R642" s="2266"/>
      <c r="S642" s="2266"/>
      <c r="T642" s="2266"/>
      <c r="U642" s="2266"/>
      <c r="V642" s="420"/>
    </row>
    <row r="643" spans="1:22" ht="27.6" customHeight="1">
      <c r="A643" s="420"/>
      <c r="B643" s="2266" t="s">
        <v>1780</v>
      </c>
      <c r="C643" s="2266"/>
      <c r="D643" s="2266"/>
      <c r="E643" s="2266"/>
      <c r="F643" s="2266"/>
      <c r="G643" s="2266"/>
      <c r="H643" s="2266"/>
      <c r="I643" s="2266"/>
      <c r="J643" s="2266"/>
      <c r="K643" s="2266"/>
      <c r="L643" s="2266"/>
      <c r="M643" s="2266"/>
      <c r="N643" s="2266"/>
      <c r="O643" s="2266"/>
      <c r="P643" s="2266"/>
      <c r="Q643" s="2266"/>
      <c r="R643" s="2266"/>
      <c r="S643" s="2266"/>
      <c r="T643" s="2266"/>
      <c r="U643" s="2266"/>
      <c r="V643" s="420"/>
    </row>
    <row r="644" spans="1:22" ht="27.6" customHeight="1">
      <c r="A644" s="420"/>
      <c r="B644" s="2264" t="s">
        <v>1781</v>
      </c>
      <c r="C644" s="2264"/>
      <c r="D644" s="2264"/>
      <c r="E644" s="2264"/>
      <c r="F644" s="2264"/>
      <c r="G644" s="2264"/>
      <c r="H644" s="2264"/>
      <c r="I644" s="2264"/>
      <c r="J644" s="2264"/>
      <c r="K644" s="2264"/>
      <c r="L644" s="2264"/>
      <c r="M644" s="2264"/>
      <c r="N644" s="2264"/>
      <c r="O644" s="2264"/>
      <c r="P644" s="2264"/>
      <c r="Q644" s="2264"/>
      <c r="R644" s="2264"/>
      <c r="S644" s="2264"/>
      <c r="T644" s="2264"/>
      <c r="U644" s="2264"/>
      <c r="V644" s="420"/>
    </row>
    <row r="645" spans="1:22" ht="27.6" customHeight="1">
      <c r="A645" s="420"/>
      <c r="B645" s="2264" t="s">
        <v>1782</v>
      </c>
      <c r="C645" s="2264"/>
      <c r="D645" s="2264"/>
      <c r="E645" s="2264"/>
      <c r="F645" s="2264"/>
      <c r="G645" s="2264"/>
      <c r="H645" s="2264"/>
      <c r="I645" s="2264"/>
      <c r="J645" s="2264"/>
      <c r="K645" s="2264"/>
      <c r="L645" s="2264"/>
      <c r="M645" s="2264"/>
      <c r="N645" s="2264"/>
      <c r="O645" s="2264"/>
      <c r="P645" s="2264"/>
      <c r="Q645" s="2264"/>
      <c r="R645" s="2264"/>
      <c r="S645" s="2264"/>
      <c r="T645" s="2264"/>
      <c r="U645" s="2264"/>
      <c r="V645" s="420"/>
    </row>
    <row r="646" spans="1:22" ht="27.6" customHeight="1">
      <c r="A646" s="420"/>
      <c r="B646" s="2264" t="s">
        <v>1783</v>
      </c>
      <c r="C646" s="2264"/>
      <c r="D646" s="2264"/>
      <c r="E646" s="2264"/>
      <c r="F646" s="2264"/>
      <c r="G646" s="2264"/>
      <c r="H646" s="2264"/>
      <c r="I646" s="2264"/>
      <c r="J646" s="2264"/>
      <c r="K646" s="2264"/>
      <c r="L646" s="2264"/>
      <c r="M646" s="2264"/>
      <c r="N646" s="2264"/>
      <c r="O646" s="2264"/>
      <c r="P646" s="2264"/>
      <c r="Q646" s="2264"/>
      <c r="R646" s="2264"/>
      <c r="S646" s="2264"/>
      <c r="T646" s="2264"/>
      <c r="U646" s="2264"/>
      <c r="V646" s="420"/>
    </row>
    <row r="647" spans="1:22" ht="33.6" customHeight="1">
      <c r="A647" s="420"/>
      <c r="B647" s="2265" t="s">
        <v>1784</v>
      </c>
      <c r="C647" s="2266"/>
      <c r="D647" s="2266"/>
      <c r="E647" s="2266"/>
      <c r="F647" s="2266"/>
      <c r="G647" s="2266"/>
      <c r="H647" s="2266"/>
      <c r="I647" s="2266"/>
      <c r="J647" s="2266"/>
      <c r="K647" s="2266"/>
      <c r="L647" s="1777"/>
      <c r="M647" s="1777"/>
      <c r="N647" s="1777"/>
      <c r="O647" s="1777"/>
      <c r="P647" s="1777"/>
      <c r="Q647" s="1777"/>
      <c r="R647" s="1777"/>
      <c r="S647" s="1777"/>
      <c r="T647" s="1777"/>
      <c r="U647" s="1777"/>
      <c r="V647" s="420"/>
    </row>
    <row r="648" spans="1:22" ht="22.9" customHeight="1">
      <c r="A648" s="420"/>
      <c r="B648" s="2266" t="s">
        <v>1785</v>
      </c>
      <c r="C648" s="2266"/>
      <c r="D648" s="2266"/>
      <c r="E648" s="2266"/>
      <c r="F648" s="2266"/>
      <c r="G648" s="2266"/>
      <c r="H648" s="2266"/>
      <c r="I648" s="2266"/>
      <c r="J648" s="2266"/>
      <c r="K648" s="2266"/>
      <c r="L648" s="2266"/>
      <c r="M648" s="2266"/>
      <c r="N648" s="2266"/>
      <c r="O648" s="2266"/>
      <c r="P648" s="2266"/>
      <c r="Q648" s="2266"/>
      <c r="R648" s="2266"/>
      <c r="S648" s="2266"/>
      <c r="T648" s="2266"/>
      <c r="U648" s="2266"/>
      <c r="V648" s="420"/>
    </row>
    <row r="649" spans="1:22" ht="22.15" customHeight="1">
      <c r="A649" s="420"/>
      <c r="B649" s="2267" t="s">
        <v>1786</v>
      </c>
      <c r="C649" s="2267"/>
      <c r="D649" s="2267"/>
      <c r="E649" s="2267"/>
      <c r="F649" s="2267"/>
      <c r="G649" s="2267"/>
      <c r="H649" s="2267"/>
      <c r="I649" s="2267"/>
      <c r="J649" s="2267"/>
      <c r="K649" s="2267"/>
      <c r="L649" s="2267"/>
      <c r="M649" s="2267"/>
      <c r="N649" s="2267"/>
      <c r="O649" s="2267"/>
      <c r="P649" s="2267"/>
      <c r="Q649" s="2267"/>
      <c r="R649" s="2267"/>
      <c r="S649" s="2267"/>
      <c r="T649" s="2267"/>
      <c r="U649" s="2267"/>
      <c r="V649" s="420"/>
    </row>
    <row r="650" spans="1:22">
      <c r="A650" s="420"/>
      <c r="V650" s="420"/>
    </row>
    <row r="651" spans="1:22" ht="23.25">
      <c r="A651" s="420"/>
      <c r="B651" s="2252" t="s">
        <v>1755</v>
      </c>
      <c r="C651" s="2252"/>
      <c r="D651" s="2252"/>
      <c r="E651" s="2252"/>
      <c r="F651" s="2252"/>
      <c r="G651" s="2252"/>
      <c r="H651" s="2252"/>
      <c r="I651" s="2252"/>
      <c r="J651" s="2252"/>
      <c r="K651" s="2252"/>
      <c r="L651" s="1744"/>
      <c r="M651" s="1744"/>
      <c r="N651" s="1744"/>
      <c r="O651" s="1744"/>
      <c r="P651" s="1744"/>
      <c r="Q651" s="1744"/>
      <c r="R651" s="1744"/>
      <c r="S651" s="1744"/>
      <c r="T651" s="1744"/>
      <c r="U651" s="1744"/>
      <c r="V651" s="420"/>
    </row>
    <row r="652" spans="1:22" ht="28.15" customHeight="1">
      <c r="A652" s="420"/>
      <c r="B652" s="2260" t="s">
        <v>1787</v>
      </c>
      <c r="C652" s="2260"/>
      <c r="D652" s="2260"/>
      <c r="E652" s="2260"/>
      <c r="F652" s="2260"/>
      <c r="G652" s="2260"/>
      <c r="H652" s="2260"/>
      <c r="I652" s="2260"/>
      <c r="J652" s="2260"/>
      <c r="K652" s="2260"/>
      <c r="L652" s="2260"/>
      <c r="M652" s="2260"/>
      <c r="N652" s="2260"/>
      <c r="O652" s="2260"/>
      <c r="P652" s="2260"/>
      <c r="Q652" s="2260"/>
      <c r="R652" s="2260"/>
      <c r="S652" s="2260"/>
      <c r="T652" s="2260"/>
      <c r="U652" s="2260"/>
      <c r="V652" s="420"/>
    </row>
    <row r="653" spans="1:22" ht="28.15" customHeight="1">
      <c r="A653" s="420"/>
      <c r="B653" s="2250" t="s">
        <v>1788</v>
      </c>
      <c r="C653" s="2251"/>
      <c r="D653" s="2251"/>
      <c r="E653" s="2251"/>
      <c r="F653" s="2251"/>
      <c r="G653" s="2251"/>
      <c r="H653" s="2251"/>
      <c r="I653" s="2251"/>
      <c r="J653" s="2251"/>
      <c r="K653" s="2251"/>
      <c r="L653" s="2251"/>
      <c r="M653" s="2251"/>
      <c r="N653" s="2251"/>
      <c r="O653" s="2251"/>
      <c r="P653" s="2251"/>
      <c r="Q653" s="2251"/>
      <c r="R653" s="2251"/>
      <c r="S653" s="2251"/>
      <c r="T653" s="2251"/>
      <c r="U653" s="2251"/>
      <c r="V653" s="420"/>
    </row>
    <row r="654" spans="1:22" ht="28.15" customHeight="1">
      <c r="A654" s="420"/>
      <c r="B654" s="2251" t="s">
        <v>1789</v>
      </c>
      <c r="C654" s="2251"/>
      <c r="D654" s="2251"/>
      <c r="E654" s="2251"/>
      <c r="F654" s="2251"/>
      <c r="G654" s="2251"/>
      <c r="H654" s="2251"/>
      <c r="I654" s="2251"/>
      <c r="J654" s="2251"/>
      <c r="K654" s="2251"/>
      <c r="L654" s="2251"/>
      <c r="M654" s="2251"/>
      <c r="N654" s="2251"/>
      <c r="O654" s="2251"/>
      <c r="P654" s="2251"/>
      <c r="Q654" s="2251"/>
      <c r="R654" s="2251"/>
      <c r="S654" s="2251"/>
      <c r="T654" s="2251"/>
      <c r="U654" s="2251"/>
      <c r="V654" s="420"/>
    </row>
    <row r="655" spans="1:22" ht="28.15" customHeight="1">
      <c r="A655" s="420"/>
      <c r="B655" s="2251" t="s">
        <v>1790</v>
      </c>
      <c r="C655" s="2251"/>
      <c r="D655" s="2251"/>
      <c r="E655" s="2251"/>
      <c r="F655" s="2251"/>
      <c r="G655" s="2251"/>
      <c r="H655" s="2251"/>
      <c r="I655" s="2251"/>
      <c r="J655" s="2251"/>
      <c r="K655" s="2251"/>
      <c r="L655" s="2251"/>
      <c r="M655" s="2251"/>
      <c r="N655" s="2251"/>
      <c r="O655" s="2251"/>
      <c r="P655" s="2251"/>
      <c r="Q655" s="2251"/>
      <c r="R655" s="2251"/>
      <c r="S655" s="2251"/>
      <c r="T655" s="2251"/>
      <c r="U655" s="2251"/>
      <c r="V655" s="420"/>
    </row>
    <row r="656" spans="1:22" ht="28.15" customHeight="1">
      <c r="A656" s="420"/>
      <c r="B656" s="2251" t="s">
        <v>1791</v>
      </c>
      <c r="C656" s="2251"/>
      <c r="D656" s="2251"/>
      <c r="E656" s="2251"/>
      <c r="F656" s="2251"/>
      <c r="G656" s="2251"/>
      <c r="H656" s="2251"/>
      <c r="I656" s="2251"/>
      <c r="J656" s="2251"/>
      <c r="K656" s="2251"/>
      <c r="L656" s="2251"/>
      <c r="M656" s="2251"/>
      <c r="N656" s="2251"/>
      <c r="O656" s="2251"/>
      <c r="P656" s="2251"/>
      <c r="Q656" s="2251"/>
      <c r="R656" s="2251"/>
      <c r="S656" s="2251"/>
      <c r="T656" s="2251"/>
      <c r="U656" s="2251"/>
      <c r="V656" s="420"/>
    </row>
    <row r="657" spans="1:22" ht="28.15" customHeight="1">
      <c r="A657" s="420"/>
      <c r="B657" s="2251" t="s">
        <v>1792</v>
      </c>
      <c r="C657" s="2251"/>
      <c r="D657" s="2251"/>
      <c r="E657" s="2251"/>
      <c r="F657" s="2251"/>
      <c r="G657" s="2251"/>
      <c r="H657" s="2251"/>
      <c r="I657" s="2251"/>
      <c r="J657" s="2251"/>
      <c r="K657" s="2251"/>
      <c r="L657" s="2251"/>
      <c r="M657" s="2251"/>
      <c r="N657" s="2251"/>
      <c r="O657" s="2251"/>
      <c r="P657" s="2251"/>
      <c r="Q657" s="2251"/>
      <c r="R657" s="2251"/>
      <c r="S657" s="2251"/>
      <c r="T657" s="2251"/>
      <c r="U657" s="2251"/>
      <c r="V657" s="420"/>
    </row>
    <row r="658" spans="1:22" ht="28.15" customHeight="1">
      <c r="A658" s="420"/>
      <c r="B658" s="2251" t="s">
        <v>1793</v>
      </c>
      <c r="C658" s="2251"/>
      <c r="D658" s="2251"/>
      <c r="E658" s="2251"/>
      <c r="F658" s="2251"/>
      <c r="G658" s="2251"/>
      <c r="H658" s="2251"/>
      <c r="I658" s="2251"/>
      <c r="J658" s="2251"/>
      <c r="K658" s="2251"/>
      <c r="L658" s="2251"/>
      <c r="M658" s="2251"/>
      <c r="N658" s="2251"/>
      <c r="O658" s="2251"/>
      <c r="P658" s="2251"/>
      <c r="Q658" s="2251"/>
      <c r="R658" s="2251"/>
      <c r="S658" s="2251"/>
      <c r="T658" s="2251"/>
      <c r="U658" s="2251"/>
      <c r="V658" s="420"/>
    </row>
    <row r="659" spans="1:22" ht="28.15" customHeight="1">
      <c r="A659" s="420"/>
      <c r="B659" s="2249" t="s">
        <v>1781</v>
      </c>
      <c r="C659" s="2249"/>
      <c r="D659" s="2249"/>
      <c r="E659" s="2249"/>
      <c r="F659" s="2249"/>
      <c r="G659" s="2249"/>
      <c r="H659" s="2249"/>
      <c r="I659" s="2249"/>
      <c r="J659" s="2249"/>
      <c r="K659" s="2249"/>
      <c r="L659" s="2249"/>
      <c r="M659" s="2249"/>
      <c r="N659" s="2249"/>
      <c r="O659" s="2249"/>
      <c r="P659" s="2249"/>
      <c r="Q659" s="2249"/>
      <c r="R659" s="2249"/>
      <c r="S659" s="2249"/>
      <c r="T659" s="2249"/>
      <c r="U659" s="2249"/>
      <c r="V659" s="420"/>
    </row>
    <row r="660" spans="1:22" ht="28.15" customHeight="1">
      <c r="A660" s="420"/>
      <c r="B660" s="2249" t="s">
        <v>1782</v>
      </c>
      <c r="C660" s="2249"/>
      <c r="D660" s="2249"/>
      <c r="E660" s="2249"/>
      <c r="F660" s="2249"/>
      <c r="G660" s="2249"/>
      <c r="H660" s="2249"/>
      <c r="I660" s="2249"/>
      <c r="J660" s="2249"/>
      <c r="K660" s="2249"/>
      <c r="L660" s="2249"/>
      <c r="M660" s="2249"/>
      <c r="N660" s="2249"/>
      <c r="O660" s="2249"/>
      <c r="P660" s="2249"/>
      <c r="Q660" s="2249"/>
      <c r="R660" s="2249"/>
      <c r="S660" s="2249"/>
      <c r="T660" s="2249"/>
      <c r="U660" s="2249"/>
      <c r="V660" s="420"/>
    </row>
    <row r="661" spans="1:22" ht="28.15" customHeight="1">
      <c r="A661" s="420"/>
      <c r="B661" s="2249" t="s">
        <v>1783</v>
      </c>
      <c r="C661" s="2249"/>
      <c r="D661" s="2249"/>
      <c r="E661" s="2249"/>
      <c r="F661" s="2249"/>
      <c r="G661" s="2249"/>
      <c r="H661" s="2249"/>
      <c r="I661" s="2249"/>
      <c r="J661" s="2249"/>
      <c r="K661" s="2249"/>
      <c r="L661" s="2249"/>
      <c r="M661" s="2249"/>
      <c r="N661" s="2249"/>
      <c r="O661" s="2249"/>
      <c r="P661" s="2249"/>
      <c r="Q661" s="2249"/>
      <c r="R661" s="2249"/>
      <c r="S661" s="2249"/>
      <c r="T661" s="2249"/>
      <c r="U661" s="2249"/>
      <c r="V661" s="420"/>
    </row>
    <row r="662" spans="1:22" ht="28.9" customHeight="1">
      <c r="A662" s="420"/>
      <c r="B662" s="2250" t="s">
        <v>1784</v>
      </c>
      <c r="C662" s="2251"/>
      <c r="D662" s="2251"/>
      <c r="E662" s="2251"/>
      <c r="F662" s="2251"/>
      <c r="G662" s="2251"/>
      <c r="H662" s="2251"/>
      <c r="I662" s="2251"/>
      <c r="J662" s="2251"/>
      <c r="K662" s="2251"/>
      <c r="L662" s="1743"/>
      <c r="M662" s="1743"/>
      <c r="N662" s="1743"/>
      <c r="O662" s="1743"/>
      <c r="P662" s="1743"/>
      <c r="Q662" s="1743"/>
      <c r="R662" s="1743"/>
      <c r="S662" s="1743"/>
      <c r="T662" s="1743"/>
      <c r="U662" s="1743"/>
      <c r="V662" s="420"/>
    </row>
    <row r="663" spans="1:22" ht="28.9" customHeight="1">
      <c r="A663" s="420"/>
      <c r="B663" s="2251" t="s">
        <v>1794</v>
      </c>
      <c r="C663" s="2251"/>
      <c r="D663" s="2251"/>
      <c r="E663" s="2251"/>
      <c r="F663" s="2251"/>
      <c r="G663" s="2251"/>
      <c r="H663" s="2251"/>
      <c r="I663" s="2251"/>
      <c r="J663" s="2251"/>
      <c r="K663" s="2251"/>
      <c r="L663" s="2251"/>
      <c r="M663" s="2251"/>
      <c r="N663" s="2251"/>
      <c r="O663" s="2251"/>
      <c r="P663" s="2251"/>
      <c r="Q663" s="2251"/>
      <c r="R663" s="2251"/>
      <c r="S663" s="2251"/>
      <c r="T663" s="2251"/>
      <c r="U663" s="2251"/>
      <c r="V663" s="420"/>
    </row>
    <row r="664" spans="1:22" ht="23.25">
      <c r="A664" s="420"/>
      <c r="B664" s="2252" t="s">
        <v>1795</v>
      </c>
      <c r="C664" s="2252"/>
      <c r="D664" s="2252"/>
      <c r="E664" s="2252"/>
      <c r="F664" s="2252"/>
      <c r="G664" s="2252"/>
      <c r="H664" s="2252"/>
      <c r="I664" s="2252"/>
      <c r="J664" s="2252"/>
      <c r="K664" s="2252"/>
      <c r="L664" s="2252"/>
      <c r="M664" s="2252"/>
      <c r="N664" s="2252"/>
      <c r="O664" s="2252"/>
      <c r="P664" s="2252"/>
      <c r="Q664" s="2252"/>
      <c r="R664" s="2252"/>
      <c r="S664" s="2252"/>
      <c r="T664" s="2252"/>
      <c r="U664" s="2252"/>
      <c r="V664" s="420"/>
    </row>
    <row r="665" spans="1:22" ht="23.25">
      <c r="A665" s="420"/>
      <c r="B665" s="1744"/>
      <c r="C665" s="1744"/>
      <c r="D665" s="1744"/>
      <c r="E665" s="1744"/>
      <c r="F665" s="1744"/>
      <c r="G665" s="1744"/>
      <c r="H665" s="1744"/>
      <c r="I665" s="1744"/>
      <c r="J665" s="1744"/>
      <c r="K665" s="1744"/>
      <c r="L665" s="1744"/>
      <c r="M665" s="1744"/>
      <c r="N665" s="1744"/>
      <c r="O665" s="1744"/>
      <c r="P665" s="1744"/>
      <c r="Q665" s="1744"/>
      <c r="R665" s="1744"/>
      <c r="S665" s="1744"/>
      <c r="T665" s="1744"/>
      <c r="U665" s="1744"/>
      <c r="V665" s="420"/>
    </row>
    <row r="666" spans="1:22" ht="23.25">
      <c r="A666" s="420"/>
      <c r="B666" s="1744"/>
      <c r="C666" s="1744"/>
      <c r="D666" s="1744"/>
      <c r="E666" s="1744"/>
      <c r="F666" s="1744"/>
      <c r="G666" s="1744"/>
      <c r="H666" s="1744"/>
      <c r="I666" s="1744"/>
      <c r="J666" s="1744"/>
      <c r="K666" s="1744"/>
      <c r="L666" s="1744"/>
      <c r="M666" s="1744"/>
      <c r="N666" s="1744"/>
      <c r="O666" s="1744"/>
      <c r="P666" s="1744"/>
      <c r="Q666" s="1744"/>
      <c r="R666" s="1744"/>
      <c r="S666" s="1744"/>
      <c r="T666" s="1744"/>
      <c r="U666" s="1744"/>
      <c r="V666" s="420"/>
    </row>
    <row r="667" spans="1:22" ht="23.25">
      <c r="A667" s="420"/>
      <c r="B667" s="1744"/>
      <c r="C667" s="1744"/>
      <c r="D667" s="1744"/>
      <c r="E667" s="1744"/>
      <c r="F667" s="1744"/>
      <c r="G667" s="1744"/>
      <c r="H667" s="1744"/>
      <c r="I667" s="1744"/>
      <c r="J667" s="1744"/>
      <c r="K667" s="1744"/>
      <c r="L667" s="1744"/>
      <c r="M667" s="1744"/>
      <c r="N667" s="1744"/>
      <c r="O667" s="1744"/>
      <c r="P667" s="1744"/>
      <c r="Q667" s="1744"/>
      <c r="R667" s="1744"/>
      <c r="S667" s="1744"/>
      <c r="T667" s="1744"/>
      <c r="U667" s="1744"/>
      <c r="V667" s="420"/>
    </row>
    <row r="668" spans="1:22" ht="23.25">
      <c r="A668" s="420"/>
      <c r="B668" s="1744"/>
      <c r="C668" s="1744"/>
      <c r="D668" s="1744"/>
      <c r="E668" s="1744"/>
      <c r="F668" s="1744"/>
      <c r="G668" s="1744"/>
      <c r="H668" s="1744"/>
      <c r="I668" s="1744"/>
      <c r="J668" s="1744"/>
      <c r="K668" s="1744"/>
      <c r="L668" s="1744"/>
      <c r="M668" s="1744"/>
      <c r="N668" s="1744"/>
      <c r="O668" s="1744"/>
      <c r="P668" s="1744"/>
      <c r="Q668" s="1744"/>
      <c r="R668" s="1744"/>
      <c r="S668" s="1744"/>
      <c r="T668" s="1744"/>
      <c r="U668" s="1744"/>
      <c r="V668" s="420"/>
    </row>
    <row r="669" spans="1:22">
      <c r="A669" s="420"/>
      <c r="B669" s="420"/>
      <c r="C669" s="420"/>
      <c r="D669" s="420"/>
      <c r="E669" s="420"/>
      <c r="F669" s="420"/>
      <c r="G669" s="420"/>
      <c r="H669" s="420"/>
      <c r="I669" s="420"/>
      <c r="J669" s="420"/>
      <c r="K669" s="420"/>
      <c r="L669" s="420"/>
      <c r="M669" s="420"/>
      <c r="N669" s="420"/>
      <c r="O669" s="420"/>
      <c r="P669" s="420"/>
      <c r="Q669" s="420"/>
      <c r="R669" s="420"/>
      <c r="S669" s="420"/>
      <c r="T669" s="420"/>
      <c r="U669" s="420"/>
      <c r="V669" s="420"/>
    </row>
    <row r="670" spans="1:22" ht="15.75">
      <c r="A670" s="420"/>
      <c r="B670" s="420"/>
      <c r="C670" s="420"/>
      <c r="D670" s="420"/>
      <c r="E670" s="420"/>
      <c r="F670" s="420"/>
      <c r="G670" s="420"/>
      <c r="H670" s="420"/>
      <c r="I670" s="420"/>
      <c r="J670" s="420"/>
      <c r="K670" s="420"/>
      <c r="L670" s="420"/>
      <c r="M670" s="476" t="s">
        <v>1203</v>
      </c>
      <c r="N670" s="420"/>
      <c r="O670" s="420"/>
      <c r="P670" s="420"/>
      <c r="Q670" s="420"/>
      <c r="R670" s="477" t="s">
        <v>692</v>
      </c>
      <c r="S670" s="478" t="str">
        <f>$E$29</f>
        <v>ILF5_90FCOR_B114CAGR43006</v>
      </c>
      <c r="T670" s="420"/>
      <c r="U670" s="420"/>
      <c r="V670" s="420"/>
    </row>
    <row r="671" spans="1:22">
      <c r="A671" s="420"/>
      <c r="B671" s="420"/>
      <c r="C671" s="420"/>
      <c r="D671" s="420"/>
      <c r="E671" s="420"/>
      <c r="F671" s="420"/>
      <c r="G671" s="420"/>
      <c r="H671" s="436" t="s">
        <v>691</v>
      </c>
      <c r="I671" s="420"/>
      <c r="K671" s="420"/>
      <c r="L671" s="437" t="str">
        <f>$B$11</f>
        <v>INMOBILIARIA SERVIGESTION</v>
      </c>
      <c r="M671" s="420"/>
      <c r="N671" s="420"/>
      <c r="O671" s="420"/>
      <c r="P671" s="420"/>
      <c r="Q671" s="420"/>
      <c r="R671" s="420"/>
      <c r="S671" s="420"/>
      <c r="T671" s="420"/>
      <c r="U671" s="420"/>
      <c r="V671" s="420"/>
    </row>
    <row r="672" spans="1:22" ht="34.5">
      <c r="A672" s="420"/>
      <c r="B672" s="2268" t="s">
        <v>461</v>
      </c>
      <c r="C672" s="2268"/>
      <c r="D672" s="2268"/>
      <c r="E672" s="2268"/>
      <c r="F672" s="2268"/>
      <c r="G672" s="2268"/>
      <c r="H672" s="2268"/>
      <c r="I672" s="2268"/>
      <c r="J672" s="2268"/>
      <c r="K672" s="2268"/>
      <c r="L672" s="2268"/>
      <c r="M672" s="2268"/>
      <c r="N672" s="2268"/>
      <c r="O672" s="2268"/>
      <c r="P672" s="2268"/>
      <c r="Q672" s="2268"/>
      <c r="R672" s="2268"/>
      <c r="S672" s="2268"/>
      <c r="T672" s="2268"/>
      <c r="U672" s="2268"/>
      <c r="V672" s="420"/>
    </row>
    <row r="673" spans="1:23" ht="22.9" customHeight="1">
      <c r="A673" s="420"/>
      <c r="B673" s="2269" t="s">
        <v>1201</v>
      </c>
      <c r="C673" s="2269"/>
      <c r="D673" s="2269"/>
      <c r="E673" s="2269"/>
      <c r="F673" s="2269"/>
      <c r="G673" s="2269"/>
      <c r="H673" s="2269"/>
      <c r="I673" s="2269"/>
      <c r="J673" s="2269"/>
      <c r="K673" s="2269"/>
      <c r="L673" s="2269"/>
      <c r="M673" s="2269"/>
      <c r="N673" s="2269"/>
      <c r="O673" s="2269"/>
      <c r="P673" s="2269"/>
      <c r="Q673" s="2269"/>
      <c r="R673" s="2269"/>
      <c r="S673" s="2269"/>
      <c r="T673" s="2269"/>
      <c r="U673" s="2269"/>
      <c r="V673" s="420"/>
    </row>
    <row r="674" spans="1:23" ht="16.149999999999999" customHeight="1">
      <c r="A674" s="420"/>
      <c r="B674" s="1165"/>
      <c r="C674" s="1165"/>
      <c r="D674" s="1165"/>
      <c r="E674" s="1165"/>
      <c r="F674" s="1165"/>
      <c r="G674" s="1165"/>
      <c r="H674" s="1165"/>
      <c r="I674" s="1165"/>
      <c r="J674" s="1165"/>
      <c r="K674" s="1165"/>
      <c r="L674" s="1165"/>
      <c r="M674" s="1165"/>
      <c r="N674" s="1165"/>
      <c r="O674" s="1165"/>
      <c r="Q674" s="1165"/>
      <c r="R674" s="1165"/>
      <c r="S674" s="1165"/>
      <c r="T674" s="1165"/>
      <c r="U674" s="1165"/>
      <c r="V674" s="420"/>
    </row>
    <row r="675" spans="1:23" ht="18.399999999999999" customHeight="1">
      <c r="A675" s="429"/>
      <c r="B675" s="2251"/>
      <c r="C675" s="2251"/>
      <c r="D675" s="2251"/>
      <c r="E675" s="2251"/>
      <c r="F675" s="2251"/>
      <c r="G675" s="2251"/>
      <c r="H675" s="2251"/>
      <c r="I675" s="2251"/>
      <c r="J675" s="2251"/>
      <c r="K675" s="2251"/>
      <c r="L675" s="2251"/>
      <c r="M675" s="2251"/>
      <c r="N675" s="2251"/>
      <c r="O675" s="2251"/>
      <c r="P675" s="2251"/>
      <c r="Q675" s="2251"/>
      <c r="R675" s="2251"/>
      <c r="S675" s="2251"/>
      <c r="T675" s="2251"/>
      <c r="U675" s="2251"/>
      <c r="V675" s="429"/>
    </row>
    <row r="676" spans="1:23" ht="23.25">
      <c r="A676" s="420"/>
      <c r="B676" s="2252" t="s">
        <v>1091</v>
      </c>
      <c r="C676" s="2252"/>
      <c r="D676" s="2252"/>
      <c r="E676" s="2252"/>
      <c r="F676" s="2252"/>
      <c r="G676" s="2252"/>
      <c r="H676" s="2252"/>
      <c r="I676" s="2252"/>
      <c r="J676" s="2252"/>
      <c r="K676" s="2252"/>
      <c r="L676" s="1165"/>
      <c r="M676" s="1165"/>
      <c r="N676" s="1165"/>
      <c r="O676" s="1165"/>
      <c r="P676" s="1165"/>
      <c r="Q676" s="1165"/>
      <c r="R676" s="1165"/>
      <c r="S676" s="1165"/>
      <c r="T676" s="1165"/>
      <c r="U676" s="1165"/>
      <c r="V676" s="420"/>
    </row>
    <row r="677" spans="1:23" ht="61.15" customHeight="1">
      <c r="A677" s="420"/>
      <c r="B677" s="2260" t="s">
        <v>1115</v>
      </c>
      <c r="C677" s="2260"/>
      <c r="D677" s="2260"/>
      <c r="E677" s="2260"/>
      <c r="F677" s="2260"/>
      <c r="G677" s="2260"/>
      <c r="H677" s="2260"/>
      <c r="I677" s="2260"/>
      <c r="J677" s="2260"/>
      <c r="K677" s="2260"/>
      <c r="L677" s="2260"/>
      <c r="M677" s="2260"/>
      <c r="N677" s="2260"/>
      <c r="O677" s="2260"/>
      <c r="P677" s="2260"/>
      <c r="Q677" s="2260"/>
      <c r="R677" s="2260"/>
      <c r="S677" s="2260"/>
      <c r="T677" s="2260"/>
      <c r="U677" s="2260"/>
      <c r="V677" s="420"/>
    </row>
    <row r="678" spans="1:23" ht="36.75" customHeight="1">
      <c r="A678" s="504"/>
      <c r="B678" s="1161"/>
      <c r="C678" s="2390" t="s">
        <v>1116</v>
      </c>
      <c r="D678" s="2390"/>
      <c r="E678" s="2390"/>
      <c r="F678" s="2390"/>
      <c r="G678" s="2390"/>
      <c r="H678" s="2390"/>
      <c r="I678" s="2390"/>
      <c r="J678" s="2390"/>
      <c r="K678" s="2390"/>
      <c r="L678" s="2390"/>
      <c r="M678" s="2390"/>
      <c r="N678" s="2390"/>
      <c r="O678" s="2390"/>
      <c r="P678" s="2390"/>
      <c r="Q678" s="2390"/>
      <c r="R678" s="2390"/>
      <c r="S678" s="2390"/>
      <c r="T678" s="2390"/>
      <c r="U678" s="1161"/>
      <c r="V678" s="1171"/>
      <c r="W678" s="441"/>
    </row>
    <row r="679" spans="1:23" ht="23.25">
      <c r="A679" s="441"/>
      <c r="B679" s="441"/>
      <c r="C679" s="2335" t="s">
        <v>1103</v>
      </c>
      <c r="D679" s="2335"/>
      <c r="E679" s="2335"/>
      <c r="F679" s="2335"/>
      <c r="G679" s="2335"/>
      <c r="H679" s="2335"/>
      <c r="I679" s="2335"/>
      <c r="J679" s="2335"/>
      <c r="K679" s="2335"/>
      <c r="L679" s="441"/>
      <c r="M679" s="2375" t="s">
        <v>1102</v>
      </c>
      <c r="N679" s="2376"/>
      <c r="O679" s="2376"/>
      <c r="P679" s="2376"/>
      <c r="Q679" s="2376"/>
      <c r="R679" s="2376"/>
      <c r="S679" s="2376"/>
      <c r="T679" s="2377"/>
      <c r="U679" s="546"/>
      <c r="V679" s="1171"/>
      <c r="W679" s="441"/>
    </row>
    <row r="680" spans="1:23" ht="156" customHeight="1">
      <c r="A680" s="441"/>
      <c r="B680" s="501" t="s">
        <v>362</v>
      </c>
      <c r="C680" s="2396" t="s">
        <v>1130</v>
      </c>
      <c r="D680" s="2397"/>
      <c r="E680" s="2397"/>
      <c r="F680" s="2397"/>
      <c r="G680" s="2397"/>
      <c r="H680" s="2397"/>
      <c r="I680" s="2397"/>
      <c r="J680" s="2397"/>
      <c r="K680" s="2398"/>
      <c r="L680" s="441"/>
      <c r="M680" s="2396" t="s">
        <v>1117</v>
      </c>
      <c r="N680" s="2397"/>
      <c r="O680" s="2397"/>
      <c r="P680" s="2397"/>
      <c r="Q680" s="2397"/>
      <c r="R680" s="2397"/>
      <c r="S680" s="2397"/>
      <c r="T680" s="2398"/>
      <c r="U680" s="546"/>
      <c r="V680" s="1171"/>
      <c r="W680" s="441"/>
    </row>
    <row r="681" spans="1:23" ht="26.25">
      <c r="A681" s="441"/>
      <c r="B681" s="524"/>
      <c r="C681" s="2399" t="s">
        <v>1119</v>
      </c>
      <c r="D681" s="2399"/>
      <c r="E681" s="2399"/>
      <c r="F681" s="2399"/>
      <c r="G681" s="2399"/>
      <c r="H681" s="1167">
        <v>10.5</v>
      </c>
      <c r="I681" s="498"/>
      <c r="J681" s="498"/>
      <c r="K681" s="498"/>
      <c r="L681" s="499"/>
      <c r="M681" s="2399" t="s">
        <v>1119</v>
      </c>
      <c r="N681" s="2399"/>
      <c r="O681" s="2399"/>
      <c r="P681" s="2399"/>
      <c r="Q681" s="2399"/>
      <c r="R681" s="1167">
        <v>4.5</v>
      </c>
      <c r="S681" s="498"/>
      <c r="T681" s="498"/>
      <c r="U681" s="1168"/>
      <c r="V681" s="1171"/>
      <c r="W681" s="441"/>
    </row>
    <row r="682" spans="1:23" customFormat="1" ht="39" customHeight="1">
      <c r="A682" s="325"/>
      <c r="B682" s="524"/>
      <c r="U682" s="1168"/>
      <c r="V682" s="1171"/>
      <c r="W682" s="441"/>
    </row>
    <row r="683" spans="1:23" customFormat="1" ht="75.599999999999994" customHeight="1">
      <c r="A683" s="325"/>
      <c r="B683" s="524"/>
      <c r="C683" s="2475" t="s">
        <v>1118</v>
      </c>
      <c r="D683" s="2475"/>
      <c r="E683" s="2475"/>
      <c r="F683" s="2475"/>
      <c r="G683" s="2475"/>
      <c r="H683" s="2475"/>
      <c r="I683" s="2475"/>
      <c r="J683" s="2475"/>
      <c r="K683" s="2475"/>
      <c r="M683" s="2541" t="s">
        <v>1120</v>
      </c>
      <c r="N683" s="2541"/>
      <c r="O683" s="2541"/>
      <c r="P683" s="2541"/>
      <c r="Q683" s="2541"/>
      <c r="R683" s="2541"/>
      <c r="S683" s="2541"/>
      <c r="T683" s="2541"/>
      <c r="U683" s="1168"/>
      <c r="V683" s="1171"/>
      <c r="W683" s="441"/>
    </row>
    <row r="684" spans="1:23" ht="27.6" customHeight="1">
      <c r="A684" s="1171"/>
      <c r="B684" s="524"/>
      <c r="C684" s="2335" t="s">
        <v>1092</v>
      </c>
      <c r="D684" s="2335"/>
      <c r="E684" s="2335"/>
      <c r="F684" s="2335"/>
      <c r="G684" s="2335"/>
      <c r="H684" s="2335"/>
      <c r="I684" s="2335"/>
      <c r="J684" s="2335"/>
      <c r="K684" s="2335"/>
      <c r="L684" s="1162"/>
      <c r="M684" s="2375" t="s">
        <v>1093</v>
      </c>
      <c r="N684" s="2376"/>
      <c r="O684" s="2376"/>
      <c r="P684" s="2376"/>
      <c r="Q684" s="2376"/>
      <c r="R684" s="2376"/>
      <c r="S684" s="2376"/>
      <c r="T684" s="2377"/>
      <c r="U684" s="1168"/>
      <c r="V684" s="1171"/>
      <c r="W684" s="441"/>
    </row>
    <row r="685" spans="1:23" ht="135.6" customHeight="1">
      <c r="A685" s="1171"/>
      <c r="B685" s="524"/>
      <c r="C685" s="2396" t="s">
        <v>1125</v>
      </c>
      <c r="D685" s="2397"/>
      <c r="E685" s="2397"/>
      <c r="F685" s="2397"/>
      <c r="G685" s="2397"/>
      <c r="H685" s="2397"/>
      <c r="I685" s="2397"/>
      <c r="J685" s="2397"/>
      <c r="K685" s="2398"/>
      <c r="L685" s="1162"/>
      <c r="M685" s="2396" t="s">
        <v>1124</v>
      </c>
      <c r="N685" s="2397"/>
      <c r="O685" s="2397"/>
      <c r="P685" s="2397"/>
      <c r="Q685" s="2397"/>
      <c r="R685" s="2397"/>
      <c r="S685" s="2397"/>
      <c r="T685" s="2398"/>
      <c r="U685" s="1168"/>
      <c r="V685" s="1171"/>
      <c r="W685" s="441"/>
    </row>
    <row r="686" spans="1:23" ht="26.25">
      <c r="A686" s="441"/>
      <c r="B686" s="524"/>
      <c r="C686" s="2399" t="s">
        <v>1119</v>
      </c>
      <c r="D686" s="2399"/>
      <c r="E686" s="2399"/>
      <c r="F686" s="2399"/>
      <c r="G686" s="2399"/>
      <c r="H686" s="1167">
        <v>10</v>
      </c>
      <c r="I686" s="498"/>
      <c r="J686" s="498"/>
      <c r="K686" s="498"/>
      <c r="L686" s="499"/>
      <c r="M686" s="2399" t="s">
        <v>1119</v>
      </c>
      <c r="N686" s="2399"/>
      <c r="O686" s="2399"/>
      <c r="P686" s="2399"/>
      <c r="Q686" s="2399"/>
      <c r="R686" s="1167">
        <v>5</v>
      </c>
      <c r="S686" s="498"/>
      <c r="T686" s="498"/>
      <c r="U686" s="1168"/>
      <c r="V686" s="1171"/>
      <c r="W686" s="441"/>
    </row>
    <row r="687" spans="1:23" ht="27.6" customHeight="1">
      <c r="A687" s="1171"/>
      <c r="B687" s="524"/>
      <c r="C687" s="1166"/>
      <c r="D687" s="1166"/>
      <c r="E687" s="1166"/>
      <c r="F687" s="1166"/>
      <c r="G687" s="1166"/>
      <c r="H687" s="1166"/>
      <c r="I687" s="1166"/>
      <c r="J687" s="1166"/>
      <c r="K687" s="1166"/>
      <c r="L687" s="1166"/>
      <c r="M687" s="1166"/>
      <c r="N687" s="1166"/>
      <c r="O687" s="1166"/>
      <c r="P687" s="1166"/>
      <c r="Q687" s="1166"/>
      <c r="R687" s="1166"/>
      <c r="S687" s="1166"/>
      <c r="T687" s="1166"/>
      <c r="U687" s="1168"/>
      <c r="V687" s="1171"/>
      <c r="W687" s="441"/>
    </row>
    <row r="688" spans="1:23" customFormat="1" ht="75.599999999999994" customHeight="1">
      <c r="A688" s="325"/>
      <c r="B688" s="524"/>
      <c r="C688" s="2475" t="s">
        <v>1121</v>
      </c>
      <c r="D688" s="2475"/>
      <c r="E688" s="2475"/>
      <c r="F688" s="2475"/>
      <c r="G688" s="2475"/>
      <c r="H688" s="2475"/>
      <c r="I688" s="2475"/>
      <c r="J688" s="2475"/>
      <c r="K688" s="2475"/>
      <c r="M688" s="2541" t="s">
        <v>1123</v>
      </c>
      <c r="N688" s="2541"/>
      <c r="O688" s="2541"/>
      <c r="P688" s="2541"/>
      <c r="Q688" s="2541"/>
      <c r="R688" s="2541"/>
      <c r="S688" s="2541"/>
      <c r="T688" s="2541"/>
      <c r="U688" s="1168"/>
      <c r="V688" s="1171"/>
      <c r="W688" s="441"/>
    </row>
    <row r="689" spans="1:25" ht="27.6" customHeight="1">
      <c r="A689" s="1171"/>
      <c r="B689" s="524"/>
      <c r="C689" s="2335" t="s">
        <v>1094</v>
      </c>
      <c r="D689" s="2335"/>
      <c r="E689" s="2335"/>
      <c r="F689" s="2335"/>
      <c r="G689" s="2335"/>
      <c r="H689" s="2335"/>
      <c r="I689" s="2335"/>
      <c r="J689" s="2335"/>
      <c r="K689" s="2335"/>
      <c r="L689" s="1162"/>
      <c r="M689" s="2375" t="s">
        <v>1095</v>
      </c>
      <c r="N689" s="2376"/>
      <c r="O689" s="2376"/>
      <c r="P689" s="2376"/>
      <c r="Q689" s="2376"/>
      <c r="R689" s="2376"/>
      <c r="S689" s="2376"/>
      <c r="T689" s="2377"/>
      <c r="U689" s="1168"/>
      <c r="V689" s="1171"/>
      <c r="W689" s="441"/>
    </row>
    <row r="690" spans="1:25" ht="135.6" customHeight="1">
      <c r="A690" s="1171"/>
      <c r="B690" s="524"/>
      <c r="C690" s="2396" t="s">
        <v>1126</v>
      </c>
      <c r="D690" s="2397"/>
      <c r="E690" s="2397"/>
      <c r="F690" s="2397"/>
      <c r="G690" s="2397"/>
      <c r="H690" s="2397"/>
      <c r="I690" s="2397"/>
      <c r="J690" s="2397"/>
      <c r="K690" s="2398"/>
      <c r="L690" s="1162"/>
      <c r="M690" s="2396" t="s">
        <v>1127</v>
      </c>
      <c r="N690" s="2397"/>
      <c r="O690" s="2397"/>
      <c r="P690" s="2397"/>
      <c r="Q690" s="2397"/>
      <c r="R690" s="2397"/>
      <c r="S690" s="2397"/>
      <c r="T690" s="2398"/>
      <c r="U690" s="1168"/>
      <c r="V690" s="1171"/>
      <c r="W690" s="441"/>
    </row>
    <row r="691" spans="1:25" ht="26.25">
      <c r="A691" s="441"/>
      <c r="B691" s="524"/>
      <c r="C691" s="2479" t="s">
        <v>1129</v>
      </c>
      <c r="D691" s="2479"/>
      <c r="E691" s="2479"/>
      <c r="F691" s="2479"/>
      <c r="G691" s="2479"/>
      <c r="H691" s="2468">
        <v>10</v>
      </c>
      <c r="I691" s="2543"/>
      <c r="J691" s="2543"/>
      <c r="K691" s="2544"/>
      <c r="L691" s="499"/>
      <c r="M691" s="2479" t="s">
        <v>1128</v>
      </c>
      <c r="N691" s="2480"/>
      <c r="O691" s="2480"/>
      <c r="P691" s="2480"/>
      <c r="Q691" s="2480"/>
      <c r="R691" s="2468">
        <v>15</v>
      </c>
      <c r="S691" s="2470"/>
      <c r="T691" s="2471"/>
      <c r="U691" s="1168"/>
      <c r="V691" s="1171"/>
      <c r="W691" s="441"/>
    </row>
    <row r="692" spans="1:25" ht="23.25">
      <c r="A692" s="420"/>
      <c r="B692" s="1166"/>
      <c r="C692" s="2412"/>
      <c r="D692" s="2412"/>
      <c r="E692" s="2412"/>
      <c r="F692" s="2412"/>
      <c r="G692" s="2412"/>
      <c r="H692" s="2542"/>
      <c r="I692" s="2628"/>
      <c r="J692" s="2628"/>
      <c r="K692" s="2629"/>
      <c r="L692" s="1166"/>
      <c r="M692" s="2630"/>
      <c r="N692" s="2630"/>
      <c r="O692" s="2630"/>
      <c r="P692" s="2630"/>
      <c r="Q692" s="2630"/>
      <c r="R692" s="2542"/>
      <c r="S692" s="2472"/>
      <c r="T692" s="2473"/>
      <c r="U692" s="1166"/>
      <c r="V692" s="1171"/>
      <c r="W692" s="441"/>
    </row>
    <row r="693" spans="1:25" s="1239" customFormat="1" ht="26.25">
      <c r="A693" s="1244"/>
      <c r="B693" s="1253"/>
      <c r="C693" s="1247"/>
      <c r="D693" s="1247"/>
      <c r="E693" s="1247"/>
      <c r="F693" s="1247"/>
      <c r="G693" s="1247"/>
      <c r="H693" s="1248"/>
      <c r="I693" s="1249"/>
      <c r="J693" s="1249"/>
      <c r="K693" s="1249"/>
      <c r="L693" s="1253"/>
      <c r="M693" s="1250"/>
      <c r="N693" s="1250"/>
      <c r="O693" s="1250"/>
      <c r="P693" s="1250"/>
      <c r="Q693" s="1250"/>
      <c r="R693" s="1248"/>
      <c r="S693" s="1251"/>
      <c r="T693" s="1251"/>
      <c r="U693" s="1253"/>
      <c r="V693" s="1252"/>
      <c r="W693" s="530"/>
    </row>
    <row r="694" spans="1:25">
      <c r="A694" s="420"/>
      <c r="B694" s="441"/>
      <c r="C694" s="441"/>
      <c r="D694" s="441"/>
      <c r="E694" s="441"/>
      <c r="F694" s="441"/>
      <c r="G694" s="441"/>
      <c r="H694" s="441"/>
      <c r="I694" s="441"/>
      <c r="J694" s="441"/>
      <c r="K694" s="441"/>
      <c r="L694" s="441"/>
      <c r="M694" s="441"/>
      <c r="N694" s="441"/>
      <c r="O694" s="441"/>
      <c r="P694" s="441"/>
      <c r="Q694" s="441"/>
      <c r="R694" s="441"/>
      <c r="S694" s="441"/>
      <c r="T694" s="441"/>
      <c r="U694" s="441"/>
      <c r="V694" s="1171"/>
      <c r="W694" s="441"/>
    </row>
    <row r="695" spans="1:25" ht="15.75">
      <c r="A695" s="420"/>
      <c r="C695" s="441"/>
      <c r="D695" s="441"/>
      <c r="E695" s="441"/>
      <c r="F695" s="441"/>
      <c r="G695" s="441"/>
      <c r="H695" s="441"/>
      <c r="J695" s="441"/>
      <c r="K695" s="441"/>
      <c r="M695" s="476" t="s">
        <v>1204</v>
      </c>
      <c r="N695" s="420"/>
      <c r="O695" s="420"/>
      <c r="P695" s="420"/>
      <c r="Q695" s="420"/>
      <c r="R695" s="477" t="s">
        <v>692</v>
      </c>
      <c r="S695" s="478" t="str">
        <f>$E$29</f>
        <v>ILF5_90FCOR_B114CAGR43006</v>
      </c>
      <c r="T695" s="441"/>
      <c r="V695" s="1171"/>
      <c r="W695" s="441"/>
    </row>
    <row r="696" spans="1:25" ht="52.5" customHeight="1">
      <c r="A696" s="420"/>
      <c r="B696" s="2268" t="s">
        <v>461</v>
      </c>
      <c r="C696" s="2268"/>
      <c r="D696" s="2268"/>
      <c r="E696" s="2268"/>
      <c r="F696" s="2268"/>
      <c r="G696" s="2268"/>
      <c r="H696" s="2268"/>
      <c r="I696" s="2268"/>
      <c r="J696" s="2268"/>
      <c r="K696" s="2268"/>
      <c r="L696" s="2268"/>
      <c r="M696" s="2268"/>
      <c r="N696" s="2268"/>
      <c r="O696" s="2268"/>
      <c r="P696" s="2268"/>
      <c r="Q696" s="2268"/>
      <c r="R696" s="2268"/>
      <c r="S696" s="2268"/>
      <c r="T696" s="2268"/>
      <c r="U696" s="2268"/>
      <c r="V696" s="1171"/>
      <c r="W696" s="441"/>
    </row>
    <row r="697" spans="1:25" ht="25.5" customHeight="1">
      <c r="A697" s="420"/>
      <c r="B697" s="2269" t="s">
        <v>1200</v>
      </c>
      <c r="C697" s="2269"/>
      <c r="D697" s="2269"/>
      <c r="E697" s="2269"/>
      <c r="F697" s="2269"/>
      <c r="G697" s="2269"/>
      <c r="H697" s="2269"/>
      <c r="I697" s="2269"/>
      <c r="J697" s="2269"/>
      <c r="K697" s="2269"/>
      <c r="L697" s="2269"/>
      <c r="M697" s="2269"/>
      <c r="N697" s="2269"/>
      <c r="O697" s="2269"/>
      <c r="P697" s="2269"/>
      <c r="Q697" s="2269"/>
      <c r="R697" s="2269"/>
      <c r="S697" s="2269"/>
      <c r="T697" s="2269"/>
      <c r="U697" s="2269"/>
      <c r="V697" s="1171"/>
      <c r="W697" s="441"/>
    </row>
    <row r="698" spans="1:25" ht="23.25">
      <c r="A698" s="420"/>
      <c r="B698" s="1204"/>
      <c r="C698" s="1204"/>
      <c r="D698" s="1204"/>
      <c r="E698" s="1204"/>
      <c r="F698" s="1204"/>
      <c r="G698" s="1204"/>
      <c r="H698" s="1204"/>
      <c r="I698" s="1204"/>
      <c r="J698" s="1204"/>
      <c r="K698" s="1204"/>
      <c r="L698" s="1204"/>
      <c r="M698" s="1204"/>
      <c r="N698" s="1204"/>
      <c r="O698" s="1204"/>
      <c r="Q698" s="1204"/>
      <c r="R698" s="1204"/>
      <c r="S698" s="1204"/>
      <c r="T698" s="1204"/>
      <c r="U698" s="1204"/>
      <c r="V698" s="1171"/>
      <c r="W698" s="441"/>
    </row>
    <row r="699" spans="1:25" ht="23.25">
      <c r="A699" s="420"/>
      <c r="B699" s="2251"/>
      <c r="C699" s="2251"/>
      <c r="D699" s="2251"/>
      <c r="E699" s="2251"/>
      <c r="F699" s="2251"/>
      <c r="G699" s="2251"/>
      <c r="H699" s="2251"/>
      <c r="I699" s="2251"/>
      <c r="J699" s="2251"/>
      <c r="K699" s="2251"/>
      <c r="L699" s="2251"/>
      <c r="M699" s="2251"/>
      <c r="N699" s="2251"/>
      <c r="O699" s="2251"/>
      <c r="P699" s="2251"/>
      <c r="Q699" s="2251"/>
      <c r="R699" s="2251"/>
      <c r="S699" s="2251"/>
      <c r="T699" s="2251"/>
      <c r="U699" s="2251"/>
      <c r="V699" s="1171"/>
      <c r="W699" s="441"/>
    </row>
    <row r="700" spans="1:25" ht="22.5" customHeight="1">
      <c r="A700" s="420"/>
      <c r="B700" s="2252" t="s">
        <v>1091</v>
      </c>
      <c r="C700" s="2252"/>
      <c r="D700" s="2252"/>
      <c r="E700" s="2252"/>
      <c r="F700" s="2252"/>
      <c r="G700" s="2252"/>
      <c r="H700" s="2252"/>
      <c r="I700" s="2252"/>
      <c r="J700" s="2252"/>
      <c r="K700" s="2252"/>
      <c r="L700" s="1204"/>
      <c r="M700" s="1204"/>
      <c r="N700" s="1204"/>
      <c r="O700" s="1204"/>
      <c r="P700" s="1204"/>
      <c r="Q700" s="1204"/>
      <c r="R700" s="1204"/>
      <c r="S700" s="1204"/>
      <c r="T700" s="1204"/>
      <c r="U700" s="1204"/>
      <c r="V700" s="1171"/>
      <c r="W700" s="441"/>
    </row>
    <row r="701" spans="1:25" ht="23.25">
      <c r="A701" s="420"/>
      <c r="B701" s="1203"/>
      <c r="C701" s="1203"/>
      <c r="D701" s="1203"/>
      <c r="E701" s="1203"/>
      <c r="F701" s="1203"/>
      <c r="G701" s="1203"/>
      <c r="H701" s="1203"/>
      <c r="I701" s="1203"/>
      <c r="J701" s="1203"/>
      <c r="K701" s="1203"/>
      <c r="L701" s="1203"/>
      <c r="M701" s="1203"/>
      <c r="N701" s="1203"/>
      <c r="O701" s="1203"/>
      <c r="P701" s="1203"/>
      <c r="Q701" s="1203"/>
      <c r="R701" s="1203"/>
      <c r="S701" s="1203"/>
      <c r="T701" s="1203"/>
      <c r="U701" s="1203"/>
      <c r="V701" s="1171"/>
      <c r="W701" s="441"/>
    </row>
    <row r="702" spans="1:25" ht="23.25">
      <c r="A702" s="420"/>
      <c r="B702" s="1165"/>
      <c r="C702" s="1165"/>
      <c r="D702" s="1165"/>
      <c r="E702" s="1165"/>
      <c r="F702" s="1165"/>
      <c r="G702" s="1165"/>
      <c r="H702" s="1165"/>
      <c r="I702" s="1165"/>
      <c r="J702" s="1165"/>
      <c r="K702" s="1165"/>
      <c r="L702" s="1165"/>
      <c r="M702" s="1165"/>
      <c r="N702" s="1165"/>
      <c r="O702" s="1165"/>
      <c r="P702" s="1165"/>
      <c r="Q702" s="1165"/>
      <c r="R702" s="1165"/>
      <c r="S702" s="1165"/>
      <c r="T702" s="1165"/>
      <c r="U702" s="1165"/>
      <c r="V702" s="1171"/>
      <c r="W702" s="441"/>
    </row>
    <row r="703" spans="1:25" ht="48.6" customHeight="1">
      <c r="A703" s="441"/>
      <c r="C703" s="2534" t="s">
        <v>1087</v>
      </c>
      <c r="D703" s="2486"/>
      <c r="E703" s="2486"/>
      <c r="F703" s="2486"/>
      <c r="G703" s="2256"/>
      <c r="H703" s="2255" t="s">
        <v>1122</v>
      </c>
      <c r="I703" s="2486"/>
      <c r="J703" s="2486"/>
      <c r="K703" s="2256"/>
      <c r="L703" s="2255" t="s">
        <v>1101</v>
      </c>
      <c r="M703" s="2256"/>
      <c r="N703" s="2254" t="s">
        <v>51</v>
      </c>
      <c r="O703" s="2255"/>
      <c r="P703" s="1170"/>
      <c r="Q703"/>
      <c r="R703"/>
      <c r="S703"/>
      <c r="T703"/>
      <c r="U703"/>
      <c r="V703" s="325"/>
      <c r="W703" s="325"/>
      <c r="X703"/>
      <c r="Y703"/>
    </row>
    <row r="704" spans="1:25" ht="49.9" customHeight="1">
      <c r="C704" s="2485">
        <f>Oferta_OptimaRPV!C811</f>
        <v>0</v>
      </c>
      <c r="D704" s="2484"/>
      <c r="E704" s="2484"/>
      <c r="F704" s="2484"/>
      <c r="G704" s="2484"/>
      <c r="H704" s="2482">
        <f>Oferta_OptimaRPV!H811</f>
        <v>0</v>
      </c>
      <c r="I704" s="2482"/>
      <c r="J704" s="2482"/>
      <c r="K704" s="2482"/>
      <c r="L704" s="2484">
        <f>Oferta_OptimaRPV!L811</f>
        <v>0</v>
      </c>
      <c r="M704" s="2484"/>
      <c r="N704" s="2482">
        <f>Oferta_OptimaRPV!N811</f>
        <v>0</v>
      </c>
      <c r="O704" s="2482"/>
      <c r="P704" s="1170"/>
      <c r="Q704"/>
      <c r="R704"/>
      <c r="S704"/>
      <c r="T704"/>
      <c r="U704"/>
      <c r="V704"/>
      <c r="W704"/>
      <c r="X704"/>
      <c r="Y704"/>
    </row>
    <row r="705" spans="1:25" ht="49.9" customHeight="1">
      <c r="C705" s="2485">
        <f>Oferta_OptimaRPV!C812</f>
        <v>0</v>
      </c>
      <c r="D705" s="2484"/>
      <c r="E705" s="2484"/>
      <c r="F705" s="2484"/>
      <c r="G705" s="2484"/>
      <c r="H705" s="2482">
        <f>Oferta_OptimaRPV!H812</f>
        <v>0</v>
      </c>
      <c r="I705" s="2482"/>
      <c r="J705" s="2482"/>
      <c r="K705" s="2482"/>
      <c r="L705" s="2484">
        <f>Oferta_OptimaRPV!L812</f>
        <v>0</v>
      </c>
      <c r="M705" s="2484"/>
      <c r="N705" s="2482">
        <f>Oferta_OptimaRPV!N812</f>
        <v>0</v>
      </c>
      <c r="O705" s="2482"/>
      <c r="P705" s="1170"/>
      <c r="Q705"/>
      <c r="R705"/>
      <c r="S705"/>
      <c r="T705"/>
      <c r="U705"/>
      <c r="V705"/>
      <c r="W705"/>
      <c r="X705"/>
      <c r="Y705"/>
    </row>
    <row r="706" spans="1:25" ht="49.9" customHeight="1">
      <c r="C706" s="2485">
        <f>Oferta_OptimaRPV!C813</f>
        <v>0</v>
      </c>
      <c r="D706" s="2484"/>
      <c r="E706" s="2484"/>
      <c r="F706" s="2484"/>
      <c r="G706" s="2484"/>
      <c r="H706" s="2482">
        <f>Oferta_OptimaRPV!H813</f>
        <v>0</v>
      </c>
      <c r="I706" s="2482"/>
      <c r="J706" s="2482"/>
      <c r="K706" s="2482"/>
      <c r="L706" s="2484">
        <f>Oferta_OptimaRPV!L813</f>
        <v>0</v>
      </c>
      <c r="M706" s="2484"/>
      <c r="N706" s="2482">
        <f>Oferta_OptimaRPV!N813</f>
        <v>0</v>
      </c>
      <c r="O706" s="2482"/>
      <c r="P706" s="1170"/>
      <c r="Q706"/>
      <c r="R706"/>
      <c r="S706"/>
      <c r="T706"/>
      <c r="U706"/>
      <c r="V706"/>
      <c r="W706"/>
      <c r="X706"/>
      <c r="Y706"/>
    </row>
    <row r="707" spans="1:25" ht="49.9" customHeight="1">
      <c r="C707" s="2485">
        <f>Oferta_OptimaRPV!C814</f>
        <v>0</v>
      </c>
      <c r="D707" s="2484"/>
      <c r="E707" s="2484"/>
      <c r="F707" s="2484"/>
      <c r="G707" s="2484"/>
      <c r="H707" s="2482">
        <f>Oferta_OptimaRPV!H814</f>
        <v>0</v>
      </c>
      <c r="I707" s="2482"/>
      <c r="J707" s="2482"/>
      <c r="K707" s="2482"/>
      <c r="L707" s="2484">
        <f>Oferta_OptimaRPV!L814</f>
        <v>0</v>
      </c>
      <c r="M707" s="2484"/>
      <c r="N707" s="2482">
        <f>Oferta_OptimaRPV!N814</f>
        <v>0</v>
      </c>
      <c r="O707" s="2483"/>
      <c r="P707"/>
      <c r="Q707"/>
      <c r="R707"/>
      <c r="S707"/>
      <c r="T707"/>
      <c r="U707"/>
      <c r="V707"/>
      <c r="W707"/>
      <c r="X707"/>
      <c r="Y707"/>
    </row>
    <row r="708" spans="1:25" ht="50.45" customHeight="1">
      <c r="A708" s="420"/>
      <c r="C708" s="2485">
        <f>Oferta_OptimaRPV!C815</f>
        <v>0</v>
      </c>
      <c r="D708" s="2484"/>
      <c r="E708" s="2484"/>
      <c r="F708" s="2484"/>
      <c r="G708" s="2484"/>
      <c r="H708" s="2482">
        <f>Oferta_OptimaRPV!H815</f>
        <v>0</v>
      </c>
      <c r="I708" s="2482"/>
      <c r="J708" s="2482"/>
      <c r="K708" s="2482"/>
      <c r="L708" s="2484">
        <f>Oferta_OptimaRPV!L815</f>
        <v>0</v>
      </c>
      <c r="M708" s="2484"/>
      <c r="N708" s="2482">
        <f>Oferta_OptimaRPV!N815</f>
        <v>0</v>
      </c>
      <c r="O708" s="2483"/>
      <c r="P708"/>
      <c r="Q708"/>
      <c r="R708"/>
      <c r="S708"/>
      <c r="T708"/>
      <c r="U708"/>
      <c r="V708"/>
      <c r="W708"/>
      <c r="X708"/>
      <c r="Y708"/>
    </row>
    <row r="709" spans="1:25" ht="27.6" customHeight="1">
      <c r="A709" s="420"/>
      <c r="B709" s="1165"/>
      <c r="C709" s="1165"/>
      <c r="D709" s="1165"/>
      <c r="E709" s="1165"/>
      <c r="F709" s="1165"/>
      <c r="G709" s="1165"/>
      <c r="H709" s="1165"/>
      <c r="I709" s="1165"/>
      <c r="J709" s="1165"/>
      <c r="K709" s="1165"/>
      <c r="L709" s="1165"/>
      <c r="M709" s="1165"/>
      <c r="N709" s="1160"/>
      <c r="O709" s="1169"/>
      <c r="P709" s="1165"/>
      <c r="Q709"/>
      <c r="R709"/>
      <c r="S709"/>
      <c r="T709"/>
      <c r="U709"/>
      <c r="V709" s="420"/>
    </row>
    <row r="710" spans="1:25" ht="23.25">
      <c r="A710" s="420"/>
      <c r="B710" s="1165"/>
      <c r="C710" s="1165"/>
      <c r="D710" s="1165"/>
      <c r="E710" s="1165"/>
      <c r="F710" s="1165"/>
      <c r="G710" s="1165"/>
      <c r="H710" s="1165"/>
      <c r="I710" s="1165"/>
      <c r="J710" s="1165"/>
      <c r="K710" s="1165"/>
      <c r="L710" s="2301" t="s">
        <v>295</v>
      </c>
      <c r="M710" s="2301"/>
      <c r="N710" s="2547">
        <f>Oferta_OptimaRPV!N817</f>
        <v>0</v>
      </c>
      <c r="O710" s="2548"/>
      <c r="Q710"/>
      <c r="R710"/>
      <c r="S710"/>
      <c r="T710"/>
      <c r="U710"/>
      <c r="V710" s="470"/>
    </row>
    <row r="711" spans="1:25" ht="16.149999999999999" customHeight="1">
      <c r="A711" s="420"/>
      <c r="B711" s="2251"/>
      <c r="C711" s="2251"/>
      <c r="D711" s="2251"/>
      <c r="E711" s="2251"/>
      <c r="F711" s="2251"/>
      <c r="G711" s="2251"/>
      <c r="H711" s="2251"/>
      <c r="I711" s="2251"/>
      <c r="J711" s="2251"/>
      <c r="K711" s="2251"/>
      <c r="L711" s="2251"/>
      <c r="M711" s="2251"/>
      <c r="N711" s="2251"/>
      <c r="O711" s="2251"/>
      <c r="P711" s="2251"/>
      <c r="Q711" s="2251"/>
      <c r="R711" s="2251"/>
      <c r="S711" s="2251"/>
      <c r="T711" s="2251"/>
      <c r="U711" s="2251"/>
      <c r="V711" s="420"/>
    </row>
    <row r="712" spans="1:25" ht="23.25">
      <c r="A712" s="420"/>
      <c r="B712" s="2252" t="s">
        <v>1090</v>
      </c>
      <c r="C712" s="2252"/>
      <c r="D712" s="2252"/>
      <c r="E712" s="2252"/>
      <c r="F712" s="2252"/>
      <c r="G712" s="2252"/>
      <c r="H712" s="2252"/>
      <c r="I712" s="2252"/>
      <c r="J712" s="2252"/>
      <c r="K712" s="2252"/>
      <c r="L712" s="1165"/>
      <c r="M712" s="1165"/>
      <c r="N712" s="1165"/>
      <c r="O712" s="1165"/>
      <c r="P712" s="1165"/>
      <c r="Q712" s="1165"/>
      <c r="R712" s="1165"/>
      <c r="S712" s="1165"/>
      <c r="T712" s="1165"/>
      <c r="U712" s="1165"/>
      <c r="V712" s="420"/>
    </row>
    <row r="713" spans="1:25" ht="23.25">
      <c r="A713" s="420"/>
      <c r="B713" s="2260" t="s">
        <v>1131</v>
      </c>
      <c r="C713" s="2260"/>
      <c r="D713" s="2260"/>
      <c r="E713" s="2260"/>
      <c r="F713" s="2260"/>
      <c r="G713" s="2260"/>
      <c r="H713" s="2260"/>
      <c r="I713" s="2260"/>
      <c r="J713" s="2260"/>
      <c r="K713" s="2260"/>
      <c r="L713" s="2260"/>
      <c r="M713" s="2260"/>
      <c r="N713" s="2260"/>
      <c r="O713" s="2260"/>
      <c r="P713" s="2260"/>
      <c r="Q713" s="2260"/>
      <c r="R713" s="2260"/>
      <c r="S713" s="2260"/>
      <c r="T713" s="2260"/>
      <c r="U713" s="2260"/>
      <c r="V713" s="420"/>
    </row>
    <row r="714" spans="1:25" ht="23.25">
      <c r="A714" s="420"/>
      <c r="B714" s="1166"/>
      <c r="C714" s="1166"/>
      <c r="D714" s="1166"/>
      <c r="E714" s="1166"/>
      <c r="F714" s="1166"/>
      <c r="G714" s="1166"/>
      <c r="H714" s="1166"/>
      <c r="I714" s="1166"/>
      <c r="J714" s="1166"/>
      <c r="K714" s="1166"/>
      <c r="L714" s="1166"/>
      <c r="M714" s="1166"/>
      <c r="N714" s="1166"/>
      <c r="O714" s="1166"/>
      <c r="P714" s="1166"/>
      <c r="Q714" s="1166"/>
      <c r="R714" s="1166"/>
      <c r="S714" s="1166"/>
      <c r="T714" s="1166"/>
      <c r="U714" s="1166"/>
      <c r="V714" s="420"/>
    </row>
    <row r="715" spans="1:25" ht="22.15" customHeight="1">
      <c r="A715" s="420"/>
      <c r="B715" s="1166"/>
      <c r="C715" s="2527" t="s">
        <v>1090</v>
      </c>
      <c r="D715" s="2527"/>
      <c r="E715" s="2527"/>
      <c r="F715" s="2527"/>
      <c r="G715" s="2527"/>
      <c r="H715" s="2527"/>
      <c r="I715" s="2527"/>
      <c r="J715" s="2527"/>
      <c r="K715" s="2527"/>
      <c r="L715" s="2527"/>
      <c r="M715" s="2527"/>
      <c r="N715" s="2527"/>
      <c r="O715" s="2527"/>
      <c r="P715" s="2527"/>
      <c r="Q715" s="2527"/>
      <c r="R715" s="2527"/>
      <c r="S715" s="2527"/>
      <c r="T715" s="2528"/>
      <c r="U715" s="1166"/>
      <c r="V715" s="420"/>
    </row>
    <row r="716" spans="1:25" ht="97.15" customHeight="1">
      <c r="A716" s="420"/>
      <c r="B716" s="1166"/>
      <c r="C716" s="2529" t="s">
        <v>1132</v>
      </c>
      <c r="D716" s="2530"/>
      <c r="E716" s="2530"/>
      <c r="F716" s="2530"/>
      <c r="G716" s="2530"/>
      <c r="H716" s="2530"/>
      <c r="I716" s="2530"/>
      <c r="J716" s="2530"/>
      <c r="K716" s="2530"/>
      <c r="L716" s="2530"/>
      <c r="M716" s="2530"/>
      <c r="N716" s="2530"/>
      <c r="O716" s="2530"/>
      <c r="P716" s="2530"/>
      <c r="Q716" s="2530"/>
      <c r="R716" s="2530"/>
      <c r="S716" s="2530"/>
      <c r="T716" s="2531"/>
      <c r="U716" s="1172"/>
      <c r="V716" s="420"/>
    </row>
    <row r="717" spans="1:25" ht="26.25">
      <c r="A717" s="420"/>
      <c r="B717" s="1166"/>
      <c r="C717" s="2532" t="s">
        <v>1860</v>
      </c>
      <c r="D717" s="2532"/>
      <c r="E717" s="2532"/>
      <c r="F717" s="2532"/>
      <c r="G717" s="2532"/>
      <c r="H717" s="2532"/>
      <c r="I717" s="2532"/>
      <c r="J717" s="2532"/>
      <c r="K717" s="2532"/>
      <c r="L717" s="2532"/>
      <c r="M717" s="2532"/>
      <c r="N717" s="2532"/>
      <c r="O717" s="2532"/>
      <c r="P717" s="2532"/>
      <c r="Q717" s="2533"/>
      <c r="R717" s="1167">
        <v>10</v>
      </c>
      <c r="S717" s="498"/>
      <c r="T717" s="498"/>
      <c r="U717" s="1166"/>
      <c r="V717" s="420"/>
    </row>
    <row r="718" spans="1:25" ht="23.25">
      <c r="A718" s="420"/>
      <c r="B718" s="1166"/>
      <c r="C718" s="1166"/>
      <c r="D718" s="1166"/>
      <c r="E718" s="1166"/>
      <c r="F718" s="1166"/>
      <c r="G718" s="1166"/>
      <c r="H718" s="1166"/>
      <c r="I718" s="1166"/>
      <c r="J718" s="1166"/>
      <c r="K718" s="1166"/>
      <c r="L718" s="1166"/>
      <c r="M718" s="1166"/>
      <c r="N718" s="1166"/>
      <c r="O718" s="1166"/>
      <c r="P718" s="484"/>
      <c r="Q718" s="484"/>
      <c r="R718" s="1166"/>
      <c r="S718" s="1166"/>
      <c r="T718" s="1166"/>
      <c r="U718" s="1166"/>
      <c r="V718" s="420"/>
    </row>
    <row r="719" spans="1:25" ht="69" customHeight="1">
      <c r="A719" s="420"/>
      <c r="B719" s="420"/>
      <c r="C719" s="2534" t="s">
        <v>1087</v>
      </c>
      <c r="D719" s="2486"/>
      <c r="E719" s="2255" t="s">
        <v>1088</v>
      </c>
      <c r="F719" s="2486"/>
      <c r="G719" s="2256"/>
      <c r="H719" s="2255" t="s">
        <v>217</v>
      </c>
      <c r="I719" s="2256"/>
      <c r="J719" s="2486" t="s">
        <v>293</v>
      </c>
      <c r="K719" s="2256"/>
      <c r="L719" s="2255" t="s">
        <v>1836</v>
      </c>
      <c r="M719" s="2256"/>
      <c r="N719" s="2254" t="s">
        <v>1837</v>
      </c>
      <c r="O719" s="2255"/>
      <c r="P719" s="1163" t="s">
        <v>1861</v>
      </c>
      <c r="Q719" s="1163" t="s">
        <v>1862</v>
      </c>
      <c r="R719" s="1163" t="s">
        <v>1845</v>
      </c>
      <c r="S719" s="1163" t="s">
        <v>1846</v>
      </c>
      <c r="T719" s="1164" t="s">
        <v>1104</v>
      </c>
      <c r="U719" s="420"/>
      <c r="V719" s="420"/>
    </row>
    <row r="720" spans="1:25" ht="20.45" customHeight="1">
      <c r="A720" s="420"/>
      <c r="B720" s="420"/>
      <c r="C720" s="2485">
        <f>Oferta_OptimaRPV!C826</f>
        <v>0</v>
      </c>
      <c r="D720" s="2484"/>
      <c r="E720" s="2482" t="str">
        <f>Oferta_OptimaRPV!E826</f>
        <v>Acceso web, API y email</v>
      </c>
      <c r="F720" s="2482"/>
      <c r="G720" s="2482"/>
      <c r="H720" s="2482">
        <f>Oferta_OptimaRPV!H826</f>
        <v>0</v>
      </c>
      <c r="I720" s="2482"/>
      <c r="J720" s="2482">
        <f>Oferta_OptimaRPV!J826</f>
        <v>15</v>
      </c>
      <c r="K720" s="2482"/>
      <c r="L720" s="2482">
        <f>Oferta_OptimaRPV!L826</f>
        <v>0</v>
      </c>
      <c r="M720" s="2482"/>
      <c r="N720" s="2482">
        <f>Oferta_OptimaRPV!N826</f>
        <v>0</v>
      </c>
      <c r="O720" s="2482"/>
      <c r="P720" s="1824">
        <f>Oferta_OptimaRPV!P826</f>
        <v>0</v>
      </c>
      <c r="Q720" s="1824">
        <f>Oferta_OptimaRPV!Q826</f>
        <v>0</v>
      </c>
      <c r="R720" s="1824">
        <f>Oferta_OptimaRPV!R826</f>
        <v>0</v>
      </c>
      <c r="S720" s="1824">
        <f>Oferta_OptimaRPV!S826</f>
        <v>0</v>
      </c>
      <c r="T720" s="1799">
        <f>Oferta_OptimaRPV!T826</f>
        <v>0</v>
      </c>
      <c r="U720" s="729"/>
      <c r="V720" s="420"/>
    </row>
    <row r="721" spans="1:22" ht="26.25" customHeight="1">
      <c r="P721" s="1800">
        <f>Oferta_OptimaRPV!P827</f>
        <v>0</v>
      </c>
      <c r="Q721" s="1801">
        <f>Oferta_OptimaRPV!Q827</f>
        <v>0</v>
      </c>
      <c r="R721" s="1802">
        <f>Oferta_OptimaRPV!R827</f>
        <v>0</v>
      </c>
      <c r="S721" s="1801">
        <f>Oferta_OptimaRPV!S827</f>
        <v>0</v>
      </c>
      <c r="T721" s="1803"/>
    </row>
    <row r="722" spans="1:22" ht="57.75" customHeight="1">
      <c r="B722" s="522"/>
      <c r="C722" s="585"/>
      <c r="D722" s="584"/>
      <c r="E722" s="584"/>
      <c r="F722" s="584"/>
      <c r="G722" s="586"/>
      <c r="H722" s="586"/>
      <c r="I722" s="586"/>
      <c r="J722" s="586"/>
      <c r="K722" s="587"/>
      <c r="L722" s="587"/>
      <c r="M722" s="587"/>
      <c r="N722" s="587"/>
      <c r="O722" s="587"/>
      <c r="P722" s="587"/>
      <c r="Q722" s="561"/>
      <c r="R722" s="1173"/>
      <c r="S722" s="441"/>
      <c r="T722" s="441"/>
      <c r="U722" s="588"/>
      <c r="V722" s="441"/>
    </row>
    <row r="723" spans="1:22" ht="15.75">
      <c r="A723" s="420"/>
      <c r="B723" s="420"/>
      <c r="C723" s="420"/>
      <c r="D723" s="420"/>
      <c r="E723" s="420"/>
      <c r="F723" s="420"/>
      <c r="G723" s="420"/>
      <c r="H723" s="420"/>
      <c r="I723" s="420"/>
      <c r="J723" s="420"/>
      <c r="K723" s="420"/>
      <c r="L723" s="420"/>
      <c r="M723" s="476" t="s">
        <v>1205</v>
      </c>
      <c r="N723" s="420"/>
      <c r="O723" s="420"/>
      <c r="P723" s="420"/>
      <c r="Q723" s="420"/>
      <c r="R723" s="477" t="s">
        <v>692</v>
      </c>
      <c r="S723" s="478" t="str">
        <f>$E$29</f>
        <v>ILF5_90FCOR_B114CAGR43006</v>
      </c>
      <c r="T723" s="420"/>
      <c r="U723" s="420"/>
      <c r="V723" s="420"/>
    </row>
    <row r="724" spans="1:22">
      <c r="H724" s="436" t="s">
        <v>690</v>
      </c>
      <c r="I724" s="420"/>
      <c r="K724" s="420"/>
      <c r="L724" s="437" t="str">
        <f>$B$11</f>
        <v>INMOBILIARIA SERVIGESTION</v>
      </c>
    </row>
    <row r="726" spans="1:22" ht="30">
      <c r="B726" s="2395" t="s">
        <v>461</v>
      </c>
      <c r="C726" s="2395"/>
      <c r="D726" s="2395"/>
      <c r="E726" s="2395"/>
      <c r="F726" s="2395"/>
      <c r="G726" s="2395"/>
      <c r="H726" s="2395"/>
      <c r="I726" s="2395"/>
      <c r="J726" s="2395"/>
      <c r="K726" s="2395"/>
      <c r="L726" s="2395"/>
      <c r="M726" s="2395"/>
      <c r="N726" s="2395"/>
      <c r="O726" s="2395"/>
      <c r="P726" s="2395"/>
      <c r="Q726" s="2395"/>
      <c r="R726" s="2395"/>
      <c r="S726" s="2395"/>
      <c r="T726" s="2395"/>
      <c r="U726" s="2395"/>
    </row>
    <row r="727" spans="1:22" ht="22.9" customHeight="1">
      <c r="B727" s="2252" t="s">
        <v>674</v>
      </c>
      <c r="C727" s="2252"/>
      <c r="D727" s="2252"/>
      <c r="E727" s="2252"/>
      <c r="F727" s="2252"/>
      <c r="G727" s="2252"/>
      <c r="H727" s="2252"/>
      <c r="I727" s="2252"/>
      <c r="J727" s="2252"/>
      <c r="K727" s="2252"/>
      <c r="L727" s="2252"/>
      <c r="M727" s="2252"/>
      <c r="N727" s="2252"/>
      <c r="O727" s="2252"/>
      <c r="P727" s="2252"/>
      <c r="Q727" s="2252"/>
      <c r="R727" s="2252"/>
      <c r="S727" s="2252"/>
      <c r="T727" s="2252"/>
      <c r="U727" s="2252"/>
    </row>
    <row r="729" spans="1:22" s="522" customFormat="1" ht="21" customHeight="1">
      <c r="B729" s="2474" t="s">
        <v>660</v>
      </c>
      <c r="C729" s="2474"/>
      <c r="D729" s="2474"/>
      <c r="E729" s="2474"/>
      <c r="F729" s="2474"/>
      <c r="G729" s="2474"/>
      <c r="H729" s="2474"/>
      <c r="I729" s="2474"/>
      <c r="J729" s="2474"/>
      <c r="K729" s="2474"/>
      <c r="L729" s="2474"/>
      <c r="M729" s="2474"/>
      <c r="N729" s="2474"/>
      <c r="O729" s="2474"/>
      <c r="P729" s="2474"/>
      <c r="Q729" s="2474"/>
      <c r="R729" s="2474"/>
      <c r="S729" s="2474"/>
      <c r="T729" s="2474"/>
      <c r="U729" s="2474"/>
    </row>
    <row r="730" spans="1:22" ht="30.6" customHeight="1">
      <c r="B730" s="2491" t="s">
        <v>822</v>
      </c>
      <c r="C730" s="2491"/>
      <c r="D730" s="2491"/>
      <c r="E730" s="2491"/>
      <c r="F730" s="2491"/>
      <c r="G730" s="2491"/>
      <c r="H730" s="2491"/>
      <c r="I730" s="2491"/>
      <c r="J730" s="2491"/>
      <c r="K730" s="2491"/>
      <c r="L730" s="2491"/>
      <c r="M730" s="2491"/>
      <c r="N730" s="2491"/>
      <c r="O730" s="2491"/>
      <c r="P730" s="2491"/>
      <c r="Q730" s="2491"/>
      <c r="R730" s="2491"/>
      <c r="S730" s="2491"/>
      <c r="T730" s="2491"/>
      <c r="U730" s="2491"/>
    </row>
    <row r="731" spans="1:22" ht="38.25" customHeight="1">
      <c r="B731" s="2489" t="s">
        <v>1930</v>
      </c>
      <c r="C731" s="2489"/>
      <c r="D731" s="2489"/>
      <c r="E731" s="2489"/>
      <c r="F731" s="2489"/>
      <c r="G731" s="2489"/>
      <c r="H731" s="2489"/>
      <c r="I731" s="2489"/>
      <c r="J731" s="2489"/>
      <c r="K731" s="2489"/>
      <c r="L731" s="2489"/>
      <c r="M731" s="2489"/>
      <c r="N731" s="2489"/>
      <c r="O731" s="2489"/>
      <c r="P731" s="2489"/>
      <c r="Q731" s="2489"/>
      <c r="R731" s="2489"/>
      <c r="S731" s="2489"/>
      <c r="T731" s="2489"/>
      <c r="U731" s="2489"/>
    </row>
    <row r="732" spans="1:22" ht="31.5" customHeight="1">
      <c r="B732" s="2493" t="s">
        <v>1963</v>
      </c>
      <c r="C732" s="2493"/>
      <c r="D732" s="2493"/>
      <c r="E732" s="2493"/>
      <c r="F732" s="2493"/>
      <c r="G732" s="2493"/>
      <c r="H732" s="2493"/>
      <c r="I732" s="2493"/>
      <c r="J732" s="2493"/>
      <c r="K732" s="2493"/>
      <c r="L732" s="2493"/>
      <c r="M732" s="2493"/>
      <c r="N732" s="2493"/>
      <c r="O732" s="2493"/>
      <c r="P732" s="2493"/>
      <c r="Q732" s="2493"/>
      <c r="R732" s="2493"/>
      <c r="S732" s="2493"/>
      <c r="T732" s="2493"/>
      <c r="U732" s="2493"/>
    </row>
    <row r="733" spans="1:22" ht="60.75" customHeight="1">
      <c r="B733" s="2489" t="s">
        <v>1964</v>
      </c>
      <c r="C733" s="2489"/>
      <c r="D733" s="2489"/>
      <c r="E733" s="2489"/>
      <c r="F733" s="2489"/>
      <c r="G733" s="2489"/>
      <c r="H733" s="2489"/>
      <c r="I733" s="2489"/>
      <c r="J733" s="2489"/>
      <c r="K733" s="2489"/>
      <c r="L733" s="2489"/>
      <c r="M733" s="2489"/>
      <c r="N733" s="2489"/>
      <c r="O733" s="2489"/>
      <c r="P733" s="2489"/>
      <c r="Q733" s="2489"/>
      <c r="R733" s="2489"/>
      <c r="S733" s="2489"/>
      <c r="T733" s="2489"/>
      <c r="U733" s="2489"/>
    </row>
    <row r="734" spans="1:22" ht="17.45" customHeight="1">
      <c r="B734" s="2493" t="s">
        <v>1931</v>
      </c>
      <c r="C734" s="2493"/>
      <c r="D734" s="2493"/>
      <c r="E734" s="2493"/>
      <c r="F734" s="2493"/>
      <c r="G734" s="2493"/>
      <c r="H734" s="2493"/>
      <c r="I734" s="2493"/>
      <c r="J734" s="2493"/>
      <c r="K734" s="2493"/>
      <c r="L734" s="2493"/>
      <c r="M734" s="2493"/>
      <c r="N734" s="2493"/>
      <c r="O734" s="2493"/>
      <c r="P734" s="2493"/>
      <c r="Q734" s="2493"/>
      <c r="R734" s="2493"/>
      <c r="S734" s="2493"/>
      <c r="T734" s="2493"/>
      <c r="U734" s="2493"/>
    </row>
    <row r="735" spans="1:22" ht="17.45" customHeight="1">
      <c r="B735" s="2490" t="s">
        <v>652</v>
      </c>
      <c r="C735" s="2490"/>
      <c r="D735" s="2490"/>
      <c r="E735" s="2490"/>
      <c r="F735" s="2490"/>
      <c r="G735" s="2490"/>
      <c r="H735" s="2490"/>
      <c r="I735" s="2490"/>
      <c r="J735" s="2490"/>
      <c r="K735" s="2490"/>
      <c r="L735" s="2490"/>
      <c r="M735" s="2490"/>
      <c r="N735" s="2490"/>
      <c r="O735" s="2490"/>
      <c r="P735" s="2490"/>
      <c r="Q735" s="2490"/>
      <c r="R735" s="2490"/>
      <c r="S735" s="2490"/>
      <c r="T735" s="2490"/>
      <c r="U735" s="2490"/>
    </row>
    <row r="736" spans="1:22" ht="17.45" customHeight="1">
      <c r="B736" s="2491" t="s">
        <v>653</v>
      </c>
      <c r="C736" s="2491"/>
      <c r="D736" s="2491"/>
      <c r="E736" s="2491"/>
      <c r="F736" s="2491"/>
      <c r="G736" s="2491"/>
      <c r="H736" s="2491"/>
      <c r="I736" s="2491"/>
      <c r="J736" s="2491"/>
      <c r="K736" s="2491"/>
      <c r="L736" s="2491"/>
      <c r="M736" s="2491"/>
      <c r="N736" s="2491"/>
      <c r="O736" s="2491"/>
      <c r="P736" s="2491"/>
      <c r="Q736" s="2491"/>
      <c r="R736" s="2491"/>
      <c r="S736" s="2491"/>
      <c r="T736" s="2491"/>
      <c r="U736" s="2491"/>
    </row>
    <row r="737" spans="1:22" ht="17.45" customHeight="1">
      <c r="B737" s="2490" t="s">
        <v>654</v>
      </c>
      <c r="C737" s="2490"/>
      <c r="D737" s="2490"/>
      <c r="E737" s="2490"/>
      <c r="F737" s="2490"/>
      <c r="G737" s="2490"/>
      <c r="H737" s="2490"/>
      <c r="I737" s="2490"/>
      <c r="J737" s="2490"/>
      <c r="K737" s="2490"/>
      <c r="L737" s="2490"/>
      <c r="M737" s="2490"/>
      <c r="N737" s="2490"/>
      <c r="O737" s="2490"/>
      <c r="P737" s="2490"/>
      <c r="Q737" s="2490"/>
      <c r="R737" s="2490"/>
      <c r="S737" s="2490"/>
      <c r="T737" s="2490"/>
      <c r="U737" s="2490"/>
    </row>
    <row r="738" spans="1:22" ht="17.45" customHeight="1">
      <c r="B738" s="2491" t="s">
        <v>672</v>
      </c>
      <c r="C738" s="2491"/>
      <c r="D738" s="2491"/>
      <c r="E738" s="2491"/>
      <c r="F738" s="2491"/>
      <c r="G738" s="2491"/>
      <c r="H738" s="2491"/>
      <c r="I738" s="2491"/>
      <c r="J738" s="2491"/>
      <c r="K738" s="2491"/>
      <c r="L738" s="2491"/>
      <c r="M738" s="2491"/>
      <c r="N738" s="2491"/>
      <c r="O738" s="2491"/>
      <c r="P738" s="2491"/>
      <c r="Q738" s="2491"/>
      <c r="R738" s="2491"/>
      <c r="S738" s="2491"/>
      <c r="T738" s="2491"/>
      <c r="U738" s="2491"/>
    </row>
    <row r="739" spans="1:22" s="522" customFormat="1" ht="17.45" customHeight="1">
      <c r="B739" s="2490" t="s">
        <v>689</v>
      </c>
      <c r="C739" s="2490"/>
      <c r="D739" s="2490"/>
      <c r="E739" s="2490"/>
      <c r="F739" s="2490"/>
      <c r="G739" s="2490"/>
      <c r="H739" s="2490"/>
      <c r="I739" s="2490"/>
      <c r="J739" s="2490"/>
      <c r="K739" s="2490"/>
      <c r="L739" s="2490"/>
      <c r="M739" s="2490"/>
      <c r="N739" s="2490"/>
      <c r="O739" s="2490"/>
      <c r="P739" s="2490"/>
      <c r="Q739" s="2490"/>
      <c r="R739" s="2490"/>
      <c r="S739" s="2490"/>
      <c r="T739" s="2490"/>
      <c r="U739" s="2490"/>
    </row>
    <row r="740" spans="1:22" s="522" customFormat="1" ht="17.45" customHeight="1">
      <c r="B740" s="2491" t="s">
        <v>655</v>
      </c>
      <c r="C740" s="2491"/>
      <c r="D740" s="2491"/>
      <c r="E740" s="2491"/>
      <c r="F740" s="2491"/>
      <c r="G740" s="2491"/>
      <c r="H740" s="2491"/>
      <c r="I740" s="2491"/>
      <c r="J740" s="2491"/>
      <c r="K740" s="2491"/>
      <c r="L740" s="2491"/>
      <c r="M740" s="2491"/>
      <c r="N740" s="2491"/>
      <c r="O740" s="2491"/>
      <c r="P740" s="2491"/>
      <c r="Q740" s="2491"/>
      <c r="R740" s="2491"/>
      <c r="S740" s="2491"/>
      <c r="T740" s="2491"/>
      <c r="U740" s="2491"/>
    </row>
    <row r="741" spans="1:22" s="522" customFormat="1" ht="17.45" customHeight="1">
      <c r="B741" s="2490" t="s">
        <v>656</v>
      </c>
      <c r="C741" s="2490"/>
      <c r="D741" s="2490"/>
      <c r="E741" s="2490"/>
      <c r="F741" s="2490"/>
      <c r="G741" s="2490"/>
      <c r="H741" s="2490"/>
      <c r="I741" s="2490"/>
      <c r="J741" s="2490"/>
      <c r="K741" s="2490"/>
      <c r="L741" s="2490"/>
      <c r="M741" s="2490"/>
      <c r="N741" s="2490"/>
      <c r="O741" s="2490"/>
      <c r="P741" s="2490"/>
      <c r="Q741" s="2490"/>
      <c r="R741" s="2490"/>
      <c r="S741" s="2490"/>
      <c r="T741" s="2490"/>
      <c r="U741" s="2490"/>
    </row>
    <row r="742" spans="1:22" s="522" customFormat="1" ht="67.150000000000006" customHeight="1">
      <c r="B742" s="2494" t="s">
        <v>658</v>
      </c>
      <c r="C742" s="2494"/>
      <c r="D742" s="2494"/>
      <c r="E742" s="2494"/>
      <c r="F742" s="2494"/>
      <c r="G742" s="2494"/>
      <c r="H742" s="2494"/>
      <c r="I742" s="2494"/>
      <c r="J742" s="2494"/>
      <c r="K742" s="2494"/>
      <c r="L742" s="2494"/>
      <c r="M742" s="2494"/>
      <c r="N742" s="2494"/>
      <c r="O742" s="2494"/>
      <c r="P742" s="2494"/>
      <c r="Q742" s="2494"/>
      <c r="R742" s="2494"/>
      <c r="S742" s="2494"/>
      <c r="T742" s="2494"/>
      <c r="U742" s="2494"/>
    </row>
    <row r="743" spans="1:22" s="522" customFormat="1" ht="24.6" customHeight="1">
      <c r="B743" s="2487" t="s">
        <v>657</v>
      </c>
      <c r="C743" s="2487"/>
      <c r="D743" s="2487"/>
      <c r="E743" s="2487"/>
      <c r="F743" s="2487"/>
      <c r="G743" s="2487"/>
      <c r="H743" s="2487"/>
      <c r="I743" s="2487"/>
      <c r="J743" s="2487"/>
      <c r="K743" s="2487"/>
      <c r="L743" s="2487"/>
      <c r="M743" s="2487"/>
      <c r="N743" s="2487"/>
      <c r="O743" s="2487"/>
      <c r="P743" s="2487"/>
      <c r="Q743" s="2487"/>
      <c r="R743" s="2487"/>
      <c r="S743" s="2487"/>
      <c r="T743" s="2487"/>
      <c r="U743" s="2487"/>
    </row>
    <row r="744" spans="1:22" s="522" customFormat="1" ht="21" customHeight="1">
      <c r="B744" s="2494" t="s">
        <v>758</v>
      </c>
      <c r="C744" s="2494"/>
      <c r="D744" s="2494"/>
      <c r="E744" s="2494"/>
      <c r="F744" s="2494"/>
      <c r="G744" s="2494"/>
      <c r="H744" s="2494"/>
      <c r="I744" s="2494"/>
      <c r="J744" s="2494"/>
      <c r="K744" s="2494"/>
      <c r="L744" s="2494"/>
      <c r="M744" s="2494"/>
      <c r="N744" s="2494"/>
      <c r="O744" s="2494"/>
      <c r="P744" s="2494"/>
      <c r="Q744" s="2494"/>
      <c r="R744" s="2494"/>
      <c r="S744" s="2494"/>
      <c r="T744" s="2494"/>
      <c r="U744" s="2494"/>
    </row>
    <row r="745" spans="1:22" s="522" customFormat="1" ht="52.15" customHeight="1">
      <c r="B745" s="2487" t="s">
        <v>1452</v>
      </c>
      <c r="C745" s="2487"/>
      <c r="D745" s="2487"/>
      <c r="E745" s="2487"/>
      <c r="F745" s="2487"/>
      <c r="G745" s="2487"/>
      <c r="H745" s="2487"/>
      <c r="I745" s="2487"/>
      <c r="J745" s="2487"/>
      <c r="K745" s="2487"/>
      <c r="L745" s="2487"/>
      <c r="M745" s="2487"/>
      <c r="N745" s="2487"/>
      <c r="O745" s="2487"/>
      <c r="P745" s="2487"/>
      <c r="Q745" s="2487"/>
      <c r="R745" s="2487"/>
      <c r="S745" s="2487"/>
      <c r="T745" s="2487"/>
      <c r="U745" s="2487"/>
    </row>
    <row r="746" spans="1:22" s="522" customFormat="1" ht="51.6" customHeight="1">
      <c r="B746" s="2494" t="s">
        <v>1453</v>
      </c>
      <c r="C746" s="2494"/>
      <c r="D746" s="2494"/>
      <c r="E746" s="2494"/>
      <c r="F746" s="2494"/>
      <c r="G746" s="2494"/>
      <c r="H746" s="2494"/>
      <c r="I746" s="2494"/>
      <c r="J746" s="2494"/>
      <c r="K746" s="2494"/>
      <c r="L746" s="2494"/>
      <c r="M746" s="2494"/>
      <c r="N746" s="2494"/>
      <c r="O746" s="2494"/>
      <c r="P746" s="2494"/>
      <c r="Q746" s="2494"/>
      <c r="R746" s="2494"/>
      <c r="S746" s="2494"/>
      <c r="T746" s="2494"/>
      <c r="U746" s="2494"/>
    </row>
    <row r="747" spans="1:22" s="522" customFormat="1" ht="17.45" customHeight="1">
      <c r="B747" s="2487" t="s">
        <v>1089</v>
      </c>
      <c r="C747" s="2487"/>
      <c r="D747" s="2487"/>
      <c r="E747" s="2487"/>
      <c r="F747" s="2487"/>
      <c r="G747" s="2487"/>
      <c r="H747" s="2487"/>
      <c r="I747" s="2487"/>
      <c r="J747" s="2487"/>
      <c r="K747" s="2487"/>
      <c r="L747" s="2487"/>
      <c r="M747" s="2487"/>
      <c r="N747" s="2487"/>
      <c r="O747" s="2487"/>
      <c r="P747" s="2487"/>
      <c r="Q747" s="2487"/>
      <c r="R747" s="2487"/>
      <c r="S747" s="2487"/>
      <c r="T747" s="2487"/>
      <c r="U747" s="2487"/>
    </row>
    <row r="748" spans="1:22" s="522" customFormat="1" ht="21" customHeight="1">
      <c r="B748" s="2474" t="s">
        <v>659</v>
      </c>
      <c r="C748" s="2474"/>
      <c r="D748" s="2474"/>
      <c r="E748" s="2474"/>
      <c r="F748" s="2474"/>
      <c r="G748" s="2474"/>
      <c r="H748" s="2474"/>
      <c r="I748" s="2474"/>
      <c r="J748" s="2474"/>
      <c r="K748" s="2474"/>
      <c r="L748" s="2474"/>
      <c r="M748" s="2474"/>
      <c r="N748" s="2474"/>
      <c r="O748" s="2474"/>
      <c r="P748" s="2474"/>
      <c r="Q748" s="2474"/>
      <c r="R748" s="2474"/>
      <c r="S748" s="2474"/>
      <c r="T748" s="2474"/>
      <c r="U748" s="2474"/>
    </row>
    <row r="749" spans="1:22" s="522" customFormat="1" ht="35.25" customHeight="1">
      <c r="B749" s="2627" t="s">
        <v>1932</v>
      </c>
      <c r="C749" s="2627"/>
      <c r="D749" s="2627"/>
      <c r="E749" s="2627"/>
      <c r="F749" s="2627"/>
      <c r="G749" s="2627"/>
      <c r="H749" s="2627"/>
      <c r="I749" s="2627"/>
      <c r="J749" s="2627"/>
      <c r="K749" s="2627"/>
      <c r="L749" s="2627"/>
      <c r="M749" s="2627"/>
      <c r="N749" s="2627"/>
      <c r="O749" s="2627"/>
      <c r="P749" s="2627"/>
      <c r="Q749" s="2627"/>
      <c r="R749" s="2627"/>
      <c r="S749" s="2627"/>
      <c r="T749" s="2627"/>
      <c r="U749" s="2627"/>
    </row>
    <row r="750" spans="1:22" s="522" customFormat="1" ht="33.6" customHeight="1">
      <c r="B750" s="2627" t="s">
        <v>1933</v>
      </c>
      <c r="C750" s="2627"/>
      <c r="D750" s="2627"/>
      <c r="E750" s="2627"/>
      <c r="F750" s="2627"/>
      <c r="G750" s="2627"/>
      <c r="H750" s="2627"/>
      <c r="I750" s="2627"/>
      <c r="J750" s="2627"/>
      <c r="K750" s="2627"/>
      <c r="L750" s="2627"/>
      <c r="M750" s="2627"/>
      <c r="N750" s="2627"/>
      <c r="O750" s="2627"/>
      <c r="P750" s="2627"/>
      <c r="Q750" s="2627"/>
      <c r="R750" s="2627"/>
      <c r="S750" s="2627"/>
      <c r="T750" s="2627"/>
      <c r="U750" s="2627"/>
    </row>
    <row r="751" spans="1:22" s="522" customFormat="1" ht="62.25" customHeight="1">
      <c r="B751" s="2493" t="s">
        <v>2050</v>
      </c>
      <c r="C751" s="2493"/>
      <c r="D751" s="2493"/>
      <c r="E751" s="2493"/>
      <c r="F751" s="2493"/>
      <c r="G751" s="2493"/>
      <c r="H751" s="2493"/>
      <c r="I751" s="2493"/>
      <c r="J751" s="2493"/>
      <c r="K751" s="2493"/>
      <c r="L751" s="2493"/>
      <c r="M751" s="2493"/>
      <c r="N751" s="2493"/>
      <c r="O751" s="2493"/>
      <c r="P751" s="2493"/>
      <c r="Q751" s="2493"/>
      <c r="R751" s="2493"/>
      <c r="S751" s="2493"/>
      <c r="T751" s="2493"/>
      <c r="U751" s="2493"/>
      <c r="V751" s="429"/>
    </row>
    <row r="752" spans="1:22" s="522" customFormat="1" ht="46.5" customHeight="1">
      <c r="A752" s="429"/>
      <c r="B752" s="2489" t="s">
        <v>2051</v>
      </c>
      <c r="C752" s="2489"/>
      <c r="D752" s="2489"/>
      <c r="E752" s="2489"/>
      <c r="F752" s="2489"/>
      <c r="G752" s="2489"/>
      <c r="H752" s="2489"/>
      <c r="I752" s="2489"/>
      <c r="J752" s="2489"/>
      <c r="K752" s="2489"/>
      <c r="L752" s="2489"/>
      <c r="M752" s="2489"/>
      <c r="N752" s="2489"/>
      <c r="O752" s="2489"/>
      <c r="P752" s="2489"/>
      <c r="Q752" s="2489"/>
      <c r="R752" s="2489"/>
      <c r="S752" s="2489"/>
      <c r="T752" s="2489"/>
      <c r="U752" s="2489"/>
      <c r="V752" s="429"/>
    </row>
    <row r="753" spans="1:22" s="429" customFormat="1" ht="33" customHeight="1">
      <c r="B753" s="2493" t="s">
        <v>2052</v>
      </c>
      <c r="C753" s="2493"/>
      <c r="D753" s="2493"/>
      <c r="E753" s="2493"/>
      <c r="F753" s="2493"/>
      <c r="G753" s="2493"/>
      <c r="H753" s="2493"/>
      <c r="I753" s="2493"/>
      <c r="J753" s="2493"/>
      <c r="K753" s="2493"/>
      <c r="L753" s="2493"/>
      <c r="M753" s="2493"/>
      <c r="N753" s="2493"/>
      <c r="O753" s="2493"/>
      <c r="P753" s="2493"/>
      <c r="Q753" s="2493"/>
      <c r="R753" s="2493"/>
      <c r="S753" s="2493"/>
      <c r="T753" s="2493"/>
      <c r="U753" s="2493"/>
    </row>
    <row r="754" spans="1:22" s="673" customFormat="1" ht="29.25" customHeight="1">
      <c r="A754" s="429"/>
      <c r="B754" s="2537" t="s">
        <v>2053</v>
      </c>
      <c r="C754" s="2537"/>
      <c r="D754" s="2537"/>
      <c r="E754" s="2537"/>
      <c r="F754" s="2537"/>
      <c r="G754" s="2537"/>
      <c r="H754" s="2537"/>
      <c r="I754" s="2537"/>
      <c r="J754" s="2537"/>
      <c r="K754" s="2537"/>
      <c r="L754" s="2537"/>
      <c r="M754" s="2537"/>
      <c r="N754" s="2537"/>
      <c r="O754" s="2537"/>
      <c r="P754" s="2537"/>
      <c r="Q754" s="2537"/>
      <c r="R754" s="2537"/>
      <c r="S754" s="2537"/>
      <c r="T754" s="2537"/>
      <c r="U754" s="2537"/>
      <c r="V754" s="429"/>
    </row>
    <row r="755" spans="1:22" s="437" customFormat="1" ht="17.45" customHeight="1">
      <c r="B755" s="2493" t="s">
        <v>2054</v>
      </c>
      <c r="C755" s="2493"/>
      <c r="D755" s="2493"/>
      <c r="E755" s="2493"/>
      <c r="F755" s="2493"/>
      <c r="G755" s="2493"/>
      <c r="H755" s="2493"/>
      <c r="I755" s="2493"/>
      <c r="J755" s="2493"/>
      <c r="K755" s="2493"/>
      <c r="L755" s="2493"/>
      <c r="M755" s="2493"/>
      <c r="N755" s="2493"/>
      <c r="O755" s="2493"/>
      <c r="P755" s="2493"/>
      <c r="Q755" s="2493"/>
      <c r="R755" s="2493"/>
      <c r="S755" s="2493"/>
      <c r="T755" s="2493"/>
      <c r="U755" s="2493"/>
    </row>
    <row r="756" spans="1:22" s="1521" customFormat="1" ht="17.45" customHeight="1">
      <c r="A756" s="437"/>
      <c r="B756" s="2537" t="s">
        <v>1934</v>
      </c>
      <c r="C756" s="2537"/>
      <c r="D756" s="2537"/>
      <c r="E756" s="2537"/>
      <c r="F756" s="2537"/>
      <c r="G756" s="2537"/>
      <c r="H756" s="2537"/>
      <c r="I756" s="2537"/>
      <c r="J756" s="2537"/>
      <c r="K756" s="2537"/>
      <c r="L756" s="2537"/>
      <c r="M756" s="2537"/>
      <c r="N756" s="2537"/>
      <c r="O756" s="2537"/>
      <c r="P756" s="2537"/>
      <c r="Q756" s="2537"/>
      <c r="R756" s="2537"/>
      <c r="S756" s="2537"/>
      <c r="T756" s="2537"/>
      <c r="U756" s="2537"/>
      <c r="V756" s="437"/>
    </row>
    <row r="757" spans="1:22" s="1521" customFormat="1" ht="17.45" customHeight="1">
      <c r="A757" s="437"/>
      <c r="B757" s="2540" t="s">
        <v>1935</v>
      </c>
      <c r="C757" s="2540"/>
      <c r="D757" s="2540"/>
      <c r="E757" s="2540"/>
      <c r="F757" s="2540"/>
      <c r="G757" s="2540"/>
      <c r="H757" s="2540"/>
      <c r="I757" s="2540"/>
      <c r="J757" s="2540"/>
      <c r="K757" s="2540"/>
      <c r="L757" s="2540"/>
      <c r="M757" s="2540"/>
      <c r="N757" s="2540"/>
      <c r="O757" s="2540"/>
      <c r="P757" s="2540"/>
      <c r="Q757" s="2540"/>
      <c r="R757" s="2540"/>
      <c r="S757" s="2540"/>
      <c r="T757" s="2540"/>
      <c r="U757" s="2540"/>
      <c r="V757" s="437"/>
    </row>
    <row r="758" spans="1:22" s="673" customFormat="1" ht="31.5" customHeight="1">
      <c r="A758" s="429"/>
      <c r="B758" s="2487" t="s">
        <v>872</v>
      </c>
      <c r="C758" s="2487"/>
      <c r="D758" s="2487"/>
      <c r="E758" s="2487"/>
      <c r="F758" s="2487"/>
      <c r="G758" s="2487"/>
      <c r="H758" s="2487"/>
      <c r="I758" s="2487"/>
      <c r="J758" s="2487"/>
      <c r="K758" s="2487"/>
      <c r="L758" s="2487"/>
      <c r="M758" s="2487"/>
      <c r="N758" s="2487"/>
      <c r="O758" s="2487"/>
      <c r="P758" s="2487"/>
      <c r="Q758" s="2487"/>
      <c r="R758" s="2487"/>
      <c r="S758" s="2487"/>
      <c r="T758" s="2487"/>
      <c r="U758" s="2487"/>
      <c r="V758" s="429"/>
    </row>
    <row r="759" spans="1:22" s="1521" customFormat="1" ht="17.45" customHeight="1">
      <c r="A759" s="437"/>
      <c r="B759" s="2536" t="s">
        <v>810</v>
      </c>
      <c r="C759" s="2536"/>
      <c r="D759" s="2536"/>
      <c r="E759" s="2536"/>
      <c r="F759" s="2536"/>
      <c r="G759" s="2536"/>
      <c r="H759" s="2536"/>
      <c r="I759" s="2536"/>
      <c r="J759" s="2536"/>
      <c r="K759" s="2536"/>
      <c r="L759" s="2536"/>
      <c r="M759" s="2536"/>
      <c r="N759" s="2536"/>
      <c r="O759" s="2536"/>
      <c r="P759" s="2536"/>
      <c r="Q759" s="2536"/>
      <c r="R759" s="2536"/>
      <c r="S759" s="2536"/>
      <c r="T759" s="2536"/>
      <c r="U759" s="2536"/>
      <c r="V759" s="437"/>
    </row>
    <row r="760" spans="1:22" s="1521" customFormat="1" ht="17.45" customHeight="1">
      <c r="A760" s="437"/>
      <c r="B760" s="2487" t="s">
        <v>1089</v>
      </c>
      <c r="C760" s="2487"/>
      <c r="D760" s="2487"/>
      <c r="E760" s="2487"/>
      <c r="F760" s="2487"/>
      <c r="G760" s="2487"/>
      <c r="H760" s="2487"/>
      <c r="I760" s="2487"/>
      <c r="J760" s="2487"/>
      <c r="K760" s="2487"/>
      <c r="L760" s="2487"/>
      <c r="M760" s="2487"/>
      <c r="N760" s="2487"/>
      <c r="O760" s="2487"/>
      <c r="P760" s="2487"/>
      <c r="Q760" s="2487"/>
      <c r="R760" s="2487"/>
      <c r="S760" s="2487"/>
      <c r="T760" s="2487"/>
      <c r="U760" s="2487"/>
      <c r="V760" s="437"/>
    </row>
    <row r="761" spans="1:22" s="1521" customFormat="1" ht="17.45" customHeight="1">
      <c r="A761" s="437"/>
      <c r="B761" s="2474" t="s">
        <v>1896</v>
      </c>
      <c r="C761" s="2474"/>
      <c r="D761" s="2474"/>
      <c r="E761" s="2474"/>
      <c r="F761" s="2474"/>
      <c r="G761" s="2474"/>
      <c r="H761" s="2474"/>
      <c r="I761" s="2474"/>
      <c r="J761" s="2474"/>
      <c r="K761" s="2474"/>
      <c r="L761" s="2474"/>
      <c r="M761" s="2474"/>
      <c r="N761" s="2474"/>
      <c r="O761" s="2474"/>
      <c r="P761" s="2474"/>
      <c r="Q761" s="2474"/>
      <c r="R761" s="2474"/>
      <c r="S761" s="2474"/>
      <c r="T761" s="2474"/>
      <c r="U761" s="2474"/>
      <c r="V761" s="437"/>
    </row>
    <row r="762" spans="1:22" s="673" customFormat="1" ht="67.5" customHeight="1">
      <c r="A762" s="429"/>
      <c r="B762" s="2536" t="s">
        <v>1899</v>
      </c>
      <c r="C762" s="2536"/>
      <c r="D762" s="2536"/>
      <c r="E762" s="2536"/>
      <c r="F762" s="2536"/>
      <c r="G762" s="2536"/>
      <c r="H762" s="2536"/>
      <c r="I762" s="2536"/>
      <c r="J762" s="2536"/>
      <c r="K762" s="2536"/>
      <c r="L762" s="2536"/>
      <c r="M762" s="2536"/>
      <c r="N762" s="2536"/>
      <c r="O762" s="2536"/>
      <c r="P762" s="2536"/>
      <c r="Q762" s="2536"/>
      <c r="R762" s="2536"/>
      <c r="S762" s="2536"/>
      <c r="T762" s="2536"/>
      <c r="U762" s="2536"/>
      <c r="V762" s="429"/>
    </row>
    <row r="763" spans="1:22" s="429" customFormat="1" ht="32.25" customHeight="1">
      <c r="B763" s="2487" t="s">
        <v>673</v>
      </c>
      <c r="C763" s="2487"/>
      <c r="D763" s="2487"/>
      <c r="E763" s="2487"/>
      <c r="F763" s="2487"/>
      <c r="G763" s="2487"/>
      <c r="H763" s="2487"/>
      <c r="I763" s="2487"/>
      <c r="J763" s="2487"/>
      <c r="K763" s="2487"/>
      <c r="L763" s="2487"/>
      <c r="M763" s="2487"/>
      <c r="N763" s="2487"/>
      <c r="O763" s="2487"/>
      <c r="P763" s="2487"/>
      <c r="Q763" s="2487"/>
      <c r="R763" s="2487"/>
      <c r="S763" s="2487"/>
      <c r="T763" s="2487"/>
      <c r="U763" s="2487"/>
    </row>
    <row r="764" spans="1:22" s="429" customFormat="1" ht="45.75" customHeight="1">
      <c r="B764" s="2536" t="s">
        <v>734</v>
      </c>
      <c r="C764" s="2536"/>
      <c r="D764" s="2536"/>
      <c r="E764" s="2536"/>
      <c r="F764" s="2536"/>
      <c r="G764" s="2536"/>
      <c r="H764" s="2536"/>
      <c r="I764" s="2536"/>
      <c r="J764" s="2536"/>
      <c r="K764" s="2536"/>
      <c r="L764" s="2536"/>
      <c r="M764" s="2536"/>
      <c r="N764" s="2536"/>
      <c r="O764" s="2536"/>
      <c r="P764" s="2536"/>
      <c r="Q764" s="2536"/>
      <c r="R764" s="2536"/>
      <c r="S764" s="2536"/>
      <c r="T764" s="2536"/>
      <c r="U764" s="2536"/>
    </row>
    <row r="765" spans="1:22" ht="55.5" customHeight="1">
      <c r="B765" s="2539" t="s">
        <v>1902</v>
      </c>
      <c r="C765" s="2539"/>
      <c r="D765" s="2539"/>
      <c r="E765" s="2539"/>
      <c r="F765" s="2539"/>
      <c r="G765" s="2539"/>
      <c r="H765" s="2539"/>
      <c r="I765" s="2539"/>
      <c r="J765" s="2539"/>
      <c r="K765" s="2539"/>
      <c r="L765" s="2539"/>
      <c r="M765" s="2539"/>
      <c r="N765" s="2539"/>
      <c r="O765" s="2539"/>
      <c r="P765" s="2539"/>
      <c r="Q765" s="2539"/>
      <c r="R765" s="2539"/>
      <c r="S765" s="2539"/>
      <c r="T765" s="2539"/>
      <c r="U765" s="2539"/>
    </row>
    <row r="766" spans="1:22" ht="19.5" customHeight="1">
      <c r="B766" s="1153"/>
      <c r="C766" s="1153"/>
      <c r="D766" s="1153"/>
      <c r="E766" s="1153"/>
      <c r="F766" s="1153"/>
      <c r="G766" s="1153"/>
      <c r="H766" s="1153"/>
      <c r="I766" s="1153"/>
      <c r="J766" s="1153"/>
      <c r="K766" s="1153"/>
      <c r="L766" s="1153"/>
      <c r="M766" s="476" t="s">
        <v>1206</v>
      </c>
      <c r="N766" s="1153"/>
      <c r="O766" s="1153"/>
      <c r="P766" s="1153"/>
      <c r="Q766" s="1153"/>
      <c r="R766" s="477" t="s">
        <v>692</v>
      </c>
      <c r="S766" s="478" t="str">
        <f>$E$29</f>
        <v>ILF5_90FCOR_B114CAGR43006</v>
      </c>
      <c r="T766" s="1153"/>
      <c r="U766" s="1153"/>
    </row>
    <row r="767" spans="1:22" ht="12" customHeight="1">
      <c r="B767" s="731"/>
      <c r="C767" s="731"/>
      <c r="D767" s="731"/>
      <c r="E767" s="731"/>
      <c r="F767" s="731"/>
      <c r="G767" s="731"/>
      <c r="H767" s="731"/>
      <c r="I767" s="731"/>
      <c r="J767" s="731"/>
      <c r="K767" s="731"/>
      <c r="L767" s="731"/>
      <c r="M767" s="731"/>
      <c r="N767" s="731"/>
      <c r="O767" s="731"/>
      <c r="P767" s="731"/>
      <c r="Q767" s="731"/>
      <c r="R767" s="731"/>
      <c r="S767" s="731"/>
      <c r="T767" s="731"/>
      <c r="U767" s="731"/>
    </row>
    <row r="768" spans="1:22">
      <c r="H768" s="436" t="s">
        <v>690</v>
      </c>
      <c r="I768" s="420"/>
      <c r="K768" s="420"/>
      <c r="L768" s="437" t="str">
        <f>$B$11</f>
        <v>INMOBILIARIA SERVIGESTION</v>
      </c>
    </row>
    <row r="770" spans="1:23" ht="30">
      <c r="B770" s="2395" t="s">
        <v>461</v>
      </c>
      <c r="C770" s="2395"/>
      <c r="D770" s="2395"/>
      <c r="E770" s="2395"/>
      <c r="F770" s="2395"/>
      <c r="G770" s="2395"/>
      <c r="H770" s="2395"/>
      <c r="I770" s="2395"/>
      <c r="J770" s="2395"/>
      <c r="K770" s="2395"/>
      <c r="L770" s="2395"/>
      <c r="M770" s="2395"/>
      <c r="N770" s="2395"/>
      <c r="O770" s="2395"/>
      <c r="P770" s="2395"/>
      <c r="Q770" s="2395"/>
      <c r="R770" s="2395"/>
      <c r="S770" s="2395"/>
      <c r="T770" s="2395"/>
      <c r="U770" s="2395"/>
    </row>
    <row r="771" spans="1:23" ht="22.9" customHeight="1">
      <c r="B771" s="2252" t="s">
        <v>675</v>
      </c>
      <c r="C771" s="2252"/>
      <c r="D771" s="2252"/>
      <c r="E771" s="2252"/>
      <c r="F771" s="2252"/>
      <c r="G771" s="2252"/>
      <c r="H771" s="2252"/>
      <c r="I771" s="2252"/>
      <c r="J771" s="2252"/>
      <c r="K771" s="2252"/>
      <c r="L771" s="2252"/>
      <c r="M771" s="2252"/>
      <c r="N771" s="2252"/>
      <c r="O771" s="2252"/>
      <c r="P771" s="2252"/>
      <c r="Q771" s="2252"/>
      <c r="R771" s="2252"/>
      <c r="S771" s="2252"/>
      <c r="T771" s="2252"/>
      <c r="U771" s="2252"/>
    </row>
    <row r="772" spans="1:23" ht="15">
      <c r="B772" s="2474"/>
      <c r="C772" s="2474"/>
      <c r="D772" s="2474"/>
      <c r="E772" s="2474"/>
      <c r="F772" s="2474"/>
      <c r="G772" s="2474"/>
      <c r="H772" s="2474"/>
      <c r="I772" s="2474"/>
      <c r="J772" s="2474"/>
      <c r="K772" s="2474"/>
      <c r="L772" s="2474"/>
      <c r="M772" s="2474"/>
      <c r="N772" s="2474"/>
      <c r="O772" s="2474"/>
      <c r="P772" s="2474"/>
      <c r="Q772" s="2474"/>
      <c r="R772" s="2474"/>
      <c r="S772" s="2474"/>
      <c r="T772" s="2474"/>
      <c r="U772" s="2474"/>
    </row>
    <row r="773" spans="1:23" s="522" customFormat="1" ht="21" customHeight="1">
      <c r="B773" s="2474" t="s">
        <v>760</v>
      </c>
      <c r="C773" s="2474"/>
      <c r="D773" s="2474"/>
      <c r="E773" s="2474"/>
      <c r="F773" s="2474"/>
      <c r="G773" s="2474"/>
      <c r="H773" s="2474"/>
      <c r="I773" s="2474"/>
      <c r="J773" s="2474"/>
      <c r="K773" s="2474"/>
      <c r="L773" s="2474"/>
      <c r="M773" s="2474"/>
      <c r="N773" s="2474"/>
      <c r="O773" s="2474"/>
      <c r="P773" s="2474"/>
      <c r="Q773" s="2474"/>
      <c r="R773" s="2474"/>
      <c r="S773" s="2474"/>
      <c r="T773" s="2474"/>
      <c r="U773" s="2474"/>
    </row>
    <row r="774" spans="1:23" s="522" customFormat="1" ht="43.15" customHeight="1">
      <c r="B774" s="2441" t="s">
        <v>1179</v>
      </c>
      <c r="C774" s="2441"/>
      <c r="D774" s="2441"/>
      <c r="E774" s="2441"/>
      <c r="F774" s="2441"/>
      <c r="G774" s="2441"/>
      <c r="H774" s="2441"/>
      <c r="I774" s="2441"/>
      <c r="J774" s="2441"/>
      <c r="K774" s="2441"/>
      <c r="L774" s="2441"/>
      <c r="M774" s="2441"/>
      <c r="N774" s="2441"/>
      <c r="O774" s="2441"/>
      <c r="P774" s="2441"/>
      <c r="Q774" s="2441"/>
      <c r="R774" s="2441"/>
      <c r="S774" s="2441"/>
      <c r="T774" s="2441"/>
      <c r="U774" s="2441"/>
    </row>
    <row r="775" spans="1:23" s="522" customFormat="1" ht="21" customHeight="1">
      <c r="B775" s="2440" t="s">
        <v>1936</v>
      </c>
      <c r="C775" s="2440"/>
      <c r="D775" s="2440"/>
      <c r="E775" s="2440"/>
      <c r="F775" s="2440"/>
      <c r="G775" s="2440"/>
      <c r="H775" s="2440"/>
      <c r="I775" s="2440"/>
      <c r="J775" s="2440"/>
      <c r="K775" s="2440"/>
      <c r="L775" s="2440"/>
      <c r="M775" s="2440"/>
      <c r="N775" s="2440"/>
      <c r="O775" s="2440"/>
      <c r="P775" s="2440"/>
      <c r="Q775" s="2440"/>
      <c r="R775" s="2440"/>
      <c r="S775" s="2440"/>
      <c r="T775" s="2440"/>
      <c r="U775" s="2440"/>
    </row>
    <row r="776" spans="1:23" s="522" customFormat="1" ht="21" customHeight="1">
      <c r="B776" s="2538" t="s">
        <v>1937</v>
      </c>
      <c r="C776" s="2538"/>
      <c r="D776" s="2538"/>
      <c r="E776" s="2538"/>
      <c r="F776" s="2538"/>
      <c r="G776" s="2538"/>
      <c r="H776" s="2538"/>
      <c r="I776" s="2538"/>
      <c r="J776" s="2538"/>
      <c r="K776" s="2538"/>
      <c r="L776" s="2538"/>
      <c r="M776" s="2538"/>
      <c r="N776" s="2538"/>
      <c r="O776" s="2538"/>
      <c r="P776" s="2538"/>
      <c r="Q776" s="2538"/>
      <c r="R776" s="2538"/>
      <c r="S776" s="2538"/>
      <c r="T776" s="2538"/>
      <c r="U776" s="2538"/>
    </row>
    <row r="777" spans="1:23" s="522" customFormat="1" ht="14.25" customHeight="1">
      <c r="B777" s="2440" t="s">
        <v>2026</v>
      </c>
      <c r="C777" s="2440"/>
      <c r="D777" s="2440"/>
      <c r="E777" s="2440"/>
      <c r="F777" s="2440"/>
      <c r="G777" s="2440"/>
      <c r="H777" s="2440"/>
      <c r="I777" s="2440"/>
      <c r="J777" s="2440"/>
      <c r="K777" s="2440"/>
      <c r="L777" s="2440"/>
      <c r="M777" s="2440"/>
      <c r="N777" s="2440"/>
      <c r="O777" s="2440"/>
      <c r="P777" s="2440"/>
      <c r="Q777" s="2440"/>
      <c r="R777" s="2440"/>
      <c r="S777" s="2440"/>
      <c r="T777" s="2440"/>
      <c r="U777" s="2440"/>
    </row>
    <row r="778" spans="1:23" s="1198" customFormat="1" ht="22.5" customHeight="1">
      <c r="B778" s="2491" t="s">
        <v>2055</v>
      </c>
      <c r="C778" s="2491"/>
      <c r="D778" s="2491"/>
      <c r="E778" s="2491"/>
      <c r="F778" s="2491"/>
      <c r="G778" s="2491"/>
      <c r="H778" s="2491"/>
      <c r="I778" s="2491"/>
      <c r="J778" s="2491"/>
      <c r="K778" s="2491"/>
      <c r="L778" s="2491"/>
      <c r="M778" s="2491"/>
      <c r="N778" s="2491"/>
      <c r="O778" s="2491"/>
      <c r="P778" s="2491"/>
      <c r="Q778" s="2491"/>
      <c r="R778" s="2491"/>
      <c r="S778" s="2491"/>
      <c r="T778" s="2491"/>
      <c r="U778" s="2491"/>
      <c r="W778" s="437"/>
    </row>
    <row r="779" spans="1:23" s="732" customFormat="1" ht="24" customHeight="1">
      <c r="B779" s="2474" t="s">
        <v>1178</v>
      </c>
      <c r="C779" s="2474"/>
      <c r="D779" s="2474"/>
      <c r="E779" s="2474"/>
      <c r="F779" s="2474"/>
      <c r="G779" s="2474"/>
      <c r="H779" s="2474"/>
      <c r="I779" s="2474"/>
      <c r="J779" s="2474"/>
      <c r="K779" s="2474"/>
      <c r="L779" s="2474"/>
      <c r="M779" s="2474"/>
      <c r="N779" s="2474"/>
      <c r="O779" s="2474"/>
      <c r="P779" s="2474"/>
      <c r="Q779" s="2474"/>
      <c r="R779" s="2474"/>
      <c r="S779" s="2474"/>
      <c r="T779" s="2474"/>
      <c r="U779" s="2474"/>
    </row>
    <row r="780" spans="1:23" s="522" customFormat="1" ht="61.5" customHeight="1">
      <c r="B780" s="2441" t="s">
        <v>2059</v>
      </c>
      <c r="C780" s="2441"/>
      <c r="D780" s="2441"/>
      <c r="E780" s="2441"/>
      <c r="F780" s="2441"/>
      <c r="G780" s="2441"/>
      <c r="H780" s="2441"/>
      <c r="I780" s="2441"/>
      <c r="J780" s="2441"/>
      <c r="K780" s="2441"/>
      <c r="L780" s="2441"/>
      <c r="M780" s="2441"/>
      <c r="N780" s="2441"/>
      <c r="O780" s="2441"/>
      <c r="P780" s="2441"/>
      <c r="Q780" s="2441"/>
      <c r="R780" s="2441"/>
      <c r="S780" s="2441"/>
      <c r="T780" s="2441"/>
      <c r="U780" s="2441"/>
      <c r="W780" s="429"/>
    </row>
    <row r="781" spans="1:23" s="522" customFormat="1" ht="21" customHeight="1">
      <c r="B781" s="2501" t="s">
        <v>949</v>
      </c>
      <c r="C781" s="2501"/>
      <c r="D781" s="2501"/>
      <c r="E781" s="2501"/>
      <c r="F781" s="2501"/>
      <c r="G781" s="2501"/>
      <c r="H781" s="2501"/>
      <c r="I781" s="2501"/>
      <c r="J781" s="2501"/>
      <c r="K781" s="2501"/>
      <c r="L781" s="2501"/>
      <c r="M781" s="2501"/>
      <c r="N781" s="2501"/>
      <c r="O781" s="2501"/>
      <c r="P781" s="2501"/>
      <c r="Q781" s="2501"/>
      <c r="R781" s="2501"/>
      <c r="S781" s="2501"/>
      <c r="T781" s="2501"/>
      <c r="U781" s="2501"/>
      <c r="V781" s="429"/>
      <c r="W781" s="429"/>
    </row>
    <row r="782" spans="1:23" s="733" customFormat="1" ht="33.75" customHeight="1">
      <c r="A782" s="429"/>
      <c r="B782" s="2441" t="s">
        <v>953</v>
      </c>
      <c r="C782" s="2441"/>
      <c r="D782" s="2441"/>
      <c r="E782" s="2441"/>
      <c r="F782" s="2441"/>
      <c r="G782" s="2441"/>
      <c r="H782" s="2441"/>
      <c r="I782" s="2441"/>
      <c r="J782" s="2441"/>
      <c r="K782" s="2441"/>
      <c r="L782" s="2441"/>
      <c r="M782" s="2441"/>
      <c r="N782" s="2441"/>
      <c r="O782" s="2441"/>
      <c r="P782" s="2441"/>
      <c r="Q782" s="2441"/>
      <c r="R782" s="2441"/>
      <c r="S782" s="2441"/>
      <c r="T782" s="2441"/>
      <c r="U782" s="2441"/>
      <c r="V782" s="429"/>
      <c r="W782" s="429"/>
    </row>
    <row r="783" spans="1:23" s="733" customFormat="1" ht="33.75" customHeight="1">
      <c r="A783" s="429"/>
      <c r="B783" s="2488" t="s">
        <v>954</v>
      </c>
      <c r="C783" s="2488"/>
      <c r="D783" s="2488"/>
      <c r="E783" s="2488"/>
      <c r="F783" s="2488"/>
      <c r="G783" s="2488"/>
      <c r="H783" s="2488"/>
      <c r="I783" s="2488"/>
      <c r="J783" s="2488"/>
      <c r="K783" s="2488"/>
      <c r="L783" s="2488"/>
      <c r="M783" s="2488"/>
      <c r="N783" s="2488"/>
      <c r="O783" s="2488"/>
      <c r="P783" s="2488"/>
      <c r="Q783" s="2488"/>
      <c r="R783" s="2488"/>
      <c r="S783" s="2488"/>
      <c r="T783" s="2488"/>
      <c r="U783" s="2488"/>
      <c r="V783" s="429"/>
      <c r="W783" s="429"/>
    </row>
    <row r="784" spans="1:23" s="733" customFormat="1" ht="16.149999999999999" customHeight="1">
      <c r="A784" s="429"/>
      <c r="B784" s="2441" t="s">
        <v>955</v>
      </c>
      <c r="C784" s="2441"/>
      <c r="D784" s="2441"/>
      <c r="E784" s="2441"/>
      <c r="F784" s="2441"/>
      <c r="G784" s="2441"/>
      <c r="H784" s="2441"/>
      <c r="I784" s="2441"/>
      <c r="J784" s="2441"/>
      <c r="K784" s="2441"/>
      <c r="L784" s="2441"/>
      <c r="M784" s="2441"/>
      <c r="N784" s="2441"/>
      <c r="O784" s="2441"/>
      <c r="P784" s="2441"/>
      <c r="Q784" s="2441"/>
      <c r="R784" s="2441"/>
      <c r="S784" s="2441"/>
      <c r="T784" s="2441"/>
      <c r="U784" s="2441"/>
      <c r="V784" s="429"/>
      <c r="W784" s="429"/>
    </row>
    <row r="785" spans="1:23" s="733" customFormat="1" ht="45" customHeight="1">
      <c r="A785" s="429"/>
      <c r="B785" s="2440" t="s">
        <v>1938</v>
      </c>
      <c r="C785" s="2440"/>
      <c r="D785" s="2440"/>
      <c r="E785" s="2440"/>
      <c r="F785" s="2440"/>
      <c r="G785" s="2440"/>
      <c r="H785" s="2440"/>
      <c r="I785" s="2440"/>
      <c r="J785" s="2440"/>
      <c r="K785" s="2440"/>
      <c r="L785" s="2440"/>
      <c r="M785" s="2440"/>
      <c r="N785" s="2440"/>
      <c r="O785" s="2440"/>
      <c r="P785" s="2440"/>
      <c r="Q785" s="2440"/>
      <c r="R785" s="2440"/>
      <c r="S785" s="2440"/>
      <c r="T785" s="2440"/>
      <c r="U785" s="2440"/>
      <c r="V785" s="429"/>
      <c r="W785" s="429"/>
    </row>
    <row r="786" spans="1:23" s="522" customFormat="1" ht="8.4499999999999993" customHeight="1">
      <c r="B786" s="774"/>
      <c r="C786" s="774"/>
      <c r="D786" s="774"/>
      <c r="E786" s="774"/>
      <c r="F786" s="774"/>
      <c r="G786" s="774"/>
      <c r="H786" s="774"/>
      <c r="I786" s="774"/>
      <c r="J786" s="774"/>
      <c r="K786" s="774"/>
      <c r="L786" s="774"/>
      <c r="M786" s="774"/>
      <c r="N786" s="774"/>
      <c r="O786" s="774"/>
      <c r="P786" s="774"/>
      <c r="Q786" s="774"/>
      <c r="R786" s="774"/>
      <c r="S786" s="774"/>
      <c r="T786" s="774"/>
      <c r="U786" s="774"/>
      <c r="V786" s="429"/>
      <c r="W786" s="429"/>
    </row>
    <row r="787" spans="1:23" s="522" customFormat="1" ht="22.15" customHeight="1">
      <c r="B787" s="2501" t="s">
        <v>1135</v>
      </c>
      <c r="C787" s="2501"/>
      <c r="D787" s="2501"/>
      <c r="E787" s="2501"/>
      <c r="F787" s="2501"/>
      <c r="G787" s="2501"/>
      <c r="H787" s="2501"/>
      <c r="I787" s="2501"/>
      <c r="J787" s="2501"/>
      <c r="K787" s="2501"/>
      <c r="L787" s="2501"/>
      <c r="M787" s="2501"/>
      <c r="N787" s="2501"/>
      <c r="O787" s="2501"/>
      <c r="P787" s="2501"/>
      <c r="Q787" s="2501"/>
      <c r="R787" s="2501"/>
      <c r="S787" s="2501"/>
      <c r="T787" s="2501"/>
      <c r="U787" s="2501"/>
      <c r="V787" s="429"/>
      <c r="W787" s="429"/>
    </row>
    <row r="788" spans="1:23" s="522" customFormat="1" ht="46.5" customHeight="1">
      <c r="B788" s="2441" t="s">
        <v>2067</v>
      </c>
      <c r="C788" s="2441"/>
      <c r="D788" s="2441"/>
      <c r="E788" s="2441"/>
      <c r="F788" s="2441"/>
      <c r="G788" s="2441"/>
      <c r="H788" s="2441"/>
      <c r="I788" s="2441"/>
      <c r="J788" s="2441"/>
      <c r="K788" s="2441"/>
      <c r="L788" s="2441"/>
      <c r="M788" s="2441"/>
      <c r="N788" s="2441"/>
      <c r="O788" s="2441"/>
      <c r="P788" s="2441"/>
      <c r="Q788" s="2441"/>
      <c r="R788" s="2441"/>
      <c r="S788" s="2441"/>
      <c r="T788" s="2441"/>
      <c r="U788" s="2441"/>
      <c r="V788" s="429"/>
      <c r="W788" s="429"/>
    </row>
    <row r="789" spans="1:23" s="734" customFormat="1" ht="31.15" customHeight="1">
      <c r="A789" s="429"/>
      <c r="B789" s="2501" t="s">
        <v>912</v>
      </c>
      <c r="C789" s="2501"/>
      <c r="D789" s="2501"/>
      <c r="E789" s="2501"/>
      <c r="F789" s="2501"/>
      <c r="G789" s="2501"/>
      <c r="H789" s="2501"/>
      <c r="I789" s="2501"/>
      <c r="J789" s="2501"/>
      <c r="K789" s="2501"/>
      <c r="L789" s="2501"/>
      <c r="M789" s="2501"/>
      <c r="N789" s="2501"/>
      <c r="O789" s="2501"/>
      <c r="P789" s="2501"/>
      <c r="Q789" s="2501"/>
      <c r="R789" s="2501"/>
      <c r="S789" s="2501"/>
      <c r="T789" s="2501"/>
      <c r="U789" s="2501"/>
      <c r="V789" s="429"/>
      <c r="W789" s="429"/>
    </row>
    <row r="790" spans="1:23" s="733" customFormat="1" ht="67.150000000000006" customHeight="1">
      <c r="A790" s="429"/>
      <c r="B790" s="2488" t="s">
        <v>959</v>
      </c>
      <c r="C790" s="2488"/>
      <c r="D790" s="2488"/>
      <c r="E790" s="2488"/>
      <c r="F790" s="2488"/>
      <c r="G790" s="2488"/>
      <c r="H790" s="2488"/>
      <c r="I790" s="2488"/>
      <c r="J790" s="2488"/>
      <c r="K790" s="2488"/>
      <c r="L790" s="2488"/>
      <c r="M790" s="2488"/>
      <c r="N790" s="2488"/>
      <c r="O790" s="2488"/>
      <c r="P790" s="2488"/>
      <c r="Q790" s="2488"/>
      <c r="R790" s="2488"/>
      <c r="S790" s="2488"/>
      <c r="T790" s="2488"/>
      <c r="U790" s="2488"/>
      <c r="V790" s="429"/>
      <c r="W790" s="429"/>
    </row>
    <row r="791" spans="1:23" s="1239" customFormat="1" ht="50.25" customHeight="1">
      <c r="B791" s="2584" t="s">
        <v>1949</v>
      </c>
      <c r="C791" s="2584"/>
      <c r="D791" s="2584"/>
      <c r="E791" s="2584"/>
      <c r="F791" s="2584"/>
      <c r="G791" s="2584"/>
      <c r="H791" s="2584"/>
      <c r="I791" s="2584"/>
      <c r="J791" s="2584"/>
      <c r="K791" s="2584"/>
      <c r="L791" s="2584"/>
      <c r="M791" s="2584"/>
      <c r="N791" s="2584"/>
      <c r="O791" s="2584"/>
      <c r="P791" s="2584"/>
      <c r="Q791" s="2584"/>
      <c r="R791" s="2584"/>
      <c r="S791" s="2584"/>
      <c r="T791" s="2584"/>
      <c r="U791" s="2584"/>
      <c r="W791" s="429"/>
    </row>
    <row r="792" spans="1:23" s="522" customFormat="1" ht="45.75" customHeight="1">
      <c r="B792" s="2488" t="s">
        <v>1902</v>
      </c>
      <c r="C792" s="2488"/>
      <c r="D792" s="2488"/>
      <c r="E792" s="2488"/>
      <c r="F792" s="2488"/>
      <c r="G792" s="2488"/>
      <c r="H792" s="2488"/>
      <c r="I792" s="2488"/>
      <c r="J792" s="2488"/>
      <c r="K792" s="2488"/>
      <c r="L792" s="2488"/>
      <c r="M792" s="2488"/>
      <c r="N792" s="2488"/>
      <c r="O792" s="2488"/>
      <c r="P792" s="2488"/>
      <c r="Q792" s="2488"/>
      <c r="R792" s="2488"/>
      <c r="S792" s="2488"/>
      <c r="T792" s="2488"/>
      <c r="U792" s="2488"/>
    </row>
    <row r="793" spans="1:23" s="522" customFormat="1" ht="31.15" customHeight="1">
      <c r="B793" s="2474" t="str">
        <f>IF(Perfiles_usuario!R282&gt;0,IF(Perfiles_usuario!J17="Cartera Orange","","Abono de penalizaciones"),"")</f>
        <v>Abono de penalizaciones</v>
      </c>
      <c r="C793" s="2474"/>
      <c r="D793" s="2474"/>
      <c r="E793" s="2474"/>
      <c r="F793" s="2474"/>
      <c r="G793" s="2474"/>
      <c r="H793" s="2474"/>
      <c r="I793" s="492"/>
      <c r="J793" s="492"/>
      <c r="K793" s="492"/>
      <c r="L793" s="492"/>
      <c r="M793" s="492"/>
      <c r="N793" s="492"/>
      <c r="O793" s="492"/>
      <c r="P793" s="492"/>
      <c r="Q793" s="492"/>
      <c r="R793" s="492"/>
      <c r="S793" s="492"/>
      <c r="T793" s="492"/>
      <c r="U793" s="735"/>
    </row>
    <row r="794" spans="1:23" s="522" customFormat="1" ht="38.25" customHeight="1">
      <c r="B794" s="2600" t="str">
        <f>IF(Perfiles_usuario!J17="Cartera Orange","",IF(Perfiles_usuario!$R$282=0,"",CONCATENATE(CONCATENATE("En el supuesto de que  ",$B$11," deba hacer frente a penalización por cancelación anticipada de sus Contratos de servicios de telecomunicación con su actual operador, ORANGE se compromete a aplicar dicho importe como descuento en factura"),CONCATENATE(", con un máximo de ",ROUND(Perfiles_usuario!$R$282,0)," €"))))</f>
        <v>En el supuesto de que  INMOBILIARIA SERVIGESTION deba hacer frente a penalización por cancelación anticipada de sus Contratos de servicios de telecomunicación con su actual operador, ORANGE se compromete a aplicar dicho importe como descuento en factura, con un máximo de 452 €</v>
      </c>
      <c r="C794" s="2600"/>
      <c r="D794" s="2600"/>
      <c r="E794" s="2600"/>
      <c r="F794" s="2600"/>
      <c r="G794" s="2600"/>
      <c r="H794" s="2600"/>
      <c r="I794" s="2600"/>
      <c r="J794" s="2600"/>
      <c r="K794" s="2600"/>
      <c r="L794" s="2600"/>
      <c r="M794" s="2600"/>
      <c r="N794" s="2600"/>
      <c r="O794" s="2600"/>
      <c r="P794" s="2600"/>
      <c r="Q794" s="2600"/>
      <c r="R794" s="2600"/>
      <c r="S794" s="2600"/>
      <c r="T794" s="2600"/>
      <c r="U794" s="2600"/>
    </row>
    <row r="795" spans="1:23" s="522" customFormat="1" ht="62.25" customHeight="1">
      <c r="B795" s="2600"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INMOBILIARIA SERVIGESTION deberá acreditar la cuantía y pago de la correspondiente penalización a su actual operador para que dicho descuento sea aplicado. Si el valor efectivamente abonado es inferior al máximo descuento en factura, el descuento que se aplicará será lo efectivamente abonado por INMOBILIARIA SERVIGESTION. El descuento se realizará, en una sola factura, tras la recepción en ORANGE de los documentos acreditativos del pago de la penalización en un plazo inferior a 6 meses, contados a partir del comienzo de la activación de los servicios. </v>
      </c>
      <c r="C795" s="2600"/>
      <c r="D795" s="2600"/>
      <c r="E795" s="2600"/>
      <c r="F795" s="2600"/>
      <c r="G795" s="2600"/>
      <c r="H795" s="2600"/>
      <c r="I795" s="2600"/>
      <c r="J795" s="2600"/>
      <c r="K795" s="2600"/>
      <c r="L795" s="2600"/>
      <c r="M795" s="2600"/>
      <c r="N795" s="2600"/>
      <c r="O795" s="2600"/>
      <c r="P795" s="2600"/>
      <c r="Q795" s="2600"/>
      <c r="R795" s="2600"/>
      <c r="S795" s="2600"/>
      <c r="T795" s="2600"/>
      <c r="U795" s="2600"/>
    </row>
    <row r="796" spans="1:23" s="522" customFormat="1" ht="49.5" customHeight="1">
      <c r="B796" s="2600"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INMOBILIARIA SERVIGESTION se compromete a portar 6 líneas móviles y a permanecer de alta en el servicio móvil Empresas de ORANGE con 8 líneas móviles, manteniendo la tarifa y los productos y módulos contratados en la presente hoja de condiciones durante un mínimo de 12 meses. Dicho descuento está condicionado al mantenimiento del nº de líneas y nº de líneas activas facilitados por el cliente.</v>
      </c>
      <c r="C796" s="2600"/>
      <c r="D796" s="2600"/>
      <c r="E796" s="2600"/>
      <c r="F796" s="2600"/>
      <c r="G796" s="2600"/>
      <c r="H796" s="2600"/>
      <c r="I796" s="2600"/>
      <c r="J796" s="2600"/>
      <c r="K796" s="2600"/>
      <c r="L796" s="2600"/>
      <c r="M796" s="2600"/>
      <c r="N796" s="2600"/>
      <c r="O796" s="2600"/>
      <c r="P796" s="2600"/>
      <c r="Q796" s="2600"/>
      <c r="R796" s="2600"/>
      <c r="S796" s="2600"/>
      <c r="T796" s="2600"/>
      <c r="U796" s="2600"/>
    </row>
    <row r="797" spans="1:23" s="522" customFormat="1" ht="49.5" customHeight="1">
      <c r="B797" s="2600"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INMOBILIARIA SERVIGESTION desee cancelar, total o parcialmente, o modificar sustancialmente los servicios regulados por el Contrato Empresas de ORANGE tras la activación de los mismos y antes del abono del descuento, éste no se efectuará.</v>
      </c>
      <c r="C797" s="2600"/>
      <c r="D797" s="2600"/>
      <c r="E797" s="2600"/>
      <c r="F797" s="2600"/>
      <c r="G797" s="2600"/>
      <c r="H797" s="2600"/>
      <c r="I797" s="2600"/>
      <c r="J797" s="2600"/>
      <c r="K797" s="2600"/>
      <c r="L797" s="2600"/>
      <c r="M797" s="2600"/>
      <c r="N797" s="2600"/>
      <c r="O797" s="2600"/>
      <c r="P797" s="2600"/>
      <c r="Q797" s="2600"/>
      <c r="R797" s="2600"/>
      <c r="S797" s="2600"/>
      <c r="T797" s="2600"/>
      <c r="U797" s="2600"/>
    </row>
    <row r="798" spans="1:23" ht="28.5" customHeight="1">
      <c r="B798" s="2252" t="s">
        <v>676</v>
      </c>
      <c r="C798" s="2252"/>
      <c r="D798" s="2252"/>
      <c r="E798" s="2252"/>
      <c r="F798" s="2252"/>
      <c r="G798" s="2252"/>
      <c r="H798" s="2252"/>
      <c r="I798" s="2252"/>
      <c r="J798" s="2252"/>
      <c r="K798" s="2252"/>
      <c r="L798" s="2252"/>
      <c r="M798" s="2252"/>
      <c r="N798" s="2252"/>
      <c r="O798" s="2252"/>
      <c r="P798" s="2252"/>
      <c r="Q798" s="2252"/>
      <c r="R798" s="2252"/>
      <c r="S798" s="2252"/>
      <c r="T798" s="2252"/>
      <c r="U798" s="2252"/>
    </row>
    <row r="799" spans="1:23" ht="70.5" customHeight="1">
      <c r="B799" s="2617" t="s">
        <v>677</v>
      </c>
      <c r="C799" s="2617"/>
      <c r="D799" s="2617"/>
      <c r="E799" s="2617"/>
      <c r="F799" s="2617"/>
      <c r="G799" s="2617"/>
      <c r="H799" s="2617"/>
      <c r="I799" s="2617"/>
      <c r="J799" s="2617"/>
      <c r="K799" s="2617"/>
      <c r="L799" s="2617"/>
      <c r="M799" s="2617"/>
      <c r="N799" s="2617"/>
      <c r="O799" s="2617"/>
      <c r="P799" s="2617"/>
      <c r="Q799" s="2617"/>
      <c r="R799" s="2617"/>
      <c r="S799" s="2617"/>
      <c r="T799" s="2617"/>
      <c r="U799" s="2617"/>
    </row>
    <row r="800" spans="1:23" ht="28.15" customHeight="1">
      <c r="B800" s="773"/>
      <c r="D800" s="773"/>
      <c r="E800" s="773"/>
      <c r="F800" s="773"/>
      <c r="G800" s="773"/>
      <c r="H800" s="773"/>
      <c r="I800" s="766"/>
      <c r="J800" s="773"/>
      <c r="K800" s="773"/>
      <c r="L800" s="773"/>
      <c r="M800" s="773"/>
      <c r="N800" s="773"/>
      <c r="O800" s="773"/>
      <c r="P800" s="773"/>
      <c r="Q800" s="773"/>
      <c r="R800" s="773"/>
      <c r="S800" s="773"/>
      <c r="T800" s="773"/>
      <c r="U800" s="773"/>
    </row>
    <row r="801" spans="2:22" ht="150" customHeight="1">
      <c r="B801" s="522"/>
      <c r="C801" s="738" t="s">
        <v>668</v>
      </c>
      <c r="D801" s="584"/>
      <c r="E801" s="584"/>
      <c r="F801" s="584"/>
      <c r="G801" s="2498" t="s">
        <v>678</v>
      </c>
      <c r="H801" s="2499"/>
      <c r="I801" s="2499"/>
      <c r="J801" s="2499"/>
      <c r="K801" s="2499"/>
      <c r="L801" s="2499"/>
      <c r="M801" s="2499"/>
      <c r="N801" s="2499"/>
      <c r="O801" s="2499"/>
      <c r="P801" s="2500"/>
      <c r="Q801" s="561"/>
      <c r="R801" s="561"/>
      <c r="S801" s="441"/>
      <c r="T801" s="441"/>
      <c r="U801" s="588"/>
      <c r="V801" s="441"/>
    </row>
    <row r="802" spans="2:22" ht="11.25" customHeight="1">
      <c r="B802" s="522"/>
      <c r="C802" s="585"/>
      <c r="D802" s="584"/>
      <c r="E802" s="584"/>
      <c r="F802" s="584"/>
      <c r="G802" s="586"/>
      <c r="H802" s="586"/>
      <c r="I802" s="586"/>
      <c r="J802" s="586"/>
      <c r="K802" s="587"/>
      <c r="L802" s="587"/>
      <c r="M802" s="587"/>
      <c r="N802" s="587"/>
      <c r="O802" s="587"/>
      <c r="P802" s="587"/>
      <c r="Q802" s="561"/>
      <c r="R802" s="561"/>
      <c r="S802" s="441"/>
      <c r="T802" s="441"/>
      <c r="U802" s="588"/>
      <c r="V802" s="441"/>
    </row>
    <row r="803" spans="2:22" ht="2.25" customHeight="1"/>
    <row r="804" spans="2:22" ht="0.75" customHeight="1"/>
    <row r="805" spans="2:22" ht="15.75">
      <c r="M805" s="476" t="s">
        <v>1207</v>
      </c>
      <c r="R805" s="477" t="s">
        <v>692</v>
      </c>
      <c r="S805" s="478" t="str">
        <f>$E$29</f>
        <v>ILF5_90FCOR_B114CAGR43006</v>
      </c>
    </row>
  </sheetData>
  <sheetProtection algorithmName="SHA-512" hashValue="dzpKKz9tY8Wu9v+U3/9fSlKpgbJ1CNvPiKHhVUpJfS4c6lOM6c4GYUeQYSctm5x301R4iAXOeXRkjFgmIJCX1g==" saltValue="gCTi+83Om1ekzSPvgGPK1g==" spinCount="100000" sheet="1" selectLockedCells="1" selectUnlockedCells="1"/>
  <mergeCells count="798">
    <mergeCell ref="M453:O453"/>
    <mergeCell ref="M454:O454"/>
    <mergeCell ref="M455:O455"/>
    <mergeCell ref="M456:O456"/>
    <mergeCell ref="M457:O457"/>
    <mergeCell ref="M458:O458"/>
    <mergeCell ref="M459:O459"/>
    <mergeCell ref="M460:O460"/>
    <mergeCell ref="H453:J453"/>
    <mergeCell ref="H454:J454"/>
    <mergeCell ref="H455:J455"/>
    <mergeCell ref="H456:J456"/>
    <mergeCell ref="H457:J457"/>
    <mergeCell ref="H458:J458"/>
    <mergeCell ref="H459:J459"/>
    <mergeCell ref="H460:J460"/>
    <mergeCell ref="K453:L453"/>
    <mergeCell ref="K454:L454"/>
    <mergeCell ref="K455:L455"/>
    <mergeCell ref="K456:L456"/>
    <mergeCell ref="K457:L457"/>
    <mergeCell ref="K458:L458"/>
    <mergeCell ref="K459:L459"/>
    <mergeCell ref="K460:L460"/>
    <mergeCell ref="O287:P287"/>
    <mergeCell ref="Q288:R288"/>
    <mergeCell ref="B732:U732"/>
    <mergeCell ref="B733:U733"/>
    <mergeCell ref="O314:P314"/>
    <mergeCell ref="O284:P284"/>
    <mergeCell ref="Q284:R284"/>
    <mergeCell ref="O285:P285"/>
    <mergeCell ref="Q285:R285"/>
    <mergeCell ref="O309:P309"/>
    <mergeCell ref="O310:P310"/>
    <mergeCell ref="O311:P311"/>
    <mergeCell ref="O312:P312"/>
    <mergeCell ref="O313:P313"/>
    <mergeCell ref="O292:P292"/>
    <mergeCell ref="Q292:R292"/>
    <mergeCell ref="O293:P293"/>
    <mergeCell ref="Q293:R293"/>
    <mergeCell ref="O294:P294"/>
    <mergeCell ref="O290:P290"/>
    <mergeCell ref="Q290:R290"/>
    <mergeCell ref="O291:P291"/>
    <mergeCell ref="Q291:R291"/>
    <mergeCell ref="O286:P286"/>
    <mergeCell ref="Q286:R286"/>
    <mergeCell ref="O278:P278"/>
    <mergeCell ref="Q278:R278"/>
    <mergeCell ref="O280:P280"/>
    <mergeCell ref="Q280:R280"/>
    <mergeCell ref="O281:P281"/>
    <mergeCell ref="Q281:R281"/>
    <mergeCell ref="O282:P282"/>
    <mergeCell ref="Q282:R282"/>
    <mergeCell ref="O283:P283"/>
    <mergeCell ref="Q283:R283"/>
    <mergeCell ref="B764:U764"/>
    <mergeCell ref="C719:D719"/>
    <mergeCell ref="C720:D720"/>
    <mergeCell ref="E719:G719"/>
    <mergeCell ref="E720:G720"/>
    <mergeCell ref="B778:U778"/>
    <mergeCell ref="B610:U610"/>
    <mergeCell ref="B611:U611"/>
    <mergeCell ref="B612:U612"/>
    <mergeCell ref="B613:U613"/>
    <mergeCell ref="B614:U614"/>
    <mergeCell ref="B615:U615"/>
    <mergeCell ref="B616:U616"/>
    <mergeCell ref="B763:U763"/>
    <mergeCell ref="B748:U748"/>
    <mergeCell ref="B750:U750"/>
    <mergeCell ref="B751:U751"/>
    <mergeCell ref="B752:U752"/>
    <mergeCell ref="B753:U753"/>
    <mergeCell ref="B740:U740"/>
    <mergeCell ref="B741:U741"/>
    <mergeCell ref="B742:U742"/>
    <mergeCell ref="B743:U743"/>
    <mergeCell ref="B744:U744"/>
    <mergeCell ref="B745:U745"/>
    <mergeCell ref="B746:U746"/>
    <mergeCell ref="B734:U734"/>
    <mergeCell ref="B735:U735"/>
    <mergeCell ref="B736:U736"/>
    <mergeCell ref="B737:U737"/>
    <mergeCell ref="B738:U738"/>
    <mergeCell ref="B739:U739"/>
    <mergeCell ref="B747:U747"/>
    <mergeCell ref="B760:U760"/>
    <mergeCell ref="B754:U754"/>
    <mergeCell ref="B755:U755"/>
    <mergeCell ref="B756:U756"/>
    <mergeCell ref="B757:U757"/>
    <mergeCell ref="B759:U759"/>
    <mergeCell ref="B762:U762"/>
    <mergeCell ref="B758:U758"/>
    <mergeCell ref="B761:U761"/>
    <mergeCell ref="B777:U777"/>
    <mergeCell ref="B772:U772"/>
    <mergeCell ref="B773:U773"/>
    <mergeCell ref="B774:U774"/>
    <mergeCell ref="B775:U775"/>
    <mergeCell ref="B776:U776"/>
    <mergeCell ref="B765:U765"/>
    <mergeCell ref="B770:U770"/>
    <mergeCell ref="B771:U771"/>
    <mergeCell ref="B795:U795"/>
    <mergeCell ref="B779:U779"/>
    <mergeCell ref="B780:U780"/>
    <mergeCell ref="B796:U796"/>
    <mergeCell ref="B798:U798"/>
    <mergeCell ref="B799:U799"/>
    <mergeCell ref="G801:P801"/>
    <mergeCell ref="B792:U792"/>
    <mergeCell ref="B793:H793"/>
    <mergeCell ref="B797:U797"/>
    <mergeCell ref="B782:U782"/>
    <mergeCell ref="B783:U783"/>
    <mergeCell ref="B784:U784"/>
    <mergeCell ref="B785:U785"/>
    <mergeCell ref="B787:U787"/>
    <mergeCell ref="B788:U788"/>
    <mergeCell ref="B791:U791"/>
    <mergeCell ref="B790:U790"/>
    <mergeCell ref="B789:U789"/>
    <mergeCell ref="B781:U781"/>
    <mergeCell ref="B794:U794"/>
    <mergeCell ref="B726:U726"/>
    <mergeCell ref="B727:U727"/>
    <mergeCell ref="B729:U729"/>
    <mergeCell ref="B730:U730"/>
    <mergeCell ref="B731:U731"/>
    <mergeCell ref="B588:U588"/>
    <mergeCell ref="B590:U590"/>
    <mergeCell ref="B591:U591"/>
    <mergeCell ref="B592:U592"/>
    <mergeCell ref="C593:K593"/>
    <mergeCell ref="C594:K594"/>
    <mergeCell ref="C595:K595"/>
    <mergeCell ref="B606:U606"/>
    <mergeCell ref="B598:U598"/>
    <mergeCell ref="B602:U602"/>
    <mergeCell ref="B604:U604"/>
    <mergeCell ref="B605:U605"/>
    <mergeCell ref="B596:U596"/>
    <mergeCell ref="B597:U597"/>
    <mergeCell ref="B599:U599"/>
    <mergeCell ref="B600:K600"/>
    <mergeCell ref="B601:K601"/>
    <mergeCell ref="C607:K607"/>
    <mergeCell ref="C609:K609"/>
    <mergeCell ref="C527:J527"/>
    <mergeCell ref="M523:T523"/>
    <mergeCell ref="B583:U583"/>
    <mergeCell ref="B584:U584"/>
    <mergeCell ref="B586:U586"/>
    <mergeCell ref="B532:U532"/>
    <mergeCell ref="B587:K587"/>
    <mergeCell ref="C521:D521"/>
    <mergeCell ref="C522:J522"/>
    <mergeCell ref="C523:J523"/>
    <mergeCell ref="C526:J526"/>
    <mergeCell ref="M522:T522"/>
    <mergeCell ref="M526:T526"/>
    <mergeCell ref="M527:T527"/>
    <mergeCell ref="H535:O535"/>
    <mergeCell ref="H534:O534"/>
    <mergeCell ref="B543:U543"/>
    <mergeCell ref="B544:U544"/>
    <mergeCell ref="B546:U546"/>
    <mergeCell ref="B547:U547"/>
    <mergeCell ref="B549:C549"/>
    <mergeCell ref="E549:J549"/>
    <mergeCell ref="K549:L549"/>
    <mergeCell ref="M549:N549"/>
    <mergeCell ref="B516:C516"/>
    <mergeCell ref="K516:L516"/>
    <mergeCell ref="M516:N516"/>
    <mergeCell ref="B519:U519"/>
    <mergeCell ref="C520:J520"/>
    <mergeCell ref="B514:C514"/>
    <mergeCell ref="E514:J514"/>
    <mergeCell ref="K514:L514"/>
    <mergeCell ref="M514:N514"/>
    <mergeCell ref="B515:C515"/>
    <mergeCell ref="E515:G515"/>
    <mergeCell ref="H515:J515"/>
    <mergeCell ref="K515:L515"/>
    <mergeCell ref="M515:N515"/>
    <mergeCell ref="B512:C512"/>
    <mergeCell ref="E512:J512"/>
    <mergeCell ref="K512:L512"/>
    <mergeCell ref="M512:N512"/>
    <mergeCell ref="B513:C513"/>
    <mergeCell ref="E513:J513"/>
    <mergeCell ref="K513:L513"/>
    <mergeCell ref="M513:N513"/>
    <mergeCell ref="B510:C510"/>
    <mergeCell ref="E510:J510"/>
    <mergeCell ref="K510:L510"/>
    <mergeCell ref="M510:N510"/>
    <mergeCell ref="B511:C511"/>
    <mergeCell ref="E511:J511"/>
    <mergeCell ref="K511:L511"/>
    <mergeCell ref="M511:N511"/>
    <mergeCell ref="B504:U504"/>
    <mergeCell ref="B506:U506"/>
    <mergeCell ref="B507:U507"/>
    <mergeCell ref="B509:C509"/>
    <mergeCell ref="E509:J509"/>
    <mergeCell ref="K509:L509"/>
    <mergeCell ref="M509:N509"/>
    <mergeCell ref="I494:J494"/>
    <mergeCell ref="K494:M494"/>
    <mergeCell ref="B495:C495"/>
    <mergeCell ref="N495:U495"/>
    <mergeCell ref="B496:U496"/>
    <mergeCell ref="B503:U503"/>
    <mergeCell ref="B490:C490"/>
    <mergeCell ref="I490:J490"/>
    <mergeCell ref="B492:C492"/>
    <mergeCell ref="I492:M492"/>
    <mergeCell ref="P492:P493"/>
    <mergeCell ref="S492:S493"/>
    <mergeCell ref="B493:C493"/>
    <mergeCell ref="B487:C487"/>
    <mergeCell ref="I487:J487"/>
    <mergeCell ref="B488:C488"/>
    <mergeCell ref="I488:J488"/>
    <mergeCell ref="B489:C489"/>
    <mergeCell ref="I489:J489"/>
    <mergeCell ref="B484:C484"/>
    <mergeCell ref="I484:J484"/>
    <mergeCell ref="B485:C485"/>
    <mergeCell ref="I485:J485"/>
    <mergeCell ref="B486:C486"/>
    <mergeCell ref="I486:J486"/>
    <mergeCell ref="B481:C481"/>
    <mergeCell ref="I481:J481"/>
    <mergeCell ref="B482:C482"/>
    <mergeCell ref="I482:J482"/>
    <mergeCell ref="B483:C483"/>
    <mergeCell ref="I483:J483"/>
    <mergeCell ref="B478:C478"/>
    <mergeCell ref="I478:J478"/>
    <mergeCell ref="B479:C479"/>
    <mergeCell ref="I479:J479"/>
    <mergeCell ref="B480:C480"/>
    <mergeCell ref="I480:J480"/>
    <mergeCell ref="B473:U473"/>
    <mergeCell ref="B475:C475"/>
    <mergeCell ref="I475:J475"/>
    <mergeCell ref="B476:C476"/>
    <mergeCell ref="I476:J476"/>
    <mergeCell ref="B477:C477"/>
    <mergeCell ref="I477:J477"/>
    <mergeCell ref="B470:U470"/>
    <mergeCell ref="B471:U471"/>
    <mergeCell ref="B472:U472"/>
    <mergeCell ref="J442:M442"/>
    <mergeCell ref="N442:O442"/>
    <mergeCell ref="C446:T446"/>
    <mergeCell ref="B450:T450"/>
    <mergeCell ref="J443:M443"/>
    <mergeCell ref="N443:O443"/>
    <mergeCell ref="C445:T445"/>
    <mergeCell ref="B449:P449"/>
    <mergeCell ref="H451:J451"/>
    <mergeCell ref="K451:L451"/>
    <mergeCell ref="M451:O451"/>
    <mergeCell ref="H452:J452"/>
    <mergeCell ref="K452:L452"/>
    <mergeCell ref="M452:O452"/>
    <mergeCell ref="H461:J461"/>
    <mergeCell ref="K461:L461"/>
    <mergeCell ref="M461:O461"/>
    <mergeCell ref="H462:J462"/>
    <mergeCell ref="K462:L462"/>
    <mergeCell ref="M462:O462"/>
    <mergeCell ref="B463:U463"/>
    <mergeCell ref="C439:F439"/>
    <mergeCell ref="J439:M439"/>
    <mergeCell ref="N439:O439"/>
    <mergeCell ref="J440:M440"/>
    <mergeCell ref="N440:O440"/>
    <mergeCell ref="J441:M441"/>
    <mergeCell ref="N441:O441"/>
    <mergeCell ref="H431:K431"/>
    <mergeCell ref="C433:T433"/>
    <mergeCell ref="B436:H436"/>
    <mergeCell ref="B437:T437"/>
    <mergeCell ref="J438:M438"/>
    <mergeCell ref="N438:O438"/>
    <mergeCell ref="B401:U401"/>
    <mergeCell ref="B423:U423"/>
    <mergeCell ref="B424:U424"/>
    <mergeCell ref="B426:U426"/>
    <mergeCell ref="B428:H428"/>
    <mergeCell ref="B429:T429"/>
    <mergeCell ref="B398:U398"/>
    <mergeCell ref="C399:H399"/>
    <mergeCell ref="J399:O399"/>
    <mergeCell ref="C400:H400"/>
    <mergeCell ref="J400:O400"/>
    <mergeCell ref="Q400:U400"/>
    <mergeCell ref="B392:U392"/>
    <mergeCell ref="C393:S393"/>
    <mergeCell ref="C394:S394"/>
    <mergeCell ref="C395:S395"/>
    <mergeCell ref="C396:S396"/>
    <mergeCell ref="C397:S397"/>
    <mergeCell ref="B383:U383"/>
    <mergeCell ref="C384:S384"/>
    <mergeCell ref="C385:S385"/>
    <mergeCell ref="C386:S386"/>
    <mergeCell ref="C387:S387"/>
    <mergeCell ref="B391:K391"/>
    <mergeCell ref="C345:S345"/>
    <mergeCell ref="B347:T347"/>
    <mergeCell ref="B378:U378"/>
    <mergeCell ref="B379:U379"/>
    <mergeCell ref="B381:U381"/>
    <mergeCell ref="B382:E382"/>
    <mergeCell ref="B339:K339"/>
    <mergeCell ref="B340:U340"/>
    <mergeCell ref="C341:T341"/>
    <mergeCell ref="C342:S342"/>
    <mergeCell ref="C343:S343"/>
    <mergeCell ref="C344:S344"/>
    <mergeCell ref="C320:D320"/>
    <mergeCell ref="G320:H320"/>
    <mergeCell ref="B334:U334"/>
    <mergeCell ref="B335:U335"/>
    <mergeCell ref="B337:U337"/>
    <mergeCell ref="C319:D319"/>
    <mergeCell ref="G319:H319"/>
    <mergeCell ref="C318:D318"/>
    <mergeCell ref="G315:H315"/>
    <mergeCell ref="C315:D315"/>
    <mergeCell ref="G318:H318"/>
    <mergeCell ref="O315:P315"/>
    <mergeCell ref="O316:P316"/>
    <mergeCell ref="O317:P317"/>
    <mergeCell ref="O318:P318"/>
    <mergeCell ref="O319:P319"/>
    <mergeCell ref="O320:P320"/>
    <mergeCell ref="C312:D312"/>
    <mergeCell ref="G312:H312"/>
    <mergeCell ref="C313:D313"/>
    <mergeCell ref="G313:H313"/>
    <mergeCell ref="C316:D316"/>
    <mergeCell ref="G316:H316"/>
    <mergeCell ref="C317:D317"/>
    <mergeCell ref="G317:H317"/>
    <mergeCell ref="C314:D314"/>
    <mergeCell ref="G314:H314"/>
    <mergeCell ref="C310:D310"/>
    <mergeCell ref="G310:H310"/>
    <mergeCell ref="I310:J310"/>
    <mergeCell ref="C311:D311"/>
    <mergeCell ref="G311:H311"/>
    <mergeCell ref="C308:D308"/>
    <mergeCell ref="G308:H308"/>
    <mergeCell ref="I308:J308"/>
    <mergeCell ref="C309:D309"/>
    <mergeCell ref="G309:H309"/>
    <mergeCell ref="I309:J309"/>
    <mergeCell ref="C300:D300"/>
    <mergeCell ref="G300:H300"/>
    <mergeCell ref="I300:J300"/>
    <mergeCell ref="C301:D301"/>
    <mergeCell ref="G301:H301"/>
    <mergeCell ref="I301:J301"/>
    <mergeCell ref="C304:D304"/>
    <mergeCell ref="G304:H304"/>
    <mergeCell ref="I304:J304"/>
    <mergeCell ref="G306:H306"/>
    <mergeCell ref="I306:J306"/>
    <mergeCell ref="C307:D307"/>
    <mergeCell ref="G307:H307"/>
    <mergeCell ref="I307:J307"/>
    <mergeCell ref="C302:D302"/>
    <mergeCell ref="G302:H302"/>
    <mergeCell ref="I302:J302"/>
    <mergeCell ref="C303:D303"/>
    <mergeCell ref="G303:H303"/>
    <mergeCell ref="I303:J303"/>
    <mergeCell ref="C305:D305"/>
    <mergeCell ref="G305:H305"/>
    <mergeCell ref="I305:J305"/>
    <mergeCell ref="C297:D297"/>
    <mergeCell ref="E297:F297"/>
    <mergeCell ref="G297:H297"/>
    <mergeCell ref="I297:J297"/>
    <mergeCell ref="C296:D296"/>
    <mergeCell ref="E296:F296"/>
    <mergeCell ref="G296:H296"/>
    <mergeCell ref="I296:J296"/>
    <mergeCell ref="C298:D298"/>
    <mergeCell ref="E298:F298"/>
    <mergeCell ref="G298:H298"/>
    <mergeCell ref="I298:J298"/>
    <mergeCell ref="K293:L293"/>
    <mergeCell ref="C292:D292"/>
    <mergeCell ref="E292:F292"/>
    <mergeCell ref="G292:H292"/>
    <mergeCell ref="I292:J292"/>
    <mergeCell ref="K292:L292"/>
    <mergeCell ref="C295:D295"/>
    <mergeCell ref="E295:F295"/>
    <mergeCell ref="G295:H295"/>
    <mergeCell ref="I295:J295"/>
    <mergeCell ref="C294:D294"/>
    <mergeCell ref="E294:F294"/>
    <mergeCell ref="G294:H294"/>
    <mergeCell ref="I294:J294"/>
    <mergeCell ref="C293:D293"/>
    <mergeCell ref="E293:F293"/>
    <mergeCell ref="G293:H293"/>
    <mergeCell ref="I293:J293"/>
    <mergeCell ref="C291:D291"/>
    <mergeCell ref="E291:F291"/>
    <mergeCell ref="G291:H291"/>
    <mergeCell ref="I291:J291"/>
    <mergeCell ref="K291:L291"/>
    <mergeCell ref="C290:D290"/>
    <mergeCell ref="E290:F290"/>
    <mergeCell ref="G290:H290"/>
    <mergeCell ref="I290:J290"/>
    <mergeCell ref="K290:L290"/>
    <mergeCell ref="O289:P289"/>
    <mergeCell ref="Q289:R289"/>
    <mergeCell ref="C287:D287"/>
    <mergeCell ref="E287:F287"/>
    <mergeCell ref="G287:H287"/>
    <mergeCell ref="I287:J287"/>
    <mergeCell ref="K287:L287"/>
    <mergeCell ref="C286:D286"/>
    <mergeCell ref="E286:F286"/>
    <mergeCell ref="G286:H286"/>
    <mergeCell ref="I286:J286"/>
    <mergeCell ref="K286:L286"/>
    <mergeCell ref="C289:D289"/>
    <mergeCell ref="E289:F289"/>
    <mergeCell ref="G289:H289"/>
    <mergeCell ref="I289:J289"/>
    <mergeCell ref="K289:L289"/>
    <mergeCell ref="C288:D288"/>
    <mergeCell ref="E288:F288"/>
    <mergeCell ref="G288:H288"/>
    <mergeCell ref="I288:J288"/>
    <mergeCell ref="K288:L288"/>
    <mergeCell ref="Q287:R287"/>
    <mergeCell ref="O288:P288"/>
    <mergeCell ref="G285:H285"/>
    <mergeCell ref="I285:J285"/>
    <mergeCell ref="K285:L285"/>
    <mergeCell ref="I278:J278"/>
    <mergeCell ref="C284:D284"/>
    <mergeCell ref="E284:F284"/>
    <mergeCell ref="G284:H284"/>
    <mergeCell ref="I284:J284"/>
    <mergeCell ref="K284:L284"/>
    <mergeCell ref="C283:D283"/>
    <mergeCell ref="E283:F283"/>
    <mergeCell ref="G283:H283"/>
    <mergeCell ref="I283:J283"/>
    <mergeCell ref="K283:L283"/>
    <mergeCell ref="I282:J282"/>
    <mergeCell ref="K282:L282"/>
    <mergeCell ref="C281:D281"/>
    <mergeCell ref="E281:F281"/>
    <mergeCell ref="G281:H281"/>
    <mergeCell ref="I281:J281"/>
    <mergeCell ref="K281:L281"/>
    <mergeCell ref="K278:L278"/>
    <mergeCell ref="Q245:Q247"/>
    <mergeCell ref="E221:S221"/>
    <mergeCell ref="C258:S258"/>
    <mergeCell ref="B262:U262"/>
    <mergeCell ref="B263:U263"/>
    <mergeCell ref="C266:Q266"/>
    <mergeCell ref="Z250:AA251"/>
    <mergeCell ref="AB250:AD250"/>
    <mergeCell ref="Z252:Z254"/>
    <mergeCell ref="N254:O254"/>
    <mergeCell ref="L251:O252"/>
    <mergeCell ref="Q251:T252"/>
    <mergeCell ref="C241:I241"/>
    <mergeCell ref="C232:I232"/>
    <mergeCell ref="C235:D235"/>
    <mergeCell ref="C236:D236"/>
    <mergeCell ref="L232:O232"/>
    <mergeCell ref="Q232:U232"/>
    <mergeCell ref="S234:U234"/>
    <mergeCell ref="Q236:R236"/>
    <mergeCell ref="Q237:Q239"/>
    <mergeCell ref="L241:O244"/>
    <mergeCell ref="Q241:U241"/>
    <mergeCell ref="S243:U243"/>
    <mergeCell ref="C203:T203"/>
    <mergeCell ref="B209:U209"/>
    <mergeCell ref="B210:U210"/>
    <mergeCell ref="B227:U227"/>
    <mergeCell ref="C230:J230"/>
    <mergeCell ref="B188:U188"/>
    <mergeCell ref="B191:U191"/>
    <mergeCell ref="B192:U192"/>
    <mergeCell ref="B197:U197"/>
    <mergeCell ref="B198:U198"/>
    <mergeCell ref="C202:J202"/>
    <mergeCell ref="L202:T202"/>
    <mergeCell ref="L230:U230"/>
    <mergeCell ref="B212:U212"/>
    <mergeCell ref="B213:U213"/>
    <mergeCell ref="C215:T215"/>
    <mergeCell ref="L216:S216"/>
    <mergeCell ref="C217:K217"/>
    <mergeCell ref="M217:T217"/>
    <mergeCell ref="C218:K218"/>
    <mergeCell ref="M218:T218"/>
    <mergeCell ref="C219:G219"/>
    <mergeCell ref="M219:Q219"/>
    <mergeCell ref="C133:T133"/>
    <mergeCell ref="C134:T134"/>
    <mergeCell ref="B174:U174"/>
    <mergeCell ref="B175:U175"/>
    <mergeCell ref="B179:U179"/>
    <mergeCell ref="B180:U180"/>
    <mergeCell ref="B183:U183"/>
    <mergeCell ref="B184:U184"/>
    <mergeCell ref="B160:U160"/>
    <mergeCell ref="B161:U161"/>
    <mergeCell ref="B163:U163"/>
    <mergeCell ref="B164:U164"/>
    <mergeCell ref="B165:U165"/>
    <mergeCell ref="B172:U172"/>
    <mergeCell ref="B138:U138"/>
    <mergeCell ref="C142:T144"/>
    <mergeCell ref="C145:T145"/>
    <mergeCell ref="M130:T130"/>
    <mergeCell ref="C131:G131"/>
    <mergeCell ref="M131:Q131"/>
    <mergeCell ref="B115:U115"/>
    <mergeCell ref="C130:K130"/>
    <mergeCell ref="C123:K123"/>
    <mergeCell ref="M123:T123"/>
    <mergeCell ref="C124:G124"/>
    <mergeCell ref="C127:T127"/>
    <mergeCell ref="L128:S128"/>
    <mergeCell ref="C129:K129"/>
    <mergeCell ref="M129:T129"/>
    <mergeCell ref="B116:U116"/>
    <mergeCell ref="B118:U118"/>
    <mergeCell ref="C120:T120"/>
    <mergeCell ref="L121:S121"/>
    <mergeCell ref="C122:K122"/>
    <mergeCell ref="M122:T122"/>
    <mergeCell ref="P66:T66"/>
    <mergeCell ref="D67:H75"/>
    <mergeCell ref="E25:I25"/>
    <mergeCell ref="D26:I26"/>
    <mergeCell ref="E27:I27"/>
    <mergeCell ref="E28:I28"/>
    <mergeCell ref="E18:I18"/>
    <mergeCell ref="E19:I19"/>
    <mergeCell ref="E20:I20"/>
    <mergeCell ref="E21:I21"/>
    <mergeCell ref="E23:I23"/>
    <mergeCell ref="E24:I24"/>
    <mergeCell ref="P105:T105"/>
    <mergeCell ref="B107:U107"/>
    <mergeCell ref="H108:I109"/>
    <mergeCell ref="J108:K109"/>
    <mergeCell ref="L108:M109"/>
    <mergeCell ref="N108:O109"/>
    <mergeCell ref="D81:H89"/>
    <mergeCell ref="J81:N89"/>
    <mergeCell ref="P81:T89"/>
    <mergeCell ref="B92:K92"/>
    <mergeCell ref="B93:U93"/>
    <mergeCell ref="P106:T106"/>
    <mergeCell ref="B94:U94"/>
    <mergeCell ref="D95:H95"/>
    <mergeCell ref="J95:N95"/>
    <mergeCell ref="P95:T95"/>
    <mergeCell ref="B8:U8"/>
    <mergeCell ref="B9:U9"/>
    <mergeCell ref="B10:U10"/>
    <mergeCell ref="B11:U11"/>
    <mergeCell ref="E16:I16"/>
    <mergeCell ref="E17:I17"/>
    <mergeCell ref="B33:H42"/>
    <mergeCell ref="D96:H104"/>
    <mergeCell ref="J96:N104"/>
    <mergeCell ref="P96:T104"/>
    <mergeCell ref="B59:U59"/>
    <mergeCell ref="B60:U60"/>
    <mergeCell ref="B62:U62"/>
    <mergeCell ref="B64:K64"/>
    <mergeCell ref="B65:U65"/>
    <mergeCell ref="D66:H66"/>
    <mergeCell ref="J67:N75"/>
    <mergeCell ref="P67:T75"/>
    <mergeCell ref="B78:K78"/>
    <mergeCell ref="B79:U79"/>
    <mergeCell ref="D80:H80"/>
    <mergeCell ref="J80:N80"/>
    <mergeCell ref="P80:T80"/>
    <mergeCell ref="J66:N66"/>
    <mergeCell ref="H704:K704"/>
    <mergeCell ref="L704:M704"/>
    <mergeCell ref="N704:O704"/>
    <mergeCell ref="M683:T683"/>
    <mergeCell ref="C608:K608"/>
    <mergeCell ref="C271:Q271"/>
    <mergeCell ref="C280:D280"/>
    <mergeCell ref="E280:F280"/>
    <mergeCell ref="G280:H280"/>
    <mergeCell ref="I280:J280"/>
    <mergeCell ref="K280:L280"/>
    <mergeCell ref="C276:M276"/>
    <mergeCell ref="O276:S276"/>
    <mergeCell ref="C277:M277"/>
    <mergeCell ref="O277:S277"/>
    <mergeCell ref="C278:D278"/>
    <mergeCell ref="E278:F278"/>
    <mergeCell ref="G278:H278"/>
    <mergeCell ref="C282:D282"/>
    <mergeCell ref="E282:F282"/>
    <mergeCell ref="G282:H282"/>
    <mergeCell ref="B673:U673"/>
    <mergeCell ref="C285:D285"/>
    <mergeCell ref="E285:F285"/>
    <mergeCell ref="B563:U563"/>
    <mergeCell ref="B713:U713"/>
    <mergeCell ref="C705:G705"/>
    <mergeCell ref="H705:K705"/>
    <mergeCell ref="L705:M705"/>
    <mergeCell ref="N705:O705"/>
    <mergeCell ref="C706:G706"/>
    <mergeCell ref="H706:K706"/>
    <mergeCell ref="L706:M706"/>
    <mergeCell ref="N706:O706"/>
    <mergeCell ref="C707:G707"/>
    <mergeCell ref="H707:K707"/>
    <mergeCell ref="L707:M707"/>
    <mergeCell ref="N707:O707"/>
    <mergeCell ref="N710:O710"/>
    <mergeCell ref="B711:U711"/>
    <mergeCell ref="B712:K712"/>
    <mergeCell ref="C708:G708"/>
    <mergeCell ref="H708:K708"/>
    <mergeCell ref="L708:M708"/>
    <mergeCell ref="N708:O708"/>
    <mergeCell ref="L710:M710"/>
    <mergeCell ref="N703:O703"/>
    <mergeCell ref="C704:G704"/>
    <mergeCell ref="C680:K680"/>
    <mergeCell ref="M680:T680"/>
    <mergeCell ref="B675:U675"/>
    <mergeCell ref="B676:K676"/>
    <mergeCell ref="B677:U677"/>
    <mergeCell ref="C678:T678"/>
    <mergeCell ref="C679:K679"/>
    <mergeCell ref="B618:K618"/>
    <mergeCell ref="B619:U619"/>
    <mergeCell ref="B621:U621"/>
    <mergeCell ref="B622:U622"/>
    <mergeCell ref="B623:U623"/>
    <mergeCell ref="B624:U624"/>
    <mergeCell ref="B625:J625"/>
    <mergeCell ref="B626:J626"/>
    <mergeCell ref="B627:U627"/>
    <mergeCell ref="B696:U696"/>
    <mergeCell ref="C688:K688"/>
    <mergeCell ref="M688:T688"/>
    <mergeCell ref="C689:K689"/>
    <mergeCell ref="M689:T689"/>
    <mergeCell ref="C690:K690"/>
    <mergeCell ref="M690:T690"/>
    <mergeCell ref="C691:G692"/>
    <mergeCell ref="H691:H692"/>
    <mergeCell ref="I691:K692"/>
    <mergeCell ref="M691:Q692"/>
    <mergeCell ref="R691:R692"/>
    <mergeCell ref="S691:T692"/>
    <mergeCell ref="C685:K685"/>
    <mergeCell ref="M685:T685"/>
    <mergeCell ref="C686:G686"/>
    <mergeCell ref="M686:Q686"/>
    <mergeCell ref="B672:U672"/>
    <mergeCell ref="B628:U628"/>
    <mergeCell ref="B661:U661"/>
    <mergeCell ref="B662:K662"/>
    <mergeCell ref="B633:U633"/>
    <mergeCell ref="B634:U634"/>
    <mergeCell ref="C681:G681"/>
    <mergeCell ref="M681:Q681"/>
    <mergeCell ref="C683:K683"/>
    <mergeCell ref="B636:K636"/>
    <mergeCell ref="B637:U637"/>
    <mergeCell ref="B638:U638"/>
    <mergeCell ref="B639:U639"/>
    <mergeCell ref="B643:U643"/>
    <mergeCell ref="B644:U644"/>
    <mergeCell ref="B645:U645"/>
    <mergeCell ref="B640:U640"/>
    <mergeCell ref="B641:U641"/>
    <mergeCell ref="B642:U642"/>
    <mergeCell ref="M679:T679"/>
    <mergeCell ref="H720:I720"/>
    <mergeCell ref="J720:K720"/>
    <mergeCell ref="L720:M720"/>
    <mergeCell ref="N720:O720"/>
    <mergeCell ref="C715:T715"/>
    <mergeCell ref="C716:T716"/>
    <mergeCell ref="C717:Q717"/>
    <mergeCell ref="H719:I719"/>
    <mergeCell ref="J719:K719"/>
    <mergeCell ref="L719:M719"/>
    <mergeCell ref="N719:O719"/>
    <mergeCell ref="C703:G703"/>
    <mergeCell ref="H703:K703"/>
    <mergeCell ref="L703:M703"/>
    <mergeCell ref="B646:U646"/>
    <mergeCell ref="B647:K647"/>
    <mergeCell ref="B648:U648"/>
    <mergeCell ref="B649:U649"/>
    <mergeCell ref="B651:K651"/>
    <mergeCell ref="B652:U652"/>
    <mergeCell ref="B663:U663"/>
    <mergeCell ref="B664:U664"/>
    <mergeCell ref="B653:U653"/>
    <mergeCell ref="B654:U654"/>
    <mergeCell ref="B655:U655"/>
    <mergeCell ref="B656:U656"/>
    <mergeCell ref="B657:U657"/>
    <mergeCell ref="B658:U658"/>
    <mergeCell ref="B659:U659"/>
    <mergeCell ref="B660:U660"/>
    <mergeCell ref="B697:U697"/>
    <mergeCell ref="B699:U699"/>
    <mergeCell ref="B700:K700"/>
    <mergeCell ref="C684:K684"/>
    <mergeCell ref="M684:T684"/>
    <mergeCell ref="B566:U566"/>
    <mergeCell ref="C569:J569"/>
    <mergeCell ref="C299:D299"/>
    <mergeCell ref="G299:H299"/>
    <mergeCell ref="I299:J299"/>
    <mergeCell ref="O299:P299"/>
    <mergeCell ref="C306:D306"/>
    <mergeCell ref="B550:C550"/>
    <mergeCell ref="E550:J550"/>
    <mergeCell ref="K550:L550"/>
    <mergeCell ref="M550:N550"/>
    <mergeCell ref="B551:C551"/>
    <mergeCell ref="E551:J551"/>
    <mergeCell ref="K551:L551"/>
    <mergeCell ref="M551:N551"/>
    <mergeCell ref="B552:C552"/>
    <mergeCell ref="E552:J552"/>
    <mergeCell ref="K552:L552"/>
    <mergeCell ref="M552:N552"/>
    <mergeCell ref="B553:C553"/>
    <mergeCell ref="E553:J553"/>
    <mergeCell ref="K553:L553"/>
    <mergeCell ref="M553:N553"/>
    <mergeCell ref="B561:U561"/>
    <mergeCell ref="Q254:R254"/>
    <mergeCell ref="Q255:R255"/>
    <mergeCell ref="B749:U749"/>
    <mergeCell ref="B148:U148"/>
    <mergeCell ref="C151:T152"/>
    <mergeCell ref="B153:K153"/>
    <mergeCell ref="O300:P300"/>
    <mergeCell ref="O301:P301"/>
    <mergeCell ref="O302:P302"/>
    <mergeCell ref="O303:P303"/>
    <mergeCell ref="O304:P304"/>
    <mergeCell ref="O305:P305"/>
    <mergeCell ref="O306:P306"/>
    <mergeCell ref="O307:P307"/>
    <mergeCell ref="O308:P308"/>
    <mergeCell ref="Q294:R294"/>
    <mergeCell ref="O295:P295"/>
    <mergeCell ref="Q295:R295"/>
    <mergeCell ref="O296:P296"/>
    <mergeCell ref="Q296:R296"/>
    <mergeCell ref="O297:P297"/>
    <mergeCell ref="Q297:R297"/>
    <mergeCell ref="O298:P298"/>
    <mergeCell ref="Q298:R298"/>
  </mergeCells>
  <conditionalFormatting sqref="M278">
    <cfRule type="expression" dxfId="15" priority="6" stopIfTrue="1">
      <formula>#REF!=" "</formula>
    </cfRule>
  </conditionalFormatting>
  <conditionalFormatting sqref="O277">
    <cfRule type="expression" dxfId="14" priority="5" stopIfTrue="1">
      <formula>#REF!=" "</formula>
    </cfRule>
  </conditionalFormatting>
  <conditionalFormatting sqref="S278">
    <cfRule type="expression" dxfId="13" priority="3" stopIfTrue="1">
      <formula>#REF!=" "</formula>
    </cfRule>
  </conditionalFormatting>
  <conditionalFormatting sqref="Q278">
    <cfRule type="expression" dxfId="12" priority="2" stopIfTrue="1">
      <formula>#REF!=" "</formula>
    </cfRule>
  </conditionalFormatting>
  <conditionalFormatting sqref="O278">
    <cfRule type="expression" dxfId="11" priority="1" stopIfTrue="1">
      <formula>#REF!=" "</formula>
    </cfRule>
  </conditionalFormatting>
  <hyperlinks>
    <hyperlink ref="P105:T105" r:id="rId1" display="Descárguesela ya desde Google Play"/>
    <hyperlink ref="P106:T106" r:id="rId2" display="Descárguesela ya desde App Store"/>
  </hyperlinks>
  <printOptions horizontalCentered="1" verticalCentered="1"/>
  <pageMargins left="0.11811023622047245" right="0.11811023622047245" top="0" bottom="0" header="0.19685039370078741" footer="0.31496062992125984"/>
  <pageSetup paperSize="9" scale="44" fitToHeight="0" orientation="landscape" r:id="rId3"/>
  <headerFooter alignWithMargins="0"/>
  <rowBreaks count="17" manualBreakCount="17">
    <brk id="56" max="21" man="1"/>
    <brk id="112" max="21" man="1"/>
    <brk id="156" max="21" man="1"/>
    <brk id="207" max="21" man="1"/>
    <brk id="260" max="21" man="1"/>
    <brk id="332" max="21" man="1"/>
    <brk id="375" max="21" man="1"/>
    <brk id="421" max="21" man="1"/>
    <brk id="467" max="21" man="1"/>
    <brk id="498" max="21" man="1"/>
    <brk id="538" max="16383" man="1"/>
    <brk id="581" max="21" man="1"/>
    <brk id="631" max="21" man="1"/>
    <brk id="670" max="21" man="1"/>
    <brk id="695" max="21" man="1"/>
    <brk id="723" max="21" man="1"/>
    <brk id="766" max="21" man="1"/>
  </rowBreaks>
  <drawing r:id="rId4"/>
  <extLst>
    <ext xmlns:x14="http://schemas.microsoft.com/office/spreadsheetml/2009/9/main" uri="{78C0D931-6437-407d-A8EE-F0AAD7539E65}">
      <x14:conditionalFormattings>
        <x14:conditionalFormatting xmlns:xm="http://schemas.microsoft.com/office/excel/2006/main">
          <x14:cfRule type="expression" priority="4" id="{C9E113FF-D202-41A9-932C-FE3A92E5EE52}">
            <xm:f>Calculos_cuotas!$V$106&gt;0</xm:f>
            <x14:dxf>
              <font>
                <b/>
                <i val="0"/>
              </font>
              <fill>
                <patternFill>
                  <bgColor theme="9" tint="0.79998168889431442"/>
                </patternFill>
              </fill>
            </x14:dxf>
          </x14:cfRule>
          <xm:sqref>C445:T445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3"/>
    <pageSetUpPr fitToPage="1"/>
  </sheetPr>
  <dimension ref="A1:AD691"/>
  <sheetViews>
    <sheetView showGridLines="0" showOutlineSymbols="0" view="pageBreakPreview" topLeftCell="A684" zoomScale="55" zoomScaleNormal="70" zoomScaleSheetLayoutView="55" zoomScalePageLayoutView="25" workbookViewId="0">
      <selection activeCell="B676" sqref="B676:U676"/>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6.7109375" style="422" customWidth="1"/>
    <col min="11" max="11" width="13.140625" style="422" customWidth="1"/>
    <col min="12" max="12" width="15.28515625" style="422" customWidth="1"/>
    <col min="13" max="13" width="17.28515625" style="422" customWidth="1"/>
    <col min="14" max="14" width="17.85546875" style="422" customWidth="1"/>
    <col min="15" max="15" width="16.7109375" style="422" customWidth="1"/>
    <col min="16" max="16" width="18.140625" style="422" customWidth="1"/>
    <col min="17" max="17" width="17.85546875" style="422" customWidth="1"/>
    <col min="18" max="18" width="20.28515625" style="422" customWidth="1"/>
    <col min="19" max="19" width="17.7109375" style="422" customWidth="1"/>
    <col min="20" max="20" width="17.4257812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268" t="s">
        <v>667</v>
      </c>
      <c r="C8" s="2268"/>
      <c r="D8" s="2268"/>
      <c r="E8" s="2268"/>
      <c r="F8" s="2268"/>
      <c r="G8" s="2268"/>
      <c r="H8" s="2268"/>
      <c r="I8" s="2268"/>
      <c r="J8" s="2268"/>
      <c r="K8" s="2268"/>
      <c r="L8" s="2268"/>
      <c r="M8" s="2268"/>
      <c r="N8" s="2268"/>
      <c r="O8" s="2268"/>
      <c r="P8" s="2268"/>
      <c r="Q8" s="2268"/>
      <c r="R8" s="2268"/>
      <c r="S8" s="2268"/>
      <c r="T8" s="2268"/>
      <c r="U8" s="2268"/>
    </row>
    <row r="9" spans="1:21" s="416" customFormat="1" ht="34.5">
      <c r="A9" s="415"/>
      <c r="B9" s="2268" t="s">
        <v>696</v>
      </c>
      <c r="C9" s="2268"/>
      <c r="D9" s="2268"/>
      <c r="E9" s="2268"/>
      <c r="F9" s="2268"/>
      <c r="G9" s="2268"/>
      <c r="H9" s="2268"/>
      <c r="I9" s="2268"/>
      <c r="J9" s="2268"/>
      <c r="K9" s="2268"/>
      <c r="L9" s="2268"/>
      <c r="M9" s="2268"/>
      <c r="N9" s="2268"/>
      <c r="O9" s="2268"/>
      <c r="P9" s="2268"/>
      <c r="Q9" s="2268"/>
      <c r="R9" s="2268"/>
      <c r="S9" s="2268"/>
      <c r="T9" s="2268"/>
      <c r="U9" s="2268"/>
    </row>
    <row r="10" spans="1:21" s="416" customFormat="1" ht="34.5">
      <c r="A10" s="415"/>
      <c r="B10" s="2268"/>
      <c r="C10" s="2268"/>
      <c r="D10" s="2268"/>
      <c r="E10" s="2268"/>
      <c r="F10" s="2268"/>
      <c r="G10" s="2268"/>
      <c r="H10" s="2268"/>
      <c r="I10" s="2268"/>
      <c r="J10" s="2268"/>
      <c r="K10" s="2268"/>
      <c r="L10" s="2268"/>
      <c r="M10" s="2268"/>
      <c r="N10" s="2268"/>
      <c r="O10" s="2268"/>
      <c r="P10" s="2268"/>
      <c r="Q10" s="2268"/>
      <c r="R10" s="2268"/>
      <c r="S10" s="2268"/>
      <c r="T10" s="2268"/>
      <c r="U10" s="2268"/>
    </row>
    <row r="11" spans="1:21" s="416" customFormat="1" ht="34.5">
      <c r="A11" s="415"/>
      <c r="B11" s="2414" t="str">
        <f>'Seleccion de oferta'!E9</f>
        <v>INMOBILIARIA SERVIGESTION</v>
      </c>
      <c r="C11" s="2414"/>
      <c r="D11" s="2414"/>
      <c r="E11" s="2414"/>
      <c r="F11" s="2414"/>
      <c r="G11" s="2414"/>
      <c r="H11" s="2414"/>
      <c r="I11" s="2414"/>
      <c r="J11" s="2414"/>
      <c r="K11" s="2414"/>
      <c r="L11" s="2414"/>
      <c r="M11" s="2414"/>
      <c r="N11" s="2414"/>
      <c r="O11" s="2414"/>
      <c r="P11" s="2414"/>
      <c r="Q11" s="2414"/>
      <c r="R11" s="2414"/>
      <c r="S11" s="2414"/>
      <c r="T11" s="2414"/>
      <c r="U11" s="2414"/>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15" t="str">
        <f>'Seleccion de oferta'!E11</f>
        <v>B11412343</v>
      </c>
      <c r="F16" s="2415"/>
      <c r="G16" s="2415"/>
      <c r="H16" s="2415"/>
      <c r="I16" s="2415"/>
    </row>
    <row r="17" spans="1:22" s="416" customFormat="1" ht="25.9" customHeight="1">
      <c r="A17" s="415"/>
      <c r="B17" s="417" t="s">
        <v>187</v>
      </c>
      <c r="C17" s="418"/>
      <c r="D17" s="419"/>
      <c r="E17" s="2415" t="str">
        <f>'Seleccion de oferta'!E13</f>
        <v>PLAZA ESPAÑA Nº1, EDIFICIO ESPAÑA PLANTA 1º OFICINA 2</v>
      </c>
      <c r="F17" s="2415"/>
      <c r="G17" s="2415"/>
      <c r="H17" s="2415"/>
      <c r="I17" s="2415"/>
    </row>
    <row r="18" spans="1:22" s="416" customFormat="1" ht="25.9" customHeight="1">
      <c r="A18" s="415"/>
      <c r="B18" s="417" t="s">
        <v>646</v>
      </c>
      <c r="C18" s="418"/>
      <c r="D18" s="419"/>
      <c r="E18" s="2415" t="str">
        <f>'Seleccion de oferta'!E15</f>
        <v>CHICLANA</v>
      </c>
      <c r="F18" s="2415"/>
      <c r="G18" s="2415"/>
      <c r="H18" s="2415"/>
      <c r="I18" s="2415"/>
    </row>
    <row r="19" spans="1:22" ht="25.9" customHeight="1">
      <c r="A19" s="420"/>
      <c r="B19" s="417" t="s">
        <v>647</v>
      </c>
      <c r="C19" s="421"/>
      <c r="D19" s="421"/>
      <c r="E19" s="2415" t="str">
        <f>'Seleccion de oferta'!E17</f>
        <v>CADIZ</v>
      </c>
      <c r="F19" s="2415"/>
      <c r="G19" s="2415"/>
      <c r="H19" s="2415"/>
      <c r="I19" s="2415"/>
      <c r="V19" s="420"/>
    </row>
    <row r="20" spans="1:22" ht="25.9" customHeight="1">
      <c r="A20" s="420"/>
      <c r="B20" s="417" t="s">
        <v>644</v>
      </c>
      <c r="C20" s="423"/>
      <c r="D20" s="421"/>
      <c r="E20" s="2415" t="str">
        <f>'Seleccion de oferta'!E19</f>
        <v>MANUEL</v>
      </c>
      <c r="F20" s="2415"/>
      <c r="G20" s="2415"/>
      <c r="H20" s="2415"/>
      <c r="I20" s="2415"/>
      <c r="J20" s="424"/>
      <c r="K20" s="424"/>
      <c r="L20" s="424"/>
      <c r="M20" s="424"/>
      <c r="N20" s="424"/>
      <c r="O20" s="424"/>
      <c r="P20" s="424"/>
      <c r="Q20" s="424"/>
      <c r="R20" s="424"/>
      <c r="S20" s="424"/>
      <c r="T20" s="424"/>
      <c r="U20" s="424"/>
      <c r="V20" s="420"/>
    </row>
    <row r="21" spans="1:22" ht="25.9" customHeight="1">
      <c r="A21" s="420"/>
      <c r="B21" s="425" t="s">
        <v>645</v>
      </c>
      <c r="C21" s="426"/>
      <c r="D21" s="421"/>
      <c r="E21" s="2415">
        <f>'Seleccion de oferta'!E21</f>
        <v>956535624</v>
      </c>
      <c r="F21" s="2415"/>
      <c r="G21" s="2415"/>
      <c r="H21" s="2415"/>
      <c r="I21" s="2415"/>
      <c r="J21" s="757"/>
      <c r="K21" s="757"/>
      <c r="L21" s="757"/>
      <c r="M21" s="757"/>
      <c r="N21" s="757"/>
      <c r="O21" s="757"/>
      <c r="P21" s="757"/>
      <c r="Q21" s="757"/>
      <c r="R21" s="757"/>
      <c r="S21" s="757"/>
      <c r="T21" s="757"/>
      <c r="U21" s="757"/>
      <c r="V21" s="420"/>
    </row>
    <row r="22" spans="1:22" ht="90"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15" t="str">
        <f>'Seleccion de oferta'!E30:G30</f>
        <v>JOSE LUIS PARRA</v>
      </c>
      <c r="F23" s="2415"/>
      <c r="G23" s="2415"/>
      <c r="H23" s="2415"/>
      <c r="I23" s="2415"/>
      <c r="J23" s="428"/>
      <c r="V23" s="420"/>
    </row>
    <row r="24" spans="1:22" ht="25.9" customHeight="1">
      <c r="A24" s="429"/>
      <c r="B24" s="417" t="s">
        <v>645</v>
      </c>
      <c r="C24" s="418"/>
      <c r="D24" s="419"/>
      <c r="E24" s="2439">
        <f>'Seleccion de oferta'!E34</f>
        <v>630836774</v>
      </c>
      <c r="F24" s="2415"/>
      <c r="G24" s="2415"/>
      <c r="H24" s="2415"/>
      <c r="I24" s="2415"/>
      <c r="J24" s="428"/>
      <c r="V24" s="429"/>
    </row>
    <row r="25" spans="1:22" s="416" customFormat="1" ht="23.25">
      <c r="A25" s="415"/>
      <c r="B25" s="417" t="s">
        <v>650</v>
      </c>
      <c r="C25" s="418"/>
      <c r="D25" s="419"/>
      <c r="E25" s="2415" t="str">
        <f>'Seleccion de oferta'!E42:G42</f>
        <v>GRUPO PROMOVIL</v>
      </c>
      <c r="F25" s="2415"/>
      <c r="G25" s="2415"/>
      <c r="H25" s="2415"/>
      <c r="I25" s="2415"/>
      <c r="J25" s="428"/>
    </row>
    <row r="26" spans="1:22" s="416" customFormat="1" ht="90" customHeight="1">
      <c r="A26" s="415"/>
      <c r="B26" s="417"/>
      <c r="C26" s="422"/>
      <c r="D26" s="2404"/>
      <c r="E26" s="2404"/>
      <c r="F26" s="2404"/>
      <c r="G26" s="2404"/>
      <c r="H26" s="2404"/>
      <c r="I26" s="2404"/>
      <c r="J26" s="428"/>
    </row>
    <row r="27" spans="1:22" s="416" customFormat="1" ht="25.9" customHeight="1">
      <c r="A27" s="415"/>
      <c r="B27" s="417" t="s">
        <v>669</v>
      </c>
      <c r="C27" s="424"/>
      <c r="D27" s="430"/>
      <c r="E27" s="2417">
        <f>'Seleccion de oferta'!E50</f>
        <v>43006</v>
      </c>
      <c r="F27" s="2417"/>
      <c r="G27" s="2417"/>
      <c r="H27" s="2417"/>
      <c r="I27" s="2417"/>
      <c r="J27" s="428"/>
    </row>
    <row r="28" spans="1:22" s="416" customFormat="1" ht="25.9" customHeight="1">
      <c r="A28" s="415"/>
      <c r="B28" s="417" t="s">
        <v>670</v>
      </c>
      <c r="C28" s="757"/>
      <c r="D28" s="431"/>
      <c r="E28" s="2417">
        <f>'Seleccion de oferta'!E52</f>
        <v>43008</v>
      </c>
      <c r="F28" s="2417"/>
      <c r="G28" s="2417"/>
      <c r="H28" s="2417"/>
      <c r="I28" s="2417"/>
      <c r="J28" s="428"/>
    </row>
    <row r="29" spans="1:22" s="416" customFormat="1" ht="25.9" customHeight="1">
      <c r="A29" s="415"/>
      <c r="B29" s="417" t="s">
        <v>692</v>
      </c>
      <c r="C29" s="757"/>
      <c r="D29" s="431"/>
      <c r="E29" s="763" t="str">
        <f>CONCATENATE("ILF5_90FCOS_",MID(E16,1,4),MID(E19,1,2),MID(E25,1,2),E27)</f>
        <v>ILF5_90FCOS_B114CAGR43006</v>
      </c>
      <c r="F29" s="763"/>
      <c r="G29" s="763"/>
      <c r="H29" s="763"/>
      <c r="I29" s="763"/>
      <c r="J29" s="428"/>
    </row>
    <row r="30" spans="1:22" s="416" customFormat="1" ht="90" customHeight="1">
      <c r="A30" s="415"/>
      <c r="B30" s="417"/>
      <c r="C30" s="757"/>
      <c r="D30" s="433"/>
      <c r="E30" s="764"/>
      <c r="F30" s="764"/>
      <c r="G30" s="764"/>
      <c r="H30" s="764"/>
      <c r="I30" s="764"/>
      <c r="J30" s="428"/>
    </row>
    <row r="31" spans="1:22" s="416" customFormat="1" ht="25.9" customHeight="1">
      <c r="A31" s="415"/>
      <c r="B31" s="2569" t="s">
        <v>684</v>
      </c>
      <c r="C31" s="2569"/>
      <c r="D31" s="2569"/>
      <c r="E31" s="2569"/>
      <c r="F31" s="2569"/>
      <c r="G31" s="2569"/>
      <c r="H31" s="2569"/>
      <c r="I31" s="799"/>
      <c r="J31" s="428"/>
    </row>
    <row r="32" spans="1:22" s="416" customFormat="1" ht="25.9" customHeight="1">
      <c r="A32" s="415"/>
      <c r="B32" s="2569"/>
      <c r="C32" s="2569"/>
      <c r="D32" s="2569"/>
      <c r="E32" s="2569"/>
      <c r="F32" s="2569"/>
      <c r="G32" s="2569"/>
      <c r="H32" s="2569"/>
      <c r="I32" s="799"/>
      <c r="J32" s="428"/>
    </row>
    <row r="33" spans="1:21" s="416" customFormat="1" ht="25.9" customHeight="1">
      <c r="A33" s="415"/>
      <c r="B33" s="2569"/>
      <c r="C33" s="2569"/>
      <c r="D33" s="2569"/>
      <c r="E33" s="2569"/>
      <c r="F33" s="2569"/>
      <c r="G33" s="2569"/>
      <c r="H33" s="2569"/>
      <c r="I33" s="799"/>
    </row>
    <row r="34" spans="1:21" s="416" customFormat="1" ht="25.9" customHeight="1">
      <c r="A34" s="415"/>
      <c r="B34" s="2569"/>
      <c r="C34" s="2569"/>
      <c r="D34" s="2569"/>
      <c r="E34" s="2569"/>
      <c r="F34" s="2569"/>
      <c r="G34" s="2569"/>
      <c r="H34" s="2569"/>
      <c r="I34" s="799"/>
      <c r="J34" s="435"/>
      <c r="K34" s="435"/>
      <c r="L34" s="435"/>
      <c r="M34" s="435"/>
      <c r="N34" s="435"/>
      <c r="O34" s="435"/>
      <c r="P34" s="435"/>
      <c r="Q34" s="435"/>
      <c r="R34" s="435"/>
      <c r="S34" s="435"/>
      <c r="T34" s="435"/>
      <c r="U34" s="435"/>
    </row>
    <row r="35" spans="1:21" s="416" customFormat="1" ht="22.15" customHeight="1">
      <c r="B35" s="2569"/>
      <c r="C35" s="2569"/>
      <c r="D35" s="2569"/>
      <c r="E35" s="2569"/>
      <c r="F35" s="2569"/>
      <c r="G35" s="2569"/>
      <c r="H35" s="2569"/>
      <c r="I35" s="799"/>
      <c r="J35" s="428"/>
      <c r="K35" s="428"/>
      <c r="L35" s="428"/>
      <c r="M35" s="428"/>
      <c r="N35" s="428"/>
      <c r="O35" s="428"/>
      <c r="P35" s="428"/>
      <c r="Q35" s="428"/>
      <c r="R35" s="428"/>
      <c r="S35" s="428"/>
      <c r="T35" s="428"/>
      <c r="U35" s="428"/>
    </row>
    <row r="36" spans="1:21" s="416" customFormat="1" ht="13.15" customHeight="1">
      <c r="B36" s="2569"/>
      <c r="C36" s="2569"/>
      <c r="D36" s="2569"/>
      <c r="E36" s="2569"/>
      <c r="F36" s="2569"/>
      <c r="G36" s="2569"/>
      <c r="H36" s="2569"/>
      <c r="I36" s="799"/>
    </row>
    <row r="37" spans="1:21" s="416" customFormat="1" ht="13.15" customHeight="1">
      <c r="B37" s="2569"/>
      <c r="C37" s="2569"/>
      <c r="D37" s="2569"/>
      <c r="E37" s="2569"/>
      <c r="F37" s="2569"/>
      <c r="G37" s="2569"/>
      <c r="H37" s="2569"/>
      <c r="I37" s="799"/>
    </row>
    <row r="38" spans="1:21" s="416" customFormat="1" ht="13.15" customHeight="1">
      <c r="B38" s="2569"/>
      <c r="C38" s="2569"/>
      <c r="D38" s="2569"/>
      <c r="E38" s="2569"/>
      <c r="F38" s="2569"/>
      <c r="G38" s="2569"/>
      <c r="H38" s="2569"/>
      <c r="I38" s="799"/>
    </row>
    <row r="39" spans="1:21" s="416" customFormat="1" ht="90" customHeight="1">
      <c r="B39" s="2569"/>
      <c r="C39" s="2569"/>
      <c r="D39" s="2569"/>
      <c r="E39" s="2569"/>
      <c r="F39" s="2569"/>
      <c r="G39" s="2569"/>
      <c r="H39" s="2569"/>
      <c r="I39" s="799"/>
    </row>
    <row r="40" spans="1:21" s="416" customFormat="1" ht="13.15" customHeight="1">
      <c r="B40" s="799"/>
      <c r="C40" s="799"/>
      <c r="D40" s="799"/>
      <c r="E40" s="799"/>
      <c r="F40" s="799"/>
      <c r="G40" s="799"/>
      <c r="H40" s="799"/>
      <c r="I40" s="799"/>
    </row>
    <row r="41" spans="1:21" s="416" customFormat="1" ht="13.15" customHeight="1">
      <c r="B41" s="799"/>
      <c r="C41" s="799"/>
      <c r="D41" s="799"/>
      <c r="E41" s="799"/>
      <c r="F41" s="799"/>
      <c r="G41" s="799"/>
      <c r="H41" s="799"/>
      <c r="I41" s="799"/>
    </row>
    <row r="42" spans="1:21" s="416" customFormat="1"/>
    <row r="43" spans="1:21" s="416" customFormat="1"/>
    <row r="44" spans="1:21" s="416" customFormat="1"/>
    <row r="45" spans="1:21" s="416" customFormat="1"/>
    <row r="46" spans="1:21" s="416" customFormat="1"/>
    <row r="47" spans="1:21" s="416" customFormat="1"/>
    <row r="48" spans="1:21" s="416" customFormat="1"/>
    <row r="49" spans="1:22" s="416" customFormat="1"/>
    <row r="50" spans="1:22">
      <c r="A50" s="420"/>
      <c r="B50" s="420"/>
      <c r="C50" s="420"/>
      <c r="D50" s="420"/>
      <c r="E50" s="420"/>
      <c r="F50" s="420"/>
      <c r="G50" s="420"/>
      <c r="H50" s="436" t="s">
        <v>690</v>
      </c>
      <c r="I50" s="420"/>
      <c r="K50" s="420"/>
      <c r="L50" s="437" t="str">
        <f>$B$11</f>
        <v>INMOBILIARIA SERVIGESTION</v>
      </c>
      <c r="M50" s="420"/>
      <c r="N50" s="420"/>
      <c r="O50" s="420"/>
      <c r="P50" s="420"/>
      <c r="Q50" s="420"/>
      <c r="R50" s="420"/>
      <c r="S50" s="420"/>
      <c r="T50" s="420"/>
      <c r="U50" s="420"/>
      <c r="V50" s="420"/>
    </row>
    <row r="51" spans="1:22" ht="34.5">
      <c r="A51" s="420"/>
      <c r="B51" s="2268" t="s">
        <v>461</v>
      </c>
      <c r="C51" s="2268"/>
      <c r="D51" s="2268"/>
      <c r="E51" s="2268"/>
      <c r="F51" s="2268"/>
      <c r="G51" s="2268"/>
      <c r="H51" s="2268"/>
      <c r="I51" s="2268"/>
      <c r="J51" s="2268"/>
      <c r="K51" s="2268"/>
      <c r="L51" s="2268"/>
      <c r="M51" s="2268"/>
      <c r="N51" s="2268"/>
      <c r="O51" s="2268"/>
      <c r="P51" s="2268"/>
      <c r="Q51" s="2268"/>
      <c r="R51" s="2268"/>
      <c r="S51" s="2268"/>
      <c r="T51" s="2268"/>
      <c r="U51" s="2268"/>
      <c r="V51" s="420"/>
    </row>
    <row r="52" spans="1:22" ht="22.9" customHeight="1">
      <c r="A52" s="420"/>
      <c r="B52" s="2269" t="s">
        <v>885</v>
      </c>
      <c r="C52" s="2269"/>
      <c r="D52" s="2269"/>
      <c r="E52" s="2269"/>
      <c r="F52" s="2269"/>
      <c r="G52" s="2269"/>
      <c r="H52" s="2269"/>
      <c r="I52" s="2269"/>
      <c r="J52" s="2269"/>
      <c r="K52" s="2269"/>
      <c r="L52" s="2269"/>
      <c r="M52" s="2269"/>
      <c r="N52" s="2269"/>
      <c r="O52" s="2269"/>
      <c r="P52" s="2269"/>
      <c r="Q52" s="2269"/>
      <c r="R52" s="2269"/>
      <c r="S52" s="2269"/>
      <c r="T52" s="2269"/>
      <c r="U52" s="2269"/>
      <c r="V52" s="420"/>
    </row>
    <row r="53" spans="1:22" ht="16.149999999999999" customHeight="1">
      <c r="A53" s="420"/>
      <c r="B53" s="757"/>
      <c r="C53" s="757"/>
      <c r="D53" s="757"/>
      <c r="E53" s="757"/>
      <c r="F53" s="757"/>
      <c r="G53" s="757"/>
      <c r="H53" s="757"/>
      <c r="I53" s="757"/>
      <c r="J53" s="757"/>
      <c r="K53" s="757"/>
      <c r="L53" s="757"/>
      <c r="M53" s="757"/>
      <c r="N53" s="757"/>
      <c r="O53" s="757"/>
      <c r="Q53" s="757"/>
      <c r="R53" s="757"/>
      <c r="S53" s="757"/>
      <c r="T53" s="757"/>
      <c r="U53" s="757"/>
      <c r="V53" s="420"/>
    </row>
    <row r="54" spans="1:22" ht="18.399999999999999" customHeight="1">
      <c r="A54" s="429"/>
      <c r="B54" s="2251"/>
      <c r="C54" s="2251"/>
      <c r="D54" s="2251"/>
      <c r="E54" s="2251"/>
      <c r="F54" s="2251"/>
      <c r="G54" s="2251"/>
      <c r="H54" s="2251"/>
      <c r="I54" s="2251"/>
      <c r="J54" s="2251"/>
      <c r="K54" s="2251"/>
      <c r="L54" s="2251"/>
      <c r="M54" s="2251"/>
      <c r="N54" s="2251"/>
      <c r="O54" s="2251"/>
      <c r="P54" s="2251"/>
      <c r="Q54" s="2251"/>
      <c r="R54" s="2251"/>
      <c r="S54" s="2251"/>
      <c r="T54" s="2251"/>
      <c r="U54" s="2251"/>
      <c r="V54" s="429"/>
    </row>
    <row r="55" spans="1:22" ht="23.25">
      <c r="A55" s="420"/>
      <c r="B55" s="757"/>
      <c r="C55" s="757"/>
      <c r="D55" s="757"/>
      <c r="E55" s="757"/>
      <c r="F55" s="757"/>
      <c r="G55" s="757"/>
      <c r="H55" s="757"/>
      <c r="I55" s="757"/>
      <c r="J55" s="757"/>
      <c r="K55" s="757"/>
      <c r="L55" s="757"/>
      <c r="M55" s="757"/>
      <c r="N55" s="757"/>
      <c r="O55" s="757"/>
      <c r="P55" s="757"/>
      <c r="Q55" s="757"/>
      <c r="R55" s="757"/>
      <c r="S55" s="757"/>
      <c r="T55" s="757"/>
      <c r="U55" s="757"/>
      <c r="V55" s="420"/>
    </row>
    <row r="56" spans="1:22" ht="23.25" customHeight="1">
      <c r="A56" s="420"/>
      <c r="B56" s="2325" t="s">
        <v>886</v>
      </c>
      <c r="C56" s="2326"/>
      <c r="D56" s="2326"/>
      <c r="E56" s="2326"/>
      <c r="F56" s="2326"/>
      <c r="G56" s="2326"/>
      <c r="H56" s="2326"/>
      <c r="I56" s="2326"/>
      <c r="J56" s="2326"/>
      <c r="K56" s="2326"/>
      <c r="L56" s="745"/>
      <c r="M56" s="745"/>
      <c r="N56" s="745"/>
      <c r="O56" s="745"/>
      <c r="P56" s="745"/>
      <c r="Q56" s="745"/>
      <c r="R56" s="745"/>
      <c r="S56" s="745"/>
      <c r="T56" s="745"/>
      <c r="U56" s="439"/>
      <c r="V56" s="420"/>
    </row>
    <row r="57" spans="1:22" ht="23.25" customHeight="1">
      <c r="A57" s="420"/>
      <c r="B57" s="2297" t="s">
        <v>887</v>
      </c>
      <c r="C57" s="2288"/>
      <c r="D57" s="2288"/>
      <c r="E57" s="2288"/>
      <c r="F57" s="2288"/>
      <c r="G57" s="2288"/>
      <c r="H57" s="2288"/>
      <c r="I57" s="2288"/>
      <c r="J57" s="2288"/>
      <c r="K57" s="2288"/>
      <c r="L57" s="2288"/>
      <c r="M57" s="2288"/>
      <c r="N57" s="2288"/>
      <c r="O57" s="2288"/>
      <c r="P57" s="2288"/>
      <c r="Q57" s="2288"/>
      <c r="R57" s="2288"/>
      <c r="S57" s="2288"/>
      <c r="T57" s="2288"/>
      <c r="U57" s="2298"/>
      <c r="V57" s="420"/>
    </row>
    <row r="58" spans="1:22" ht="63" customHeight="1">
      <c r="A58" s="420"/>
      <c r="B58" s="742"/>
      <c r="C58" s="441"/>
      <c r="D58" s="2437" t="s">
        <v>889</v>
      </c>
      <c r="E58" s="2437"/>
      <c r="F58" s="2437"/>
      <c r="G58" s="2437"/>
      <c r="H58" s="2437"/>
      <c r="I58" s="441"/>
      <c r="J58" s="2437" t="s">
        <v>888</v>
      </c>
      <c r="K58" s="2437"/>
      <c r="L58" s="2437"/>
      <c r="M58" s="2437"/>
      <c r="N58" s="2437"/>
      <c r="O58" s="441"/>
      <c r="P58" s="2437" t="s">
        <v>890</v>
      </c>
      <c r="Q58" s="2437"/>
      <c r="R58" s="2437"/>
      <c r="S58" s="2437"/>
      <c r="T58" s="2437"/>
      <c r="U58" s="442"/>
      <c r="V58" s="420"/>
    </row>
    <row r="59" spans="1:22" s="416" customFormat="1" ht="13.15" customHeight="1">
      <c r="A59" s="415"/>
      <c r="B59" s="443"/>
      <c r="C59" s="444"/>
      <c r="D59" s="2436" t="s">
        <v>962</v>
      </c>
      <c r="E59" s="2436"/>
      <c r="F59" s="2436"/>
      <c r="G59" s="2436"/>
      <c r="H59" s="2436"/>
      <c r="I59" s="444"/>
      <c r="J59" s="2436" t="s">
        <v>963</v>
      </c>
      <c r="K59" s="2436"/>
      <c r="L59" s="2436"/>
      <c r="M59" s="2436"/>
      <c r="N59" s="2436"/>
      <c r="O59" s="444"/>
      <c r="P59" s="2436" t="s">
        <v>964</v>
      </c>
      <c r="Q59" s="2436"/>
      <c r="R59" s="2436"/>
      <c r="S59" s="2436"/>
      <c r="T59" s="2436"/>
      <c r="U59" s="445"/>
    </row>
    <row r="60" spans="1:22" s="416" customFormat="1" ht="13.15" customHeight="1">
      <c r="A60" s="415"/>
      <c r="B60" s="443"/>
      <c r="C60" s="444"/>
      <c r="D60" s="2436"/>
      <c r="E60" s="2436"/>
      <c r="F60" s="2436"/>
      <c r="G60" s="2436"/>
      <c r="H60" s="2436"/>
      <c r="I60" s="444"/>
      <c r="J60" s="2436"/>
      <c r="K60" s="2436"/>
      <c r="L60" s="2436"/>
      <c r="M60" s="2436"/>
      <c r="N60" s="2436"/>
      <c r="O60" s="444"/>
      <c r="P60" s="2436"/>
      <c r="Q60" s="2436"/>
      <c r="R60" s="2436"/>
      <c r="S60" s="2436"/>
      <c r="T60" s="2436"/>
      <c r="U60" s="445"/>
    </row>
    <row r="61" spans="1:22" s="416" customFormat="1" ht="13.15" customHeight="1">
      <c r="A61" s="415"/>
      <c r="B61" s="443"/>
      <c r="C61" s="444"/>
      <c r="D61" s="2436"/>
      <c r="E61" s="2436"/>
      <c r="F61" s="2436"/>
      <c r="G61" s="2436"/>
      <c r="H61" s="2436"/>
      <c r="I61" s="444"/>
      <c r="J61" s="2436"/>
      <c r="K61" s="2436"/>
      <c r="L61" s="2436"/>
      <c r="M61" s="2436"/>
      <c r="N61" s="2436"/>
      <c r="O61" s="444"/>
      <c r="P61" s="2436"/>
      <c r="Q61" s="2436"/>
      <c r="R61" s="2436"/>
      <c r="S61" s="2436"/>
      <c r="T61" s="2436"/>
      <c r="U61" s="445"/>
    </row>
    <row r="62" spans="1:22" s="416" customFormat="1" ht="25.9" customHeight="1">
      <c r="A62" s="415"/>
      <c r="B62" s="446"/>
      <c r="C62" s="444"/>
      <c r="D62" s="2436"/>
      <c r="E62" s="2436"/>
      <c r="F62" s="2436"/>
      <c r="G62" s="2436"/>
      <c r="H62" s="2436"/>
      <c r="I62" s="444"/>
      <c r="J62" s="2436"/>
      <c r="K62" s="2436"/>
      <c r="L62" s="2436"/>
      <c r="M62" s="2436"/>
      <c r="N62" s="2436"/>
      <c r="O62" s="444"/>
      <c r="P62" s="2436"/>
      <c r="Q62" s="2436"/>
      <c r="R62" s="2436"/>
      <c r="S62" s="2436"/>
      <c r="T62" s="2436"/>
      <c r="U62" s="445"/>
    </row>
    <row r="63" spans="1:22" s="416" customFormat="1" ht="25.9" customHeight="1">
      <c r="A63" s="415"/>
      <c r="B63" s="447"/>
      <c r="C63" s="448"/>
      <c r="D63" s="2436"/>
      <c r="E63" s="2436"/>
      <c r="F63" s="2436"/>
      <c r="G63" s="2436"/>
      <c r="H63" s="2436"/>
      <c r="I63" s="449"/>
      <c r="J63" s="2436"/>
      <c r="K63" s="2436"/>
      <c r="L63" s="2436"/>
      <c r="M63" s="2436"/>
      <c r="N63" s="2436"/>
      <c r="O63" s="444"/>
      <c r="P63" s="2436"/>
      <c r="Q63" s="2436"/>
      <c r="R63" s="2436"/>
      <c r="S63" s="2436"/>
      <c r="T63" s="2436"/>
      <c r="U63" s="445"/>
    </row>
    <row r="64" spans="1:22" s="416" customFormat="1" ht="25.9" customHeight="1">
      <c r="A64" s="415"/>
      <c r="B64" s="447"/>
      <c r="C64" s="448"/>
      <c r="D64" s="2436"/>
      <c r="E64" s="2436"/>
      <c r="F64" s="2436"/>
      <c r="G64" s="2436"/>
      <c r="H64" s="2436"/>
      <c r="I64" s="449"/>
      <c r="J64" s="2436"/>
      <c r="K64" s="2436"/>
      <c r="L64" s="2436"/>
      <c r="M64" s="2436"/>
      <c r="N64" s="2436"/>
      <c r="O64" s="444"/>
      <c r="P64" s="2436"/>
      <c r="Q64" s="2436"/>
      <c r="R64" s="2436"/>
      <c r="S64" s="2436"/>
      <c r="T64" s="2436"/>
      <c r="U64" s="445"/>
    </row>
    <row r="65" spans="1:22" s="416" customFormat="1" ht="25.9" customHeight="1">
      <c r="A65" s="415"/>
      <c r="B65" s="447"/>
      <c r="C65" s="448"/>
      <c r="D65" s="2436"/>
      <c r="E65" s="2436"/>
      <c r="F65" s="2436"/>
      <c r="G65" s="2436"/>
      <c r="H65" s="2436"/>
      <c r="I65" s="449"/>
      <c r="J65" s="2436"/>
      <c r="K65" s="2436"/>
      <c r="L65" s="2436"/>
      <c r="M65" s="2436"/>
      <c r="N65" s="2436"/>
      <c r="O65" s="444"/>
      <c r="P65" s="2436"/>
      <c r="Q65" s="2436"/>
      <c r="R65" s="2436"/>
      <c r="S65" s="2436"/>
      <c r="T65" s="2436"/>
      <c r="U65" s="445"/>
    </row>
    <row r="66" spans="1:22" ht="25.9" customHeight="1">
      <c r="A66" s="420"/>
      <c r="B66" s="447"/>
      <c r="C66" s="450"/>
      <c r="D66" s="2436"/>
      <c r="E66" s="2436"/>
      <c r="F66" s="2436"/>
      <c r="G66" s="2436"/>
      <c r="H66" s="2436"/>
      <c r="I66" s="449"/>
      <c r="J66" s="2436"/>
      <c r="K66" s="2436"/>
      <c r="L66" s="2436"/>
      <c r="M66" s="2436"/>
      <c r="N66" s="2436"/>
      <c r="O66" s="441"/>
      <c r="P66" s="2436"/>
      <c r="Q66" s="2436"/>
      <c r="R66" s="2436"/>
      <c r="S66" s="2436"/>
      <c r="T66" s="2436"/>
      <c r="U66" s="451"/>
      <c r="V66" s="420"/>
    </row>
    <row r="67" spans="1:22" ht="25.9" customHeight="1">
      <c r="A67" s="420"/>
      <c r="B67" s="447"/>
      <c r="C67" s="452"/>
      <c r="D67" s="2436"/>
      <c r="E67" s="2436"/>
      <c r="F67" s="2436"/>
      <c r="G67" s="2436"/>
      <c r="H67" s="2436"/>
      <c r="I67" s="449"/>
      <c r="J67" s="2436"/>
      <c r="K67" s="2436"/>
      <c r="L67" s="2436"/>
      <c r="M67" s="2436"/>
      <c r="N67" s="2436"/>
      <c r="O67" s="453"/>
      <c r="P67" s="2436"/>
      <c r="Q67" s="2436"/>
      <c r="R67" s="2436"/>
      <c r="S67" s="2436"/>
      <c r="T67" s="2436"/>
      <c r="U67" s="454"/>
      <c r="V67" s="420"/>
    </row>
    <row r="68" spans="1:22" ht="25.9" customHeight="1">
      <c r="A68" s="420"/>
      <c r="B68" s="455"/>
      <c r="C68" s="456"/>
      <c r="D68" s="457"/>
      <c r="E68" s="458"/>
      <c r="F68" s="458"/>
      <c r="G68" s="458"/>
      <c r="H68" s="458"/>
      <c r="I68" s="458"/>
      <c r="J68" s="459"/>
      <c r="K68" s="459"/>
      <c r="L68" s="459"/>
      <c r="M68" s="459"/>
      <c r="N68" s="459"/>
      <c r="O68" s="459"/>
      <c r="P68" s="459"/>
      <c r="Q68" s="459"/>
      <c r="R68" s="459"/>
      <c r="S68" s="459"/>
      <c r="T68" s="459"/>
      <c r="U68" s="460"/>
      <c r="V68" s="420"/>
    </row>
    <row r="69" spans="1:22" ht="21" customHeight="1">
      <c r="A69" s="420"/>
      <c r="C69" s="428"/>
      <c r="D69" s="428"/>
      <c r="E69" s="428"/>
      <c r="F69" s="428"/>
      <c r="G69" s="428"/>
      <c r="H69" s="428"/>
      <c r="I69" s="428"/>
      <c r="J69" s="428"/>
      <c r="K69" s="428"/>
      <c r="L69" s="428"/>
      <c r="M69" s="428"/>
      <c r="N69" s="428"/>
      <c r="O69" s="428"/>
      <c r="P69" s="428"/>
      <c r="Q69" s="428"/>
      <c r="R69" s="428"/>
      <c r="S69" s="428"/>
      <c r="T69" s="428"/>
      <c r="U69" s="428"/>
      <c r="V69" s="420"/>
    </row>
    <row r="70" spans="1:22" ht="23.25" customHeight="1">
      <c r="A70" s="420"/>
      <c r="B70" s="2325" t="s">
        <v>913</v>
      </c>
      <c r="C70" s="2326"/>
      <c r="D70" s="2326"/>
      <c r="E70" s="2326"/>
      <c r="F70" s="2326"/>
      <c r="G70" s="2326"/>
      <c r="H70" s="2326"/>
      <c r="I70" s="2326"/>
      <c r="J70" s="2326"/>
      <c r="K70" s="2326"/>
      <c r="L70" s="745"/>
      <c r="M70" s="745"/>
      <c r="N70" s="745"/>
      <c r="O70" s="745"/>
      <c r="P70" s="745"/>
      <c r="Q70" s="745"/>
      <c r="R70" s="745"/>
      <c r="S70" s="745"/>
      <c r="T70" s="745"/>
      <c r="U70" s="439"/>
      <c r="V70" s="420"/>
    </row>
    <row r="71" spans="1:22" ht="23.25" customHeight="1">
      <c r="A71" s="420"/>
      <c r="B71" s="2297" t="s">
        <v>914</v>
      </c>
      <c r="C71" s="2288"/>
      <c r="D71" s="2288"/>
      <c r="E71" s="2288"/>
      <c r="F71" s="2288"/>
      <c r="G71" s="2288"/>
      <c r="H71" s="2288"/>
      <c r="I71" s="2288"/>
      <c r="J71" s="2288"/>
      <c r="K71" s="2288"/>
      <c r="L71" s="2288"/>
      <c r="M71" s="2288"/>
      <c r="N71" s="2288"/>
      <c r="O71" s="2288"/>
      <c r="P71" s="2288"/>
      <c r="Q71" s="2288"/>
      <c r="R71" s="2288"/>
      <c r="S71" s="2288"/>
      <c r="T71" s="2288"/>
      <c r="U71" s="2298"/>
      <c r="V71" s="420"/>
    </row>
    <row r="72" spans="1:22" ht="63" customHeight="1">
      <c r="A72" s="420"/>
      <c r="B72" s="742"/>
      <c r="C72" s="441"/>
      <c r="D72" s="2437" t="s">
        <v>915</v>
      </c>
      <c r="E72" s="2437"/>
      <c r="F72" s="2437"/>
      <c r="G72" s="2437"/>
      <c r="H72" s="2437"/>
      <c r="I72" s="441"/>
      <c r="J72" s="2437" t="s">
        <v>924</v>
      </c>
      <c r="K72" s="2437"/>
      <c r="L72" s="2437"/>
      <c r="M72" s="2437"/>
      <c r="N72" s="2437"/>
      <c r="O72" s="441"/>
      <c r="P72" s="2437" t="s">
        <v>916</v>
      </c>
      <c r="Q72" s="2437"/>
      <c r="R72" s="2437"/>
      <c r="S72" s="2437"/>
      <c r="T72" s="2437"/>
      <c r="U72" s="442"/>
      <c r="V72" s="420"/>
    </row>
    <row r="73" spans="1:22" s="416" customFormat="1" ht="13.15" customHeight="1">
      <c r="A73" s="415"/>
      <c r="B73" s="443"/>
      <c r="C73" s="444"/>
      <c r="D73" s="2436" t="s">
        <v>965</v>
      </c>
      <c r="E73" s="2436"/>
      <c r="F73" s="2436"/>
      <c r="G73" s="2436"/>
      <c r="H73" s="2436"/>
      <c r="I73" s="444"/>
      <c r="J73" s="2436" t="s">
        <v>966</v>
      </c>
      <c r="K73" s="2436"/>
      <c r="L73" s="2436"/>
      <c r="M73" s="2436"/>
      <c r="N73" s="2436"/>
      <c r="O73" s="444"/>
      <c r="P73" s="2436" t="s">
        <v>967</v>
      </c>
      <c r="Q73" s="2436"/>
      <c r="R73" s="2436"/>
      <c r="S73" s="2436"/>
      <c r="T73" s="2436"/>
      <c r="U73" s="445"/>
    </row>
    <row r="74" spans="1:22" s="416" customFormat="1" ht="13.15" customHeight="1">
      <c r="A74" s="415"/>
      <c r="B74" s="443"/>
      <c r="C74" s="444"/>
      <c r="D74" s="2436"/>
      <c r="E74" s="2436"/>
      <c r="F74" s="2436"/>
      <c r="G74" s="2436"/>
      <c r="H74" s="2436"/>
      <c r="I74" s="444"/>
      <c r="J74" s="2436"/>
      <c r="K74" s="2436"/>
      <c r="L74" s="2436"/>
      <c r="M74" s="2436"/>
      <c r="N74" s="2436"/>
      <c r="O74" s="444"/>
      <c r="P74" s="2436"/>
      <c r="Q74" s="2436"/>
      <c r="R74" s="2436"/>
      <c r="S74" s="2436"/>
      <c r="T74" s="2436"/>
      <c r="U74" s="445"/>
    </row>
    <row r="75" spans="1:22" s="416" customFormat="1" ht="13.15" customHeight="1">
      <c r="A75" s="415"/>
      <c r="B75" s="443"/>
      <c r="C75" s="444"/>
      <c r="D75" s="2436"/>
      <c r="E75" s="2436"/>
      <c r="F75" s="2436"/>
      <c r="G75" s="2436"/>
      <c r="H75" s="2436"/>
      <c r="I75" s="444"/>
      <c r="J75" s="2436"/>
      <c r="K75" s="2436"/>
      <c r="L75" s="2436"/>
      <c r="M75" s="2436"/>
      <c r="N75" s="2436"/>
      <c r="O75" s="444"/>
      <c r="P75" s="2436"/>
      <c r="Q75" s="2436"/>
      <c r="R75" s="2436"/>
      <c r="S75" s="2436"/>
      <c r="T75" s="2436"/>
      <c r="U75" s="445"/>
    </row>
    <row r="76" spans="1:22" s="416" customFormat="1" ht="25.9" customHeight="1">
      <c r="A76" s="415"/>
      <c r="B76" s="446"/>
      <c r="C76" s="444"/>
      <c r="D76" s="2436"/>
      <c r="E76" s="2436"/>
      <c r="F76" s="2436"/>
      <c r="G76" s="2436"/>
      <c r="H76" s="2436"/>
      <c r="I76" s="444"/>
      <c r="J76" s="2436"/>
      <c r="K76" s="2436"/>
      <c r="L76" s="2436"/>
      <c r="M76" s="2436"/>
      <c r="N76" s="2436"/>
      <c r="O76" s="444"/>
      <c r="P76" s="2436"/>
      <c r="Q76" s="2436"/>
      <c r="R76" s="2436"/>
      <c r="S76" s="2436"/>
      <c r="T76" s="2436"/>
      <c r="U76" s="445"/>
    </row>
    <row r="77" spans="1:22" s="416" customFormat="1" ht="25.9" customHeight="1">
      <c r="A77" s="415"/>
      <c r="B77" s="447"/>
      <c r="C77" s="448"/>
      <c r="D77" s="2436"/>
      <c r="E77" s="2436"/>
      <c r="F77" s="2436"/>
      <c r="G77" s="2436"/>
      <c r="H77" s="2436"/>
      <c r="I77" s="449"/>
      <c r="J77" s="2436"/>
      <c r="K77" s="2436"/>
      <c r="L77" s="2436"/>
      <c r="M77" s="2436"/>
      <c r="N77" s="2436"/>
      <c r="O77" s="444"/>
      <c r="P77" s="2436"/>
      <c r="Q77" s="2436"/>
      <c r="R77" s="2436"/>
      <c r="S77" s="2436"/>
      <c r="T77" s="2436"/>
      <c r="U77" s="445"/>
    </row>
    <row r="78" spans="1:22" s="416" customFormat="1" ht="25.9" customHeight="1">
      <c r="A78" s="415"/>
      <c r="B78" s="461"/>
      <c r="C78" s="462"/>
      <c r="D78" s="2436"/>
      <c r="E78" s="2436"/>
      <c r="F78" s="2436"/>
      <c r="G78" s="2436"/>
      <c r="H78" s="2436"/>
      <c r="I78" s="462"/>
      <c r="J78" s="2436"/>
      <c r="K78" s="2436"/>
      <c r="L78" s="2436"/>
      <c r="M78" s="2436"/>
      <c r="N78" s="2436"/>
      <c r="O78" s="444"/>
      <c r="P78" s="2436"/>
      <c r="Q78" s="2436"/>
      <c r="R78" s="2436"/>
      <c r="S78" s="2436"/>
      <c r="T78" s="2436"/>
      <c r="U78" s="445"/>
    </row>
    <row r="79" spans="1:22" s="416" customFormat="1" ht="25.9" customHeight="1">
      <c r="A79" s="415"/>
      <c r="B79" s="461"/>
      <c r="C79" s="462"/>
      <c r="D79" s="2436"/>
      <c r="E79" s="2436"/>
      <c r="F79" s="2436"/>
      <c r="G79" s="2436"/>
      <c r="H79" s="2436"/>
      <c r="I79" s="462"/>
      <c r="J79" s="2436"/>
      <c r="K79" s="2436"/>
      <c r="L79" s="2436"/>
      <c r="M79" s="2436"/>
      <c r="N79" s="2436"/>
      <c r="O79" s="444"/>
      <c r="P79" s="2436"/>
      <c r="Q79" s="2436"/>
      <c r="R79" s="2436"/>
      <c r="S79" s="2436"/>
      <c r="T79" s="2436"/>
      <c r="U79" s="445"/>
    </row>
    <row r="80" spans="1:22" ht="25.9" customHeight="1">
      <c r="A80" s="420"/>
      <c r="B80" s="461"/>
      <c r="C80" s="462"/>
      <c r="D80" s="2436"/>
      <c r="E80" s="2436"/>
      <c r="F80" s="2436"/>
      <c r="G80" s="2436"/>
      <c r="H80" s="2436"/>
      <c r="I80" s="462"/>
      <c r="J80" s="2436"/>
      <c r="K80" s="2436"/>
      <c r="L80" s="2436"/>
      <c r="M80" s="2436"/>
      <c r="N80" s="2436"/>
      <c r="O80" s="441"/>
      <c r="P80" s="2436"/>
      <c r="Q80" s="2436"/>
      <c r="R80" s="2436"/>
      <c r="S80" s="2436"/>
      <c r="T80" s="2436"/>
      <c r="U80" s="451"/>
      <c r="V80" s="420"/>
    </row>
    <row r="81" spans="1:22" ht="13.9" customHeight="1">
      <c r="A81" s="420"/>
      <c r="B81" s="461"/>
      <c r="C81" s="462"/>
      <c r="D81" s="2436"/>
      <c r="E81" s="2436"/>
      <c r="F81" s="2436"/>
      <c r="G81" s="2436"/>
      <c r="H81" s="2436"/>
      <c r="I81" s="462"/>
      <c r="J81" s="2436"/>
      <c r="K81" s="2436"/>
      <c r="L81" s="2436"/>
      <c r="M81" s="2436"/>
      <c r="N81" s="2436"/>
      <c r="O81" s="453"/>
      <c r="P81" s="2436"/>
      <c r="Q81" s="2436"/>
      <c r="R81" s="2436"/>
      <c r="S81" s="2436"/>
      <c r="T81" s="2436"/>
      <c r="U81" s="454"/>
      <c r="V81" s="420"/>
    </row>
    <row r="82" spans="1:22" ht="25.9" customHeight="1">
      <c r="A82" s="420"/>
      <c r="B82" s="463"/>
      <c r="C82" s="464"/>
      <c r="D82" s="464"/>
      <c r="E82" s="464"/>
      <c r="F82" s="464"/>
      <c r="G82" s="464"/>
      <c r="H82" s="464"/>
      <c r="I82" s="464"/>
      <c r="J82" s="459"/>
      <c r="K82" s="459"/>
      <c r="L82" s="459"/>
      <c r="M82" s="459"/>
      <c r="N82" s="459"/>
      <c r="O82" s="459"/>
      <c r="P82" s="459"/>
      <c r="Q82" s="459"/>
      <c r="R82" s="459"/>
      <c r="S82" s="459"/>
      <c r="T82" s="459"/>
      <c r="U82" s="460"/>
      <c r="V82" s="420"/>
    </row>
    <row r="83" spans="1:22" ht="33" customHeight="1">
      <c r="A83" s="420"/>
      <c r="B83" s="465"/>
      <c r="C83" s="465"/>
      <c r="D83" s="465"/>
      <c r="E83" s="465"/>
      <c r="F83" s="465"/>
      <c r="G83" s="465"/>
      <c r="H83" s="465"/>
      <c r="I83" s="465"/>
      <c r="J83" s="428"/>
      <c r="K83" s="428"/>
      <c r="L83" s="428"/>
      <c r="M83" s="428"/>
      <c r="N83" s="428"/>
      <c r="O83" s="428"/>
      <c r="P83" s="428"/>
      <c r="Q83" s="428"/>
      <c r="R83" s="428"/>
      <c r="S83" s="428"/>
      <c r="T83" s="428"/>
      <c r="U83" s="428"/>
      <c r="V83" s="420"/>
    </row>
    <row r="84" spans="1:22" ht="23.25" customHeight="1">
      <c r="A84" s="420"/>
      <c r="B84" s="2325" t="s">
        <v>917</v>
      </c>
      <c r="C84" s="2326"/>
      <c r="D84" s="2326"/>
      <c r="E84" s="2326"/>
      <c r="F84" s="2326"/>
      <c r="G84" s="2326"/>
      <c r="H84" s="2326"/>
      <c r="I84" s="2326"/>
      <c r="J84" s="2326"/>
      <c r="K84" s="2326"/>
      <c r="L84" s="745"/>
      <c r="M84" s="745"/>
      <c r="N84" s="745"/>
      <c r="O84" s="745"/>
      <c r="P84" s="745"/>
      <c r="Q84" s="745"/>
      <c r="R84" s="745"/>
      <c r="S84" s="745"/>
      <c r="T84" s="745"/>
      <c r="U84" s="439"/>
      <c r="V84" s="420"/>
    </row>
    <row r="85" spans="1:22" ht="23.25" customHeight="1">
      <c r="A85" s="420"/>
      <c r="B85" s="2297" t="s">
        <v>918</v>
      </c>
      <c r="C85" s="2288"/>
      <c r="D85" s="2288"/>
      <c r="E85" s="2288"/>
      <c r="F85" s="2288"/>
      <c r="G85" s="2288"/>
      <c r="H85" s="2288"/>
      <c r="I85" s="2288"/>
      <c r="J85" s="2288"/>
      <c r="K85" s="2288"/>
      <c r="L85" s="2288"/>
      <c r="M85" s="2288"/>
      <c r="N85" s="2288"/>
      <c r="O85" s="2288"/>
      <c r="P85" s="2288"/>
      <c r="Q85" s="2288"/>
      <c r="R85" s="2288"/>
      <c r="S85" s="2288"/>
      <c r="T85" s="2288"/>
      <c r="U85" s="2298"/>
      <c r="V85" s="420"/>
    </row>
    <row r="86" spans="1:22" ht="33" customHeight="1">
      <c r="A86" s="420"/>
      <c r="B86" s="2297" t="s">
        <v>919</v>
      </c>
      <c r="C86" s="2288"/>
      <c r="D86" s="2288"/>
      <c r="E86" s="2288"/>
      <c r="F86" s="2288"/>
      <c r="G86" s="2288"/>
      <c r="H86" s="2288"/>
      <c r="I86" s="2288"/>
      <c r="J86" s="2288"/>
      <c r="K86" s="2288"/>
      <c r="L86" s="2288"/>
      <c r="M86" s="2288"/>
      <c r="N86" s="2288"/>
      <c r="O86" s="2288"/>
      <c r="P86" s="2288"/>
      <c r="Q86" s="2288"/>
      <c r="R86" s="2288"/>
      <c r="S86" s="2288"/>
      <c r="T86" s="2288"/>
      <c r="U86" s="2298"/>
      <c r="V86" s="420"/>
    </row>
    <row r="87" spans="1:22" ht="39" customHeight="1">
      <c r="A87" s="420"/>
      <c r="B87" s="466"/>
      <c r="C87" s="441"/>
      <c r="D87" s="2437" t="s">
        <v>920</v>
      </c>
      <c r="E87" s="2437"/>
      <c r="F87" s="2437"/>
      <c r="G87" s="2437"/>
      <c r="H87" s="2437"/>
      <c r="I87" s="441"/>
      <c r="J87" s="2437" t="s">
        <v>921</v>
      </c>
      <c r="K87" s="2437"/>
      <c r="L87" s="2437"/>
      <c r="M87" s="2437"/>
      <c r="N87" s="2437"/>
      <c r="O87" s="441"/>
      <c r="P87" s="2437" t="s">
        <v>922</v>
      </c>
      <c r="Q87" s="2437"/>
      <c r="R87" s="2437"/>
      <c r="S87" s="2437"/>
      <c r="T87" s="2437"/>
      <c r="U87" s="451"/>
      <c r="V87" s="420"/>
    </row>
    <row r="88" spans="1:22" s="416" customFormat="1" ht="13.15" customHeight="1">
      <c r="A88" s="415"/>
      <c r="B88" s="443"/>
      <c r="C88" s="444"/>
      <c r="D88" s="2436" t="s">
        <v>968</v>
      </c>
      <c r="E88" s="2436"/>
      <c r="F88" s="2436"/>
      <c r="G88" s="2436"/>
      <c r="H88" s="2436"/>
      <c r="I88" s="444"/>
      <c r="J88" s="2436" t="s">
        <v>969</v>
      </c>
      <c r="K88" s="2436"/>
      <c r="L88" s="2436"/>
      <c r="M88" s="2436"/>
      <c r="N88" s="2436"/>
      <c r="O88" s="444"/>
      <c r="P88" s="2438" t="s">
        <v>970</v>
      </c>
      <c r="Q88" s="2438"/>
      <c r="R88" s="2438"/>
      <c r="S88" s="2438"/>
      <c r="T88" s="2438"/>
      <c r="U88" s="445"/>
    </row>
    <row r="89" spans="1:22" s="416" customFormat="1" ht="13.15" customHeight="1">
      <c r="A89" s="415"/>
      <c r="B89" s="443"/>
      <c r="C89" s="444"/>
      <c r="D89" s="2436"/>
      <c r="E89" s="2436"/>
      <c r="F89" s="2436"/>
      <c r="G89" s="2436"/>
      <c r="H89" s="2436"/>
      <c r="I89" s="444"/>
      <c r="J89" s="2436"/>
      <c r="K89" s="2436"/>
      <c r="L89" s="2436"/>
      <c r="M89" s="2436"/>
      <c r="N89" s="2436"/>
      <c r="O89" s="444"/>
      <c r="P89" s="2438"/>
      <c r="Q89" s="2438"/>
      <c r="R89" s="2438"/>
      <c r="S89" s="2438"/>
      <c r="T89" s="2438"/>
      <c r="U89" s="445"/>
    </row>
    <row r="90" spans="1:22" s="416" customFormat="1" ht="13.15" customHeight="1">
      <c r="A90" s="415"/>
      <c r="B90" s="443"/>
      <c r="C90" s="444"/>
      <c r="D90" s="2436"/>
      <c r="E90" s="2436"/>
      <c r="F90" s="2436"/>
      <c r="G90" s="2436"/>
      <c r="H90" s="2436"/>
      <c r="I90" s="444"/>
      <c r="J90" s="2436"/>
      <c r="K90" s="2436"/>
      <c r="L90" s="2436"/>
      <c r="M90" s="2436"/>
      <c r="N90" s="2436"/>
      <c r="O90" s="444"/>
      <c r="P90" s="2438"/>
      <c r="Q90" s="2438"/>
      <c r="R90" s="2438"/>
      <c r="S90" s="2438"/>
      <c r="T90" s="2438"/>
      <c r="U90" s="445"/>
    </row>
    <row r="91" spans="1:22" s="416" customFormat="1" ht="25.9" customHeight="1">
      <c r="A91" s="415"/>
      <c r="B91" s="446"/>
      <c r="C91" s="444"/>
      <c r="D91" s="2436"/>
      <c r="E91" s="2436"/>
      <c r="F91" s="2436"/>
      <c r="G91" s="2436"/>
      <c r="H91" s="2436"/>
      <c r="I91" s="444"/>
      <c r="J91" s="2436"/>
      <c r="K91" s="2436"/>
      <c r="L91" s="2436"/>
      <c r="M91" s="2436"/>
      <c r="N91" s="2436"/>
      <c r="O91" s="444"/>
      <c r="P91" s="2438"/>
      <c r="Q91" s="2438"/>
      <c r="R91" s="2438"/>
      <c r="S91" s="2438"/>
      <c r="T91" s="2438"/>
      <c r="U91" s="445"/>
    </row>
    <row r="92" spans="1:22" s="416" customFormat="1" ht="25.9" customHeight="1">
      <c r="A92" s="415"/>
      <c r="B92" s="447"/>
      <c r="C92" s="448"/>
      <c r="D92" s="2436"/>
      <c r="E92" s="2436"/>
      <c r="F92" s="2436"/>
      <c r="G92" s="2436"/>
      <c r="H92" s="2436"/>
      <c r="I92" s="449"/>
      <c r="J92" s="2436"/>
      <c r="K92" s="2436"/>
      <c r="L92" s="2436"/>
      <c r="M92" s="2436"/>
      <c r="N92" s="2436"/>
      <c r="O92" s="444"/>
      <c r="P92" s="2438"/>
      <c r="Q92" s="2438"/>
      <c r="R92" s="2438"/>
      <c r="S92" s="2438"/>
      <c r="T92" s="2438"/>
      <c r="U92" s="445"/>
    </row>
    <row r="93" spans="1:22" s="416" customFormat="1" ht="25.9" customHeight="1">
      <c r="A93" s="415"/>
      <c r="B93" s="461"/>
      <c r="C93" s="462"/>
      <c r="D93" s="2436"/>
      <c r="E93" s="2436"/>
      <c r="F93" s="2436"/>
      <c r="G93" s="2436"/>
      <c r="H93" s="2436"/>
      <c r="I93" s="462"/>
      <c r="J93" s="2436"/>
      <c r="K93" s="2436"/>
      <c r="L93" s="2436"/>
      <c r="M93" s="2436"/>
      <c r="N93" s="2436"/>
      <c r="O93" s="444"/>
      <c r="P93" s="2438"/>
      <c r="Q93" s="2438"/>
      <c r="R93" s="2438"/>
      <c r="S93" s="2438"/>
      <c r="T93" s="2438"/>
      <c r="U93" s="445"/>
    </row>
    <row r="94" spans="1:22" s="416" customFormat="1" ht="25.9" customHeight="1">
      <c r="A94" s="415"/>
      <c r="B94" s="461"/>
      <c r="C94" s="462"/>
      <c r="D94" s="2436"/>
      <c r="E94" s="2436"/>
      <c r="F94" s="2436"/>
      <c r="G94" s="2436"/>
      <c r="H94" s="2436"/>
      <c r="I94" s="462"/>
      <c r="J94" s="2436"/>
      <c r="K94" s="2436"/>
      <c r="L94" s="2436"/>
      <c r="M94" s="2436"/>
      <c r="N94" s="2436"/>
      <c r="O94" s="444"/>
      <c r="P94" s="2438"/>
      <c r="Q94" s="2438"/>
      <c r="R94" s="2438"/>
      <c r="S94" s="2438"/>
      <c r="T94" s="2438"/>
      <c r="U94" s="445"/>
    </row>
    <row r="95" spans="1:22" ht="25.9" customHeight="1">
      <c r="A95" s="420"/>
      <c r="B95" s="461"/>
      <c r="C95" s="462"/>
      <c r="D95" s="2436"/>
      <c r="E95" s="2436"/>
      <c r="F95" s="2436"/>
      <c r="G95" s="2436"/>
      <c r="H95" s="2436"/>
      <c r="I95" s="462"/>
      <c r="J95" s="2436"/>
      <c r="K95" s="2436"/>
      <c r="L95" s="2436"/>
      <c r="M95" s="2436"/>
      <c r="N95" s="2436"/>
      <c r="O95" s="441"/>
      <c r="P95" s="2438"/>
      <c r="Q95" s="2438"/>
      <c r="R95" s="2438"/>
      <c r="S95" s="2438"/>
      <c r="T95" s="2438"/>
      <c r="U95" s="451"/>
      <c r="V95" s="420"/>
    </row>
    <row r="96" spans="1:22" ht="25.9" customHeight="1">
      <c r="A96" s="420"/>
      <c r="B96" s="461"/>
      <c r="C96" s="462"/>
      <c r="D96" s="2436"/>
      <c r="E96" s="2436"/>
      <c r="F96" s="2436"/>
      <c r="G96" s="2436"/>
      <c r="H96" s="2436"/>
      <c r="I96" s="462"/>
      <c r="J96" s="2436"/>
      <c r="K96" s="2436"/>
      <c r="L96" s="2436"/>
      <c r="M96" s="2436"/>
      <c r="N96" s="2436"/>
      <c r="O96" s="453"/>
      <c r="P96" s="2438"/>
      <c r="Q96" s="2438"/>
      <c r="R96" s="2438"/>
      <c r="S96" s="2438"/>
      <c r="T96" s="2438"/>
      <c r="U96" s="454"/>
      <c r="V96" s="420"/>
    </row>
    <row r="97" spans="1:22" s="429" customFormat="1" ht="25.9" customHeight="1">
      <c r="A97" s="420"/>
      <c r="B97" s="461"/>
      <c r="C97" s="462"/>
      <c r="D97" s="467"/>
      <c r="E97" s="467"/>
      <c r="F97" s="467"/>
      <c r="G97" s="467"/>
      <c r="H97" s="467"/>
      <c r="I97" s="462"/>
      <c r="J97" s="467"/>
      <c r="K97" s="467"/>
      <c r="L97" s="467"/>
      <c r="M97" s="467"/>
      <c r="N97" s="467"/>
      <c r="O97" s="453"/>
      <c r="P97" s="2416" t="s">
        <v>923</v>
      </c>
      <c r="Q97" s="2416"/>
      <c r="R97" s="2416"/>
      <c r="S97" s="2416"/>
      <c r="T97" s="2416"/>
      <c r="U97" s="454"/>
      <c r="V97" s="420"/>
    </row>
    <row r="98" spans="1:22" s="429" customFormat="1" ht="25.9" customHeight="1">
      <c r="A98" s="420"/>
      <c r="B98" s="461"/>
      <c r="C98" s="462"/>
      <c r="D98" s="467"/>
      <c r="E98" s="467"/>
      <c r="F98" s="467"/>
      <c r="G98" s="467"/>
      <c r="H98" s="467"/>
      <c r="I98" s="462"/>
      <c r="J98" s="467"/>
      <c r="K98" s="467"/>
      <c r="L98" s="467"/>
      <c r="M98" s="467"/>
      <c r="N98" s="467"/>
      <c r="O98" s="453"/>
      <c r="P98" s="2416" t="s">
        <v>1005</v>
      </c>
      <c r="Q98" s="2416"/>
      <c r="R98" s="2416"/>
      <c r="S98" s="2416"/>
      <c r="T98" s="2416"/>
      <c r="U98" s="454"/>
      <c r="V98" s="420"/>
    </row>
    <row r="99" spans="1:22" ht="33" customHeight="1">
      <c r="A99" s="420"/>
      <c r="B99" s="2297" t="s">
        <v>971</v>
      </c>
      <c r="C99" s="2288"/>
      <c r="D99" s="2288"/>
      <c r="E99" s="2288"/>
      <c r="F99" s="2288"/>
      <c r="G99" s="2288"/>
      <c r="H99" s="2288"/>
      <c r="I99" s="2288"/>
      <c r="J99" s="2288"/>
      <c r="K99" s="2288"/>
      <c r="L99" s="2288"/>
      <c r="M99" s="2288"/>
      <c r="N99" s="2288"/>
      <c r="O99" s="2288"/>
      <c r="P99" s="2288"/>
      <c r="Q99" s="2288"/>
      <c r="R99" s="2288"/>
      <c r="S99" s="2288"/>
      <c r="T99" s="2288"/>
      <c r="U99" s="2298"/>
      <c r="V99" s="420"/>
    </row>
    <row r="100" spans="1:22" ht="33" customHeight="1">
      <c r="A100" s="420"/>
      <c r="B100" s="742"/>
      <c r="C100" s="743"/>
      <c r="D100" s="743"/>
      <c r="E100" s="743"/>
      <c r="F100" s="743"/>
      <c r="G100" s="743"/>
      <c r="H100" s="2423" t="s">
        <v>972</v>
      </c>
      <c r="I100" s="2424"/>
      <c r="J100" s="2423" t="s">
        <v>973</v>
      </c>
      <c r="K100" s="2424"/>
      <c r="L100" s="2423" t="s">
        <v>974</v>
      </c>
      <c r="M100" s="2424"/>
      <c r="N100" s="2423" t="s">
        <v>975</v>
      </c>
      <c r="O100" s="2424"/>
      <c r="P100" s="743"/>
      <c r="Q100" s="743"/>
      <c r="R100" s="743"/>
      <c r="S100" s="743"/>
      <c r="T100" s="743"/>
      <c r="U100" s="744"/>
      <c r="V100" s="420"/>
    </row>
    <row r="101" spans="1:22" ht="33" customHeight="1">
      <c r="A101" s="420"/>
      <c r="B101" s="742"/>
      <c r="C101" s="743"/>
      <c r="D101" s="743"/>
      <c r="E101" s="743"/>
      <c r="F101" s="743"/>
      <c r="G101" s="743"/>
      <c r="H101" s="2425"/>
      <c r="I101" s="2426"/>
      <c r="J101" s="2425"/>
      <c r="K101" s="2426"/>
      <c r="L101" s="2425"/>
      <c r="M101" s="2426"/>
      <c r="N101" s="2425"/>
      <c r="O101" s="2426"/>
      <c r="P101" s="743"/>
      <c r="Q101" s="743"/>
      <c r="R101" s="743"/>
      <c r="S101" s="743"/>
      <c r="T101" s="743"/>
      <c r="U101" s="744"/>
      <c r="V101" s="420"/>
    </row>
    <row r="102" spans="1:22" s="470" customFormat="1" ht="33" customHeight="1">
      <c r="B102" s="471"/>
      <c r="C102" s="472"/>
      <c r="D102" s="472"/>
      <c r="E102" s="472"/>
      <c r="F102" s="472"/>
      <c r="G102" s="472"/>
      <c r="H102" s="472"/>
      <c r="I102" s="472"/>
      <c r="J102" s="472"/>
      <c r="K102" s="472"/>
      <c r="L102" s="472"/>
      <c r="M102" s="472"/>
      <c r="N102" s="472"/>
      <c r="O102" s="472"/>
      <c r="P102" s="472"/>
      <c r="Q102" s="472"/>
      <c r="R102" s="472"/>
      <c r="S102" s="472"/>
      <c r="T102" s="472"/>
      <c r="U102" s="473"/>
    </row>
    <row r="103" spans="1:22" ht="19.149999999999999" customHeight="1">
      <c r="I103" s="522"/>
      <c r="J103" s="522"/>
      <c r="K103" s="522"/>
      <c r="L103" s="522"/>
      <c r="M103" s="522"/>
      <c r="N103" s="526"/>
      <c r="O103" s="527"/>
      <c r="P103" s="528"/>
      <c r="Q103" s="529"/>
      <c r="R103" s="522"/>
      <c r="S103" s="522"/>
      <c r="T103" s="522"/>
      <c r="U103" s="522"/>
    </row>
    <row r="104" spans="1:22" ht="15.75">
      <c r="A104" s="420"/>
      <c r="B104" s="420"/>
      <c r="C104" s="420"/>
      <c r="D104" s="420"/>
      <c r="E104" s="420"/>
      <c r="F104" s="420"/>
      <c r="G104" s="420"/>
      <c r="H104" s="420"/>
      <c r="I104" s="420"/>
      <c r="J104" s="420"/>
      <c r="K104" s="420"/>
      <c r="L104" s="420"/>
      <c r="M104" s="476" t="s">
        <v>1818</v>
      </c>
      <c r="N104" s="420"/>
      <c r="O104" s="420"/>
      <c r="P104" s="420"/>
      <c r="Q104" s="420"/>
      <c r="R104" s="477" t="s">
        <v>692</v>
      </c>
      <c r="S104" s="478" t="str">
        <f>$E$29</f>
        <v>ILF5_90FCOS_B114CAGR43006</v>
      </c>
      <c r="T104" s="420"/>
      <c r="U104" s="420"/>
      <c r="V104" s="420"/>
    </row>
    <row r="105" spans="1:22" ht="23.25">
      <c r="A105" s="420"/>
      <c r="B105" s="475"/>
      <c r="C105" s="475"/>
      <c r="D105" s="475"/>
      <c r="E105" s="475"/>
      <c r="F105" s="475"/>
      <c r="G105" s="475"/>
      <c r="H105" s="475"/>
      <c r="I105" s="475"/>
      <c r="J105" s="475"/>
      <c r="K105" s="475"/>
      <c r="L105" s="475"/>
      <c r="M105" s="475"/>
      <c r="N105" s="475"/>
      <c r="O105" s="475"/>
      <c r="P105" s="475"/>
      <c r="Q105" s="475"/>
      <c r="R105" s="475"/>
      <c r="S105" s="475"/>
      <c r="T105" s="475"/>
      <c r="U105" s="475"/>
      <c r="V105" s="420"/>
    </row>
    <row r="106" spans="1:22">
      <c r="A106" s="420"/>
      <c r="B106" s="420"/>
      <c r="C106" s="420"/>
      <c r="D106" s="420"/>
      <c r="E106" s="420"/>
      <c r="F106" s="420"/>
      <c r="G106" s="420"/>
      <c r="H106" s="436" t="s">
        <v>690</v>
      </c>
      <c r="I106" s="420"/>
      <c r="K106" s="420"/>
      <c r="L106" s="437" t="str">
        <f>$B$11</f>
        <v>INMOBILIARIA SERVIGESTION</v>
      </c>
      <c r="M106" s="420"/>
      <c r="N106" s="420"/>
      <c r="O106" s="420"/>
      <c r="P106" s="420"/>
      <c r="Q106" s="420"/>
      <c r="R106" s="420"/>
      <c r="S106" s="420"/>
      <c r="T106" s="420"/>
      <c r="U106" s="420"/>
      <c r="V106" s="420"/>
    </row>
    <row r="107" spans="1:22" ht="34.5">
      <c r="A107" s="420"/>
      <c r="B107" s="2268" t="s">
        <v>461</v>
      </c>
      <c r="C107" s="2268"/>
      <c r="D107" s="2268"/>
      <c r="E107" s="2268"/>
      <c r="F107" s="2268"/>
      <c r="G107" s="2268"/>
      <c r="H107" s="2268"/>
      <c r="I107" s="2268"/>
      <c r="J107" s="2268"/>
      <c r="K107" s="2268"/>
      <c r="L107" s="2268"/>
      <c r="M107" s="2268"/>
      <c r="N107" s="2268"/>
      <c r="O107" s="2268"/>
      <c r="P107" s="2268"/>
      <c r="Q107" s="2268"/>
      <c r="R107" s="2268"/>
      <c r="S107" s="2268"/>
      <c r="T107" s="2268"/>
      <c r="U107" s="2268"/>
      <c r="V107" s="420"/>
    </row>
    <row r="108" spans="1:22" ht="22.9" customHeight="1">
      <c r="A108" s="420"/>
      <c r="B108" s="2269" t="s">
        <v>1084</v>
      </c>
      <c r="C108" s="2269"/>
      <c r="D108" s="2269"/>
      <c r="E108" s="2269"/>
      <c r="F108" s="2269"/>
      <c r="G108" s="2269"/>
      <c r="H108" s="2269"/>
      <c r="I108" s="2269"/>
      <c r="J108" s="2269"/>
      <c r="K108" s="2269"/>
      <c r="L108" s="2269"/>
      <c r="M108" s="2269"/>
      <c r="N108" s="2269"/>
      <c r="O108" s="2269"/>
      <c r="P108" s="2269"/>
      <c r="Q108" s="2269"/>
      <c r="R108" s="2269"/>
      <c r="S108" s="2269"/>
      <c r="T108" s="2269"/>
      <c r="U108" s="2269"/>
      <c r="V108" s="420"/>
    </row>
    <row r="109" spans="1:22" ht="16.149999999999999" customHeight="1">
      <c r="A109" s="420"/>
      <c r="B109" s="459"/>
      <c r="C109" s="459"/>
      <c r="D109" s="459"/>
      <c r="E109" s="459"/>
      <c r="F109" s="459"/>
      <c r="G109" s="459"/>
      <c r="H109" s="459"/>
      <c r="I109" s="459"/>
      <c r="J109" s="459"/>
      <c r="K109" s="459"/>
      <c r="L109" s="459"/>
      <c r="M109" s="459"/>
      <c r="N109" s="459"/>
      <c r="O109" s="459"/>
      <c r="P109" s="488"/>
      <c r="Q109" s="459"/>
      <c r="R109" s="459"/>
      <c r="S109" s="459"/>
      <c r="T109" s="459"/>
      <c r="U109" s="459"/>
      <c r="V109" s="420"/>
    </row>
    <row r="110" spans="1:22" ht="102" customHeight="1">
      <c r="A110" s="489"/>
      <c r="B110" s="2444" t="s">
        <v>1908</v>
      </c>
      <c r="C110" s="2445"/>
      <c r="D110" s="2445"/>
      <c r="E110" s="2445"/>
      <c r="F110" s="2445"/>
      <c r="G110" s="2445"/>
      <c r="H110" s="2445"/>
      <c r="I110" s="2445"/>
      <c r="J110" s="2445"/>
      <c r="K110" s="2445"/>
      <c r="L110" s="2445"/>
      <c r="M110" s="2445"/>
      <c r="N110" s="2445"/>
      <c r="O110" s="2445"/>
      <c r="P110" s="2445"/>
      <c r="Q110" s="2445"/>
      <c r="R110" s="2445"/>
      <c r="S110" s="2445"/>
      <c r="T110" s="2445"/>
      <c r="U110" s="2446"/>
      <c r="V110" s="490"/>
    </row>
    <row r="111" spans="1:22" ht="13.9" customHeight="1">
      <c r="A111" s="489"/>
      <c r="B111" s="1887"/>
      <c r="C111" s="1887"/>
      <c r="D111" s="1887"/>
      <c r="E111" s="1887"/>
      <c r="F111" s="1887"/>
      <c r="G111" s="1887"/>
      <c r="H111" s="1887"/>
      <c r="I111" s="1887"/>
      <c r="J111" s="1887"/>
      <c r="K111" s="1887"/>
      <c r="L111" s="1887"/>
      <c r="M111" s="1887"/>
      <c r="N111" s="1887"/>
      <c r="O111" s="1887"/>
      <c r="P111" s="1887"/>
      <c r="Q111" s="1887"/>
      <c r="R111" s="1887"/>
      <c r="S111" s="1887"/>
      <c r="T111" s="1887"/>
      <c r="U111" s="1887"/>
      <c r="V111" s="490"/>
    </row>
    <row r="112" spans="1:22" ht="36.75" customHeight="1">
      <c r="A112" s="489"/>
      <c r="B112" s="1887"/>
      <c r="C112" s="2443" t="s">
        <v>784</v>
      </c>
      <c r="D112" s="2443"/>
      <c r="E112" s="2443"/>
      <c r="F112" s="2443"/>
      <c r="G112" s="2443"/>
      <c r="H112" s="2443"/>
      <c r="I112" s="2443"/>
      <c r="J112" s="2443"/>
      <c r="K112" s="2443"/>
      <c r="L112" s="2443"/>
      <c r="M112" s="2443"/>
      <c r="N112" s="2443"/>
      <c r="O112" s="2443"/>
      <c r="P112" s="2443"/>
      <c r="Q112" s="2443"/>
      <c r="R112" s="2443"/>
      <c r="S112" s="2443"/>
      <c r="T112" s="2443"/>
      <c r="U112" s="1887"/>
      <c r="V112" s="490"/>
    </row>
    <row r="113" spans="1:23" ht="22.15" customHeight="1">
      <c r="A113" s="451"/>
      <c r="B113" s="1862"/>
      <c r="C113" s="1862"/>
      <c r="D113" s="1862"/>
      <c r="E113" s="1862"/>
      <c r="F113" s="1862"/>
      <c r="G113" s="1862"/>
      <c r="H113" s="1862"/>
      <c r="I113" s="1862"/>
      <c r="J113" s="1862"/>
      <c r="K113" s="1862"/>
      <c r="L113" s="2400"/>
      <c r="M113" s="2400"/>
      <c r="N113" s="2400"/>
      <c r="O113" s="2400"/>
      <c r="P113" s="2400"/>
      <c r="Q113" s="2400"/>
      <c r="R113" s="2400"/>
      <c r="S113" s="2400"/>
      <c r="T113" s="1862"/>
      <c r="U113" s="1863"/>
      <c r="V113" s="493"/>
    </row>
    <row r="114" spans="1:23" ht="23.25">
      <c r="B114" s="1864"/>
      <c r="C114" s="2401" t="s">
        <v>1083</v>
      </c>
      <c r="D114" s="2401"/>
      <c r="E114" s="2401"/>
      <c r="F114" s="2401"/>
      <c r="G114" s="2401"/>
      <c r="H114" s="2401"/>
      <c r="I114" s="2401"/>
      <c r="J114" s="2401"/>
      <c r="K114" s="2401"/>
      <c r="L114" s="1865"/>
      <c r="M114" s="2447" t="s">
        <v>1988</v>
      </c>
      <c r="N114" s="2448"/>
      <c r="O114" s="2448"/>
      <c r="P114" s="2448"/>
      <c r="Q114" s="2448"/>
      <c r="R114" s="2448"/>
      <c r="S114" s="2448"/>
      <c r="T114" s="2449"/>
      <c r="U114" s="1866"/>
      <c r="V114" s="441"/>
    </row>
    <row r="115" spans="1:23" ht="108.75" customHeight="1">
      <c r="B115" s="495" t="s">
        <v>362</v>
      </c>
      <c r="C115" s="2396" t="s">
        <v>1909</v>
      </c>
      <c r="D115" s="2397"/>
      <c r="E115" s="2397"/>
      <c r="F115" s="2397"/>
      <c r="G115" s="2397"/>
      <c r="H115" s="2397"/>
      <c r="I115" s="2397"/>
      <c r="J115" s="2397"/>
      <c r="K115" s="2398"/>
      <c r="L115" s="1867"/>
      <c r="M115" s="2396" t="s">
        <v>1989</v>
      </c>
      <c r="N115" s="2397"/>
      <c r="O115" s="2397"/>
      <c r="P115" s="2397"/>
      <c r="Q115" s="2397"/>
      <c r="R115" s="2397"/>
      <c r="S115" s="2397"/>
      <c r="T115" s="2398"/>
      <c r="U115" s="1866"/>
      <c r="V115" s="441"/>
    </row>
    <row r="116" spans="1:23" ht="26.25">
      <c r="A116" s="441"/>
      <c r="B116" s="1868"/>
      <c r="C116" s="2327" t="s">
        <v>783</v>
      </c>
      <c r="D116" s="2327"/>
      <c r="E116" s="2327"/>
      <c r="F116" s="2327"/>
      <c r="G116" s="2327"/>
      <c r="H116" s="1869">
        <v>24</v>
      </c>
      <c r="I116" s="1870"/>
      <c r="J116" s="1870"/>
      <c r="K116" s="1870"/>
      <c r="L116" s="1871"/>
      <c r="M116" s="1872" t="s">
        <v>783</v>
      </c>
      <c r="N116" s="1873"/>
      <c r="O116" s="1874"/>
      <c r="P116" s="1874"/>
      <c r="Q116" s="1874"/>
      <c r="R116" s="1869">
        <v>32</v>
      </c>
      <c r="S116" s="1875"/>
      <c r="T116" s="1875"/>
      <c r="U116" s="1876"/>
    </row>
    <row r="117" spans="1:23" ht="10.9" customHeight="1">
      <c r="A117" s="441"/>
      <c r="B117" s="1877"/>
      <c r="C117" s="501"/>
      <c r="D117" s="501"/>
      <c r="E117" s="501"/>
      <c r="F117" s="501"/>
      <c r="G117" s="501"/>
      <c r="H117" s="501"/>
      <c r="I117" s="501"/>
      <c r="J117" s="501"/>
      <c r="K117" s="501"/>
      <c r="L117" s="501"/>
      <c r="M117" s="501"/>
      <c r="N117" s="501"/>
      <c r="O117" s="501"/>
      <c r="P117" s="501"/>
      <c r="Q117" s="501"/>
      <c r="R117" s="501"/>
      <c r="S117" s="501"/>
      <c r="T117" s="501"/>
      <c r="U117" s="502"/>
    </row>
    <row r="118" spans="1:23" ht="15.6" customHeight="1">
      <c r="A118" s="441"/>
      <c r="B118" s="495"/>
      <c r="C118" s="501"/>
      <c r="D118" s="501"/>
      <c r="E118" s="501"/>
      <c r="F118" s="501"/>
      <c r="G118" s="501"/>
      <c r="H118" s="501"/>
      <c r="I118" s="501"/>
      <c r="J118" s="501"/>
      <c r="K118" s="501"/>
      <c r="L118" s="501"/>
      <c r="M118" s="501"/>
      <c r="N118" s="501"/>
      <c r="O118" s="1871"/>
      <c r="P118" s="1878"/>
      <c r="Q118" s="501"/>
      <c r="R118" s="501"/>
      <c r="S118" s="501"/>
      <c r="T118" s="501"/>
      <c r="U118" s="502"/>
    </row>
    <row r="119" spans="1:23" s="429" customFormat="1" ht="99.75" customHeight="1">
      <c r="A119" s="504"/>
      <c r="B119" s="1879"/>
      <c r="C119" s="2443" t="s">
        <v>786</v>
      </c>
      <c r="D119" s="2443"/>
      <c r="E119" s="2443"/>
      <c r="F119" s="2443"/>
      <c r="G119" s="2443"/>
      <c r="H119" s="2443"/>
      <c r="I119" s="2443"/>
      <c r="J119" s="2443"/>
      <c r="K119" s="2443"/>
      <c r="L119" s="2443"/>
      <c r="M119" s="2443"/>
      <c r="N119" s="2443"/>
      <c r="O119" s="2443"/>
      <c r="P119" s="2443"/>
      <c r="Q119" s="2443"/>
      <c r="R119" s="2443"/>
      <c r="S119" s="2443"/>
      <c r="T119" s="2443"/>
      <c r="U119" s="505"/>
    </row>
    <row r="120" spans="1:23" s="429" customFormat="1" ht="20.25" customHeight="1">
      <c r="A120" s="504"/>
      <c r="B120" s="1879"/>
      <c r="C120" s="1862"/>
      <c r="D120" s="1862"/>
      <c r="E120" s="1862"/>
      <c r="F120" s="1862"/>
      <c r="G120" s="1862"/>
      <c r="H120" s="1862"/>
      <c r="I120" s="1862"/>
      <c r="J120" s="1862"/>
      <c r="K120" s="1862"/>
      <c r="L120" s="2400"/>
      <c r="M120" s="2400"/>
      <c r="N120" s="2400"/>
      <c r="O120" s="2400"/>
      <c r="P120" s="2400"/>
      <c r="Q120" s="2400"/>
      <c r="R120" s="2400"/>
      <c r="S120" s="2400"/>
      <c r="T120" s="1862"/>
      <c r="U120" s="505"/>
      <c r="V120" s="504"/>
    </row>
    <row r="121" spans="1:23" s="429" customFormat="1" ht="24" customHeight="1">
      <c r="B121" s="1880"/>
      <c r="C121" s="2401" t="s">
        <v>1986</v>
      </c>
      <c r="D121" s="2401"/>
      <c r="E121" s="2401"/>
      <c r="F121" s="2401"/>
      <c r="G121" s="2401"/>
      <c r="H121" s="2401"/>
      <c r="I121" s="2401"/>
      <c r="J121" s="2401"/>
      <c r="K121" s="2401"/>
      <c r="L121" s="1881"/>
      <c r="M121" s="2401" t="s">
        <v>1984</v>
      </c>
      <c r="N121" s="2401"/>
      <c r="O121" s="2401"/>
      <c r="P121" s="2401"/>
      <c r="Q121" s="2401"/>
      <c r="R121" s="2401"/>
      <c r="S121" s="2401"/>
      <c r="T121" s="2401"/>
      <c r="U121" s="505"/>
    </row>
    <row r="122" spans="1:23" s="429" customFormat="1" ht="153" customHeight="1">
      <c r="B122" s="1882"/>
      <c r="C122" s="2396" t="s">
        <v>1987</v>
      </c>
      <c r="D122" s="2402"/>
      <c r="E122" s="2402"/>
      <c r="F122" s="2402"/>
      <c r="G122" s="2402"/>
      <c r="H122" s="2402"/>
      <c r="I122" s="2402"/>
      <c r="J122" s="2402"/>
      <c r="K122" s="2403"/>
      <c r="L122" s="507"/>
      <c r="M122" s="2396" t="s">
        <v>1985</v>
      </c>
      <c r="N122" s="2402"/>
      <c r="O122" s="2402"/>
      <c r="P122" s="2402"/>
      <c r="Q122" s="2402"/>
      <c r="R122" s="2402"/>
      <c r="S122" s="2402"/>
      <c r="T122" s="2403"/>
      <c r="U122" s="505"/>
      <c r="V122" s="490"/>
      <c r="W122" s="504"/>
    </row>
    <row r="123" spans="1:23" s="429" customFormat="1" ht="27" customHeight="1">
      <c r="B123" s="1883"/>
      <c r="C123" s="2327" t="s">
        <v>783</v>
      </c>
      <c r="D123" s="2327"/>
      <c r="E123" s="2327"/>
      <c r="F123" s="2327"/>
      <c r="G123" s="2327"/>
      <c r="H123" s="1884">
        <v>53</v>
      </c>
      <c r="I123" s="1869"/>
      <c r="J123" s="1869"/>
      <c r="K123" s="1869"/>
      <c r="L123" s="1885"/>
      <c r="M123" s="2327" t="s">
        <v>783</v>
      </c>
      <c r="N123" s="2327"/>
      <c r="O123" s="2327"/>
      <c r="P123" s="2327"/>
      <c r="Q123" s="2327"/>
      <c r="R123" s="1884">
        <v>73</v>
      </c>
      <c r="S123" s="1869"/>
      <c r="T123" s="1869"/>
      <c r="U123" s="505"/>
      <c r="V123" s="490"/>
      <c r="W123" s="504"/>
    </row>
    <row r="124" spans="1:23" s="429" customFormat="1" ht="5.25" customHeight="1">
      <c r="B124" s="509"/>
      <c r="C124" s="1886"/>
      <c r="D124" s="1886"/>
      <c r="E124" s="510"/>
      <c r="F124" s="510"/>
      <c r="G124" s="510"/>
      <c r="H124" s="510"/>
      <c r="I124" s="510"/>
      <c r="J124" s="510"/>
      <c r="K124" s="510"/>
      <c r="L124" s="510"/>
      <c r="M124" s="510"/>
      <c r="N124" s="510"/>
      <c r="O124" s="1887"/>
      <c r="P124" s="1887"/>
      <c r="Q124" s="510"/>
      <c r="R124" s="510"/>
      <c r="S124" s="510"/>
      <c r="T124" s="510"/>
      <c r="U124" s="505"/>
      <c r="V124" s="504"/>
    </row>
    <row r="125" spans="1:23" s="429" customFormat="1" ht="54.75" customHeight="1">
      <c r="B125" s="1879"/>
      <c r="C125" s="2450" t="s">
        <v>1910</v>
      </c>
      <c r="D125" s="2450"/>
      <c r="E125" s="2450"/>
      <c r="F125" s="2450"/>
      <c r="G125" s="2450"/>
      <c r="H125" s="2450"/>
      <c r="I125" s="2450"/>
      <c r="J125" s="2450"/>
      <c r="K125" s="2450"/>
      <c r="L125" s="2450"/>
      <c r="M125" s="2450"/>
      <c r="N125" s="2450"/>
      <c r="O125" s="2450"/>
      <c r="P125" s="2450"/>
      <c r="Q125" s="2450"/>
      <c r="R125" s="2450"/>
      <c r="S125" s="2450"/>
      <c r="T125" s="2450"/>
      <c r="U125" s="505"/>
    </row>
    <row r="126" spans="1:23" s="429" customFormat="1" ht="51.75" customHeight="1">
      <c r="B126" s="1880"/>
      <c r="C126" s="2328" t="s">
        <v>976</v>
      </c>
      <c r="D126" s="2328"/>
      <c r="E126" s="2328"/>
      <c r="F126" s="2328"/>
      <c r="G126" s="2328"/>
      <c r="H126" s="2328"/>
      <c r="I126" s="2328"/>
      <c r="J126" s="2328"/>
      <c r="K126" s="2328"/>
      <c r="L126" s="2328"/>
      <c r="M126" s="2328"/>
      <c r="N126" s="2328"/>
      <c r="O126" s="2328"/>
      <c r="P126" s="2328"/>
      <c r="Q126" s="2328"/>
      <c r="R126" s="2328"/>
      <c r="S126" s="2328"/>
      <c r="T126" s="2328"/>
      <c r="U126" s="1888"/>
    </row>
    <row r="127" spans="1:23" ht="11.25" customHeight="1">
      <c r="B127" s="515"/>
      <c r="C127" s="488"/>
      <c r="D127" s="516"/>
      <c r="E127" s="517"/>
      <c r="F127" s="517"/>
      <c r="G127" s="517"/>
      <c r="H127" s="517"/>
      <c r="I127" s="517"/>
      <c r="J127" s="518"/>
      <c r="K127" s="517"/>
      <c r="L127" s="517"/>
      <c r="M127" s="517"/>
      <c r="N127" s="516"/>
      <c r="O127" s="517"/>
      <c r="P127" s="516"/>
      <c r="Q127" s="488"/>
      <c r="R127" s="517"/>
      <c r="S127" s="518"/>
      <c r="T127" s="518"/>
      <c r="U127" s="519"/>
    </row>
    <row r="128" spans="1:23" ht="17.45" customHeight="1">
      <c r="B128" s="520" t="s">
        <v>785</v>
      </c>
      <c r="C128" s="521"/>
      <c r="D128" s="521"/>
      <c r="E128" s="521"/>
      <c r="F128" s="521"/>
      <c r="G128" s="521"/>
      <c r="H128" s="521"/>
      <c r="I128" s="521"/>
      <c r="J128" s="521"/>
      <c r="K128" s="521"/>
      <c r="L128" s="521"/>
      <c r="M128" s="521"/>
      <c r="N128" s="521"/>
      <c r="O128" s="479"/>
      <c r="P128" s="479"/>
      <c r="Q128" s="521"/>
      <c r="R128" s="521"/>
      <c r="S128" s="521"/>
      <c r="T128" s="521"/>
      <c r="U128" s="521"/>
      <c r="V128" s="441"/>
    </row>
    <row r="129" spans="1:22" ht="12.75" customHeight="1">
      <c r="B129" s="522"/>
      <c r="C129" s="522"/>
      <c r="D129" s="522"/>
      <c r="E129" s="522"/>
      <c r="F129" s="522"/>
      <c r="G129" s="522"/>
      <c r="H129" s="522"/>
      <c r="I129" s="499"/>
      <c r="J129" s="523"/>
      <c r="K129" s="499"/>
      <c r="L129" s="499"/>
      <c r="M129" s="499"/>
      <c r="N129" s="524"/>
      <c r="O129" s="499"/>
      <c r="P129" s="524"/>
      <c r="Q129" s="441"/>
      <c r="R129" s="499"/>
      <c r="S129" s="523"/>
      <c r="T129" s="523"/>
      <c r="U129" s="499"/>
    </row>
    <row r="130" spans="1:22" ht="29.25" customHeight="1">
      <c r="B130" s="2269" t="s">
        <v>1073</v>
      </c>
      <c r="C130" s="2269"/>
      <c r="D130" s="2269"/>
      <c r="E130" s="2269"/>
      <c r="F130" s="2269"/>
      <c r="G130" s="2269"/>
      <c r="H130" s="2269"/>
      <c r="I130" s="2269"/>
      <c r="J130" s="2269"/>
      <c r="K130" s="2269"/>
      <c r="L130" s="2269"/>
      <c r="M130" s="2269"/>
      <c r="N130" s="2269"/>
      <c r="O130" s="2269"/>
      <c r="P130" s="2269"/>
      <c r="Q130" s="2269"/>
      <c r="R130" s="2269"/>
      <c r="S130" s="2269"/>
      <c r="T130" s="2269"/>
      <c r="U130" s="2269"/>
      <c r="V130" s="441"/>
    </row>
    <row r="131" spans="1:22" ht="6.6" customHeight="1">
      <c r="B131" s="520"/>
      <c r="C131" s="521"/>
      <c r="D131" s="521"/>
      <c r="E131" s="521"/>
      <c r="F131" s="521"/>
      <c r="G131" s="521"/>
      <c r="H131" s="521"/>
      <c r="I131" s="521"/>
      <c r="J131" s="521"/>
      <c r="K131" s="521"/>
      <c r="L131" s="521"/>
      <c r="M131" s="521"/>
      <c r="N131" s="521"/>
      <c r="O131" s="479"/>
      <c r="P131" s="479"/>
      <c r="Q131" s="521"/>
      <c r="R131" s="521"/>
      <c r="S131" s="521"/>
      <c r="T131" s="521"/>
      <c r="U131" s="521"/>
      <c r="V131" s="441"/>
    </row>
    <row r="132" spans="1:22" ht="17.45" customHeight="1">
      <c r="B132" s="912"/>
      <c r="C132" s="913"/>
      <c r="D132" s="913"/>
      <c r="E132" s="913"/>
      <c r="F132" s="913"/>
      <c r="G132" s="913"/>
      <c r="H132" s="913"/>
      <c r="I132" s="913"/>
      <c r="J132" s="913"/>
      <c r="K132" s="913"/>
      <c r="L132" s="913"/>
      <c r="M132" s="913"/>
      <c r="N132" s="913"/>
      <c r="O132" s="914"/>
      <c r="P132" s="914"/>
      <c r="Q132" s="913"/>
      <c r="R132" s="913"/>
      <c r="S132" s="913"/>
      <c r="T132" s="913"/>
      <c r="U132" s="915"/>
      <c r="V132" s="441"/>
    </row>
    <row r="133" spans="1:22" ht="2.25" customHeight="1">
      <c r="B133" s="916"/>
      <c r="C133" s="513"/>
      <c r="D133" s="513"/>
      <c r="E133" s="513"/>
      <c r="F133" s="513"/>
      <c r="G133" s="513"/>
      <c r="H133" s="513"/>
      <c r="I133" s="513"/>
      <c r="J133" s="513"/>
      <c r="K133" s="513"/>
      <c r="L133" s="513"/>
      <c r="M133" s="513"/>
      <c r="N133" s="513"/>
      <c r="O133" s="479"/>
      <c r="P133" s="479"/>
      <c r="Q133" s="513"/>
      <c r="R133" s="513"/>
      <c r="S133" s="513"/>
      <c r="T133" s="513"/>
      <c r="U133" s="511"/>
      <c r="V133" s="441"/>
    </row>
    <row r="134" spans="1:22" ht="17.45" customHeight="1">
      <c r="B134" s="916"/>
      <c r="C134" s="2332" t="s">
        <v>1075</v>
      </c>
      <c r="D134" s="2332"/>
      <c r="E134" s="2332"/>
      <c r="F134" s="2332"/>
      <c r="G134" s="2332"/>
      <c r="H134" s="2332"/>
      <c r="I134" s="2332"/>
      <c r="J134" s="2332"/>
      <c r="K134" s="2332"/>
      <c r="L134" s="2332"/>
      <c r="M134" s="2332"/>
      <c r="N134" s="2332"/>
      <c r="O134" s="2332"/>
      <c r="P134" s="2332"/>
      <c r="Q134" s="2332"/>
      <c r="R134" s="2332"/>
      <c r="S134" s="2332"/>
      <c r="T134" s="2332"/>
      <c r="U134" s="511"/>
      <c r="V134" s="441"/>
    </row>
    <row r="135" spans="1:22" ht="17.45" customHeight="1">
      <c r="B135" s="916"/>
      <c r="C135" s="2332"/>
      <c r="D135" s="2332"/>
      <c r="E135" s="2332"/>
      <c r="F135" s="2332"/>
      <c r="G135" s="2332"/>
      <c r="H135" s="2332"/>
      <c r="I135" s="2332"/>
      <c r="J135" s="2332"/>
      <c r="K135" s="2332"/>
      <c r="L135" s="2332"/>
      <c r="M135" s="2332"/>
      <c r="N135" s="2332"/>
      <c r="O135" s="2332"/>
      <c r="P135" s="2332"/>
      <c r="Q135" s="2332"/>
      <c r="R135" s="2332"/>
      <c r="S135" s="2332"/>
      <c r="T135" s="2332"/>
      <c r="U135" s="511"/>
      <c r="V135" s="441"/>
    </row>
    <row r="136" spans="1:22" ht="41.25" customHeight="1">
      <c r="B136" s="916"/>
      <c r="C136" s="2332"/>
      <c r="D136" s="2332"/>
      <c r="E136" s="2332"/>
      <c r="F136" s="2332"/>
      <c r="G136" s="2332"/>
      <c r="H136" s="2332"/>
      <c r="I136" s="2332"/>
      <c r="J136" s="2332"/>
      <c r="K136" s="2332"/>
      <c r="L136" s="2332"/>
      <c r="M136" s="2332"/>
      <c r="N136" s="2332"/>
      <c r="O136" s="2332"/>
      <c r="P136" s="2332"/>
      <c r="Q136" s="2332"/>
      <c r="R136" s="2332"/>
      <c r="S136" s="2332"/>
      <c r="T136" s="2332"/>
      <c r="U136" s="511"/>
      <c r="V136" s="441"/>
    </row>
    <row r="137" spans="1:22" ht="22.15" customHeight="1">
      <c r="B137" s="916"/>
      <c r="C137" s="2332" t="s">
        <v>1074</v>
      </c>
      <c r="D137" s="2332"/>
      <c r="E137" s="2332"/>
      <c r="F137" s="2332"/>
      <c r="G137" s="2332"/>
      <c r="H137" s="2332"/>
      <c r="I137" s="2332"/>
      <c r="J137" s="2332"/>
      <c r="K137" s="2332"/>
      <c r="L137" s="2332"/>
      <c r="M137" s="2332"/>
      <c r="N137" s="2332"/>
      <c r="O137" s="2332"/>
      <c r="P137" s="2332"/>
      <c r="Q137" s="2332"/>
      <c r="R137" s="2332"/>
      <c r="S137" s="2332"/>
      <c r="T137" s="2332"/>
      <c r="U137" s="511"/>
      <c r="V137" s="441"/>
    </row>
    <row r="138" spans="1:22" ht="18.75" customHeight="1">
      <c r="B138" s="917"/>
      <c r="C138" s="918"/>
      <c r="D138" s="918"/>
      <c r="E138" s="918"/>
      <c r="F138" s="918"/>
      <c r="G138" s="918"/>
      <c r="H138" s="918"/>
      <c r="I138" s="918"/>
      <c r="J138" s="918"/>
      <c r="K138" s="918"/>
      <c r="L138" s="918"/>
      <c r="M138" s="918"/>
      <c r="N138" s="918"/>
      <c r="O138" s="919"/>
      <c r="P138" s="919"/>
      <c r="Q138" s="918"/>
      <c r="R138" s="918"/>
      <c r="S138" s="918"/>
      <c r="T138" s="918"/>
      <c r="U138" s="920"/>
      <c r="V138" s="441"/>
    </row>
    <row r="139" spans="1:22" ht="14.25" customHeight="1">
      <c r="B139" s="1977"/>
      <c r="C139" s="513"/>
      <c r="D139" s="513"/>
      <c r="E139" s="513"/>
      <c r="F139" s="513"/>
      <c r="G139" s="513"/>
      <c r="H139" s="513"/>
      <c r="I139" s="513"/>
      <c r="J139" s="513"/>
      <c r="K139" s="513"/>
      <c r="L139" s="513"/>
      <c r="M139" s="513"/>
      <c r="N139" s="513"/>
      <c r="O139" s="479"/>
      <c r="P139" s="479"/>
      <c r="Q139" s="513"/>
      <c r="R139" s="513"/>
      <c r="S139" s="513"/>
      <c r="T139" s="513"/>
      <c r="U139" s="513"/>
      <c r="V139" s="441"/>
    </row>
    <row r="140" spans="1:22" ht="26.25" customHeight="1">
      <c r="B140" s="2269" t="s">
        <v>1950</v>
      </c>
      <c r="C140" s="2269"/>
      <c r="D140" s="2269"/>
      <c r="E140" s="2269"/>
      <c r="F140" s="2269"/>
      <c r="G140" s="2269"/>
      <c r="H140" s="2269"/>
      <c r="I140" s="2269"/>
      <c r="J140" s="2269"/>
      <c r="K140" s="2269"/>
      <c r="L140" s="2269"/>
      <c r="M140" s="2269"/>
      <c r="N140" s="2269"/>
      <c r="O140" s="2269"/>
      <c r="P140" s="2269"/>
      <c r="Q140" s="2269"/>
      <c r="R140" s="2269"/>
      <c r="S140" s="2269"/>
      <c r="T140" s="2269"/>
      <c r="U140" s="2269"/>
      <c r="V140" s="441"/>
    </row>
    <row r="141" spans="1:22" ht="4.5" customHeight="1">
      <c r="B141" s="1850"/>
      <c r="C141" s="1850"/>
      <c r="D141" s="1850"/>
      <c r="E141" s="1850"/>
      <c r="F141" s="1850"/>
      <c r="G141" s="1850"/>
      <c r="H141" s="1850"/>
      <c r="I141" s="1850"/>
      <c r="J141" s="1850"/>
      <c r="K141" s="1850"/>
      <c r="L141" s="1850"/>
      <c r="M141" s="1850"/>
      <c r="N141" s="1850"/>
      <c r="O141" s="1850"/>
      <c r="P141" s="1850"/>
      <c r="Q141" s="1850"/>
      <c r="R141" s="1850"/>
      <c r="S141" s="1850"/>
      <c r="T141" s="1850"/>
      <c r="U141" s="1850"/>
      <c r="V141" s="441"/>
    </row>
    <row r="142" spans="1:22" ht="8.25" customHeight="1">
      <c r="B142" s="912"/>
      <c r="C142" s="913"/>
      <c r="D142" s="913"/>
      <c r="E142" s="913"/>
      <c r="F142" s="913"/>
      <c r="G142" s="913"/>
      <c r="H142" s="913"/>
      <c r="I142" s="913"/>
      <c r="J142" s="913"/>
      <c r="K142" s="913"/>
      <c r="L142" s="913"/>
      <c r="M142" s="913"/>
      <c r="N142" s="913"/>
      <c r="O142" s="914"/>
      <c r="P142" s="914"/>
      <c r="Q142" s="913"/>
      <c r="R142" s="913"/>
      <c r="S142" s="913"/>
      <c r="T142" s="913"/>
      <c r="U142" s="915"/>
      <c r="V142" s="441"/>
    </row>
    <row r="143" spans="1:22" ht="17.45" customHeight="1">
      <c r="B143" s="916"/>
      <c r="C143" s="2346" t="s">
        <v>1951</v>
      </c>
      <c r="D143" s="2346"/>
      <c r="E143" s="2346"/>
      <c r="F143" s="2346"/>
      <c r="G143" s="2346"/>
      <c r="H143" s="2346"/>
      <c r="I143" s="2346"/>
      <c r="J143" s="2346"/>
      <c r="K143" s="2346"/>
      <c r="L143" s="2346"/>
      <c r="M143" s="2346"/>
      <c r="N143" s="2346"/>
      <c r="O143" s="2346"/>
      <c r="P143" s="2346"/>
      <c r="Q143" s="2346"/>
      <c r="R143" s="2346"/>
      <c r="S143" s="2346"/>
      <c r="T143" s="2346"/>
      <c r="U143" s="511"/>
      <c r="V143" s="441"/>
    </row>
    <row r="144" spans="1:22" ht="34.5" customHeight="1">
      <c r="A144" s="420"/>
      <c r="B144" s="916"/>
      <c r="C144" s="2346"/>
      <c r="D144" s="2346"/>
      <c r="E144" s="2346"/>
      <c r="F144" s="2346"/>
      <c r="G144" s="2346"/>
      <c r="H144" s="2346"/>
      <c r="I144" s="2346"/>
      <c r="J144" s="2346"/>
      <c r="K144" s="2346"/>
      <c r="L144" s="2346"/>
      <c r="M144" s="2346"/>
      <c r="N144" s="2346"/>
      <c r="O144" s="2346"/>
      <c r="P144" s="2346"/>
      <c r="Q144" s="2346"/>
      <c r="R144" s="2346"/>
      <c r="S144" s="2346"/>
      <c r="T144" s="2346"/>
      <c r="U144" s="511"/>
      <c r="V144" s="420"/>
    </row>
    <row r="145" spans="1:22" ht="5.25" customHeight="1">
      <c r="B145" s="2333"/>
      <c r="C145" s="2334"/>
      <c r="D145" s="2334"/>
      <c r="E145" s="2334"/>
      <c r="F145" s="2334"/>
      <c r="G145" s="2334"/>
      <c r="H145" s="2334"/>
      <c r="I145" s="2334"/>
      <c r="J145" s="2334"/>
      <c r="K145" s="2334"/>
      <c r="L145" s="1978"/>
      <c r="M145" s="1978"/>
      <c r="N145" s="1978"/>
      <c r="O145" s="1978"/>
      <c r="P145" s="1978"/>
      <c r="Q145" s="1978"/>
      <c r="R145" s="1978"/>
      <c r="S145" s="1978"/>
      <c r="T145" s="1978"/>
      <c r="U145" s="1979"/>
    </row>
    <row r="146" spans="1:22" ht="3.75" customHeight="1">
      <c r="B146" s="1854"/>
      <c r="C146" s="1854"/>
      <c r="D146" s="1854"/>
      <c r="E146" s="1854"/>
      <c r="F146" s="1854"/>
      <c r="G146" s="1854"/>
      <c r="H146" s="1854"/>
      <c r="I146" s="1854"/>
      <c r="J146" s="1854"/>
      <c r="K146" s="1854"/>
      <c r="L146" s="1854"/>
      <c r="M146" s="1854"/>
      <c r="N146" s="1854"/>
      <c r="O146" s="1854"/>
      <c r="P146" s="1854"/>
      <c r="Q146" s="1854"/>
      <c r="R146" s="1854"/>
      <c r="S146" s="1854"/>
      <c r="T146" s="1854"/>
      <c r="U146" s="1854"/>
    </row>
    <row r="147" spans="1:22" ht="3.75" customHeight="1">
      <c r="B147" s="1854"/>
      <c r="C147" s="1854"/>
      <c r="D147" s="1854"/>
      <c r="E147" s="1854"/>
      <c r="F147" s="1854"/>
      <c r="G147" s="1854"/>
      <c r="H147" s="1854"/>
      <c r="I147" s="1854"/>
      <c r="J147" s="1854"/>
      <c r="K147" s="1854"/>
      <c r="L147" s="1854"/>
      <c r="M147" s="1854"/>
      <c r="N147" s="1854"/>
      <c r="O147" s="1854"/>
      <c r="P147" s="1854"/>
      <c r="Q147" s="1854"/>
      <c r="R147" s="1854"/>
      <c r="S147" s="1854"/>
      <c r="T147" s="1854"/>
      <c r="U147" s="1854"/>
    </row>
    <row r="148" spans="1:22" ht="20.25" customHeight="1">
      <c r="B148" s="1854"/>
      <c r="C148" s="1854"/>
      <c r="D148" s="1854"/>
      <c r="E148" s="1854"/>
      <c r="F148" s="1854"/>
      <c r="G148" s="1854"/>
      <c r="H148" s="1854"/>
      <c r="I148" s="1854"/>
      <c r="J148" s="1854"/>
      <c r="K148" s="1854"/>
      <c r="L148" s="1854"/>
      <c r="M148" s="1854"/>
      <c r="N148" s="1854"/>
      <c r="O148" s="1854"/>
      <c r="P148" s="1854"/>
      <c r="Q148" s="1854"/>
      <c r="R148" s="1854"/>
      <c r="S148" s="1854"/>
      <c r="T148" s="1854"/>
      <c r="U148" s="1854"/>
    </row>
    <row r="149" spans="1:22" ht="15.75">
      <c r="A149" s="420"/>
      <c r="B149" s="420"/>
      <c r="C149" s="420"/>
      <c r="D149" s="420"/>
      <c r="E149" s="420"/>
      <c r="F149" s="420"/>
      <c r="G149" s="420"/>
      <c r="H149" s="420"/>
      <c r="I149" s="420"/>
      <c r="J149" s="420"/>
      <c r="K149" s="420"/>
      <c r="L149" s="420"/>
      <c r="M149" s="476" t="s">
        <v>1819</v>
      </c>
      <c r="N149" s="420"/>
      <c r="O149" s="420"/>
      <c r="P149" s="420"/>
      <c r="Q149" s="420"/>
      <c r="R149" s="477" t="s">
        <v>692</v>
      </c>
      <c r="S149" s="478" t="str">
        <f>$E$29</f>
        <v>ILF5_90FCOS_B114CAGR43006</v>
      </c>
      <c r="T149" s="420"/>
      <c r="U149" s="420"/>
      <c r="V149" s="420"/>
    </row>
    <row r="150" spans="1:22">
      <c r="A150" s="420"/>
      <c r="B150" s="420"/>
      <c r="C150" s="420"/>
      <c r="D150" s="420"/>
      <c r="E150" s="420"/>
      <c r="F150" s="420"/>
      <c r="G150" s="420"/>
      <c r="H150" s="420"/>
      <c r="I150" s="420"/>
      <c r="J150" s="420"/>
      <c r="K150" s="420"/>
      <c r="L150" s="420"/>
      <c r="M150" s="420"/>
      <c r="N150" s="420"/>
      <c r="O150" s="420"/>
      <c r="P150" s="420"/>
      <c r="Q150" s="420"/>
      <c r="R150" s="420"/>
      <c r="S150" s="420"/>
      <c r="T150" s="420"/>
      <c r="U150" s="420"/>
      <c r="V150" s="420"/>
    </row>
    <row r="152" spans="1:22">
      <c r="A152" s="420"/>
      <c r="B152" s="420"/>
      <c r="C152" s="420"/>
      <c r="D152" s="420"/>
      <c r="E152" s="420"/>
      <c r="F152" s="420"/>
      <c r="G152" s="420"/>
      <c r="H152" s="436" t="s">
        <v>690</v>
      </c>
      <c r="I152" s="420"/>
      <c r="K152" s="420"/>
      <c r="L152" s="437" t="str">
        <f>$B$11</f>
        <v>INMOBILIARIA SERVIGESTION</v>
      </c>
      <c r="M152" s="420"/>
      <c r="N152" s="420"/>
      <c r="O152" s="420"/>
      <c r="P152" s="420"/>
      <c r="Q152" s="420"/>
      <c r="R152" s="420"/>
      <c r="S152" s="420"/>
      <c r="T152" s="420"/>
      <c r="U152" s="420"/>
      <c r="V152" s="420"/>
    </row>
    <row r="153" spans="1:22">
      <c r="A153" s="420"/>
      <c r="B153" s="420"/>
      <c r="C153" s="420"/>
      <c r="D153" s="420"/>
      <c r="E153" s="420"/>
      <c r="F153" s="420"/>
      <c r="G153" s="420"/>
      <c r="H153" s="420"/>
      <c r="I153" s="420"/>
      <c r="J153" s="420"/>
      <c r="K153" s="420"/>
      <c r="L153" s="420"/>
      <c r="M153" s="420"/>
      <c r="N153" s="420"/>
      <c r="O153" s="420"/>
      <c r="P153" s="420"/>
      <c r="Q153" s="420"/>
      <c r="R153" s="420"/>
      <c r="S153" s="420"/>
      <c r="T153" s="420"/>
      <c r="U153" s="420"/>
      <c r="V153" s="420"/>
    </row>
    <row r="154" spans="1:22" ht="34.5">
      <c r="A154" s="420"/>
      <c r="B154" s="2268" t="s">
        <v>461</v>
      </c>
      <c r="C154" s="2268"/>
      <c r="D154" s="2268"/>
      <c r="E154" s="2268"/>
      <c r="F154" s="2268"/>
      <c r="G154" s="2268"/>
      <c r="H154" s="2268"/>
      <c r="I154" s="2268"/>
      <c r="J154" s="2268"/>
      <c r="K154" s="2268"/>
      <c r="L154" s="2268"/>
      <c r="M154" s="2268"/>
      <c r="N154" s="2268"/>
      <c r="O154" s="2268"/>
      <c r="P154" s="2268"/>
      <c r="Q154" s="2268"/>
      <c r="R154" s="2268"/>
      <c r="S154" s="2268"/>
      <c r="T154" s="2268"/>
      <c r="U154" s="2268"/>
      <c r="V154" s="420"/>
    </row>
    <row r="155" spans="1:22" ht="22.9" customHeight="1">
      <c r="A155" s="420"/>
      <c r="B155" s="2269" t="s">
        <v>814</v>
      </c>
      <c r="C155" s="2269"/>
      <c r="D155" s="2269"/>
      <c r="E155" s="2269"/>
      <c r="F155" s="2269"/>
      <c r="G155" s="2269"/>
      <c r="H155" s="2269"/>
      <c r="I155" s="2269"/>
      <c r="J155" s="2269"/>
      <c r="K155" s="2269"/>
      <c r="L155" s="2269"/>
      <c r="M155" s="2269"/>
      <c r="N155" s="2269"/>
      <c r="O155" s="2269"/>
      <c r="P155" s="2269"/>
      <c r="Q155" s="2269"/>
      <c r="R155" s="2269"/>
      <c r="S155" s="2269"/>
      <c r="T155" s="2269"/>
      <c r="U155" s="2269"/>
      <c r="V155" s="420"/>
    </row>
    <row r="156" spans="1:22" ht="16.149999999999999" customHeight="1">
      <c r="A156" s="420"/>
      <c r="B156" s="757"/>
      <c r="C156" s="757"/>
      <c r="D156" s="757"/>
      <c r="E156" s="757"/>
      <c r="F156" s="757"/>
      <c r="G156" s="757"/>
      <c r="H156" s="757"/>
      <c r="I156" s="757"/>
      <c r="J156" s="757"/>
      <c r="K156" s="757"/>
      <c r="L156" s="757"/>
      <c r="M156" s="757"/>
      <c r="N156" s="757"/>
      <c r="O156" s="757"/>
      <c r="P156" s="757"/>
      <c r="Q156" s="757"/>
      <c r="R156" s="757"/>
      <c r="S156" s="757"/>
      <c r="T156" s="757"/>
      <c r="U156" s="757"/>
      <c r="V156" s="420"/>
    </row>
    <row r="157" spans="1:22" ht="39.75" customHeight="1">
      <c r="A157" s="420"/>
      <c r="B157" s="2251" t="s">
        <v>789</v>
      </c>
      <c r="C157" s="2251"/>
      <c r="D157" s="2251"/>
      <c r="E157" s="2251"/>
      <c r="F157" s="2251"/>
      <c r="G157" s="2251"/>
      <c r="H157" s="2251"/>
      <c r="I157" s="2251"/>
      <c r="J157" s="2251"/>
      <c r="K157" s="2251"/>
      <c r="L157" s="2251"/>
      <c r="M157" s="2251"/>
      <c r="N157" s="2251"/>
      <c r="O157" s="2251"/>
      <c r="P157" s="2251"/>
      <c r="Q157" s="2251"/>
      <c r="R157" s="2251"/>
      <c r="S157" s="2251"/>
      <c r="T157" s="2251"/>
      <c r="U157" s="2251"/>
      <c r="V157" s="420"/>
    </row>
    <row r="158" spans="1:22" ht="22.15" customHeight="1">
      <c r="A158" s="441"/>
      <c r="B158" s="2348" t="s">
        <v>791</v>
      </c>
      <c r="C158" s="2349"/>
      <c r="D158" s="2349"/>
      <c r="E158" s="2349"/>
      <c r="F158" s="2349"/>
      <c r="G158" s="2349"/>
      <c r="H158" s="2349"/>
      <c r="I158" s="2349"/>
      <c r="J158" s="2349"/>
      <c r="K158" s="2349"/>
      <c r="L158" s="2349"/>
      <c r="M158" s="2349"/>
      <c r="N158" s="2349"/>
      <c r="O158" s="2349"/>
      <c r="P158" s="2349"/>
      <c r="Q158" s="2349"/>
      <c r="R158" s="2349"/>
      <c r="S158" s="2349"/>
      <c r="T158" s="2349"/>
      <c r="U158" s="2350"/>
    </row>
    <row r="159" spans="1:22" ht="48" customHeight="1">
      <c r="B159" s="2329" t="s">
        <v>1911</v>
      </c>
      <c r="C159" s="2330"/>
      <c r="D159" s="2330"/>
      <c r="E159" s="2330"/>
      <c r="F159" s="2330"/>
      <c r="G159" s="2330"/>
      <c r="H159" s="2330"/>
      <c r="I159" s="2330"/>
      <c r="J159" s="2330"/>
      <c r="K159" s="2330"/>
      <c r="L159" s="2330"/>
      <c r="M159" s="2330"/>
      <c r="N159" s="2330"/>
      <c r="O159" s="2330"/>
      <c r="P159" s="2330"/>
      <c r="Q159" s="2330"/>
      <c r="R159" s="2330"/>
      <c r="S159" s="2330"/>
      <c r="T159" s="2330"/>
      <c r="U159" s="2331"/>
      <c r="V159" s="441"/>
    </row>
    <row r="160" spans="1:22">
      <c r="B160" s="1889"/>
      <c r="C160" s="1890"/>
      <c r="D160" s="1890"/>
      <c r="E160" s="1890"/>
      <c r="F160" s="1890"/>
      <c r="G160" s="1890"/>
      <c r="H160" s="1890"/>
      <c r="I160" s="1890"/>
      <c r="J160" s="1890"/>
      <c r="K160" s="1890"/>
      <c r="L160" s="1890"/>
      <c r="M160" s="1890"/>
      <c r="N160" s="1890"/>
      <c r="O160" s="1890"/>
      <c r="P160" s="1890"/>
      <c r="Q160" s="1890"/>
      <c r="R160" s="1890"/>
      <c r="S160" s="1890"/>
      <c r="T160" s="1890"/>
      <c r="U160" s="1891"/>
      <c r="V160" s="441"/>
    </row>
    <row r="161" spans="1:22" ht="23.25">
      <c r="A161" s="441"/>
      <c r="B161" s="1892"/>
      <c r="C161" s="1893"/>
      <c r="D161" s="1894"/>
      <c r="E161" s="1895" t="s">
        <v>469</v>
      </c>
      <c r="F161" s="1896" t="s">
        <v>470</v>
      </c>
      <c r="G161" s="1897"/>
      <c r="H161" s="1897"/>
      <c r="I161" s="1897"/>
      <c r="J161" s="1898"/>
      <c r="K161" s="1894"/>
      <c r="L161" s="1894"/>
      <c r="M161" s="1895" t="s">
        <v>471</v>
      </c>
      <c r="N161" s="1899">
        <v>0</v>
      </c>
      <c r="O161" s="1898"/>
      <c r="P161" s="1865"/>
      <c r="Q161" s="1900" t="s">
        <v>472</v>
      </c>
      <c r="R161" s="1901" t="s">
        <v>790</v>
      </c>
      <c r="S161" s="1898"/>
      <c r="T161" s="1898"/>
      <c r="U161" s="1902"/>
    </row>
    <row r="162" spans="1:22" ht="23.25">
      <c r="A162" s="441"/>
      <c r="B162" s="1892"/>
      <c r="C162" s="1893"/>
      <c r="D162" s="1894"/>
      <c r="E162" s="1895"/>
      <c r="F162" s="1896"/>
      <c r="G162" s="1897"/>
      <c r="H162" s="1897"/>
      <c r="I162" s="1897"/>
      <c r="J162" s="1898"/>
      <c r="K162" s="1894"/>
      <c r="L162" s="1894"/>
      <c r="M162" s="1895"/>
      <c r="N162" s="1899"/>
      <c r="O162" s="1898"/>
      <c r="P162" s="1865"/>
      <c r="Q162" s="1900"/>
      <c r="R162" s="1901" t="s">
        <v>1912</v>
      </c>
      <c r="S162" s="1898"/>
      <c r="T162" s="1898"/>
      <c r="U162" s="1902"/>
    </row>
    <row r="163" spans="1:22" ht="20.25">
      <c r="A163" s="441"/>
      <c r="B163" s="1903"/>
      <c r="C163" s="1904"/>
      <c r="D163" s="1905"/>
      <c r="E163" s="1906"/>
      <c r="F163" s="1906"/>
      <c r="G163" s="1906"/>
      <c r="H163" s="1906"/>
      <c r="I163" s="1906"/>
      <c r="J163" s="1907"/>
      <c r="K163" s="1908"/>
      <c r="L163" s="1909"/>
      <c r="M163" s="1909"/>
      <c r="N163" s="1910"/>
      <c r="O163" s="1907"/>
      <c r="P163" s="1911"/>
      <c r="Q163" s="1912"/>
      <c r="R163" s="1913"/>
      <c r="S163" s="1907"/>
      <c r="T163" s="1907"/>
      <c r="U163" s="1914"/>
    </row>
    <row r="164" spans="1:22">
      <c r="B164" s="1865"/>
      <c r="C164" s="1865"/>
      <c r="D164" s="1865"/>
      <c r="E164" s="1865"/>
      <c r="F164" s="1865"/>
      <c r="G164" s="1865"/>
      <c r="H164" s="1865"/>
      <c r="I164" s="1865"/>
      <c r="J164" s="1865"/>
      <c r="K164" s="1865"/>
      <c r="L164" s="1865"/>
      <c r="M164" s="1865"/>
      <c r="N164" s="1865"/>
      <c r="O164" s="1865"/>
      <c r="P164" s="1865"/>
      <c r="Q164" s="1865"/>
      <c r="R164" s="1865"/>
      <c r="S164" s="1865"/>
      <c r="T164" s="1865"/>
      <c r="U164" s="1865"/>
    </row>
    <row r="165" spans="1:22">
      <c r="B165" s="1865"/>
      <c r="C165" s="1865"/>
      <c r="D165" s="1865"/>
      <c r="E165" s="1865"/>
      <c r="F165" s="1865"/>
      <c r="G165" s="1865"/>
      <c r="H165" s="1865"/>
      <c r="I165" s="1865"/>
      <c r="J165" s="1865"/>
      <c r="K165" s="1865"/>
      <c r="L165" s="1865"/>
      <c r="M165" s="1865"/>
      <c r="N165" s="1865"/>
      <c r="O165" s="1865"/>
      <c r="P165" s="1865"/>
      <c r="Q165" s="1865"/>
      <c r="R165" s="1865"/>
      <c r="S165" s="1865"/>
      <c r="T165" s="1865"/>
      <c r="U165" s="1865"/>
    </row>
    <row r="166" spans="1:22" s="521" customFormat="1" ht="25.5" customHeight="1">
      <c r="B166" s="2328" t="s">
        <v>977</v>
      </c>
      <c r="C166" s="2328"/>
      <c r="D166" s="2328"/>
      <c r="E166" s="2328"/>
      <c r="F166" s="2328"/>
      <c r="G166" s="2328"/>
      <c r="H166" s="2328"/>
      <c r="I166" s="2328"/>
      <c r="J166" s="2328"/>
      <c r="K166" s="2328"/>
      <c r="L166" s="2328"/>
      <c r="M166" s="2328"/>
      <c r="N166" s="2328"/>
      <c r="O166" s="2328"/>
      <c r="P166" s="2328"/>
      <c r="Q166" s="2328"/>
      <c r="R166" s="2328"/>
      <c r="S166" s="2328"/>
      <c r="T166" s="2328"/>
      <c r="U166" s="2328"/>
    </row>
    <row r="167" spans="1:22" s="521" customFormat="1" ht="8.4499999999999993" customHeight="1">
      <c r="B167" s="1887"/>
      <c r="C167" s="1887"/>
      <c r="D167" s="1887"/>
      <c r="E167" s="1887"/>
      <c r="F167" s="1887"/>
      <c r="G167" s="1887"/>
      <c r="H167" s="1887"/>
      <c r="I167" s="1887"/>
      <c r="J167" s="1887"/>
      <c r="K167" s="1887"/>
      <c r="L167" s="1887"/>
      <c r="M167" s="1887"/>
      <c r="N167" s="1887"/>
      <c r="O167" s="1887"/>
      <c r="P167" s="1887"/>
      <c r="Q167" s="1887"/>
      <c r="R167" s="1887"/>
      <c r="S167" s="1887"/>
      <c r="T167" s="1887"/>
      <c r="U167" s="1887"/>
    </row>
    <row r="168" spans="1:22" ht="22.15" customHeight="1">
      <c r="A168" s="441"/>
      <c r="B168" s="2342" t="s">
        <v>1913</v>
      </c>
      <c r="C168" s="2343"/>
      <c r="D168" s="2343"/>
      <c r="E168" s="2343"/>
      <c r="F168" s="2343"/>
      <c r="G168" s="2343"/>
      <c r="H168" s="2343"/>
      <c r="I168" s="2343"/>
      <c r="J168" s="2343"/>
      <c r="K168" s="2343"/>
      <c r="L168" s="2343"/>
      <c r="M168" s="2343"/>
      <c r="N168" s="2343"/>
      <c r="O168" s="2343"/>
      <c r="P168" s="2343"/>
      <c r="Q168" s="2343"/>
      <c r="R168" s="2343"/>
      <c r="S168" s="2343"/>
      <c r="T168" s="2343"/>
      <c r="U168" s="2344"/>
    </row>
    <row r="169" spans="1:22" ht="54.6" customHeight="1">
      <c r="B169" s="2336" t="s">
        <v>1914</v>
      </c>
      <c r="C169" s="2337"/>
      <c r="D169" s="2337"/>
      <c r="E169" s="2337"/>
      <c r="F169" s="2337"/>
      <c r="G169" s="2337"/>
      <c r="H169" s="2337"/>
      <c r="I169" s="2337"/>
      <c r="J169" s="2337"/>
      <c r="K169" s="2337"/>
      <c r="L169" s="2337"/>
      <c r="M169" s="2337"/>
      <c r="N169" s="2337"/>
      <c r="O169" s="2337"/>
      <c r="P169" s="2337"/>
      <c r="Q169" s="2337"/>
      <c r="R169" s="2337"/>
      <c r="S169" s="2337"/>
      <c r="T169" s="2337"/>
      <c r="U169" s="2338"/>
      <c r="V169" s="441"/>
    </row>
    <row r="170" spans="1:22">
      <c r="B170" s="1864"/>
      <c r="C170" s="1865"/>
      <c r="D170" s="1865"/>
      <c r="E170" s="1865"/>
      <c r="F170" s="1865"/>
      <c r="G170" s="1865"/>
      <c r="H170" s="1865"/>
      <c r="I170" s="1865"/>
      <c r="J170" s="1865"/>
      <c r="K170" s="1865"/>
      <c r="L170" s="1865"/>
      <c r="M170" s="1865"/>
      <c r="N170" s="1865"/>
      <c r="O170" s="1865"/>
      <c r="P170" s="1865"/>
      <c r="Q170" s="1865"/>
      <c r="R170" s="1865"/>
      <c r="S170" s="1865"/>
      <c r="T170" s="1865"/>
      <c r="U170" s="1915"/>
      <c r="V170" s="441"/>
    </row>
    <row r="171" spans="1:22" ht="23.25">
      <c r="A171" s="441"/>
      <c r="B171" s="1864"/>
      <c r="C171" s="1865"/>
      <c r="D171" s="1865"/>
      <c r="E171" s="1895" t="s">
        <v>474</v>
      </c>
      <c r="F171" s="1916" t="s">
        <v>475</v>
      </c>
      <c r="G171" s="1917"/>
      <c r="H171" s="1865"/>
      <c r="I171" s="1916"/>
      <c r="J171" s="1916"/>
      <c r="K171" s="1918"/>
      <c r="L171" s="1894"/>
      <c r="M171" s="1895" t="s">
        <v>476</v>
      </c>
      <c r="N171" s="1919">
        <v>7.0000000000000007E-2</v>
      </c>
      <c r="O171" s="1865"/>
      <c r="P171" s="1865"/>
      <c r="Q171" s="1920" t="s">
        <v>472</v>
      </c>
      <c r="R171" s="1921" t="s">
        <v>473</v>
      </c>
      <c r="S171" s="1865"/>
      <c r="T171" s="1865"/>
      <c r="U171" s="1915"/>
    </row>
    <row r="172" spans="1:22" ht="10.9" customHeight="1">
      <c r="A172" s="441"/>
      <c r="B172" s="1922"/>
      <c r="C172" s="1923"/>
      <c r="D172" s="1924"/>
      <c r="E172" s="1924"/>
      <c r="F172" s="1924"/>
      <c r="G172" s="1924"/>
      <c r="H172" s="1924"/>
      <c r="I172" s="1924"/>
      <c r="J172" s="1924"/>
      <c r="K172" s="1924"/>
      <c r="L172" s="1924"/>
      <c r="M172" s="1924"/>
      <c r="N172" s="1871"/>
      <c r="O172" s="1918"/>
      <c r="P172" s="1894"/>
      <c r="Q172" s="1894"/>
      <c r="R172" s="1925"/>
      <c r="S172" s="1918"/>
      <c r="T172" s="1918"/>
      <c r="U172" s="1926"/>
    </row>
    <row r="173" spans="1:22" ht="23.25" customHeight="1">
      <c r="A173" s="441"/>
      <c r="B173" s="2329" t="s">
        <v>681</v>
      </c>
      <c r="C173" s="2330"/>
      <c r="D173" s="2330"/>
      <c r="E173" s="2330"/>
      <c r="F173" s="2330"/>
      <c r="G173" s="2330"/>
      <c r="H173" s="2330"/>
      <c r="I173" s="2330"/>
      <c r="J173" s="2330"/>
      <c r="K173" s="2330"/>
      <c r="L173" s="2330"/>
      <c r="M173" s="2330"/>
      <c r="N173" s="2330"/>
      <c r="O173" s="2330"/>
      <c r="P173" s="2330"/>
      <c r="Q173" s="2330"/>
      <c r="R173" s="2330"/>
      <c r="S173" s="2330"/>
      <c r="T173" s="2330"/>
      <c r="U173" s="2331"/>
    </row>
    <row r="174" spans="1:22" ht="21" customHeight="1">
      <c r="A174" s="441"/>
      <c r="B174" s="2329" t="s">
        <v>477</v>
      </c>
      <c r="C174" s="2330"/>
      <c r="D174" s="2330"/>
      <c r="E174" s="2330"/>
      <c r="F174" s="2330"/>
      <c r="G174" s="2330"/>
      <c r="H174" s="2330"/>
      <c r="I174" s="2330"/>
      <c r="J174" s="2330"/>
      <c r="K174" s="2330"/>
      <c r="L174" s="2330"/>
      <c r="M174" s="2330"/>
      <c r="N174" s="2330"/>
      <c r="O174" s="2330"/>
      <c r="P174" s="2330"/>
      <c r="Q174" s="2330"/>
      <c r="R174" s="2330"/>
      <c r="S174" s="2330"/>
      <c r="T174" s="2330"/>
      <c r="U174" s="2331"/>
    </row>
    <row r="175" spans="1:22" ht="21" customHeight="1">
      <c r="A175" s="441"/>
      <c r="B175" s="1927"/>
      <c r="C175" s="1928"/>
      <c r="D175" s="1928"/>
      <c r="E175" s="1928"/>
      <c r="F175" s="1928"/>
      <c r="G175" s="1928"/>
      <c r="H175" s="1928"/>
      <c r="I175" s="1928"/>
      <c r="J175" s="1928"/>
      <c r="K175" s="1928"/>
      <c r="L175" s="1928"/>
      <c r="M175" s="1928"/>
      <c r="N175" s="1928"/>
      <c r="O175" s="1928"/>
      <c r="P175" s="1928"/>
      <c r="Q175" s="1928"/>
      <c r="R175" s="1928"/>
      <c r="S175" s="1928"/>
      <c r="T175" s="1928"/>
      <c r="U175" s="1929"/>
    </row>
    <row r="176" spans="1:22" ht="21" customHeight="1">
      <c r="A176" s="441"/>
      <c r="B176" s="1930"/>
      <c r="C176" s="1930"/>
      <c r="D176" s="1930"/>
      <c r="E176" s="1930"/>
      <c r="F176" s="1930"/>
      <c r="G176" s="1930"/>
      <c r="H176" s="1930"/>
      <c r="I176" s="1930"/>
      <c r="J176" s="1930"/>
      <c r="K176" s="1930"/>
      <c r="L176" s="1930"/>
      <c r="M176" s="1930"/>
      <c r="N176" s="1930"/>
      <c r="O176" s="1930"/>
      <c r="P176" s="1930"/>
      <c r="Q176" s="1930"/>
      <c r="R176" s="1930"/>
      <c r="S176" s="1930"/>
      <c r="T176" s="1930"/>
      <c r="U176" s="1930"/>
    </row>
    <row r="177" spans="1:22" ht="19.149999999999999" customHeight="1">
      <c r="B177" s="2342" t="s">
        <v>1915</v>
      </c>
      <c r="C177" s="2343"/>
      <c r="D177" s="2343"/>
      <c r="E177" s="2343"/>
      <c r="F177" s="2343"/>
      <c r="G177" s="2343"/>
      <c r="H177" s="2343"/>
      <c r="I177" s="2343"/>
      <c r="J177" s="2343"/>
      <c r="K177" s="2343"/>
      <c r="L177" s="2343"/>
      <c r="M177" s="2343"/>
      <c r="N177" s="2343"/>
      <c r="O177" s="2343"/>
      <c r="P177" s="2343"/>
      <c r="Q177" s="2343"/>
      <c r="R177" s="2343"/>
      <c r="S177" s="2343"/>
      <c r="T177" s="2343"/>
      <c r="U177" s="2344"/>
    </row>
    <row r="178" spans="1:22" ht="24.75" customHeight="1">
      <c r="B178" s="2336" t="s">
        <v>1916</v>
      </c>
      <c r="C178" s="2337"/>
      <c r="D178" s="2337"/>
      <c r="E178" s="2337"/>
      <c r="F178" s="2337"/>
      <c r="G178" s="2337"/>
      <c r="H178" s="2337"/>
      <c r="I178" s="2337"/>
      <c r="J178" s="2337"/>
      <c r="K178" s="2337"/>
      <c r="L178" s="2337"/>
      <c r="M178" s="2337"/>
      <c r="N178" s="2337"/>
      <c r="O178" s="2337"/>
      <c r="P178" s="2337"/>
      <c r="Q178" s="2337"/>
      <c r="R178" s="2337"/>
      <c r="S178" s="2337"/>
      <c r="T178" s="2337"/>
      <c r="U178" s="2338"/>
      <c r="V178" s="441"/>
    </row>
    <row r="179" spans="1:22">
      <c r="B179" s="1864"/>
      <c r="C179" s="1865"/>
      <c r="D179" s="1865"/>
      <c r="E179" s="1865"/>
      <c r="F179" s="1865"/>
      <c r="G179" s="1865"/>
      <c r="H179" s="1865"/>
      <c r="I179" s="1865"/>
      <c r="J179" s="1865"/>
      <c r="K179" s="1865"/>
      <c r="L179" s="1865"/>
      <c r="M179" s="1865"/>
      <c r="N179" s="1865"/>
      <c r="O179" s="1865"/>
      <c r="P179" s="1865"/>
      <c r="Q179" s="1865"/>
      <c r="R179" s="1865"/>
      <c r="S179" s="1865"/>
      <c r="T179" s="1865"/>
      <c r="U179" s="1915"/>
      <c r="V179" s="441"/>
    </row>
    <row r="180" spans="1:22" ht="23.25">
      <c r="B180" s="1864"/>
      <c r="C180" s="1865"/>
      <c r="D180" s="1923"/>
      <c r="E180" s="1895" t="s">
        <v>478</v>
      </c>
      <c r="F180" s="1896" t="s">
        <v>479</v>
      </c>
      <c r="G180" s="1865"/>
      <c r="H180" s="1865"/>
      <c r="I180" s="1865"/>
      <c r="J180" s="1865"/>
      <c r="K180" s="1865"/>
      <c r="L180" s="1865"/>
      <c r="M180" s="1865"/>
      <c r="N180" s="1865"/>
      <c r="O180" s="1865"/>
      <c r="P180" s="1865"/>
      <c r="Q180" s="1900" t="s">
        <v>472</v>
      </c>
      <c r="R180" s="1896" t="s">
        <v>480</v>
      </c>
      <c r="S180" s="1865"/>
      <c r="T180" s="1865"/>
      <c r="U180" s="1915"/>
      <c r="V180" s="441"/>
    </row>
    <row r="181" spans="1:22">
      <c r="B181" s="1864"/>
      <c r="C181" s="1865"/>
      <c r="D181" s="1865"/>
      <c r="E181" s="1865"/>
      <c r="F181" s="1865"/>
      <c r="G181" s="1865"/>
      <c r="H181" s="1865"/>
      <c r="I181" s="1865"/>
      <c r="J181" s="1865"/>
      <c r="K181" s="1865"/>
      <c r="L181" s="1865"/>
      <c r="M181" s="1865"/>
      <c r="N181" s="1865"/>
      <c r="O181" s="1865"/>
      <c r="P181" s="1865"/>
      <c r="Q181" s="1865"/>
      <c r="R181" s="1865"/>
      <c r="S181" s="1865"/>
      <c r="T181" s="1865"/>
      <c r="U181" s="1915"/>
      <c r="V181" s="441"/>
    </row>
    <row r="182" spans="1:22" ht="20.25" customHeight="1">
      <c r="B182" s="2339" t="s">
        <v>481</v>
      </c>
      <c r="C182" s="2340"/>
      <c r="D182" s="2340"/>
      <c r="E182" s="2340"/>
      <c r="F182" s="2340"/>
      <c r="G182" s="2340"/>
      <c r="H182" s="2340"/>
      <c r="I182" s="2340"/>
      <c r="J182" s="2340"/>
      <c r="K182" s="2340"/>
      <c r="L182" s="2340"/>
      <c r="M182" s="2340"/>
      <c r="N182" s="2340"/>
      <c r="O182" s="2340"/>
      <c r="P182" s="2340"/>
      <c r="Q182" s="2340"/>
      <c r="R182" s="2340"/>
      <c r="S182" s="2340"/>
      <c r="T182" s="2340"/>
      <c r="U182" s="2341"/>
      <c r="V182" s="441"/>
    </row>
    <row r="183" spans="1:22" ht="18">
      <c r="B183" s="1931"/>
      <c r="C183" s="1913"/>
      <c r="D183" s="1907"/>
      <c r="E183" s="1907"/>
      <c r="F183" s="1907"/>
      <c r="G183" s="1906"/>
      <c r="H183" s="1906"/>
      <c r="I183" s="1906"/>
      <c r="J183" s="1906"/>
      <c r="K183" s="1906"/>
      <c r="L183" s="1906"/>
      <c r="M183" s="1906"/>
      <c r="N183" s="1909"/>
      <c r="O183" s="1908"/>
      <c r="P183" s="1907"/>
      <c r="Q183" s="1907"/>
      <c r="R183" s="1932"/>
      <c r="S183" s="1908"/>
      <c r="T183" s="1908"/>
      <c r="U183" s="1933"/>
      <c r="V183" s="441"/>
    </row>
    <row r="184" spans="1:22" ht="23.25">
      <c r="A184" s="441"/>
      <c r="B184" s="1852"/>
      <c r="C184" s="1852"/>
      <c r="D184" s="1852"/>
      <c r="E184" s="1852"/>
      <c r="F184" s="1852"/>
      <c r="G184" s="1852"/>
      <c r="H184" s="1852"/>
      <c r="I184" s="1852"/>
      <c r="J184" s="1852"/>
      <c r="K184" s="1852"/>
      <c r="L184" s="1852"/>
      <c r="M184" s="1852"/>
      <c r="N184" s="1852"/>
      <c r="O184" s="1852"/>
      <c r="P184" s="1852"/>
      <c r="Q184" s="1852"/>
      <c r="R184" s="1852"/>
      <c r="S184" s="1852"/>
      <c r="T184" s="1852"/>
      <c r="U184" s="1852"/>
    </row>
    <row r="185" spans="1:22" ht="23.25" customHeight="1">
      <c r="B185" s="2342" t="s">
        <v>1917</v>
      </c>
      <c r="C185" s="2343"/>
      <c r="D185" s="2343"/>
      <c r="E185" s="2343"/>
      <c r="F185" s="2343"/>
      <c r="G185" s="2343"/>
      <c r="H185" s="2343"/>
      <c r="I185" s="2343"/>
      <c r="J185" s="2343"/>
      <c r="K185" s="2343"/>
      <c r="L185" s="2343"/>
      <c r="M185" s="2343"/>
      <c r="N185" s="2343"/>
      <c r="O185" s="2343"/>
      <c r="P185" s="2343"/>
      <c r="Q185" s="2343"/>
      <c r="R185" s="2343"/>
      <c r="S185" s="2343"/>
      <c r="T185" s="2343"/>
      <c r="U185" s="2344"/>
      <c r="V185" s="441"/>
    </row>
    <row r="186" spans="1:22" ht="23.25" customHeight="1">
      <c r="B186" s="2336" t="s">
        <v>1918</v>
      </c>
      <c r="C186" s="2337"/>
      <c r="D186" s="2337"/>
      <c r="E186" s="2337"/>
      <c r="F186" s="2337"/>
      <c r="G186" s="2337"/>
      <c r="H186" s="2337"/>
      <c r="I186" s="2337"/>
      <c r="J186" s="2337"/>
      <c r="K186" s="2337"/>
      <c r="L186" s="2337"/>
      <c r="M186" s="2337"/>
      <c r="N186" s="2337"/>
      <c r="O186" s="2337"/>
      <c r="P186" s="2337"/>
      <c r="Q186" s="2337"/>
      <c r="R186" s="2337"/>
      <c r="S186" s="2337"/>
      <c r="T186" s="2337"/>
      <c r="U186" s="2338"/>
      <c r="V186" s="441"/>
    </row>
    <row r="187" spans="1:22">
      <c r="B187" s="1864"/>
      <c r="C187" s="1865"/>
      <c r="D187" s="1865"/>
      <c r="E187" s="1865"/>
      <c r="F187" s="1865"/>
      <c r="G187" s="1865"/>
      <c r="H187" s="1865"/>
      <c r="I187" s="1865"/>
      <c r="J187" s="1865"/>
      <c r="K187" s="1865"/>
      <c r="L187" s="1865"/>
      <c r="M187" s="1865"/>
      <c r="N187" s="1865"/>
      <c r="O187" s="1865"/>
      <c r="P187" s="1865"/>
      <c r="Q187" s="1865"/>
      <c r="R187" s="1865"/>
      <c r="S187" s="1865"/>
      <c r="T187" s="1865"/>
      <c r="U187" s="1915"/>
    </row>
    <row r="188" spans="1:22" ht="23.25">
      <c r="B188" s="1864"/>
      <c r="C188" s="1934"/>
      <c r="D188" s="1923"/>
      <c r="E188" s="1935" t="s">
        <v>482</v>
      </c>
      <c r="F188" s="1917" t="s">
        <v>883</v>
      </c>
      <c r="G188" s="1865"/>
      <c r="H188" s="1923"/>
      <c r="I188" s="563"/>
      <c r="J188" s="1923"/>
      <c r="K188" s="1923"/>
      <c r="L188" s="564"/>
      <c r="M188" s="1924"/>
      <c r="N188" s="1894"/>
      <c r="O188" s="1925"/>
      <c r="P188" s="1865"/>
      <c r="Q188" s="1920" t="s">
        <v>472</v>
      </c>
      <c r="R188" s="1921" t="s">
        <v>473</v>
      </c>
      <c r="S188" s="1865"/>
      <c r="T188" s="1865"/>
      <c r="U188" s="1915"/>
    </row>
    <row r="189" spans="1:22" ht="23.25">
      <c r="B189" s="1931"/>
      <c r="C189" s="1913"/>
      <c r="D189" s="1904"/>
      <c r="E189" s="1936"/>
      <c r="F189" s="1937"/>
      <c r="G189" s="1907"/>
      <c r="H189" s="1904"/>
      <c r="I189" s="567"/>
      <c r="J189" s="1904"/>
      <c r="K189" s="1904"/>
      <c r="L189" s="568"/>
      <c r="M189" s="1906"/>
      <c r="N189" s="1909"/>
      <c r="O189" s="1932"/>
      <c r="P189" s="1938"/>
      <c r="Q189" s="1939"/>
      <c r="R189" s="1913"/>
      <c r="S189" s="1907"/>
      <c r="T189" s="1907"/>
      <c r="U189" s="1914"/>
    </row>
    <row r="190" spans="1:22" ht="20.25">
      <c r="B190" s="441"/>
      <c r="C190" s="561"/>
      <c r="D190" s="552"/>
      <c r="E190" s="552"/>
      <c r="F190" s="545"/>
      <c r="G190" s="441"/>
      <c r="H190" s="553"/>
      <c r="I190" s="553"/>
      <c r="J190" s="553"/>
      <c r="K190" s="571"/>
      <c r="L190" s="553"/>
      <c r="M190" s="553"/>
      <c r="N190" s="548"/>
      <c r="O190" s="554"/>
      <c r="P190" s="572"/>
      <c r="Q190" s="573"/>
      <c r="R190" s="561"/>
      <c r="S190" s="441"/>
      <c r="T190" s="441"/>
      <c r="U190" s="441"/>
    </row>
    <row r="191" spans="1:22" ht="23.25">
      <c r="A191" s="441"/>
      <c r="B191" s="2304" t="s">
        <v>483</v>
      </c>
      <c r="C191" s="2305"/>
      <c r="D191" s="2305"/>
      <c r="E191" s="2305"/>
      <c r="F191" s="2305"/>
      <c r="G191" s="2305"/>
      <c r="H191" s="2305"/>
      <c r="I191" s="2305"/>
      <c r="J191" s="2305"/>
      <c r="K191" s="2305"/>
      <c r="L191" s="2305"/>
      <c r="M191" s="2305"/>
      <c r="N191" s="2305"/>
      <c r="O191" s="2305"/>
      <c r="P191" s="2305"/>
      <c r="Q191" s="2305"/>
      <c r="R191" s="2305"/>
      <c r="S191" s="2305"/>
      <c r="T191" s="2305"/>
      <c r="U191" s="2386"/>
    </row>
    <row r="192" spans="1:22" ht="23.25">
      <c r="A192" s="441"/>
      <c r="B192" s="2345" t="s">
        <v>484</v>
      </c>
      <c r="C192" s="2346"/>
      <c r="D192" s="2346"/>
      <c r="E192" s="2346"/>
      <c r="F192" s="2346"/>
      <c r="G192" s="2346"/>
      <c r="H192" s="2346"/>
      <c r="I192" s="2346"/>
      <c r="J192" s="2346"/>
      <c r="K192" s="2346"/>
      <c r="L192" s="2346"/>
      <c r="M192" s="2346"/>
      <c r="N192" s="2346"/>
      <c r="O192" s="2346"/>
      <c r="P192" s="2346"/>
      <c r="Q192" s="2346"/>
      <c r="R192" s="2346"/>
      <c r="S192" s="2346"/>
      <c r="T192" s="2346"/>
      <c r="U192" s="2347"/>
    </row>
    <row r="193" spans="1:22" ht="23.25">
      <c r="A193" s="441"/>
      <c r="B193" s="749"/>
      <c r="C193" s="750"/>
      <c r="D193" s="750"/>
      <c r="E193" s="750"/>
      <c r="F193" s="750"/>
      <c r="G193" s="750"/>
      <c r="H193" s="750"/>
      <c r="I193" s="750"/>
      <c r="J193" s="750"/>
      <c r="K193" s="750"/>
      <c r="L193" s="750"/>
      <c r="M193" s="750"/>
      <c r="N193" s="750"/>
      <c r="O193" s="750"/>
      <c r="P193" s="750"/>
      <c r="Q193" s="750"/>
      <c r="R193" s="750"/>
      <c r="S193" s="750"/>
      <c r="T193" s="750"/>
      <c r="U193" s="751"/>
    </row>
    <row r="194" spans="1:22" ht="23.25">
      <c r="A194" s="441"/>
      <c r="B194" s="749"/>
      <c r="C194" s="576" t="s">
        <v>485</v>
      </c>
      <c r="D194" s="441"/>
      <c r="F194" s="577">
        <v>5</v>
      </c>
      <c r="G194" s="546"/>
      <c r="H194" s="441"/>
      <c r="I194" s="545"/>
      <c r="J194" s="545"/>
      <c r="K194" s="547"/>
      <c r="L194" s="576" t="s">
        <v>486</v>
      </c>
      <c r="Q194" s="577" t="s">
        <v>685</v>
      </c>
      <c r="R194" s="545"/>
      <c r="S194" s="545"/>
      <c r="T194" s="545"/>
      <c r="U194" s="451"/>
    </row>
    <row r="195" spans="1:22" ht="23.25">
      <c r="A195" s="441"/>
      <c r="B195" s="749"/>
      <c r="C195" s="750"/>
      <c r="D195" s="441"/>
      <c r="E195" s="531"/>
      <c r="F195" s="577"/>
      <c r="G195" s="546"/>
      <c r="H195" s="441"/>
      <c r="I195" s="545"/>
      <c r="J195" s="545"/>
      <c r="K195" s="547"/>
      <c r="L195" s="750"/>
      <c r="M195" s="441"/>
      <c r="N195" s="531"/>
      <c r="P195" s="546"/>
      <c r="Q195" s="577" t="s">
        <v>686</v>
      </c>
      <c r="R195" s="545"/>
      <c r="S195" s="545"/>
      <c r="T195" s="545"/>
      <c r="U195" s="451"/>
    </row>
    <row r="196" spans="1:22" ht="63.6" customHeight="1">
      <c r="A196" s="441"/>
      <c r="B196" s="578"/>
      <c r="C196" s="2378" t="s">
        <v>489</v>
      </c>
      <c r="D196" s="2378"/>
      <c r="E196" s="2378"/>
      <c r="F196" s="2378"/>
      <c r="G196" s="2378"/>
      <c r="H196" s="2378"/>
      <c r="I196" s="2378"/>
      <c r="J196" s="2378"/>
      <c r="K196" s="579"/>
      <c r="L196" s="2378" t="s">
        <v>490</v>
      </c>
      <c r="M196" s="2378"/>
      <c r="N196" s="2378"/>
      <c r="O196" s="2378"/>
      <c r="P196" s="2378"/>
      <c r="Q196" s="2378"/>
      <c r="R196" s="2378"/>
      <c r="S196" s="2378"/>
      <c r="T196" s="2378"/>
      <c r="U196" s="751"/>
    </row>
    <row r="197" spans="1:22" s="522" customFormat="1" ht="100.15" customHeight="1">
      <c r="B197" s="578"/>
      <c r="C197" s="2378" t="s">
        <v>815</v>
      </c>
      <c r="D197" s="2378"/>
      <c r="E197" s="2378"/>
      <c r="F197" s="2378"/>
      <c r="G197" s="2378"/>
      <c r="H197" s="2378"/>
      <c r="I197" s="2378"/>
      <c r="J197" s="2378"/>
      <c r="K197" s="2378"/>
      <c r="L197" s="2378"/>
      <c r="M197" s="2378"/>
      <c r="N197" s="2378"/>
      <c r="O197" s="2378"/>
      <c r="P197" s="2378"/>
      <c r="Q197" s="2378"/>
      <c r="R197" s="2378"/>
      <c r="S197" s="2378"/>
      <c r="T197" s="2378"/>
      <c r="U197" s="580"/>
    </row>
    <row r="198" spans="1:22" ht="22.9" customHeight="1">
      <c r="A198" s="441"/>
      <c r="B198" s="581"/>
      <c r="C198" s="488"/>
      <c r="D198" s="582"/>
      <c r="E198" s="582"/>
      <c r="F198" s="582"/>
      <c r="G198" s="543"/>
      <c r="H198" s="543"/>
      <c r="I198" s="543"/>
      <c r="J198" s="543"/>
      <c r="K198" s="543"/>
      <c r="L198" s="543"/>
      <c r="M198" s="543"/>
      <c r="N198" s="543"/>
      <c r="O198" s="543"/>
      <c r="P198" s="543"/>
      <c r="Q198" s="543"/>
      <c r="R198" s="543"/>
      <c r="S198" s="543"/>
      <c r="T198" s="543"/>
      <c r="U198" s="557"/>
    </row>
    <row r="199" spans="1:22" ht="23.25">
      <c r="A199" s="441"/>
      <c r="B199" s="520"/>
      <c r="C199" s="583"/>
      <c r="D199" s="583"/>
      <c r="E199" s="583"/>
      <c r="F199" s="583"/>
      <c r="G199" s="561"/>
      <c r="H199" s="561"/>
      <c r="I199" s="561"/>
      <c r="J199" s="561"/>
      <c r="K199" s="561"/>
      <c r="L199" s="561"/>
      <c r="M199" s="561"/>
      <c r="N199" s="561"/>
      <c r="O199" s="561"/>
      <c r="P199" s="561"/>
      <c r="Q199" s="561"/>
      <c r="R199" s="561"/>
      <c r="S199" s="561"/>
      <c r="T199" s="561"/>
      <c r="U199" s="750"/>
    </row>
    <row r="200" spans="1:22" ht="20.25" customHeight="1">
      <c r="B200" s="522"/>
      <c r="C200" s="584"/>
      <c r="D200" s="584"/>
      <c r="E200" s="584"/>
      <c r="F200" s="584"/>
      <c r="G200" s="522"/>
      <c r="H200" s="522"/>
      <c r="I200" s="522"/>
      <c r="J200" s="522"/>
      <c r="K200" s="522"/>
      <c r="L200" s="522"/>
      <c r="M200" s="476" t="s">
        <v>1820</v>
      </c>
      <c r="N200" s="522"/>
      <c r="O200" s="522"/>
      <c r="P200" s="522"/>
      <c r="Q200" s="522"/>
      <c r="R200" s="477" t="s">
        <v>692</v>
      </c>
      <c r="S200" s="478" t="str">
        <f>$E$29</f>
        <v>ILF5_90FCOS_B114CAGR43006</v>
      </c>
      <c r="T200" s="522"/>
    </row>
    <row r="201" spans="1:22" ht="16.899999999999999" customHeight="1">
      <c r="B201" s="522"/>
      <c r="C201" s="585"/>
      <c r="D201" s="584"/>
      <c r="E201" s="584"/>
      <c r="F201" s="584"/>
      <c r="G201" s="586"/>
      <c r="H201" s="586"/>
      <c r="I201" s="586"/>
      <c r="J201" s="586"/>
      <c r="K201" s="587"/>
      <c r="L201" s="587"/>
      <c r="M201" s="587"/>
      <c r="N201" s="587"/>
      <c r="O201" s="587"/>
      <c r="P201" s="587"/>
      <c r="Q201" s="561"/>
      <c r="R201" s="561"/>
      <c r="S201" s="441"/>
      <c r="T201" s="441"/>
      <c r="U201" s="588"/>
      <c r="V201" s="441"/>
    </row>
    <row r="202" spans="1:22">
      <c r="A202" s="420"/>
      <c r="B202" s="420"/>
      <c r="C202" s="420"/>
      <c r="D202" s="420"/>
      <c r="E202" s="420"/>
      <c r="F202" s="420"/>
      <c r="G202" s="420"/>
      <c r="H202" s="436" t="s">
        <v>690</v>
      </c>
      <c r="I202" s="420"/>
      <c r="K202" s="420"/>
      <c r="L202" s="437" t="str">
        <f>$B$11</f>
        <v>INMOBILIARIA SERVIGESTION</v>
      </c>
      <c r="M202" s="420"/>
      <c r="N202" s="420"/>
      <c r="O202" s="420"/>
      <c r="P202" s="420"/>
      <c r="Q202" s="420"/>
      <c r="R202" s="420"/>
      <c r="S202" s="420"/>
      <c r="T202" s="420"/>
      <c r="U202" s="420"/>
      <c r="V202" s="420"/>
    </row>
    <row r="203" spans="1:22" ht="34.5">
      <c r="A203" s="420"/>
      <c r="B203" s="2268" t="s">
        <v>461</v>
      </c>
      <c r="C203" s="2268"/>
      <c r="D203" s="2268"/>
      <c r="E203" s="2268"/>
      <c r="F203" s="2268"/>
      <c r="G203" s="2268"/>
      <c r="H203" s="2268"/>
      <c r="I203" s="2268"/>
      <c r="J203" s="2268"/>
      <c r="K203" s="2268"/>
      <c r="L203" s="2268"/>
      <c r="M203" s="2268"/>
      <c r="N203" s="2268"/>
      <c r="O203" s="2268"/>
      <c r="P203" s="2268"/>
      <c r="Q203" s="2268"/>
      <c r="R203" s="2268"/>
      <c r="S203" s="2268"/>
      <c r="T203" s="2268"/>
      <c r="U203" s="2268"/>
      <c r="V203" s="420"/>
    </row>
    <row r="204" spans="1:22" ht="22.9" customHeight="1">
      <c r="A204" s="420"/>
      <c r="B204" s="2269" t="s">
        <v>728</v>
      </c>
      <c r="C204" s="2269"/>
      <c r="D204" s="2269"/>
      <c r="E204" s="2269"/>
      <c r="F204" s="2269"/>
      <c r="G204" s="2269"/>
      <c r="H204" s="2269"/>
      <c r="I204" s="2269"/>
      <c r="J204" s="2269"/>
      <c r="K204" s="2269"/>
      <c r="L204" s="2269"/>
      <c r="M204" s="2269"/>
      <c r="N204" s="2269"/>
      <c r="O204" s="2269"/>
      <c r="P204" s="2269"/>
      <c r="Q204" s="2269"/>
      <c r="R204" s="2269"/>
      <c r="S204" s="2269"/>
      <c r="T204" s="2269"/>
      <c r="U204" s="2269"/>
      <c r="V204" s="420"/>
    </row>
    <row r="205" spans="1:22" ht="16.149999999999999" customHeight="1">
      <c r="A205" s="420"/>
      <c r="B205" s="757"/>
      <c r="C205" s="757"/>
      <c r="D205" s="757"/>
      <c r="E205" s="757"/>
      <c r="F205" s="757"/>
      <c r="G205" s="757"/>
      <c r="H205" s="757"/>
      <c r="I205" s="757"/>
      <c r="J205" s="757"/>
      <c r="K205" s="757"/>
      <c r="L205" s="757"/>
      <c r="M205" s="757"/>
      <c r="N205" s="757"/>
      <c r="O205" s="757"/>
      <c r="Q205" s="757"/>
      <c r="R205" s="757"/>
      <c r="S205" s="757"/>
      <c r="T205" s="757"/>
      <c r="U205" s="757"/>
      <c r="V205" s="420"/>
    </row>
    <row r="206" spans="1:22" ht="26.25">
      <c r="A206" s="504"/>
      <c r="B206" s="2387" t="s">
        <v>893</v>
      </c>
      <c r="C206" s="2388"/>
      <c r="D206" s="2388"/>
      <c r="E206" s="2388"/>
      <c r="F206" s="2388"/>
      <c r="G206" s="2388"/>
      <c r="H206" s="2388"/>
      <c r="I206" s="2388"/>
      <c r="J206" s="2388"/>
      <c r="K206" s="2388"/>
      <c r="L206" s="2388"/>
      <c r="M206" s="2388"/>
      <c r="N206" s="2388"/>
      <c r="O206" s="2388"/>
      <c r="P206" s="2388"/>
      <c r="Q206" s="2388"/>
      <c r="R206" s="2388"/>
      <c r="S206" s="2388"/>
      <c r="T206" s="2388"/>
      <c r="U206" s="2389"/>
      <c r="V206" s="504"/>
    </row>
    <row r="207" spans="1:22" ht="102" customHeight="1">
      <c r="A207" s="504"/>
      <c r="B207" s="2366" t="s">
        <v>1990</v>
      </c>
      <c r="C207" s="2367"/>
      <c r="D207" s="2367"/>
      <c r="E207" s="2367"/>
      <c r="F207" s="2367"/>
      <c r="G207" s="2367"/>
      <c r="H207" s="2367"/>
      <c r="I207" s="2367"/>
      <c r="J207" s="2367"/>
      <c r="K207" s="2367"/>
      <c r="L207" s="2367"/>
      <c r="M207" s="2367"/>
      <c r="N207" s="2367"/>
      <c r="O207" s="2367"/>
      <c r="P207" s="2367"/>
      <c r="Q207" s="2367"/>
      <c r="R207" s="2367"/>
      <c r="S207" s="2367"/>
      <c r="T207" s="2367"/>
      <c r="U207" s="2368"/>
      <c r="V207" s="504"/>
    </row>
    <row r="208" spans="1:22" ht="13.9" customHeight="1">
      <c r="A208" s="504"/>
      <c r="B208" s="778"/>
      <c r="C208" s="777"/>
      <c r="D208" s="777"/>
      <c r="E208" s="777"/>
      <c r="F208" s="777"/>
      <c r="G208" s="777"/>
      <c r="H208" s="777"/>
      <c r="I208" s="777"/>
      <c r="J208" s="777"/>
      <c r="K208" s="777"/>
      <c r="L208" s="777"/>
      <c r="M208" s="777"/>
      <c r="N208" s="777"/>
      <c r="O208" s="777"/>
      <c r="P208" s="777"/>
      <c r="Q208" s="777"/>
      <c r="R208" s="777"/>
      <c r="S208" s="777"/>
      <c r="T208" s="777"/>
      <c r="U208" s="781"/>
      <c r="V208" s="504"/>
    </row>
    <row r="209" spans="1:22" ht="36.75" customHeight="1">
      <c r="A209" s="504"/>
      <c r="B209" s="778"/>
      <c r="C209" s="2390" t="s">
        <v>956</v>
      </c>
      <c r="D209" s="2390"/>
      <c r="E209" s="2390"/>
      <c r="F209" s="2390"/>
      <c r="G209" s="2390"/>
      <c r="H209" s="2390"/>
      <c r="I209" s="2390"/>
      <c r="J209" s="2390"/>
      <c r="K209" s="2390"/>
      <c r="L209" s="2390"/>
      <c r="M209" s="2390"/>
      <c r="N209" s="2390"/>
      <c r="O209" s="2390"/>
      <c r="P209" s="2390"/>
      <c r="Q209" s="2390"/>
      <c r="R209" s="2390"/>
      <c r="S209" s="2390"/>
      <c r="T209" s="2390"/>
      <c r="U209" s="781"/>
      <c r="V209" s="504"/>
    </row>
    <row r="210" spans="1:22" ht="22.15" customHeight="1">
      <c r="A210" s="441"/>
      <c r="B210" s="508"/>
      <c r="C210" s="784"/>
      <c r="D210" s="784"/>
      <c r="E210" s="784"/>
      <c r="F210" s="784"/>
      <c r="G210" s="784"/>
      <c r="H210" s="784"/>
      <c r="I210" s="784"/>
      <c r="J210" s="784"/>
      <c r="K210" s="784"/>
      <c r="L210" s="2365"/>
      <c r="M210" s="2365"/>
      <c r="N210" s="2365"/>
      <c r="O210" s="2365"/>
      <c r="P210" s="2365"/>
      <c r="Q210" s="2365"/>
      <c r="R210" s="2365"/>
      <c r="S210" s="2365"/>
      <c r="T210" s="784"/>
      <c r="U210" s="589"/>
      <c r="V210" s="492"/>
    </row>
    <row r="211" spans="1:22" ht="23.25">
      <c r="B211" s="466"/>
      <c r="C211" s="2335" t="s">
        <v>933</v>
      </c>
      <c r="D211" s="2335"/>
      <c r="E211" s="2335"/>
      <c r="F211" s="2335"/>
      <c r="G211" s="2335"/>
      <c r="H211" s="2335"/>
      <c r="I211" s="2335"/>
      <c r="J211" s="2335"/>
      <c r="K211" s="2335"/>
      <c r="L211" s="441"/>
      <c r="M211" s="2375" t="s">
        <v>910</v>
      </c>
      <c r="N211" s="2376"/>
      <c r="O211" s="2376"/>
      <c r="P211" s="2376"/>
      <c r="Q211" s="2376"/>
      <c r="R211" s="2376"/>
      <c r="S211" s="2376"/>
      <c r="T211" s="2377"/>
      <c r="U211" s="494"/>
      <c r="V211" s="441"/>
    </row>
    <row r="212" spans="1:22" ht="137.44999999999999" customHeight="1">
      <c r="B212" s="495" t="s">
        <v>362</v>
      </c>
      <c r="C212" s="2396" t="s">
        <v>935</v>
      </c>
      <c r="D212" s="2397"/>
      <c r="E212" s="2397"/>
      <c r="F212" s="2397"/>
      <c r="G212" s="2397"/>
      <c r="H212" s="2397"/>
      <c r="I212" s="2397"/>
      <c r="J212" s="2397"/>
      <c r="K212" s="2398"/>
      <c r="L212" s="441"/>
      <c r="M212" s="2396" t="s">
        <v>937</v>
      </c>
      <c r="N212" s="2397"/>
      <c r="O212" s="2397"/>
      <c r="P212" s="2397"/>
      <c r="Q212" s="2397"/>
      <c r="R212" s="2397"/>
      <c r="S212" s="2397"/>
      <c r="T212" s="2398"/>
      <c r="U212" s="494"/>
      <c r="V212" s="441"/>
    </row>
    <row r="213" spans="1:22" ht="26.25">
      <c r="A213" s="441"/>
      <c r="B213" s="496"/>
      <c r="C213" s="2399" t="s">
        <v>934</v>
      </c>
      <c r="D213" s="2399"/>
      <c r="E213" s="2399"/>
      <c r="F213" s="2399"/>
      <c r="G213" s="2399"/>
      <c r="H213" s="497">
        <v>30</v>
      </c>
      <c r="I213" s="498"/>
      <c r="J213" s="498"/>
      <c r="K213" s="498"/>
      <c r="L213" s="499"/>
      <c r="M213" s="2399" t="s">
        <v>934</v>
      </c>
      <c r="N213" s="2399"/>
      <c r="O213" s="2399"/>
      <c r="P213" s="2399"/>
      <c r="Q213" s="2399"/>
      <c r="R213" s="497">
        <v>10</v>
      </c>
      <c r="S213" s="498"/>
      <c r="T213" s="498"/>
      <c r="U213" s="590"/>
    </row>
    <row r="214" spans="1:22" ht="16.149999999999999" customHeight="1">
      <c r="A214" s="420"/>
      <c r="B214" s="485"/>
      <c r="C214" s="475"/>
      <c r="D214" s="475"/>
      <c r="E214" s="475"/>
      <c r="F214" s="475"/>
      <c r="G214" s="475"/>
      <c r="H214" s="475"/>
      <c r="I214" s="475"/>
      <c r="J214" s="475"/>
      <c r="K214" s="475"/>
      <c r="L214" s="475"/>
      <c r="M214" s="475"/>
      <c r="N214" s="475"/>
      <c r="O214" s="475"/>
      <c r="P214" s="441"/>
      <c r="Q214" s="475"/>
      <c r="R214" s="475"/>
      <c r="S214" s="475"/>
      <c r="T214" s="475"/>
      <c r="U214" s="442"/>
      <c r="V214" s="420"/>
    </row>
    <row r="215" spans="1:22" ht="22.15" customHeight="1">
      <c r="A215" s="420"/>
      <c r="B215" s="485"/>
      <c r="C215" s="441"/>
      <c r="D215" s="441"/>
      <c r="E215" s="2406" t="s">
        <v>936</v>
      </c>
      <c r="F215" s="2406"/>
      <c r="G215" s="2406"/>
      <c r="H215" s="2406"/>
      <c r="I215" s="2406"/>
      <c r="J215" s="2406"/>
      <c r="K215" s="2406"/>
      <c r="L215" s="2406"/>
      <c r="M215" s="2406"/>
      <c r="N215" s="2406"/>
      <c r="O215" s="2406"/>
      <c r="P215" s="2406"/>
      <c r="Q215" s="2406"/>
      <c r="R215" s="2406"/>
      <c r="S215" s="2406"/>
      <c r="T215" s="475"/>
      <c r="U215" s="442"/>
      <c r="V215" s="420"/>
    </row>
    <row r="216" spans="1:22" ht="16.149999999999999" customHeight="1">
      <c r="A216" s="420"/>
      <c r="B216" s="485"/>
      <c r="C216" s="441"/>
      <c r="D216" s="441"/>
      <c r="E216" s="591" t="s">
        <v>525</v>
      </c>
      <c r="F216" s="592" t="s">
        <v>543</v>
      </c>
      <c r="G216" s="593" t="s">
        <v>550</v>
      </c>
      <c r="H216" s="593" t="s">
        <v>558</v>
      </c>
      <c r="I216" s="593" t="s">
        <v>580</v>
      </c>
      <c r="J216" s="593" t="s">
        <v>613</v>
      </c>
      <c r="K216" s="593" t="s">
        <v>549</v>
      </c>
      <c r="L216" s="593" t="s">
        <v>622</v>
      </c>
      <c r="M216" s="593" t="s">
        <v>624</v>
      </c>
      <c r="N216" s="593" t="s">
        <v>628</v>
      </c>
      <c r="O216" s="593" t="s">
        <v>928</v>
      </c>
      <c r="P216" s="593" t="s">
        <v>588</v>
      </c>
      <c r="Q216" s="593" t="s">
        <v>930</v>
      </c>
      <c r="R216" s="593" t="s">
        <v>596</v>
      </c>
      <c r="S216" s="594" t="s">
        <v>638</v>
      </c>
      <c r="T216" s="475"/>
      <c r="U216" s="442"/>
      <c r="V216" s="420"/>
    </row>
    <row r="217" spans="1:22">
      <c r="B217" s="466"/>
      <c r="C217" s="592"/>
      <c r="D217" s="592"/>
      <c r="E217" s="591" t="s">
        <v>520</v>
      </c>
      <c r="F217" s="593" t="s">
        <v>548</v>
      </c>
      <c r="G217" s="593" t="s">
        <v>554</v>
      </c>
      <c r="H217" s="593" t="s">
        <v>575</v>
      </c>
      <c r="I217" s="593" t="s">
        <v>595</v>
      </c>
      <c r="J217" s="593" t="s">
        <v>926</v>
      </c>
      <c r="K217" s="593" t="s">
        <v>559</v>
      </c>
      <c r="L217" s="593" t="s">
        <v>567</v>
      </c>
      <c r="M217" s="593" t="s">
        <v>927</v>
      </c>
      <c r="N217" s="593" t="s">
        <v>630</v>
      </c>
      <c r="O217" s="593" t="s">
        <v>929</v>
      </c>
      <c r="P217" s="593" t="s">
        <v>581</v>
      </c>
      <c r="Q217" s="593" t="s">
        <v>586</v>
      </c>
      <c r="R217" s="595" t="s">
        <v>600</v>
      </c>
      <c r="S217" s="596"/>
      <c r="T217" s="597"/>
      <c r="U217" s="451"/>
    </row>
    <row r="218" spans="1:22" ht="7.15" customHeight="1">
      <c r="B218" s="466"/>
      <c r="C218" s="441"/>
      <c r="D218" s="441"/>
      <c r="E218" s="598"/>
      <c r="F218" s="598"/>
      <c r="G218" s="598"/>
      <c r="H218" s="598"/>
      <c r="I218" s="598"/>
      <c r="J218" s="598"/>
      <c r="K218" s="598"/>
      <c r="L218" s="598"/>
      <c r="M218" s="598"/>
      <c r="N218" s="598"/>
      <c r="O218" s="598"/>
      <c r="P218" s="598"/>
      <c r="Q218" s="598"/>
      <c r="R218" s="598"/>
      <c r="S218" s="441"/>
      <c r="T218" s="441"/>
      <c r="U218" s="451"/>
    </row>
    <row r="219" spans="1:22" ht="16.149999999999999" customHeight="1">
      <c r="A219" s="420"/>
      <c r="B219" s="487"/>
      <c r="C219" s="459"/>
      <c r="D219" s="459"/>
      <c r="E219" s="459"/>
      <c r="F219" s="459"/>
      <c r="G219" s="459"/>
      <c r="H219" s="459"/>
      <c r="I219" s="459"/>
      <c r="J219" s="459"/>
      <c r="K219" s="459"/>
      <c r="L219" s="459"/>
      <c r="M219" s="459"/>
      <c r="N219" s="459"/>
      <c r="O219" s="459"/>
      <c r="P219" s="488"/>
      <c r="Q219" s="459"/>
      <c r="R219" s="459"/>
      <c r="S219" s="459"/>
      <c r="T219" s="459"/>
      <c r="U219" s="460"/>
      <c r="V219" s="420"/>
    </row>
    <row r="220" spans="1:22" ht="16.149999999999999" customHeight="1">
      <c r="A220" s="420"/>
      <c r="B220" s="780"/>
      <c r="C220" s="780"/>
      <c r="D220" s="780"/>
      <c r="E220" s="780"/>
      <c r="F220" s="780"/>
      <c r="G220" s="780"/>
      <c r="H220" s="780"/>
      <c r="I220" s="780"/>
      <c r="J220" s="780"/>
      <c r="K220" s="780"/>
      <c r="L220" s="780"/>
      <c r="M220" s="780"/>
      <c r="N220" s="780"/>
      <c r="O220" s="780"/>
      <c r="Q220" s="780"/>
      <c r="R220" s="780"/>
      <c r="S220" s="780"/>
      <c r="T220" s="780"/>
      <c r="U220" s="780"/>
      <c r="V220" s="420"/>
    </row>
    <row r="221" spans="1:22" ht="50.25" customHeight="1">
      <c r="A221" s="429"/>
      <c r="B221" s="2251" t="s">
        <v>792</v>
      </c>
      <c r="C221" s="2251"/>
      <c r="D221" s="2251"/>
      <c r="E221" s="2251"/>
      <c r="F221" s="2251"/>
      <c r="G221" s="2251"/>
      <c r="H221" s="2251"/>
      <c r="I221" s="2251"/>
      <c r="J221" s="2251"/>
      <c r="K221" s="2251"/>
      <c r="L221" s="2251"/>
      <c r="M221" s="2251"/>
      <c r="N221" s="2251"/>
      <c r="O221" s="2251"/>
      <c r="P221" s="2251"/>
      <c r="Q221" s="2251"/>
      <c r="R221" s="2251"/>
      <c r="S221" s="2251"/>
      <c r="T221" s="2251"/>
      <c r="U221" s="2251"/>
      <c r="V221" s="429"/>
    </row>
    <row r="222" spans="1:22" ht="16.149999999999999" customHeight="1">
      <c r="A222" s="420"/>
      <c r="B222" s="757"/>
      <c r="C222" s="757"/>
      <c r="D222" s="757"/>
      <c r="E222" s="757"/>
      <c r="F222" s="757"/>
      <c r="G222" s="757"/>
      <c r="H222" s="757"/>
      <c r="I222" s="757"/>
      <c r="J222" s="757"/>
      <c r="K222" s="757"/>
      <c r="L222" s="757"/>
      <c r="M222" s="757"/>
      <c r="N222" s="757"/>
      <c r="O222" s="757"/>
      <c r="P222" s="757"/>
      <c r="Q222" s="757"/>
      <c r="R222" s="757"/>
      <c r="S222" s="757"/>
      <c r="T222" s="757"/>
      <c r="U222" s="757"/>
      <c r="V222" s="420"/>
    </row>
    <row r="223" spans="1:22" ht="22.9" customHeight="1">
      <c r="B223" s="600"/>
      <c r="C223" s="601"/>
      <c r="D223" s="601"/>
      <c r="E223" s="601"/>
      <c r="F223" s="601"/>
      <c r="G223" s="601"/>
      <c r="H223" s="601"/>
      <c r="I223" s="601"/>
      <c r="J223" s="601"/>
      <c r="K223" s="601"/>
      <c r="L223" s="601"/>
      <c r="M223" s="601"/>
      <c r="N223" s="601"/>
      <c r="O223" s="601"/>
      <c r="P223" s="601"/>
      <c r="Q223" s="601"/>
      <c r="R223" s="601"/>
      <c r="S223" s="601"/>
      <c r="T223" s="747"/>
      <c r="U223" s="603"/>
      <c r="V223" s="441"/>
    </row>
    <row r="224" spans="1:22" ht="16.149999999999999" customHeight="1">
      <c r="A224" s="420"/>
      <c r="B224" s="485"/>
      <c r="C224" s="441"/>
      <c r="D224" s="441"/>
      <c r="E224" s="441"/>
      <c r="F224" s="441"/>
      <c r="G224" s="441"/>
      <c r="H224" s="441"/>
      <c r="I224" s="441"/>
      <c r="J224" s="441"/>
      <c r="K224" s="475"/>
      <c r="L224" s="475"/>
      <c r="M224" s="604"/>
      <c r="N224" s="605"/>
      <c r="O224" s="605"/>
      <c r="P224" s="606"/>
      <c r="Q224" s="607"/>
      <c r="R224" s="475"/>
      <c r="S224" s="475"/>
      <c r="T224" s="475"/>
      <c r="U224" s="442"/>
      <c r="V224" s="420"/>
    </row>
    <row r="225" spans="1:22" ht="46.9" customHeight="1">
      <c r="A225" s="420"/>
      <c r="B225" s="466"/>
      <c r="C225" s="2412" t="s">
        <v>492</v>
      </c>
      <c r="D225" s="2412"/>
      <c r="E225" s="2412"/>
      <c r="F225" s="2412"/>
      <c r="G225" s="2412"/>
      <c r="H225" s="2412"/>
      <c r="I225" s="2412"/>
      <c r="J225" s="2412"/>
      <c r="K225" s="741"/>
      <c r="L225" s="2392" t="s">
        <v>493</v>
      </c>
      <c r="M225" s="2393"/>
      <c r="N225" s="2393"/>
      <c r="O225" s="2393"/>
      <c r="P225" s="2393"/>
      <c r="Q225" s="2393"/>
      <c r="R225" s="2393"/>
      <c r="S225" s="2393"/>
      <c r="T225" s="2393"/>
      <c r="U225" s="2394"/>
      <c r="V225" s="420"/>
    </row>
    <row r="226" spans="1:22" ht="30" customHeight="1">
      <c r="A226" s="420"/>
      <c r="B226" s="485"/>
      <c r="C226" s="754"/>
      <c r="D226" s="754"/>
      <c r="E226" s="754"/>
      <c r="F226" s="754"/>
      <c r="G226" s="754"/>
      <c r="H226" s="754"/>
      <c r="I226" s="754"/>
      <c r="J226" s="754"/>
      <c r="K226" s="475"/>
      <c r="L226" s="475"/>
      <c r="M226" s="609"/>
      <c r="N226" s="609"/>
      <c r="O226" s="609"/>
      <c r="P226" s="609"/>
      <c r="Q226" s="609"/>
      <c r="R226" s="609"/>
      <c r="S226" s="609"/>
      <c r="T226" s="609"/>
      <c r="U226" s="442"/>
      <c r="V226" s="420"/>
    </row>
    <row r="227" spans="1:22" ht="23.25">
      <c r="A227" s="420"/>
      <c r="B227" s="485"/>
      <c r="C227" s="2411" t="s">
        <v>494</v>
      </c>
      <c r="D227" s="2411"/>
      <c r="E227" s="2411"/>
      <c r="F227" s="2411"/>
      <c r="G227" s="2411"/>
      <c r="H227" s="2411"/>
      <c r="I227" s="2411"/>
      <c r="J227" s="561"/>
      <c r="K227" s="475"/>
      <c r="L227" s="2308" t="s">
        <v>495</v>
      </c>
      <c r="M227" s="2308"/>
      <c r="N227" s="2308"/>
      <c r="O227" s="2308"/>
      <c r="P227" s="610"/>
      <c r="Q227" s="2308" t="s">
        <v>501</v>
      </c>
      <c r="R227" s="2308"/>
      <c r="S227" s="2308"/>
      <c r="T227" s="2308"/>
      <c r="U227" s="2385"/>
      <c r="V227" s="420"/>
    </row>
    <row r="228" spans="1:22" ht="16.5" customHeight="1">
      <c r="A228" s="420"/>
      <c r="B228" s="485"/>
      <c r="C228" s="772"/>
      <c r="D228" s="772"/>
      <c r="E228" s="772"/>
      <c r="F228" s="772"/>
      <c r="G228" s="772"/>
      <c r="H228" s="772"/>
      <c r="I228" s="772"/>
      <c r="J228" s="561"/>
      <c r="K228" s="475"/>
      <c r="L228" s="475"/>
      <c r="M228" s="806"/>
      <c r="N228" s="806"/>
      <c r="O228" s="806"/>
      <c r="P228" s="806"/>
      <c r="Q228" s="806"/>
      <c r="R228" s="806"/>
      <c r="S228" s="806"/>
      <c r="T228" s="806"/>
      <c r="U228" s="442"/>
      <c r="V228" s="420"/>
    </row>
    <row r="229" spans="1:22" ht="27" customHeight="1">
      <c r="A229" s="420"/>
      <c r="B229" s="485"/>
      <c r="C229" s="548"/>
      <c r="D229" s="612"/>
      <c r="E229" s="771" t="s">
        <v>311</v>
      </c>
      <c r="F229" s="771" t="s">
        <v>312</v>
      </c>
      <c r="G229" s="771" t="s">
        <v>327</v>
      </c>
      <c r="H229" s="771" t="s">
        <v>496</v>
      </c>
      <c r="I229" s="771" t="s">
        <v>497</v>
      </c>
      <c r="J229" s="771" t="s">
        <v>498</v>
      </c>
      <c r="K229" s="475"/>
      <c r="L229" s="1940"/>
      <c r="M229" s="1941" t="s">
        <v>1919</v>
      </c>
      <c r="N229" s="1942" t="s">
        <v>312</v>
      </c>
      <c r="O229" s="1942" t="s">
        <v>327</v>
      </c>
      <c r="P229" s="1865"/>
      <c r="Q229" s="1894"/>
      <c r="R229" s="1894"/>
      <c r="S229" s="2351" t="s">
        <v>502</v>
      </c>
      <c r="T229" s="2352"/>
      <c r="U229" s="2353"/>
      <c r="V229" s="420"/>
    </row>
    <row r="230" spans="1:22" ht="25.5" customHeight="1">
      <c r="A230" s="420"/>
      <c r="B230" s="485"/>
      <c r="C230" s="2407" t="s">
        <v>499</v>
      </c>
      <c r="D230" s="2407"/>
      <c r="E230" s="614">
        <f t="shared" ref="E230:J230" si="0">0.45*(1-0.45)</f>
        <v>0.24750000000000003</v>
      </c>
      <c r="F230" s="614">
        <f t="shared" si="0"/>
        <v>0.24750000000000003</v>
      </c>
      <c r="G230" s="614">
        <f t="shared" si="0"/>
        <v>0.24750000000000003</v>
      </c>
      <c r="H230" s="614">
        <f t="shared" si="0"/>
        <v>0.24750000000000003</v>
      </c>
      <c r="I230" s="614">
        <f t="shared" si="0"/>
        <v>0.24750000000000003</v>
      </c>
      <c r="J230" s="614">
        <f t="shared" si="0"/>
        <v>0.24750000000000003</v>
      </c>
      <c r="K230" s="475"/>
      <c r="L230" s="1943" t="s">
        <v>938</v>
      </c>
      <c r="M230" s="615">
        <v>0</v>
      </c>
      <c r="N230" s="614">
        <v>0.82499999999999996</v>
      </c>
      <c r="O230" s="614">
        <f>N230</f>
        <v>0.82499999999999996</v>
      </c>
      <c r="P230" s="1865"/>
      <c r="Q230" s="1944"/>
      <c r="R230" s="1944"/>
      <c r="S230" s="1941" t="s">
        <v>1919</v>
      </c>
      <c r="T230" s="1942" t="s">
        <v>312</v>
      </c>
      <c r="U230" s="1942" t="s">
        <v>327</v>
      </c>
      <c r="V230" s="420"/>
    </row>
    <row r="231" spans="1:22" ht="25.5" customHeight="1">
      <c r="A231" s="420"/>
      <c r="B231" s="485"/>
      <c r="C231" s="2407" t="s">
        <v>500</v>
      </c>
      <c r="D231" s="2407"/>
      <c r="E231" s="616">
        <v>0.26400000000000001</v>
      </c>
      <c r="F231" s="616">
        <v>0.39600000000000002</v>
      </c>
      <c r="G231" s="616">
        <v>0.42899999999999999</v>
      </c>
      <c r="H231" s="616">
        <v>0.627</v>
      </c>
      <c r="I231" s="616">
        <v>0.75900000000000001</v>
      </c>
      <c r="J231" s="616">
        <v>0.89100000000000001</v>
      </c>
      <c r="K231" s="475"/>
      <c r="L231" s="1943" t="s">
        <v>939</v>
      </c>
      <c r="M231" s="1945" t="s">
        <v>1920</v>
      </c>
      <c r="N231" s="1946">
        <v>0.77</v>
      </c>
      <c r="O231" s="1946">
        <v>1.21</v>
      </c>
      <c r="P231" s="1865"/>
      <c r="Q231" s="2354" t="s">
        <v>503</v>
      </c>
      <c r="R231" s="2354"/>
      <c r="S231" s="1947" t="s">
        <v>1921</v>
      </c>
      <c r="T231" s="1948">
        <v>1.5</v>
      </c>
      <c r="U231" s="1948">
        <v>1.5</v>
      </c>
      <c r="V231" s="420"/>
    </row>
    <row r="232" spans="1:22" ht="24" customHeight="1">
      <c r="A232" s="420"/>
      <c r="B232" s="485"/>
      <c r="C232" s="548"/>
      <c r="D232" s="548"/>
      <c r="E232" s="548"/>
      <c r="F232" s="548"/>
      <c r="G232" s="548"/>
      <c r="H232" s="548"/>
      <c r="I232" s="548"/>
      <c r="J232" s="548"/>
      <c r="K232" s="475"/>
      <c r="L232" s="1940"/>
      <c r="M232" s="1865"/>
      <c r="N232" s="1865"/>
      <c r="O232" s="1865"/>
      <c r="P232" s="1865"/>
      <c r="Q232" s="2355" t="s">
        <v>506</v>
      </c>
      <c r="R232" s="1941" t="s">
        <v>1919</v>
      </c>
      <c r="S232" s="1947" t="s">
        <v>1921</v>
      </c>
      <c r="T232" s="1948">
        <v>1.4</v>
      </c>
      <c r="U232" s="1948">
        <v>2.6</v>
      </c>
      <c r="V232" s="420"/>
    </row>
    <row r="233" spans="1:22" ht="22.15" customHeight="1">
      <c r="A233" s="420"/>
      <c r="B233" s="485"/>
      <c r="C233" s="548"/>
      <c r="D233" s="548"/>
      <c r="E233" s="548"/>
      <c r="F233" s="548"/>
      <c r="G233" s="548"/>
      <c r="H233" s="548"/>
      <c r="I233" s="548"/>
      <c r="J233" s="548"/>
      <c r="K233" s="475"/>
      <c r="L233" s="1940"/>
      <c r="M233" s="1867"/>
      <c r="N233" s="1867"/>
      <c r="O233" s="1867"/>
      <c r="P233" s="1949"/>
      <c r="Q233" s="2355"/>
      <c r="R233" s="1950" t="s">
        <v>312</v>
      </c>
      <c r="S233" s="1947">
        <v>1.26</v>
      </c>
      <c r="T233" s="1948">
        <v>1.4</v>
      </c>
      <c r="U233" s="1948">
        <v>2.6</v>
      </c>
      <c r="V233" s="420"/>
    </row>
    <row r="234" spans="1:22" ht="21" customHeight="1">
      <c r="A234" s="420"/>
      <c r="B234" s="485"/>
      <c r="C234" s="548"/>
      <c r="D234" s="548"/>
      <c r="E234" s="548"/>
      <c r="F234" s="548"/>
      <c r="G234" s="548"/>
      <c r="H234" s="548"/>
      <c r="I234" s="548"/>
      <c r="J234" s="548"/>
      <c r="K234" s="475"/>
      <c r="L234" s="1940"/>
      <c r="M234" s="1867"/>
      <c r="N234" s="1867"/>
      <c r="O234" s="1867"/>
      <c r="P234" s="1865"/>
      <c r="Q234" s="2355"/>
      <c r="R234" s="1950" t="s">
        <v>327</v>
      </c>
      <c r="S234" s="1947">
        <v>2.3400000000000003</v>
      </c>
      <c r="T234" s="1948">
        <v>2.6</v>
      </c>
      <c r="U234" s="1948">
        <v>2.6</v>
      </c>
      <c r="V234" s="420"/>
    </row>
    <row r="235" spans="1:22" ht="24" customHeight="1">
      <c r="A235" s="420"/>
      <c r="B235" s="485"/>
      <c r="C235" s="441"/>
      <c r="D235" s="441"/>
      <c r="E235" s="441"/>
      <c r="F235" s="441"/>
      <c r="G235" s="441"/>
      <c r="H235" s="441"/>
      <c r="I235" s="441"/>
      <c r="J235" s="441"/>
      <c r="K235" s="475"/>
      <c r="L235" s="475"/>
      <c r="M235" s="441"/>
      <c r="N235" s="441"/>
      <c r="O235" s="441"/>
      <c r="P235" s="441"/>
      <c r="Q235" s="441"/>
      <c r="R235" s="618"/>
      <c r="S235" s="441"/>
      <c r="T235" s="441"/>
      <c r="U235" s="442"/>
      <c r="V235" s="420"/>
    </row>
    <row r="236" spans="1:22" ht="23.25" customHeight="1">
      <c r="A236" s="420"/>
      <c r="B236" s="485"/>
      <c r="C236" s="2411" t="s">
        <v>234</v>
      </c>
      <c r="D236" s="2411"/>
      <c r="E236" s="2411"/>
      <c r="F236" s="2411"/>
      <c r="G236" s="2411"/>
      <c r="H236" s="2411"/>
      <c r="I236" s="2411"/>
      <c r="J236" s="441"/>
      <c r="K236" s="475"/>
      <c r="L236" s="2308" t="s">
        <v>510</v>
      </c>
      <c r="M236" s="2308"/>
      <c r="N236" s="2308"/>
      <c r="O236" s="2308"/>
      <c r="P236" s="610"/>
      <c r="Q236" s="2308" t="s">
        <v>507</v>
      </c>
      <c r="R236" s="2308"/>
      <c r="S236" s="2308"/>
      <c r="T236" s="2308"/>
      <c r="U236" s="2385"/>
      <c r="V236" s="420"/>
    </row>
    <row r="237" spans="1:22" s="437" customFormat="1" ht="27.75" customHeight="1">
      <c r="A237" s="785"/>
      <c r="B237" s="786"/>
      <c r="C237" s="619"/>
      <c r="D237" s="619"/>
      <c r="E237" s="619"/>
      <c r="F237" s="619"/>
      <c r="G237" s="619"/>
      <c r="H237" s="619"/>
      <c r="I237" s="619"/>
      <c r="J237" s="619"/>
      <c r="K237" s="787"/>
      <c r="L237" s="2308"/>
      <c r="M237" s="2308"/>
      <c r="N237" s="2308"/>
      <c r="O237" s="2308"/>
      <c r="P237" s="441"/>
      <c r="Q237" s="441"/>
      <c r="R237" s="1856"/>
      <c r="S237" s="1856"/>
      <c r="T237" s="1856"/>
      <c r="U237" s="442"/>
      <c r="V237" s="785"/>
    </row>
    <row r="238" spans="1:22" s="437" customFormat="1" ht="27.75" customHeight="1">
      <c r="A238" s="785"/>
      <c r="B238" s="786"/>
      <c r="C238" s="743"/>
      <c r="D238" s="619"/>
      <c r="E238" s="621" t="s">
        <v>504</v>
      </c>
      <c r="F238" s="622" t="s">
        <v>1007</v>
      </c>
      <c r="G238" s="546"/>
      <c r="H238" s="619"/>
      <c r="I238" s="545"/>
      <c r="J238" s="619"/>
      <c r="K238" s="787"/>
      <c r="L238" s="2308"/>
      <c r="M238" s="2308"/>
      <c r="N238" s="2308"/>
      <c r="O238" s="2308"/>
      <c r="P238" s="624"/>
      <c r="Q238" s="1951"/>
      <c r="R238" s="1952"/>
      <c r="S238" s="2408" t="s">
        <v>508</v>
      </c>
      <c r="T238" s="2409"/>
      <c r="U238" s="2410"/>
      <c r="V238" s="785"/>
    </row>
    <row r="239" spans="1:22" s="437" customFormat="1" ht="27.75" customHeight="1">
      <c r="A239" s="785"/>
      <c r="B239" s="786"/>
      <c r="C239" s="619"/>
      <c r="D239" s="619"/>
      <c r="E239" s="619"/>
      <c r="F239" s="619"/>
      <c r="G239" s="619"/>
      <c r="H239" s="619"/>
      <c r="I239" s="619"/>
      <c r="J239" s="619"/>
      <c r="K239" s="787"/>
      <c r="L239" s="2308"/>
      <c r="M239" s="2308"/>
      <c r="N239" s="2308"/>
      <c r="O239" s="2308"/>
      <c r="P239" s="624"/>
      <c r="Q239" s="1951"/>
      <c r="R239" s="1953"/>
      <c r="S239" s="1941" t="s">
        <v>1919</v>
      </c>
      <c r="T239" s="1954" t="s">
        <v>312</v>
      </c>
      <c r="U239" s="1954" t="s">
        <v>327</v>
      </c>
      <c r="V239" s="785"/>
    </row>
    <row r="240" spans="1:22" s="437" customFormat="1" ht="27.75" customHeight="1">
      <c r="A240" s="785"/>
      <c r="B240" s="786"/>
      <c r="C240" s="619"/>
      <c r="D240" s="619"/>
      <c r="E240" s="619"/>
      <c r="F240" s="619"/>
      <c r="G240" s="619"/>
      <c r="H240" s="619"/>
      <c r="I240" s="619"/>
      <c r="J240" s="619"/>
      <c r="K240" s="787"/>
      <c r="L240" s="1855"/>
      <c r="M240" s="624"/>
      <c r="N240" s="624"/>
      <c r="O240" s="624"/>
      <c r="P240" s="624"/>
      <c r="Q240" s="2506" t="s">
        <v>509</v>
      </c>
      <c r="R240" s="1941" t="s">
        <v>1919</v>
      </c>
      <c r="S240" s="1947" t="s">
        <v>1921</v>
      </c>
      <c r="T240" s="1948">
        <v>1</v>
      </c>
      <c r="U240" s="1948">
        <v>1</v>
      </c>
      <c r="V240" s="785"/>
    </row>
    <row r="241" spans="1:30" ht="16.149999999999999" customHeight="1">
      <c r="A241" s="420"/>
      <c r="B241" s="485"/>
      <c r="C241" s="441"/>
      <c r="D241" s="441"/>
      <c r="E241" s="441"/>
      <c r="F241" s="441"/>
      <c r="G241" s="441"/>
      <c r="H241" s="441"/>
      <c r="I241" s="441"/>
      <c r="J241" s="441"/>
      <c r="K241" s="475"/>
      <c r="L241" s="1855"/>
      <c r="M241" s="624"/>
      <c r="N241" s="624"/>
      <c r="O241" s="624"/>
      <c r="P241" s="624"/>
      <c r="Q241" s="2506"/>
      <c r="R241" s="1954" t="s">
        <v>312</v>
      </c>
      <c r="S241" s="1948">
        <v>1</v>
      </c>
      <c r="T241" s="1948">
        <v>1</v>
      </c>
      <c r="U241" s="1948">
        <v>1</v>
      </c>
      <c r="V241" s="420"/>
    </row>
    <row r="242" spans="1:30" ht="23.25">
      <c r="A242" s="420"/>
      <c r="B242" s="485"/>
      <c r="C242" s="548"/>
      <c r="D242" s="548"/>
      <c r="E242" s="548"/>
      <c r="F242" s="548"/>
      <c r="G242" s="548"/>
      <c r="H242" s="548"/>
      <c r="I242" s="548"/>
      <c r="J242" s="548"/>
      <c r="K242" s="475"/>
      <c r="L242" s="1855"/>
      <c r="M242" s="624"/>
      <c r="N242" s="624"/>
      <c r="O242" s="624"/>
      <c r="P242" s="624"/>
      <c r="Q242" s="2506"/>
      <c r="R242" s="1954" t="s">
        <v>327</v>
      </c>
      <c r="S242" s="1948">
        <v>1</v>
      </c>
      <c r="T242" s="1948">
        <v>1</v>
      </c>
      <c r="U242" s="1948">
        <v>1</v>
      </c>
      <c r="V242" s="420"/>
    </row>
    <row r="243" spans="1:30" s="625" customFormat="1" ht="21" customHeight="1">
      <c r="A243" s="620"/>
      <c r="B243" s="508"/>
      <c r="C243" s="623"/>
      <c r="D243" s="623"/>
      <c r="E243" s="623"/>
      <c r="F243" s="623"/>
      <c r="G243" s="623"/>
      <c r="H243" s="623"/>
      <c r="I243" s="623"/>
      <c r="J243" s="623"/>
      <c r="K243" s="741"/>
      <c r="L243" s="422"/>
      <c r="M243" s="422"/>
      <c r="N243" s="422"/>
      <c r="O243" s="422"/>
      <c r="P243" s="561"/>
      <c r="Q243" s="561"/>
      <c r="R243" s="561"/>
      <c r="S243" s="561"/>
      <c r="T243" s="561"/>
      <c r="U243" s="442"/>
      <c r="V243" s="620"/>
      <c r="Z243" s="2505"/>
      <c r="AA243" s="2505"/>
      <c r="AB243" s="2505"/>
      <c r="AC243" s="2505"/>
      <c r="AD243" s="2505"/>
    </row>
    <row r="244" spans="1:30" s="625" customFormat="1" ht="15" customHeight="1">
      <c r="A244" s="620"/>
      <c r="B244" s="508"/>
      <c r="C244" s="623"/>
      <c r="D244" s="623"/>
      <c r="E244" s="623"/>
      <c r="F244" s="623"/>
      <c r="G244" s="623"/>
      <c r="H244" s="623"/>
      <c r="I244" s="623"/>
      <c r="J244" s="623"/>
      <c r="K244" s="741"/>
      <c r="L244" s="2308" t="s">
        <v>986</v>
      </c>
      <c r="M244" s="2308"/>
      <c r="N244" s="2308"/>
      <c r="O244" s="2308"/>
      <c r="P244" s="561"/>
      <c r="Q244" s="2308" t="s">
        <v>987</v>
      </c>
      <c r="R244" s="2308"/>
      <c r="S244" s="2308"/>
      <c r="T244" s="2308"/>
      <c r="U244" s="442"/>
      <c r="V244" s="620"/>
      <c r="Z244" s="2505"/>
      <c r="AA244" s="2505"/>
      <c r="AB244" s="775"/>
      <c r="AC244" s="775"/>
      <c r="AD244" s="775"/>
    </row>
    <row r="245" spans="1:30" s="625" customFormat="1" ht="8.25" customHeight="1">
      <c r="A245" s="620"/>
      <c r="B245" s="508"/>
      <c r="C245" s="623"/>
      <c r="D245" s="623"/>
      <c r="E245" s="623"/>
      <c r="F245" s="623"/>
      <c r="G245" s="623"/>
      <c r="H245" s="623"/>
      <c r="I245" s="623"/>
      <c r="J245" s="623"/>
      <c r="K245" s="741"/>
      <c r="L245" s="2308"/>
      <c r="M245" s="2308"/>
      <c r="N245" s="2308"/>
      <c r="O245" s="2308"/>
      <c r="P245" s="561"/>
      <c r="Q245" s="2308"/>
      <c r="R245" s="2308"/>
      <c r="S245" s="2308"/>
      <c r="T245" s="2308"/>
      <c r="U245" s="599"/>
      <c r="V245" s="620"/>
      <c r="Z245" s="2505"/>
      <c r="AA245" s="775"/>
      <c r="AB245" s="627"/>
      <c r="AC245" s="627"/>
      <c r="AD245" s="627"/>
    </row>
    <row r="246" spans="1:30" s="625" customFormat="1" ht="48" customHeight="1">
      <c r="A246" s="620"/>
      <c r="B246" s="508"/>
      <c r="C246" s="623"/>
      <c r="D246" s="623"/>
      <c r="E246" s="623"/>
      <c r="F246" s="623"/>
      <c r="G246" s="623"/>
      <c r="H246" s="623"/>
      <c r="I246" s="623"/>
      <c r="J246" s="623"/>
      <c r="K246" s="741"/>
      <c r="L246" s="1867"/>
      <c r="M246" s="1867"/>
      <c r="N246" s="1867"/>
      <c r="O246" s="1867"/>
      <c r="P246" s="1865"/>
      <c r="Q246" s="1951"/>
      <c r="R246" s="1865"/>
      <c r="S246" s="1986" t="s">
        <v>1922</v>
      </c>
      <c r="T246" s="1986" t="s">
        <v>1962</v>
      </c>
      <c r="U246" s="1976"/>
      <c r="V246" s="620"/>
      <c r="Z246" s="2505"/>
      <c r="AA246" s="775"/>
      <c r="AB246" s="627"/>
      <c r="AC246" s="627"/>
      <c r="AD246" s="627"/>
    </row>
    <row r="247" spans="1:30" s="625" customFormat="1" ht="19.5" customHeight="1">
      <c r="A247" s="620"/>
      <c r="B247" s="508"/>
      <c r="C247" s="623"/>
      <c r="D247" s="623"/>
      <c r="E247" s="623"/>
      <c r="F247" s="623"/>
      <c r="G247" s="623"/>
      <c r="H247" s="623"/>
      <c r="I247" s="623"/>
      <c r="J247" s="623"/>
      <c r="K247" s="809"/>
      <c r="L247" s="1956"/>
      <c r="M247" s="1941" t="s">
        <v>1919</v>
      </c>
      <c r="N247" s="1942" t="s">
        <v>312</v>
      </c>
      <c r="O247" s="1942" t="s">
        <v>327</v>
      </c>
      <c r="P247" s="1934"/>
      <c r="Q247" s="2356" t="s">
        <v>960</v>
      </c>
      <c r="R247" s="2357"/>
      <c r="S247" s="2360">
        <v>1</v>
      </c>
      <c r="T247" s="2360">
        <v>8</v>
      </c>
      <c r="U247" s="599"/>
      <c r="V247" s="420"/>
      <c r="Z247" s="2505"/>
      <c r="AA247" s="803"/>
      <c r="AB247" s="627"/>
      <c r="AC247" s="627"/>
      <c r="AD247" s="627"/>
    </row>
    <row r="248" spans="1:30" s="625" customFormat="1" ht="24" customHeight="1">
      <c r="A248" s="620"/>
      <c r="B248" s="508"/>
      <c r="C248" s="623"/>
      <c r="D248" s="623"/>
      <c r="E248" s="623"/>
      <c r="F248" s="623"/>
      <c r="G248" s="623"/>
      <c r="H248" s="623"/>
      <c r="I248" s="623"/>
      <c r="J248" s="623"/>
      <c r="K248" s="809"/>
      <c r="L248" s="1957" t="s">
        <v>988</v>
      </c>
      <c r="M248" s="1947" t="s">
        <v>1921</v>
      </c>
      <c r="N248" s="2362" t="s">
        <v>957</v>
      </c>
      <c r="O248" s="2363"/>
      <c r="P248" s="1958"/>
      <c r="Q248" s="2358"/>
      <c r="R248" s="2359"/>
      <c r="S248" s="2361"/>
      <c r="T248" s="2361"/>
      <c r="U248" s="599"/>
      <c r="V248" s="429"/>
      <c r="Z248" s="2505"/>
      <c r="AA248" s="803"/>
      <c r="AB248" s="627"/>
      <c r="AC248" s="627"/>
      <c r="AD248" s="627"/>
    </row>
    <row r="249" spans="1:30" s="625" customFormat="1" ht="24" customHeight="1">
      <c r="A249" s="620"/>
      <c r="B249" s="508"/>
      <c r="C249" s="623"/>
      <c r="D249" s="623"/>
      <c r="E249" s="623"/>
      <c r="F249" s="623"/>
      <c r="G249" s="623"/>
      <c r="H249" s="623"/>
      <c r="I249" s="623"/>
      <c r="J249" s="623"/>
      <c r="K249" s="809"/>
      <c r="L249" s="1867"/>
      <c r="M249" s="1959"/>
      <c r="N249" s="1959"/>
      <c r="O249" s="1959"/>
      <c r="P249" s="1959"/>
      <c r="Q249" s="2379" t="s">
        <v>961</v>
      </c>
      <c r="R249" s="2380"/>
      <c r="S249" s="2383">
        <v>4.5</v>
      </c>
      <c r="T249" s="2360">
        <v>30</v>
      </c>
      <c r="U249" s="1960"/>
      <c r="V249" s="429"/>
      <c r="Z249" s="2505"/>
      <c r="AA249" s="803"/>
      <c r="AB249" s="627"/>
      <c r="AC249" s="627"/>
      <c r="AD249" s="627"/>
    </row>
    <row r="250" spans="1:30" ht="16.149999999999999" customHeight="1">
      <c r="A250" s="420"/>
      <c r="B250" s="485"/>
      <c r="C250" s="548"/>
      <c r="D250" s="548"/>
      <c r="E250" s="548"/>
      <c r="F250" s="548"/>
      <c r="G250" s="548"/>
      <c r="H250" s="548"/>
      <c r="I250" s="548"/>
      <c r="J250" s="548"/>
      <c r="K250" s="475"/>
      <c r="L250" s="1961"/>
      <c r="M250" s="1961"/>
      <c r="N250" s="1961"/>
      <c r="O250" s="1961"/>
      <c r="P250" s="1959"/>
      <c r="Q250" s="2381"/>
      <c r="R250" s="2382"/>
      <c r="S250" s="2384"/>
      <c r="T250" s="2361"/>
      <c r="U250" s="1960"/>
      <c r="V250" s="429"/>
      <c r="Z250" s="2505"/>
      <c r="AA250" s="775"/>
      <c r="AB250" s="627"/>
      <c r="AC250" s="627"/>
      <c r="AD250" s="627"/>
    </row>
    <row r="251" spans="1:30" ht="18.399999999999999" customHeight="1">
      <c r="A251" s="429"/>
      <c r="B251" s="487"/>
      <c r="C251" s="640"/>
      <c r="D251" s="640"/>
      <c r="E251" s="640"/>
      <c r="F251" s="640"/>
      <c r="G251" s="640"/>
      <c r="H251" s="640"/>
      <c r="I251" s="640"/>
      <c r="J251" s="640"/>
      <c r="K251" s="640"/>
      <c r="L251" s="640"/>
      <c r="M251" s="640"/>
      <c r="N251" s="640"/>
      <c r="O251" s="2507"/>
      <c r="P251" s="2507"/>
      <c r="Q251" s="804"/>
      <c r="R251" s="804"/>
      <c r="S251" s="804"/>
      <c r="T251" s="804"/>
      <c r="U251" s="642"/>
      <c r="V251" s="429"/>
    </row>
    <row r="252" spans="1:30" ht="8.25" customHeight="1">
      <c r="B252" s="520" t="s">
        <v>699</v>
      </c>
      <c r="C252" s="644"/>
      <c r="D252" s="644"/>
      <c r="E252" s="644"/>
      <c r="F252" s="644"/>
      <c r="G252" s="644"/>
      <c r="H252" s="644"/>
      <c r="I252" s="644"/>
      <c r="J252" s="644"/>
      <c r="K252" s="644"/>
      <c r="L252" s="644"/>
      <c r="M252" s="644"/>
      <c r="N252" s="644"/>
      <c r="O252" s="645"/>
      <c r="P252" s="645"/>
      <c r="Q252" s="645"/>
      <c r="R252" s="645"/>
      <c r="S252" s="645"/>
      <c r="T252" s="645"/>
      <c r="U252" s="644"/>
    </row>
    <row r="253" spans="1:30" ht="11.25" customHeight="1">
      <c r="B253" s="644"/>
      <c r="C253" s="2570"/>
      <c r="D253" s="2570"/>
      <c r="E253" s="2570"/>
      <c r="F253" s="2570"/>
      <c r="G253" s="2570"/>
      <c r="H253" s="2570"/>
      <c r="I253" s="2570"/>
      <c r="J253" s="2570"/>
      <c r="K253" s="2570"/>
      <c r="L253" s="2570"/>
      <c r="M253" s="2570"/>
      <c r="N253" s="2570"/>
      <c r="O253" s="2570"/>
      <c r="P253" s="2570"/>
      <c r="Q253" s="2570"/>
      <c r="R253" s="2570"/>
      <c r="S253" s="2570"/>
      <c r="T253" s="644"/>
      <c r="U253" s="644"/>
    </row>
    <row r="254" spans="1:30" ht="16.899999999999999" customHeight="1">
      <c r="B254" s="522"/>
      <c r="C254" s="585"/>
      <c r="D254" s="584"/>
      <c r="E254" s="584"/>
      <c r="F254" s="584"/>
      <c r="G254" s="586"/>
      <c r="H254" s="586"/>
      <c r="I254" s="586"/>
      <c r="J254" s="586"/>
      <c r="K254" s="587"/>
      <c r="L254" s="587"/>
      <c r="M254" s="476" t="s">
        <v>1821</v>
      </c>
      <c r="N254" s="587"/>
      <c r="O254" s="587"/>
      <c r="P254" s="587"/>
      <c r="Q254" s="561"/>
      <c r="R254" s="477" t="s">
        <v>692</v>
      </c>
      <c r="S254" s="478" t="str">
        <f>$E$29</f>
        <v>ILF5_90FCOS_B114CAGR43006</v>
      </c>
      <c r="T254" s="441"/>
      <c r="U254" s="588"/>
      <c r="V254" s="441"/>
    </row>
    <row r="255" spans="1:30" ht="16.899999999999999" customHeight="1">
      <c r="B255" s="522"/>
      <c r="C255" s="585"/>
      <c r="D255" s="584"/>
      <c r="E255" s="584"/>
      <c r="F255" s="584"/>
      <c r="G255" s="586"/>
      <c r="H255" s="586"/>
      <c r="I255" s="586"/>
      <c r="J255" s="586"/>
      <c r="K255" s="587"/>
      <c r="L255" s="587"/>
      <c r="M255" s="587"/>
      <c r="N255" s="587"/>
      <c r="O255" s="587"/>
      <c r="P255" s="587"/>
      <c r="Q255" s="561"/>
      <c r="R255" s="561"/>
      <c r="S255" s="441"/>
      <c r="T255" s="441"/>
      <c r="U255" s="588"/>
      <c r="V255" s="441"/>
    </row>
    <row r="256" spans="1:30">
      <c r="H256" s="436" t="s">
        <v>691</v>
      </c>
      <c r="I256" s="420"/>
      <c r="K256" s="420"/>
      <c r="L256" s="437" t="str">
        <f>$B$11</f>
        <v>INMOBILIARIA SERVIGESTION</v>
      </c>
    </row>
    <row r="257" spans="2:21" ht="30">
      <c r="B257" s="2395" t="s">
        <v>461</v>
      </c>
      <c r="C257" s="2395"/>
      <c r="D257" s="2395"/>
      <c r="E257" s="2395"/>
      <c r="F257" s="2395"/>
      <c r="G257" s="2395"/>
      <c r="H257" s="2395"/>
      <c r="I257" s="2395"/>
      <c r="J257" s="2395"/>
      <c r="K257" s="2395"/>
      <c r="L257" s="2395"/>
      <c r="M257" s="2395"/>
      <c r="N257" s="2395"/>
      <c r="O257" s="2395"/>
      <c r="P257" s="2395"/>
      <c r="Q257" s="2395"/>
      <c r="R257" s="2395"/>
      <c r="S257" s="2395"/>
      <c r="T257" s="2395"/>
      <c r="U257" s="2395"/>
    </row>
    <row r="258" spans="2:21" ht="22.9" customHeight="1">
      <c r="B258" s="2269" t="s">
        <v>793</v>
      </c>
      <c r="C258" s="2269"/>
      <c r="D258" s="2269"/>
      <c r="E258" s="2269"/>
      <c r="F258" s="2269"/>
      <c r="G258" s="2269"/>
      <c r="H258" s="2269"/>
      <c r="I258" s="2269"/>
      <c r="J258" s="2269"/>
      <c r="K258" s="2269"/>
      <c r="L258" s="2269"/>
      <c r="M258" s="2269"/>
      <c r="N258" s="2269"/>
      <c r="O258" s="2269"/>
      <c r="P258" s="2269"/>
      <c r="Q258" s="2269"/>
      <c r="R258" s="2269"/>
      <c r="S258" s="2269"/>
      <c r="T258" s="2269"/>
      <c r="U258" s="2269"/>
    </row>
    <row r="261" spans="2:21" ht="23.25">
      <c r="C261" s="2456" t="s">
        <v>1923</v>
      </c>
      <c r="D261" s="2456"/>
      <c r="E261" s="2456"/>
      <c r="F261" s="2456"/>
      <c r="G261" s="2456"/>
      <c r="H261" s="2456"/>
      <c r="I261" s="2456"/>
      <c r="J261" s="2456"/>
      <c r="K261" s="2456"/>
      <c r="L261" s="2456"/>
      <c r="M261" s="2456"/>
      <c r="N261" s="2456"/>
      <c r="O261" s="2456"/>
      <c r="P261" s="2456"/>
      <c r="Q261" s="2456"/>
      <c r="R261" s="1137"/>
      <c r="S261" s="470"/>
    </row>
    <row r="262" spans="2:21" ht="15">
      <c r="C262" s="1962" t="s">
        <v>516</v>
      </c>
      <c r="D262" s="1963" t="s">
        <v>539</v>
      </c>
      <c r="E262" s="1964" t="s">
        <v>546</v>
      </c>
      <c r="F262" s="1964" t="s">
        <v>551</v>
      </c>
      <c r="G262" s="1964" t="s">
        <v>561</v>
      </c>
      <c r="H262" s="1964" t="s">
        <v>577</v>
      </c>
      <c r="I262" s="1964" t="s">
        <v>582</v>
      </c>
      <c r="J262" s="1964" t="s">
        <v>601</v>
      </c>
      <c r="K262" s="1964" t="s">
        <v>662</v>
      </c>
      <c r="L262" s="1964" t="s">
        <v>611</v>
      </c>
      <c r="M262" s="1964" t="s">
        <v>620</v>
      </c>
      <c r="N262" s="1964" t="s">
        <v>627</v>
      </c>
      <c r="O262" s="1964" t="s">
        <v>633</v>
      </c>
      <c r="P262" s="1964" t="s">
        <v>663</v>
      </c>
      <c r="Q262" s="1965" t="s">
        <v>640</v>
      </c>
      <c r="R262" s="1136"/>
      <c r="S262" s="647"/>
    </row>
    <row r="263" spans="2:21" ht="15">
      <c r="C263" s="1962" t="s">
        <v>522</v>
      </c>
      <c r="D263" s="1963" t="s">
        <v>363</v>
      </c>
      <c r="E263" s="1964" t="s">
        <v>541</v>
      </c>
      <c r="F263" s="1964" t="s">
        <v>661</v>
      </c>
      <c r="G263" s="1964" t="s">
        <v>566</v>
      </c>
      <c r="H263" s="1964" t="s">
        <v>590</v>
      </c>
      <c r="I263" s="1964" t="s">
        <v>587</v>
      </c>
      <c r="J263" s="1964" t="s">
        <v>604</v>
      </c>
      <c r="K263" s="1964" t="s">
        <v>571</v>
      </c>
      <c r="L263" s="1964" t="s">
        <v>614</v>
      </c>
      <c r="M263" s="1964" t="s">
        <v>623</v>
      </c>
      <c r="N263" s="1867" t="s">
        <v>629</v>
      </c>
      <c r="O263" s="1964" t="s">
        <v>635</v>
      </c>
      <c r="P263" s="1964" t="s">
        <v>583</v>
      </c>
      <c r="Q263" s="1965" t="s">
        <v>641</v>
      </c>
      <c r="R263" s="1136"/>
      <c r="S263" s="647"/>
    </row>
    <row r="264" spans="2:21" ht="15">
      <c r="C264" s="1962" t="s">
        <v>529</v>
      </c>
      <c r="D264" s="1963" t="s">
        <v>534</v>
      </c>
      <c r="E264" s="1964" t="s">
        <v>545</v>
      </c>
      <c r="F264" s="1964" t="s">
        <v>556</v>
      </c>
      <c r="G264" s="1964" t="s">
        <v>572</v>
      </c>
      <c r="H264" s="1964" t="s">
        <v>603</v>
      </c>
      <c r="I264" s="1964" t="s">
        <v>597</v>
      </c>
      <c r="J264" s="1964" t="s">
        <v>552</v>
      </c>
      <c r="K264" s="1964" t="s">
        <v>565</v>
      </c>
      <c r="L264" s="1964" t="s">
        <v>617</v>
      </c>
      <c r="M264" s="1964" t="s">
        <v>619</v>
      </c>
      <c r="N264" s="1964" t="s">
        <v>631</v>
      </c>
      <c r="O264" s="1964" t="s">
        <v>1924</v>
      </c>
      <c r="P264" s="1964" t="s">
        <v>639</v>
      </c>
      <c r="Q264" s="1965" t="s">
        <v>642</v>
      </c>
      <c r="R264" s="595"/>
      <c r="S264" s="647"/>
    </row>
    <row r="265" spans="2:21">
      <c r="C265" s="598"/>
      <c r="D265" s="598"/>
      <c r="E265" s="598"/>
      <c r="F265" s="598"/>
      <c r="G265" s="598"/>
      <c r="H265" s="598"/>
      <c r="I265" s="598"/>
      <c r="J265" s="598"/>
      <c r="K265" s="598"/>
      <c r="L265" s="598"/>
      <c r="M265" s="598"/>
      <c r="N265" s="598"/>
      <c r="O265" s="598"/>
      <c r="P265" s="598"/>
      <c r="Q265" s="598"/>
      <c r="R265" s="441"/>
    </row>
    <row r="266" spans="2:21" ht="23.25">
      <c r="C266" s="2457" t="s">
        <v>925</v>
      </c>
      <c r="D266" s="2457"/>
      <c r="E266" s="2457"/>
      <c r="F266" s="2457"/>
      <c r="G266" s="2457"/>
      <c r="H266" s="2457"/>
      <c r="I266" s="2457"/>
      <c r="J266" s="2457"/>
      <c r="K266" s="2457"/>
      <c r="L266" s="2457"/>
      <c r="M266" s="2457"/>
      <c r="N266" s="2457"/>
      <c r="O266" s="2457"/>
      <c r="P266" s="2457"/>
      <c r="Q266" s="2457"/>
      <c r="R266" s="1137"/>
      <c r="S266" s="470"/>
    </row>
    <row r="267" spans="2:21" ht="15">
      <c r="C267" s="591" t="s">
        <v>525</v>
      </c>
      <c r="D267" s="592" t="s">
        <v>543</v>
      </c>
      <c r="E267" s="646" t="s">
        <v>550</v>
      </c>
      <c r="F267" s="646" t="s">
        <v>558</v>
      </c>
      <c r="G267" s="646" t="s">
        <v>580</v>
      </c>
      <c r="H267" s="646" t="s">
        <v>613</v>
      </c>
      <c r="I267" s="646" t="s">
        <v>549</v>
      </c>
      <c r="J267" s="646" t="s">
        <v>622</v>
      </c>
      <c r="K267" s="646" t="s">
        <v>624</v>
      </c>
      <c r="L267" s="646" t="s">
        <v>628</v>
      </c>
      <c r="M267" s="646" t="s">
        <v>928</v>
      </c>
      <c r="N267" s="646" t="s">
        <v>588</v>
      </c>
      <c r="O267" s="646" t="s">
        <v>930</v>
      </c>
      <c r="P267" s="646" t="s">
        <v>596</v>
      </c>
      <c r="Q267" s="593" t="s">
        <v>638</v>
      </c>
      <c r="R267" s="1136"/>
      <c r="S267" s="647"/>
    </row>
    <row r="268" spans="2:21" ht="15">
      <c r="C268" s="591" t="s">
        <v>520</v>
      </c>
      <c r="D268" s="592" t="s">
        <v>548</v>
      </c>
      <c r="E268" s="646" t="s">
        <v>554</v>
      </c>
      <c r="F268" s="646" t="s">
        <v>575</v>
      </c>
      <c r="G268" s="646" t="s">
        <v>595</v>
      </c>
      <c r="H268" s="646" t="s">
        <v>926</v>
      </c>
      <c r="I268" s="646" t="s">
        <v>559</v>
      </c>
      <c r="J268" s="646" t="s">
        <v>567</v>
      </c>
      <c r="K268" s="646" t="s">
        <v>927</v>
      </c>
      <c r="L268" s="646" t="s">
        <v>630</v>
      </c>
      <c r="M268" s="646" t="s">
        <v>929</v>
      </c>
      <c r="N268" s="646" t="s">
        <v>581</v>
      </c>
      <c r="O268" s="646" t="s">
        <v>586</v>
      </c>
      <c r="P268" s="646" t="s">
        <v>600</v>
      </c>
      <c r="Q268" s="646"/>
      <c r="R268" s="1136"/>
      <c r="S268" s="647"/>
    </row>
    <row r="269" spans="2:21">
      <c r="C269" s="598"/>
      <c r="D269" s="598"/>
      <c r="E269" s="598"/>
      <c r="F269" s="598"/>
      <c r="G269" s="598"/>
      <c r="H269" s="598"/>
      <c r="I269" s="598"/>
      <c r="J269" s="598"/>
      <c r="K269" s="598"/>
      <c r="L269" s="598"/>
      <c r="M269" s="598"/>
      <c r="N269" s="598"/>
      <c r="O269" s="598"/>
      <c r="P269" s="598"/>
      <c r="Q269" s="598"/>
      <c r="R269" s="441"/>
    </row>
    <row r="270" spans="2:21" ht="50.45" customHeight="1">
      <c r="C270" s="2364" t="s">
        <v>794</v>
      </c>
      <c r="D270" s="2364"/>
      <c r="E270" s="2364"/>
      <c r="F270" s="2364"/>
      <c r="G270" s="2364"/>
      <c r="H270" s="2364"/>
      <c r="I270" s="2364"/>
      <c r="J270" s="2364"/>
      <c r="K270" s="2364"/>
      <c r="L270" s="2364"/>
      <c r="M270" s="2364"/>
      <c r="O270" s="2364" t="s">
        <v>794</v>
      </c>
      <c r="P270" s="2364"/>
      <c r="Q270" s="2364"/>
      <c r="R270" s="2364"/>
      <c r="S270" s="2364"/>
    </row>
    <row r="271" spans="2:21" ht="60" customHeight="1">
      <c r="C271" s="2433" t="s">
        <v>931</v>
      </c>
      <c r="D271" s="2434"/>
      <c r="E271" s="2434"/>
      <c r="F271" s="2434"/>
      <c r="G271" s="2434"/>
      <c r="H271" s="2434"/>
      <c r="I271" s="2434"/>
      <c r="J271" s="2434"/>
      <c r="K271" s="2434"/>
      <c r="L271" s="2434"/>
      <c r="M271" s="2435"/>
      <c r="O271" s="2391" t="s">
        <v>932</v>
      </c>
      <c r="P271" s="2391"/>
      <c r="Q271" s="2391"/>
      <c r="R271" s="2391"/>
      <c r="S271" s="2391"/>
      <c r="T271" s="470"/>
      <c r="U271" s="470"/>
    </row>
    <row r="272" spans="2:21" ht="22.9" customHeight="1">
      <c r="C272" s="2374" t="s">
        <v>311</v>
      </c>
      <c r="D272" s="2374"/>
      <c r="E272" s="2374" t="s">
        <v>312</v>
      </c>
      <c r="F272" s="2374"/>
      <c r="G272" s="2374" t="s">
        <v>327</v>
      </c>
      <c r="H272" s="2374"/>
      <c r="I272" s="2374" t="s">
        <v>496</v>
      </c>
      <c r="J272" s="2374"/>
      <c r="K272" s="2374" t="s">
        <v>515</v>
      </c>
      <c r="L272" s="2374"/>
      <c r="M272" s="648" t="s">
        <v>498</v>
      </c>
      <c r="O272" s="2369" t="s">
        <v>1919</v>
      </c>
      <c r="P272" s="2369"/>
      <c r="Q272" s="2369" t="s">
        <v>312</v>
      </c>
      <c r="R272" s="2369"/>
      <c r="S272" s="1840" t="s">
        <v>327</v>
      </c>
      <c r="T272" s="470"/>
      <c r="U272" s="470"/>
    </row>
    <row r="273" spans="3:20">
      <c r="C273" s="649"/>
      <c r="D273" s="650"/>
      <c r="E273" s="649"/>
      <c r="F273" s="650"/>
      <c r="G273" s="649"/>
      <c r="H273" s="650"/>
      <c r="I273" s="649"/>
      <c r="J273" s="650"/>
      <c r="K273" s="649"/>
      <c r="L273" s="650"/>
      <c r="M273" s="651"/>
      <c r="O273" s="1966"/>
      <c r="P273" s="1967"/>
      <c r="Q273" s="1966"/>
      <c r="R273" s="1967"/>
      <c r="S273" s="651"/>
      <c r="T273" s="522"/>
    </row>
    <row r="274" spans="3:20" ht="15">
      <c r="C274" s="2314" t="s">
        <v>516</v>
      </c>
      <c r="D274" s="2313"/>
      <c r="E274" s="2312" t="s">
        <v>517</v>
      </c>
      <c r="F274" s="2313"/>
      <c r="G274" s="2312" t="s">
        <v>518</v>
      </c>
      <c r="H274" s="2313"/>
      <c r="I274" s="2312" t="s">
        <v>519</v>
      </c>
      <c r="J274" s="2313"/>
      <c r="K274" s="2312" t="s">
        <v>520</v>
      </c>
      <c r="L274" s="2313"/>
      <c r="M274" s="652" t="s">
        <v>521</v>
      </c>
      <c r="N274" s="441"/>
      <c r="O274" s="2370" t="s">
        <v>516</v>
      </c>
      <c r="P274" s="2371"/>
      <c r="Q274" s="2372" t="s">
        <v>517</v>
      </c>
      <c r="R274" s="2373"/>
      <c r="S274" s="653" t="s">
        <v>521</v>
      </c>
      <c r="T274" s="647"/>
    </row>
    <row r="275" spans="3:20" ht="15">
      <c r="C275" s="2314" t="s">
        <v>522</v>
      </c>
      <c r="D275" s="2313"/>
      <c r="E275" s="2312" t="s">
        <v>523</v>
      </c>
      <c r="F275" s="2313"/>
      <c r="G275" s="2312" t="s">
        <v>524</v>
      </c>
      <c r="H275" s="2313"/>
      <c r="I275" s="2312" t="s">
        <v>525</v>
      </c>
      <c r="J275" s="2313"/>
      <c r="K275" s="2312" t="s">
        <v>526</v>
      </c>
      <c r="L275" s="2313" t="s">
        <v>362</v>
      </c>
      <c r="M275" s="652" t="s">
        <v>527</v>
      </c>
      <c r="N275" s="441"/>
      <c r="O275" s="2370" t="s">
        <v>522</v>
      </c>
      <c r="P275" s="2371"/>
      <c r="Q275" s="2372" t="s">
        <v>528</v>
      </c>
      <c r="R275" s="2373"/>
      <c r="S275" s="653" t="s">
        <v>527</v>
      </c>
      <c r="T275" s="647"/>
    </row>
    <row r="276" spans="3:20" ht="15">
      <c r="C276" s="2314" t="s">
        <v>529</v>
      </c>
      <c r="D276" s="2313"/>
      <c r="E276" s="2312" t="s">
        <v>530</v>
      </c>
      <c r="F276" s="2313"/>
      <c r="G276" s="2312" t="s">
        <v>531</v>
      </c>
      <c r="H276" s="2313"/>
      <c r="I276" s="2312" t="s">
        <v>532</v>
      </c>
      <c r="J276" s="2313"/>
      <c r="K276" s="2312" t="s">
        <v>533</v>
      </c>
      <c r="L276" s="2313" t="s">
        <v>362</v>
      </c>
      <c r="M276" s="652"/>
      <c r="N276" s="441"/>
      <c r="O276" s="2370" t="s">
        <v>529</v>
      </c>
      <c r="P276" s="2371"/>
      <c r="Q276" s="2372" t="s">
        <v>1925</v>
      </c>
      <c r="R276" s="2373"/>
      <c r="S276" s="653" t="s">
        <v>362</v>
      </c>
      <c r="T276" s="647"/>
    </row>
    <row r="277" spans="3:20" ht="15">
      <c r="C277" s="2314" t="s">
        <v>534</v>
      </c>
      <c r="D277" s="2313"/>
      <c r="E277" s="2312" t="s">
        <v>535</v>
      </c>
      <c r="F277" s="2313"/>
      <c r="G277" s="2312" t="s">
        <v>536</v>
      </c>
      <c r="H277" s="2313"/>
      <c r="I277" s="2312" t="s">
        <v>537</v>
      </c>
      <c r="J277" s="2313"/>
      <c r="K277" s="2312" t="s">
        <v>538</v>
      </c>
      <c r="L277" s="2313" t="s">
        <v>362</v>
      </c>
      <c r="M277" s="652"/>
      <c r="N277" s="441"/>
      <c r="O277" s="2370" t="s">
        <v>539</v>
      </c>
      <c r="P277" s="2371"/>
      <c r="Q277" s="2372" t="s">
        <v>540</v>
      </c>
      <c r="R277" s="2373"/>
      <c r="S277" s="653" t="s">
        <v>362</v>
      </c>
      <c r="T277" s="647"/>
    </row>
    <row r="278" spans="3:20" ht="15">
      <c r="C278" s="2314" t="s">
        <v>541</v>
      </c>
      <c r="D278" s="2313"/>
      <c r="E278" s="2312" t="s">
        <v>539</v>
      </c>
      <c r="F278" s="2313"/>
      <c r="G278" s="2312" t="s">
        <v>542</v>
      </c>
      <c r="H278" s="2313"/>
      <c r="I278" s="2312" t="s">
        <v>543</v>
      </c>
      <c r="J278" s="2313"/>
      <c r="K278" s="2312" t="s">
        <v>544</v>
      </c>
      <c r="L278" s="2313" t="s">
        <v>362</v>
      </c>
      <c r="M278" s="652"/>
      <c r="N278" s="441"/>
      <c r="O278" s="2370" t="s">
        <v>546</v>
      </c>
      <c r="P278" s="2371"/>
      <c r="Q278" s="2372" t="s">
        <v>535</v>
      </c>
      <c r="R278" s="2373"/>
      <c r="S278" s="653" t="s">
        <v>362</v>
      </c>
      <c r="T278" s="647"/>
    </row>
    <row r="279" spans="3:20" ht="15">
      <c r="C279" s="2314" t="s">
        <v>545</v>
      </c>
      <c r="D279" s="2313"/>
      <c r="E279" s="2312" t="s">
        <v>546</v>
      </c>
      <c r="F279" s="2313"/>
      <c r="G279" s="2312" t="s">
        <v>547</v>
      </c>
      <c r="H279" s="2313"/>
      <c r="I279" s="2312" t="s">
        <v>548</v>
      </c>
      <c r="J279" s="2313"/>
      <c r="K279" s="2312" t="s">
        <v>549</v>
      </c>
      <c r="L279" s="2313" t="s">
        <v>362</v>
      </c>
      <c r="M279" s="652"/>
      <c r="N279" s="441"/>
      <c r="O279" s="2370" t="s">
        <v>534</v>
      </c>
      <c r="P279" s="2371"/>
      <c r="Q279" s="2372" t="s">
        <v>550</v>
      </c>
      <c r="R279" s="2373"/>
      <c r="S279" s="653" t="s">
        <v>362</v>
      </c>
      <c r="T279" s="647"/>
    </row>
    <row r="280" spans="3:20" ht="15.6" customHeight="1">
      <c r="C280" s="2314" t="s">
        <v>551</v>
      </c>
      <c r="D280" s="2313"/>
      <c r="E280" s="2312" t="s">
        <v>552</v>
      </c>
      <c r="F280" s="2313"/>
      <c r="G280" s="2312" t="s">
        <v>553</v>
      </c>
      <c r="H280" s="2313"/>
      <c r="I280" s="2312" t="s">
        <v>554</v>
      </c>
      <c r="J280" s="2313"/>
      <c r="K280" s="2312" t="s">
        <v>555</v>
      </c>
      <c r="L280" s="2313" t="s">
        <v>362</v>
      </c>
      <c r="M280" s="652"/>
      <c r="N280" s="441"/>
      <c r="O280" s="2370" t="s">
        <v>541</v>
      </c>
      <c r="P280" s="2371"/>
      <c r="Q280" s="2372" t="s">
        <v>137</v>
      </c>
      <c r="R280" s="2373"/>
      <c r="S280" s="653" t="s">
        <v>362</v>
      </c>
      <c r="T280" s="647"/>
    </row>
    <row r="281" spans="3:20" ht="15.6" customHeight="1">
      <c r="C281" s="2314" t="s">
        <v>556</v>
      </c>
      <c r="D281" s="2313"/>
      <c r="E281" s="2312" t="s">
        <v>557</v>
      </c>
      <c r="F281" s="2313"/>
      <c r="G281" s="2312" t="s">
        <v>550</v>
      </c>
      <c r="H281" s="2313"/>
      <c r="I281" s="2312" t="s">
        <v>558</v>
      </c>
      <c r="J281" s="2313"/>
      <c r="K281" s="2312" t="s">
        <v>559</v>
      </c>
      <c r="L281" s="2313" t="s">
        <v>362</v>
      </c>
      <c r="M281" s="652"/>
      <c r="N281" s="441"/>
      <c r="O281" s="2370" t="s">
        <v>556</v>
      </c>
      <c r="P281" s="2371"/>
      <c r="Q281" s="2372" t="s">
        <v>552</v>
      </c>
      <c r="R281" s="2373"/>
      <c r="S281" s="653" t="s">
        <v>362</v>
      </c>
      <c r="T281" s="647"/>
    </row>
    <row r="282" spans="3:20" ht="15.6" customHeight="1">
      <c r="C282" s="2314" t="s">
        <v>561</v>
      </c>
      <c r="D282" s="2313"/>
      <c r="E282" s="2312" t="s">
        <v>562</v>
      </c>
      <c r="F282" s="2313"/>
      <c r="G282" s="2312" t="s">
        <v>137</v>
      </c>
      <c r="H282" s="2313"/>
      <c r="I282" s="2312" t="s">
        <v>563</v>
      </c>
      <c r="J282" s="2313"/>
      <c r="K282" s="2312" t="s">
        <v>564</v>
      </c>
      <c r="L282" s="2313" t="s">
        <v>362</v>
      </c>
      <c r="M282" s="652"/>
      <c r="N282" s="441"/>
      <c r="O282" s="2370" t="s">
        <v>545</v>
      </c>
      <c r="P282" s="2371"/>
      <c r="Q282" s="2372" t="s">
        <v>560</v>
      </c>
      <c r="R282" s="2373"/>
      <c r="S282" s="653" t="s">
        <v>362</v>
      </c>
      <c r="T282" s="647"/>
    </row>
    <row r="283" spans="3:20" ht="15.6" customHeight="1">
      <c r="C283" s="2314" t="s">
        <v>566</v>
      </c>
      <c r="D283" s="2313"/>
      <c r="E283" s="2312" t="s">
        <v>567</v>
      </c>
      <c r="F283" s="2313"/>
      <c r="G283" s="2312" t="s">
        <v>568</v>
      </c>
      <c r="H283" s="2313"/>
      <c r="I283" s="2312" t="s">
        <v>569</v>
      </c>
      <c r="J283" s="2313"/>
      <c r="K283" s="2312" t="s">
        <v>570</v>
      </c>
      <c r="L283" s="2313" t="s">
        <v>362</v>
      </c>
      <c r="M283" s="652"/>
      <c r="N283" s="441"/>
      <c r="O283" s="2370" t="s">
        <v>551</v>
      </c>
      <c r="P283" s="2371"/>
      <c r="Q283" s="2372" t="s">
        <v>565</v>
      </c>
      <c r="R283" s="2373"/>
      <c r="S283" s="653" t="s">
        <v>362</v>
      </c>
      <c r="T283" s="647"/>
    </row>
    <row r="284" spans="3:20" ht="15.6" customHeight="1">
      <c r="C284" s="2314" t="s">
        <v>572</v>
      </c>
      <c r="D284" s="2313"/>
      <c r="E284" s="2312" t="s">
        <v>573</v>
      </c>
      <c r="F284" s="2313"/>
      <c r="G284" s="2312" t="s">
        <v>574</v>
      </c>
      <c r="H284" s="2313"/>
      <c r="I284" s="2312" t="s">
        <v>575</v>
      </c>
      <c r="J284" s="2313"/>
      <c r="K284" s="2312" t="s">
        <v>576</v>
      </c>
      <c r="L284" s="2313" t="s">
        <v>362</v>
      </c>
      <c r="M284" s="652"/>
      <c r="N284" s="441"/>
      <c r="O284" s="2317" t="s">
        <v>1926</v>
      </c>
      <c r="P284" s="2318"/>
      <c r="Q284" s="2372" t="s">
        <v>571</v>
      </c>
      <c r="R284" s="2373"/>
      <c r="S284" s="653" t="s">
        <v>362</v>
      </c>
      <c r="T284" s="647"/>
    </row>
    <row r="285" spans="3:20" ht="15">
      <c r="C285" s="2314" t="s">
        <v>577</v>
      </c>
      <c r="D285" s="2313"/>
      <c r="E285" s="2312" t="s">
        <v>578</v>
      </c>
      <c r="F285" s="2313"/>
      <c r="G285" s="2312" t="s">
        <v>579</v>
      </c>
      <c r="H285" s="2313"/>
      <c r="I285" s="2312" t="s">
        <v>580</v>
      </c>
      <c r="J285" s="2313"/>
      <c r="K285" s="2312" t="s">
        <v>581</v>
      </c>
      <c r="L285" s="2313" t="s">
        <v>362</v>
      </c>
      <c r="M285" s="652"/>
      <c r="N285" s="441"/>
      <c r="O285" s="2319"/>
      <c r="P285" s="2320"/>
      <c r="Q285" s="2372" t="s">
        <v>562</v>
      </c>
      <c r="R285" s="2373"/>
      <c r="S285" s="653" t="s">
        <v>362</v>
      </c>
      <c r="T285" s="647"/>
    </row>
    <row r="286" spans="3:20" ht="15.6" customHeight="1">
      <c r="C286" s="2314" t="s">
        <v>582</v>
      </c>
      <c r="D286" s="2313"/>
      <c r="E286" s="2312" t="s">
        <v>583</v>
      </c>
      <c r="F286" s="2313"/>
      <c r="G286" s="2312" t="s">
        <v>584</v>
      </c>
      <c r="H286" s="2313"/>
      <c r="I286" s="2312" t="s">
        <v>585</v>
      </c>
      <c r="J286" s="2313"/>
      <c r="K286" s="2312" t="s">
        <v>586</v>
      </c>
      <c r="L286" s="2313" t="s">
        <v>362</v>
      </c>
      <c r="M286" s="652"/>
      <c r="N286" s="441"/>
      <c r="O286" s="2317" t="s">
        <v>1927</v>
      </c>
      <c r="P286" s="2551"/>
      <c r="Q286" s="2372" t="s">
        <v>567</v>
      </c>
      <c r="R286" s="2373"/>
      <c r="S286" s="653" t="s">
        <v>362</v>
      </c>
      <c r="T286" s="647"/>
    </row>
    <row r="287" spans="3:20" ht="15">
      <c r="C287" s="2314" t="s">
        <v>587</v>
      </c>
      <c r="D287" s="2313"/>
      <c r="E287" s="2312" t="s">
        <v>588</v>
      </c>
      <c r="F287" s="2313"/>
      <c r="G287" s="2312" t="s">
        <v>589</v>
      </c>
      <c r="H287" s="2313"/>
      <c r="I287" s="2312" t="s">
        <v>590</v>
      </c>
      <c r="J287" s="2313"/>
      <c r="K287" s="2312" t="s">
        <v>591</v>
      </c>
      <c r="L287" s="2313" t="s">
        <v>362</v>
      </c>
      <c r="M287" s="652"/>
      <c r="N287" s="441"/>
      <c r="O287" s="2552"/>
      <c r="P287" s="2551"/>
      <c r="Q287" s="2372" t="s">
        <v>625</v>
      </c>
      <c r="R287" s="2373"/>
      <c r="S287" s="653" t="s">
        <v>362</v>
      </c>
      <c r="T287" s="647"/>
    </row>
    <row r="288" spans="3:20" ht="15">
      <c r="C288" s="2314" t="s">
        <v>571</v>
      </c>
      <c r="D288" s="2313"/>
      <c r="E288" s="2312" t="s">
        <v>593</v>
      </c>
      <c r="F288" s="2313"/>
      <c r="G288" s="2312" t="s">
        <v>594</v>
      </c>
      <c r="H288" s="2313"/>
      <c r="I288" s="2312" t="s">
        <v>595</v>
      </c>
      <c r="J288" s="2313"/>
      <c r="K288" s="753" t="s">
        <v>362</v>
      </c>
      <c r="L288" s="655" t="s">
        <v>362</v>
      </c>
      <c r="M288" s="652"/>
      <c r="N288" s="441"/>
      <c r="O288" s="2552"/>
      <c r="P288" s="2551"/>
      <c r="Q288" s="2372" t="s">
        <v>578</v>
      </c>
      <c r="R288" s="2373"/>
      <c r="S288" s="653" t="s">
        <v>362</v>
      </c>
      <c r="T288" s="647"/>
    </row>
    <row r="289" spans="3:20" ht="15.6" customHeight="1">
      <c r="C289" s="2314" t="s">
        <v>597</v>
      </c>
      <c r="D289" s="2313"/>
      <c r="E289" s="2312" t="s">
        <v>592</v>
      </c>
      <c r="F289" s="2313"/>
      <c r="G289" s="2312" t="s">
        <v>598</v>
      </c>
      <c r="H289" s="2313"/>
      <c r="I289" s="2312" t="s">
        <v>599</v>
      </c>
      <c r="J289" s="2313"/>
      <c r="K289" s="753" t="s">
        <v>362</v>
      </c>
      <c r="L289" s="655" t="s">
        <v>362</v>
      </c>
      <c r="M289" s="652"/>
      <c r="N289" s="441"/>
      <c r="O289" s="2370" t="s">
        <v>577</v>
      </c>
      <c r="P289" s="2371"/>
      <c r="Q289" s="2372" t="s">
        <v>592</v>
      </c>
      <c r="R289" s="2373"/>
      <c r="S289" s="653" t="s">
        <v>362</v>
      </c>
      <c r="T289" s="647"/>
    </row>
    <row r="290" spans="3:20" ht="15.6" customHeight="1">
      <c r="C290" s="2314" t="s">
        <v>601</v>
      </c>
      <c r="D290" s="2313"/>
      <c r="E290" s="2312" t="s">
        <v>596</v>
      </c>
      <c r="F290" s="2313"/>
      <c r="G290" s="2312" t="s">
        <v>602</v>
      </c>
      <c r="H290" s="2313"/>
      <c r="I290" s="2312" t="s">
        <v>603</v>
      </c>
      <c r="J290" s="2313"/>
      <c r="K290" s="753" t="s">
        <v>362</v>
      </c>
      <c r="L290" s="655" t="s">
        <v>362</v>
      </c>
      <c r="M290" s="652"/>
      <c r="N290" s="441"/>
      <c r="O290" s="2370" t="s">
        <v>587</v>
      </c>
      <c r="P290" s="2371"/>
      <c r="Q290" s="2372" t="s">
        <v>641</v>
      </c>
      <c r="R290" s="2373"/>
      <c r="S290" s="653" t="s">
        <v>362</v>
      </c>
      <c r="T290" s="647"/>
    </row>
    <row r="291" spans="3:20" ht="15.6" customHeight="1">
      <c r="C291" s="2314" t="s">
        <v>604</v>
      </c>
      <c r="D291" s="2313"/>
      <c r="E291" s="2312" t="s">
        <v>600</v>
      </c>
      <c r="F291" s="2313"/>
      <c r="G291" s="2312" t="s">
        <v>605</v>
      </c>
      <c r="H291" s="2313"/>
      <c r="I291" s="2312" t="s">
        <v>606</v>
      </c>
      <c r="J291" s="2313"/>
      <c r="K291" s="753" t="s">
        <v>362</v>
      </c>
      <c r="L291" s="655" t="s">
        <v>362</v>
      </c>
      <c r="M291" s="652"/>
      <c r="N291" s="441"/>
      <c r="O291" s="2370" t="s">
        <v>597</v>
      </c>
      <c r="P291" s="2371"/>
      <c r="Q291" s="2372" t="s">
        <v>596</v>
      </c>
      <c r="R291" s="2373"/>
      <c r="S291" s="653" t="s">
        <v>362</v>
      </c>
      <c r="T291" s="647"/>
    </row>
    <row r="292" spans="3:20" ht="15">
      <c r="C292" s="2314" t="s">
        <v>607</v>
      </c>
      <c r="D292" s="2313"/>
      <c r="E292" s="2312" t="s">
        <v>608</v>
      </c>
      <c r="F292" s="2313"/>
      <c r="G292" s="2312" t="s">
        <v>609</v>
      </c>
      <c r="H292" s="2313"/>
      <c r="I292" s="2312" t="s">
        <v>610</v>
      </c>
      <c r="J292" s="2313"/>
      <c r="K292" s="753" t="s">
        <v>362</v>
      </c>
      <c r="L292" s="655" t="s">
        <v>362</v>
      </c>
      <c r="M292" s="652"/>
      <c r="N292" s="441"/>
      <c r="O292" s="2370" t="s">
        <v>601</v>
      </c>
      <c r="P292" s="2371"/>
      <c r="Q292" s="2372" t="s">
        <v>600</v>
      </c>
      <c r="R292" s="2373"/>
      <c r="S292" s="653" t="s">
        <v>362</v>
      </c>
      <c r="T292" s="647"/>
    </row>
    <row r="293" spans="3:20" ht="15">
      <c r="C293" s="2314" t="s">
        <v>611</v>
      </c>
      <c r="D293" s="2313"/>
      <c r="E293" s="578"/>
      <c r="F293" s="580"/>
      <c r="G293" s="2312" t="s">
        <v>612</v>
      </c>
      <c r="H293" s="2313"/>
      <c r="I293" s="2312" t="s">
        <v>613</v>
      </c>
      <c r="J293" s="2313"/>
      <c r="K293" s="753" t="s">
        <v>362</v>
      </c>
      <c r="L293" s="655" t="s">
        <v>362</v>
      </c>
      <c r="M293" s="652"/>
      <c r="N293" s="441"/>
      <c r="O293" s="2370" t="s">
        <v>604</v>
      </c>
      <c r="P293" s="2371"/>
      <c r="Q293" s="1968"/>
      <c r="R293" s="1969"/>
      <c r="S293" s="653" t="s">
        <v>362</v>
      </c>
      <c r="T293" s="647"/>
    </row>
    <row r="294" spans="3:20" ht="15">
      <c r="C294" s="2314" t="s">
        <v>614</v>
      </c>
      <c r="D294" s="2313"/>
      <c r="E294" s="578"/>
      <c r="F294" s="580"/>
      <c r="G294" s="2312" t="s">
        <v>615</v>
      </c>
      <c r="H294" s="2313"/>
      <c r="I294" s="2312" t="s">
        <v>616</v>
      </c>
      <c r="J294" s="2313"/>
      <c r="K294" s="753" t="s">
        <v>362</v>
      </c>
      <c r="L294" s="655" t="s">
        <v>362</v>
      </c>
      <c r="M294" s="652"/>
      <c r="N294" s="441"/>
      <c r="O294" s="2370" t="s">
        <v>611</v>
      </c>
      <c r="P294" s="2371"/>
      <c r="Q294" s="1968"/>
      <c r="R294" s="1969"/>
      <c r="S294" s="653" t="s">
        <v>362</v>
      </c>
      <c r="T294" s="647"/>
    </row>
    <row r="295" spans="3:20" ht="15">
      <c r="C295" s="2314" t="s">
        <v>617</v>
      </c>
      <c r="D295" s="2313"/>
      <c r="E295" s="578"/>
      <c r="F295" s="580"/>
      <c r="G295" s="2312" t="s">
        <v>618</v>
      </c>
      <c r="H295" s="2313"/>
      <c r="I295" s="2312" t="s">
        <v>619</v>
      </c>
      <c r="J295" s="2313"/>
      <c r="K295" s="753" t="s">
        <v>362</v>
      </c>
      <c r="L295" s="655" t="s">
        <v>362</v>
      </c>
      <c r="M295" s="652"/>
      <c r="N295" s="441"/>
      <c r="O295" s="2370" t="s">
        <v>614</v>
      </c>
      <c r="P295" s="2371"/>
      <c r="Q295" s="1968"/>
      <c r="R295" s="1969"/>
      <c r="S295" s="653" t="s">
        <v>362</v>
      </c>
      <c r="T295" s="647"/>
    </row>
    <row r="296" spans="3:20" ht="15" customHeight="1">
      <c r="C296" s="2314" t="s">
        <v>620</v>
      </c>
      <c r="D296" s="2313"/>
      <c r="E296" s="578"/>
      <c r="F296" s="580"/>
      <c r="G296" s="2312" t="s">
        <v>621</v>
      </c>
      <c r="H296" s="2313"/>
      <c r="I296" s="2312" t="s">
        <v>622</v>
      </c>
      <c r="J296" s="2313"/>
      <c r="K296" s="753" t="s">
        <v>362</v>
      </c>
      <c r="L296" s="655" t="s">
        <v>362</v>
      </c>
      <c r="M296" s="652"/>
      <c r="N296" s="441"/>
      <c r="O296" s="2370" t="s">
        <v>617</v>
      </c>
      <c r="P296" s="2371"/>
      <c r="Q296" s="1968"/>
      <c r="R296" s="1969"/>
      <c r="S296" s="653" t="s">
        <v>362</v>
      </c>
      <c r="T296" s="647"/>
    </row>
    <row r="297" spans="3:20" ht="15" customHeight="1">
      <c r="C297" s="2314" t="s">
        <v>623</v>
      </c>
      <c r="D297" s="2313"/>
      <c r="E297" s="578"/>
      <c r="F297" s="580"/>
      <c r="G297" s="2312"/>
      <c r="H297" s="2313"/>
      <c r="I297" s="2312" t="s">
        <v>624</v>
      </c>
      <c r="J297" s="2313"/>
      <c r="K297" s="753" t="s">
        <v>362</v>
      </c>
      <c r="L297" s="655" t="s">
        <v>362</v>
      </c>
      <c r="M297" s="652"/>
      <c r="N297" s="441"/>
      <c r="O297" s="2370" t="s">
        <v>620</v>
      </c>
      <c r="P297" s="2371"/>
      <c r="Q297" s="1968"/>
      <c r="R297" s="1969"/>
      <c r="S297" s="653" t="s">
        <v>362</v>
      </c>
      <c r="T297" s="647"/>
    </row>
    <row r="298" spans="3:20" ht="15.6" customHeight="1">
      <c r="C298" s="2314" t="s">
        <v>625</v>
      </c>
      <c r="D298" s="2313"/>
      <c r="E298" s="578"/>
      <c r="F298" s="580"/>
      <c r="G298" s="2312"/>
      <c r="H298" s="2313"/>
      <c r="I298" s="2312" t="s">
        <v>626</v>
      </c>
      <c r="J298" s="2313"/>
      <c r="K298" s="753" t="s">
        <v>362</v>
      </c>
      <c r="L298" s="655" t="s">
        <v>362</v>
      </c>
      <c r="M298" s="652"/>
      <c r="N298" s="441"/>
      <c r="O298" s="2370" t="s">
        <v>623</v>
      </c>
      <c r="P298" s="2371"/>
      <c r="Q298" s="1968"/>
      <c r="R298" s="1969"/>
      <c r="S298" s="653" t="s">
        <v>362</v>
      </c>
      <c r="T298" s="647"/>
    </row>
    <row r="299" spans="3:20" ht="15">
      <c r="C299" s="2314" t="s">
        <v>627</v>
      </c>
      <c r="D299" s="2313"/>
      <c r="E299" s="578"/>
      <c r="F299" s="580"/>
      <c r="G299" s="2312"/>
      <c r="H299" s="2313"/>
      <c r="I299" s="2312" t="s">
        <v>628</v>
      </c>
      <c r="J299" s="2313"/>
      <c r="K299" s="753" t="s">
        <v>362</v>
      </c>
      <c r="L299" s="655" t="s">
        <v>362</v>
      </c>
      <c r="M299" s="652"/>
      <c r="N299" s="441"/>
      <c r="O299" s="2370" t="s">
        <v>627</v>
      </c>
      <c r="P299" s="2371"/>
      <c r="Q299" s="1968"/>
      <c r="R299" s="1969"/>
      <c r="S299" s="653" t="s">
        <v>362</v>
      </c>
      <c r="T299" s="647"/>
    </row>
    <row r="300" spans="3:20" ht="15.6" customHeight="1">
      <c r="C300" s="2314" t="s">
        <v>629</v>
      </c>
      <c r="D300" s="2313"/>
      <c r="E300" s="578"/>
      <c r="F300" s="580"/>
      <c r="G300" s="2312"/>
      <c r="H300" s="2313"/>
      <c r="I300" s="2312" t="s">
        <v>630</v>
      </c>
      <c r="J300" s="2313"/>
      <c r="K300" s="753" t="s">
        <v>362</v>
      </c>
      <c r="L300" s="655" t="s">
        <v>362</v>
      </c>
      <c r="M300" s="652"/>
      <c r="N300" s="441"/>
      <c r="O300" s="2370" t="s">
        <v>629</v>
      </c>
      <c r="P300" s="2371"/>
      <c r="Q300" s="1968"/>
      <c r="R300" s="1969"/>
      <c r="S300" s="653" t="s">
        <v>362</v>
      </c>
      <c r="T300" s="647"/>
    </row>
    <row r="301" spans="3:20" ht="15.6" customHeight="1">
      <c r="C301" s="2314" t="s">
        <v>631</v>
      </c>
      <c r="D301" s="2313"/>
      <c r="E301" s="578"/>
      <c r="F301" s="580"/>
      <c r="G301" s="2312"/>
      <c r="H301" s="2313"/>
      <c r="I301" s="2312" t="s">
        <v>632</v>
      </c>
      <c r="J301" s="2313"/>
      <c r="K301" s="753" t="s">
        <v>362</v>
      </c>
      <c r="L301" s="655" t="s">
        <v>362</v>
      </c>
      <c r="M301" s="652"/>
      <c r="N301" s="441"/>
      <c r="O301" s="2370" t="s">
        <v>631</v>
      </c>
      <c r="P301" s="2371"/>
      <c r="Q301" s="1968"/>
      <c r="R301" s="1969"/>
      <c r="S301" s="653" t="s">
        <v>362</v>
      </c>
      <c r="T301" s="647"/>
    </row>
    <row r="302" spans="3:20" ht="15.6" customHeight="1">
      <c r="C302" s="2314" t="s">
        <v>633</v>
      </c>
      <c r="D302" s="2313"/>
      <c r="E302" s="578"/>
      <c r="F302" s="580"/>
      <c r="G302" s="2312"/>
      <c r="H302" s="2313"/>
      <c r="I302" s="2312" t="s">
        <v>634</v>
      </c>
      <c r="J302" s="2313"/>
      <c r="K302" s="753" t="s">
        <v>362</v>
      </c>
      <c r="L302" s="655" t="s">
        <v>362</v>
      </c>
      <c r="M302" s="652"/>
      <c r="N302" s="441"/>
      <c r="O302" s="2317" t="s">
        <v>1928</v>
      </c>
      <c r="P302" s="2318"/>
      <c r="Q302" s="1968"/>
      <c r="R302" s="1969"/>
      <c r="S302" s="653" t="s">
        <v>362</v>
      </c>
      <c r="T302" s="647"/>
    </row>
    <row r="303" spans="3:20" ht="15">
      <c r="C303" s="2314" t="s">
        <v>635</v>
      </c>
      <c r="D303" s="2313"/>
      <c r="E303" s="578"/>
      <c r="F303" s="580"/>
      <c r="G303" s="2312"/>
      <c r="H303" s="2313"/>
      <c r="I303" s="2312" t="s">
        <v>636</v>
      </c>
      <c r="J303" s="2313"/>
      <c r="K303" s="753" t="s">
        <v>362</v>
      </c>
      <c r="L303" s="655" t="s">
        <v>362</v>
      </c>
      <c r="M303" s="652"/>
      <c r="N303" s="441"/>
      <c r="O303" s="2319"/>
      <c r="P303" s="2320"/>
      <c r="Q303" s="1968"/>
      <c r="R303" s="1969"/>
      <c r="S303" s="653" t="s">
        <v>362</v>
      </c>
      <c r="T303" s="647"/>
    </row>
    <row r="304" spans="3:20" ht="15">
      <c r="C304" s="2314" t="s">
        <v>637</v>
      </c>
      <c r="D304" s="2313"/>
      <c r="E304" s="578"/>
      <c r="F304" s="580"/>
      <c r="G304" s="2312"/>
      <c r="H304" s="2313"/>
      <c r="I304" s="2312" t="s">
        <v>638</v>
      </c>
      <c r="J304" s="2313"/>
      <c r="K304" s="753" t="s">
        <v>362</v>
      </c>
      <c r="L304" s="655" t="s">
        <v>362</v>
      </c>
      <c r="M304" s="652"/>
      <c r="N304" s="441"/>
      <c r="O304" s="2370" t="s">
        <v>1929</v>
      </c>
      <c r="P304" s="2371"/>
      <c r="Q304" s="1968"/>
      <c r="R304" s="1969"/>
      <c r="S304" s="653" t="s">
        <v>362</v>
      </c>
      <c r="T304" s="647"/>
    </row>
    <row r="305" spans="3:20" ht="15">
      <c r="C305" s="2314" t="s">
        <v>639</v>
      </c>
      <c r="D305" s="2313"/>
      <c r="E305" s="578"/>
      <c r="F305" s="580"/>
      <c r="G305" s="2312"/>
      <c r="H305" s="2313"/>
      <c r="I305" s="753" t="s">
        <v>362</v>
      </c>
      <c r="J305" s="655"/>
      <c r="K305" s="753" t="s">
        <v>362</v>
      </c>
      <c r="L305" s="655" t="s">
        <v>362</v>
      </c>
      <c r="M305" s="652"/>
      <c r="N305" s="441"/>
      <c r="O305" s="2370" t="s">
        <v>637</v>
      </c>
      <c r="P305" s="2371"/>
      <c r="Q305" s="1968"/>
      <c r="R305" s="1969"/>
      <c r="S305" s="653" t="s">
        <v>362</v>
      </c>
      <c r="T305" s="647"/>
    </row>
    <row r="306" spans="3:20" ht="15" customHeight="1">
      <c r="C306" s="2314" t="s">
        <v>640</v>
      </c>
      <c r="D306" s="2313"/>
      <c r="E306" s="578"/>
      <c r="F306" s="580"/>
      <c r="G306" s="2312"/>
      <c r="H306" s="2313"/>
      <c r="I306" s="753" t="s">
        <v>362</v>
      </c>
      <c r="J306" s="655"/>
      <c r="K306" s="753" t="s">
        <v>362</v>
      </c>
      <c r="L306" s="655" t="s">
        <v>362</v>
      </c>
      <c r="M306" s="652"/>
      <c r="N306" s="441"/>
      <c r="O306" s="2370" t="s">
        <v>583</v>
      </c>
      <c r="P306" s="2371"/>
      <c r="Q306" s="1968"/>
      <c r="R306" s="1969"/>
      <c r="S306" s="653" t="s">
        <v>362</v>
      </c>
      <c r="T306" s="647"/>
    </row>
    <row r="307" spans="3:20" ht="15.6" customHeight="1">
      <c r="C307" s="2314" t="s">
        <v>641</v>
      </c>
      <c r="D307" s="2313"/>
      <c r="E307" s="578"/>
      <c r="F307" s="580"/>
      <c r="G307" s="2312"/>
      <c r="H307" s="2313"/>
      <c r="I307" s="753" t="s">
        <v>362</v>
      </c>
      <c r="J307" s="655"/>
      <c r="K307" s="753" t="s">
        <v>362</v>
      </c>
      <c r="L307" s="752" t="s">
        <v>362</v>
      </c>
      <c r="M307" s="652"/>
      <c r="N307" s="441"/>
      <c r="O307" s="2370" t="s">
        <v>640</v>
      </c>
      <c r="P307" s="2371"/>
      <c r="Q307" s="1968"/>
      <c r="R307" s="1969"/>
      <c r="S307" s="653" t="s">
        <v>362</v>
      </c>
      <c r="T307" s="647"/>
    </row>
    <row r="308" spans="3:20" ht="15.6" customHeight="1">
      <c r="C308" s="2314" t="s">
        <v>642</v>
      </c>
      <c r="D308" s="2313"/>
      <c r="E308" s="578"/>
      <c r="F308" s="580"/>
      <c r="G308" s="2312"/>
      <c r="H308" s="2313"/>
      <c r="I308" s="753" t="s">
        <v>362</v>
      </c>
      <c r="J308" s="655"/>
      <c r="K308" s="753" t="s">
        <v>362</v>
      </c>
      <c r="L308" s="655" t="s">
        <v>362</v>
      </c>
      <c r="M308" s="652"/>
      <c r="N308" s="441"/>
      <c r="O308" s="2372"/>
      <c r="P308" s="2373"/>
      <c r="Q308" s="1968"/>
      <c r="R308" s="1969"/>
      <c r="S308" s="653" t="s">
        <v>362</v>
      </c>
      <c r="T308" s="647"/>
    </row>
    <row r="309" spans="3:20" ht="15.6" customHeight="1">
      <c r="C309" s="2314"/>
      <c r="D309" s="2313"/>
      <c r="E309" s="578"/>
      <c r="F309" s="580"/>
      <c r="G309" s="2312"/>
      <c r="H309" s="2313"/>
      <c r="I309" s="753" t="s">
        <v>362</v>
      </c>
      <c r="J309" s="655"/>
      <c r="K309" s="753" t="s">
        <v>362</v>
      </c>
      <c r="L309" s="655"/>
      <c r="M309" s="652"/>
      <c r="N309" s="441"/>
      <c r="O309" s="2372"/>
      <c r="P309" s="2373"/>
      <c r="Q309" s="1968"/>
      <c r="R309" s="1969"/>
      <c r="S309" s="653" t="s">
        <v>362</v>
      </c>
      <c r="T309" s="647"/>
    </row>
    <row r="310" spans="3:20" ht="15">
      <c r="C310" s="2314"/>
      <c r="D310" s="2313"/>
      <c r="E310" s="578"/>
      <c r="F310" s="580"/>
      <c r="G310" s="2312"/>
      <c r="H310" s="2313"/>
      <c r="I310" s="656"/>
      <c r="J310" s="655"/>
      <c r="K310" s="656"/>
      <c r="L310" s="655"/>
      <c r="M310" s="652"/>
      <c r="N310" s="441"/>
      <c r="O310" s="2372"/>
      <c r="P310" s="2373"/>
      <c r="Q310" s="1968"/>
      <c r="R310" s="1969"/>
      <c r="S310" s="653" t="s">
        <v>362</v>
      </c>
      <c r="T310" s="647"/>
    </row>
    <row r="311" spans="3:20" ht="15.6" customHeight="1">
      <c r="C311" s="2315" t="s">
        <v>859</v>
      </c>
      <c r="D311" s="2316"/>
      <c r="E311" s="578"/>
      <c r="F311" s="580"/>
      <c r="G311" s="2312"/>
      <c r="H311" s="2313"/>
      <c r="I311" s="656"/>
      <c r="J311" s="655"/>
      <c r="K311" s="656"/>
      <c r="L311" s="655"/>
      <c r="M311" s="652"/>
      <c r="N311" s="441"/>
      <c r="O311" s="2372"/>
      <c r="P311" s="2373"/>
      <c r="Q311" s="1968"/>
      <c r="R311" s="1969"/>
      <c r="S311" s="653" t="s">
        <v>362</v>
      </c>
      <c r="T311" s="647"/>
    </row>
    <row r="312" spans="3:20" ht="15">
      <c r="C312" s="2315" t="s">
        <v>643</v>
      </c>
      <c r="D312" s="2316"/>
      <c r="E312" s="578"/>
      <c r="F312" s="580"/>
      <c r="G312" s="2312"/>
      <c r="H312" s="2313"/>
      <c r="I312" s="656"/>
      <c r="J312" s="655"/>
      <c r="K312" s="656"/>
      <c r="L312" s="655"/>
      <c r="M312" s="652"/>
      <c r="N312" s="441"/>
      <c r="O312" s="2372"/>
      <c r="P312" s="2373"/>
      <c r="Q312" s="1968"/>
      <c r="R312" s="1969"/>
      <c r="S312" s="653" t="s">
        <v>362</v>
      </c>
      <c r="T312" s="647"/>
    </row>
    <row r="313" spans="3:20" ht="15">
      <c r="C313" s="2315"/>
      <c r="D313" s="2316"/>
      <c r="E313" s="578"/>
      <c r="F313" s="580"/>
      <c r="G313" s="2312"/>
      <c r="H313" s="2313"/>
      <c r="I313" s="658"/>
      <c r="J313" s="655"/>
      <c r="K313" s="659"/>
      <c r="L313" s="655"/>
      <c r="M313" s="652"/>
      <c r="N313" s="441"/>
      <c r="O313" s="2372"/>
      <c r="P313" s="2373"/>
      <c r="Q313" s="1970"/>
      <c r="R313" s="1969"/>
      <c r="S313" s="653" t="s">
        <v>362</v>
      </c>
      <c r="T313" s="647"/>
    </row>
    <row r="314" spans="3:20" ht="15">
      <c r="C314" s="2323"/>
      <c r="D314" s="2324"/>
      <c r="E314" s="581"/>
      <c r="F314" s="660"/>
      <c r="G314" s="2321"/>
      <c r="H314" s="2322"/>
      <c r="I314" s="661"/>
      <c r="J314" s="662"/>
      <c r="K314" s="663"/>
      <c r="L314" s="662"/>
      <c r="M314" s="664"/>
      <c r="N314" s="441"/>
      <c r="O314" s="2553"/>
      <c r="P314" s="2554"/>
      <c r="Q314" s="1971"/>
      <c r="R314" s="1972"/>
      <c r="S314" s="665" t="s">
        <v>362</v>
      </c>
      <c r="T314" s="647"/>
    </row>
    <row r="315" spans="3:20" ht="15">
      <c r="C315" s="441"/>
      <c r="D315" s="441"/>
      <c r="E315" s="441"/>
      <c r="F315" s="441"/>
      <c r="G315" s="441"/>
      <c r="H315" s="441"/>
      <c r="I315" s="441"/>
      <c r="J315" s="441"/>
      <c r="K315" s="441"/>
      <c r="L315" s="441"/>
      <c r="M315" s="441"/>
      <c r="N315" s="666"/>
      <c r="O315" s="441"/>
      <c r="P315" s="441"/>
      <c r="Q315" s="441"/>
      <c r="R315" s="441"/>
      <c r="S315" s="441"/>
    </row>
    <row r="316" spans="3:20" ht="15">
      <c r="C316" s="441"/>
      <c r="D316" s="441"/>
      <c r="E316" s="441"/>
      <c r="F316" s="441"/>
      <c r="G316" s="441"/>
      <c r="H316" s="441"/>
      <c r="I316" s="441"/>
      <c r="J316" s="441"/>
      <c r="K316" s="441"/>
      <c r="L316" s="441"/>
      <c r="M316" s="441"/>
      <c r="N316" s="666"/>
      <c r="O316" s="441"/>
      <c r="P316" s="441"/>
      <c r="Q316" s="441"/>
      <c r="R316" s="441"/>
      <c r="S316" s="441"/>
    </row>
    <row r="317" spans="3:20" ht="15">
      <c r="C317" s="441"/>
      <c r="D317" s="441"/>
      <c r="E317" s="441"/>
      <c r="F317" s="441"/>
      <c r="G317" s="441"/>
      <c r="H317" s="441"/>
      <c r="I317" s="441"/>
      <c r="J317" s="441"/>
      <c r="K317" s="441"/>
      <c r="L317" s="441"/>
      <c r="M317" s="441"/>
      <c r="N317" s="666"/>
      <c r="O317" s="441"/>
      <c r="P317" s="441"/>
      <c r="Q317" s="441"/>
      <c r="R317" s="441"/>
      <c r="S317" s="441"/>
    </row>
    <row r="318" spans="3:20" ht="15">
      <c r="C318" s="441"/>
      <c r="D318" s="441"/>
      <c r="E318" s="441"/>
      <c r="F318" s="441"/>
      <c r="G318" s="441"/>
      <c r="H318" s="441"/>
      <c r="I318" s="441"/>
      <c r="J318" s="441"/>
      <c r="K318" s="441"/>
      <c r="L318" s="441"/>
      <c r="M318" s="441"/>
      <c r="N318" s="666"/>
      <c r="O318" s="441"/>
      <c r="P318" s="441"/>
      <c r="Q318" s="441"/>
      <c r="R318" s="441"/>
      <c r="S318" s="441"/>
    </row>
    <row r="319" spans="3:20" ht="15">
      <c r="C319" s="441"/>
      <c r="D319" s="441"/>
      <c r="E319" s="441"/>
      <c r="F319" s="441"/>
      <c r="G319" s="441"/>
      <c r="H319" s="441"/>
      <c r="I319" s="441"/>
      <c r="J319" s="441"/>
      <c r="K319" s="441"/>
      <c r="L319" s="441"/>
      <c r="M319" s="441"/>
      <c r="N319" s="666"/>
      <c r="O319" s="441"/>
      <c r="P319" s="441"/>
      <c r="Q319" s="441"/>
      <c r="R319" s="441"/>
      <c r="S319" s="441"/>
    </row>
    <row r="322" spans="1:22" ht="19.149999999999999" customHeight="1">
      <c r="B322" s="522"/>
      <c r="C322" s="585"/>
      <c r="D322" s="584"/>
      <c r="E322" s="584"/>
      <c r="F322" s="584"/>
      <c r="G322" s="586"/>
      <c r="H322" s="586"/>
      <c r="I322" s="586"/>
      <c r="J322" s="586"/>
      <c r="K322" s="587"/>
      <c r="L322" s="587"/>
      <c r="M322" s="587"/>
      <c r="N322" s="587"/>
      <c r="O322" s="587"/>
      <c r="P322" s="587"/>
      <c r="Q322" s="561"/>
      <c r="R322" s="561"/>
      <c r="S322" s="441"/>
      <c r="T322" s="441"/>
      <c r="U322" s="588"/>
      <c r="V322" s="441"/>
    </row>
    <row r="324" spans="1:22" ht="15.75">
      <c r="M324" s="476" t="s">
        <v>1822</v>
      </c>
      <c r="R324" s="477" t="s">
        <v>692</v>
      </c>
      <c r="S324" s="478" t="str">
        <f>$E$29</f>
        <v>ILF5_90FCOS_B114CAGR43006</v>
      </c>
    </row>
    <row r="327" spans="1:22" ht="16.899999999999999" customHeight="1">
      <c r="B327" s="522"/>
      <c r="C327" s="585"/>
      <c r="D327" s="584"/>
      <c r="E327" s="584"/>
      <c r="F327" s="584"/>
      <c r="G327" s="586"/>
      <c r="H327" s="436" t="s">
        <v>690</v>
      </c>
      <c r="I327" s="420"/>
      <c r="K327" s="420"/>
      <c r="L327" s="437" t="str">
        <f>$B$11</f>
        <v>INMOBILIARIA SERVIGESTION</v>
      </c>
      <c r="M327" s="587"/>
      <c r="N327" s="587"/>
      <c r="O327" s="587"/>
      <c r="P327" s="587"/>
      <c r="Q327" s="561"/>
      <c r="R327" s="561"/>
      <c r="S327" s="441"/>
      <c r="T327" s="441"/>
      <c r="U327" s="588"/>
      <c r="V327" s="441"/>
    </row>
    <row r="328" spans="1:22" ht="34.5">
      <c r="A328" s="420"/>
      <c r="B328" s="2268" t="s">
        <v>461</v>
      </c>
      <c r="C328" s="2268"/>
      <c r="D328" s="2268"/>
      <c r="E328" s="2268"/>
      <c r="F328" s="2268"/>
      <c r="G328" s="2268"/>
      <c r="H328" s="2268"/>
      <c r="I328" s="2268"/>
      <c r="J328" s="2268"/>
      <c r="K328" s="2268"/>
      <c r="L328" s="2268"/>
      <c r="M328" s="2268"/>
      <c r="N328" s="2268"/>
      <c r="O328" s="2268"/>
      <c r="P328" s="2268"/>
      <c r="Q328" s="2268"/>
      <c r="R328" s="2268"/>
      <c r="S328" s="2268"/>
      <c r="T328" s="2268"/>
      <c r="U328" s="2268"/>
      <c r="V328" s="420"/>
    </row>
    <row r="329" spans="1:22" ht="22.9" customHeight="1">
      <c r="A329" s="420"/>
      <c r="B329" s="2269" t="s">
        <v>816</v>
      </c>
      <c r="C329" s="2269"/>
      <c r="D329" s="2269"/>
      <c r="E329" s="2269"/>
      <c r="F329" s="2269"/>
      <c r="G329" s="2269"/>
      <c r="H329" s="2269"/>
      <c r="I329" s="2269"/>
      <c r="J329" s="2269"/>
      <c r="K329" s="2269"/>
      <c r="L329" s="2269"/>
      <c r="M329" s="2269"/>
      <c r="N329" s="2269"/>
      <c r="O329" s="2269"/>
      <c r="P329" s="2269"/>
      <c r="Q329" s="2269"/>
      <c r="R329" s="2269"/>
      <c r="S329" s="2269"/>
      <c r="T329" s="2269"/>
      <c r="U329" s="2269"/>
      <c r="V329" s="420"/>
    </row>
    <row r="330" spans="1:22" ht="16.149999999999999" customHeight="1">
      <c r="A330" s="420"/>
      <c r="B330" s="757"/>
      <c r="C330" s="757"/>
      <c r="D330" s="757"/>
      <c r="E330" s="757"/>
      <c r="F330" s="757"/>
      <c r="G330" s="757"/>
      <c r="H330" s="757"/>
      <c r="I330" s="757"/>
      <c r="J330" s="757"/>
      <c r="K330" s="757"/>
      <c r="L330" s="757"/>
      <c r="M330" s="757"/>
      <c r="N330" s="757"/>
      <c r="O330" s="757"/>
      <c r="Q330" s="757"/>
      <c r="R330" s="757"/>
      <c r="S330" s="757"/>
      <c r="T330" s="757"/>
      <c r="U330" s="757"/>
      <c r="V330" s="420"/>
    </row>
    <row r="331" spans="1:22" ht="38.25" customHeight="1">
      <c r="A331" s="429"/>
      <c r="B331" s="2251"/>
      <c r="C331" s="2251"/>
      <c r="D331" s="2251"/>
      <c r="E331" s="2251"/>
      <c r="F331" s="2251"/>
      <c r="G331" s="2251"/>
      <c r="H331" s="2251"/>
      <c r="I331" s="2251"/>
      <c r="J331" s="2251"/>
      <c r="K331" s="2251"/>
      <c r="L331" s="2251"/>
      <c r="M331" s="2251"/>
      <c r="N331" s="2251"/>
      <c r="O331" s="2251"/>
      <c r="P331" s="2251"/>
      <c r="Q331" s="2251"/>
      <c r="R331" s="2251"/>
      <c r="S331" s="2251"/>
      <c r="T331" s="2251"/>
      <c r="U331" s="2251"/>
      <c r="V331" s="429"/>
    </row>
    <row r="332" spans="1:22" ht="16.149999999999999" customHeight="1">
      <c r="A332" s="420"/>
      <c r="B332" s="757"/>
      <c r="C332" s="757"/>
      <c r="D332" s="757"/>
      <c r="E332" s="757"/>
      <c r="F332" s="757"/>
      <c r="G332" s="757"/>
      <c r="H332" s="757"/>
      <c r="I332" s="757"/>
      <c r="J332" s="757"/>
      <c r="K332" s="757"/>
      <c r="L332" s="757"/>
      <c r="M332" s="757"/>
      <c r="N332" s="757"/>
      <c r="O332" s="757"/>
      <c r="P332" s="757"/>
      <c r="Q332" s="757"/>
      <c r="R332" s="757"/>
      <c r="S332" s="757"/>
      <c r="T332" s="757"/>
      <c r="U332" s="757"/>
      <c r="V332" s="420"/>
    </row>
    <row r="333" spans="1:22" ht="22.15" customHeight="1">
      <c r="A333" s="441"/>
      <c r="B333" s="2304" t="s">
        <v>708</v>
      </c>
      <c r="C333" s="2305"/>
      <c r="D333" s="2305"/>
      <c r="E333" s="2305"/>
      <c r="F333" s="2305"/>
      <c r="G333" s="2305"/>
      <c r="H333" s="2305"/>
      <c r="I333" s="678"/>
      <c r="J333" s="678"/>
      <c r="K333" s="678"/>
      <c r="L333" s="678"/>
      <c r="M333" s="678"/>
      <c r="N333" s="678"/>
      <c r="O333" s="678"/>
      <c r="P333" s="678"/>
      <c r="Q333" s="678"/>
      <c r="R333" s="678"/>
      <c r="S333" s="678"/>
      <c r="T333" s="678"/>
      <c r="U333" s="603"/>
    </row>
    <row r="334" spans="1:22" ht="46.5" customHeight="1">
      <c r="A334" s="441"/>
      <c r="B334" s="2523" t="s">
        <v>738</v>
      </c>
      <c r="C334" s="2303"/>
      <c r="D334" s="2303"/>
      <c r="E334" s="2303"/>
      <c r="F334" s="2303"/>
      <c r="G334" s="2303"/>
      <c r="H334" s="2303"/>
      <c r="I334" s="2303"/>
      <c r="J334" s="2303"/>
      <c r="K334" s="2303"/>
      <c r="L334" s="2303"/>
      <c r="M334" s="2303"/>
      <c r="N334" s="2303"/>
      <c r="O334" s="2303"/>
      <c r="P334" s="2303"/>
      <c r="Q334" s="2303"/>
      <c r="R334" s="2303"/>
      <c r="S334" s="2303"/>
      <c r="T334" s="2303"/>
      <c r="U334" s="679"/>
    </row>
    <row r="335" spans="1:22" ht="10.5" customHeight="1">
      <c r="A335" s="441"/>
      <c r="B335" s="680"/>
      <c r="C335" s="681"/>
      <c r="D335" s="681"/>
      <c r="E335" s="681"/>
      <c r="F335" s="681"/>
      <c r="G335" s="681"/>
      <c r="H335" s="681"/>
      <c r="I335" s="681"/>
      <c r="J335" s="681"/>
      <c r="K335" s="681"/>
      <c r="L335" s="681"/>
      <c r="M335" s="681"/>
      <c r="N335" s="681"/>
      <c r="O335" s="681"/>
      <c r="P335" s="681"/>
      <c r="Q335" s="681"/>
      <c r="R335" s="681"/>
      <c r="S335" s="681"/>
      <c r="T335" s="681"/>
      <c r="U335" s="679"/>
    </row>
    <row r="336" spans="1:22" ht="33" customHeight="1">
      <c r="A336" s="441"/>
      <c r="B336" s="680"/>
      <c r="D336" s="682"/>
      <c r="E336" s="682"/>
      <c r="F336" s="682"/>
      <c r="G336" s="682"/>
      <c r="H336" s="2524" t="s">
        <v>511</v>
      </c>
      <c r="I336" s="2524"/>
      <c r="J336" s="2524"/>
      <c r="K336" s="2524"/>
      <c r="L336" s="683">
        <f>Calculos_cuotas!W47</f>
        <v>0.15</v>
      </c>
      <c r="M336" s="684"/>
      <c r="N336" s="681"/>
      <c r="O336" s="681"/>
      <c r="P336" s="681"/>
      <c r="Q336" s="681"/>
      <c r="R336" s="681"/>
      <c r="S336" s="681"/>
      <c r="T336" s="681"/>
      <c r="U336" s="679"/>
    </row>
    <row r="337" spans="1:21" ht="12" customHeight="1">
      <c r="A337" s="441"/>
      <c r="B337" s="680"/>
      <c r="C337" s="681"/>
      <c r="D337" s="681"/>
      <c r="E337" s="681"/>
      <c r="F337" s="681"/>
      <c r="G337" s="681"/>
      <c r="H337" s="681"/>
      <c r="I337" s="681"/>
      <c r="J337" s="681"/>
      <c r="K337" s="681"/>
      <c r="L337" s="681"/>
      <c r="M337" s="681"/>
      <c r="N337" s="681"/>
      <c r="O337" s="681"/>
      <c r="P337" s="681"/>
      <c r="Q337" s="681"/>
      <c r="R337" s="681"/>
      <c r="S337" s="681"/>
      <c r="T337" s="681"/>
      <c r="U337" s="679"/>
    </row>
    <row r="338" spans="1:21" ht="63" customHeight="1">
      <c r="A338" s="441"/>
      <c r="B338" s="680"/>
      <c r="C338" s="2303" t="s">
        <v>817</v>
      </c>
      <c r="D338" s="2303"/>
      <c r="E338" s="2303"/>
      <c r="F338" s="2303"/>
      <c r="G338" s="2303"/>
      <c r="H338" s="2303"/>
      <c r="I338" s="2303"/>
      <c r="J338" s="2303"/>
      <c r="K338" s="2303"/>
      <c r="L338" s="2303"/>
      <c r="M338" s="2303"/>
      <c r="N338" s="2303"/>
      <c r="O338" s="2303"/>
      <c r="P338" s="2303"/>
      <c r="Q338" s="2303"/>
      <c r="R338" s="2303"/>
      <c r="S338" s="2303"/>
      <c r="T338" s="2303"/>
      <c r="U338" s="679"/>
    </row>
    <row r="339" spans="1:21" ht="22.15" customHeight="1">
      <c r="A339" s="441"/>
      <c r="B339" s="685"/>
      <c r="C339" s="686"/>
      <c r="D339" s="686"/>
      <c r="E339" s="686"/>
      <c r="F339" s="686"/>
      <c r="G339" s="686"/>
      <c r="H339" s="686"/>
      <c r="I339" s="686"/>
      <c r="J339" s="686"/>
      <c r="K339" s="686"/>
      <c r="L339" s="686"/>
      <c r="M339" s="686"/>
      <c r="N339" s="686"/>
      <c r="O339" s="686"/>
      <c r="P339" s="686"/>
      <c r="Q339" s="686"/>
      <c r="R339" s="686"/>
      <c r="S339" s="686"/>
      <c r="T339" s="686"/>
      <c r="U339" s="687"/>
    </row>
    <row r="340" spans="1:21" ht="22.15" customHeight="1">
      <c r="A340" s="441"/>
      <c r="B340" s="688" t="s">
        <v>671</v>
      </c>
      <c r="C340" s="681"/>
      <c r="D340" s="681"/>
      <c r="E340" s="681"/>
      <c r="F340" s="681"/>
      <c r="G340" s="681"/>
      <c r="H340" s="681"/>
      <c r="I340" s="681"/>
      <c r="J340" s="681"/>
      <c r="K340" s="681"/>
      <c r="L340" s="681"/>
      <c r="M340" s="681"/>
      <c r="N340" s="681"/>
      <c r="O340" s="681"/>
      <c r="P340" s="681"/>
      <c r="Q340" s="681"/>
      <c r="R340" s="681"/>
      <c r="S340" s="681"/>
      <c r="T340" s="681"/>
      <c r="U340" s="681"/>
    </row>
    <row r="341" spans="1:21" ht="22.15" customHeight="1">
      <c r="A341" s="441"/>
      <c r="B341" s="2304" t="s">
        <v>1848</v>
      </c>
      <c r="C341" s="2305"/>
      <c r="D341" s="2305"/>
      <c r="E341" s="2305"/>
      <c r="F341" s="2305"/>
      <c r="G341" s="2305"/>
      <c r="H341" s="2305"/>
      <c r="I341" s="2305"/>
      <c r="J341" s="2305"/>
      <c r="K341" s="2305"/>
      <c r="L341" s="2305"/>
      <c r="M341" s="2305"/>
      <c r="N341" s="2305"/>
      <c r="O341" s="2305"/>
      <c r="P341" s="2305"/>
      <c r="Q341" s="678"/>
      <c r="R341" s="678"/>
      <c r="S341" s="678"/>
      <c r="T341" s="678"/>
      <c r="U341" s="603"/>
    </row>
    <row r="342" spans="1:21" ht="57.75" customHeight="1">
      <c r="A342" s="441"/>
      <c r="B342" s="2345" t="s">
        <v>1856</v>
      </c>
      <c r="C342" s="2346"/>
      <c r="D342" s="2346"/>
      <c r="E342" s="2346"/>
      <c r="F342" s="2346"/>
      <c r="G342" s="2346"/>
      <c r="H342" s="2346"/>
      <c r="I342" s="2346"/>
      <c r="J342" s="2346"/>
      <c r="K342" s="2346"/>
      <c r="L342" s="2346"/>
      <c r="M342" s="2346"/>
      <c r="N342" s="2346"/>
      <c r="O342" s="2346"/>
      <c r="P342" s="2346"/>
      <c r="Q342" s="2346"/>
      <c r="R342" s="2346"/>
      <c r="S342" s="2346"/>
      <c r="T342" s="2346"/>
      <c r="U342" s="679"/>
    </row>
    <row r="343" spans="1:21" ht="17.100000000000001" customHeight="1">
      <c r="A343" s="441"/>
      <c r="B343" s="680"/>
      <c r="C343" s="681"/>
      <c r="D343" s="681"/>
      <c r="E343" s="681"/>
      <c r="F343" s="681"/>
      <c r="G343" s="681"/>
      <c r="H343" s="2631" t="s">
        <v>1087</v>
      </c>
      <c r="I343" s="2631"/>
      <c r="J343" s="2632"/>
      <c r="K343" s="2633" t="s">
        <v>220</v>
      </c>
      <c r="L343" s="2632"/>
      <c r="M343" s="2633" t="s">
        <v>1850</v>
      </c>
      <c r="N343" s="2631"/>
      <c r="O343" s="2631"/>
      <c r="P343" s="504"/>
      <c r="Q343" s="1798"/>
      <c r="R343" s="681"/>
      <c r="S343" s="681"/>
      <c r="T343" s="681"/>
      <c r="U343" s="679"/>
    </row>
    <row r="344" spans="1:21" ht="17.100000000000001" customHeight="1">
      <c r="A344" s="441"/>
      <c r="B344" s="680"/>
      <c r="C344" s="681"/>
      <c r="D344" s="681"/>
      <c r="E344" s="681"/>
      <c r="F344" s="681"/>
      <c r="G344" s="681"/>
      <c r="H344" s="2510" t="str">
        <f>Oferta_OptimaRPV!H512</f>
        <v>Conecta Pymes 2A</v>
      </c>
      <c r="I344" s="2511"/>
      <c r="J344" s="2512"/>
      <c r="K344" s="2513">
        <f>Oferta_OptimaRPV!K512</f>
        <v>0.1</v>
      </c>
      <c r="L344" s="2513"/>
      <c r="M344" s="2515">
        <f>Oferta_OptimaRPV!M512</f>
        <v>20</v>
      </c>
      <c r="N344" s="2516"/>
      <c r="O344" s="2516"/>
      <c r="P344" s="681"/>
      <c r="Q344" s="681"/>
      <c r="R344" s="681"/>
      <c r="S344" s="681"/>
      <c r="T344" s="681"/>
      <c r="U344" s="679"/>
    </row>
    <row r="345" spans="1:21" ht="17.100000000000001" customHeight="1">
      <c r="A345" s="441"/>
      <c r="B345" s="680"/>
      <c r="C345" s="681"/>
      <c r="D345" s="681"/>
      <c r="E345" s="681"/>
      <c r="F345" s="681"/>
      <c r="G345" s="681"/>
      <c r="H345" s="2510" t="str">
        <f>Oferta_OptimaRPV!H513</f>
        <v>Resto Conecta Pymes 2A y 3A</v>
      </c>
      <c r="I345" s="2511"/>
      <c r="J345" s="2512"/>
      <c r="K345" s="2513">
        <f>Oferta_OptimaRPV!K513</f>
        <v>0.1</v>
      </c>
      <c r="L345" s="2513"/>
      <c r="M345" s="2515">
        <f>Oferta_OptimaRPV!M513</f>
        <v>35</v>
      </c>
      <c r="N345" s="2516"/>
      <c r="O345" s="2516"/>
      <c r="P345" s="681"/>
      <c r="Q345" s="681"/>
      <c r="R345" s="681"/>
      <c r="S345" s="681"/>
      <c r="T345" s="681"/>
      <c r="U345" s="679"/>
    </row>
    <row r="346" spans="1:21" ht="17.100000000000001" customHeight="1">
      <c r="A346" s="441"/>
      <c r="B346" s="680"/>
      <c r="C346" s="681"/>
      <c r="D346" s="681"/>
      <c r="E346" s="681"/>
      <c r="F346" s="681"/>
      <c r="G346" s="681"/>
      <c r="H346" s="2510" t="str">
        <f>Oferta_OptimaRPV!H514</f>
        <v>Conecta Pymes 2D</v>
      </c>
      <c r="I346" s="2511"/>
      <c r="J346" s="2512"/>
      <c r="K346" s="2513">
        <f>Oferta_OptimaRPV!K514</f>
        <v>0.1</v>
      </c>
      <c r="L346" s="2513"/>
      <c r="M346" s="2515">
        <f>Oferta_OptimaRPV!M514</f>
        <v>35</v>
      </c>
      <c r="N346" s="2516"/>
      <c r="O346" s="2516"/>
      <c r="P346" s="681"/>
      <c r="Q346" s="681"/>
      <c r="R346" s="681"/>
      <c r="S346" s="681"/>
      <c r="T346" s="681"/>
      <c r="U346" s="679"/>
    </row>
    <row r="347" spans="1:21" ht="17.100000000000001" customHeight="1">
      <c r="A347" s="441"/>
      <c r="B347" s="680"/>
      <c r="C347" s="681"/>
      <c r="D347" s="681"/>
      <c r="E347" s="681"/>
      <c r="F347" s="681"/>
      <c r="G347" s="681"/>
      <c r="H347" s="2510" t="str">
        <f>Oferta_OptimaRPV!H515</f>
        <v>Conecta Pymes IP</v>
      </c>
      <c r="I347" s="2511"/>
      <c r="J347" s="2512"/>
      <c r="K347" s="2513">
        <f>Oferta_OptimaRPV!K515</f>
        <v>0.1</v>
      </c>
      <c r="L347" s="2513"/>
      <c r="M347" s="2515">
        <f>Oferta_OptimaRPV!M515</f>
        <v>80</v>
      </c>
      <c r="N347" s="2516"/>
      <c r="O347" s="2516"/>
      <c r="P347" s="681"/>
      <c r="Q347" s="681"/>
      <c r="R347" s="681"/>
      <c r="S347" s="681"/>
      <c r="T347" s="681"/>
      <c r="U347" s="679"/>
    </row>
    <row r="348" spans="1:21" ht="17.100000000000001" customHeight="1">
      <c r="A348" s="441"/>
      <c r="B348" s="680"/>
      <c r="C348" s="681"/>
      <c r="D348" s="681"/>
      <c r="E348" s="681"/>
      <c r="F348" s="681"/>
      <c r="G348" s="681"/>
      <c r="H348" s="2510" t="str">
        <f>Oferta_OptimaRPV!H516</f>
        <v>Conecta Pymes 4A</v>
      </c>
      <c r="I348" s="2511"/>
      <c r="J348" s="2512"/>
      <c r="K348" s="2513">
        <f>Oferta_OptimaRPV!K516</f>
        <v>0.1</v>
      </c>
      <c r="L348" s="2513"/>
      <c r="M348" s="2515">
        <f>Oferta_OptimaRPV!M516</f>
        <v>80</v>
      </c>
      <c r="N348" s="2516"/>
      <c r="O348" s="2516"/>
      <c r="P348" s="681"/>
      <c r="Q348" s="681"/>
      <c r="R348" s="681"/>
      <c r="S348" s="681"/>
      <c r="T348" s="681"/>
      <c r="U348" s="679"/>
    </row>
    <row r="349" spans="1:21" ht="17.100000000000001" customHeight="1">
      <c r="A349" s="441"/>
      <c r="B349" s="680"/>
      <c r="C349" s="681"/>
      <c r="D349" s="681"/>
      <c r="E349" s="681"/>
      <c r="F349" s="681"/>
      <c r="G349" s="681"/>
      <c r="H349" s="2510" t="str">
        <f>Oferta_OptimaRPV!H517</f>
        <v>Conecta Pymes 4D</v>
      </c>
      <c r="I349" s="2511"/>
      <c r="J349" s="2512"/>
      <c r="K349" s="2513">
        <f>Oferta_OptimaRPV!K517</f>
        <v>0.1</v>
      </c>
      <c r="L349" s="2513"/>
      <c r="M349" s="2515">
        <f>Oferta_OptimaRPV!M517</f>
        <v>80</v>
      </c>
      <c r="N349" s="2516"/>
      <c r="O349" s="2516"/>
      <c r="P349" s="681"/>
      <c r="Q349" s="681"/>
      <c r="R349" s="681"/>
      <c r="S349" s="681"/>
      <c r="T349" s="681"/>
      <c r="U349" s="679"/>
    </row>
    <row r="350" spans="1:21" ht="17.100000000000001" customHeight="1">
      <c r="A350" s="441"/>
      <c r="B350" s="680"/>
      <c r="C350" s="681"/>
      <c r="D350" s="681"/>
      <c r="E350" s="681"/>
      <c r="F350" s="681"/>
      <c r="G350" s="681"/>
      <c r="H350" s="2510" t="str">
        <f>Oferta_OptimaRPV!H518</f>
        <v>Conecta Pymes 6D</v>
      </c>
      <c r="I350" s="2511"/>
      <c r="J350" s="2512"/>
      <c r="K350" s="2513">
        <f>Oferta_OptimaRPV!K518</f>
        <v>0.1</v>
      </c>
      <c r="L350" s="2513"/>
      <c r="M350" s="2515">
        <f>Oferta_OptimaRPV!M518</f>
        <v>80</v>
      </c>
      <c r="N350" s="2516"/>
      <c r="O350" s="2516"/>
      <c r="P350" s="681"/>
      <c r="Q350" s="681"/>
      <c r="R350" s="681"/>
      <c r="S350" s="681"/>
      <c r="T350" s="681"/>
      <c r="U350" s="679"/>
    </row>
    <row r="351" spans="1:21" ht="17.100000000000001" customHeight="1">
      <c r="A351" s="441"/>
      <c r="B351" s="680"/>
      <c r="C351" s="681"/>
      <c r="D351" s="681"/>
      <c r="E351" s="681"/>
      <c r="F351" s="681"/>
      <c r="G351" s="681"/>
      <c r="H351" s="2510" t="str">
        <f>Oferta_OptimaRPV!H519</f>
        <v>Conecta Pymes 8D</v>
      </c>
      <c r="I351" s="2511"/>
      <c r="J351" s="2512"/>
      <c r="K351" s="2513">
        <f>Oferta_OptimaRPV!K519</f>
        <v>0.1</v>
      </c>
      <c r="L351" s="2513"/>
      <c r="M351" s="2515">
        <f>Oferta_OptimaRPV!M519</f>
        <v>80</v>
      </c>
      <c r="N351" s="2516"/>
      <c r="O351" s="2516"/>
      <c r="P351" s="681"/>
      <c r="Q351" s="681"/>
      <c r="R351" s="681"/>
      <c r="S351" s="681"/>
      <c r="T351" s="681"/>
      <c r="U351" s="679"/>
    </row>
    <row r="352" spans="1:21" ht="17.100000000000001" customHeight="1">
      <c r="A352" s="441"/>
      <c r="B352" s="680"/>
      <c r="C352" s="681"/>
      <c r="D352" s="681"/>
      <c r="E352" s="681"/>
      <c r="F352" s="681"/>
      <c r="G352" s="681"/>
      <c r="H352" s="2510" t="str">
        <f>Oferta_OptimaRPV!H520</f>
        <v>Conecta Pymes Centralita</v>
      </c>
      <c r="I352" s="2511"/>
      <c r="J352" s="2512"/>
      <c r="K352" s="2513">
        <f>Oferta_OptimaRPV!K520</f>
        <v>0.1</v>
      </c>
      <c r="L352" s="2513"/>
      <c r="M352" s="2515">
        <f>Oferta_OptimaRPV!M520</f>
        <v>80</v>
      </c>
      <c r="N352" s="2516"/>
      <c r="O352" s="2516"/>
      <c r="P352" s="681"/>
      <c r="Q352" s="681"/>
      <c r="R352" s="681"/>
      <c r="S352" s="681"/>
      <c r="T352" s="681"/>
      <c r="U352" s="679"/>
    </row>
    <row r="353" spans="1:22" ht="17.100000000000001" customHeight="1">
      <c r="B353" s="680"/>
      <c r="C353" s="681"/>
      <c r="D353" s="681"/>
      <c r="E353" s="681"/>
      <c r="F353" s="681"/>
      <c r="G353" s="681"/>
      <c r="H353" s="2510" t="str">
        <f>Oferta_OptimaRPV!H521</f>
        <v>Servicios Avanzados de Fijo ("SAF")</v>
      </c>
      <c r="I353" s="2511"/>
      <c r="J353" s="2512"/>
      <c r="K353" s="2513">
        <f>Oferta_OptimaRPV!K521</f>
        <v>0.1</v>
      </c>
      <c r="L353" s="2513"/>
      <c r="M353" s="2515">
        <f>Oferta_OptimaRPV!M521</f>
        <v>60</v>
      </c>
      <c r="N353" s="2516"/>
      <c r="O353" s="2516"/>
      <c r="P353" s="681"/>
      <c r="Q353" s="681"/>
      <c r="R353" s="681"/>
      <c r="S353" s="681"/>
      <c r="T353" s="681"/>
      <c r="U353" s="679"/>
      <c r="V353" s="522"/>
    </row>
    <row r="354" spans="1:22" ht="17.100000000000001" customHeight="1">
      <c r="B354" s="680"/>
      <c r="C354" s="441"/>
      <c r="D354" s="1810"/>
      <c r="E354" s="1810"/>
      <c r="F354" s="1810"/>
      <c r="G354" s="1810"/>
      <c r="H354" s="2510" t="str">
        <f>Oferta_OptimaRPV!H522</f>
        <v>Servicios digitales</v>
      </c>
      <c r="I354" s="2511"/>
      <c r="J354" s="2512"/>
      <c r="K354" s="2513">
        <f>Oferta_OptimaRPV!K522</f>
        <v>0</v>
      </c>
      <c r="L354" s="2513"/>
      <c r="M354" s="2515" t="str">
        <f>Oferta_OptimaRPV!M522</f>
        <v>NA</v>
      </c>
      <c r="N354" s="2516"/>
      <c r="O354" s="2516"/>
      <c r="P354" s="1810"/>
      <c r="Q354" s="1810"/>
      <c r="R354" s="1810"/>
      <c r="S354" s="1810"/>
      <c r="T354" s="1810"/>
      <c r="U354" s="679"/>
      <c r="V354" s="522"/>
    </row>
    <row r="355" spans="1:22" ht="83.25" customHeight="1">
      <c r="A355" s="522"/>
      <c r="B355" s="2496" t="s">
        <v>1857</v>
      </c>
      <c r="C355" s="2287"/>
      <c r="D355" s="2287"/>
      <c r="E355" s="2287"/>
      <c r="F355" s="2287"/>
      <c r="G355" s="2287"/>
      <c r="H355" s="2287"/>
      <c r="I355" s="2287"/>
      <c r="J355" s="2287"/>
      <c r="K355" s="2287"/>
      <c r="L355" s="2287"/>
      <c r="M355" s="2287"/>
      <c r="N355" s="2287"/>
      <c r="O355" s="2287"/>
      <c r="P355" s="2287"/>
      <c r="Q355" s="2287"/>
      <c r="R355" s="2287"/>
      <c r="S355" s="2287"/>
      <c r="T355" s="2287"/>
      <c r="U355" s="2497"/>
      <c r="V355" s="522"/>
    </row>
    <row r="356" spans="1:22">
      <c r="B356" s="691"/>
      <c r="C356" s="691"/>
      <c r="D356" s="691"/>
      <c r="E356" s="691"/>
      <c r="F356" s="691"/>
      <c r="G356" s="691"/>
      <c r="H356" s="691"/>
      <c r="I356" s="691"/>
      <c r="J356" s="691"/>
      <c r="K356" s="691"/>
      <c r="L356" s="691"/>
      <c r="M356" s="691"/>
      <c r="N356" s="691"/>
      <c r="O356" s="691"/>
      <c r="P356" s="691"/>
      <c r="Q356" s="691"/>
      <c r="R356" s="691"/>
      <c r="S356" s="691"/>
      <c r="T356" s="691"/>
      <c r="U356" s="522"/>
      <c r="V356" s="522"/>
    </row>
    <row r="358" spans="1:22" ht="19.149999999999999" customHeight="1">
      <c r="B358" s="522"/>
      <c r="C358" s="585"/>
      <c r="D358" s="584"/>
      <c r="E358" s="584"/>
      <c r="F358" s="584"/>
      <c r="G358" s="586"/>
      <c r="H358" s="586"/>
      <c r="I358" s="586"/>
      <c r="J358" s="586"/>
      <c r="K358" s="587"/>
      <c r="L358" s="587"/>
      <c r="M358" s="476" t="s">
        <v>1823</v>
      </c>
      <c r="N358" s="587"/>
      <c r="O358" s="587"/>
      <c r="P358" s="587"/>
      <c r="Q358" s="561"/>
      <c r="R358" s="477" t="s">
        <v>692</v>
      </c>
      <c r="S358" s="478" t="str">
        <f>$E$29</f>
        <v>ILF5_90FCOS_B114CAGR43006</v>
      </c>
      <c r="T358" s="441"/>
      <c r="U358" s="588"/>
      <c r="V358" s="441"/>
    </row>
    <row r="359" spans="1:22" ht="19.149999999999999" customHeight="1">
      <c r="B359" s="522"/>
      <c r="C359" s="585"/>
      <c r="D359" s="584"/>
      <c r="E359" s="584"/>
      <c r="F359" s="584"/>
      <c r="G359" s="586"/>
      <c r="H359" s="586"/>
      <c r="I359" s="586"/>
      <c r="J359" s="586"/>
      <c r="K359" s="587"/>
      <c r="L359" s="587"/>
      <c r="M359" s="587"/>
      <c r="N359" s="587"/>
      <c r="O359" s="587"/>
      <c r="P359" s="587"/>
      <c r="Q359" s="561"/>
      <c r="R359" s="561"/>
      <c r="S359" s="441"/>
      <c r="T359" s="441"/>
      <c r="U359" s="588"/>
      <c r="V359" s="441"/>
    </row>
    <row r="360" spans="1:22">
      <c r="A360" s="420"/>
      <c r="B360" s="420"/>
      <c r="C360" s="420"/>
      <c r="D360" s="420"/>
      <c r="E360" s="420"/>
      <c r="F360" s="420"/>
      <c r="G360" s="420"/>
      <c r="H360" s="420"/>
      <c r="I360" s="420"/>
      <c r="K360" s="420"/>
      <c r="L360" s="420"/>
      <c r="M360" s="420"/>
      <c r="N360" s="420"/>
      <c r="O360" s="420"/>
      <c r="P360" s="420"/>
      <c r="Q360" s="420"/>
      <c r="R360" s="420"/>
      <c r="S360" s="420"/>
      <c r="T360" s="420"/>
      <c r="U360" s="420"/>
      <c r="V360" s="420"/>
    </row>
    <row r="361" spans="1:22">
      <c r="A361" s="420"/>
      <c r="B361" s="420"/>
      <c r="C361" s="420"/>
      <c r="D361" s="420"/>
      <c r="E361" s="420"/>
      <c r="F361" s="420"/>
      <c r="G361" s="420"/>
      <c r="H361" s="436" t="s">
        <v>690</v>
      </c>
      <c r="I361" s="420"/>
      <c r="K361" s="420"/>
      <c r="L361" s="437" t="str">
        <f>$B$11</f>
        <v>INMOBILIARIA SERVIGESTION</v>
      </c>
      <c r="M361" s="420"/>
      <c r="N361" s="420"/>
      <c r="P361" s="420"/>
      <c r="Q361" s="420"/>
      <c r="S361" s="420"/>
      <c r="T361" s="420"/>
      <c r="V361" s="437"/>
    </row>
    <row r="362" spans="1:22" ht="34.5">
      <c r="A362" s="420"/>
      <c r="B362" s="2268" t="s">
        <v>461</v>
      </c>
      <c r="C362" s="2268"/>
      <c r="D362" s="2268"/>
      <c r="E362" s="2268"/>
      <c r="F362" s="2268"/>
      <c r="G362" s="2268"/>
      <c r="H362" s="2268"/>
      <c r="I362" s="2268"/>
      <c r="J362" s="2268"/>
      <c r="K362" s="2268"/>
      <c r="L362" s="2268"/>
      <c r="M362" s="2268"/>
      <c r="N362" s="2268"/>
      <c r="O362" s="2268"/>
      <c r="P362" s="2268"/>
      <c r="Q362" s="2268"/>
      <c r="R362" s="2268"/>
      <c r="S362" s="2268"/>
      <c r="T362" s="2268"/>
      <c r="U362" s="2268"/>
      <c r="V362" s="420"/>
    </row>
    <row r="363" spans="1:22" ht="22.9" customHeight="1">
      <c r="A363" s="420"/>
      <c r="B363" s="2269" t="s">
        <v>808</v>
      </c>
      <c r="C363" s="2269"/>
      <c r="D363" s="2269"/>
      <c r="E363" s="2269"/>
      <c r="F363" s="2269"/>
      <c r="G363" s="2269"/>
      <c r="H363" s="2269"/>
      <c r="I363" s="2269"/>
      <c r="J363" s="2269"/>
      <c r="K363" s="2269"/>
      <c r="L363" s="2269"/>
      <c r="M363" s="2269"/>
      <c r="N363" s="2269"/>
      <c r="O363" s="2269"/>
      <c r="P363" s="2269"/>
      <c r="Q363" s="2269"/>
      <c r="R363" s="2269"/>
      <c r="S363" s="2269"/>
      <c r="T363" s="2269"/>
      <c r="U363" s="2269"/>
      <c r="V363" s="420"/>
    </row>
    <row r="364" spans="1:22" ht="21" customHeight="1">
      <c r="A364" s="420"/>
      <c r="B364" s="2251" t="s">
        <v>711</v>
      </c>
      <c r="C364" s="2251"/>
      <c r="D364" s="2251"/>
      <c r="E364" s="2251"/>
      <c r="F364" s="2251"/>
      <c r="G364" s="2251"/>
      <c r="H364" s="2251"/>
      <c r="I364" s="2251"/>
      <c r="J364" s="2251"/>
      <c r="K364" s="2251"/>
      <c r="L364" s="2251"/>
      <c r="M364" s="2251"/>
      <c r="N364" s="2251"/>
      <c r="O364" s="2251"/>
      <c r="P364" s="2251"/>
      <c r="Q364" s="2251"/>
      <c r="R364" s="2251"/>
      <c r="S364" s="2251"/>
      <c r="T364" s="2251"/>
      <c r="U364" s="2251"/>
      <c r="V364" s="420"/>
    </row>
    <row r="365" spans="1:22" ht="23.25">
      <c r="A365" s="420"/>
      <c r="B365" s="2279" t="s">
        <v>712</v>
      </c>
      <c r="C365" s="2279"/>
      <c r="D365" s="2279"/>
      <c r="E365" s="2279"/>
      <c r="F365" s="2279"/>
      <c r="G365" s="2279"/>
      <c r="H365" s="2279"/>
      <c r="I365" s="2279"/>
      <c r="J365" s="2279"/>
      <c r="K365" s="2279"/>
      <c r="L365" s="2279"/>
      <c r="M365" s="2279"/>
      <c r="N365" s="2279"/>
      <c r="O365" s="2279"/>
      <c r="P365" s="2279"/>
      <c r="Q365" s="2279"/>
      <c r="R365" s="2279"/>
      <c r="S365" s="2279"/>
      <c r="T365" s="2279"/>
      <c r="U365" s="2279"/>
      <c r="V365" s="420"/>
    </row>
    <row r="366" spans="1:22" ht="7.15" customHeight="1">
      <c r="A366" s="429"/>
      <c r="V366" s="429"/>
    </row>
    <row r="367" spans="1:22" ht="72.75" customHeight="1">
      <c r="A367" s="441"/>
      <c r="B367" s="2253" t="s">
        <v>462</v>
      </c>
      <c r="C367" s="2254"/>
      <c r="D367" s="758" t="s">
        <v>463</v>
      </c>
      <c r="E367" s="758" t="s">
        <v>464</v>
      </c>
      <c r="F367" s="758" t="s">
        <v>468</v>
      </c>
      <c r="G367" s="758" t="s">
        <v>465</v>
      </c>
      <c r="H367" s="758" t="s">
        <v>693</v>
      </c>
      <c r="I367" s="2255" t="s">
        <v>763</v>
      </c>
      <c r="J367" s="2256"/>
      <c r="K367" s="758" t="s">
        <v>339</v>
      </c>
      <c r="L367" s="758" t="s">
        <v>444</v>
      </c>
      <c r="M367" s="758" t="s">
        <v>651</v>
      </c>
      <c r="N367" s="758" t="s">
        <v>51</v>
      </c>
      <c r="O367" s="758" t="s">
        <v>694</v>
      </c>
      <c r="P367" s="758" t="s">
        <v>714</v>
      </c>
      <c r="Q367" s="758" t="s">
        <v>807</v>
      </c>
      <c r="R367" s="758" t="s">
        <v>806</v>
      </c>
      <c r="S367" s="758" t="s">
        <v>811</v>
      </c>
      <c r="T367" s="758" t="s">
        <v>715</v>
      </c>
      <c r="U367" s="761" t="s">
        <v>295</v>
      </c>
    </row>
    <row r="368" spans="1:22" ht="48.75" customHeight="1">
      <c r="B368" s="2257" t="str">
        <f>IF(Perfiles_usuario!B39=0,"",Perfiles_usuario!B39)</f>
        <v>LINEA JEFE</v>
      </c>
      <c r="C368" s="2258"/>
      <c r="D368" s="770">
        <f>IF(Perfiles_usuario!D39=0,"",Perfiles_usuario!D39)</f>
        <v>1</v>
      </c>
      <c r="E368" s="770">
        <f>IF(Perfiles_usuario!D39=0,"",Perfiles_usuario!F39)</f>
        <v>1</v>
      </c>
      <c r="F368" s="770" t="str">
        <f>IF(Perfiles_usuario!D39=0,"","incluidas")</f>
        <v>incluidas</v>
      </c>
      <c r="G368" s="770" t="str">
        <f>IF(Perfiles_usuario!D39=0,"","incluidos")</f>
        <v>incluidos</v>
      </c>
      <c r="H368" s="770" t="str">
        <f>IF(B368&lt;&gt;"","No","")</f>
        <v>No</v>
      </c>
      <c r="I368" s="2259" t="str">
        <f>IF(Perfiles_usuario!D39=0,"",Perfiles_usuario!H39)</f>
        <v>Ilimitada+8GB</v>
      </c>
      <c r="J368" s="2259"/>
      <c r="K368" s="770" t="str">
        <f>IF(Perfiles_usuario!J39=0,"",Perfiles_usuario!J39)</f>
        <v/>
      </c>
      <c r="L368" s="770" t="str">
        <f>IF(Perfiles_usuario!D39=0,"",IF(Perfiles_usuario!N39="","No",Perfiles_usuario!N39))</f>
        <v>No</v>
      </c>
      <c r="M368" s="695">
        <f>IF(Perfiles_usuario!D39=0,"",Perfiles_usuario!P39)</f>
        <v>53</v>
      </c>
      <c r="N368" s="695">
        <f>IF(Perfiles_usuario!D39=0,"",Perfiles_usuario!R39)</f>
        <v>53</v>
      </c>
      <c r="O368" s="696">
        <f>IF(Perfiles_usuario!D39=0,"",Perfiles_usuario!V39)</f>
        <v>0</v>
      </c>
      <c r="P368" s="696">
        <f>IF(Perfiles_usuario!$D39=0,"",Perfiles_usuario!X39)</f>
        <v>0.1</v>
      </c>
      <c r="Q368" s="695">
        <f>IF(Perfiles_usuario!$D39=0,"",Perfiles_usuario!Z39)</f>
        <v>47.7</v>
      </c>
      <c r="R368" s="695">
        <f>IF(Perfiles_usuario!$D39=0,"",Perfiles_usuario!AB39)</f>
        <v>47.7</v>
      </c>
      <c r="S368" s="696">
        <f>IF(Perfiles_usuario!$D39=0,"",Perfiles_usuario!AD39)</f>
        <v>0.1</v>
      </c>
      <c r="T368" s="695">
        <f>IF(Perfiles_usuario!D39=0,"",Perfiles_usuario!AF39)</f>
        <v>42.400000000000006</v>
      </c>
      <c r="U368" s="697">
        <f>IF(Perfiles_usuario!D39=0,"",Perfiles_usuario!AH39)</f>
        <v>42.400000000000006</v>
      </c>
      <c r="V368" s="441"/>
    </row>
    <row r="369" spans="2:22" ht="49.9" customHeight="1">
      <c r="B369" s="2272" t="str">
        <f>IF(Perfiles_usuario!B42=0,"",Perfiles_usuario!B42)</f>
        <v>ILIMITADA</v>
      </c>
      <c r="C369" s="2259"/>
      <c r="D369" s="756">
        <f>IF(Perfiles_usuario!D42=0,"",Perfiles_usuario!D42)</f>
        <v>1</v>
      </c>
      <c r="E369" s="756">
        <f>IF(Perfiles_usuario!D42=0,"",Perfiles_usuario!F42)</f>
        <v>1</v>
      </c>
      <c r="F369" s="756" t="str">
        <f>IF(Perfiles_usuario!D42=0,"","incluidas")</f>
        <v>incluidas</v>
      </c>
      <c r="G369" s="756" t="str">
        <f>IF(Perfiles_usuario!D42=0,"","incluidos")</f>
        <v>incluidos</v>
      </c>
      <c r="H369" s="1517" t="str">
        <f t="shared" ref="H369:H382" si="1">IF(B369&lt;&gt;"","No","")</f>
        <v>No</v>
      </c>
      <c r="I369" s="2259" t="str">
        <f>IF(Perfiles_usuario!D42=0,"",Perfiles_usuario!H42)</f>
        <v>Ilimitada+8GB</v>
      </c>
      <c r="J369" s="2259"/>
      <c r="K369" s="756" t="str">
        <f>IF(Perfiles_usuario!J42=0,"",Perfiles_usuario!J42)</f>
        <v/>
      </c>
      <c r="L369" s="756" t="str">
        <f>IF(Perfiles_usuario!D42=0,"",IF(Perfiles_usuario!N42="","No",Perfiles_usuario!N42))</f>
        <v>No</v>
      </c>
      <c r="M369" s="699">
        <f>IF(Perfiles_usuario!D42=0,"",Perfiles_usuario!P42)</f>
        <v>53</v>
      </c>
      <c r="N369" s="699">
        <f>IF(Perfiles_usuario!D42=0,"",Perfiles_usuario!R42)</f>
        <v>53</v>
      </c>
      <c r="O369" s="700">
        <f>IF(Perfiles_usuario!D42=0,"",Perfiles_usuario!V42)</f>
        <v>0</v>
      </c>
      <c r="P369" s="700">
        <f>IF(Perfiles_usuario!D42=0,"",Perfiles_usuario!X42)</f>
        <v>0.1</v>
      </c>
      <c r="Q369" s="699">
        <f>IF(Perfiles_usuario!$D42=0,"",Perfiles_usuario!Z42)</f>
        <v>47.7</v>
      </c>
      <c r="R369" s="699">
        <f>IF(Perfiles_usuario!$D42=0,"",Perfiles_usuario!AB42)</f>
        <v>47.7</v>
      </c>
      <c r="S369" s="700">
        <f>IF(Perfiles_usuario!$D42=0,"",Perfiles_usuario!AD42)</f>
        <v>0.1</v>
      </c>
      <c r="T369" s="699">
        <f>IF(Perfiles_usuario!D42=0,"",Perfiles_usuario!AF42)</f>
        <v>42.400000000000006</v>
      </c>
      <c r="U369" s="701">
        <f>IF(Perfiles_usuario!D42=0,"",Perfiles_usuario!AH42)</f>
        <v>42.400000000000006</v>
      </c>
      <c r="V369" s="441"/>
    </row>
    <row r="370" spans="2:22" ht="49.9" customHeight="1">
      <c r="B370" s="2272" t="str">
        <f>IF(Perfiles_usuario!B45=0,"",Perfiles_usuario!B45)</f>
        <v>ILIMITADA</v>
      </c>
      <c r="C370" s="2259"/>
      <c r="D370" s="756">
        <f>IF(Perfiles_usuario!D45=0,"",Perfiles_usuario!D45)</f>
        <v>1</v>
      </c>
      <c r="E370" s="756">
        <f>IF(Perfiles_usuario!D45=0,"",Perfiles_usuario!F45)</f>
        <v>1</v>
      </c>
      <c r="F370" s="756" t="str">
        <f>IF(Perfiles_usuario!D45=0,"","incluidas")</f>
        <v>incluidas</v>
      </c>
      <c r="G370" s="756" t="str">
        <f>IF(Perfiles_usuario!D45=0,"","incluidos")</f>
        <v>incluidos</v>
      </c>
      <c r="H370" s="1517" t="str">
        <f t="shared" si="1"/>
        <v>No</v>
      </c>
      <c r="I370" s="2259" t="str">
        <f>IF(Perfiles_usuario!D45=0,"",Perfiles_usuario!H45)</f>
        <v>Ilimitada+8GB</v>
      </c>
      <c r="J370" s="2259"/>
      <c r="K370" s="756" t="str">
        <f>IF(Perfiles_usuario!J45=0,"",Perfiles_usuario!J45)</f>
        <v/>
      </c>
      <c r="L370" s="756" t="str">
        <f>IF(Perfiles_usuario!D45=0,"",IF(Perfiles_usuario!N45="","No",Perfiles_usuario!N45))</f>
        <v>No</v>
      </c>
      <c r="M370" s="699">
        <f>IF(Perfiles_usuario!D45=0,"",Perfiles_usuario!P45)</f>
        <v>53</v>
      </c>
      <c r="N370" s="699">
        <f>IF(Perfiles_usuario!D45=0,"",Perfiles_usuario!R45)</f>
        <v>53</v>
      </c>
      <c r="O370" s="700">
        <f>IF(Perfiles_usuario!D45=0,"",Perfiles_usuario!V45)</f>
        <v>0</v>
      </c>
      <c r="P370" s="700">
        <f>IF(Perfiles_usuario!D45=0,"",Perfiles_usuario!X45)</f>
        <v>0.1</v>
      </c>
      <c r="Q370" s="699">
        <f>IF(Perfiles_usuario!$D45=0,"",Perfiles_usuario!Z45)</f>
        <v>47.7</v>
      </c>
      <c r="R370" s="699">
        <f>IF(Perfiles_usuario!$D45=0,"",Perfiles_usuario!AB45)</f>
        <v>47.7</v>
      </c>
      <c r="S370" s="700">
        <f>IF(Perfiles_usuario!$D45=0,"",Perfiles_usuario!AD45)</f>
        <v>0.1</v>
      </c>
      <c r="T370" s="699">
        <f>IF(Perfiles_usuario!D45=0,"",Perfiles_usuario!AF45)</f>
        <v>42.400000000000006</v>
      </c>
      <c r="U370" s="701">
        <f>IF(Perfiles_usuario!D45=0,"",Perfiles_usuario!AH45)</f>
        <v>42.400000000000006</v>
      </c>
    </row>
    <row r="371" spans="2:22" ht="49.9" customHeight="1">
      <c r="B371" s="2272" t="str">
        <f>IF(Perfiles_usuario!B48=0,"",Perfiles_usuario!B48)</f>
        <v>ILIMITADA CV</v>
      </c>
      <c r="C371" s="2259"/>
      <c r="D371" s="756">
        <f>IF(Perfiles_usuario!D48=0,"",Perfiles_usuario!D48)</f>
        <v>1</v>
      </c>
      <c r="E371" s="756">
        <f>IF(Perfiles_usuario!D48=0,"",Perfiles_usuario!F48)</f>
        <v>0</v>
      </c>
      <c r="F371" s="756" t="str">
        <f>IF(Perfiles_usuario!D48=0,"","incluidas")</f>
        <v>incluidas</v>
      </c>
      <c r="G371" s="756" t="str">
        <f>IF(Perfiles_usuario!D48=0,"","incluidos")</f>
        <v>incluidos</v>
      </c>
      <c r="H371" s="1517" t="str">
        <f t="shared" si="1"/>
        <v>No</v>
      </c>
      <c r="I371" s="2259" t="str">
        <f>IF(Perfiles_usuario!D48=0,"",Perfiles_usuario!H48)</f>
        <v>Ilimitada+1GB</v>
      </c>
      <c r="J371" s="2259"/>
      <c r="K371" s="756" t="str">
        <f>IF(Perfiles_usuario!J48=0,"",Perfiles_usuario!J48)</f>
        <v>Agente Centralita Virtual</v>
      </c>
      <c r="L371" s="756" t="str">
        <f>IF(Perfiles_usuario!D48=0,"",IF(Perfiles_usuario!N48="","No",Perfiles_usuario!N48))</f>
        <v>No</v>
      </c>
      <c r="M371" s="699">
        <f>IF(Perfiles_usuario!D48=0,"",Perfiles_usuario!P48)</f>
        <v>29</v>
      </c>
      <c r="N371" s="699">
        <f>IF(Perfiles_usuario!D48=0,"",Perfiles_usuario!R48)</f>
        <v>29</v>
      </c>
      <c r="O371" s="700">
        <f>IF(Perfiles_usuario!D48=0,"",Perfiles_usuario!V48)</f>
        <v>0</v>
      </c>
      <c r="P371" s="700">
        <f>IF(Perfiles_usuario!D48=0,"",Perfiles_usuario!X48)</f>
        <v>0.1</v>
      </c>
      <c r="Q371" s="699">
        <f>IF(Perfiles_usuario!$D48=0,"",Perfiles_usuario!Z48)</f>
        <v>26.1</v>
      </c>
      <c r="R371" s="699">
        <f>IF(Perfiles_usuario!$D48=0,"",Perfiles_usuario!AB48)</f>
        <v>26.1</v>
      </c>
      <c r="S371" s="700">
        <f>IF(Perfiles_usuario!$D48=0,"",Perfiles_usuario!AD48)</f>
        <v>0.1</v>
      </c>
      <c r="T371" s="699">
        <f>IF(Perfiles_usuario!D48=0,"",Perfiles_usuario!AF48)</f>
        <v>23.200000000000003</v>
      </c>
      <c r="U371" s="701">
        <f>IF(Perfiles_usuario!D48=0,"",Perfiles_usuario!AH48)</f>
        <v>23.200000000000003</v>
      </c>
      <c r="V371" s="441"/>
    </row>
    <row r="372" spans="2:22" ht="49.9" customHeight="1">
      <c r="B372" s="2272" t="str">
        <f>IF(Perfiles_usuario!B51=0,"",Perfiles_usuario!B51)</f>
        <v>1 NUEVA</v>
      </c>
      <c r="C372" s="2259"/>
      <c r="D372" s="756">
        <f>IF(Perfiles_usuario!D51=0,"",Perfiles_usuario!D51)</f>
        <v>1</v>
      </c>
      <c r="E372" s="756">
        <f>IF(Perfiles_usuario!D51=0,"",Perfiles_usuario!F51)</f>
        <v>0</v>
      </c>
      <c r="F372" s="756" t="str">
        <f>IF(Perfiles_usuario!D51=0,"","incluidas")</f>
        <v>incluidas</v>
      </c>
      <c r="G372" s="756" t="str">
        <f>IF(Perfiles_usuario!D51=0,"","incluidos")</f>
        <v>incluidos</v>
      </c>
      <c r="H372" s="1517" t="str">
        <f t="shared" si="1"/>
        <v>No</v>
      </c>
      <c r="I372" s="2259" t="str">
        <f>IF(Perfiles_usuario!D51=0,"",Perfiles_usuario!H51)</f>
        <v>Sin tarifa plana (0-50 min)</v>
      </c>
      <c r="J372" s="2259"/>
      <c r="K372" s="756" t="str">
        <f>IF(Perfiles_usuario!J51=0,"",Perfiles_usuario!J51)</f>
        <v/>
      </c>
      <c r="L372" s="756" t="str">
        <f>IF(Perfiles_usuario!D51=0,"",IF(Perfiles_usuario!N51="","No",Perfiles_usuario!N51))</f>
        <v>No</v>
      </c>
      <c r="M372" s="699">
        <f>IF(Perfiles_usuario!D51=0,"",Perfiles_usuario!P51)</f>
        <v>6</v>
      </c>
      <c r="N372" s="699">
        <f>IF(Perfiles_usuario!D51=0,"",Perfiles_usuario!R51)</f>
        <v>6</v>
      </c>
      <c r="O372" s="700">
        <f>IF(Perfiles_usuario!D51=0,"",Perfiles_usuario!V51)</f>
        <v>0</v>
      </c>
      <c r="P372" s="700">
        <f>IF(Perfiles_usuario!D51=0,"",Perfiles_usuario!X51)</f>
        <v>0.1</v>
      </c>
      <c r="Q372" s="699">
        <f>IF(Perfiles_usuario!$D51=0,"",Perfiles_usuario!Z51)</f>
        <v>5.4</v>
      </c>
      <c r="R372" s="699">
        <f>IF(Perfiles_usuario!$D51=0,"",Perfiles_usuario!AB51)</f>
        <v>5.4</v>
      </c>
      <c r="S372" s="700">
        <f>IF(Perfiles_usuario!$D51=0,"",Perfiles_usuario!AD51)</f>
        <v>0.1</v>
      </c>
      <c r="T372" s="699">
        <f>IF(Perfiles_usuario!D51=0,"",Perfiles_usuario!AF51)</f>
        <v>4.8000000000000007</v>
      </c>
      <c r="U372" s="701">
        <f>IF(Perfiles_usuario!D51=0,"",Perfiles_usuario!AH51)</f>
        <v>4.8000000000000007</v>
      </c>
    </row>
    <row r="373" spans="2:22" ht="49.9" customHeight="1">
      <c r="B373" s="2272" t="str">
        <f>IF(Perfiles_usuario!B54=0,"",Perfiles_usuario!B54)</f>
        <v/>
      </c>
      <c r="C373" s="2259"/>
      <c r="D373" s="756" t="str">
        <f>IF(Perfiles_usuario!D54=0,"",Perfiles_usuario!D54)</f>
        <v/>
      </c>
      <c r="E373" s="756" t="str">
        <f>IF(Perfiles_usuario!D54=0,"",Perfiles_usuario!F54)</f>
        <v/>
      </c>
      <c r="F373" s="756" t="str">
        <f>IF(Perfiles_usuario!D54=0,"","incluidas")</f>
        <v/>
      </c>
      <c r="G373" s="756" t="str">
        <f>IF(Perfiles_usuario!D54=0,"","incluidos")</f>
        <v/>
      </c>
      <c r="H373" s="1517" t="str">
        <f t="shared" si="1"/>
        <v/>
      </c>
      <c r="I373" s="2259" t="str">
        <f>IF(Perfiles_usuario!D54=0,"",Perfiles_usuario!H54)</f>
        <v/>
      </c>
      <c r="J373" s="2259"/>
      <c r="K373" s="756" t="str">
        <f>IF(Perfiles_usuario!J54=0,"",Perfiles_usuario!J54)</f>
        <v/>
      </c>
      <c r="L373" s="756" t="str">
        <f>IF(Perfiles_usuario!D54=0,"",IF(Perfiles_usuario!N54="","No",Perfiles_usuario!N54))</f>
        <v/>
      </c>
      <c r="M373" s="699" t="str">
        <f>IF(Perfiles_usuario!D54=0,"",Perfiles_usuario!P54)</f>
        <v/>
      </c>
      <c r="N373" s="699" t="str">
        <f>IF(Perfiles_usuario!D54=0,"",Perfiles_usuario!R54)</f>
        <v/>
      </c>
      <c r="O373" s="700" t="str">
        <f>IF(Perfiles_usuario!D54=0,"",Perfiles_usuario!V54)</f>
        <v/>
      </c>
      <c r="P373" s="700" t="str">
        <f>IF(Perfiles_usuario!D54=0,"",Perfiles_usuario!X54)</f>
        <v/>
      </c>
      <c r="Q373" s="699" t="str">
        <f>IF(Perfiles_usuario!$D54=0,"",Perfiles_usuario!Z54)</f>
        <v/>
      </c>
      <c r="R373" s="699" t="str">
        <f>IF(Perfiles_usuario!$D54=0,"",Perfiles_usuario!AB54)</f>
        <v/>
      </c>
      <c r="S373" s="700" t="str">
        <f>IF(Perfiles_usuario!$D54=0,"",Perfiles_usuario!AD54)</f>
        <v/>
      </c>
      <c r="T373" s="699" t="str">
        <f>IF(Perfiles_usuario!D54=0,"",Perfiles_usuario!AF54)</f>
        <v/>
      </c>
      <c r="U373" s="701" t="str">
        <f>IF(Perfiles_usuario!D54=0,"",Perfiles_usuario!AH54)</f>
        <v/>
      </c>
    </row>
    <row r="374" spans="2:22" ht="49.9" customHeight="1">
      <c r="B374" s="2272" t="str">
        <f>IF(Perfiles_usuario!B57=0,"",Perfiles_usuario!B57)</f>
        <v/>
      </c>
      <c r="C374" s="2259"/>
      <c r="D374" s="756" t="str">
        <f>IF(Perfiles_usuario!D57=0,"",Perfiles_usuario!D57)</f>
        <v/>
      </c>
      <c r="E374" s="756" t="str">
        <f>IF(Perfiles_usuario!D57=0,"",Perfiles_usuario!F57)</f>
        <v/>
      </c>
      <c r="F374" s="756" t="str">
        <f>IF(Perfiles_usuario!D57=0,"","incluidas")</f>
        <v/>
      </c>
      <c r="G374" s="756" t="str">
        <f>IF(Perfiles_usuario!D57=0,"","incluidos")</f>
        <v/>
      </c>
      <c r="H374" s="1517" t="str">
        <f t="shared" si="1"/>
        <v/>
      </c>
      <c r="I374" s="2259" t="str">
        <f>IF(Perfiles_usuario!D57=0,"",Perfiles_usuario!H57)</f>
        <v/>
      </c>
      <c r="J374" s="2259"/>
      <c r="K374" s="756" t="str">
        <f>IF(Perfiles_usuario!J57=0,"",Perfiles_usuario!J57)</f>
        <v/>
      </c>
      <c r="L374" s="756" t="str">
        <f>IF(Perfiles_usuario!D57=0,"",IF(Perfiles_usuario!N57="","No",Perfiles_usuario!N57))</f>
        <v/>
      </c>
      <c r="M374" s="699" t="str">
        <f>IF(Perfiles_usuario!D57=0,"",Perfiles_usuario!P57)</f>
        <v/>
      </c>
      <c r="N374" s="699" t="str">
        <f>IF(Perfiles_usuario!D57=0,"",Perfiles_usuario!R57)</f>
        <v/>
      </c>
      <c r="O374" s="700" t="str">
        <f>IF(Perfiles_usuario!D57=0,"",Perfiles_usuario!V57)</f>
        <v/>
      </c>
      <c r="P374" s="700" t="str">
        <f>IF(Perfiles_usuario!D57=0,"",Perfiles_usuario!X57)</f>
        <v/>
      </c>
      <c r="Q374" s="699" t="str">
        <f>IF(Perfiles_usuario!$D57=0,"",Perfiles_usuario!Z57)</f>
        <v/>
      </c>
      <c r="R374" s="699" t="str">
        <f>IF(Perfiles_usuario!$D57=0,"",Perfiles_usuario!AB57)</f>
        <v/>
      </c>
      <c r="S374" s="700" t="str">
        <f>IF(Perfiles_usuario!$D57=0,"",Perfiles_usuario!AD57)</f>
        <v/>
      </c>
      <c r="T374" s="699" t="str">
        <f>IF(Perfiles_usuario!D57=0,"",Perfiles_usuario!AF57)</f>
        <v/>
      </c>
      <c r="U374" s="701" t="str">
        <f>IF(Perfiles_usuario!D57=0,"",Perfiles_usuario!AH57)</f>
        <v/>
      </c>
      <c r="V374" s="441"/>
    </row>
    <row r="375" spans="2:22" ht="49.9" customHeight="1">
      <c r="B375" s="2272" t="str">
        <f>IF(Perfiles_usuario!B60=0,"",Perfiles_usuario!B60)</f>
        <v/>
      </c>
      <c r="C375" s="2259"/>
      <c r="D375" s="756" t="str">
        <f>IF(Perfiles_usuario!D60=0,"",Perfiles_usuario!D60)</f>
        <v/>
      </c>
      <c r="E375" s="756" t="str">
        <f>IF(Perfiles_usuario!D60=0,"",Perfiles_usuario!F60)</f>
        <v/>
      </c>
      <c r="F375" s="756" t="str">
        <f>IF(Perfiles_usuario!D60=0,"","incluidas")</f>
        <v/>
      </c>
      <c r="G375" s="756" t="str">
        <f>IF(Perfiles_usuario!D60=0,"","incluidos")</f>
        <v/>
      </c>
      <c r="H375" s="1517" t="str">
        <f t="shared" si="1"/>
        <v/>
      </c>
      <c r="I375" s="2259" t="str">
        <f>IF(Perfiles_usuario!D60=0,"",Perfiles_usuario!H60)</f>
        <v/>
      </c>
      <c r="J375" s="2259"/>
      <c r="K375" s="756" t="str">
        <f>IF(Perfiles_usuario!J60=0,"",Perfiles_usuario!J60)</f>
        <v/>
      </c>
      <c r="L375" s="756" t="str">
        <f>IF(Perfiles_usuario!D60=0,"",IF(Perfiles_usuario!N60="","No",Perfiles_usuario!N60))</f>
        <v/>
      </c>
      <c r="M375" s="699" t="str">
        <f>IF(Perfiles_usuario!D60=0,"",Perfiles_usuario!P60)</f>
        <v/>
      </c>
      <c r="N375" s="699" t="str">
        <f>IF(Perfiles_usuario!D60=0,"",Perfiles_usuario!R60)</f>
        <v/>
      </c>
      <c r="O375" s="700" t="str">
        <f>IF(Perfiles_usuario!D60=0,"",Perfiles_usuario!V60)</f>
        <v/>
      </c>
      <c r="P375" s="700" t="str">
        <f>IF(Perfiles_usuario!D60=0,"",Perfiles_usuario!X60)</f>
        <v/>
      </c>
      <c r="Q375" s="699" t="str">
        <f>IF(Perfiles_usuario!$D60=0,"",Perfiles_usuario!Z60)</f>
        <v/>
      </c>
      <c r="R375" s="699" t="str">
        <f>IF(Perfiles_usuario!$D60=0,"",Perfiles_usuario!AB60)</f>
        <v/>
      </c>
      <c r="S375" s="700" t="str">
        <f>IF(Perfiles_usuario!$D60=0,"",Perfiles_usuario!AD60)</f>
        <v/>
      </c>
      <c r="T375" s="699" t="str">
        <f>IF(Perfiles_usuario!D60=0,"",Perfiles_usuario!AF60)</f>
        <v/>
      </c>
      <c r="U375" s="701" t="str">
        <f>IF(Perfiles_usuario!D60=0,"",Perfiles_usuario!AH60)</f>
        <v/>
      </c>
      <c r="V375" s="441"/>
    </row>
    <row r="376" spans="2:22" ht="49.9" customHeight="1">
      <c r="B376" s="2272" t="str">
        <f>IF(Perfiles_usuario!B63=0,"",Perfiles_usuario!B63)</f>
        <v/>
      </c>
      <c r="C376" s="2259"/>
      <c r="D376" s="756" t="str">
        <f>IF(Perfiles_usuario!D63=0,"",Perfiles_usuario!D63)</f>
        <v/>
      </c>
      <c r="E376" s="756" t="str">
        <f>IF(Perfiles_usuario!D63=0,"",Perfiles_usuario!F63)</f>
        <v/>
      </c>
      <c r="F376" s="756" t="str">
        <f>IF(Perfiles_usuario!D63=0,"","incluidas")</f>
        <v/>
      </c>
      <c r="G376" s="756" t="str">
        <f>IF(Perfiles_usuario!D63=0,"","incluidos")</f>
        <v/>
      </c>
      <c r="H376" s="1517" t="str">
        <f t="shared" si="1"/>
        <v/>
      </c>
      <c r="I376" s="2259" t="str">
        <f>IF(Perfiles_usuario!D63=0,"",Perfiles_usuario!H63)</f>
        <v/>
      </c>
      <c r="J376" s="2259"/>
      <c r="K376" s="756" t="str">
        <f>IF(Perfiles_usuario!J63=0,"",Perfiles_usuario!J63)</f>
        <v/>
      </c>
      <c r="L376" s="756" t="str">
        <f>IF(Perfiles_usuario!D63=0,"",IF(Perfiles_usuario!N63="","No",Perfiles_usuario!N63))</f>
        <v/>
      </c>
      <c r="M376" s="699" t="str">
        <f>IF(Perfiles_usuario!D63=0,"",Perfiles_usuario!P63)</f>
        <v/>
      </c>
      <c r="N376" s="699" t="str">
        <f>IF(Perfiles_usuario!D63=0,"",Perfiles_usuario!R63)</f>
        <v/>
      </c>
      <c r="O376" s="700" t="str">
        <f>IF(Perfiles_usuario!D63=0,"",Perfiles_usuario!V63)</f>
        <v/>
      </c>
      <c r="P376" s="700" t="str">
        <f>IF(Perfiles_usuario!D63=0,"",Perfiles_usuario!X63)</f>
        <v/>
      </c>
      <c r="Q376" s="699" t="str">
        <f>IF(Perfiles_usuario!$D63=0,"",Perfiles_usuario!Z63)</f>
        <v/>
      </c>
      <c r="R376" s="699" t="str">
        <f>IF(Perfiles_usuario!$D63=0,"",Perfiles_usuario!AB63)</f>
        <v/>
      </c>
      <c r="S376" s="700" t="str">
        <f>IF(Perfiles_usuario!$D63=0,"",Perfiles_usuario!AD63)</f>
        <v/>
      </c>
      <c r="T376" s="699" t="str">
        <f>IF(Perfiles_usuario!D63=0,"",Perfiles_usuario!AF63)</f>
        <v/>
      </c>
      <c r="U376" s="701" t="str">
        <f>IF(Perfiles_usuario!D63=0,"",Perfiles_usuario!AH63)</f>
        <v/>
      </c>
      <c r="V376" s="441"/>
    </row>
    <row r="377" spans="2:22" ht="49.9" customHeight="1">
      <c r="B377" s="2272" t="str">
        <f>IF(Perfiles_usuario!B66=0,"",Perfiles_usuario!B66)</f>
        <v/>
      </c>
      <c r="C377" s="2259"/>
      <c r="D377" s="756" t="str">
        <f>IF(Perfiles_usuario!D66=0,"",Perfiles_usuario!D66)</f>
        <v/>
      </c>
      <c r="E377" s="756" t="str">
        <f>IF(Perfiles_usuario!D66=0,"",Perfiles_usuario!F66)</f>
        <v/>
      </c>
      <c r="F377" s="756" t="str">
        <f>IF(Perfiles_usuario!D66=0,"","incluidas")</f>
        <v/>
      </c>
      <c r="G377" s="756" t="str">
        <f>IF(Perfiles_usuario!D66=0,"","incluidos")</f>
        <v/>
      </c>
      <c r="H377" s="1517" t="str">
        <f t="shared" si="1"/>
        <v/>
      </c>
      <c r="I377" s="2259" t="str">
        <f>IF(Perfiles_usuario!D66=0,"",Perfiles_usuario!H66)</f>
        <v/>
      </c>
      <c r="J377" s="2259"/>
      <c r="K377" s="756" t="str">
        <f>IF(Perfiles_usuario!J66=0,"",Perfiles_usuario!J66)</f>
        <v/>
      </c>
      <c r="L377" s="756" t="str">
        <f>IF(Perfiles_usuario!D66=0,"",IF(Perfiles_usuario!N66="","No",Perfiles_usuario!N66))</f>
        <v/>
      </c>
      <c r="M377" s="699" t="str">
        <f>IF(Perfiles_usuario!D66=0,"",Perfiles_usuario!P66)</f>
        <v/>
      </c>
      <c r="N377" s="699" t="str">
        <f>IF(Perfiles_usuario!D66=0,"",Perfiles_usuario!R66)</f>
        <v/>
      </c>
      <c r="O377" s="700" t="str">
        <f>IF(Perfiles_usuario!D66=0,"",Perfiles_usuario!V66)</f>
        <v/>
      </c>
      <c r="P377" s="700" t="str">
        <f>IF(Perfiles_usuario!D66=0,"",Perfiles_usuario!X66)</f>
        <v/>
      </c>
      <c r="Q377" s="699" t="str">
        <f>IF(Perfiles_usuario!$D66=0,"",Perfiles_usuario!Z66)</f>
        <v/>
      </c>
      <c r="R377" s="699" t="str">
        <f>IF(Perfiles_usuario!$D66=0,"",Perfiles_usuario!AB66)</f>
        <v/>
      </c>
      <c r="S377" s="700" t="str">
        <f>IF(Perfiles_usuario!$D66=0,"",Perfiles_usuario!AD66)</f>
        <v/>
      </c>
      <c r="T377" s="699" t="str">
        <f>IF(Perfiles_usuario!D66=0,"",Perfiles_usuario!AF66)</f>
        <v/>
      </c>
      <c r="U377" s="701" t="str">
        <f>IF(Perfiles_usuario!D66=0,"",Perfiles_usuario!AH66)</f>
        <v/>
      </c>
      <c r="V377" s="441"/>
    </row>
    <row r="378" spans="2:22" ht="49.9" customHeight="1">
      <c r="B378" s="2272" t="str">
        <f>IF(Perfiles_usuario!B68=0,"",Perfiles_usuario!B68)</f>
        <v/>
      </c>
      <c r="C378" s="2259"/>
      <c r="D378" s="756" t="str">
        <f>IF(Perfiles_usuario!D68=0,"",Perfiles_usuario!D68)</f>
        <v/>
      </c>
      <c r="E378" s="756" t="str">
        <f>IF(Perfiles_usuario!D68=0,"",Perfiles_usuario!F68)</f>
        <v/>
      </c>
      <c r="F378" s="756" t="str">
        <f>IF(Perfiles_usuario!D68=0,"","incluidas")</f>
        <v/>
      </c>
      <c r="G378" s="756" t="str">
        <f>IF(Perfiles_usuario!D68=0,"","incluidos")</f>
        <v/>
      </c>
      <c r="H378" s="1517" t="str">
        <f t="shared" si="1"/>
        <v/>
      </c>
      <c r="I378" s="2259" t="str">
        <f>IF(Perfiles_usuario!D68=0,"",Perfiles_usuario!H68)</f>
        <v/>
      </c>
      <c r="J378" s="2259"/>
      <c r="K378" s="756" t="str">
        <f>IF(Perfiles_usuario!J68=0,"",Perfiles_usuario!J68)</f>
        <v/>
      </c>
      <c r="L378" s="756" t="str">
        <f>IF(Perfiles_usuario!D68=0,"",IF(Perfiles_usuario!N68="","No",Perfiles_usuario!N68))</f>
        <v/>
      </c>
      <c r="M378" s="699" t="str">
        <f>IF(Perfiles_usuario!D68=0,"",Perfiles_usuario!P68)</f>
        <v/>
      </c>
      <c r="N378" s="699" t="str">
        <f>IF(Perfiles_usuario!D68=0,"",Perfiles_usuario!R68)</f>
        <v/>
      </c>
      <c r="O378" s="700" t="str">
        <f>IF(Perfiles_usuario!D68=0,"",Perfiles_usuario!V68)</f>
        <v/>
      </c>
      <c r="P378" s="700" t="str">
        <f>IF(Perfiles_usuario!D68=0,"",Perfiles_usuario!X68)</f>
        <v/>
      </c>
      <c r="Q378" s="699" t="str">
        <f>IF(Perfiles_usuario!$D68=0,"",Perfiles_usuario!Z68)</f>
        <v/>
      </c>
      <c r="R378" s="699" t="str">
        <f>IF(Perfiles_usuario!$D68=0,"",Perfiles_usuario!AB68)</f>
        <v/>
      </c>
      <c r="S378" s="700" t="str">
        <f>IF(Perfiles_usuario!$D68=0,"",Perfiles_usuario!AD68)</f>
        <v/>
      </c>
      <c r="T378" s="699" t="str">
        <f>IF(Perfiles_usuario!D68=0,"",Perfiles_usuario!AF68)</f>
        <v/>
      </c>
      <c r="U378" s="701" t="str">
        <f>IF(Perfiles_usuario!D68=0,"",Perfiles_usuario!AH68)</f>
        <v/>
      </c>
      <c r="V378" s="441"/>
    </row>
    <row r="379" spans="2:22" ht="49.9" customHeight="1">
      <c r="B379" s="2272" t="str">
        <f>IF(Perfiles_usuario!B70=0,"",Perfiles_usuario!B70)</f>
        <v/>
      </c>
      <c r="C379" s="2259"/>
      <c r="D379" s="756" t="str">
        <f>IF(Perfiles_usuario!D70=0,"",Perfiles_usuario!D70)</f>
        <v/>
      </c>
      <c r="E379" s="756" t="str">
        <f>IF(Perfiles_usuario!D70=0,"",Perfiles_usuario!F70)</f>
        <v/>
      </c>
      <c r="F379" s="756" t="str">
        <f>IF(Perfiles_usuario!D70=0,"","incluidas")</f>
        <v/>
      </c>
      <c r="G379" s="756" t="str">
        <f>IF(Perfiles_usuario!D70=0,"","incluidos")</f>
        <v/>
      </c>
      <c r="H379" s="1517" t="str">
        <f t="shared" si="1"/>
        <v/>
      </c>
      <c r="I379" s="2259" t="str">
        <f>IF(Perfiles_usuario!D70=0,"",Perfiles_usuario!H70)</f>
        <v/>
      </c>
      <c r="J379" s="2259"/>
      <c r="K379" s="756" t="str">
        <f>IF(Perfiles_usuario!J70=0,"",Perfiles_usuario!J70)</f>
        <v/>
      </c>
      <c r="L379" s="756" t="str">
        <f>IF(Perfiles_usuario!D70=0,"",IF(Perfiles_usuario!N70="","No",Perfiles_usuario!N70))</f>
        <v/>
      </c>
      <c r="M379" s="699" t="str">
        <f>IF(Perfiles_usuario!D70=0,"",Perfiles_usuario!P70)</f>
        <v/>
      </c>
      <c r="N379" s="699" t="str">
        <f>IF(Perfiles_usuario!D70=0,"",Perfiles_usuario!R70)</f>
        <v/>
      </c>
      <c r="O379" s="700" t="str">
        <f>IF(Perfiles_usuario!D70=0,"",Perfiles_usuario!V70)</f>
        <v/>
      </c>
      <c r="P379" s="700" t="str">
        <f>IF(Perfiles_usuario!D70=0,"",Perfiles_usuario!X70)</f>
        <v/>
      </c>
      <c r="Q379" s="699" t="str">
        <f>IF(Perfiles_usuario!$D70=0,"",Perfiles_usuario!Z70)</f>
        <v/>
      </c>
      <c r="R379" s="699" t="str">
        <f>IF(Perfiles_usuario!$D70=0,"",Perfiles_usuario!AB70)</f>
        <v/>
      </c>
      <c r="S379" s="700" t="str">
        <f>IF(Perfiles_usuario!$D70=0,"",Perfiles_usuario!AD70)</f>
        <v/>
      </c>
      <c r="T379" s="699" t="str">
        <f>IF(Perfiles_usuario!D70=0,"",Perfiles_usuario!AF70)</f>
        <v/>
      </c>
      <c r="U379" s="701" t="str">
        <f>IF(Perfiles_usuario!D70=0,"",Perfiles_usuario!AH70)</f>
        <v/>
      </c>
      <c r="V379" s="441"/>
    </row>
    <row r="380" spans="2:22" ht="49.9" customHeight="1">
      <c r="B380" s="2272" t="str">
        <f>IF(Perfiles_usuario!B72=0,"",Perfiles_usuario!B72)</f>
        <v/>
      </c>
      <c r="C380" s="2259"/>
      <c r="D380" s="756" t="str">
        <f>IF(Perfiles_usuario!D72=0,"",Perfiles_usuario!D72)</f>
        <v/>
      </c>
      <c r="E380" s="756" t="str">
        <f>IF(Perfiles_usuario!D72=0,"",Perfiles_usuario!F72)</f>
        <v/>
      </c>
      <c r="F380" s="756" t="str">
        <f>IF(Perfiles_usuario!D72=0,"","incluidas")</f>
        <v/>
      </c>
      <c r="G380" s="756" t="str">
        <f>IF(Perfiles_usuario!D72=0,"","incluidos")</f>
        <v/>
      </c>
      <c r="H380" s="1517" t="str">
        <f t="shared" si="1"/>
        <v/>
      </c>
      <c r="I380" s="2259" t="str">
        <f>IF(Perfiles_usuario!D72=0,"",Perfiles_usuario!H72)</f>
        <v/>
      </c>
      <c r="J380" s="2259"/>
      <c r="K380" s="756" t="str">
        <f>IF(Perfiles_usuario!J72=0,"",Perfiles_usuario!J72)</f>
        <v/>
      </c>
      <c r="L380" s="756" t="str">
        <f>IF(Perfiles_usuario!D72=0,"",IF(Perfiles_usuario!N72="","No",Perfiles_usuario!N72))</f>
        <v/>
      </c>
      <c r="M380" s="699" t="str">
        <f>IF(Perfiles_usuario!D72=0,"",Perfiles_usuario!P72)</f>
        <v/>
      </c>
      <c r="N380" s="699" t="str">
        <f>IF(Perfiles_usuario!D72=0,"",Perfiles_usuario!R72)</f>
        <v/>
      </c>
      <c r="O380" s="700" t="str">
        <f>IF(Perfiles_usuario!D72=0,"",Perfiles_usuario!V72)</f>
        <v/>
      </c>
      <c r="P380" s="700" t="str">
        <f>IF(Perfiles_usuario!D72=0,"",Perfiles_usuario!X72)</f>
        <v/>
      </c>
      <c r="Q380" s="699" t="str">
        <f>IF(Perfiles_usuario!$D72=0,"",Perfiles_usuario!Z72)</f>
        <v/>
      </c>
      <c r="R380" s="699" t="str">
        <f>IF(Perfiles_usuario!$D72=0,"",Perfiles_usuario!AB72)</f>
        <v/>
      </c>
      <c r="S380" s="700" t="str">
        <f>IF(Perfiles_usuario!$D72=0,"",Perfiles_usuario!AD72)</f>
        <v/>
      </c>
      <c r="T380" s="699" t="str">
        <f>IF(Perfiles_usuario!D72=0,"",Perfiles_usuario!AF72)</f>
        <v/>
      </c>
      <c r="U380" s="701" t="str">
        <f>IF(Perfiles_usuario!D72=0,"",Perfiles_usuario!AH72)</f>
        <v/>
      </c>
      <c r="V380" s="441"/>
    </row>
    <row r="381" spans="2:22" ht="49.9" customHeight="1">
      <c r="B381" s="2272" t="str">
        <f>IF(Perfiles_usuario!B74=0,"",Perfiles_usuario!B74)</f>
        <v/>
      </c>
      <c r="C381" s="2259"/>
      <c r="D381" s="756" t="str">
        <f>IF(Perfiles_usuario!D74=0,"",Perfiles_usuario!D74)</f>
        <v/>
      </c>
      <c r="E381" s="756" t="str">
        <f>IF(Perfiles_usuario!D74=0,"",Perfiles_usuario!F74)</f>
        <v/>
      </c>
      <c r="F381" s="756" t="str">
        <f>IF(Perfiles_usuario!D74=0,"","incluidas")</f>
        <v/>
      </c>
      <c r="G381" s="756" t="str">
        <f>IF(Perfiles_usuario!D74=0,"","incluidos")</f>
        <v/>
      </c>
      <c r="H381" s="1517" t="str">
        <f t="shared" si="1"/>
        <v/>
      </c>
      <c r="I381" s="2259" t="str">
        <f>IF(Perfiles_usuario!D74=0,"",Perfiles_usuario!H74)</f>
        <v/>
      </c>
      <c r="J381" s="2259"/>
      <c r="K381" s="756" t="str">
        <f>IF(Perfiles_usuario!J74=0,"",Perfiles_usuario!J74)</f>
        <v/>
      </c>
      <c r="L381" s="756" t="str">
        <f>IF(Perfiles_usuario!D74=0,"",IF(Perfiles_usuario!N74="","No",Perfiles_usuario!N74))</f>
        <v/>
      </c>
      <c r="M381" s="699" t="str">
        <f>IF(Perfiles_usuario!D74=0,"",Perfiles_usuario!P74)</f>
        <v/>
      </c>
      <c r="N381" s="699" t="str">
        <f>IF(Perfiles_usuario!D74=0,"",Perfiles_usuario!R74)</f>
        <v/>
      </c>
      <c r="O381" s="700" t="str">
        <f>IF(Perfiles_usuario!D74=0,"",Perfiles_usuario!V74)</f>
        <v/>
      </c>
      <c r="P381" s="700" t="str">
        <f>IF(Perfiles_usuario!D74=0,"",Perfiles_usuario!X74)</f>
        <v/>
      </c>
      <c r="Q381" s="699" t="str">
        <f>IF(Perfiles_usuario!$D74=0,"",Perfiles_usuario!Z74)</f>
        <v/>
      </c>
      <c r="R381" s="699" t="str">
        <f>IF(Perfiles_usuario!$D74=0,"",Perfiles_usuario!AB74)</f>
        <v/>
      </c>
      <c r="S381" s="700" t="str">
        <f>IF(Perfiles_usuario!$D74=0,"",Perfiles_usuario!AD74)</f>
        <v/>
      </c>
      <c r="T381" s="699" t="str">
        <f>IF(Perfiles_usuario!D74=0,"",Perfiles_usuario!AF74)</f>
        <v/>
      </c>
      <c r="U381" s="701" t="str">
        <f>IF(Perfiles_usuario!D74=0,"",Perfiles_usuario!AH74)</f>
        <v/>
      </c>
      <c r="V381" s="441"/>
    </row>
    <row r="382" spans="2:22" ht="49.9" customHeight="1">
      <c r="B382" s="2272" t="str">
        <f>IF(Perfiles_usuario!B76=0,"",Perfiles_usuario!B76)</f>
        <v/>
      </c>
      <c r="C382" s="2259"/>
      <c r="D382" s="756" t="str">
        <f>IF(Perfiles_usuario!D76=0,"",Perfiles_usuario!D76)</f>
        <v/>
      </c>
      <c r="E382" s="756" t="str">
        <f>IF(Perfiles_usuario!D76=0,"",Perfiles_usuario!F76)</f>
        <v/>
      </c>
      <c r="F382" s="756" t="str">
        <f>IF(Perfiles_usuario!D76=0,"","incluidas")</f>
        <v/>
      </c>
      <c r="G382" s="756" t="str">
        <f>IF(Perfiles_usuario!D76=0,"","incluidos")</f>
        <v/>
      </c>
      <c r="H382" s="1517" t="str">
        <f t="shared" si="1"/>
        <v/>
      </c>
      <c r="I382" s="2259" t="str">
        <f>IF(Perfiles_usuario!D76=0,"",Perfiles_usuario!H76)</f>
        <v/>
      </c>
      <c r="J382" s="2259"/>
      <c r="K382" s="756" t="str">
        <f>IF(Perfiles_usuario!J76=0,"",Perfiles_usuario!J76)</f>
        <v/>
      </c>
      <c r="L382" s="756" t="str">
        <f>IF(Perfiles_usuario!D76=0,"",IF(Perfiles_usuario!N76="","No",Perfiles_usuario!N76))</f>
        <v/>
      </c>
      <c r="M382" s="699" t="str">
        <f>IF(Perfiles_usuario!D76=0,"",Perfiles_usuario!P76)</f>
        <v/>
      </c>
      <c r="N382" s="699" t="str">
        <f>IF(Perfiles_usuario!D76=0,"",Perfiles_usuario!R76)</f>
        <v/>
      </c>
      <c r="O382" s="700" t="str">
        <f>IF(Perfiles_usuario!D76=0,"",Perfiles_usuario!V76)</f>
        <v/>
      </c>
      <c r="P382" s="700" t="str">
        <f>IF(Perfiles_usuario!D76=0,"",Perfiles_usuario!X76)</f>
        <v/>
      </c>
      <c r="Q382" s="699" t="str">
        <f>IF(Perfiles_usuario!$D76=0,"",Perfiles_usuario!Z76)</f>
        <v/>
      </c>
      <c r="R382" s="699" t="str">
        <f>IF(Perfiles_usuario!$D76=0,"",Perfiles_usuario!AB76)</f>
        <v/>
      </c>
      <c r="S382" s="700" t="str">
        <f>IF(Perfiles_usuario!$D76=0,"",Perfiles_usuario!AD76)</f>
        <v/>
      </c>
      <c r="T382" s="699" t="str">
        <f>IF(Perfiles_usuario!D76=0,"",Perfiles_usuario!AF76)</f>
        <v/>
      </c>
      <c r="U382" s="701" t="str">
        <f>IF(Perfiles_usuario!D76=0,"",Perfiles_usuario!AH76)</f>
        <v/>
      </c>
      <c r="V382" s="441"/>
    </row>
    <row r="383" spans="2:22" ht="7.15" customHeight="1"/>
    <row r="384" spans="2:22" ht="35.25" customHeight="1">
      <c r="B384" s="2452" t="s">
        <v>721</v>
      </c>
      <c r="C384" s="2453"/>
      <c r="D384" s="702">
        <f>Perfiles_usuario!D79</f>
        <v>0</v>
      </c>
      <c r="E384" s="703">
        <f>Perfiles_usuario!F79</f>
        <v>0</v>
      </c>
      <c r="I384" s="2307" t="s">
        <v>680</v>
      </c>
      <c r="J384" s="2307"/>
      <c r="K384" s="2307"/>
      <c r="L384" s="2307"/>
      <c r="M384" s="2307"/>
      <c r="N384" s="790">
        <f>Perfiles_usuario!R78</f>
        <v>0</v>
      </c>
      <c r="P384" s="2300" t="s">
        <v>803</v>
      </c>
      <c r="S384" s="2300" t="s">
        <v>812</v>
      </c>
      <c r="U384" s="705"/>
    </row>
    <row r="385" spans="1:22" ht="38.25" customHeight="1">
      <c r="B385" s="2454" t="s">
        <v>722</v>
      </c>
      <c r="C385" s="2455"/>
      <c r="D385" s="702">
        <f>Perfiles_usuario!D81</f>
        <v>3</v>
      </c>
      <c r="E385" s="703">
        <f>Perfiles_usuario!F81</f>
        <v>3</v>
      </c>
      <c r="P385" s="2300"/>
      <c r="Q385" s="706"/>
      <c r="R385" s="705"/>
      <c r="S385" s="2300"/>
      <c r="U385" s="705"/>
    </row>
    <row r="386" spans="1:22" ht="25.9" customHeight="1">
      <c r="F386" s="561"/>
      <c r="G386" s="561"/>
      <c r="H386" s="561"/>
      <c r="I386" s="2299"/>
      <c r="J386" s="2299"/>
      <c r="K386" s="2634" t="s">
        <v>802</v>
      </c>
      <c r="L386" s="2634"/>
      <c r="M386" s="2634"/>
      <c r="N386" s="791">
        <f>Perfiles_usuario!R82</f>
        <v>194</v>
      </c>
      <c r="O386" s="708"/>
      <c r="P386" s="792">
        <f>Perfiles_usuario!$X$78</f>
        <v>0.1</v>
      </c>
      <c r="Q386" s="793" t="s">
        <v>804</v>
      </c>
      <c r="R386" s="791">
        <f>Perfiles_usuario!AB82</f>
        <v>174.60000000000002</v>
      </c>
      <c r="S386" s="792">
        <f>Perfiles_usuario!AD78</f>
        <v>0.1</v>
      </c>
      <c r="T386" s="793" t="s">
        <v>805</v>
      </c>
      <c r="U386" s="794">
        <f>Perfiles_usuario!AH82</f>
        <v>155.20000000000005</v>
      </c>
    </row>
    <row r="387" spans="1:22" s="470" customFormat="1" ht="31.5" customHeight="1">
      <c r="B387" s="2273" t="s">
        <v>679</v>
      </c>
      <c r="C387" s="2274"/>
      <c r="D387" s="713">
        <f>SUM(D368:D382)+SUM(D384:D385)</f>
        <v>8</v>
      </c>
      <c r="E387" s="714">
        <f>SUM(E368:E382)+SUM(E384:E385)</f>
        <v>6</v>
      </c>
      <c r="N387" s="2422" t="str">
        <f>IF(Perfiles_usuario!$R$83="Aplica consumo mínimo","Estos totales incluyen la aplicación de consumos mínimos pues el total de facturación estimada no alcanza el mínimo exigido","")</f>
        <v/>
      </c>
      <c r="O387" s="2422"/>
      <c r="P387" s="2422"/>
      <c r="Q387" s="2422"/>
      <c r="R387" s="2422"/>
      <c r="S387" s="2422"/>
      <c r="T387" s="2422"/>
      <c r="U387" s="2422"/>
    </row>
    <row r="388" spans="1:22" ht="33" customHeight="1">
      <c r="B388" s="2465" t="s">
        <v>820</v>
      </c>
      <c r="C388" s="2465"/>
      <c r="D388" s="2465"/>
      <c r="E388" s="2465"/>
      <c r="F388" s="2465"/>
      <c r="G388" s="2465"/>
      <c r="H388" s="2465"/>
      <c r="I388" s="2465"/>
      <c r="J388" s="2465"/>
      <c r="K388" s="2465"/>
      <c r="L388" s="2465"/>
      <c r="M388" s="2465"/>
      <c r="N388" s="2465"/>
      <c r="O388" s="2465"/>
      <c r="P388" s="2465"/>
      <c r="Q388" s="2465"/>
      <c r="R388" s="2465"/>
      <c r="S388" s="2465"/>
      <c r="T388" s="2465"/>
      <c r="U388" s="2465"/>
    </row>
    <row r="389" spans="1:22" ht="15.75">
      <c r="M389" s="476" t="s">
        <v>1824</v>
      </c>
      <c r="R389" s="477" t="s">
        <v>692</v>
      </c>
      <c r="S389" s="478" t="str">
        <f>$E$29</f>
        <v>ILF5_90FCOS_B114CAGR43006</v>
      </c>
      <c r="T389" s="470"/>
      <c r="U389" s="470"/>
      <c r="V389" s="470"/>
    </row>
    <row r="390" spans="1:22" ht="22.9" customHeight="1">
      <c r="B390" s="522"/>
      <c r="C390" s="769"/>
      <c r="D390" s="561"/>
      <c r="E390" s="561"/>
      <c r="F390" s="561"/>
      <c r="G390" s="586"/>
      <c r="H390" s="586"/>
      <c r="I390" s="586"/>
      <c r="J390" s="586"/>
      <c r="K390" s="587"/>
      <c r="L390" s="587"/>
      <c r="M390" s="587"/>
      <c r="N390" s="587"/>
      <c r="O390" s="587"/>
      <c r="P390" s="587"/>
      <c r="Q390" s="561"/>
      <c r="R390" s="561"/>
      <c r="S390" s="441"/>
      <c r="T390" s="441"/>
      <c r="U390" s="588"/>
      <c r="V390" s="441"/>
    </row>
    <row r="391" spans="1:22" ht="11.45" customHeight="1">
      <c r="B391" s="522"/>
      <c r="C391" s="769"/>
      <c r="D391" s="561"/>
      <c r="E391" s="561"/>
      <c r="F391" s="561"/>
      <c r="G391" s="586"/>
      <c r="H391" s="586"/>
      <c r="I391" s="586"/>
      <c r="J391" s="586"/>
      <c r="K391" s="587"/>
      <c r="L391" s="587"/>
      <c r="M391" s="587"/>
      <c r="N391" s="587"/>
      <c r="O391" s="587"/>
      <c r="P391" s="587"/>
      <c r="Q391" s="561"/>
      <c r="R391" s="561"/>
      <c r="S391" s="441"/>
      <c r="T391" s="441"/>
      <c r="U391" s="588"/>
      <c r="V391" s="441"/>
    </row>
    <row r="392" spans="1:22">
      <c r="H392" s="436" t="s">
        <v>690</v>
      </c>
      <c r="I392" s="420"/>
      <c r="K392" s="420"/>
      <c r="L392" s="437" t="str">
        <f>$B$11</f>
        <v>INMOBILIARIA SERVIGESTION</v>
      </c>
      <c r="S392" s="420"/>
      <c r="T392" s="420"/>
      <c r="V392" s="437"/>
    </row>
    <row r="393" spans="1:22">
      <c r="A393" s="420"/>
      <c r="B393" s="420"/>
      <c r="C393" s="420"/>
      <c r="D393" s="420"/>
      <c r="E393" s="420"/>
      <c r="F393" s="420"/>
      <c r="G393" s="420"/>
      <c r="H393" s="420"/>
      <c r="I393" s="420"/>
      <c r="J393" s="420"/>
      <c r="K393" s="420"/>
      <c r="L393" s="420"/>
      <c r="M393" s="420"/>
      <c r="N393" s="420"/>
      <c r="O393" s="420"/>
      <c r="P393" s="420"/>
      <c r="Q393" s="420"/>
      <c r="R393" s="420"/>
      <c r="S393" s="420"/>
      <c r="T393" s="420"/>
      <c r="U393" s="420"/>
      <c r="V393" s="420"/>
    </row>
    <row r="394" spans="1:22">
      <c r="A394" s="420"/>
      <c r="B394" s="420"/>
      <c r="C394" s="420"/>
      <c r="D394" s="420"/>
      <c r="E394" s="420"/>
      <c r="F394" s="420"/>
      <c r="G394" s="420"/>
      <c r="H394" s="420"/>
      <c r="I394" s="420"/>
      <c r="J394" s="420"/>
      <c r="K394" s="420"/>
      <c r="L394" s="420"/>
      <c r="M394" s="420"/>
      <c r="N394" s="420"/>
      <c r="O394" s="420"/>
      <c r="P394" s="420"/>
      <c r="Q394" s="420"/>
      <c r="R394" s="420"/>
      <c r="S394" s="420"/>
      <c r="T394" s="420"/>
      <c r="U394" s="420"/>
      <c r="V394" s="420"/>
    </row>
    <row r="395" spans="1:22" ht="34.5">
      <c r="A395" s="420"/>
      <c r="B395" s="2268" t="s">
        <v>461</v>
      </c>
      <c r="C395" s="2268"/>
      <c r="D395" s="2268"/>
      <c r="E395" s="2268"/>
      <c r="F395" s="2268"/>
      <c r="G395" s="2268"/>
      <c r="H395" s="2268"/>
      <c r="I395" s="2268"/>
      <c r="J395" s="2268"/>
      <c r="K395" s="2268"/>
      <c r="L395" s="2268"/>
      <c r="M395" s="2268"/>
      <c r="N395" s="2268"/>
      <c r="O395" s="2268"/>
      <c r="P395" s="2268"/>
      <c r="Q395" s="2268"/>
      <c r="R395" s="2268"/>
      <c r="S395" s="2268"/>
      <c r="T395" s="2268"/>
      <c r="U395" s="2268"/>
      <c r="V395" s="420"/>
    </row>
    <row r="396" spans="1:22" ht="22.9" customHeight="1">
      <c r="A396" s="420"/>
      <c r="B396" s="2269" t="s">
        <v>876</v>
      </c>
      <c r="C396" s="2269"/>
      <c r="D396" s="2269"/>
      <c r="E396" s="2269"/>
      <c r="F396" s="2269"/>
      <c r="G396" s="2269"/>
      <c r="H396" s="2269"/>
      <c r="I396" s="2269"/>
      <c r="J396" s="2269"/>
      <c r="K396" s="2269"/>
      <c r="L396" s="2269"/>
      <c r="M396" s="2269"/>
      <c r="N396" s="2269"/>
      <c r="O396" s="2269"/>
      <c r="P396" s="2269"/>
      <c r="Q396" s="2269"/>
      <c r="R396" s="2269"/>
      <c r="S396" s="2269"/>
      <c r="T396" s="2269"/>
      <c r="U396" s="2269"/>
      <c r="V396" s="420"/>
    </row>
    <row r="397" spans="1:22" ht="9.75" customHeight="1">
      <c r="A397" s="420"/>
      <c r="B397" s="757"/>
      <c r="C397" s="757"/>
      <c r="D397" s="757"/>
      <c r="E397" s="757"/>
      <c r="F397" s="757"/>
      <c r="G397" s="757"/>
      <c r="H397" s="757"/>
      <c r="I397" s="757"/>
      <c r="J397" s="757"/>
      <c r="K397" s="757"/>
      <c r="L397" s="757"/>
      <c r="M397" s="757"/>
      <c r="N397" s="757"/>
      <c r="O397" s="757"/>
      <c r="P397" s="757"/>
      <c r="Q397" s="757"/>
      <c r="R397" s="757"/>
      <c r="S397" s="757"/>
      <c r="T397" s="757"/>
      <c r="U397" s="757"/>
      <c r="V397" s="420"/>
    </row>
    <row r="398" spans="1:22" ht="23.25">
      <c r="A398" s="420"/>
      <c r="B398" s="2279" t="s">
        <v>408</v>
      </c>
      <c r="C398" s="2279"/>
      <c r="D398" s="2279"/>
      <c r="E398" s="2279"/>
      <c r="F398" s="2279"/>
      <c r="G398" s="2279"/>
      <c r="H398" s="2279"/>
      <c r="I398" s="2279"/>
      <c r="J398" s="2279"/>
      <c r="K398" s="2279"/>
      <c r="L398" s="2279"/>
      <c r="M398" s="2279"/>
      <c r="N398" s="2279"/>
      <c r="O398" s="2279"/>
      <c r="P398" s="2279"/>
      <c r="Q398" s="2279"/>
      <c r="R398" s="2279"/>
      <c r="S398" s="2279"/>
      <c r="T398" s="2279"/>
      <c r="U398" s="2279"/>
      <c r="V398" s="420"/>
    </row>
    <row r="399" spans="1:22" ht="22.9" customHeight="1">
      <c r="B399" s="2251" t="s">
        <v>466</v>
      </c>
      <c r="C399" s="2251"/>
      <c r="D399" s="2251"/>
      <c r="E399" s="2251"/>
      <c r="F399" s="2251"/>
      <c r="G399" s="2251"/>
      <c r="H399" s="2251"/>
      <c r="I399" s="2251"/>
      <c r="J399" s="2251"/>
      <c r="K399" s="2251"/>
      <c r="L399" s="2251"/>
      <c r="M399" s="2251"/>
      <c r="N399" s="2251"/>
      <c r="O399" s="2251"/>
      <c r="P399" s="2251"/>
      <c r="Q399" s="2251"/>
      <c r="R399" s="2251"/>
      <c r="S399" s="2251"/>
      <c r="T399" s="2251"/>
      <c r="U399" s="2251"/>
      <c r="V399" s="441"/>
    </row>
    <row r="400" spans="1:22" ht="10.9" customHeight="1">
      <c r="B400" s="715"/>
      <c r="C400" s="715"/>
      <c r="D400" s="715"/>
      <c r="E400" s="715"/>
      <c r="F400" s="715"/>
      <c r="G400" s="715"/>
      <c r="H400" s="715"/>
      <c r="I400" s="715"/>
      <c r="J400" s="715"/>
      <c r="K400" s="715"/>
      <c r="L400" s="715"/>
      <c r="M400" s="715"/>
      <c r="N400" s="715"/>
      <c r="O400" s="715"/>
      <c r="P400" s="715"/>
      <c r="Q400" s="715"/>
      <c r="R400" s="715"/>
      <c r="S400" s="715"/>
      <c r="T400" s="715"/>
      <c r="U400" s="715"/>
      <c r="V400" s="441"/>
    </row>
    <row r="401" spans="2:22" ht="42.6" customHeight="1">
      <c r="B401" s="2253" t="s">
        <v>462</v>
      </c>
      <c r="C401" s="2254"/>
      <c r="D401" s="758" t="s">
        <v>463</v>
      </c>
      <c r="E401" s="2254" t="s">
        <v>875</v>
      </c>
      <c r="F401" s="2254"/>
      <c r="G401" s="2254"/>
      <c r="H401" s="2254"/>
      <c r="I401" s="2254"/>
      <c r="J401" s="2254"/>
      <c r="K401" s="2254" t="s">
        <v>467</v>
      </c>
      <c r="L401" s="2254"/>
      <c r="M401" s="2254" t="s">
        <v>295</v>
      </c>
      <c r="N401" s="2280"/>
      <c r="V401" s="441"/>
    </row>
    <row r="402" spans="2:22" ht="46.9" customHeight="1">
      <c r="B402" s="2294" t="str">
        <f>IF(Perfiles_usuario!B91=0,"",Perfiles_usuario!B91)</f>
        <v/>
      </c>
      <c r="C402" s="2295"/>
      <c r="D402" s="760" t="str">
        <f>IF(Perfiles_usuario!D91=0,"",Perfiles_usuario!D91)</f>
        <v/>
      </c>
      <c r="E402" s="2282" t="str">
        <f>IF(Perfiles_usuario!D91=0,"",Perfiles_usuario!F91)</f>
        <v/>
      </c>
      <c r="F402" s="2282"/>
      <c r="G402" s="2282"/>
      <c r="H402" s="2282"/>
      <c r="I402" s="2282"/>
      <c r="J402" s="2282"/>
      <c r="K402" s="2292" t="str">
        <f>IF(Perfiles_usuario!D91=0,"",Perfiles_usuario!J91)</f>
        <v/>
      </c>
      <c r="L402" s="2292"/>
      <c r="M402" s="2292" t="str">
        <f>IF(Perfiles_usuario!D91=0,"",Perfiles_usuario!L91)</f>
        <v/>
      </c>
      <c r="N402" s="2293"/>
      <c r="O402" s="522"/>
      <c r="P402" s="522"/>
      <c r="Q402" s="522"/>
      <c r="R402" s="522"/>
      <c r="S402" s="522"/>
      <c r="T402" s="522"/>
      <c r="U402" s="522"/>
      <c r="V402" s="441"/>
    </row>
    <row r="403" spans="2:22" ht="46.9" customHeight="1">
      <c r="B403" s="2460" t="str">
        <f>IF(Perfiles_usuario!B93=0,"",Perfiles_usuario!B93)</f>
        <v/>
      </c>
      <c r="C403" s="2461"/>
      <c r="D403" s="759" t="str">
        <f>IF(Perfiles_usuario!D93=0,"",Perfiles_usuario!D93)</f>
        <v/>
      </c>
      <c r="E403" s="2458" t="str">
        <f>IF(Perfiles_usuario!D93=0,"",Perfiles_usuario!F93)</f>
        <v/>
      </c>
      <c r="F403" s="2458"/>
      <c r="G403" s="2458"/>
      <c r="H403" s="2458"/>
      <c r="I403" s="2458"/>
      <c r="J403" s="2458"/>
      <c r="K403" s="2459" t="str">
        <f>IF(Perfiles_usuario!D93=0,"",Perfiles_usuario!J93)</f>
        <v/>
      </c>
      <c r="L403" s="2459"/>
      <c r="M403" s="2459" t="str">
        <f>IF(Perfiles_usuario!D93=0,"",Perfiles_usuario!L93)</f>
        <v/>
      </c>
      <c r="N403" s="2462"/>
      <c r="O403" s="522"/>
      <c r="P403" s="522"/>
      <c r="Q403" s="522"/>
      <c r="R403" s="522"/>
      <c r="S403" s="522"/>
      <c r="T403" s="522"/>
      <c r="U403" s="522"/>
      <c r="V403" s="441"/>
    </row>
    <row r="404" spans="2:22" ht="46.9" customHeight="1">
      <c r="B404" s="2460" t="str">
        <f>IF(Perfiles_usuario!B95=0,"",Perfiles_usuario!B95)</f>
        <v/>
      </c>
      <c r="C404" s="2461"/>
      <c r="D404" s="759" t="str">
        <f>IF(Perfiles_usuario!D95=0,"",Perfiles_usuario!D95)</f>
        <v/>
      </c>
      <c r="E404" s="2458" t="str">
        <f>IF(Perfiles_usuario!D95=0,"",Perfiles_usuario!F95)</f>
        <v/>
      </c>
      <c r="F404" s="2458"/>
      <c r="G404" s="2458"/>
      <c r="H404" s="2458"/>
      <c r="I404" s="2458"/>
      <c r="J404" s="2458"/>
      <c r="K404" s="2459" t="str">
        <f>IF(Perfiles_usuario!D95=0,"",Perfiles_usuario!J95)</f>
        <v/>
      </c>
      <c r="L404" s="2459"/>
      <c r="M404" s="2459" t="str">
        <f>IF(Perfiles_usuario!D95=0,"",Perfiles_usuario!L95)</f>
        <v/>
      </c>
      <c r="N404" s="2462"/>
      <c r="O404" s="522"/>
      <c r="P404" s="522"/>
      <c r="Q404" s="522"/>
      <c r="R404" s="522"/>
      <c r="S404" s="522"/>
      <c r="T404" s="522"/>
      <c r="U404" s="522"/>
      <c r="V404" s="441"/>
    </row>
    <row r="405" spans="2:22" ht="46.9" customHeight="1">
      <c r="B405" s="2460" t="str">
        <f>IF(Perfiles_usuario!B97=0,"",Perfiles_usuario!B97)</f>
        <v/>
      </c>
      <c r="C405" s="2461"/>
      <c r="D405" s="759" t="str">
        <f>IF(Perfiles_usuario!D97=0,"",Perfiles_usuario!D97)</f>
        <v/>
      </c>
      <c r="E405" s="2458" t="str">
        <f>IF(Perfiles_usuario!D97=0,"",Perfiles_usuario!F97)</f>
        <v/>
      </c>
      <c r="F405" s="2458"/>
      <c r="G405" s="2458"/>
      <c r="H405" s="2458"/>
      <c r="I405" s="2458"/>
      <c r="J405" s="2458"/>
      <c r="K405" s="2459" t="str">
        <f>IF(Perfiles_usuario!D97=0,"",Perfiles_usuario!J97)</f>
        <v/>
      </c>
      <c r="L405" s="2459"/>
      <c r="M405" s="2459" t="str">
        <f>IF(Perfiles_usuario!D97=0,"",Perfiles_usuario!L97)</f>
        <v/>
      </c>
      <c r="N405" s="2462"/>
      <c r="O405" s="522"/>
      <c r="P405" s="522"/>
      <c r="Q405" s="522"/>
      <c r="R405" s="522"/>
      <c r="S405" s="522"/>
      <c r="T405" s="522"/>
      <c r="U405" s="522"/>
      <c r="V405" s="441"/>
    </row>
    <row r="406" spans="2:22" ht="46.9" customHeight="1">
      <c r="B406" s="2460" t="str">
        <f>IF(Perfiles_usuario!B99=0,"",Perfiles_usuario!B99)</f>
        <v/>
      </c>
      <c r="C406" s="2461"/>
      <c r="D406" s="759" t="str">
        <f>IF(Perfiles_usuario!D99=0,"",Perfiles_usuario!D99)</f>
        <v/>
      </c>
      <c r="E406" s="2458" t="str">
        <f>IF(Perfiles_usuario!D99=0,"",Perfiles_usuario!F99)</f>
        <v/>
      </c>
      <c r="F406" s="2458"/>
      <c r="G406" s="2458"/>
      <c r="H406" s="2458"/>
      <c r="I406" s="2458"/>
      <c r="J406" s="2458"/>
      <c r="K406" s="2459" t="str">
        <f>IF(Perfiles_usuario!D99=0,"",Perfiles_usuario!J99)</f>
        <v/>
      </c>
      <c r="L406" s="2459"/>
      <c r="M406" s="2459" t="str">
        <f>IF(Perfiles_usuario!D99=0,"",Perfiles_usuario!L99)</f>
        <v/>
      </c>
      <c r="N406" s="2462"/>
      <c r="O406" s="522"/>
      <c r="P406" s="522"/>
      <c r="Q406" s="522"/>
      <c r="R406" s="522"/>
      <c r="S406" s="522"/>
      <c r="T406" s="522"/>
      <c r="U406" s="522"/>
      <c r="V406" s="441"/>
    </row>
    <row r="407" spans="2:22" ht="9.6" customHeight="1">
      <c r="B407" s="2495"/>
      <c r="C407" s="2495"/>
      <c r="D407" s="767"/>
      <c r="E407" s="2495"/>
      <c r="F407" s="2495"/>
      <c r="G407" s="2495"/>
      <c r="H407" s="2495"/>
      <c r="I407" s="2495"/>
      <c r="J407" s="2495"/>
      <c r="K407" s="2495"/>
      <c r="L407" s="2495"/>
      <c r="M407" s="2495"/>
      <c r="N407" s="2495"/>
      <c r="O407" s="561"/>
      <c r="P407" s="522"/>
      <c r="Q407" s="522"/>
      <c r="R407" s="522"/>
      <c r="S407" s="522"/>
      <c r="T407" s="522"/>
      <c r="U407" s="522"/>
      <c r="V407" s="441"/>
    </row>
    <row r="408" spans="2:22" ht="31.15" customHeight="1">
      <c r="B408" s="2273" t="s">
        <v>683</v>
      </c>
      <c r="C408" s="2274"/>
      <c r="D408" s="719">
        <f>SUM(Perfiles_usuario!D91:D99)</f>
        <v>0</v>
      </c>
      <c r="E408" s="522"/>
      <c r="F408" s="522"/>
      <c r="G408" s="522"/>
      <c r="H408" s="522"/>
      <c r="I408" s="522"/>
      <c r="J408" s="522"/>
      <c r="K408" s="2463" t="s">
        <v>295</v>
      </c>
      <c r="L408" s="2464"/>
      <c r="M408" s="2285" t="str">
        <f>IF(Perfiles_usuario!L101=0,"",Perfiles_usuario!L101)</f>
        <v/>
      </c>
      <c r="N408" s="2286"/>
      <c r="O408" s="522"/>
      <c r="P408" s="522"/>
      <c r="Q408" s="522"/>
      <c r="R408" s="522"/>
      <c r="S408" s="522"/>
      <c r="T408" s="522"/>
      <c r="U408" s="522"/>
      <c r="V408" s="441"/>
    </row>
    <row r="409" spans="2:22" ht="22.9" customHeight="1">
      <c r="B409" s="522"/>
      <c r="C409" s="522"/>
      <c r="D409" s="522"/>
      <c r="E409" s="522"/>
      <c r="F409" s="522"/>
      <c r="G409" s="522"/>
      <c r="H409" s="522"/>
      <c r="I409" s="522"/>
      <c r="J409" s="522"/>
      <c r="K409" s="522"/>
      <c r="L409" s="522"/>
      <c r="M409" s="522"/>
      <c r="N409" s="522"/>
      <c r="O409" s="522"/>
      <c r="P409" s="522"/>
      <c r="Q409" s="522"/>
      <c r="R409" s="522"/>
      <c r="S409" s="522"/>
      <c r="T409" s="522"/>
      <c r="U409" s="522"/>
      <c r="V409" s="441"/>
    </row>
    <row r="410" spans="2:22" ht="22.9" customHeight="1">
      <c r="B410" s="522"/>
      <c r="C410" s="769"/>
      <c r="D410" s="561"/>
      <c r="E410" s="561"/>
      <c r="F410" s="561"/>
      <c r="G410" s="586"/>
      <c r="H410" s="586"/>
      <c r="I410" s="586"/>
      <c r="J410" s="586"/>
      <c r="K410" s="587"/>
      <c r="L410" s="587"/>
      <c r="M410" s="587"/>
      <c r="N410" s="587"/>
      <c r="O410" s="587"/>
      <c r="P410" s="587"/>
      <c r="Q410" s="561"/>
      <c r="R410" s="561"/>
      <c r="S410" s="441"/>
      <c r="T410" s="441"/>
      <c r="U410" s="588"/>
      <c r="V410" s="441"/>
    </row>
    <row r="411" spans="2:22" ht="22.9" customHeight="1">
      <c r="B411" s="2251" t="s">
        <v>983</v>
      </c>
      <c r="C411" s="2251"/>
      <c r="D411" s="2251"/>
      <c r="E411" s="2251"/>
      <c r="F411" s="2251"/>
      <c r="G411" s="2251"/>
      <c r="H411" s="2251"/>
      <c r="I411" s="2251"/>
      <c r="J411" s="2251"/>
      <c r="K411" s="2251"/>
      <c r="L411" s="2251"/>
      <c r="M411" s="2251"/>
      <c r="N411" s="2251"/>
      <c r="O411" s="2251"/>
      <c r="P411" s="2251"/>
      <c r="Q411" s="2251"/>
      <c r="R411" s="2251"/>
      <c r="S411" s="2251"/>
      <c r="T411" s="2251"/>
      <c r="U411" s="2251"/>
      <c r="V411" s="441"/>
    </row>
    <row r="412" spans="2:22" ht="22.9" customHeight="1">
      <c r="B412" s="600"/>
      <c r="C412" s="2442"/>
      <c r="D412" s="2442"/>
      <c r="E412" s="2442"/>
      <c r="F412" s="2442"/>
      <c r="G412" s="2442"/>
      <c r="H412" s="2442"/>
      <c r="I412" s="2442"/>
      <c r="J412" s="2442"/>
      <c r="K412" s="601"/>
      <c r="L412" s="601"/>
      <c r="M412" s="601"/>
      <c r="N412" s="601"/>
      <c r="O412" s="601"/>
      <c r="P412" s="601"/>
      <c r="Q412" s="601"/>
      <c r="R412" s="601"/>
      <c r="S412" s="601"/>
      <c r="T412" s="601"/>
      <c r="U412" s="603"/>
      <c r="V412" s="441"/>
    </row>
    <row r="413" spans="2:22" ht="22.9" customHeight="1">
      <c r="B413" s="495"/>
      <c r="C413" s="2290"/>
      <c r="D413" s="2290"/>
      <c r="E413" s="501"/>
      <c r="F413" s="501"/>
      <c r="G413" s="501"/>
      <c r="H413" s="501"/>
      <c r="I413" s="501"/>
      <c r="J413" s="501"/>
      <c r="K413" s="501"/>
      <c r="L413" s="501"/>
      <c r="M413" s="501"/>
      <c r="N413" s="501"/>
      <c r="O413" s="479"/>
      <c r="P413" s="479"/>
      <c r="Q413" s="501"/>
      <c r="R413" s="501"/>
      <c r="S413" s="501"/>
      <c r="T413" s="501"/>
      <c r="U413" s="502"/>
      <c r="V413" s="441"/>
    </row>
    <row r="414" spans="2:22" ht="22.9" customHeight="1">
      <c r="B414" s="466"/>
      <c r="C414" s="2290" t="s">
        <v>759</v>
      </c>
      <c r="D414" s="2290"/>
      <c r="E414" s="2290" t="s">
        <v>399</v>
      </c>
      <c r="F414" s="2290"/>
      <c r="G414" s="2290"/>
      <c r="H414" s="2290"/>
      <c r="I414" s="2290"/>
      <c r="J414" s="2290"/>
      <c r="K414" s="720"/>
      <c r="L414" s="720"/>
      <c r="M414" s="2290" t="s">
        <v>1867</v>
      </c>
      <c r="N414" s="2290"/>
      <c r="O414" s="2290"/>
      <c r="P414" s="2290"/>
      <c r="Q414" s="2290"/>
      <c r="R414" s="2290"/>
      <c r="S414" s="2290"/>
      <c r="T414" s="2290"/>
      <c r="U414" s="721"/>
      <c r="V414" s="441"/>
    </row>
    <row r="415" spans="2:22" ht="65.45" customHeight="1">
      <c r="B415" s="466"/>
      <c r="C415" s="2275" t="s">
        <v>984</v>
      </c>
      <c r="D415" s="2275"/>
      <c r="E415" s="2275"/>
      <c r="F415" s="2275"/>
      <c r="G415" s="2275"/>
      <c r="H415" s="2275"/>
      <c r="I415" s="2275"/>
      <c r="J415" s="2275"/>
      <c r="K415" s="501"/>
      <c r="L415" s="501"/>
      <c r="M415" s="2275" t="s">
        <v>1215</v>
      </c>
      <c r="N415" s="2275"/>
      <c r="O415" s="2275"/>
      <c r="P415" s="2275"/>
      <c r="Q415" s="2275"/>
      <c r="R415" s="2275"/>
      <c r="S415" s="2275"/>
      <c r="T415" s="2275"/>
      <c r="U415" s="502"/>
      <c r="V415" s="441"/>
    </row>
    <row r="416" spans="2:22" ht="22.9" customHeight="1">
      <c r="B416" s="496"/>
      <c r="C416" s="441"/>
      <c r="D416" s="524" t="s">
        <v>491</v>
      </c>
      <c r="E416" s="499"/>
      <c r="F416" s="499"/>
      <c r="G416" s="499"/>
      <c r="H416" s="499"/>
      <c r="I416" s="499"/>
      <c r="J416" s="523">
        <v>35</v>
      </c>
      <c r="K416" s="499"/>
      <c r="L416" s="499"/>
      <c r="M416" s="492"/>
      <c r="N416" s="524" t="s">
        <v>491</v>
      </c>
      <c r="O416" s="499"/>
      <c r="P416" s="524"/>
      <c r="Q416" s="441"/>
      <c r="R416" s="499"/>
      <c r="S416" s="728">
        <v>7.35</v>
      </c>
      <c r="T416" s="492"/>
      <c r="U416" s="722"/>
      <c r="V416" s="441"/>
    </row>
    <row r="417" spans="1:22" ht="22.9" customHeight="1">
      <c r="B417" s="500"/>
      <c r="C417" s="499"/>
      <c r="D417" s="499"/>
      <c r="E417" s="499"/>
      <c r="F417" s="499"/>
      <c r="G417" s="499"/>
      <c r="H417" s="499"/>
      <c r="I417" s="499"/>
      <c r="J417" s="499"/>
      <c r="K417" s="499"/>
      <c r="L417" s="499"/>
      <c r="M417" s="499"/>
      <c r="N417" s="723"/>
      <c r="O417" s="724"/>
      <c r="P417" s="725"/>
      <c r="Q417" s="499"/>
      <c r="R417" s="503"/>
      <c r="S417" s="503"/>
      <c r="T417" s="503"/>
      <c r="U417" s="726"/>
      <c r="V417" s="441"/>
    </row>
    <row r="418" spans="1:22" ht="22.9" customHeight="1">
      <c r="B418" s="727"/>
      <c r="C418" s="2290" t="s">
        <v>1213</v>
      </c>
      <c r="D418" s="2290"/>
      <c r="E418" s="2290" t="s">
        <v>399</v>
      </c>
      <c r="F418" s="2290"/>
      <c r="G418" s="2290"/>
      <c r="H418" s="2290"/>
      <c r="I418" s="2290"/>
      <c r="J418" s="2290"/>
      <c r="K418" s="720"/>
      <c r="L418" s="720"/>
      <c r="M418" s="2467" t="s">
        <v>1078</v>
      </c>
      <c r="N418" s="2467"/>
      <c r="O418" s="2467"/>
      <c r="P418" s="2467"/>
      <c r="Q418" s="2467"/>
      <c r="R418" s="2467"/>
      <c r="S418" s="2467"/>
      <c r="T418" s="2467"/>
      <c r="U418" s="721"/>
      <c r="V418" s="441"/>
    </row>
    <row r="419" spans="1:22" ht="90" customHeight="1">
      <c r="B419" s="466"/>
      <c r="C419" s="2275" t="s">
        <v>1214</v>
      </c>
      <c r="D419" s="2275"/>
      <c r="E419" s="2275"/>
      <c r="F419" s="2275"/>
      <c r="G419" s="2275"/>
      <c r="H419" s="2275"/>
      <c r="I419" s="2275"/>
      <c r="J419" s="2275"/>
      <c r="K419" s="501"/>
      <c r="L419" s="501"/>
      <c r="M419" s="2276" t="s">
        <v>1975</v>
      </c>
      <c r="N419" s="2277"/>
      <c r="O419" s="2277"/>
      <c r="P419" s="2277"/>
      <c r="Q419" s="2277"/>
      <c r="R419" s="2277"/>
      <c r="S419" s="2277"/>
      <c r="T419" s="2278"/>
      <c r="U419" s="502"/>
      <c r="V419" s="441"/>
    </row>
    <row r="420" spans="1:22" ht="22.9" customHeight="1">
      <c r="B420" s="496"/>
      <c r="C420" s="441"/>
      <c r="D420" s="524" t="s">
        <v>491</v>
      </c>
      <c r="E420" s="499"/>
      <c r="F420" s="499"/>
      <c r="G420" s="499"/>
      <c r="H420" s="499"/>
      <c r="I420" s="499"/>
      <c r="J420" s="728">
        <v>20.619834710743802</v>
      </c>
      <c r="K420" s="499"/>
      <c r="L420" s="499"/>
      <c r="M420" s="561"/>
      <c r="N420" s="524" t="s">
        <v>491</v>
      </c>
      <c r="O420" s="586"/>
      <c r="P420" s="586"/>
      <c r="Q420" s="441"/>
      <c r="S420" s="728">
        <v>53.64</v>
      </c>
      <c r="T420" s="441"/>
      <c r="U420" s="722"/>
      <c r="V420" s="441"/>
    </row>
    <row r="421" spans="1:22" ht="22.9" customHeight="1">
      <c r="B421" s="515"/>
      <c r="C421" s="488"/>
      <c r="D421" s="516"/>
      <c r="E421" s="517"/>
      <c r="F421" s="517"/>
      <c r="G421" s="517"/>
      <c r="H421" s="517"/>
      <c r="I421" s="517"/>
      <c r="J421" s="518"/>
      <c r="K421" s="517"/>
      <c r="L421" s="517"/>
      <c r="M421" s="517"/>
      <c r="N421" s="516"/>
      <c r="O421" s="517"/>
      <c r="P421" s="516"/>
      <c r="Q421" s="488"/>
      <c r="R421" s="517"/>
      <c r="S421" s="518"/>
      <c r="T421" s="518"/>
      <c r="U421" s="519"/>
      <c r="V421" s="441"/>
    </row>
    <row r="422" spans="1:22" ht="22.9" customHeight="1">
      <c r="B422" s="520" t="s">
        <v>699</v>
      </c>
      <c r="C422" s="441"/>
      <c r="D422" s="480"/>
      <c r="E422" s="499"/>
      <c r="F422" s="499"/>
      <c r="G422" s="499"/>
      <c r="H422" s="499"/>
      <c r="I422" s="499"/>
      <c r="J422" s="523"/>
      <c r="K422" s="499"/>
      <c r="L422" s="499"/>
      <c r="M422" s="524"/>
      <c r="O422" s="499"/>
      <c r="P422" s="524"/>
      <c r="Q422" s="524"/>
      <c r="R422" s="499"/>
      <c r="S422" s="523"/>
      <c r="T422" s="523"/>
      <c r="U422" s="499"/>
      <c r="V422" s="441"/>
    </row>
    <row r="423" spans="1:22" ht="22.9" customHeight="1">
      <c r="A423" s="441"/>
      <c r="B423" s="524"/>
      <c r="C423" s="441"/>
      <c r="D423" s="480"/>
      <c r="E423" s="499"/>
      <c r="F423" s="499"/>
      <c r="G423" s="470"/>
      <c r="H423" s="470"/>
      <c r="I423" s="470"/>
      <c r="J423" s="470"/>
      <c r="K423" s="470"/>
      <c r="L423" s="470"/>
      <c r="M423" s="470"/>
      <c r="N423" s="470"/>
      <c r="O423" s="470"/>
      <c r="P423" s="470"/>
      <c r="Q423" s="524"/>
      <c r="R423" s="499"/>
      <c r="S423" s="523"/>
      <c r="T423" s="523"/>
      <c r="U423" s="499"/>
      <c r="V423" s="441"/>
    </row>
    <row r="424" spans="1:22" ht="22.9" customHeight="1">
      <c r="A424" s="441"/>
      <c r="B424" s="2287" t="s">
        <v>985</v>
      </c>
      <c r="C424" s="2287"/>
      <c r="D424" s="2287"/>
      <c r="E424" s="2287"/>
      <c r="F424" s="2287"/>
      <c r="G424" s="2287"/>
      <c r="H424" s="2287"/>
      <c r="I424" s="2287"/>
      <c r="J424" s="2287"/>
      <c r="K424" s="2287"/>
      <c r="L424" s="2287"/>
      <c r="M424" s="2287"/>
      <c r="N424" s="2287"/>
      <c r="O424" s="2287"/>
      <c r="P424" s="2287"/>
      <c r="Q424" s="2287"/>
      <c r="R424" s="2287"/>
      <c r="S424" s="2287"/>
      <c r="T424" s="2287"/>
      <c r="U424" s="2287"/>
      <c r="V424" s="441"/>
    </row>
    <row r="425" spans="1:22" ht="22.9" customHeight="1">
      <c r="A425" s="441"/>
      <c r="B425" s="1197"/>
      <c r="C425" s="1195"/>
      <c r="D425" s="1195"/>
      <c r="E425" s="1195"/>
      <c r="F425" s="1195"/>
      <c r="G425" s="1195"/>
      <c r="H425" s="1195"/>
      <c r="I425" s="1195"/>
      <c r="J425" s="1195"/>
      <c r="K425" s="1195"/>
      <c r="L425" s="601"/>
      <c r="M425" s="1195"/>
      <c r="N425" s="1195"/>
      <c r="O425" s="1195"/>
      <c r="P425" s="1195"/>
      <c r="Q425" s="1195"/>
      <c r="R425" s="1195"/>
      <c r="S425" s="1195"/>
      <c r="T425" s="1195"/>
      <c r="U425" s="603"/>
      <c r="V425" s="441"/>
    </row>
    <row r="426" spans="1:22" ht="22.9" customHeight="1">
      <c r="A426" s="441"/>
      <c r="B426" s="495"/>
      <c r="H426" s="2291" t="s">
        <v>1079</v>
      </c>
      <c r="I426" s="2291"/>
      <c r="J426" s="2291"/>
      <c r="K426" s="2291"/>
      <c r="L426" s="2291"/>
      <c r="M426" s="2291"/>
      <c r="N426" s="2291"/>
      <c r="O426" s="2291"/>
      <c r="U426" s="502"/>
      <c r="V426" s="441"/>
    </row>
    <row r="427" spans="1:22" ht="66.599999999999994" customHeight="1">
      <c r="A427" s="441"/>
      <c r="B427" s="466"/>
      <c r="H427" s="2275" t="s">
        <v>1968</v>
      </c>
      <c r="I427" s="2275"/>
      <c r="J427" s="2275"/>
      <c r="K427" s="2275"/>
      <c r="L427" s="2275"/>
      <c r="M427" s="2275"/>
      <c r="N427" s="2275"/>
      <c r="O427" s="2275"/>
      <c r="U427" s="721"/>
      <c r="V427" s="441"/>
    </row>
    <row r="428" spans="1:22" ht="22.9" customHeight="1">
      <c r="B428" s="466"/>
      <c r="C428" s="808"/>
      <c r="E428" s="561"/>
      <c r="F428" s="561"/>
      <c r="G428" s="586"/>
      <c r="H428" s="524" t="s">
        <v>491</v>
      </c>
      <c r="I428" s="441"/>
      <c r="K428" s="587"/>
      <c r="L428" s="587"/>
      <c r="N428" s="728">
        <v>33.020000000000003</v>
      </c>
      <c r="U428" s="502"/>
      <c r="V428" s="441"/>
    </row>
    <row r="429" spans="1:22" ht="22.9" customHeight="1">
      <c r="B429" s="515"/>
      <c r="C429" s="488"/>
      <c r="D429" s="488"/>
      <c r="E429" s="488"/>
      <c r="F429" s="488"/>
      <c r="G429" s="488"/>
      <c r="H429" s="488"/>
      <c r="I429" s="488"/>
      <c r="J429" s="488"/>
      <c r="K429" s="488"/>
      <c r="L429" s="488"/>
      <c r="M429" s="488"/>
      <c r="N429" s="488"/>
      <c r="O429" s="488"/>
      <c r="P429" s="488"/>
      <c r="Q429" s="488"/>
      <c r="R429" s="488"/>
      <c r="S429" s="488"/>
      <c r="T429" s="488"/>
      <c r="U429" s="519"/>
      <c r="V429" s="441"/>
    </row>
    <row r="430" spans="1:22" ht="22.9" customHeight="1">
      <c r="B430" s="520" t="s">
        <v>699</v>
      </c>
      <c r="C430" s="769"/>
      <c r="D430" s="561"/>
      <c r="E430" s="561"/>
      <c r="F430" s="561"/>
      <c r="G430" s="586"/>
      <c r="H430" s="586"/>
      <c r="I430" s="586"/>
      <c r="J430" s="586"/>
      <c r="K430" s="587"/>
      <c r="L430" s="587"/>
      <c r="M430" s="476" t="s">
        <v>1825</v>
      </c>
      <c r="N430" s="587"/>
      <c r="O430" s="587"/>
      <c r="P430" s="587"/>
      <c r="Q430" s="561"/>
      <c r="R430" s="477" t="s">
        <v>692</v>
      </c>
      <c r="S430" s="478" t="str">
        <f>$E$29</f>
        <v>ILF5_90FCOS_B114CAGR43006</v>
      </c>
      <c r="T430" s="441"/>
      <c r="U430" s="588"/>
      <c r="V430" s="441"/>
    </row>
    <row r="431" spans="1:22" ht="16.899999999999999" customHeight="1">
      <c r="B431" s="522"/>
      <c r="C431" s="585"/>
      <c r="D431" s="584"/>
      <c r="E431" s="584"/>
      <c r="F431" s="584"/>
      <c r="G431" s="586"/>
      <c r="H431" s="436"/>
      <c r="I431" s="420"/>
      <c r="K431" s="420"/>
      <c r="L431" s="437"/>
      <c r="M431" s="587"/>
      <c r="N431" s="587"/>
      <c r="O431" s="587"/>
      <c r="P431" s="587"/>
      <c r="Q431" s="561"/>
      <c r="R431" s="561"/>
      <c r="S431" s="441"/>
      <c r="T431" s="441"/>
      <c r="U431" s="588"/>
      <c r="V431" s="441"/>
    </row>
    <row r="432" spans="1:22" ht="16.899999999999999" customHeight="1">
      <c r="B432" s="522"/>
      <c r="C432" s="585"/>
      <c r="D432" s="584"/>
      <c r="E432" s="584"/>
      <c r="F432" s="584"/>
      <c r="G432" s="586"/>
      <c r="H432" s="436"/>
      <c r="I432" s="420"/>
      <c r="K432" s="420"/>
      <c r="L432" s="437"/>
      <c r="M432" s="587"/>
      <c r="N432" s="587"/>
      <c r="O432" s="587"/>
      <c r="P432" s="587"/>
      <c r="Q432" s="561"/>
      <c r="R432" s="561"/>
      <c r="S432" s="441"/>
      <c r="T432" s="441"/>
      <c r="U432" s="588"/>
      <c r="V432" s="441"/>
    </row>
    <row r="433" spans="2:22" ht="16.899999999999999" customHeight="1">
      <c r="H433" s="436" t="s">
        <v>690</v>
      </c>
      <c r="I433" s="420"/>
      <c r="K433" s="420"/>
      <c r="L433" s="437" t="str">
        <f>$B$11</f>
        <v>INMOBILIARIA SERVIGESTION</v>
      </c>
      <c r="S433" s="420"/>
      <c r="T433" s="420"/>
      <c r="V433" s="441"/>
    </row>
    <row r="434" spans="2:22" ht="16.899999999999999" customHeight="1">
      <c r="B434" s="420"/>
      <c r="C434" s="420"/>
      <c r="D434" s="420"/>
      <c r="E434" s="420"/>
      <c r="F434" s="420"/>
      <c r="G434" s="420"/>
      <c r="H434" s="420"/>
      <c r="I434" s="420"/>
      <c r="J434" s="420"/>
      <c r="K434" s="420"/>
      <c r="L434" s="420"/>
      <c r="M434" s="420"/>
      <c r="N434" s="420"/>
      <c r="O434" s="420"/>
      <c r="P434" s="420"/>
      <c r="Q434" s="420"/>
      <c r="R434" s="420"/>
      <c r="S434" s="420"/>
      <c r="T434" s="420"/>
      <c r="U434" s="420"/>
      <c r="V434" s="441"/>
    </row>
    <row r="435" spans="2:22" ht="16.899999999999999" customHeight="1">
      <c r="B435" s="420"/>
      <c r="C435" s="420"/>
      <c r="D435" s="420"/>
      <c r="E435" s="420"/>
      <c r="F435" s="420"/>
      <c r="G435" s="420"/>
      <c r="H435" s="420"/>
      <c r="I435" s="420"/>
      <c r="J435" s="420"/>
      <c r="K435" s="420"/>
      <c r="L435" s="420"/>
      <c r="M435" s="420"/>
      <c r="N435" s="420"/>
      <c r="O435" s="420"/>
      <c r="P435" s="420"/>
      <c r="Q435" s="420"/>
      <c r="R435" s="420"/>
      <c r="S435" s="420"/>
      <c r="T435" s="420"/>
      <c r="U435" s="420"/>
      <c r="V435" s="441"/>
    </row>
    <row r="436" spans="2:22" ht="35.1" customHeight="1">
      <c r="B436" s="2268" t="s">
        <v>461</v>
      </c>
      <c r="C436" s="2268"/>
      <c r="D436" s="2268"/>
      <c r="E436" s="2268"/>
      <c r="F436" s="2268"/>
      <c r="G436" s="2268"/>
      <c r="H436" s="2268"/>
      <c r="I436" s="2268"/>
      <c r="J436" s="2268"/>
      <c r="K436" s="2268"/>
      <c r="L436" s="2268"/>
      <c r="M436" s="2268"/>
      <c r="N436" s="2268"/>
      <c r="O436" s="2268"/>
      <c r="P436" s="2268"/>
      <c r="Q436" s="2268"/>
      <c r="R436" s="2268"/>
      <c r="S436" s="2268"/>
      <c r="T436" s="2268"/>
      <c r="U436" s="2268"/>
      <c r="V436" s="441"/>
    </row>
    <row r="437" spans="2:22" ht="30" customHeight="1">
      <c r="B437" s="2269" t="s">
        <v>1191</v>
      </c>
      <c r="C437" s="2269"/>
      <c r="D437" s="2269"/>
      <c r="E437" s="2269"/>
      <c r="F437" s="2269"/>
      <c r="G437" s="2269"/>
      <c r="H437" s="2269"/>
      <c r="I437" s="2269"/>
      <c r="J437" s="2269"/>
      <c r="K437" s="2269"/>
      <c r="L437" s="2269"/>
      <c r="M437" s="2269"/>
      <c r="N437" s="2269"/>
      <c r="O437" s="2269"/>
      <c r="P437" s="2269"/>
      <c r="Q437" s="2269"/>
      <c r="R437" s="2269"/>
      <c r="S437" s="2269"/>
      <c r="T437" s="2269"/>
      <c r="U437" s="2269"/>
      <c r="V437" s="441"/>
    </row>
    <row r="438" spans="2:22" ht="16.899999999999999" customHeight="1">
      <c r="B438" s="1236"/>
      <c r="C438" s="1236"/>
      <c r="D438" s="1236"/>
      <c r="E438" s="1236"/>
      <c r="F438" s="1236"/>
      <c r="G438" s="1236"/>
      <c r="H438" s="1236"/>
      <c r="I438" s="1236"/>
      <c r="J438" s="1236"/>
      <c r="K438" s="1236"/>
      <c r="L438" s="1236"/>
      <c r="M438" s="1236"/>
      <c r="N438" s="1236"/>
      <c r="O438" s="1236"/>
      <c r="P438" s="1236"/>
      <c r="Q438" s="1236"/>
      <c r="R438" s="1236"/>
      <c r="S438" s="1236"/>
      <c r="T438" s="1236"/>
      <c r="U438" s="1236"/>
      <c r="V438" s="441"/>
    </row>
    <row r="439" spans="2:22" ht="27" customHeight="1">
      <c r="B439" s="2279" t="s">
        <v>1195</v>
      </c>
      <c r="C439" s="2279"/>
      <c r="D439" s="2279"/>
      <c r="E439" s="2279"/>
      <c r="F439" s="2279"/>
      <c r="G439" s="2279"/>
      <c r="H439" s="2279"/>
      <c r="I439" s="2279"/>
      <c r="J439" s="2279"/>
      <c r="K439" s="2279"/>
      <c r="L439" s="2279"/>
      <c r="M439" s="2279"/>
      <c r="N439" s="2279"/>
      <c r="O439" s="2279"/>
      <c r="P439" s="2279"/>
      <c r="Q439" s="2279"/>
      <c r="R439" s="2279"/>
      <c r="S439" s="2279"/>
      <c r="T439" s="2279"/>
      <c r="U439" s="2279"/>
      <c r="V439" s="441"/>
    </row>
    <row r="440" spans="2:22" ht="33" customHeight="1">
      <c r="B440" s="2251" t="s">
        <v>1196</v>
      </c>
      <c r="C440" s="2251"/>
      <c r="D440" s="2251"/>
      <c r="E440" s="2251"/>
      <c r="F440" s="2251"/>
      <c r="G440" s="2251"/>
      <c r="H440" s="2251"/>
      <c r="I440" s="2251"/>
      <c r="J440" s="2251"/>
      <c r="K440" s="2251"/>
      <c r="L440" s="2251"/>
      <c r="M440" s="2251"/>
      <c r="N440" s="2251"/>
      <c r="O440" s="2251"/>
      <c r="P440" s="2251"/>
      <c r="Q440" s="2251"/>
      <c r="R440" s="2251"/>
      <c r="S440" s="2251"/>
      <c r="T440" s="2251"/>
      <c r="U440" s="2251"/>
      <c r="V440" s="441"/>
    </row>
    <row r="441" spans="2:22" ht="16.899999999999999" customHeight="1">
      <c r="B441" s="902"/>
      <c r="C441" s="902"/>
      <c r="D441" s="902"/>
      <c r="E441" s="902"/>
      <c r="F441" s="902"/>
      <c r="G441" s="902"/>
      <c r="H441" s="902"/>
      <c r="I441" s="902"/>
      <c r="J441" s="902"/>
      <c r="K441" s="902"/>
      <c r="L441" s="902"/>
      <c r="M441" s="902"/>
      <c r="N441" s="902"/>
      <c r="O441" s="902"/>
      <c r="P441" s="902"/>
      <c r="Q441" s="902"/>
      <c r="R441" s="902"/>
      <c r="S441" s="902"/>
      <c r="T441" s="902"/>
      <c r="U441" s="902"/>
      <c r="V441" s="441"/>
    </row>
    <row r="442" spans="2:22" ht="42" customHeight="1">
      <c r="B442" s="2253" t="s">
        <v>462</v>
      </c>
      <c r="C442" s="2254"/>
      <c r="D442" s="1238" t="s">
        <v>463</v>
      </c>
      <c r="E442" s="2254" t="s">
        <v>1380</v>
      </c>
      <c r="F442" s="2254"/>
      <c r="G442" s="2254"/>
      <c r="H442" s="2254"/>
      <c r="I442" s="2254"/>
      <c r="J442" s="2254"/>
      <c r="K442" s="2254" t="s">
        <v>467</v>
      </c>
      <c r="L442" s="2254"/>
      <c r="M442" s="2254" t="s">
        <v>295</v>
      </c>
      <c r="N442" s="2280"/>
      <c r="V442" s="441"/>
    </row>
    <row r="443" spans="2:22" ht="42" customHeight="1">
      <c r="B443" s="2281" t="str">
        <f>IF(Perfiles_usuario!$B$107=0,"",Perfiles_usuario!$B$107)</f>
        <v/>
      </c>
      <c r="C443" s="2282"/>
      <c r="D443" s="1237" t="str">
        <f>IF(Perfiles_usuario!$D$107=0,"",Perfiles_usuario!$D$107)</f>
        <v/>
      </c>
      <c r="E443" s="2282" t="str">
        <f>IF(Perfiles_usuario!$D$107=0,"",Perfiles_usuario!$F$107)</f>
        <v/>
      </c>
      <c r="F443" s="2282"/>
      <c r="G443" s="2282"/>
      <c r="H443" s="2282"/>
      <c r="I443" s="2282"/>
      <c r="J443" s="2282"/>
      <c r="K443" s="2292" t="str">
        <f>IF(Perfiles_usuario!$D$107=0,"",Perfiles_usuario!$J$107)</f>
        <v/>
      </c>
      <c r="L443" s="2292"/>
      <c r="M443" s="2292" t="str">
        <f>IF(Perfiles_usuario!$D$107=0,"",Perfiles_usuario!$L$107)</f>
        <v/>
      </c>
      <c r="N443" s="2293"/>
      <c r="O443" s="522"/>
      <c r="P443" s="522"/>
      <c r="Q443" s="522"/>
      <c r="R443" s="522"/>
      <c r="S443" s="522"/>
      <c r="T443" s="522"/>
      <c r="U443" s="522"/>
      <c r="V443" s="441"/>
    </row>
    <row r="444" spans="2:22" ht="42" customHeight="1">
      <c r="B444" s="2294" t="str">
        <f>IF(Perfiles_usuario!$B$109=0,"",Perfiles_usuario!$B$109)</f>
        <v/>
      </c>
      <c r="C444" s="2295"/>
      <c r="D444" s="1237" t="str">
        <f>IF(Perfiles_usuario!$D$109=0,"",Perfiles_usuario!$D$109)</f>
        <v/>
      </c>
      <c r="E444" s="2282" t="str">
        <f>IF(Perfiles_usuario!$D$109=0,"",Perfiles_usuario!$F$109)</f>
        <v/>
      </c>
      <c r="F444" s="2282"/>
      <c r="G444" s="2282"/>
      <c r="H444" s="2282"/>
      <c r="I444" s="2282"/>
      <c r="J444" s="2282"/>
      <c r="K444" s="2292" t="str">
        <f>IF(Perfiles_usuario!$D$109=0,"",Perfiles_usuario!$J$109)</f>
        <v/>
      </c>
      <c r="L444" s="2292"/>
      <c r="M444" s="2292" t="str">
        <f>IF(Perfiles_usuario!$D$109=0,"",Perfiles_usuario!$L$109)</f>
        <v/>
      </c>
      <c r="N444" s="2293"/>
      <c r="O444" s="522"/>
      <c r="P444" s="522"/>
      <c r="Q444" s="522"/>
      <c r="R444" s="522"/>
      <c r="S444" s="522"/>
      <c r="T444" s="522"/>
      <c r="U444" s="522"/>
      <c r="V444" s="441"/>
    </row>
    <row r="445" spans="2:22" ht="42" customHeight="1">
      <c r="B445" s="2283"/>
      <c r="C445" s="2283"/>
      <c r="D445" s="1245"/>
      <c r="E445" s="2284"/>
      <c r="F445" s="2284"/>
      <c r="G445" s="2284"/>
      <c r="H445" s="2284"/>
      <c r="I445" s="2284"/>
      <c r="J445" s="2284"/>
      <c r="K445" s="2296"/>
      <c r="L445" s="2296"/>
      <c r="M445" s="2296"/>
      <c r="N445" s="2296"/>
      <c r="O445" s="522"/>
      <c r="P445" s="522"/>
      <c r="Q445" s="522"/>
      <c r="R445" s="522"/>
      <c r="S445" s="522"/>
      <c r="T445" s="522"/>
      <c r="U445" s="522"/>
      <c r="V445" s="441"/>
    </row>
    <row r="446" spans="2:22" ht="42" customHeight="1">
      <c r="B446" s="2273" t="s">
        <v>1192</v>
      </c>
      <c r="C446" s="2274"/>
      <c r="D446" s="719">
        <f>SUM(Perfiles_usuario!$D$107:$D$109)</f>
        <v>0</v>
      </c>
      <c r="E446" s="2284"/>
      <c r="F446" s="2284"/>
      <c r="G446" s="2284"/>
      <c r="H446" s="2284"/>
      <c r="I446" s="2284"/>
      <c r="J446" s="2284"/>
      <c r="K446" s="2463" t="s">
        <v>295</v>
      </c>
      <c r="L446" s="2464"/>
      <c r="M446" s="2285" t="str">
        <f>IF(Perfiles_usuario!$L$111=0,"",Perfiles_usuario!$L$111)</f>
        <v/>
      </c>
      <c r="N446" s="2286"/>
      <c r="O446" s="522"/>
      <c r="P446" s="522"/>
      <c r="Q446" s="522"/>
      <c r="R446" s="522"/>
      <c r="S446" s="522"/>
      <c r="T446" s="522"/>
      <c r="U446" s="522"/>
      <c r="V446" s="441"/>
    </row>
    <row r="447" spans="2:22" ht="16.899999999999999" customHeight="1">
      <c r="B447" s="522"/>
      <c r="C447" s="585"/>
      <c r="D447" s="584"/>
      <c r="E447" s="584"/>
      <c r="F447" s="584"/>
      <c r="G447" s="586"/>
      <c r="H447" s="436"/>
      <c r="I447" s="420"/>
      <c r="K447" s="420"/>
      <c r="L447" s="437"/>
      <c r="M447" s="587"/>
      <c r="N447" s="587"/>
      <c r="O447" s="587"/>
      <c r="P447" s="587"/>
      <c r="Q447" s="561"/>
      <c r="R447" s="561"/>
      <c r="S447" s="441"/>
      <c r="T447" s="441"/>
      <c r="U447" s="588"/>
      <c r="V447" s="441"/>
    </row>
    <row r="448" spans="2:22" ht="16.899999999999999" customHeight="1">
      <c r="B448" s="522"/>
      <c r="C448" s="585"/>
      <c r="D448" s="584"/>
      <c r="E448" s="584"/>
      <c r="F448" s="584"/>
      <c r="G448" s="586"/>
      <c r="H448" s="436"/>
      <c r="I448" s="420"/>
      <c r="K448" s="420"/>
      <c r="L448" s="437"/>
      <c r="M448" s="587"/>
      <c r="N448" s="587"/>
      <c r="O448" s="587"/>
      <c r="P448" s="587"/>
      <c r="Q448" s="561"/>
      <c r="R448" s="561"/>
      <c r="S448" s="441"/>
      <c r="T448" s="441"/>
      <c r="U448" s="588"/>
      <c r="V448" s="441"/>
    </row>
    <row r="449" spans="2:22" ht="16.899999999999999" customHeight="1">
      <c r="B449" s="522"/>
      <c r="C449" s="585"/>
      <c r="D449" s="584"/>
      <c r="E449" s="584"/>
      <c r="F449" s="584"/>
      <c r="G449" s="586"/>
      <c r="H449" s="436"/>
      <c r="I449" s="420"/>
      <c r="K449" s="420"/>
      <c r="L449" s="437"/>
      <c r="M449" s="587"/>
      <c r="N449" s="587"/>
      <c r="O449" s="587"/>
      <c r="P449" s="587"/>
      <c r="Q449" s="561"/>
      <c r="R449" s="561"/>
      <c r="S449" s="441"/>
      <c r="T449" s="441"/>
      <c r="U449" s="588"/>
      <c r="V449" s="441"/>
    </row>
    <row r="450" spans="2:22" ht="16.899999999999999" customHeight="1">
      <c r="B450" s="522"/>
      <c r="C450" s="585"/>
      <c r="D450" s="584"/>
      <c r="E450" s="584"/>
      <c r="F450" s="584"/>
      <c r="G450" s="586"/>
      <c r="H450" s="436"/>
      <c r="I450" s="420"/>
      <c r="K450" s="420"/>
      <c r="L450" s="437"/>
      <c r="M450" s="587"/>
      <c r="N450" s="587"/>
      <c r="O450" s="587"/>
      <c r="P450" s="587"/>
      <c r="Q450" s="561"/>
      <c r="R450" s="561"/>
      <c r="S450" s="441"/>
      <c r="T450" s="441"/>
      <c r="U450" s="588"/>
      <c r="V450" s="441"/>
    </row>
    <row r="451" spans="2:22" ht="16.899999999999999" customHeight="1">
      <c r="V451" s="441"/>
    </row>
    <row r="452" spans="2:22" ht="16.899999999999999" customHeight="1">
      <c r="U452" s="588"/>
      <c r="V452" s="441"/>
    </row>
    <row r="453" spans="2:22" ht="16.899999999999999" customHeight="1">
      <c r="B453" s="522"/>
      <c r="C453" s="585"/>
      <c r="D453" s="584"/>
      <c r="E453" s="584"/>
      <c r="F453" s="584"/>
      <c r="G453" s="586"/>
      <c r="H453" s="436"/>
      <c r="I453" s="420"/>
      <c r="K453" s="420"/>
      <c r="L453" s="437"/>
      <c r="M453" s="587"/>
      <c r="N453" s="587"/>
      <c r="O453" s="587"/>
      <c r="P453" s="587"/>
      <c r="Q453" s="561"/>
      <c r="R453" s="561"/>
      <c r="S453" s="441"/>
      <c r="T453" s="441"/>
      <c r="U453" s="588"/>
      <c r="V453" s="441"/>
    </row>
    <row r="454" spans="2:22" ht="82.5" customHeight="1">
      <c r="B454" s="2288" t="s">
        <v>1386</v>
      </c>
      <c r="C454" s="2288"/>
      <c r="D454" s="2288"/>
      <c r="E454" s="2288"/>
      <c r="F454" s="2288"/>
      <c r="G454" s="2288"/>
      <c r="H454" s="2288"/>
      <c r="I454" s="2288"/>
      <c r="J454" s="2288"/>
      <c r="K454" s="2288"/>
      <c r="L454" s="2288"/>
      <c r="M454" s="2288"/>
      <c r="N454" s="2288"/>
      <c r="O454" s="2288"/>
      <c r="P454" s="2288"/>
      <c r="Q454" s="2288"/>
      <c r="R454" s="2288"/>
      <c r="S454" s="2288"/>
      <c r="T454" s="2288"/>
      <c r="U454" s="2288"/>
      <c r="V454" s="441"/>
    </row>
    <row r="455" spans="2:22" ht="16.899999999999999" customHeight="1">
      <c r="B455" s="522"/>
      <c r="C455" s="585"/>
      <c r="D455" s="584"/>
      <c r="E455" s="584"/>
      <c r="F455" s="584"/>
      <c r="G455" s="586"/>
      <c r="H455" s="436"/>
      <c r="I455" s="420"/>
      <c r="K455" s="420"/>
      <c r="L455" s="437"/>
      <c r="M455" s="587"/>
      <c r="N455" s="587"/>
      <c r="O455" s="587"/>
      <c r="P455" s="587"/>
      <c r="Q455" s="561"/>
      <c r="R455" s="561"/>
      <c r="S455" s="441"/>
      <c r="T455" s="441"/>
      <c r="U455" s="588"/>
      <c r="V455" s="441"/>
    </row>
    <row r="456" spans="2:22" ht="58.5" customHeight="1">
      <c r="B456" s="2288" t="s">
        <v>1193</v>
      </c>
      <c r="C456" s="2288"/>
      <c r="D456" s="2288"/>
      <c r="E456" s="2288"/>
      <c r="F456" s="2288"/>
      <c r="G456" s="2288"/>
      <c r="H456" s="2288"/>
      <c r="I456" s="2288"/>
      <c r="J456" s="2288"/>
      <c r="K456" s="2288"/>
      <c r="L456" s="2288"/>
      <c r="M456" s="2288"/>
      <c r="N456" s="2288"/>
      <c r="O456" s="2288"/>
      <c r="P456" s="2288"/>
      <c r="Q456" s="2288"/>
      <c r="R456" s="2288"/>
      <c r="S456" s="2288"/>
      <c r="T456" s="2288"/>
      <c r="U456" s="2288"/>
      <c r="V456" s="441"/>
    </row>
    <row r="457" spans="2:22" ht="16.899999999999999" customHeight="1">
      <c r="B457" s="522"/>
      <c r="K457" s="420"/>
      <c r="L457" s="437"/>
      <c r="U457" s="588"/>
      <c r="V457" s="441"/>
    </row>
    <row r="458" spans="2:22" ht="16.899999999999999" customHeight="1">
      <c r="V458" s="441"/>
    </row>
    <row r="459" spans="2:22" ht="37.5" customHeight="1">
      <c r="B459" s="2288" t="s">
        <v>1208</v>
      </c>
      <c r="C459" s="2288"/>
      <c r="D459" s="2288"/>
      <c r="E459" s="2288"/>
      <c r="F459" s="2288"/>
      <c r="G459" s="2288"/>
      <c r="H459" s="2288"/>
      <c r="I459" s="2288"/>
      <c r="J459" s="2288"/>
      <c r="K459" s="2288"/>
      <c r="L459" s="2288"/>
      <c r="M459" s="2288"/>
      <c r="N459" s="2288"/>
      <c r="O459" s="2288"/>
      <c r="P459" s="2288"/>
      <c r="Q459" s="2288"/>
      <c r="R459" s="2288"/>
      <c r="S459" s="2288"/>
      <c r="T459" s="2288"/>
      <c r="U459" s="2288"/>
      <c r="V459" s="441"/>
    </row>
    <row r="460" spans="2:22" ht="16.899999999999999" customHeight="1">
      <c r="B460" s="522"/>
      <c r="K460" s="420"/>
      <c r="T460" s="441"/>
      <c r="U460" s="588"/>
      <c r="V460" s="441"/>
    </row>
    <row r="461" spans="2:22" ht="16.899999999999999" customHeight="1">
      <c r="B461" s="522"/>
      <c r="K461" s="420"/>
      <c r="L461" s="437"/>
      <c r="M461" s="587"/>
      <c r="N461" s="587"/>
      <c r="O461" s="587"/>
      <c r="P461" s="587"/>
      <c r="Q461" s="561"/>
      <c r="R461" s="561"/>
      <c r="S461" s="441"/>
      <c r="T461" s="441"/>
      <c r="U461" s="588"/>
      <c r="V461" s="441"/>
    </row>
    <row r="462" spans="2:22" ht="28.5" customHeight="1">
      <c r="B462" s="522"/>
      <c r="C462" s="2579" t="s">
        <v>1198</v>
      </c>
      <c r="D462" s="2579"/>
      <c r="E462" s="2579" t="s">
        <v>399</v>
      </c>
      <c r="F462" s="2579"/>
      <c r="G462" s="2579"/>
      <c r="H462" s="2579"/>
      <c r="I462" s="2579"/>
      <c r="J462" s="2579"/>
      <c r="K462" s="420"/>
      <c r="L462" s="1246">
        <v>15</v>
      </c>
      <c r="M462" s="587"/>
      <c r="N462" s="587"/>
      <c r="O462" s="587"/>
      <c r="P462" s="587"/>
      <c r="Q462" s="561"/>
      <c r="R462" s="561"/>
      <c r="S462" s="441"/>
      <c r="T462" s="441"/>
      <c r="U462" s="588"/>
      <c r="V462" s="441"/>
    </row>
    <row r="463" spans="2:22" ht="16.899999999999999" customHeight="1">
      <c r="B463" s="522"/>
      <c r="C463" s="585"/>
      <c r="D463" s="584"/>
      <c r="E463" s="584"/>
      <c r="F463" s="584"/>
      <c r="G463" s="586"/>
      <c r="H463" s="436"/>
      <c r="I463" s="420"/>
      <c r="K463" s="420"/>
      <c r="L463" s="437"/>
      <c r="M463" s="587"/>
      <c r="N463" s="587"/>
      <c r="O463" s="587"/>
      <c r="P463" s="587"/>
      <c r="Q463" s="561"/>
      <c r="R463" s="561"/>
      <c r="S463" s="441"/>
      <c r="T463" s="441"/>
      <c r="U463" s="588"/>
      <c r="V463" s="441"/>
    </row>
    <row r="464" spans="2:22" ht="16.899999999999999" customHeight="1">
      <c r="B464" s="522"/>
      <c r="C464" s="1240"/>
      <c r="D464" s="1241"/>
      <c r="E464" s="1241"/>
      <c r="F464" s="1241"/>
      <c r="G464" s="1242"/>
      <c r="H464" s="1243"/>
      <c r="I464" s="1244"/>
      <c r="J464" s="1239"/>
      <c r="K464" s="420"/>
      <c r="L464" s="437"/>
      <c r="M464" s="587"/>
      <c r="N464" s="587"/>
      <c r="O464" s="587"/>
      <c r="P464" s="587"/>
      <c r="Q464" s="561"/>
      <c r="R464" s="561"/>
      <c r="S464" s="441"/>
      <c r="T464" s="441"/>
      <c r="U464" s="588"/>
      <c r="V464" s="441"/>
    </row>
    <row r="465" spans="1:22" ht="16.899999999999999" customHeight="1">
      <c r="B465" s="522"/>
      <c r="C465" s="585"/>
      <c r="D465" s="584"/>
      <c r="E465" s="584"/>
      <c r="F465" s="584"/>
      <c r="G465" s="586"/>
      <c r="H465" s="436"/>
      <c r="I465" s="420"/>
      <c r="K465" s="420"/>
      <c r="L465" s="437"/>
      <c r="M465" s="587"/>
      <c r="N465" s="587"/>
      <c r="O465" s="587"/>
      <c r="P465" s="587"/>
      <c r="Q465" s="561"/>
      <c r="R465" s="561"/>
      <c r="S465" s="441"/>
      <c r="T465" s="441"/>
      <c r="U465" s="588"/>
      <c r="V465" s="441"/>
    </row>
    <row r="466" spans="1:22" ht="16.899999999999999" customHeight="1">
      <c r="B466" s="522"/>
      <c r="C466" s="585"/>
      <c r="D466" s="584"/>
      <c r="E466" s="584"/>
      <c r="F466" s="584"/>
      <c r="G466" s="586"/>
      <c r="H466" s="436"/>
      <c r="I466" s="420"/>
      <c r="K466" s="420"/>
      <c r="L466" s="437"/>
      <c r="M466" s="587"/>
      <c r="N466" s="587"/>
      <c r="O466" s="587"/>
      <c r="P466" s="587"/>
      <c r="Q466" s="561"/>
      <c r="R466" s="561"/>
      <c r="S466" s="441"/>
      <c r="T466" s="441"/>
      <c r="U466" s="588"/>
      <c r="V466" s="441"/>
    </row>
    <row r="467" spans="1:22" ht="16.899999999999999" customHeight="1">
      <c r="B467" s="522"/>
      <c r="C467" s="585"/>
      <c r="D467" s="584"/>
      <c r="E467" s="584"/>
      <c r="F467" s="584"/>
      <c r="G467" s="586"/>
      <c r="H467" s="436"/>
      <c r="I467" s="420"/>
      <c r="K467" s="420"/>
      <c r="L467" s="437"/>
      <c r="M467" s="587"/>
      <c r="N467" s="587"/>
      <c r="O467" s="587"/>
      <c r="P467" s="587"/>
      <c r="Q467" s="561"/>
      <c r="R467" s="561"/>
      <c r="S467" s="441"/>
      <c r="T467" s="441"/>
      <c r="U467" s="588"/>
      <c r="V467" s="441"/>
    </row>
    <row r="468" spans="1:22" ht="16.899999999999999" customHeight="1">
      <c r="T468" s="441"/>
      <c r="U468" s="588"/>
      <c r="V468" s="441"/>
    </row>
    <row r="469" spans="1:22" ht="16.899999999999999" customHeight="1">
      <c r="B469" s="522"/>
      <c r="C469" s="585"/>
      <c r="D469" s="584"/>
      <c r="E469" s="584"/>
      <c r="F469" s="584"/>
      <c r="G469" s="586"/>
      <c r="H469" s="436"/>
      <c r="I469" s="420"/>
      <c r="K469" s="420"/>
      <c r="L469" s="437"/>
      <c r="M469" s="587"/>
      <c r="N469" s="587"/>
      <c r="O469" s="587"/>
      <c r="P469" s="587"/>
      <c r="Q469" s="561"/>
      <c r="R469" s="561"/>
      <c r="S469" s="441"/>
      <c r="T469" s="441"/>
      <c r="U469" s="588"/>
      <c r="V469" s="441"/>
    </row>
    <row r="470" spans="1:22" ht="16.899999999999999" customHeight="1">
      <c r="B470" s="522"/>
      <c r="C470" s="585"/>
      <c r="D470" s="584"/>
      <c r="E470" s="584"/>
      <c r="F470" s="584"/>
      <c r="G470" s="586"/>
      <c r="H470" s="436"/>
      <c r="I470" s="420"/>
      <c r="K470" s="420"/>
      <c r="L470" s="437"/>
      <c r="M470" s="587"/>
      <c r="N470" s="587"/>
      <c r="O470" s="587"/>
      <c r="P470" s="587"/>
      <c r="Q470" s="561"/>
      <c r="R470" s="561"/>
      <c r="S470" s="441"/>
      <c r="T470" s="441"/>
      <c r="U470" s="588"/>
      <c r="V470" s="441"/>
    </row>
    <row r="471" spans="1:22" ht="16.899999999999999" customHeight="1">
      <c r="B471" s="522"/>
      <c r="C471" s="585"/>
      <c r="D471" s="584"/>
      <c r="E471" s="584"/>
      <c r="F471" s="584"/>
      <c r="G471" s="586"/>
      <c r="H471" s="436"/>
      <c r="I471" s="420"/>
      <c r="K471" s="420"/>
      <c r="L471" s="437"/>
      <c r="M471" s="587"/>
      <c r="N471" s="587"/>
      <c r="O471" s="587"/>
      <c r="P471" s="587"/>
      <c r="Q471" s="561"/>
      <c r="R471" s="561"/>
      <c r="S471" s="441"/>
      <c r="T471" s="441"/>
      <c r="U471" s="588"/>
      <c r="V471" s="441"/>
    </row>
    <row r="472" spans="1:22" ht="16.899999999999999" customHeight="1">
      <c r="B472" s="522"/>
      <c r="C472" s="585"/>
      <c r="D472" s="584"/>
      <c r="E472" s="584"/>
      <c r="F472" s="584"/>
      <c r="G472" s="586"/>
      <c r="H472" s="436"/>
      <c r="I472" s="420"/>
      <c r="K472" s="420"/>
      <c r="L472" s="437"/>
      <c r="M472" s="587"/>
      <c r="N472" s="587"/>
      <c r="O472" s="587"/>
      <c r="P472" s="587"/>
      <c r="Q472" s="561"/>
      <c r="R472" s="561"/>
      <c r="S472" s="441"/>
      <c r="T472" s="441"/>
      <c r="U472" s="588"/>
      <c r="V472" s="441"/>
    </row>
    <row r="473" spans="1:22" ht="16.899999999999999" customHeight="1">
      <c r="B473" s="520" t="s">
        <v>699</v>
      </c>
      <c r="C473" s="585"/>
      <c r="D473" s="584"/>
      <c r="E473" s="584"/>
      <c r="F473" s="584"/>
      <c r="G473" s="586"/>
      <c r="H473" s="436"/>
      <c r="I473" s="420"/>
      <c r="K473" s="420"/>
      <c r="L473" s="437"/>
      <c r="M473" s="476" t="s">
        <v>1826</v>
      </c>
      <c r="N473" s="587"/>
      <c r="O473" s="587"/>
      <c r="P473" s="587"/>
      <c r="Q473" s="561"/>
      <c r="R473" s="477" t="s">
        <v>692</v>
      </c>
      <c r="S473" s="478" t="str">
        <f>$E$29</f>
        <v>ILF5_90FCOS_B114CAGR43006</v>
      </c>
      <c r="T473" s="441"/>
      <c r="U473" s="588"/>
      <c r="V473" s="441"/>
    </row>
    <row r="474" spans="1:22" ht="16.899999999999999" customHeight="1">
      <c r="B474" s="522"/>
      <c r="C474" s="585"/>
      <c r="D474" s="584"/>
      <c r="E474" s="584"/>
      <c r="F474" s="584"/>
      <c r="G474" s="586"/>
      <c r="H474" s="436"/>
      <c r="I474" s="420"/>
      <c r="K474" s="420"/>
      <c r="L474" s="437"/>
      <c r="M474" s="587"/>
      <c r="N474" s="587"/>
      <c r="O474" s="587"/>
      <c r="P474" s="587"/>
      <c r="Q474" s="561"/>
      <c r="R474" s="561"/>
      <c r="S474" s="441"/>
      <c r="T474" s="441"/>
      <c r="U474" s="588"/>
      <c r="V474" s="441"/>
    </row>
    <row r="475" spans="1:22" ht="16.899999999999999" customHeight="1">
      <c r="B475" s="522"/>
      <c r="C475" s="585"/>
      <c r="D475" s="584"/>
      <c r="E475" s="584"/>
      <c r="F475" s="584"/>
      <c r="G475" s="586"/>
      <c r="H475" s="436"/>
      <c r="I475" s="420"/>
      <c r="K475" s="420"/>
      <c r="L475" s="437"/>
      <c r="M475" s="587"/>
      <c r="N475" s="587"/>
      <c r="O475" s="587"/>
      <c r="P475" s="587"/>
      <c r="Q475" s="561"/>
      <c r="R475" s="561"/>
      <c r="S475" s="441"/>
      <c r="T475" s="441"/>
      <c r="U475" s="588"/>
      <c r="V475" s="441"/>
    </row>
    <row r="476" spans="1:22">
      <c r="A476" s="420"/>
      <c r="B476" s="420"/>
      <c r="C476" s="420"/>
      <c r="D476" s="420"/>
      <c r="E476" s="420"/>
      <c r="F476" s="420"/>
      <c r="G476" s="420"/>
      <c r="H476" s="436" t="s">
        <v>691</v>
      </c>
      <c r="I476" s="420"/>
      <c r="K476" s="420"/>
      <c r="L476" s="437" t="str">
        <f>$B$11</f>
        <v>INMOBILIARIA SERVIGESTION</v>
      </c>
      <c r="M476" s="420"/>
      <c r="N476" s="420"/>
      <c r="O476" s="420"/>
      <c r="P476" s="420"/>
      <c r="Q476" s="420"/>
      <c r="R476" s="420"/>
      <c r="S476" s="420"/>
      <c r="T476" s="420"/>
      <c r="U476" s="420"/>
      <c r="V476" s="420"/>
    </row>
    <row r="477" spans="1:22" ht="34.5">
      <c r="A477" s="420"/>
      <c r="B477" s="2268" t="s">
        <v>461</v>
      </c>
      <c r="C477" s="2268"/>
      <c r="D477" s="2268"/>
      <c r="E477" s="2268"/>
      <c r="F477" s="2268"/>
      <c r="G477" s="2268"/>
      <c r="H477" s="2268"/>
      <c r="I477" s="2268"/>
      <c r="J477" s="2268"/>
      <c r="K477" s="2268"/>
      <c r="L477" s="2268"/>
      <c r="M477" s="2268"/>
      <c r="N477" s="2268"/>
      <c r="O477" s="2268"/>
      <c r="P477" s="2268"/>
      <c r="Q477" s="2268"/>
      <c r="R477" s="2268"/>
      <c r="S477" s="2268"/>
      <c r="T477" s="2268"/>
      <c r="U477" s="2268"/>
      <c r="V477" s="420"/>
    </row>
    <row r="478" spans="1:22" ht="22.9" customHeight="1">
      <c r="A478" s="420"/>
      <c r="B478" s="2269" t="s">
        <v>1114</v>
      </c>
      <c r="C478" s="2269"/>
      <c r="D478" s="2269"/>
      <c r="E478" s="2269"/>
      <c r="F478" s="2269"/>
      <c r="G478" s="2269"/>
      <c r="H478" s="2269"/>
      <c r="I478" s="2269"/>
      <c r="J478" s="2269"/>
      <c r="K478" s="2269"/>
      <c r="L478" s="2269"/>
      <c r="M478" s="2269"/>
      <c r="N478" s="2269"/>
      <c r="O478" s="2269"/>
      <c r="P478" s="2269"/>
      <c r="Q478" s="2269"/>
      <c r="R478" s="2269"/>
      <c r="S478" s="2269"/>
      <c r="T478" s="2269"/>
      <c r="U478" s="2269"/>
      <c r="V478" s="420"/>
    </row>
    <row r="479" spans="1:22" ht="18.399999999999999" customHeight="1">
      <c r="A479" s="429"/>
      <c r="B479" s="2251"/>
      <c r="C479" s="2251"/>
      <c r="D479" s="2251"/>
      <c r="E479" s="2251"/>
      <c r="F479" s="2251"/>
      <c r="G479" s="2251"/>
      <c r="H479" s="2251"/>
      <c r="I479" s="2251"/>
      <c r="J479" s="2251"/>
      <c r="K479" s="2251"/>
      <c r="L479" s="2251"/>
      <c r="M479" s="2251"/>
      <c r="N479" s="2251"/>
      <c r="O479" s="2251"/>
      <c r="P479" s="2251"/>
      <c r="Q479" s="2251"/>
      <c r="R479" s="2251"/>
      <c r="S479" s="2251"/>
      <c r="T479" s="2251"/>
      <c r="U479" s="2251"/>
      <c r="V479" s="429"/>
    </row>
    <row r="480" spans="1:22" ht="23.25">
      <c r="A480" s="420"/>
      <c r="B480" s="2252"/>
      <c r="C480" s="2252"/>
      <c r="D480" s="2252"/>
      <c r="E480" s="2252"/>
      <c r="F480" s="2252"/>
      <c r="G480" s="2252"/>
      <c r="H480" s="2252"/>
      <c r="I480" s="2252"/>
      <c r="J480" s="2252"/>
      <c r="K480" s="2252"/>
      <c r="L480" s="831"/>
      <c r="M480" s="831"/>
      <c r="N480" s="831"/>
      <c r="O480" s="831"/>
      <c r="P480" s="831"/>
      <c r="Q480" s="831"/>
      <c r="R480" s="831"/>
      <c r="S480" s="831"/>
      <c r="T480" s="831"/>
      <c r="U480" s="831"/>
      <c r="V480" s="420"/>
    </row>
    <row r="481" spans="1:22" ht="23.25">
      <c r="A481" s="420"/>
      <c r="B481" s="2252" t="s">
        <v>513</v>
      </c>
      <c r="C481" s="2252"/>
      <c r="D481" s="2252"/>
      <c r="E481" s="2252"/>
      <c r="F481" s="2252"/>
      <c r="G481" s="2252"/>
      <c r="H481" s="2252"/>
      <c r="I481" s="2252"/>
      <c r="J481" s="2252"/>
      <c r="K481" s="2252"/>
      <c r="L481" s="908"/>
      <c r="M481" s="908"/>
      <c r="N481" s="908"/>
      <c r="O481" s="908"/>
      <c r="P481" s="908"/>
      <c r="Q481" s="908"/>
      <c r="R481" s="908"/>
      <c r="S481" s="908"/>
      <c r="T481" s="908"/>
      <c r="U481" s="908"/>
      <c r="V481" s="420"/>
    </row>
    <row r="482" spans="1:22" ht="61.15" customHeight="1">
      <c r="A482" s="420"/>
      <c r="B482" s="2260" t="s">
        <v>1049</v>
      </c>
      <c r="C482" s="2260"/>
      <c r="D482" s="2260"/>
      <c r="E482" s="2260"/>
      <c r="F482" s="2260"/>
      <c r="G482" s="2260"/>
      <c r="H482" s="2260"/>
      <c r="I482" s="2260"/>
      <c r="J482" s="2260"/>
      <c r="K482" s="2260"/>
      <c r="L482" s="2260"/>
      <c r="M482" s="2260"/>
      <c r="N482" s="2260"/>
      <c r="O482" s="2260"/>
      <c r="P482" s="2260"/>
      <c r="Q482" s="2260"/>
      <c r="R482" s="2260"/>
      <c r="S482" s="2260"/>
      <c r="T482" s="2260"/>
      <c r="U482" s="2260"/>
      <c r="V482" s="420"/>
    </row>
    <row r="483" spans="1:22">
      <c r="A483" s="420"/>
      <c r="V483" s="420"/>
    </row>
    <row r="484" spans="1:22" ht="29.45" customHeight="1">
      <c r="A484" s="420"/>
      <c r="B484" s="2251" t="s">
        <v>514</v>
      </c>
      <c r="C484" s="2251"/>
      <c r="D484" s="2251"/>
      <c r="E484" s="2251"/>
      <c r="F484" s="2251"/>
      <c r="G484" s="2251"/>
      <c r="H484" s="2251"/>
      <c r="I484" s="2251"/>
      <c r="J484" s="2251"/>
      <c r="K484" s="2251"/>
      <c r="L484" s="2251"/>
      <c r="M484" s="2251"/>
      <c r="N484" s="2251"/>
      <c r="O484" s="2251"/>
      <c r="P484" s="2251"/>
      <c r="Q484" s="2251"/>
      <c r="R484" s="2251"/>
      <c r="S484" s="2251"/>
      <c r="T484" s="2251"/>
      <c r="U484" s="2251"/>
      <c r="V484" s="420"/>
    </row>
    <row r="485" spans="1:22" ht="27.6" customHeight="1">
      <c r="A485" s="420"/>
      <c r="B485" s="2251" t="s">
        <v>1044</v>
      </c>
      <c r="C485" s="2251"/>
      <c r="D485" s="2251"/>
      <c r="E485" s="2251"/>
      <c r="F485" s="2251"/>
      <c r="G485" s="2251"/>
      <c r="H485" s="2251"/>
      <c r="I485" s="2251"/>
      <c r="J485" s="2251"/>
      <c r="K485" s="2251"/>
      <c r="L485" s="2251"/>
      <c r="M485" s="2251"/>
      <c r="N485" s="2251"/>
      <c r="O485" s="2251"/>
      <c r="P485" s="2251"/>
      <c r="Q485" s="2251"/>
      <c r="R485" s="2251"/>
      <c r="S485" s="2251"/>
      <c r="T485" s="2251"/>
      <c r="U485" s="2251"/>
      <c r="V485" s="420"/>
    </row>
    <row r="486" spans="1:22" ht="27.6" customHeight="1">
      <c r="A486" s="420"/>
      <c r="B486" s="2251" t="s">
        <v>1034</v>
      </c>
      <c r="C486" s="2251"/>
      <c r="D486" s="2251"/>
      <c r="E486" s="2251"/>
      <c r="F486" s="2251"/>
      <c r="G486" s="2251"/>
      <c r="H486" s="2251"/>
      <c r="I486" s="2251"/>
      <c r="J486" s="2251"/>
      <c r="K486" s="2251"/>
      <c r="L486" s="2251"/>
      <c r="M486" s="2251"/>
      <c r="N486" s="2251"/>
      <c r="O486" s="2251"/>
      <c r="P486" s="2251"/>
      <c r="Q486" s="2251"/>
      <c r="R486" s="2251"/>
      <c r="S486" s="2251"/>
      <c r="T486" s="2251"/>
      <c r="U486" s="2251"/>
      <c r="V486" s="420"/>
    </row>
    <row r="487" spans="1:22" ht="27.6" customHeight="1">
      <c r="A487" s="420"/>
      <c r="B487" s="909"/>
      <c r="C487" s="2251" t="s">
        <v>2024</v>
      </c>
      <c r="D487" s="2251"/>
      <c r="E487" s="2251"/>
      <c r="F487" s="2251"/>
      <c r="G487" s="2251"/>
      <c r="H487" s="2251"/>
      <c r="I487" s="2251"/>
      <c r="J487" s="2251"/>
      <c r="K487" s="2251"/>
      <c r="L487" s="909"/>
      <c r="M487" s="909"/>
      <c r="N487" s="909"/>
      <c r="O487" s="909"/>
      <c r="P487" s="909"/>
      <c r="Q487" s="909"/>
      <c r="R487" s="909"/>
      <c r="S487" s="909"/>
      <c r="T487" s="909"/>
      <c r="U487" s="909"/>
      <c r="V487" s="420"/>
    </row>
    <row r="488" spans="1:22" ht="27.6" customHeight="1">
      <c r="A488" s="420"/>
      <c r="B488" s="909"/>
      <c r="C488" s="2251" t="s">
        <v>1997</v>
      </c>
      <c r="D488" s="2251"/>
      <c r="E488" s="2251"/>
      <c r="F488" s="2251"/>
      <c r="G488" s="2251"/>
      <c r="H488" s="2251"/>
      <c r="I488" s="2251"/>
      <c r="J488" s="2251"/>
      <c r="K488" s="2251"/>
      <c r="L488" s="909"/>
      <c r="M488" s="909"/>
      <c r="N488" s="909"/>
      <c r="O488" s="909"/>
      <c r="P488" s="909"/>
      <c r="Q488" s="909"/>
      <c r="R488" s="909"/>
      <c r="S488" s="909"/>
      <c r="T488" s="909"/>
      <c r="U488" s="909"/>
      <c r="V488" s="420"/>
    </row>
    <row r="489" spans="1:22" ht="27.6" customHeight="1">
      <c r="A489" s="420"/>
      <c r="B489" s="909"/>
      <c r="C489" s="2251" t="s">
        <v>1035</v>
      </c>
      <c r="D489" s="2251"/>
      <c r="E489" s="2251"/>
      <c r="F489" s="2251"/>
      <c r="G489" s="2251"/>
      <c r="H489" s="2251"/>
      <c r="I489" s="2251"/>
      <c r="J489" s="2251"/>
      <c r="K489" s="2251"/>
      <c r="L489" s="909"/>
      <c r="M489" s="909"/>
      <c r="N489" s="909"/>
      <c r="O489" s="909"/>
      <c r="P489" s="909"/>
      <c r="Q489" s="909"/>
      <c r="R489" s="909"/>
      <c r="S489" s="909"/>
      <c r="T489" s="909"/>
      <c r="U489" s="909"/>
      <c r="V489" s="420"/>
    </row>
    <row r="490" spans="1:22" ht="27.6" customHeight="1">
      <c r="A490" s="420"/>
      <c r="B490" s="2251" t="s">
        <v>1036</v>
      </c>
      <c r="C490" s="2251"/>
      <c r="D490" s="2251"/>
      <c r="E490" s="2251"/>
      <c r="F490" s="2251"/>
      <c r="G490" s="2251"/>
      <c r="H490" s="2251"/>
      <c r="I490" s="2251"/>
      <c r="J490" s="2251"/>
      <c r="K490" s="2251"/>
      <c r="L490" s="2251"/>
      <c r="M490" s="2251"/>
      <c r="N490" s="2251"/>
      <c r="O490" s="2251"/>
      <c r="P490" s="2251"/>
      <c r="Q490" s="2251"/>
      <c r="R490" s="2251"/>
      <c r="S490" s="2251"/>
      <c r="T490" s="2251"/>
      <c r="U490" s="2251"/>
      <c r="V490" s="420"/>
    </row>
    <row r="491" spans="1:22" ht="27.6" customHeight="1">
      <c r="A491" s="420"/>
      <c r="B491" s="2251" t="s">
        <v>1037</v>
      </c>
      <c r="C491" s="2251"/>
      <c r="D491" s="2251"/>
      <c r="E491" s="2251"/>
      <c r="F491" s="2251"/>
      <c r="G491" s="2251"/>
      <c r="H491" s="2251"/>
      <c r="I491" s="2251"/>
      <c r="J491" s="2251"/>
      <c r="K491" s="2251"/>
      <c r="L491" s="2251"/>
      <c r="M491" s="2251"/>
      <c r="N491" s="2251"/>
      <c r="O491" s="2251"/>
      <c r="P491" s="2251"/>
      <c r="Q491" s="2251"/>
      <c r="R491" s="2251"/>
      <c r="S491" s="2251"/>
      <c r="T491" s="2251"/>
      <c r="U491" s="2251"/>
      <c r="V491" s="420"/>
    </row>
    <row r="492" spans="1:22" ht="27.6" customHeight="1">
      <c r="A492" s="420"/>
      <c r="B492" s="2251" t="s">
        <v>1039</v>
      </c>
      <c r="C492" s="2251"/>
      <c r="D492" s="2251"/>
      <c r="E492" s="2251"/>
      <c r="F492" s="2251"/>
      <c r="G492" s="2251"/>
      <c r="H492" s="2251"/>
      <c r="I492" s="2251"/>
      <c r="J492" s="2251"/>
      <c r="K492" s="2251"/>
      <c r="L492" s="2251"/>
      <c r="M492" s="2251"/>
      <c r="N492" s="2251"/>
      <c r="O492" s="2251"/>
      <c r="P492" s="2251"/>
      <c r="Q492" s="2251"/>
      <c r="R492" s="2251"/>
      <c r="S492" s="2251"/>
      <c r="T492" s="2251"/>
      <c r="U492" s="2251"/>
      <c r="V492" s="420"/>
    </row>
    <row r="493" spans="1:22" ht="33.6" customHeight="1">
      <c r="A493" s="420"/>
      <c r="B493" s="2251" t="s">
        <v>1038</v>
      </c>
      <c r="C493" s="2251"/>
      <c r="D493" s="2251"/>
      <c r="E493" s="2251"/>
      <c r="F493" s="2251"/>
      <c r="G493" s="2251"/>
      <c r="H493" s="2251"/>
      <c r="I493" s="2251"/>
      <c r="J493" s="2251"/>
      <c r="K493" s="2251"/>
      <c r="L493" s="2251"/>
      <c r="M493" s="2251"/>
      <c r="N493" s="2251"/>
      <c r="O493" s="2251"/>
      <c r="P493" s="2251"/>
      <c r="Q493" s="2251"/>
      <c r="R493" s="2251"/>
      <c r="S493" s="2251"/>
      <c r="T493" s="2251"/>
      <c r="U493" s="2251"/>
      <c r="V493" s="420"/>
    </row>
    <row r="494" spans="1:22" ht="22.9" customHeight="1">
      <c r="A494" s="420"/>
      <c r="B494" s="2252"/>
      <c r="C494" s="2252"/>
      <c r="D494" s="2252"/>
      <c r="E494" s="2252"/>
      <c r="F494" s="2252"/>
      <c r="G494" s="2252"/>
      <c r="H494" s="2252"/>
      <c r="I494" s="2252"/>
      <c r="J494" s="2252"/>
      <c r="K494" s="2252"/>
      <c r="L494" s="909"/>
      <c r="M494" s="909"/>
      <c r="N494" s="909"/>
      <c r="O494" s="909"/>
      <c r="P494" s="909"/>
      <c r="Q494" s="909"/>
      <c r="R494" s="909"/>
      <c r="S494" s="909"/>
      <c r="T494" s="909"/>
      <c r="U494" s="909"/>
      <c r="V494" s="420"/>
    </row>
    <row r="495" spans="1:22" ht="23.25">
      <c r="A495" s="420"/>
      <c r="B495" s="2252" t="s">
        <v>1041</v>
      </c>
      <c r="C495" s="2252"/>
      <c r="D495" s="2252"/>
      <c r="E495" s="2252"/>
      <c r="F495" s="2252"/>
      <c r="G495" s="2252"/>
      <c r="H495" s="2252"/>
      <c r="I495" s="2252"/>
      <c r="J495" s="2252"/>
      <c r="K495" s="2252"/>
      <c r="L495" s="909"/>
      <c r="M495" s="909"/>
      <c r="N495" s="909"/>
      <c r="O495" s="909"/>
      <c r="P495" s="909"/>
      <c r="Q495" s="909"/>
      <c r="R495" s="909"/>
      <c r="S495" s="909"/>
      <c r="T495" s="909"/>
      <c r="U495" s="909"/>
      <c r="V495" s="420"/>
    </row>
    <row r="496" spans="1:22" ht="23.25">
      <c r="A496" s="420"/>
      <c r="B496" s="2251" t="s">
        <v>1040</v>
      </c>
      <c r="C496" s="2251"/>
      <c r="D496" s="2251"/>
      <c r="E496" s="2251"/>
      <c r="F496" s="2251"/>
      <c r="G496" s="2251"/>
      <c r="H496" s="2251"/>
      <c r="I496" s="2251"/>
      <c r="J496" s="2251"/>
      <c r="K496" s="2251"/>
      <c r="L496" s="2251"/>
      <c r="M496" s="2251"/>
      <c r="N496" s="2251"/>
      <c r="O496" s="2251"/>
      <c r="P496" s="2251"/>
      <c r="Q496" s="2251"/>
      <c r="R496" s="2251"/>
      <c r="S496" s="2251"/>
      <c r="T496" s="2251"/>
      <c r="U496" s="2251"/>
      <c r="V496" s="420"/>
    </row>
    <row r="497" spans="1:22">
      <c r="A497" s="420"/>
      <c r="V497" s="420"/>
    </row>
    <row r="498" spans="1:22" ht="23.25">
      <c r="A498" s="420"/>
      <c r="B498" s="2251" t="s">
        <v>1042</v>
      </c>
      <c r="C498" s="2251"/>
      <c r="D498" s="2251"/>
      <c r="E498" s="2251"/>
      <c r="F498" s="2251"/>
      <c r="G498" s="2251"/>
      <c r="H498" s="2251"/>
      <c r="I498" s="2251"/>
      <c r="J498" s="2251"/>
      <c r="K498" s="2251"/>
      <c r="L498" s="2251"/>
      <c r="M498" s="2251"/>
      <c r="N498" s="2251"/>
      <c r="O498" s="2251"/>
      <c r="P498" s="2251"/>
      <c r="Q498" s="2251"/>
      <c r="R498" s="2251"/>
      <c r="S498" s="2251"/>
      <c r="T498" s="2251"/>
      <c r="U498" s="2251"/>
      <c r="V498" s="420"/>
    </row>
    <row r="499" spans="1:22" ht="28.15" customHeight="1">
      <c r="A499" s="420"/>
      <c r="B499" s="2251" t="s">
        <v>1043</v>
      </c>
      <c r="C499" s="2251"/>
      <c r="D499" s="2251"/>
      <c r="E499" s="2251"/>
      <c r="F499" s="2251"/>
      <c r="G499" s="2251"/>
      <c r="H499" s="2251"/>
      <c r="I499" s="2251"/>
      <c r="J499" s="2251"/>
      <c r="K499" s="2251"/>
      <c r="L499" s="2251"/>
      <c r="M499" s="2251"/>
      <c r="N499" s="2251"/>
      <c r="O499" s="2251"/>
      <c r="P499" s="2251"/>
      <c r="Q499" s="2251"/>
      <c r="R499" s="2251"/>
      <c r="S499" s="2251"/>
      <c r="T499" s="2251"/>
      <c r="U499" s="2251"/>
      <c r="V499" s="420"/>
    </row>
    <row r="500" spans="1:22" ht="28.15" customHeight="1">
      <c r="A500" s="420"/>
      <c r="B500" s="2251" t="s">
        <v>1034</v>
      </c>
      <c r="C500" s="2251"/>
      <c r="D500" s="2251"/>
      <c r="E500" s="2251"/>
      <c r="F500" s="2251"/>
      <c r="G500" s="2251"/>
      <c r="H500" s="2251"/>
      <c r="I500" s="2251"/>
      <c r="J500" s="2251"/>
      <c r="K500" s="2251"/>
      <c r="L500" s="2251"/>
      <c r="M500" s="2251"/>
      <c r="N500" s="2251"/>
      <c r="O500" s="2251"/>
      <c r="P500" s="2251"/>
      <c r="Q500" s="2251"/>
      <c r="R500" s="2251"/>
      <c r="S500" s="2251"/>
      <c r="T500" s="2251"/>
      <c r="U500" s="2251"/>
      <c r="V500" s="420"/>
    </row>
    <row r="501" spans="1:22" ht="28.15" customHeight="1">
      <c r="A501" s="420"/>
      <c r="B501" s="909"/>
      <c r="C501" s="2251" t="s">
        <v>2024</v>
      </c>
      <c r="D501" s="2251"/>
      <c r="E501" s="2251"/>
      <c r="F501" s="2251"/>
      <c r="G501" s="2251"/>
      <c r="H501" s="2251"/>
      <c r="I501" s="2251"/>
      <c r="J501" s="2251"/>
      <c r="K501" s="2251"/>
      <c r="L501" s="909"/>
      <c r="M501" s="909"/>
      <c r="N501" s="909"/>
      <c r="O501" s="909"/>
      <c r="P501" s="909"/>
      <c r="Q501" s="909"/>
      <c r="R501" s="909"/>
      <c r="S501" s="909"/>
      <c r="T501" s="909"/>
      <c r="U501" s="909"/>
      <c r="V501" s="420"/>
    </row>
    <row r="502" spans="1:22" ht="28.15" customHeight="1">
      <c r="A502" s="420"/>
      <c r="B502" s="909"/>
      <c r="C502" s="2251" t="s">
        <v>1997</v>
      </c>
      <c r="D502" s="2251"/>
      <c r="E502" s="2251"/>
      <c r="F502" s="2251"/>
      <c r="G502" s="2251"/>
      <c r="H502" s="2251"/>
      <c r="I502" s="2251"/>
      <c r="J502" s="2251"/>
      <c r="K502" s="2251"/>
      <c r="L502" s="909"/>
      <c r="M502" s="909"/>
      <c r="N502" s="909"/>
      <c r="O502" s="909"/>
      <c r="P502" s="909"/>
      <c r="Q502" s="909"/>
      <c r="R502" s="909"/>
      <c r="S502" s="909"/>
      <c r="T502" s="909"/>
      <c r="U502" s="909"/>
      <c r="V502" s="420"/>
    </row>
    <row r="503" spans="1:22" ht="28.15" customHeight="1">
      <c r="A503" s="420"/>
      <c r="B503" s="909"/>
      <c r="C503" s="2251" t="s">
        <v>1035</v>
      </c>
      <c r="D503" s="2251"/>
      <c r="E503" s="2251"/>
      <c r="F503" s="2251"/>
      <c r="G503" s="2251"/>
      <c r="H503" s="2251"/>
      <c r="I503" s="2251"/>
      <c r="J503" s="2251"/>
      <c r="K503" s="2251"/>
      <c r="L503" s="909"/>
      <c r="M503" s="909"/>
      <c r="N503" s="909"/>
      <c r="O503" s="909"/>
      <c r="P503" s="909"/>
      <c r="Q503" s="909"/>
      <c r="R503" s="909"/>
      <c r="S503" s="909"/>
      <c r="T503" s="909"/>
      <c r="U503" s="909"/>
      <c r="V503" s="420"/>
    </row>
    <row r="504" spans="1:22" ht="28.15" customHeight="1">
      <c r="A504" s="420"/>
      <c r="B504" s="2251" t="s">
        <v>1045</v>
      </c>
      <c r="C504" s="2251"/>
      <c r="D504" s="2251"/>
      <c r="E504" s="2251"/>
      <c r="F504" s="2251"/>
      <c r="G504" s="2251"/>
      <c r="H504" s="2251"/>
      <c r="I504" s="2251"/>
      <c r="J504" s="2251"/>
      <c r="K504" s="2251"/>
      <c r="L504" s="2251"/>
      <c r="M504" s="2251"/>
      <c r="N504" s="2251"/>
      <c r="O504" s="2251"/>
      <c r="P504" s="2251"/>
      <c r="Q504" s="2251"/>
      <c r="R504" s="2251"/>
      <c r="S504" s="2251"/>
      <c r="T504" s="2251"/>
      <c r="U504" s="2251"/>
      <c r="V504" s="420"/>
    </row>
    <row r="505" spans="1:22" ht="28.15" customHeight="1">
      <c r="A505" s="420"/>
      <c r="B505" s="2251" t="s">
        <v>1046</v>
      </c>
      <c r="C505" s="2251"/>
      <c r="D505" s="2251"/>
      <c r="E505" s="2251"/>
      <c r="F505" s="2251"/>
      <c r="G505" s="2251"/>
      <c r="H505" s="2251"/>
      <c r="I505" s="2251"/>
      <c r="J505" s="2251"/>
      <c r="K505" s="2251"/>
      <c r="L505" s="2251"/>
      <c r="M505" s="2251"/>
      <c r="N505" s="2251"/>
      <c r="O505" s="2251"/>
      <c r="P505" s="2251"/>
      <c r="Q505" s="2251"/>
      <c r="R505" s="2251"/>
      <c r="S505" s="2251"/>
      <c r="T505" s="2251"/>
      <c r="U505" s="2251"/>
      <c r="V505" s="420"/>
    </row>
    <row r="506" spans="1:22" ht="28.15" customHeight="1">
      <c r="A506" s="420"/>
      <c r="B506" s="2251" t="s">
        <v>1076</v>
      </c>
      <c r="C506" s="2251"/>
      <c r="D506" s="2251"/>
      <c r="E506" s="2251"/>
      <c r="F506" s="2251"/>
      <c r="G506" s="2251"/>
      <c r="H506" s="2251"/>
      <c r="I506" s="2251"/>
      <c r="J506" s="2251"/>
      <c r="K506" s="2251"/>
      <c r="L506" s="2251"/>
      <c r="M506" s="2251"/>
      <c r="N506" s="2251"/>
      <c r="O506" s="2251"/>
      <c r="P506" s="2251"/>
      <c r="Q506" s="2251"/>
      <c r="R506" s="2251"/>
      <c r="S506" s="2251"/>
      <c r="T506" s="2251"/>
      <c r="U506" s="2251"/>
      <c r="V506" s="420"/>
    </row>
    <row r="507" spans="1:22" ht="28.15" customHeight="1">
      <c r="A507" s="420"/>
      <c r="B507" s="2251" t="s">
        <v>1047</v>
      </c>
      <c r="C507" s="2251"/>
      <c r="D507" s="2251"/>
      <c r="E507" s="2251"/>
      <c r="F507" s="2251"/>
      <c r="G507" s="2251"/>
      <c r="H507" s="2251"/>
      <c r="I507" s="2251"/>
      <c r="J507" s="2251"/>
      <c r="K507" s="2251"/>
      <c r="L507" s="2251"/>
      <c r="M507" s="2251"/>
      <c r="N507" s="2251"/>
      <c r="O507" s="2251"/>
      <c r="P507" s="2251"/>
      <c r="Q507" s="2251"/>
      <c r="R507" s="2251"/>
      <c r="S507" s="2251"/>
      <c r="T507" s="2251"/>
      <c r="U507" s="2251"/>
      <c r="V507" s="420"/>
    </row>
    <row r="508" spans="1:22" ht="28.15" customHeight="1">
      <c r="A508" s="420"/>
      <c r="B508" s="2251" t="s">
        <v>1048</v>
      </c>
      <c r="C508" s="2251"/>
      <c r="D508" s="2251"/>
      <c r="E508" s="2251"/>
      <c r="F508" s="2251"/>
      <c r="G508" s="2251"/>
      <c r="H508" s="2251"/>
      <c r="I508" s="2251"/>
      <c r="J508" s="2251"/>
      <c r="K508" s="2251"/>
      <c r="L508" s="2251"/>
      <c r="M508" s="2251"/>
      <c r="N508" s="2251"/>
      <c r="O508" s="2251"/>
      <c r="P508" s="2251"/>
      <c r="Q508" s="2251"/>
      <c r="R508" s="2251"/>
      <c r="S508" s="2251"/>
      <c r="T508" s="2251"/>
      <c r="U508" s="2251"/>
      <c r="V508" s="420"/>
    </row>
    <row r="509" spans="1:22" ht="28.15" customHeight="1">
      <c r="A509" s="420"/>
      <c r="B509" s="2251" t="s">
        <v>1039</v>
      </c>
      <c r="C509" s="2251"/>
      <c r="D509" s="2251"/>
      <c r="E509" s="2251"/>
      <c r="F509" s="2251"/>
      <c r="G509" s="2251"/>
      <c r="H509" s="2251"/>
      <c r="I509" s="2251"/>
      <c r="J509" s="2251"/>
      <c r="K509" s="2251"/>
      <c r="L509" s="2251"/>
      <c r="M509" s="2251"/>
      <c r="N509" s="2251"/>
      <c r="O509" s="2251"/>
      <c r="P509" s="2251"/>
      <c r="Q509" s="2251"/>
      <c r="R509" s="2251"/>
      <c r="S509" s="2251"/>
      <c r="T509" s="2251"/>
      <c r="U509" s="2251"/>
      <c r="V509" s="420"/>
    </row>
    <row r="510" spans="1:22" ht="28.9" customHeight="1">
      <c r="A510" s="420"/>
      <c r="B510" s="2251" t="s">
        <v>1038</v>
      </c>
      <c r="C510" s="2251"/>
      <c r="D510" s="2251"/>
      <c r="E510" s="2251"/>
      <c r="F510" s="2251"/>
      <c r="G510" s="2251"/>
      <c r="H510" s="2251"/>
      <c r="I510" s="2251"/>
      <c r="J510" s="2251"/>
      <c r="K510" s="2251"/>
      <c r="L510" s="2251"/>
      <c r="M510" s="2251"/>
      <c r="N510" s="2251"/>
      <c r="O510" s="2251"/>
      <c r="P510" s="2251"/>
      <c r="Q510" s="2251"/>
      <c r="R510" s="2251"/>
      <c r="S510" s="2251"/>
      <c r="T510" s="2251"/>
      <c r="U510" s="2251"/>
      <c r="V510" s="420"/>
    </row>
    <row r="511" spans="1:22" ht="22.9" customHeight="1">
      <c r="A511" s="420"/>
      <c r="B511" s="2252"/>
      <c r="C511" s="2252"/>
      <c r="D511" s="2252"/>
      <c r="E511" s="2252"/>
      <c r="F511" s="2252"/>
      <c r="G511" s="2252"/>
      <c r="H511" s="2252"/>
      <c r="I511" s="2252"/>
      <c r="J511" s="2252"/>
      <c r="K511" s="2252"/>
      <c r="L511" s="908"/>
      <c r="M511" s="908"/>
      <c r="N511" s="908"/>
      <c r="O511" s="908"/>
      <c r="P511" s="908"/>
      <c r="Q511" s="908"/>
      <c r="R511" s="908"/>
      <c r="S511" s="908"/>
      <c r="T511" s="908"/>
      <c r="U511" s="908"/>
      <c r="V511" s="420"/>
    </row>
    <row r="512" spans="1:22" ht="20.25" customHeight="1">
      <c r="A512" s="420"/>
      <c r="B512" s="2252" t="s">
        <v>1218</v>
      </c>
      <c r="C512" s="2252"/>
      <c r="D512" s="2252"/>
      <c r="E512" s="2252"/>
      <c r="F512" s="2252"/>
      <c r="G512" s="2252"/>
      <c r="H512" s="2252"/>
      <c r="I512" s="2252"/>
      <c r="J512" s="2252"/>
      <c r="K512" s="2252"/>
      <c r="L512" s="1262"/>
      <c r="M512" s="1262"/>
      <c r="N512" s="1262"/>
      <c r="O512" s="1262"/>
      <c r="P512" s="1262"/>
      <c r="Q512" s="1262"/>
      <c r="R512" s="1262"/>
      <c r="S512" s="1262"/>
      <c r="T512" s="1262"/>
      <c r="U512" s="1262"/>
      <c r="V512" s="420"/>
    </row>
    <row r="513" spans="1:22" ht="22.15" customHeight="1">
      <c r="A513" s="420"/>
      <c r="B513" s="2251" t="s">
        <v>1222</v>
      </c>
      <c r="C513" s="2251"/>
      <c r="D513" s="2251"/>
      <c r="E513" s="2251"/>
      <c r="F513" s="2251"/>
      <c r="G513" s="2251"/>
      <c r="H513" s="2251"/>
      <c r="I513" s="2251"/>
      <c r="J513" s="2251"/>
      <c r="K513" s="2251"/>
      <c r="L513" s="2251"/>
      <c r="M513" s="2251"/>
      <c r="N513" s="2251"/>
      <c r="O513" s="2251"/>
      <c r="P513" s="2251"/>
      <c r="Q513" s="2251"/>
      <c r="R513" s="2251"/>
      <c r="S513" s="2251"/>
      <c r="T513" s="2251"/>
      <c r="U513" s="2251"/>
      <c r="V513" s="420"/>
    </row>
    <row r="514" spans="1:22" ht="22.15" customHeight="1">
      <c r="A514" s="420"/>
      <c r="B514" s="1262"/>
      <c r="C514" s="1262"/>
      <c r="D514" s="1262"/>
      <c r="E514" s="1262"/>
      <c r="F514" s="1262"/>
      <c r="G514" s="1262"/>
      <c r="H514" s="1262"/>
      <c r="I514" s="1262"/>
      <c r="J514" s="1262"/>
      <c r="K514" s="1262"/>
      <c r="L514" s="1262"/>
      <c r="M514" s="1262"/>
      <c r="N514" s="1262"/>
      <c r="O514" s="1262"/>
      <c r="P514" s="1262"/>
      <c r="Q514" s="1262"/>
      <c r="R514" s="1262"/>
      <c r="S514" s="1262"/>
      <c r="T514" s="1262"/>
      <c r="U514" s="1262"/>
      <c r="V514" s="420"/>
    </row>
    <row r="515" spans="1:22" ht="22.15" customHeight="1">
      <c r="A515" s="420"/>
      <c r="B515" s="2251" t="s">
        <v>1219</v>
      </c>
      <c r="C515" s="2251"/>
      <c r="D515" s="2251"/>
      <c r="E515" s="2251"/>
      <c r="F515" s="2251"/>
      <c r="G515" s="2251"/>
      <c r="H515" s="2251"/>
      <c r="I515" s="2251"/>
      <c r="J515" s="2251"/>
      <c r="K515" s="2251"/>
      <c r="L515" s="2251"/>
      <c r="M515" s="2251"/>
      <c r="N515" s="2251"/>
      <c r="O515" s="2251"/>
      <c r="P515" s="2251"/>
      <c r="Q515" s="2251"/>
      <c r="R515" s="2251"/>
      <c r="S515" s="2251"/>
      <c r="T515" s="2251"/>
      <c r="U515" s="2251"/>
      <c r="V515" s="420"/>
    </row>
    <row r="516" spans="1:22" ht="22.15" customHeight="1">
      <c r="A516" s="420"/>
      <c r="B516" s="2251" t="s">
        <v>1223</v>
      </c>
      <c r="C516" s="2251"/>
      <c r="D516" s="2251"/>
      <c r="E516" s="2251"/>
      <c r="F516" s="2251"/>
      <c r="G516" s="2251"/>
      <c r="H516" s="2251"/>
      <c r="I516" s="2251"/>
      <c r="J516" s="2251"/>
      <c r="K516" s="2251"/>
      <c r="L516" s="2251"/>
      <c r="M516" s="2251"/>
      <c r="N516" s="2251"/>
      <c r="O516" s="2251"/>
      <c r="P516" s="2251"/>
      <c r="Q516" s="2251"/>
      <c r="R516" s="2251"/>
      <c r="S516" s="2251"/>
      <c r="T516" s="2251"/>
      <c r="U516" s="2251"/>
      <c r="V516" s="420"/>
    </row>
    <row r="517" spans="1:22" ht="22.15" customHeight="1">
      <c r="A517" s="420"/>
      <c r="B517" s="2251" t="s">
        <v>1224</v>
      </c>
      <c r="C517" s="2251"/>
      <c r="D517" s="2251"/>
      <c r="E517" s="2251"/>
      <c r="F517" s="2251"/>
      <c r="G517" s="2251"/>
      <c r="H517" s="2251"/>
      <c r="I517" s="2251"/>
      <c r="J517" s="2251"/>
      <c r="K517" s="2251"/>
      <c r="L517" s="2251"/>
      <c r="M517" s="2251"/>
      <c r="N517" s="2251"/>
      <c r="O517" s="2251"/>
      <c r="P517" s="2251"/>
      <c r="Q517" s="2251"/>
      <c r="R517" s="2251"/>
      <c r="S517" s="2251"/>
      <c r="T517" s="2251"/>
      <c r="U517" s="2251"/>
      <c r="V517" s="420"/>
    </row>
    <row r="518" spans="1:22" ht="22.15" customHeight="1">
      <c r="A518" s="420"/>
      <c r="B518" s="2251" t="s">
        <v>1034</v>
      </c>
      <c r="C518" s="2251"/>
      <c r="D518" s="2251"/>
      <c r="E518" s="2251"/>
      <c r="F518" s="2251"/>
      <c r="G518" s="2251"/>
      <c r="H518" s="2251"/>
      <c r="I518" s="2251"/>
      <c r="J518" s="2251"/>
      <c r="K518" s="2251"/>
      <c r="L518" s="2251"/>
      <c r="M518" s="2251"/>
      <c r="N518" s="2251"/>
      <c r="O518" s="2251"/>
      <c r="P518" s="2251"/>
      <c r="Q518" s="2251"/>
      <c r="R518" s="2251"/>
      <c r="S518" s="2251"/>
      <c r="T518" s="2251"/>
      <c r="U518" s="2251"/>
      <c r="V518" s="420"/>
    </row>
    <row r="519" spans="1:22" ht="22.15" customHeight="1">
      <c r="A519" s="420"/>
      <c r="B519" s="2451" t="s">
        <v>1220</v>
      </c>
      <c r="C519" s="2451"/>
      <c r="D519" s="2451"/>
      <c r="E519" s="2451"/>
      <c r="F519" s="2451"/>
      <c r="G519" s="2451"/>
      <c r="H519" s="2451"/>
      <c r="I519" s="2451"/>
      <c r="J519" s="2451"/>
      <c r="V519" s="420"/>
    </row>
    <row r="520" spans="1:22" ht="22.15" customHeight="1">
      <c r="A520" s="420"/>
      <c r="B520" s="2451" t="s">
        <v>1035</v>
      </c>
      <c r="C520" s="2451"/>
      <c r="D520" s="2451"/>
      <c r="E520" s="2451"/>
      <c r="F520" s="2451"/>
      <c r="G520" s="2451"/>
      <c r="H520" s="2451"/>
      <c r="I520" s="2451"/>
      <c r="J520" s="2451"/>
      <c r="V520" s="420"/>
    </row>
    <row r="521" spans="1:22" ht="22.15" customHeight="1">
      <c r="A521" s="420"/>
      <c r="B521" s="2251" t="s">
        <v>1225</v>
      </c>
      <c r="C521" s="2251"/>
      <c r="D521" s="2251"/>
      <c r="E521" s="2251"/>
      <c r="F521" s="2251"/>
      <c r="G521" s="2251"/>
      <c r="H521" s="2251"/>
      <c r="I521" s="2251"/>
      <c r="J521" s="2251"/>
      <c r="K521" s="2251"/>
      <c r="L521" s="2251"/>
      <c r="M521" s="2251"/>
      <c r="N521" s="2251"/>
      <c r="O521" s="2251"/>
      <c r="P521" s="2251"/>
      <c r="Q521" s="2251"/>
      <c r="R521" s="2251"/>
      <c r="S521" s="2251"/>
      <c r="T521" s="2251"/>
      <c r="U521" s="2251"/>
      <c r="V521" s="420"/>
    </row>
    <row r="522" spans="1:22" ht="22.15" customHeight="1">
      <c r="A522" s="420"/>
      <c r="B522" s="2251" t="s">
        <v>1221</v>
      </c>
      <c r="C522" s="2251"/>
      <c r="D522" s="2251"/>
      <c r="E522" s="2251"/>
      <c r="F522" s="2251"/>
      <c r="G522" s="2251"/>
      <c r="H522" s="2251"/>
      <c r="I522" s="2251"/>
      <c r="J522" s="2251"/>
      <c r="K522" s="2251"/>
      <c r="L522" s="2251"/>
      <c r="M522" s="2251"/>
      <c r="N522" s="2251"/>
      <c r="O522" s="2251"/>
      <c r="P522" s="2251"/>
      <c r="Q522" s="2251"/>
      <c r="R522" s="2251"/>
      <c r="S522" s="2251"/>
      <c r="T522" s="2251"/>
      <c r="U522" s="2251"/>
      <c r="V522" s="420"/>
    </row>
    <row r="523" spans="1:22" ht="28.15" customHeight="1">
      <c r="A523" s="420"/>
      <c r="B523" s="522"/>
      <c r="C523" s="522"/>
      <c r="D523" s="522"/>
      <c r="E523" s="522"/>
      <c r="F523" s="522"/>
      <c r="G523" s="522"/>
      <c r="H523" s="522"/>
      <c r="I523" s="522"/>
      <c r="J523" s="522"/>
      <c r="K523" s="522"/>
      <c r="L523" s="522"/>
      <c r="M523" s="522"/>
      <c r="N523" s="522"/>
      <c r="O523" s="522"/>
      <c r="P523" s="522"/>
      <c r="Q523" s="522"/>
      <c r="R523" s="522"/>
      <c r="S523" s="522"/>
      <c r="T523" s="522"/>
      <c r="U523" s="522"/>
      <c r="V523" s="420"/>
    </row>
    <row r="524" spans="1:22" ht="19.149999999999999" customHeight="1">
      <c r="B524" s="522"/>
      <c r="C524" s="585"/>
      <c r="D524" s="584"/>
      <c r="E524" s="584"/>
      <c r="F524" s="584"/>
      <c r="G524" s="586"/>
      <c r="H524" s="586"/>
      <c r="I524" s="586"/>
      <c r="J524" s="586"/>
      <c r="K524" s="587"/>
      <c r="L524" s="587"/>
      <c r="M524" s="587"/>
      <c r="N524" s="587"/>
      <c r="O524" s="587"/>
      <c r="P524" s="587"/>
      <c r="Q524" s="561"/>
      <c r="R524" s="561"/>
      <c r="S524" s="441"/>
      <c r="T524" s="441"/>
      <c r="U524" s="588"/>
      <c r="V524" s="441"/>
    </row>
    <row r="525" spans="1:22">
      <c r="A525" s="420"/>
      <c r="B525" s="420"/>
      <c r="C525" s="420"/>
      <c r="D525" s="420"/>
      <c r="E525" s="420"/>
      <c r="F525" s="420"/>
      <c r="G525" s="420"/>
      <c r="H525" s="420"/>
      <c r="I525" s="420"/>
      <c r="J525" s="420"/>
      <c r="K525" s="420"/>
      <c r="L525" s="420"/>
      <c r="M525" s="420"/>
      <c r="N525" s="420"/>
      <c r="O525" s="420"/>
      <c r="P525" s="420"/>
      <c r="Q525" s="420"/>
      <c r="R525" s="420"/>
      <c r="S525" s="420"/>
      <c r="T525" s="420"/>
      <c r="U525" s="420"/>
      <c r="V525" s="420"/>
    </row>
    <row r="526" spans="1:22" ht="15.75">
      <c r="A526" s="420"/>
      <c r="B526" s="420"/>
      <c r="C526" s="420"/>
      <c r="D526" s="420"/>
      <c r="E526" s="420"/>
      <c r="F526" s="420"/>
      <c r="G526" s="420"/>
      <c r="H526" s="420"/>
      <c r="I526" s="420"/>
      <c r="J526" s="420"/>
      <c r="K526" s="420"/>
      <c r="L526" s="420"/>
      <c r="M526" s="476" t="s">
        <v>1827</v>
      </c>
      <c r="N526" s="420"/>
      <c r="O526" s="420"/>
      <c r="P526" s="420"/>
      <c r="Q526" s="420"/>
      <c r="R526" s="477" t="s">
        <v>692</v>
      </c>
      <c r="S526" s="478" t="str">
        <f>$E$29</f>
        <v>ILF5_90FCOS_B114CAGR43006</v>
      </c>
      <c r="T526" s="420"/>
      <c r="U526" s="420"/>
      <c r="V526" s="420"/>
    </row>
    <row r="527" spans="1:22">
      <c r="A527" s="420"/>
      <c r="B527" s="420"/>
      <c r="C527" s="420"/>
      <c r="D527" s="420"/>
      <c r="E527" s="420"/>
      <c r="F527" s="420"/>
      <c r="G527" s="420"/>
      <c r="H527" s="420"/>
      <c r="I527" s="420"/>
      <c r="J527" s="420"/>
      <c r="K527" s="420"/>
      <c r="L527" s="420"/>
      <c r="M527" s="420"/>
      <c r="N527" s="420"/>
      <c r="O527" s="420"/>
      <c r="P527" s="420"/>
      <c r="Q527" s="420"/>
      <c r="R527" s="420"/>
      <c r="S527" s="420"/>
      <c r="T527" s="420"/>
      <c r="U527" s="420"/>
      <c r="V527" s="420"/>
    </row>
    <row r="528" spans="1:22">
      <c r="A528" s="420"/>
      <c r="B528" s="420"/>
      <c r="C528" s="420"/>
      <c r="D528" s="420"/>
      <c r="E528" s="420"/>
      <c r="F528" s="420"/>
      <c r="G528" s="420"/>
      <c r="H528" s="436" t="s">
        <v>691</v>
      </c>
      <c r="I528" s="420"/>
      <c r="K528" s="420"/>
      <c r="L528" s="437" t="str">
        <f>$B$11</f>
        <v>INMOBILIARIA SERVIGESTION</v>
      </c>
      <c r="M528" s="420"/>
      <c r="N528" s="420"/>
      <c r="O528" s="420"/>
      <c r="P528" s="420"/>
      <c r="Q528" s="420"/>
      <c r="R528" s="420"/>
      <c r="S528" s="420"/>
      <c r="T528" s="420"/>
      <c r="U528" s="420"/>
      <c r="V528" s="420"/>
    </row>
    <row r="529" spans="1:22" ht="34.5">
      <c r="A529" s="420"/>
      <c r="B529" s="2268" t="s">
        <v>461</v>
      </c>
      <c r="C529" s="2268"/>
      <c r="D529" s="2268"/>
      <c r="E529" s="2268"/>
      <c r="F529" s="2268"/>
      <c r="G529" s="2268"/>
      <c r="H529" s="2268"/>
      <c r="I529" s="2268"/>
      <c r="J529" s="2268"/>
      <c r="K529" s="2268"/>
      <c r="L529" s="2268"/>
      <c r="M529" s="2268"/>
      <c r="N529" s="2268"/>
      <c r="O529" s="2268"/>
      <c r="P529" s="2268"/>
      <c r="Q529" s="2268"/>
      <c r="R529" s="2268"/>
      <c r="S529" s="2268"/>
      <c r="T529" s="2268"/>
      <c r="U529" s="2268"/>
      <c r="V529" s="420"/>
    </row>
    <row r="530" spans="1:22" ht="22.9" customHeight="1">
      <c r="A530" s="420"/>
      <c r="B530" s="2269" t="s">
        <v>1774</v>
      </c>
      <c r="C530" s="2269"/>
      <c r="D530" s="2269"/>
      <c r="E530" s="2269"/>
      <c r="F530" s="2269"/>
      <c r="G530" s="2269"/>
      <c r="H530" s="2269"/>
      <c r="I530" s="2269"/>
      <c r="J530" s="2269"/>
      <c r="K530" s="2269"/>
      <c r="L530" s="2269"/>
      <c r="M530" s="2269"/>
      <c r="N530" s="2269"/>
      <c r="O530" s="2269"/>
      <c r="P530" s="2269"/>
      <c r="Q530" s="2269"/>
      <c r="R530" s="2269"/>
      <c r="S530" s="2269"/>
      <c r="T530" s="2269"/>
      <c r="U530" s="2269"/>
      <c r="V530" s="420"/>
    </row>
    <row r="531" spans="1:22" ht="16.149999999999999" customHeight="1">
      <c r="A531" s="420"/>
      <c r="B531" s="1775"/>
      <c r="C531" s="1775"/>
      <c r="D531" s="1775"/>
      <c r="E531" s="1775"/>
      <c r="F531" s="1775"/>
      <c r="G531" s="1775"/>
      <c r="H531" s="1775"/>
      <c r="I531" s="1775"/>
      <c r="J531" s="1775"/>
      <c r="K531" s="1775"/>
      <c r="L531" s="1775"/>
      <c r="M531" s="1775"/>
      <c r="N531" s="1775"/>
      <c r="O531" s="1775"/>
      <c r="Q531" s="1775"/>
      <c r="R531" s="1775"/>
      <c r="S531" s="1775"/>
      <c r="T531" s="1775"/>
      <c r="U531" s="1775"/>
      <c r="V531" s="420"/>
    </row>
    <row r="532" spans="1:22" ht="23.25">
      <c r="A532" s="420"/>
      <c r="B532" s="2252" t="s">
        <v>1753</v>
      </c>
      <c r="C532" s="2252"/>
      <c r="D532" s="2252"/>
      <c r="E532" s="2252"/>
      <c r="F532" s="2252"/>
      <c r="G532" s="2252"/>
      <c r="H532" s="2252"/>
      <c r="I532" s="2252"/>
      <c r="J532" s="2252"/>
      <c r="K532" s="2252"/>
      <c r="L532" s="1775"/>
      <c r="M532" s="1775"/>
      <c r="N532" s="1775"/>
      <c r="O532" s="1775"/>
      <c r="P532" s="1775"/>
      <c r="Q532" s="1775"/>
      <c r="R532" s="1775"/>
      <c r="S532" s="1775"/>
      <c r="T532" s="1775"/>
      <c r="U532" s="1775"/>
      <c r="V532" s="420"/>
    </row>
    <row r="533" spans="1:22" ht="44.25" customHeight="1">
      <c r="A533" s="420"/>
      <c r="B533" s="2270" t="s">
        <v>1797</v>
      </c>
      <c r="C533" s="2270"/>
      <c r="D533" s="2270"/>
      <c r="E533" s="2270"/>
      <c r="F533" s="2270"/>
      <c r="G533" s="2270"/>
      <c r="H533" s="2270"/>
      <c r="I533" s="2270"/>
      <c r="J533" s="2270"/>
      <c r="K533" s="2270"/>
      <c r="L533" s="2270"/>
      <c r="M533" s="2270"/>
      <c r="N533" s="2270"/>
      <c r="O533" s="2270"/>
      <c r="P533" s="2270"/>
      <c r="Q533" s="2270"/>
      <c r="R533" s="2270"/>
      <c r="S533" s="2270"/>
      <c r="T533" s="2270"/>
      <c r="U533" s="2270"/>
      <c r="V533" s="420"/>
    </row>
    <row r="534" spans="1:22" ht="29.45" customHeight="1">
      <c r="A534" s="420"/>
      <c r="B534" s="2265" t="s">
        <v>1775</v>
      </c>
      <c r="C534" s="2266"/>
      <c r="D534" s="2266"/>
      <c r="E534" s="2266"/>
      <c r="F534" s="2266"/>
      <c r="G534" s="2266"/>
      <c r="H534" s="2266"/>
      <c r="I534" s="2266"/>
      <c r="J534" s="2266"/>
      <c r="K534" s="2266"/>
      <c r="L534" s="2266"/>
      <c r="M534" s="2266"/>
      <c r="N534" s="2266"/>
      <c r="O534" s="2266"/>
      <c r="P534" s="2266"/>
      <c r="Q534" s="2266"/>
      <c r="R534" s="2266"/>
      <c r="S534" s="2266"/>
      <c r="T534" s="2266"/>
      <c r="U534" s="2266"/>
      <c r="V534" s="420"/>
    </row>
    <row r="535" spans="1:22" ht="27.6" customHeight="1">
      <c r="A535" s="420"/>
      <c r="B535" s="2266" t="s">
        <v>1776</v>
      </c>
      <c r="C535" s="2266"/>
      <c r="D535" s="2266"/>
      <c r="E535" s="2266"/>
      <c r="F535" s="2266"/>
      <c r="G535" s="2266"/>
      <c r="H535" s="2266"/>
      <c r="I535" s="2266"/>
      <c r="J535" s="2266"/>
      <c r="K535" s="2266"/>
      <c r="L535" s="2266"/>
      <c r="M535" s="2266"/>
      <c r="N535" s="2266"/>
      <c r="O535" s="2266"/>
      <c r="P535" s="2266"/>
      <c r="Q535" s="2266"/>
      <c r="R535" s="2266"/>
      <c r="S535" s="2266"/>
      <c r="T535" s="2266"/>
      <c r="U535" s="2266"/>
      <c r="V535" s="420"/>
    </row>
    <row r="536" spans="1:22" ht="27.6" customHeight="1">
      <c r="A536" s="420"/>
      <c r="B536" s="2266" t="s">
        <v>1777</v>
      </c>
      <c r="C536" s="2266"/>
      <c r="D536" s="2266"/>
      <c r="E536" s="2266"/>
      <c r="F536" s="2266"/>
      <c r="G536" s="2266"/>
      <c r="H536" s="2266"/>
      <c r="I536" s="2266"/>
      <c r="J536" s="2266"/>
      <c r="K536" s="2266"/>
      <c r="L536" s="2266"/>
      <c r="M536" s="2266"/>
      <c r="N536" s="2266"/>
      <c r="O536" s="2266"/>
      <c r="P536" s="2266"/>
      <c r="Q536" s="2266"/>
      <c r="R536" s="2266"/>
      <c r="S536" s="2266"/>
      <c r="T536" s="2266"/>
      <c r="U536" s="2266"/>
      <c r="V536" s="420"/>
    </row>
    <row r="537" spans="1:22" ht="27.6" customHeight="1">
      <c r="A537" s="420"/>
      <c r="B537" s="2266" t="s">
        <v>1778</v>
      </c>
      <c r="C537" s="2266"/>
      <c r="D537" s="2266"/>
      <c r="E537" s="2266"/>
      <c r="F537" s="2266"/>
      <c r="G537" s="2266"/>
      <c r="H537" s="2266"/>
      <c r="I537" s="2266"/>
      <c r="J537" s="2266"/>
      <c r="K537" s="2266"/>
      <c r="L537" s="2266"/>
      <c r="M537" s="2266"/>
      <c r="N537" s="2266"/>
      <c r="O537" s="2266"/>
      <c r="P537" s="2266"/>
      <c r="Q537" s="2266"/>
      <c r="R537" s="2266"/>
      <c r="S537" s="2266"/>
      <c r="T537" s="2266"/>
      <c r="U537" s="2266"/>
      <c r="V537" s="420"/>
    </row>
    <row r="538" spans="1:22" ht="27.6" customHeight="1">
      <c r="A538" s="420"/>
      <c r="B538" s="2266" t="s">
        <v>1779</v>
      </c>
      <c r="C538" s="2266"/>
      <c r="D538" s="2266"/>
      <c r="E538" s="2266"/>
      <c r="F538" s="2266"/>
      <c r="G538" s="2266"/>
      <c r="H538" s="2266"/>
      <c r="I538" s="2266"/>
      <c r="J538" s="2266"/>
      <c r="K538" s="2266"/>
      <c r="L538" s="2266"/>
      <c r="M538" s="2266"/>
      <c r="N538" s="2266"/>
      <c r="O538" s="2266"/>
      <c r="P538" s="2266"/>
      <c r="Q538" s="2266"/>
      <c r="R538" s="2266"/>
      <c r="S538" s="2266"/>
      <c r="T538" s="2266"/>
      <c r="U538" s="2266"/>
      <c r="V538" s="420"/>
    </row>
    <row r="539" spans="1:22" ht="27.6" customHeight="1">
      <c r="A539" s="420"/>
      <c r="B539" s="2266" t="s">
        <v>1780</v>
      </c>
      <c r="C539" s="2266"/>
      <c r="D539" s="2266"/>
      <c r="E539" s="2266"/>
      <c r="F539" s="2266"/>
      <c r="G539" s="2266"/>
      <c r="H539" s="2266"/>
      <c r="I539" s="2266"/>
      <c r="J539" s="2266"/>
      <c r="K539" s="2266"/>
      <c r="L539" s="2266"/>
      <c r="M539" s="2266"/>
      <c r="N539" s="2266"/>
      <c r="O539" s="2266"/>
      <c r="P539" s="2266"/>
      <c r="Q539" s="2266"/>
      <c r="R539" s="2266"/>
      <c r="S539" s="2266"/>
      <c r="T539" s="2266"/>
      <c r="U539" s="2266"/>
      <c r="V539" s="420"/>
    </row>
    <row r="540" spans="1:22" ht="27.6" customHeight="1">
      <c r="A540" s="420"/>
      <c r="B540" s="2264" t="s">
        <v>1781</v>
      </c>
      <c r="C540" s="2264"/>
      <c r="D540" s="2264"/>
      <c r="E540" s="2264"/>
      <c r="F540" s="2264"/>
      <c r="G540" s="2264"/>
      <c r="H540" s="2264"/>
      <c r="I540" s="2264"/>
      <c r="J540" s="2264"/>
      <c r="K540" s="2264"/>
      <c r="L540" s="2264"/>
      <c r="M540" s="2264"/>
      <c r="N540" s="2264"/>
      <c r="O540" s="2264"/>
      <c r="P540" s="2264"/>
      <c r="Q540" s="2264"/>
      <c r="R540" s="2264"/>
      <c r="S540" s="2264"/>
      <c r="T540" s="2264"/>
      <c r="U540" s="2264"/>
      <c r="V540" s="420"/>
    </row>
    <row r="541" spans="1:22" ht="27.6" customHeight="1">
      <c r="A541" s="420"/>
      <c r="B541" s="2264" t="s">
        <v>1782</v>
      </c>
      <c r="C541" s="2264"/>
      <c r="D541" s="2264"/>
      <c r="E541" s="2264"/>
      <c r="F541" s="2264"/>
      <c r="G541" s="2264"/>
      <c r="H541" s="2264"/>
      <c r="I541" s="2264"/>
      <c r="J541" s="2264"/>
      <c r="K541" s="2264"/>
      <c r="L541" s="2264"/>
      <c r="M541" s="2264"/>
      <c r="N541" s="2264"/>
      <c r="O541" s="2264"/>
      <c r="P541" s="2264"/>
      <c r="Q541" s="2264"/>
      <c r="R541" s="2264"/>
      <c r="S541" s="2264"/>
      <c r="T541" s="2264"/>
      <c r="U541" s="2264"/>
      <c r="V541" s="420"/>
    </row>
    <row r="542" spans="1:22" ht="27.6" customHeight="1">
      <c r="A542" s="420"/>
      <c r="B542" s="2264" t="s">
        <v>1783</v>
      </c>
      <c r="C542" s="2264"/>
      <c r="D542" s="2264"/>
      <c r="E542" s="2264"/>
      <c r="F542" s="2264"/>
      <c r="G542" s="2264"/>
      <c r="H542" s="2264"/>
      <c r="I542" s="2264"/>
      <c r="J542" s="2264"/>
      <c r="K542" s="2264"/>
      <c r="L542" s="2264"/>
      <c r="M542" s="2264"/>
      <c r="N542" s="2264"/>
      <c r="O542" s="2264"/>
      <c r="P542" s="2264"/>
      <c r="Q542" s="2264"/>
      <c r="R542" s="2264"/>
      <c r="S542" s="2264"/>
      <c r="T542" s="2264"/>
      <c r="U542" s="2264"/>
      <c r="V542" s="420"/>
    </row>
    <row r="543" spans="1:22" ht="33.6" customHeight="1">
      <c r="A543" s="420"/>
      <c r="B543" s="2265" t="s">
        <v>1784</v>
      </c>
      <c r="C543" s="2266"/>
      <c r="D543" s="2266"/>
      <c r="E543" s="2266"/>
      <c r="F543" s="2266"/>
      <c r="G543" s="2266"/>
      <c r="H543" s="2266"/>
      <c r="I543" s="2266"/>
      <c r="J543" s="2266"/>
      <c r="K543" s="2266"/>
      <c r="L543" s="1777"/>
      <c r="M543" s="1777"/>
      <c r="N543" s="1777"/>
      <c r="O543" s="1777"/>
      <c r="P543" s="1777"/>
      <c r="Q543" s="1777"/>
      <c r="R543" s="1777"/>
      <c r="S543" s="1777"/>
      <c r="T543" s="1777"/>
      <c r="U543" s="1777"/>
      <c r="V543" s="420"/>
    </row>
    <row r="544" spans="1:22" ht="22.9" customHeight="1">
      <c r="A544" s="420"/>
      <c r="B544" s="2266" t="s">
        <v>1785</v>
      </c>
      <c r="C544" s="2266"/>
      <c r="D544" s="2266"/>
      <c r="E544" s="2266"/>
      <c r="F544" s="2266"/>
      <c r="G544" s="2266"/>
      <c r="H544" s="2266"/>
      <c r="I544" s="2266"/>
      <c r="J544" s="2266"/>
      <c r="K544" s="2266"/>
      <c r="L544" s="2266"/>
      <c r="M544" s="2266"/>
      <c r="N544" s="2266"/>
      <c r="O544" s="2266"/>
      <c r="P544" s="2266"/>
      <c r="Q544" s="2266"/>
      <c r="R544" s="2266"/>
      <c r="S544" s="2266"/>
      <c r="T544" s="2266"/>
      <c r="U544" s="2266"/>
      <c r="V544" s="420"/>
    </row>
    <row r="545" spans="1:22" ht="22.15" customHeight="1">
      <c r="A545" s="420"/>
      <c r="B545" s="2267" t="s">
        <v>1786</v>
      </c>
      <c r="C545" s="2267"/>
      <c r="D545" s="2267"/>
      <c r="E545" s="2267"/>
      <c r="F545" s="2267"/>
      <c r="G545" s="2267"/>
      <c r="H545" s="2267"/>
      <c r="I545" s="2267"/>
      <c r="J545" s="2267"/>
      <c r="K545" s="2267"/>
      <c r="L545" s="2267"/>
      <c r="M545" s="2267"/>
      <c r="N545" s="2267"/>
      <c r="O545" s="2267"/>
      <c r="P545" s="2267"/>
      <c r="Q545" s="2267"/>
      <c r="R545" s="2267"/>
      <c r="S545" s="2267"/>
      <c r="T545" s="2267"/>
      <c r="U545" s="2267"/>
      <c r="V545" s="420"/>
    </row>
    <row r="546" spans="1:22">
      <c r="A546" s="420"/>
      <c r="V546" s="420"/>
    </row>
    <row r="547" spans="1:22" ht="23.25">
      <c r="A547" s="420"/>
      <c r="B547" s="2252" t="s">
        <v>1755</v>
      </c>
      <c r="C547" s="2252"/>
      <c r="D547" s="2252"/>
      <c r="E547" s="2252"/>
      <c r="F547" s="2252"/>
      <c r="G547" s="2252"/>
      <c r="H547" s="2252"/>
      <c r="I547" s="2252"/>
      <c r="J547" s="2252"/>
      <c r="K547" s="2252"/>
      <c r="L547" s="1775"/>
      <c r="M547" s="1775"/>
      <c r="N547" s="1775"/>
      <c r="O547" s="1775"/>
      <c r="P547" s="1775"/>
      <c r="Q547" s="1775"/>
      <c r="R547" s="1775"/>
      <c r="S547" s="1775"/>
      <c r="T547" s="1775"/>
      <c r="U547" s="1775"/>
      <c r="V547" s="420"/>
    </row>
    <row r="548" spans="1:22" ht="28.15" customHeight="1">
      <c r="A548" s="420"/>
      <c r="B548" s="2260" t="s">
        <v>1787</v>
      </c>
      <c r="C548" s="2260"/>
      <c r="D548" s="2260"/>
      <c r="E548" s="2260"/>
      <c r="F548" s="2260"/>
      <c r="G548" s="2260"/>
      <c r="H548" s="2260"/>
      <c r="I548" s="2260"/>
      <c r="J548" s="2260"/>
      <c r="K548" s="2260"/>
      <c r="L548" s="2260"/>
      <c r="M548" s="2260"/>
      <c r="N548" s="2260"/>
      <c r="O548" s="2260"/>
      <c r="P548" s="2260"/>
      <c r="Q548" s="2260"/>
      <c r="R548" s="2260"/>
      <c r="S548" s="2260"/>
      <c r="T548" s="2260"/>
      <c r="U548" s="2260"/>
      <c r="V548" s="420"/>
    </row>
    <row r="549" spans="1:22" ht="28.15" customHeight="1">
      <c r="A549" s="420"/>
      <c r="B549" s="2250" t="s">
        <v>1788</v>
      </c>
      <c r="C549" s="2251"/>
      <c r="D549" s="2251"/>
      <c r="E549" s="2251"/>
      <c r="F549" s="2251"/>
      <c r="G549" s="2251"/>
      <c r="H549" s="2251"/>
      <c r="I549" s="2251"/>
      <c r="J549" s="2251"/>
      <c r="K549" s="2251"/>
      <c r="L549" s="2251"/>
      <c r="M549" s="2251"/>
      <c r="N549" s="2251"/>
      <c r="O549" s="2251"/>
      <c r="P549" s="2251"/>
      <c r="Q549" s="2251"/>
      <c r="R549" s="2251"/>
      <c r="S549" s="2251"/>
      <c r="T549" s="2251"/>
      <c r="U549" s="2251"/>
      <c r="V549" s="420"/>
    </row>
    <row r="550" spans="1:22" ht="28.15" customHeight="1">
      <c r="A550" s="420"/>
      <c r="B550" s="2251" t="s">
        <v>1789</v>
      </c>
      <c r="C550" s="2251"/>
      <c r="D550" s="2251"/>
      <c r="E550" s="2251"/>
      <c r="F550" s="2251"/>
      <c r="G550" s="2251"/>
      <c r="H550" s="2251"/>
      <c r="I550" s="2251"/>
      <c r="J550" s="2251"/>
      <c r="K550" s="2251"/>
      <c r="L550" s="2251"/>
      <c r="M550" s="2251"/>
      <c r="N550" s="2251"/>
      <c r="O550" s="2251"/>
      <c r="P550" s="2251"/>
      <c r="Q550" s="2251"/>
      <c r="R550" s="2251"/>
      <c r="S550" s="2251"/>
      <c r="T550" s="2251"/>
      <c r="U550" s="2251"/>
      <c r="V550" s="420"/>
    </row>
    <row r="551" spans="1:22" ht="28.15" customHeight="1">
      <c r="A551" s="420"/>
      <c r="B551" s="2251" t="s">
        <v>1790</v>
      </c>
      <c r="C551" s="2251"/>
      <c r="D551" s="2251"/>
      <c r="E551" s="2251"/>
      <c r="F551" s="2251"/>
      <c r="G551" s="2251"/>
      <c r="H551" s="2251"/>
      <c r="I551" s="2251"/>
      <c r="J551" s="2251"/>
      <c r="K551" s="2251"/>
      <c r="L551" s="2251"/>
      <c r="M551" s="2251"/>
      <c r="N551" s="2251"/>
      <c r="O551" s="2251"/>
      <c r="P551" s="2251"/>
      <c r="Q551" s="2251"/>
      <c r="R551" s="2251"/>
      <c r="S551" s="2251"/>
      <c r="T551" s="2251"/>
      <c r="U551" s="2251"/>
      <c r="V551" s="420"/>
    </row>
    <row r="552" spans="1:22" ht="28.15" customHeight="1">
      <c r="A552" s="420"/>
      <c r="B552" s="2251" t="s">
        <v>1791</v>
      </c>
      <c r="C552" s="2251"/>
      <c r="D552" s="2251"/>
      <c r="E552" s="2251"/>
      <c r="F552" s="2251"/>
      <c r="G552" s="2251"/>
      <c r="H552" s="2251"/>
      <c r="I552" s="2251"/>
      <c r="J552" s="2251"/>
      <c r="K552" s="2251"/>
      <c r="L552" s="2251"/>
      <c r="M552" s="2251"/>
      <c r="N552" s="2251"/>
      <c r="O552" s="2251"/>
      <c r="P552" s="2251"/>
      <c r="Q552" s="2251"/>
      <c r="R552" s="2251"/>
      <c r="S552" s="2251"/>
      <c r="T552" s="2251"/>
      <c r="U552" s="2251"/>
      <c r="V552" s="420"/>
    </row>
    <row r="553" spans="1:22" ht="28.15" customHeight="1">
      <c r="A553" s="420"/>
      <c r="B553" s="2251" t="s">
        <v>1792</v>
      </c>
      <c r="C553" s="2251"/>
      <c r="D553" s="2251"/>
      <c r="E553" s="2251"/>
      <c r="F553" s="2251"/>
      <c r="G553" s="2251"/>
      <c r="H553" s="2251"/>
      <c r="I553" s="2251"/>
      <c r="J553" s="2251"/>
      <c r="K553" s="2251"/>
      <c r="L553" s="2251"/>
      <c r="M553" s="2251"/>
      <c r="N553" s="2251"/>
      <c r="O553" s="2251"/>
      <c r="P553" s="2251"/>
      <c r="Q553" s="2251"/>
      <c r="R553" s="2251"/>
      <c r="S553" s="2251"/>
      <c r="T553" s="2251"/>
      <c r="U553" s="2251"/>
      <c r="V553" s="420"/>
    </row>
    <row r="554" spans="1:22" ht="28.15" customHeight="1">
      <c r="A554" s="420"/>
      <c r="B554" s="2251" t="s">
        <v>1793</v>
      </c>
      <c r="C554" s="2251"/>
      <c r="D554" s="2251"/>
      <c r="E554" s="2251"/>
      <c r="F554" s="2251"/>
      <c r="G554" s="2251"/>
      <c r="H554" s="2251"/>
      <c r="I554" s="2251"/>
      <c r="J554" s="2251"/>
      <c r="K554" s="2251"/>
      <c r="L554" s="2251"/>
      <c r="M554" s="2251"/>
      <c r="N554" s="2251"/>
      <c r="O554" s="2251"/>
      <c r="P554" s="2251"/>
      <c r="Q554" s="2251"/>
      <c r="R554" s="2251"/>
      <c r="S554" s="2251"/>
      <c r="T554" s="2251"/>
      <c r="U554" s="2251"/>
      <c r="V554" s="420"/>
    </row>
    <row r="555" spans="1:22" ht="28.15" customHeight="1">
      <c r="A555" s="420"/>
      <c r="B555" s="2249" t="s">
        <v>1781</v>
      </c>
      <c r="C555" s="2249"/>
      <c r="D555" s="2249"/>
      <c r="E555" s="2249"/>
      <c r="F555" s="2249"/>
      <c r="G555" s="2249"/>
      <c r="H555" s="2249"/>
      <c r="I555" s="2249"/>
      <c r="J555" s="2249"/>
      <c r="K555" s="2249"/>
      <c r="L555" s="2249"/>
      <c r="M555" s="2249"/>
      <c r="N555" s="2249"/>
      <c r="O555" s="2249"/>
      <c r="P555" s="2249"/>
      <c r="Q555" s="2249"/>
      <c r="R555" s="2249"/>
      <c r="S555" s="2249"/>
      <c r="T555" s="2249"/>
      <c r="U555" s="2249"/>
      <c r="V555" s="420"/>
    </row>
    <row r="556" spans="1:22" ht="28.15" customHeight="1">
      <c r="A556" s="420"/>
      <c r="B556" s="2249" t="s">
        <v>1782</v>
      </c>
      <c r="C556" s="2249"/>
      <c r="D556" s="2249"/>
      <c r="E556" s="2249"/>
      <c r="F556" s="2249"/>
      <c r="G556" s="2249"/>
      <c r="H556" s="2249"/>
      <c r="I556" s="2249"/>
      <c r="J556" s="2249"/>
      <c r="K556" s="2249"/>
      <c r="L556" s="2249"/>
      <c r="M556" s="2249"/>
      <c r="N556" s="2249"/>
      <c r="O556" s="2249"/>
      <c r="P556" s="2249"/>
      <c r="Q556" s="2249"/>
      <c r="R556" s="2249"/>
      <c r="S556" s="2249"/>
      <c r="T556" s="2249"/>
      <c r="U556" s="2249"/>
      <c r="V556" s="420"/>
    </row>
    <row r="557" spans="1:22" ht="28.15" customHeight="1">
      <c r="A557" s="420"/>
      <c r="B557" s="2249" t="s">
        <v>1783</v>
      </c>
      <c r="C557" s="2249"/>
      <c r="D557" s="2249"/>
      <c r="E557" s="2249"/>
      <c r="F557" s="2249"/>
      <c r="G557" s="2249"/>
      <c r="H557" s="2249"/>
      <c r="I557" s="2249"/>
      <c r="J557" s="2249"/>
      <c r="K557" s="2249"/>
      <c r="L557" s="2249"/>
      <c r="M557" s="2249"/>
      <c r="N557" s="2249"/>
      <c r="O557" s="2249"/>
      <c r="P557" s="2249"/>
      <c r="Q557" s="2249"/>
      <c r="R557" s="2249"/>
      <c r="S557" s="2249"/>
      <c r="T557" s="2249"/>
      <c r="U557" s="2249"/>
      <c r="V557" s="420"/>
    </row>
    <row r="558" spans="1:22" ht="28.9" customHeight="1">
      <c r="A558" s="420"/>
      <c r="B558" s="2250" t="s">
        <v>1784</v>
      </c>
      <c r="C558" s="2251"/>
      <c r="D558" s="2251"/>
      <c r="E558" s="2251"/>
      <c r="F558" s="2251"/>
      <c r="G558" s="2251"/>
      <c r="H558" s="2251"/>
      <c r="I558" s="2251"/>
      <c r="J558" s="2251"/>
      <c r="K558" s="2251"/>
      <c r="L558" s="1774"/>
      <c r="M558" s="1774"/>
      <c r="N558" s="1774"/>
      <c r="O558" s="1774"/>
      <c r="P558" s="1774"/>
      <c r="Q558" s="1774"/>
      <c r="R558" s="1774"/>
      <c r="S558" s="1774"/>
      <c r="T558" s="1774"/>
      <c r="U558" s="1774"/>
      <c r="V558" s="420"/>
    </row>
    <row r="559" spans="1:22" ht="28.9" customHeight="1">
      <c r="A559" s="420"/>
      <c r="B559" s="2251" t="s">
        <v>1794</v>
      </c>
      <c r="C559" s="2251"/>
      <c r="D559" s="2251"/>
      <c r="E559" s="2251"/>
      <c r="F559" s="2251"/>
      <c r="G559" s="2251"/>
      <c r="H559" s="2251"/>
      <c r="I559" s="2251"/>
      <c r="J559" s="2251"/>
      <c r="K559" s="2251"/>
      <c r="L559" s="2251"/>
      <c r="M559" s="2251"/>
      <c r="N559" s="2251"/>
      <c r="O559" s="2251"/>
      <c r="P559" s="2251"/>
      <c r="Q559" s="2251"/>
      <c r="R559" s="2251"/>
      <c r="S559" s="2251"/>
      <c r="T559" s="2251"/>
      <c r="U559" s="2251"/>
      <c r="V559" s="420"/>
    </row>
    <row r="560" spans="1:22" ht="23.25">
      <c r="A560" s="420"/>
      <c r="B560" s="2252" t="s">
        <v>1795</v>
      </c>
      <c r="C560" s="2252"/>
      <c r="D560" s="2252"/>
      <c r="E560" s="2252"/>
      <c r="F560" s="2252"/>
      <c r="G560" s="2252"/>
      <c r="H560" s="2252"/>
      <c r="I560" s="2252"/>
      <c r="J560" s="2252"/>
      <c r="K560" s="2252"/>
      <c r="L560" s="2252"/>
      <c r="M560" s="2252"/>
      <c r="N560" s="2252"/>
      <c r="O560" s="2252"/>
      <c r="P560" s="2252"/>
      <c r="Q560" s="2252"/>
      <c r="R560" s="2252"/>
      <c r="S560" s="2252"/>
      <c r="T560" s="2252"/>
      <c r="U560" s="2252"/>
      <c r="V560" s="420"/>
    </row>
    <row r="561" spans="1:23" ht="23.25">
      <c r="A561" s="420"/>
      <c r="B561" s="1775"/>
      <c r="C561" s="1775"/>
      <c r="D561" s="1775"/>
      <c r="E561" s="1775"/>
      <c r="F561" s="1775"/>
      <c r="G561" s="1775"/>
      <c r="H561" s="1775"/>
      <c r="I561" s="1775"/>
      <c r="J561" s="1775"/>
      <c r="K561" s="1775"/>
      <c r="L561" s="1775"/>
      <c r="M561" s="1775"/>
      <c r="N561" s="1775"/>
      <c r="O561" s="1775"/>
      <c r="P561" s="1775"/>
      <c r="Q561" s="1775"/>
      <c r="R561" s="1775"/>
      <c r="S561" s="1775"/>
      <c r="T561" s="1775"/>
      <c r="U561" s="1775"/>
      <c r="V561" s="420"/>
    </row>
    <row r="562" spans="1:23" ht="23.25">
      <c r="A562" s="420"/>
      <c r="B562" s="1775"/>
      <c r="C562" s="1775"/>
      <c r="D562" s="1775"/>
      <c r="E562" s="1775"/>
      <c r="F562" s="1775"/>
      <c r="G562" s="1775"/>
      <c r="H562" s="1775"/>
      <c r="I562" s="1775"/>
      <c r="J562" s="1775"/>
      <c r="K562" s="1775"/>
      <c r="L562" s="1775"/>
      <c r="M562" s="1775"/>
      <c r="N562" s="1775"/>
      <c r="O562" s="1775"/>
      <c r="P562" s="1775"/>
      <c r="Q562" s="1775"/>
      <c r="R562" s="1775"/>
      <c r="S562" s="1775"/>
      <c r="T562" s="1775"/>
      <c r="U562" s="1775"/>
      <c r="V562" s="420"/>
    </row>
    <row r="563" spans="1:23" ht="23.25">
      <c r="A563" s="420"/>
      <c r="B563" s="1775"/>
      <c r="C563" s="1775"/>
      <c r="D563" s="1775"/>
      <c r="E563" s="1775"/>
      <c r="F563" s="1775"/>
      <c r="G563" s="1775"/>
      <c r="H563" s="1775"/>
      <c r="I563" s="1775"/>
      <c r="J563" s="1775"/>
      <c r="K563" s="1775"/>
      <c r="L563" s="1775"/>
      <c r="M563" s="1775"/>
      <c r="N563" s="1775"/>
      <c r="O563" s="1775"/>
      <c r="P563" s="1775"/>
      <c r="Q563" s="1775"/>
      <c r="R563" s="1775"/>
      <c r="S563" s="1775"/>
      <c r="T563" s="1775"/>
      <c r="U563" s="1775"/>
      <c r="V563" s="420"/>
    </row>
    <row r="564" spans="1:23" ht="23.25">
      <c r="A564" s="420"/>
      <c r="B564" s="1775"/>
      <c r="C564" s="1775"/>
      <c r="D564" s="1775"/>
      <c r="E564" s="1775"/>
      <c r="F564" s="1775"/>
      <c r="G564" s="1775"/>
      <c r="H564" s="1775"/>
      <c r="I564" s="1775"/>
      <c r="J564" s="1775"/>
      <c r="K564" s="1775"/>
      <c r="L564" s="1775"/>
      <c r="M564" s="1775"/>
      <c r="N564" s="1775"/>
      <c r="O564" s="1775"/>
      <c r="P564" s="1775"/>
      <c r="Q564" s="1775"/>
      <c r="R564" s="1775"/>
      <c r="S564" s="1775"/>
      <c r="T564" s="1775"/>
      <c r="U564" s="1775"/>
      <c r="V564" s="420"/>
    </row>
    <row r="565" spans="1:23">
      <c r="A565" s="420"/>
      <c r="B565" s="420"/>
      <c r="C565" s="420"/>
      <c r="D565" s="420"/>
      <c r="E565" s="420"/>
      <c r="F565" s="420"/>
      <c r="G565" s="420"/>
      <c r="H565" s="420"/>
      <c r="I565" s="420"/>
      <c r="J565" s="420"/>
      <c r="K565" s="420"/>
      <c r="L565" s="420"/>
      <c r="M565" s="420"/>
      <c r="N565" s="420"/>
      <c r="O565" s="420"/>
      <c r="P565" s="420"/>
      <c r="Q565" s="420"/>
      <c r="R565" s="420"/>
      <c r="S565" s="420"/>
      <c r="T565" s="420"/>
      <c r="U565" s="420"/>
      <c r="V565" s="420"/>
    </row>
    <row r="566" spans="1:23" ht="15.75">
      <c r="A566" s="420"/>
      <c r="B566" s="420"/>
      <c r="C566" s="420"/>
      <c r="D566" s="420"/>
      <c r="E566" s="420"/>
      <c r="F566" s="420"/>
      <c r="G566" s="420"/>
      <c r="H566" s="420"/>
      <c r="I566" s="420"/>
      <c r="J566" s="420"/>
      <c r="K566" s="420"/>
      <c r="L566" s="420"/>
      <c r="M566" s="476" t="s">
        <v>1828</v>
      </c>
      <c r="N566" s="420"/>
      <c r="O566" s="420"/>
      <c r="P566" s="420"/>
      <c r="Q566" s="420"/>
      <c r="R566" s="477" t="s">
        <v>692</v>
      </c>
      <c r="S566" s="478" t="str">
        <f>$E$29</f>
        <v>ILF5_90FCOS_B114CAGR43006</v>
      </c>
      <c r="T566" s="420"/>
      <c r="U566" s="420"/>
      <c r="V566" s="420"/>
    </row>
    <row r="567" spans="1:23">
      <c r="A567" s="420"/>
      <c r="B567" s="420"/>
      <c r="C567" s="420"/>
      <c r="D567" s="420"/>
      <c r="E567" s="420"/>
      <c r="F567" s="420"/>
      <c r="G567" s="420"/>
      <c r="H567" s="436" t="s">
        <v>691</v>
      </c>
      <c r="I567" s="420"/>
      <c r="K567" s="420"/>
      <c r="L567" s="437" t="str">
        <f>$B$11</f>
        <v>INMOBILIARIA SERVIGESTION</v>
      </c>
      <c r="M567" s="420"/>
      <c r="N567" s="420"/>
      <c r="O567" s="420"/>
      <c r="P567" s="420"/>
      <c r="Q567" s="420"/>
      <c r="R567" s="420"/>
      <c r="S567" s="420"/>
      <c r="T567" s="420"/>
      <c r="U567" s="420"/>
      <c r="V567" s="420"/>
    </row>
    <row r="568" spans="1:23" ht="34.5">
      <c r="A568" s="420"/>
      <c r="B568" s="2268" t="s">
        <v>461</v>
      </c>
      <c r="C568" s="2268"/>
      <c r="D568" s="2268"/>
      <c r="E568" s="2268"/>
      <c r="F568" s="2268"/>
      <c r="G568" s="2268"/>
      <c r="H568" s="2268"/>
      <c r="I568" s="2268"/>
      <c r="J568" s="2268"/>
      <c r="K568" s="2268"/>
      <c r="L568" s="2268"/>
      <c r="M568" s="2268"/>
      <c r="N568" s="2268"/>
      <c r="O568" s="2268"/>
      <c r="P568" s="2268"/>
      <c r="Q568" s="2268"/>
      <c r="R568" s="2268"/>
      <c r="S568" s="2268"/>
      <c r="T568" s="2268"/>
      <c r="U568" s="2268"/>
      <c r="V568" s="420"/>
    </row>
    <row r="569" spans="1:23" ht="22.9" customHeight="1">
      <c r="A569" s="420"/>
      <c r="B569" s="2269" t="s">
        <v>1108</v>
      </c>
      <c r="C569" s="2269"/>
      <c r="D569" s="2269"/>
      <c r="E569" s="2269"/>
      <c r="F569" s="2269"/>
      <c r="G569" s="2269"/>
      <c r="H569" s="2269"/>
      <c r="I569" s="2269"/>
      <c r="J569" s="2269"/>
      <c r="K569" s="2269"/>
      <c r="L569" s="2269"/>
      <c r="M569" s="2269"/>
      <c r="N569" s="2269"/>
      <c r="O569" s="2269"/>
      <c r="P569" s="2269"/>
      <c r="Q569" s="2269"/>
      <c r="R569" s="2269"/>
      <c r="S569" s="2269"/>
      <c r="T569" s="2269"/>
      <c r="U569" s="2269"/>
      <c r="V569" s="420"/>
    </row>
    <row r="570" spans="1:23" ht="5.25" customHeight="1">
      <c r="A570" s="420"/>
      <c r="B570" s="1165"/>
      <c r="C570" s="1165"/>
      <c r="D570" s="1165"/>
      <c r="E570" s="1165"/>
      <c r="F570" s="1165"/>
      <c r="G570" s="1165"/>
      <c r="H570" s="1165"/>
      <c r="I570" s="1165"/>
      <c r="J570" s="1165"/>
      <c r="K570" s="1165"/>
      <c r="L570" s="1165"/>
      <c r="M570" s="1165"/>
      <c r="N570" s="1165"/>
      <c r="O570" s="1165"/>
      <c r="Q570" s="1165"/>
      <c r="R570" s="1165"/>
      <c r="S570" s="1165"/>
      <c r="T570" s="1165"/>
      <c r="U570" s="1165"/>
      <c r="V570" s="420"/>
    </row>
    <row r="571" spans="1:23" ht="21.75" customHeight="1">
      <c r="A571" s="420"/>
      <c r="B571" s="2252" t="s">
        <v>1091</v>
      </c>
      <c r="C571" s="2252"/>
      <c r="D571" s="2252"/>
      <c r="E571" s="2252"/>
      <c r="F571" s="2252"/>
      <c r="G571" s="2252"/>
      <c r="H571" s="2252"/>
      <c r="I571" s="2252"/>
      <c r="J571" s="2252"/>
      <c r="K571" s="2252"/>
      <c r="L571" s="1165"/>
      <c r="M571" s="1165"/>
      <c r="N571" s="1165"/>
      <c r="O571" s="1165"/>
      <c r="P571" s="1165"/>
      <c r="Q571" s="1165"/>
      <c r="R571" s="1165"/>
      <c r="S571" s="1165"/>
      <c r="T571" s="1165"/>
      <c r="U571" s="1165"/>
      <c r="V571" s="420"/>
    </row>
    <row r="572" spans="1:23" ht="21.75" customHeight="1">
      <c r="A572" s="420"/>
      <c r="B572" s="2260" t="s">
        <v>1115</v>
      </c>
      <c r="C572" s="2260"/>
      <c r="D572" s="2260"/>
      <c r="E572" s="2260"/>
      <c r="F572" s="2260"/>
      <c r="G572" s="2260"/>
      <c r="H572" s="2260"/>
      <c r="I572" s="2260"/>
      <c r="J572" s="2260"/>
      <c r="K572" s="2260"/>
      <c r="L572" s="2260"/>
      <c r="M572" s="2260"/>
      <c r="N572" s="2260"/>
      <c r="O572" s="2260"/>
      <c r="P572" s="2260"/>
      <c r="Q572" s="2260"/>
      <c r="R572" s="2260"/>
      <c r="S572" s="2260"/>
      <c r="T572" s="2260"/>
      <c r="U572" s="2260"/>
      <c r="V572" s="420"/>
    </row>
    <row r="573" spans="1:23" ht="36.75" customHeight="1">
      <c r="A573" s="504"/>
      <c r="B573" s="1161"/>
      <c r="C573" s="2390" t="s">
        <v>1116</v>
      </c>
      <c r="D573" s="2390"/>
      <c r="E573" s="2390"/>
      <c r="F573" s="2390"/>
      <c r="G573" s="2390"/>
      <c r="H573" s="2390"/>
      <c r="I573" s="2390"/>
      <c r="J573" s="2390"/>
      <c r="K573" s="2390"/>
      <c r="L573" s="2390"/>
      <c r="M573" s="2390"/>
      <c r="N573" s="2390"/>
      <c r="O573" s="2390"/>
      <c r="P573" s="2390"/>
      <c r="Q573" s="2390"/>
      <c r="R573" s="2390"/>
      <c r="S573" s="2390"/>
      <c r="T573" s="2390"/>
      <c r="U573" s="1161"/>
      <c r="V573" s="1171"/>
      <c r="W573" s="441"/>
    </row>
    <row r="574" spans="1:23" ht="23.25">
      <c r="A574" s="441"/>
      <c r="B574" s="441"/>
      <c r="C574" s="2335" t="s">
        <v>1103</v>
      </c>
      <c r="D574" s="2335"/>
      <c r="E574" s="2335"/>
      <c r="F574" s="2335"/>
      <c r="G574" s="2335"/>
      <c r="H574" s="2335"/>
      <c r="I574" s="2335"/>
      <c r="J574" s="2335"/>
      <c r="K574" s="2335"/>
      <c r="L574" s="441"/>
      <c r="M574" s="2375" t="s">
        <v>1102</v>
      </c>
      <c r="N574" s="2376"/>
      <c r="O574" s="2376"/>
      <c r="P574" s="2376"/>
      <c r="Q574" s="2376"/>
      <c r="R574" s="2376"/>
      <c r="S574" s="2376"/>
      <c r="T574" s="2377"/>
      <c r="U574" s="546"/>
      <c r="V574" s="1171"/>
      <c r="W574" s="441"/>
    </row>
    <row r="575" spans="1:23" ht="156" customHeight="1">
      <c r="A575" s="441"/>
      <c r="B575" s="501" t="s">
        <v>362</v>
      </c>
      <c r="C575" s="2396" t="s">
        <v>1130</v>
      </c>
      <c r="D575" s="2397"/>
      <c r="E575" s="2397"/>
      <c r="F575" s="2397"/>
      <c r="G575" s="2397"/>
      <c r="H575" s="2397"/>
      <c r="I575" s="2397"/>
      <c r="J575" s="2397"/>
      <c r="K575" s="2398"/>
      <c r="L575" s="441"/>
      <c r="M575" s="2396" t="s">
        <v>1136</v>
      </c>
      <c r="N575" s="2397"/>
      <c r="O575" s="2397"/>
      <c r="P575" s="2397"/>
      <c r="Q575" s="2397"/>
      <c r="R575" s="2397"/>
      <c r="S575" s="2397"/>
      <c r="T575" s="2398"/>
      <c r="U575" s="546"/>
      <c r="V575" s="1171"/>
      <c r="W575" s="441"/>
    </row>
    <row r="576" spans="1:23" ht="26.25">
      <c r="A576" s="441"/>
      <c r="B576" s="524"/>
      <c r="C576" s="2399" t="s">
        <v>1119</v>
      </c>
      <c r="D576" s="2399"/>
      <c r="E576" s="2399"/>
      <c r="F576" s="2399"/>
      <c r="G576" s="2399"/>
      <c r="H576" s="1167">
        <v>10.5</v>
      </c>
      <c r="I576" s="498"/>
      <c r="J576" s="498"/>
      <c r="K576" s="498"/>
      <c r="L576" s="499"/>
      <c r="M576" s="2399" t="s">
        <v>1119</v>
      </c>
      <c r="N576" s="2399"/>
      <c r="O576" s="2399"/>
      <c r="P576" s="2399"/>
      <c r="Q576" s="2399"/>
      <c r="R576" s="1167">
        <v>4.5</v>
      </c>
      <c r="S576" s="498"/>
      <c r="T576" s="498"/>
      <c r="U576" s="1168"/>
      <c r="V576" s="1171"/>
      <c r="W576" s="441"/>
    </row>
    <row r="577" spans="1:25" customFormat="1" ht="9" customHeight="1">
      <c r="A577" s="325"/>
      <c r="B577" s="524"/>
      <c r="U577" s="1168"/>
      <c r="V577" s="1171"/>
      <c r="W577" s="441"/>
    </row>
    <row r="578" spans="1:25" customFormat="1" ht="48" customHeight="1">
      <c r="A578" s="325"/>
      <c r="B578" s="524"/>
      <c r="C578" s="2475" t="s">
        <v>1118</v>
      </c>
      <c r="D578" s="2475"/>
      <c r="E578" s="2475"/>
      <c r="F578" s="2475"/>
      <c r="G578" s="2475"/>
      <c r="H578" s="2475"/>
      <c r="I578" s="2475"/>
      <c r="J578" s="2475"/>
      <c r="K578" s="2475"/>
      <c r="M578" s="2541" t="s">
        <v>1120</v>
      </c>
      <c r="N578" s="2541"/>
      <c r="O578" s="2541"/>
      <c r="P578" s="2541"/>
      <c r="Q578" s="2541"/>
      <c r="R578" s="2541"/>
      <c r="S578" s="2541"/>
      <c r="T578" s="2541"/>
      <c r="U578" s="1168"/>
      <c r="V578" s="1171"/>
      <c r="W578" s="441"/>
    </row>
    <row r="579" spans="1:25" ht="27.6" customHeight="1">
      <c r="A579" s="1171"/>
      <c r="B579" s="524"/>
      <c r="C579" s="2335" t="s">
        <v>1092</v>
      </c>
      <c r="D579" s="2335"/>
      <c r="E579" s="2335"/>
      <c r="F579" s="2335"/>
      <c r="G579" s="2335"/>
      <c r="H579" s="2335"/>
      <c r="I579" s="2335"/>
      <c r="J579" s="2335"/>
      <c r="K579" s="2335"/>
      <c r="L579" s="1162"/>
      <c r="M579" s="2375" t="s">
        <v>1093</v>
      </c>
      <c r="N579" s="2376"/>
      <c r="O579" s="2376"/>
      <c r="P579" s="2376"/>
      <c r="Q579" s="2376"/>
      <c r="R579" s="2376"/>
      <c r="S579" s="2376"/>
      <c r="T579" s="2377"/>
      <c r="U579" s="1168"/>
      <c r="V579" s="1171"/>
      <c r="W579" s="441"/>
    </row>
    <row r="580" spans="1:25" ht="111" customHeight="1">
      <c r="A580" s="1171"/>
      <c r="B580" s="524"/>
      <c r="C580" s="2396" t="s">
        <v>1125</v>
      </c>
      <c r="D580" s="2397"/>
      <c r="E580" s="2397"/>
      <c r="F580" s="2397"/>
      <c r="G580" s="2397"/>
      <c r="H580" s="2397"/>
      <c r="I580" s="2397"/>
      <c r="J580" s="2397"/>
      <c r="K580" s="2398"/>
      <c r="L580" s="1162"/>
      <c r="M580" s="2396" t="s">
        <v>1124</v>
      </c>
      <c r="N580" s="2397"/>
      <c r="O580" s="2397"/>
      <c r="P580" s="2397"/>
      <c r="Q580" s="2397"/>
      <c r="R580" s="2397"/>
      <c r="S580" s="2397"/>
      <c r="T580" s="2398"/>
      <c r="U580" s="1168"/>
      <c r="V580" s="1171"/>
      <c r="W580" s="441"/>
    </row>
    <row r="581" spans="1:25" ht="26.25">
      <c r="A581" s="441"/>
      <c r="B581" s="524"/>
      <c r="C581" s="2399" t="s">
        <v>1119</v>
      </c>
      <c r="D581" s="2399"/>
      <c r="E581" s="2399"/>
      <c r="F581" s="2399"/>
      <c r="G581" s="2399"/>
      <c r="H581" s="1167">
        <v>10</v>
      </c>
      <c r="I581" s="498"/>
      <c r="J581" s="498"/>
      <c r="K581" s="498"/>
      <c r="L581" s="499"/>
      <c r="M581" s="2399" t="s">
        <v>1119</v>
      </c>
      <c r="N581" s="2399"/>
      <c r="O581" s="2399"/>
      <c r="P581" s="2399"/>
      <c r="Q581" s="2399"/>
      <c r="R581" s="1167">
        <v>5</v>
      </c>
      <c r="S581" s="498"/>
      <c r="T581" s="498"/>
      <c r="U581" s="1168"/>
      <c r="V581" s="1171"/>
      <c r="W581" s="441"/>
    </row>
    <row r="582" spans="1:25" ht="6" customHeight="1">
      <c r="A582" s="1171"/>
      <c r="B582" s="524"/>
      <c r="C582" s="1166"/>
      <c r="D582" s="1166"/>
      <c r="E582" s="1166"/>
      <c r="F582" s="1166"/>
      <c r="G582" s="1166"/>
      <c r="H582" s="1166"/>
      <c r="I582" s="1166"/>
      <c r="J582" s="1166"/>
      <c r="K582" s="1166"/>
      <c r="L582" s="1166"/>
      <c r="M582" s="1166"/>
      <c r="N582" s="1166"/>
      <c r="O582" s="1166"/>
      <c r="P582" s="1166"/>
      <c r="Q582" s="1166"/>
      <c r="R582" s="1166"/>
      <c r="S582" s="1166"/>
      <c r="T582" s="1166"/>
      <c r="U582" s="1168"/>
      <c r="V582" s="1171"/>
      <c r="W582" s="441"/>
    </row>
    <row r="583" spans="1:25" customFormat="1" ht="61.5" customHeight="1">
      <c r="A583" s="325"/>
      <c r="B583" s="524"/>
      <c r="C583" s="2475" t="s">
        <v>1121</v>
      </c>
      <c r="D583" s="2475"/>
      <c r="E583" s="2475"/>
      <c r="F583" s="2475"/>
      <c r="G583" s="2475"/>
      <c r="H583" s="2475"/>
      <c r="I583" s="2475"/>
      <c r="J583" s="2475"/>
      <c r="K583" s="2475"/>
      <c r="M583" s="2541" t="s">
        <v>1123</v>
      </c>
      <c r="N583" s="2541"/>
      <c r="O583" s="2541"/>
      <c r="P583" s="2541"/>
      <c r="Q583" s="2541"/>
      <c r="R583" s="2541"/>
      <c r="S583" s="2541"/>
      <c r="T583" s="2541"/>
      <c r="U583" s="1168"/>
      <c r="V583" s="1171"/>
      <c r="W583" s="441"/>
    </row>
    <row r="584" spans="1:25" ht="27.6" customHeight="1">
      <c r="A584" s="1171"/>
      <c r="B584" s="524"/>
      <c r="C584" s="2335" t="s">
        <v>1094</v>
      </c>
      <c r="D584" s="2335"/>
      <c r="E584" s="2335"/>
      <c r="F584" s="2335"/>
      <c r="G584" s="2335"/>
      <c r="H584" s="2335"/>
      <c r="I584" s="2335"/>
      <c r="J584" s="2335"/>
      <c r="K584" s="2335"/>
      <c r="L584" s="1162"/>
      <c r="M584" s="2375" t="s">
        <v>1095</v>
      </c>
      <c r="N584" s="2376"/>
      <c r="O584" s="2376"/>
      <c r="P584" s="2376"/>
      <c r="Q584" s="2376"/>
      <c r="R584" s="2376"/>
      <c r="S584" s="2376"/>
      <c r="T584" s="2377"/>
      <c r="U584" s="1168"/>
      <c r="V584" s="1171"/>
      <c r="W584" s="441"/>
    </row>
    <row r="585" spans="1:25" ht="117" customHeight="1">
      <c r="A585" s="1171"/>
      <c r="B585" s="524"/>
      <c r="C585" s="2396" t="s">
        <v>1126</v>
      </c>
      <c r="D585" s="2397"/>
      <c r="E585" s="2397"/>
      <c r="F585" s="2397"/>
      <c r="G585" s="2397"/>
      <c r="H585" s="2397"/>
      <c r="I585" s="2397"/>
      <c r="J585" s="2397"/>
      <c r="K585" s="2398"/>
      <c r="L585" s="1162"/>
      <c r="M585" s="2396" t="s">
        <v>1127</v>
      </c>
      <c r="N585" s="2397"/>
      <c r="O585" s="2397"/>
      <c r="P585" s="2397"/>
      <c r="Q585" s="2397"/>
      <c r="R585" s="2397"/>
      <c r="S585" s="2397"/>
      <c r="T585" s="2398"/>
      <c r="U585" s="1168"/>
      <c r="V585" s="1171"/>
      <c r="W585" s="441"/>
    </row>
    <row r="586" spans="1:25" ht="26.25">
      <c r="A586" s="441"/>
      <c r="B586" s="524"/>
      <c r="C586" s="2479" t="s">
        <v>1129</v>
      </c>
      <c r="D586" s="2479"/>
      <c r="E586" s="2479"/>
      <c r="F586" s="2479"/>
      <c r="G586" s="2479"/>
      <c r="H586" s="2468">
        <v>10</v>
      </c>
      <c r="I586" s="2543"/>
      <c r="J586" s="2543"/>
      <c r="K586" s="2544"/>
      <c r="L586" s="499"/>
      <c r="M586" s="2479" t="s">
        <v>1128</v>
      </c>
      <c r="N586" s="2480"/>
      <c r="O586" s="2480"/>
      <c r="P586" s="2480"/>
      <c r="Q586" s="2480"/>
      <c r="R586" s="2468">
        <v>15</v>
      </c>
      <c r="S586" s="2470"/>
      <c r="T586" s="2471"/>
      <c r="U586" s="1168"/>
      <c r="V586" s="1171"/>
      <c r="W586" s="441"/>
    </row>
    <row r="587" spans="1:25" ht="17.25" customHeight="1">
      <c r="A587" s="420"/>
      <c r="B587" s="1166"/>
      <c r="C587" s="2412"/>
      <c r="D587" s="2412"/>
      <c r="E587" s="2412"/>
      <c r="F587" s="2412"/>
      <c r="G587" s="2412"/>
      <c r="H587" s="2542"/>
      <c r="I587" s="2545"/>
      <c r="J587" s="2545"/>
      <c r="K587" s="2546"/>
      <c r="L587" s="1166"/>
      <c r="M587" s="2481"/>
      <c r="N587" s="2481"/>
      <c r="O587" s="2481"/>
      <c r="P587" s="2481"/>
      <c r="Q587" s="2481"/>
      <c r="R587" s="2469"/>
      <c r="S587" s="2472"/>
      <c r="T587" s="2473"/>
      <c r="U587" s="1166"/>
      <c r="V587" s="1171"/>
      <c r="W587" s="441"/>
    </row>
    <row r="588" spans="1:25" ht="8.25" customHeight="1">
      <c r="A588" s="420"/>
      <c r="C588" s="601"/>
      <c r="D588" s="601"/>
      <c r="E588" s="601"/>
      <c r="F588" s="601"/>
      <c r="G588" s="601"/>
      <c r="H588" s="601"/>
      <c r="J588" s="441"/>
      <c r="K588" s="441"/>
      <c r="M588" s="441"/>
      <c r="N588" s="441"/>
      <c r="S588" s="601"/>
      <c r="T588" s="601"/>
      <c r="V588" s="1171"/>
      <c r="W588" s="441"/>
    </row>
    <row r="589" spans="1:25" ht="7.5" customHeight="1">
      <c r="A589" s="420"/>
      <c r="B589" s="2251"/>
      <c r="C589" s="2251"/>
      <c r="D589" s="2251"/>
      <c r="E589" s="2251"/>
      <c r="F589" s="2251"/>
      <c r="G589" s="2251"/>
      <c r="H589" s="2251"/>
      <c r="I589" s="2251"/>
      <c r="J589" s="2251"/>
      <c r="K589" s="2251"/>
      <c r="L589" s="2251"/>
      <c r="M589" s="2251"/>
      <c r="N589" s="2251"/>
      <c r="O589" s="2251"/>
      <c r="P589" s="2251"/>
      <c r="Q589" s="2251"/>
      <c r="R589" s="2251"/>
      <c r="S589" s="2251"/>
      <c r="T589" s="2251"/>
      <c r="U589" s="2251"/>
      <c r="V589" s="1171"/>
      <c r="W589" s="441"/>
    </row>
    <row r="590" spans="1:25" ht="9" customHeight="1">
      <c r="A590" s="420"/>
      <c r="B590" s="1165"/>
      <c r="C590" s="1165"/>
      <c r="D590" s="1165"/>
      <c r="E590" s="1165"/>
      <c r="F590" s="1165"/>
      <c r="G590" s="1165"/>
      <c r="H590" s="1165"/>
      <c r="I590" s="1165"/>
      <c r="J590" s="1165"/>
      <c r="K590" s="1165"/>
      <c r="L590" s="1165"/>
      <c r="M590" s="1165"/>
      <c r="N590" s="1165"/>
      <c r="O590" s="1165"/>
      <c r="P590" s="1165"/>
      <c r="Q590" s="1165"/>
      <c r="R590" s="1165"/>
      <c r="S590" s="1165"/>
      <c r="T590" s="1165"/>
      <c r="U590" s="1165"/>
      <c r="V590" s="1171"/>
      <c r="W590" s="441"/>
    </row>
    <row r="591" spans="1:25" ht="24" customHeight="1">
      <c r="A591" s="441"/>
      <c r="C591" s="2534" t="s">
        <v>1087</v>
      </c>
      <c r="D591" s="2486"/>
      <c r="E591" s="2486"/>
      <c r="F591" s="2486"/>
      <c r="G591" s="2256"/>
      <c r="H591" s="2255" t="s">
        <v>1122</v>
      </c>
      <c r="I591" s="2486"/>
      <c r="J591" s="2486"/>
      <c r="K591" s="2256"/>
      <c r="L591" s="2255" t="s">
        <v>1101</v>
      </c>
      <c r="M591" s="2256"/>
      <c r="N591" s="2254" t="s">
        <v>51</v>
      </c>
      <c r="O591" s="2255"/>
      <c r="P591" s="1170"/>
      <c r="Q591"/>
      <c r="R591"/>
      <c r="S591"/>
      <c r="T591"/>
      <c r="U591"/>
      <c r="V591" s="325"/>
      <c r="W591" s="325"/>
      <c r="X591"/>
      <c r="Y591"/>
    </row>
    <row r="592" spans="1:25" ht="30" customHeight="1">
      <c r="C592" s="2485">
        <f>Oferta_OptimaRPV!C811</f>
        <v>0</v>
      </c>
      <c r="D592" s="2484"/>
      <c r="E592" s="2484"/>
      <c r="F592" s="2484"/>
      <c r="G592" s="2484"/>
      <c r="H592" s="2482">
        <f>Oferta_OptimaRPV!H811</f>
        <v>0</v>
      </c>
      <c r="I592" s="2482"/>
      <c r="J592" s="2482"/>
      <c r="K592" s="2482"/>
      <c r="L592" s="2484">
        <f>Oferta_OptimaRPV!L811</f>
        <v>0</v>
      </c>
      <c r="M592" s="2484"/>
      <c r="N592" s="2482">
        <f>Oferta_OptimaRPV!N811</f>
        <v>0</v>
      </c>
      <c r="O592" s="2482"/>
      <c r="P592" s="1170"/>
      <c r="Q592"/>
      <c r="R592"/>
      <c r="S592"/>
      <c r="T592"/>
      <c r="U592"/>
      <c r="V592"/>
      <c r="W592"/>
      <c r="X592"/>
      <c r="Y592"/>
    </row>
    <row r="593" spans="1:25" ht="30" customHeight="1">
      <c r="C593" s="2485">
        <f>Oferta_OptimaRPV!C812</f>
        <v>0</v>
      </c>
      <c r="D593" s="2484"/>
      <c r="E593" s="2484"/>
      <c r="F593" s="2484"/>
      <c r="G593" s="2484"/>
      <c r="H593" s="2482">
        <f>Oferta_OptimaRPV!H812</f>
        <v>0</v>
      </c>
      <c r="I593" s="2482"/>
      <c r="J593" s="2482"/>
      <c r="K593" s="2482"/>
      <c r="L593" s="2484">
        <f>Oferta_OptimaRPV!L812</f>
        <v>0</v>
      </c>
      <c r="M593" s="2484"/>
      <c r="N593" s="2482">
        <f>Oferta_OptimaRPV!N812</f>
        <v>0</v>
      </c>
      <c r="O593" s="2482"/>
      <c r="P593" s="1170"/>
      <c r="Q593"/>
      <c r="R593"/>
      <c r="S593"/>
      <c r="T593"/>
      <c r="U593"/>
      <c r="V593"/>
      <c r="W593"/>
      <c r="X593"/>
      <c r="Y593"/>
    </row>
    <row r="594" spans="1:25" ht="30" customHeight="1">
      <c r="C594" s="2485">
        <f>Oferta_OptimaRPV!C813</f>
        <v>0</v>
      </c>
      <c r="D594" s="2484"/>
      <c r="E594" s="2484"/>
      <c r="F594" s="2484"/>
      <c r="G594" s="2484"/>
      <c r="H594" s="2482">
        <f>Oferta_OptimaRPV!H813</f>
        <v>0</v>
      </c>
      <c r="I594" s="2482"/>
      <c r="J594" s="2482"/>
      <c r="K594" s="2482"/>
      <c r="L594" s="2484">
        <f>Oferta_OptimaRPV!L813</f>
        <v>0</v>
      </c>
      <c r="M594" s="2484"/>
      <c r="N594" s="2482">
        <f>Oferta_OptimaRPV!N813</f>
        <v>0</v>
      </c>
      <c r="O594" s="2482"/>
      <c r="P594" s="1170"/>
      <c r="Q594"/>
      <c r="R594"/>
      <c r="S594"/>
      <c r="T594"/>
      <c r="U594"/>
      <c r="V594"/>
      <c r="W594"/>
      <c r="X594"/>
      <c r="Y594"/>
    </row>
    <row r="595" spans="1:25" ht="30" customHeight="1">
      <c r="C595" s="2485">
        <f>Oferta_OptimaRPV!C814</f>
        <v>0</v>
      </c>
      <c r="D595" s="2484"/>
      <c r="E595" s="2484"/>
      <c r="F595" s="2484"/>
      <c r="G595" s="2484"/>
      <c r="H595" s="2482">
        <f>Oferta_OptimaRPV!H814</f>
        <v>0</v>
      </c>
      <c r="I595" s="2482"/>
      <c r="J595" s="2482"/>
      <c r="K595" s="2482"/>
      <c r="L595" s="2484">
        <f>Oferta_OptimaRPV!L814</f>
        <v>0</v>
      </c>
      <c r="M595" s="2484"/>
      <c r="N595" s="2482">
        <f>Oferta_OptimaRPV!N814</f>
        <v>0</v>
      </c>
      <c r="O595" s="2482"/>
      <c r="P595" s="1170"/>
      <c r="Q595"/>
      <c r="R595"/>
      <c r="S595"/>
      <c r="T595"/>
      <c r="U595"/>
      <c r="V595"/>
      <c r="W595"/>
      <c r="X595"/>
      <c r="Y595"/>
    </row>
    <row r="596" spans="1:25" ht="30" customHeight="1">
      <c r="A596" s="420"/>
      <c r="C596" s="2485">
        <f>Oferta_OptimaRPV!C815</f>
        <v>0</v>
      </c>
      <c r="D596" s="2484"/>
      <c r="E596" s="2484"/>
      <c r="F596" s="2484"/>
      <c r="G596" s="2484"/>
      <c r="H596" s="2482">
        <f>Oferta_OptimaRPV!H815</f>
        <v>0</v>
      </c>
      <c r="I596" s="2482"/>
      <c r="J596" s="2482"/>
      <c r="K596" s="2482"/>
      <c r="L596" s="2484">
        <f>Oferta_OptimaRPV!L815</f>
        <v>0</v>
      </c>
      <c r="M596" s="2484"/>
      <c r="N596" s="2482">
        <f>Oferta_OptimaRPV!N815</f>
        <v>0</v>
      </c>
      <c r="O596" s="2482"/>
      <c r="P596" s="1170"/>
      <c r="Q596"/>
      <c r="R596"/>
      <c r="S596"/>
      <c r="T596"/>
      <c r="U596"/>
      <c r="V596"/>
      <c r="W596"/>
      <c r="X596"/>
      <c r="Y596"/>
    </row>
    <row r="597" spans="1:25" ht="12" customHeight="1">
      <c r="A597" s="420"/>
      <c r="B597" s="1165"/>
      <c r="C597" s="1165"/>
      <c r="D597" s="1165"/>
      <c r="E597" s="1165"/>
      <c r="F597" s="1165"/>
      <c r="G597" s="1165"/>
      <c r="H597" s="1165"/>
      <c r="I597" s="1165"/>
      <c r="J597" s="1165"/>
      <c r="K597" s="1165"/>
      <c r="L597" s="1165"/>
      <c r="M597" s="1165"/>
      <c r="N597" s="1160"/>
      <c r="O597" s="1169"/>
      <c r="P597" s="1165"/>
      <c r="Q597"/>
      <c r="R597"/>
      <c r="S597"/>
      <c r="T597"/>
      <c r="U597"/>
      <c r="V597" s="420"/>
    </row>
    <row r="598" spans="1:25" ht="24" customHeight="1">
      <c r="A598" s="420"/>
      <c r="B598" s="1165"/>
      <c r="C598" s="1165"/>
      <c r="D598" s="1165"/>
      <c r="E598" s="1165"/>
      <c r="F598" s="1165"/>
      <c r="G598" s="1165"/>
      <c r="H598" s="1165"/>
      <c r="I598" s="1165"/>
      <c r="J598" s="1165"/>
      <c r="K598" s="1165"/>
      <c r="L598" s="2301" t="s">
        <v>295</v>
      </c>
      <c r="M598" s="2301"/>
      <c r="N598" s="2547">
        <f>Oferta_OptimaRPV!N817</f>
        <v>0</v>
      </c>
      <c r="O598" s="2548"/>
      <c r="Q598"/>
      <c r="R598"/>
      <c r="S598"/>
      <c r="T598"/>
      <c r="U598"/>
      <c r="V598" s="470"/>
    </row>
    <row r="599" spans="1:25" ht="6.75" customHeight="1">
      <c r="A599" s="420"/>
      <c r="B599" s="2251"/>
      <c r="C599" s="2251"/>
      <c r="D599" s="2251"/>
      <c r="E599" s="2251"/>
      <c r="F599" s="2251"/>
      <c r="G599" s="2251"/>
      <c r="H599" s="2251"/>
      <c r="I599" s="2251"/>
      <c r="J599" s="2251"/>
      <c r="K599" s="2251"/>
      <c r="L599" s="2251"/>
      <c r="M599" s="2251"/>
      <c r="N599" s="2251"/>
      <c r="O599" s="2251"/>
      <c r="P599" s="2251"/>
      <c r="Q599" s="2251"/>
      <c r="R599" s="2251"/>
      <c r="S599" s="2251"/>
      <c r="T599" s="2251"/>
      <c r="U599" s="2251"/>
      <c r="V599" s="420"/>
    </row>
    <row r="600" spans="1:25" ht="21" customHeight="1">
      <c r="A600" s="420"/>
      <c r="B600" s="2252" t="s">
        <v>1090</v>
      </c>
      <c r="C600" s="2252"/>
      <c r="D600" s="2252"/>
      <c r="E600" s="2252"/>
      <c r="F600" s="2252"/>
      <c r="G600" s="2252"/>
      <c r="H600" s="2252"/>
      <c r="I600" s="2252"/>
      <c r="J600" s="2252"/>
      <c r="K600" s="2252"/>
      <c r="L600" s="1165"/>
      <c r="M600" s="1165"/>
      <c r="N600" s="1165"/>
      <c r="O600" s="1165"/>
      <c r="P600" s="1165"/>
      <c r="Q600" s="1165"/>
      <c r="R600" s="1165"/>
      <c r="S600" s="1165"/>
      <c r="T600" s="1165"/>
      <c r="U600" s="1165"/>
      <c r="V600" s="420"/>
    </row>
    <row r="601" spans="1:25" ht="23.25">
      <c r="A601" s="420"/>
      <c r="B601" s="2260" t="s">
        <v>1131</v>
      </c>
      <c r="C601" s="2260"/>
      <c r="D601" s="2260"/>
      <c r="E601" s="2260"/>
      <c r="F601" s="2260"/>
      <c r="G601" s="2260"/>
      <c r="H601" s="2260"/>
      <c r="I601" s="2260"/>
      <c r="J601" s="2260"/>
      <c r="K601" s="2260"/>
      <c r="L601" s="2260"/>
      <c r="M601" s="2260"/>
      <c r="N601" s="2260"/>
      <c r="O601" s="2260"/>
      <c r="P601" s="2260"/>
      <c r="Q601" s="2260"/>
      <c r="R601" s="2260"/>
      <c r="S601" s="2260"/>
      <c r="T601" s="2260"/>
      <c r="U601" s="2260"/>
      <c r="V601" s="420"/>
    </row>
    <row r="602" spans="1:25" ht="9" customHeight="1">
      <c r="A602" s="420"/>
      <c r="B602" s="1166"/>
      <c r="C602" s="1166"/>
      <c r="D602" s="1166"/>
      <c r="E602" s="1166"/>
      <c r="F602" s="1166"/>
      <c r="G602" s="1166"/>
      <c r="H602" s="1166"/>
      <c r="I602" s="1166"/>
      <c r="J602" s="1166"/>
      <c r="K602" s="1166"/>
      <c r="L602" s="1166"/>
      <c r="M602" s="1166"/>
      <c r="N602" s="1166"/>
      <c r="O602" s="1166"/>
      <c r="P602" s="1166"/>
      <c r="Q602" s="1166"/>
      <c r="R602" s="1166"/>
      <c r="S602" s="1166"/>
      <c r="T602" s="1166"/>
      <c r="U602" s="1166"/>
      <c r="V602" s="420"/>
    </row>
    <row r="603" spans="1:25" ht="22.15" customHeight="1">
      <c r="A603" s="420"/>
      <c r="B603" s="1166"/>
      <c r="C603" s="2527" t="s">
        <v>1090</v>
      </c>
      <c r="D603" s="2527"/>
      <c r="E603" s="2527"/>
      <c r="F603" s="2527"/>
      <c r="G603" s="2527"/>
      <c r="H603" s="2527"/>
      <c r="I603" s="2527"/>
      <c r="J603" s="2527"/>
      <c r="K603" s="2527"/>
      <c r="L603" s="2527"/>
      <c r="M603" s="2527"/>
      <c r="N603" s="2527"/>
      <c r="O603" s="2527"/>
      <c r="P603" s="2527"/>
      <c r="Q603" s="2527"/>
      <c r="R603" s="2527"/>
      <c r="S603" s="2527"/>
      <c r="T603" s="2528"/>
      <c r="U603" s="1166"/>
      <c r="V603" s="420"/>
    </row>
    <row r="604" spans="1:25" ht="72.75" customHeight="1">
      <c r="A604" s="420"/>
      <c r="B604" s="1166"/>
      <c r="C604" s="2529" t="s">
        <v>1132</v>
      </c>
      <c r="D604" s="2530"/>
      <c r="E604" s="2530"/>
      <c r="F604" s="2530"/>
      <c r="G604" s="2530"/>
      <c r="H604" s="2530"/>
      <c r="I604" s="2530"/>
      <c r="J604" s="2530"/>
      <c r="K604" s="2530"/>
      <c r="L604" s="2530"/>
      <c r="M604" s="2530"/>
      <c r="N604" s="2530"/>
      <c r="O604" s="2530"/>
      <c r="P604" s="2530"/>
      <c r="Q604" s="2530"/>
      <c r="R604" s="2530"/>
      <c r="S604" s="2530"/>
      <c r="T604" s="2531"/>
      <c r="U604" s="1172"/>
      <c r="V604" s="420"/>
    </row>
    <row r="605" spans="1:25" ht="26.25">
      <c r="A605" s="420"/>
      <c r="B605" s="1166"/>
      <c r="C605" s="2532" t="s">
        <v>1860</v>
      </c>
      <c r="D605" s="2532"/>
      <c r="E605" s="2532"/>
      <c r="F605" s="2532"/>
      <c r="G605" s="2532"/>
      <c r="H605" s="2532"/>
      <c r="I605" s="2532"/>
      <c r="J605" s="2532"/>
      <c r="K605" s="2532"/>
      <c r="L605" s="2532"/>
      <c r="M605" s="2532"/>
      <c r="N605" s="2532"/>
      <c r="O605" s="2532"/>
      <c r="P605" s="2532"/>
      <c r="Q605" s="2533"/>
      <c r="R605" s="1167">
        <v>10</v>
      </c>
      <c r="S605" s="498"/>
      <c r="T605" s="498"/>
      <c r="U605" s="1166"/>
      <c r="V605" s="420"/>
    </row>
    <row r="606" spans="1:25" ht="3" customHeight="1">
      <c r="A606" s="420"/>
      <c r="B606" s="1166"/>
      <c r="C606" s="1166"/>
      <c r="D606" s="1166"/>
      <c r="E606" s="1166"/>
      <c r="F606" s="1166"/>
      <c r="G606" s="1166"/>
      <c r="H606" s="1166"/>
      <c r="I606" s="1166"/>
      <c r="J606" s="1166"/>
      <c r="K606" s="1166"/>
      <c r="L606" s="1166"/>
      <c r="M606" s="1166"/>
      <c r="N606" s="1166"/>
      <c r="O606" s="1166"/>
      <c r="P606" s="484"/>
      <c r="Q606" s="484"/>
      <c r="R606" s="1166"/>
      <c r="S606" s="1166"/>
      <c r="T606" s="1166"/>
      <c r="U606" s="1166"/>
      <c r="V606" s="420"/>
    </row>
    <row r="607" spans="1:25" ht="51" customHeight="1">
      <c r="A607" s="420"/>
      <c r="B607" s="420"/>
      <c r="C607" s="2534" t="s">
        <v>1087</v>
      </c>
      <c r="D607" s="2486"/>
      <c r="E607" s="2255" t="s">
        <v>1088</v>
      </c>
      <c r="F607" s="2486"/>
      <c r="G607" s="2256"/>
      <c r="H607" s="2255" t="s">
        <v>217</v>
      </c>
      <c r="I607" s="2256"/>
      <c r="J607" s="2486" t="s">
        <v>293</v>
      </c>
      <c r="K607" s="2256"/>
      <c r="L607" s="2255" t="s">
        <v>1836</v>
      </c>
      <c r="M607" s="2256"/>
      <c r="N607" s="2254" t="s">
        <v>1837</v>
      </c>
      <c r="O607" s="2255"/>
      <c r="P607" s="1163" t="s">
        <v>1861</v>
      </c>
      <c r="Q607" s="1163" t="s">
        <v>1862</v>
      </c>
      <c r="R607" s="1163" t="s">
        <v>1845</v>
      </c>
      <c r="S607" s="1163" t="s">
        <v>1846</v>
      </c>
      <c r="T607" s="1164" t="s">
        <v>1104</v>
      </c>
      <c r="U607" s="420"/>
      <c r="V607" s="420"/>
    </row>
    <row r="608" spans="1:25" ht="20.45" customHeight="1">
      <c r="A608" s="420"/>
      <c r="B608" s="420"/>
      <c r="C608" s="2485">
        <f>Oferta_OptimaRPV!C826</f>
        <v>0</v>
      </c>
      <c r="D608" s="2484"/>
      <c r="E608" s="2484" t="str">
        <f>Oferta_OptimaRPV!E826</f>
        <v>Acceso web, API y email</v>
      </c>
      <c r="F608" s="2484"/>
      <c r="G608" s="2484"/>
      <c r="H608" s="2586">
        <f>Oferta_OptimaRPV!H826</f>
        <v>0</v>
      </c>
      <c r="I608" s="2586"/>
      <c r="J608" s="2586">
        <f>Oferta_OptimaRPV!J826</f>
        <v>15</v>
      </c>
      <c r="K608" s="2586"/>
      <c r="L608" s="2484">
        <f>Oferta_OptimaRPV!L826</f>
        <v>0</v>
      </c>
      <c r="M608" s="2484"/>
      <c r="N608" s="2586">
        <f>Oferta_OptimaRPV!N826</f>
        <v>0</v>
      </c>
      <c r="O608" s="2586"/>
      <c r="P608" s="1824">
        <f>Oferta_OptimaRPV!P826</f>
        <v>0</v>
      </c>
      <c r="Q608" s="1824">
        <f>Oferta_OptimaRPV!Q826</f>
        <v>0</v>
      </c>
      <c r="R608" s="1824">
        <f>Oferta_OptimaRPV!R826</f>
        <v>0</v>
      </c>
      <c r="S608" s="1824">
        <f>Oferta_OptimaRPV!S826</f>
        <v>0</v>
      </c>
      <c r="T608" s="1799">
        <f>Oferta_OptimaRPV!T826</f>
        <v>0</v>
      </c>
      <c r="U608" s="729"/>
      <c r="V608" s="420"/>
    </row>
    <row r="609" spans="1:22" ht="25.15" customHeight="1">
      <c r="P609" s="1800">
        <f>Oferta_OptimaRPV!P827</f>
        <v>0</v>
      </c>
      <c r="Q609" s="1801">
        <f>Oferta_OptimaRPV!Q827</f>
        <v>0</v>
      </c>
      <c r="R609" s="1802">
        <f>Oferta_OptimaRPV!R827</f>
        <v>0</v>
      </c>
      <c r="S609" s="1801">
        <f>Oferta_OptimaRPV!S827</f>
        <v>0</v>
      </c>
      <c r="T609" s="1803"/>
    </row>
    <row r="610" spans="1:22" ht="19.149999999999999" customHeight="1">
      <c r="B610" s="522"/>
      <c r="C610" s="585"/>
      <c r="D610" s="584"/>
      <c r="E610" s="584"/>
      <c r="F610" s="584"/>
      <c r="G610" s="586"/>
      <c r="H610" s="586"/>
      <c r="I610" s="586"/>
      <c r="J610" s="586"/>
      <c r="K610" s="587"/>
      <c r="L610" s="587"/>
      <c r="M610" s="587"/>
      <c r="N610" s="587"/>
      <c r="O610" s="587"/>
      <c r="P610" s="587"/>
      <c r="Q610" s="561"/>
      <c r="R610" s="1173"/>
      <c r="S610" s="441"/>
      <c r="T610" s="441"/>
      <c r="U610" s="588"/>
      <c r="V610" s="441"/>
    </row>
    <row r="611" spans="1:22" ht="15.75">
      <c r="A611" s="420"/>
      <c r="B611" s="420"/>
      <c r="C611" s="420"/>
      <c r="D611" s="420"/>
      <c r="E611" s="420"/>
      <c r="F611" s="420"/>
      <c r="G611" s="420"/>
      <c r="H611" s="420"/>
      <c r="I611" s="420"/>
      <c r="J611" s="420"/>
      <c r="K611" s="420"/>
      <c r="L611" s="420"/>
      <c r="M611" s="476" t="s">
        <v>1829</v>
      </c>
      <c r="N611" s="420"/>
      <c r="O611" s="420"/>
      <c r="P611" s="420"/>
      <c r="Q611" s="420"/>
      <c r="R611" s="477" t="s">
        <v>692</v>
      </c>
      <c r="S611" s="478" t="str">
        <f>$E$29</f>
        <v>ILF5_90FCOS_B114CAGR43006</v>
      </c>
      <c r="T611" s="420"/>
      <c r="U611" s="420"/>
      <c r="V611" s="420"/>
    </row>
    <row r="612" spans="1:22">
      <c r="H612" s="436" t="s">
        <v>690</v>
      </c>
      <c r="I612" s="420"/>
      <c r="K612" s="420"/>
      <c r="L612" s="437" t="str">
        <f>$B$11</f>
        <v>INMOBILIARIA SERVIGESTION</v>
      </c>
    </row>
    <row r="614" spans="1:22" ht="30">
      <c r="B614" s="2395" t="s">
        <v>461</v>
      </c>
      <c r="C614" s="2395"/>
      <c r="D614" s="2395"/>
      <c r="E614" s="2395"/>
      <c r="F614" s="2395"/>
      <c r="G614" s="2395"/>
      <c r="H614" s="2395"/>
      <c r="I614" s="2395"/>
      <c r="J614" s="2395"/>
      <c r="K614" s="2395"/>
      <c r="L614" s="2395"/>
      <c r="M614" s="2395"/>
      <c r="N614" s="2395"/>
      <c r="O614" s="2395"/>
      <c r="P614" s="2395"/>
      <c r="Q614" s="2395"/>
      <c r="R614" s="2395"/>
      <c r="S614" s="2395"/>
      <c r="T614" s="2395"/>
      <c r="U614" s="2395"/>
    </row>
    <row r="615" spans="1:22" ht="22.9" customHeight="1">
      <c r="B615" s="2252" t="s">
        <v>674</v>
      </c>
      <c r="C615" s="2252"/>
      <c r="D615" s="2252"/>
      <c r="E615" s="2252"/>
      <c r="F615" s="2252"/>
      <c r="G615" s="2252"/>
      <c r="H615" s="2252"/>
      <c r="I615" s="2252"/>
      <c r="J615" s="2252"/>
      <c r="K615" s="2252"/>
      <c r="L615" s="2252"/>
      <c r="M615" s="2252"/>
      <c r="N615" s="2252"/>
      <c r="O615" s="2252"/>
      <c r="P615" s="2252"/>
      <c r="Q615" s="2252"/>
      <c r="R615" s="2252"/>
      <c r="S615" s="2252"/>
      <c r="T615" s="2252"/>
      <c r="U615" s="2252"/>
    </row>
    <row r="617" spans="1:22" s="522" customFormat="1" ht="21" customHeight="1">
      <c r="B617" s="2474" t="s">
        <v>729</v>
      </c>
      <c r="C617" s="2474"/>
      <c r="D617" s="2474"/>
      <c r="E617" s="2474"/>
      <c r="F617" s="2474"/>
      <c r="G617" s="2474"/>
      <c r="H617" s="2474"/>
      <c r="I617" s="2474"/>
      <c r="J617" s="2474"/>
      <c r="K617" s="2474"/>
      <c r="L617" s="2474"/>
      <c r="M617" s="2474"/>
      <c r="N617" s="2474"/>
      <c r="O617" s="2474"/>
      <c r="P617" s="2474"/>
      <c r="Q617" s="2474"/>
      <c r="R617" s="2474"/>
      <c r="S617" s="2474"/>
      <c r="T617" s="2474"/>
      <c r="U617" s="2474"/>
    </row>
    <row r="618" spans="1:22" ht="30.6" customHeight="1">
      <c r="B618" s="2491" t="s">
        <v>821</v>
      </c>
      <c r="C618" s="2491"/>
      <c r="D618" s="2491"/>
      <c r="E618" s="2491"/>
      <c r="F618" s="2491"/>
      <c r="G618" s="2491"/>
      <c r="H618" s="2491"/>
      <c r="I618" s="2491"/>
      <c r="J618" s="2491"/>
      <c r="K618" s="2491"/>
      <c r="L618" s="2491"/>
      <c r="M618" s="2491"/>
      <c r="N618" s="2491"/>
      <c r="O618" s="2491"/>
      <c r="P618" s="2491"/>
      <c r="Q618" s="2491"/>
      <c r="R618" s="2491"/>
      <c r="S618" s="2491"/>
      <c r="T618" s="2491"/>
      <c r="U618" s="2491"/>
    </row>
    <row r="619" spans="1:22" ht="33.75" customHeight="1">
      <c r="B619" s="2489" t="s">
        <v>1930</v>
      </c>
      <c r="C619" s="2489"/>
      <c r="D619" s="2489"/>
      <c r="E619" s="2489"/>
      <c r="F619" s="2489"/>
      <c r="G619" s="2489"/>
      <c r="H619" s="2489"/>
      <c r="I619" s="2489"/>
      <c r="J619" s="2489"/>
      <c r="K619" s="2489"/>
      <c r="L619" s="2489"/>
      <c r="M619" s="2489"/>
      <c r="N619" s="2489"/>
      <c r="O619" s="2489"/>
      <c r="P619" s="2489"/>
      <c r="Q619" s="2489"/>
      <c r="R619" s="2489"/>
      <c r="S619" s="2489"/>
      <c r="T619" s="2489"/>
      <c r="U619" s="2489"/>
    </row>
    <row r="620" spans="1:22" ht="31.5" customHeight="1">
      <c r="B620" s="2493" t="s">
        <v>1963</v>
      </c>
      <c r="C620" s="2493"/>
      <c r="D620" s="2493"/>
      <c r="E620" s="2493"/>
      <c r="F620" s="2493"/>
      <c r="G620" s="2493"/>
      <c r="H620" s="2493"/>
      <c r="I620" s="2493"/>
      <c r="J620" s="2493"/>
      <c r="K620" s="2493"/>
      <c r="L620" s="2493"/>
      <c r="M620" s="2493"/>
      <c r="N620" s="2493"/>
      <c r="O620" s="2493"/>
      <c r="P620" s="2493"/>
      <c r="Q620" s="2493"/>
      <c r="R620" s="2493"/>
      <c r="S620" s="2493"/>
      <c r="T620" s="2493"/>
      <c r="U620" s="2493"/>
    </row>
    <row r="621" spans="1:22" ht="60.75" customHeight="1">
      <c r="B621" s="2489" t="s">
        <v>1964</v>
      </c>
      <c r="C621" s="2489"/>
      <c r="D621" s="2489"/>
      <c r="E621" s="2489"/>
      <c r="F621" s="2489"/>
      <c r="G621" s="2489"/>
      <c r="H621" s="2489"/>
      <c r="I621" s="2489"/>
      <c r="J621" s="2489"/>
      <c r="K621" s="2489"/>
      <c r="L621" s="2489"/>
      <c r="M621" s="2489"/>
      <c r="N621" s="2489"/>
      <c r="O621" s="2489"/>
      <c r="P621" s="2489"/>
      <c r="Q621" s="2489"/>
      <c r="R621" s="2489"/>
      <c r="S621" s="2489"/>
      <c r="T621" s="2489"/>
      <c r="U621" s="2489"/>
    </row>
    <row r="622" spans="1:22" ht="16.899999999999999" customHeight="1">
      <c r="B622" s="2493" t="s">
        <v>1931</v>
      </c>
      <c r="C622" s="2493"/>
      <c r="D622" s="2493"/>
      <c r="E622" s="2493"/>
      <c r="F622" s="2493"/>
      <c r="G622" s="2493"/>
      <c r="H622" s="2493"/>
      <c r="I622" s="2493"/>
      <c r="J622" s="2493"/>
      <c r="K622" s="2493"/>
      <c r="L622" s="2493"/>
      <c r="M622" s="2493"/>
      <c r="N622" s="2493"/>
      <c r="O622" s="2493"/>
      <c r="P622" s="2493"/>
      <c r="Q622" s="2493"/>
      <c r="R622" s="2493"/>
      <c r="S622" s="2493"/>
      <c r="T622" s="2493"/>
      <c r="U622" s="2493"/>
    </row>
    <row r="623" spans="1:22" ht="21" customHeight="1">
      <c r="B623" s="2490" t="s">
        <v>652</v>
      </c>
      <c r="C623" s="2490"/>
      <c r="D623" s="2490"/>
      <c r="E623" s="2490"/>
      <c r="F623" s="2490"/>
      <c r="G623" s="2490"/>
      <c r="H623" s="2490"/>
      <c r="I623" s="2490"/>
      <c r="J623" s="2490"/>
      <c r="K623" s="2490"/>
      <c r="L623" s="2490"/>
      <c r="M623" s="2490"/>
      <c r="N623" s="2490"/>
      <c r="O623" s="2490"/>
      <c r="P623" s="2490"/>
      <c r="Q623" s="2490"/>
      <c r="R623" s="2490"/>
      <c r="S623" s="2490"/>
      <c r="T623" s="2490"/>
      <c r="U623" s="2490"/>
    </row>
    <row r="624" spans="1:22" ht="21" customHeight="1">
      <c r="B624" s="2491" t="s">
        <v>653</v>
      </c>
      <c r="C624" s="2491"/>
      <c r="D624" s="2491"/>
      <c r="E624" s="2491"/>
      <c r="F624" s="2491"/>
      <c r="G624" s="2491"/>
      <c r="H624" s="2491"/>
      <c r="I624" s="2491"/>
      <c r="J624" s="2491"/>
      <c r="K624" s="2491"/>
      <c r="L624" s="2491"/>
      <c r="M624" s="2491"/>
      <c r="N624" s="2491"/>
      <c r="O624" s="2491"/>
      <c r="P624" s="2491"/>
      <c r="Q624" s="2491"/>
      <c r="R624" s="2491"/>
      <c r="S624" s="2491"/>
      <c r="T624" s="2491"/>
      <c r="U624" s="2491"/>
    </row>
    <row r="625" spans="1:22" ht="21" customHeight="1">
      <c r="B625" s="2490" t="s">
        <v>654</v>
      </c>
      <c r="C625" s="2490"/>
      <c r="D625" s="2490"/>
      <c r="E625" s="2490"/>
      <c r="F625" s="2490"/>
      <c r="G625" s="2490"/>
      <c r="H625" s="2490"/>
      <c r="I625" s="2490"/>
      <c r="J625" s="2490"/>
      <c r="K625" s="2490"/>
      <c r="L625" s="2490"/>
      <c r="M625" s="2490"/>
      <c r="N625" s="2490"/>
      <c r="O625" s="2490"/>
      <c r="P625" s="2490"/>
      <c r="Q625" s="2490"/>
      <c r="R625" s="2490"/>
      <c r="S625" s="2490"/>
      <c r="T625" s="2490"/>
      <c r="U625" s="2490"/>
    </row>
    <row r="626" spans="1:22" ht="17.45" customHeight="1">
      <c r="B626" s="2491" t="s">
        <v>672</v>
      </c>
      <c r="C626" s="2491"/>
      <c r="D626" s="2491"/>
      <c r="E626" s="2491"/>
      <c r="F626" s="2491"/>
      <c r="G626" s="2491"/>
      <c r="H626" s="2491"/>
      <c r="I626" s="2491"/>
      <c r="J626" s="2491"/>
      <c r="K626" s="2491"/>
      <c r="L626" s="2491"/>
      <c r="M626" s="2491"/>
      <c r="N626" s="2491"/>
      <c r="O626" s="2491"/>
      <c r="P626" s="2491"/>
      <c r="Q626" s="2491"/>
      <c r="R626" s="2491"/>
      <c r="S626" s="2491"/>
      <c r="T626" s="2491"/>
      <c r="U626" s="2491"/>
    </row>
    <row r="627" spans="1:22" s="522" customFormat="1" ht="20.45" customHeight="1">
      <c r="B627" s="2490" t="s">
        <v>731</v>
      </c>
      <c r="C627" s="2490"/>
      <c r="D627" s="2490"/>
      <c r="E627" s="2490"/>
      <c r="F627" s="2490"/>
      <c r="G627" s="2490"/>
      <c r="H627" s="2490"/>
      <c r="I627" s="2490"/>
      <c r="J627" s="2490"/>
      <c r="K627" s="2490"/>
      <c r="L627" s="2490"/>
      <c r="M627" s="2490"/>
      <c r="N627" s="2490"/>
      <c r="O627" s="2490"/>
      <c r="P627" s="2490"/>
      <c r="Q627" s="2490"/>
      <c r="R627" s="2490"/>
      <c r="S627" s="2490"/>
      <c r="T627" s="2490"/>
      <c r="U627" s="2490"/>
    </row>
    <row r="628" spans="1:22" s="522" customFormat="1" ht="16.149999999999999" customHeight="1">
      <c r="B628" s="2491" t="s">
        <v>732</v>
      </c>
      <c r="C628" s="2491"/>
      <c r="D628" s="2491"/>
      <c r="E628" s="2491"/>
      <c r="F628" s="2491"/>
      <c r="G628" s="2491"/>
      <c r="H628" s="2491"/>
      <c r="I628" s="2491"/>
      <c r="J628" s="2491"/>
      <c r="K628" s="2491"/>
      <c r="L628" s="2491"/>
      <c r="M628" s="2491"/>
      <c r="N628" s="2491"/>
      <c r="O628" s="2491"/>
      <c r="P628" s="2491"/>
      <c r="Q628" s="2491"/>
      <c r="R628" s="2491"/>
      <c r="S628" s="2491"/>
      <c r="T628" s="2491"/>
      <c r="U628" s="2491"/>
    </row>
    <row r="629" spans="1:22" s="522" customFormat="1" ht="16.149999999999999" customHeight="1">
      <c r="B629" s="2490" t="s">
        <v>733</v>
      </c>
      <c r="C629" s="2490"/>
      <c r="D629" s="2490"/>
      <c r="E629" s="2490"/>
      <c r="F629" s="2490"/>
      <c r="G629" s="2490"/>
      <c r="H629" s="2490"/>
      <c r="I629" s="2490"/>
      <c r="J629" s="2490"/>
      <c r="K629" s="2490"/>
      <c r="L629" s="2490"/>
      <c r="M629" s="2490"/>
      <c r="N629" s="2490"/>
      <c r="O629" s="2490"/>
      <c r="P629" s="2490"/>
      <c r="Q629" s="2490"/>
      <c r="R629" s="2490"/>
      <c r="S629" s="2490"/>
      <c r="T629" s="2490"/>
      <c r="U629" s="2490"/>
    </row>
    <row r="630" spans="1:22" s="522" customFormat="1" ht="67.150000000000006" customHeight="1">
      <c r="B630" s="2494" t="s">
        <v>687</v>
      </c>
      <c r="C630" s="2494"/>
      <c r="D630" s="2494"/>
      <c r="E630" s="2494"/>
      <c r="F630" s="2494"/>
      <c r="G630" s="2494"/>
      <c r="H630" s="2494"/>
      <c r="I630" s="2494"/>
      <c r="J630" s="2494"/>
      <c r="K630" s="2494"/>
      <c r="L630" s="2494"/>
      <c r="M630" s="2494"/>
      <c r="N630" s="2494"/>
      <c r="O630" s="2494"/>
      <c r="P630" s="2494"/>
      <c r="Q630" s="2494"/>
      <c r="R630" s="2494"/>
      <c r="S630" s="2494"/>
      <c r="T630" s="2494"/>
      <c r="U630" s="2494"/>
    </row>
    <row r="631" spans="1:22" s="522" customFormat="1" ht="24.6" customHeight="1">
      <c r="B631" s="2487" t="s">
        <v>657</v>
      </c>
      <c r="C631" s="2487"/>
      <c r="D631" s="2487"/>
      <c r="E631" s="2487"/>
      <c r="F631" s="2487"/>
      <c r="G631" s="2487"/>
      <c r="H631" s="2487"/>
      <c r="I631" s="2487"/>
      <c r="J631" s="2487"/>
      <c r="K631" s="2487"/>
      <c r="L631" s="2487"/>
      <c r="M631" s="2487"/>
      <c r="N631" s="2487"/>
      <c r="O631" s="2487"/>
      <c r="P631" s="2487"/>
      <c r="Q631" s="2487"/>
      <c r="R631" s="2487"/>
      <c r="S631" s="2487"/>
      <c r="T631" s="2487"/>
      <c r="U631" s="2487"/>
    </row>
    <row r="632" spans="1:22" s="522" customFormat="1" ht="21" customHeight="1">
      <c r="B632" s="2494" t="s">
        <v>819</v>
      </c>
      <c r="C632" s="2494"/>
      <c r="D632" s="2494"/>
      <c r="E632" s="2494"/>
      <c r="F632" s="2494"/>
      <c r="G632" s="2494"/>
      <c r="H632" s="2494"/>
      <c r="I632" s="2494"/>
      <c r="J632" s="2494"/>
      <c r="K632" s="2494"/>
      <c r="L632" s="2494"/>
      <c r="M632" s="2494"/>
      <c r="N632" s="2494"/>
      <c r="O632" s="2494"/>
      <c r="P632" s="2494"/>
      <c r="Q632" s="2494"/>
      <c r="R632" s="2494"/>
      <c r="S632" s="2494"/>
      <c r="T632" s="2494"/>
      <c r="U632" s="2494"/>
    </row>
    <row r="633" spans="1:22" s="522" customFormat="1" ht="52.15" customHeight="1">
      <c r="B633" s="2487" t="s">
        <v>1457</v>
      </c>
      <c r="C633" s="2487"/>
      <c r="D633" s="2487"/>
      <c r="E633" s="2487"/>
      <c r="F633" s="2487"/>
      <c r="G633" s="2487"/>
      <c r="H633" s="2487"/>
      <c r="I633" s="2487"/>
      <c r="J633" s="2487"/>
      <c r="K633" s="2487"/>
      <c r="L633" s="2487"/>
      <c r="M633" s="2487"/>
      <c r="N633" s="2487"/>
      <c r="O633" s="2487"/>
      <c r="P633" s="2487"/>
      <c r="Q633" s="2487"/>
      <c r="R633" s="2487"/>
      <c r="S633" s="2487"/>
      <c r="T633" s="2487"/>
      <c r="U633" s="2487"/>
    </row>
    <row r="634" spans="1:22" s="522" customFormat="1" ht="28.5" customHeight="1">
      <c r="B634" s="2619" t="s">
        <v>1089</v>
      </c>
      <c r="C634" s="2619"/>
      <c r="D634" s="2619"/>
      <c r="E634" s="2619"/>
      <c r="F634" s="2619"/>
      <c r="G634" s="2619"/>
      <c r="H634" s="2619"/>
      <c r="I634" s="2619"/>
      <c r="J634" s="2619"/>
      <c r="K634" s="2619"/>
      <c r="L634" s="2619"/>
      <c r="M634" s="2619"/>
      <c r="N634" s="2619"/>
      <c r="O634" s="2619"/>
      <c r="P634" s="2619"/>
      <c r="Q634" s="2619"/>
      <c r="R634" s="2619"/>
      <c r="S634" s="2619"/>
      <c r="T634" s="2619"/>
      <c r="U634" s="2619"/>
    </row>
    <row r="635" spans="1:22" s="522" customFormat="1" ht="24.75" customHeight="1">
      <c r="B635" s="768"/>
      <c r="C635" s="768"/>
      <c r="D635" s="768"/>
      <c r="E635" s="768"/>
      <c r="F635" s="768"/>
      <c r="G635" s="768"/>
      <c r="H635" s="768"/>
      <c r="I635" s="768"/>
      <c r="J635" s="768"/>
      <c r="K635" s="768"/>
      <c r="L635" s="768"/>
      <c r="M635" s="768"/>
      <c r="N635" s="768"/>
      <c r="O635" s="768"/>
      <c r="P635" s="768"/>
      <c r="Q635" s="768"/>
      <c r="R635" s="768"/>
      <c r="S635" s="768"/>
      <c r="T635" s="768"/>
      <c r="U635" s="768"/>
    </row>
    <row r="636" spans="1:22" s="522" customFormat="1" ht="21" customHeight="1">
      <c r="B636" s="2474" t="s">
        <v>730</v>
      </c>
      <c r="C636" s="2474"/>
      <c r="D636" s="2474"/>
      <c r="E636" s="2474"/>
      <c r="F636" s="2474"/>
      <c r="G636" s="2474"/>
      <c r="H636" s="2474"/>
      <c r="I636" s="2474"/>
      <c r="J636" s="2474"/>
      <c r="K636" s="2474"/>
      <c r="L636" s="2474"/>
      <c r="M636" s="2474"/>
      <c r="N636" s="2474"/>
      <c r="O636" s="2474"/>
      <c r="P636" s="2474"/>
      <c r="Q636" s="2474"/>
      <c r="R636" s="2474"/>
      <c r="S636" s="2474"/>
      <c r="T636" s="2474"/>
      <c r="U636" s="2474"/>
    </row>
    <row r="637" spans="1:22" s="522" customFormat="1" ht="33.75" customHeight="1">
      <c r="B637" s="2440" t="s">
        <v>1932</v>
      </c>
      <c r="C637" s="2440"/>
      <c r="D637" s="2440"/>
      <c r="E637" s="2440"/>
      <c r="F637" s="2440"/>
      <c r="G637" s="2440"/>
      <c r="H637" s="2440"/>
      <c r="I637" s="2440"/>
      <c r="J637" s="2440"/>
      <c r="K637" s="2440"/>
      <c r="L637" s="2440"/>
      <c r="M637" s="2440"/>
      <c r="N637" s="2440"/>
      <c r="O637" s="2440"/>
      <c r="P637" s="2440"/>
      <c r="Q637" s="2440"/>
      <c r="R637" s="2440"/>
      <c r="S637" s="2440"/>
      <c r="T637" s="2440"/>
      <c r="U637" s="2440"/>
    </row>
    <row r="638" spans="1:22" s="688" customFormat="1" ht="33.6" customHeight="1">
      <c r="B638" s="2440" t="s">
        <v>1933</v>
      </c>
      <c r="C638" s="2440"/>
      <c r="D638" s="2440"/>
      <c r="E638" s="2440"/>
      <c r="F638" s="2440"/>
      <c r="G638" s="2440"/>
      <c r="H638" s="2440"/>
      <c r="I638" s="2440"/>
      <c r="J638" s="2440"/>
      <c r="K638" s="2440"/>
      <c r="L638" s="2440"/>
      <c r="M638" s="2440"/>
      <c r="N638" s="2440"/>
      <c r="O638" s="2440"/>
      <c r="P638" s="2440"/>
      <c r="Q638" s="2440"/>
      <c r="R638" s="2440"/>
      <c r="S638" s="2440"/>
      <c r="T638" s="2440"/>
      <c r="U638" s="2440"/>
    </row>
    <row r="639" spans="1:22" s="522" customFormat="1" ht="47.45" customHeight="1">
      <c r="B639" s="2493" t="s">
        <v>2050</v>
      </c>
      <c r="C639" s="2493"/>
      <c r="D639" s="2493"/>
      <c r="E639" s="2493"/>
      <c r="F639" s="2493"/>
      <c r="G639" s="2493"/>
      <c r="H639" s="2493"/>
      <c r="I639" s="2493"/>
      <c r="J639" s="2493"/>
      <c r="K639" s="2493"/>
      <c r="L639" s="2493"/>
      <c r="M639" s="2493"/>
      <c r="N639" s="2493"/>
      <c r="O639" s="2493"/>
      <c r="P639" s="2493"/>
      <c r="Q639" s="2493"/>
      <c r="R639" s="2493"/>
      <c r="S639" s="2493"/>
      <c r="T639" s="2493"/>
      <c r="U639" s="2493"/>
      <c r="V639" s="429"/>
    </row>
    <row r="640" spans="1:22" s="522" customFormat="1" ht="46.5" customHeight="1">
      <c r="A640" s="429"/>
      <c r="B640" s="2489" t="s">
        <v>2051</v>
      </c>
      <c r="C640" s="2489"/>
      <c r="D640" s="2489"/>
      <c r="E640" s="2489"/>
      <c r="F640" s="2489"/>
      <c r="G640" s="2489"/>
      <c r="H640" s="2489"/>
      <c r="I640" s="2489"/>
      <c r="J640" s="2489"/>
      <c r="K640" s="2489"/>
      <c r="L640" s="2489"/>
      <c r="M640" s="2489"/>
      <c r="N640" s="2489"/>
      <c r="O640" s="2489"/>
      <c r="P640" s="2489"/>
      <c r="Q640" s="2489"/>
      <c r="R640" s="2489"/>
      <c r="S640" s="2489"/>
      <c r="T640" s="2489"/>
      <c r="U640" s="2489"/>
      <c r="V640" s="429"/>
    </row>
    <row r="641" spans="1:22" s="429" customFormat="1" ht="33" customHeight="1">
      <c r="B641" s="2493" t="s">
        <v>2052</v>
      </c>
      <c r="C641" s="2493"/>
      <c r="D641" s="2493"/>
      <c r="E641" s="2493"/>
      <c r="F641" s="2493"/>
      <c r="G641" s="2493"/>
      <c r="H641" s="2493"/>
      <c r="I641" s="2493"/>
      <c r="J641" s="2493"/>
      <c r="K641" s="2493"/>
      <c r="L641" s="2493"/>
      <c r="M641" s="2493"/>
      <c r="N641" s="2493"/>
      <c r="O641" s="2493"/>
      <c r="P641" s="2493"/>
      <c r="Q641" s="2493"/>
      <c r="R641" s="2493"/>
      <c r="S641" s="2493"/>
      <c r="T641" s="2493"/>
      <c r="U641" s="2493"/>
    </row>
    <row r="642" spans="1:22" s="673" customFormat="1" ht="29.25" customHeight="1">
      <c r="A642" s="429"/>
      <c r="B642" s="2537" t="s">
        <v>2053</v>
      </c>
      <c r="C642" s="2537"/>
      <c r="D642" s="2537"/>
      <c r="E642" s="2537"/>
      <c r="F642" s="2537"/>
      <c r="G642" s="2537"/>
      <c r="H642" s="2537"/>
      <c r="I642" s="2537"/>
      <c r="J642" s="2537"/>
      <c r="K642" s="2537"/>
      <c r="L642" s="2537"/>
      <c r="M642" s="2537"/>
      <c r="N642" s="2537"/>
      <c r="O642" s="2537"/>
      <c r="P642" s="2537"/>
      <c r="Q642" s="2537"/>
      <c r="R642" s="2537"/>
      <c r="S642" s="2537"/>
      <c r="T642" s="2537"/>
      <c r="U642" s="2537"/>
      <c r="V642" s="429"/>
    </row>
    <row r="643" spans="1:22" s="429" customFormat="1" ht="28.5" customHeight="1">
      <c r="B643" s="2493" t="s">
        <v>2054</v>
      </c>
      <c r="C643" s="2493"/>
      <c r="D643" s="2493"/>
      <c r="E643" s="2493"/>
      <c r="F643" s="2493"/>
      <c r="G643" s="2493"/>
      <c r="H643" s="2493"/>
      <c r="I643" s="2493"/>
      <c r="J643" s="2493"/>
      <c r="K643" s="2493"/>
      <c r="L643" s="2493"/>
      <c r="M643" s="2493"/>
      <c r="N643" s="2493"/>
      <c r="O643" s="2493"/>
      <c r="P643" s="2493"/>
      <c r="Q643" s="2493"/>
      <c r="R643" s="2493"/>
      <c r="S643" s="2493"/>
      <c r="T643" s="2493"/>
      <c r="U643" s="2493"/>
    </row>
    <row r="644" spans="1:22" s="673" customFormat="1" ht="22.5" customHeight="1">
      <c r="A644" s="429"/>
      <c r="B644" s="2537" t="s">
        <v>1934</v>
      </c>
      <c r="C644" s="2537"/>
      <c r="D644" s="2537"/>
      <c r="E644" s="2537"/>
      <c r="F644" s="2537"/>
      <c r="G644" s="2537"/>
      <c r="H644" s="2537"/>
      <c r="I644" s="2537"/>
      <c r="J644" s="2537"/>
      <c r="K644" s="2537"/>
      <c r="L644" s="2537"/>
      <c r="M644" s="2537"/>
      <c r="N644" s="2537"/>
      <c r="O644" s="2537"/>
      <c r="P644" s="2537"/>
      <c r="Q644" s="2537"/>
      <c r="R644" s="2537"/>
      <c r="S644" s="2537"/>
      <c r="T644" s="2537"/>
      <c r="U644" s="2537"/>
      <c r="V644" s="429"/>
    </row>
    <row r="645" spans="1:22" s="673" customFormat="1" ht="18.75" customHeight="1">
      <c r="A645" s="429"/>
      <c r="B645" s="2540" t="s">
        <v>1935</v>
      </c>
      <c r="C645" s="2540"/>
      <c r="D645" s="2540"/>
      <c r="E645" s="2540"/>
      <c r="F645" s="2540"/>
      <c r="G645" s="2540"/>
      <c r="H645" s="2540"/>
      <c r="I645" s="2540"/>
      <c r="J645" s="2540"/>
      <c r="K645" s="2540"/>
      <c r="L645" s="2540"/>
      <c r="M645" s="2540"/>
      <c r="N645" s="2540"/>
      <c r="O645" s="2540"/>
      <c r="P645" s="2540"/>
      <c r="Q645" s="2540"/>
      <c r="R645" s="2540"/>
      <c r="S645" s="2540"/>
      <c r="T645" s="2540"/>
      <c r="U645" s="2540"/>
      <c r="V645" s="429"/>
    </row>
    <row r="646" spans="1:22" s="673" customFormat="1" ht="31.5" customHeight="1">
      <c r="A646" s="429"/>
      <c r="B646" s="2487" t="s">
        <v>872</v>
      </c>
      <c r="C646" s="2487"/>
      <c r="D646" s="2487"/>
      <c r="E646" s="2487"/>
      <c r="F646" s="2487"/>
      <c r="G646" s="2487"/>
      <c r="H646" s="2487"/>
      <c r="I646" s="2487"/>
      <c r="J646" s="2487"/>
      <c r="K646" s="2487"/>
      <c r="L646" s="2487"/>
      <c r="M646" s="2487"/>
      <c r="N646" s="2487"/>
      <c r="O646" s="2487"/>
      <c r="P646" s="2487"/>
      <c r="Q646" s="2487"/>
      <c r="R646" s="2487"/>
      <c r="S646" s="2487"/>
      <c r="T646" s="2487"/>
      <c r="U646" s="2487"/>
      <c r="V646" s="429"/>
    </row>
    <row r="647" spans="1:22" s="429" customFormat="1" ht="16.5" customHeight="1">
      <c r="B647" s="2616" t="s">
        <v>810</v>
      </c>
      <c r="C647" s="2616"/>
      <c r="D647" s="2616"/>
      <c r="E647" s="2616"/>
      <c r="F647" s="2616"/>
      <c r="G647" s="2616"/>
      <c r="H647" s="2616"/>
      <c r="I647" s="2616"/>
      <c r="J647" s="2616"/>
      <c r="K647" s="2616"/>
      <c r="L647" s="2616"/>
      <c r="M647" s="2616"/>
      <c r="N647" s="2616"/>
      <c r="O647" s="2616"/>
      <c r="P647" s="2616"/>
      <c r="Q647" s="2616"/>
      <c r="R647" s="2616"/>
      <c r="S647" s="2616"/>
      <c r="T647" s="2616"/>
      <c r="U647" s="2616"/>
    </row>
    <row r="648" spans="1:22" s="673" customFormat="1" ht="31.5" customHeight="1">
      <c r="A648" s="429"/>
      <c r="B648" s="2487" t="s">
        <v>673</v>
      </c>
      <c r="C648" s="2487"/>
      <c r="D648" s="2487"/>
      <c r="E648" s="2487"/>
      <c r="F648" s="2487"/>
      <c r="G648" s="2487"/>
      <c r="H648" s="2487"/>
      <c r="I648" s="2487"/>
      <c r="J648" s="2487"/>
      <c r="K648" s="2487"/>
      <c r="L648" s="2487"/>
      <c r="M648" s="2487"/>
      <c r="N648" s="2487"/>
      <c r="O648" s="2487"/>
      <c r="P648" s="2487"/>
      <c r="Q648" s="2487"/>
      <c r="R648" s="2487"/>
      <c r="S648" s="2487"/>
      <c r="T648" s="2487"/>
      <c r="U648" s="2487"/>
      <c r="V648" s="429"/>
    </row>
    <row r="649" spans="1:22" s="522" customFormat="1" ht="57.75" customHeight="1">
      <c r="B649" s="2619" t="s">
        <v>1089</v>
      </c>
      <c r="C649" s="2619"/>
      <c r="D649" s="2619"/>
      <c r="E649" s="2619"/>
      <c r="F649" s="2619"/>
      <c r="G649" s="2619"/>
      <c r="H649" s="2619"/>
      <c r="I649" s="2619"/>
      <c r="J649" s="2619"/>
      <c r="K649" s="2619"/>
      <c r="L649" s="2619"/>
      <c r="M649" s="2619"/>
      <c r="N649" s="2619"/>
      <c r="O649" s="2619"/>
      <c r="P649" s="2619"/>
      <c r="Q649" s="2619"/>
      <c r="R649" s="2619"/>
      <c r="S649" s="2619"/>
      <c r="T649" s="2619"/>
      <c r="U649" s="2619"/>
    </row>
    <row r="650" spans="1:22" ht="51" customHeight="1">
      <c r="B650" s="2539" t="s">
        <v>1902</v>
      </c>
      <c r="C650" s="2539"/>
      <c r="D650" s="2539"/>
      <c r="E650" s="2539"/>
      <c r="F650" s="2539"/>
      <c r="G650" s="2539"/>
      <c r="H650" s="2539"/>
      <c r="I650" s="2539"/>
      <c r="J650" s="2539"/>
      <c r="K650" s="2539"/>
      <c r="L650" s="2539"/>
      <c r="M650" s="2539"/>
      <c r="N650" s="2539"/>
      <c r="O650" s="2539"/>
      <c r="P650" s="2539"/>
      <c r="Q650" s="2539"/>
      <c r="R650" s="2539"/>
      <c r="S650" s="2539"/>
      <c r="T650" s="2539"/>
      <c r="U650" s="2539"/>
    </row>
    <row r="651" spans="1:22" ht="19.5" customHeight="1">
      <c r="B651" s="774"/>
      <c r="C651" s="774"/>
      <c r="D651" s="774"/>
      <c r="E651" s="774"/>
      <c r="F651" s="774"/>
      <c r="G651" s="774"/>
      <c r="H651" s="774"/>
      <c r="I651" s="774"/>
      <c r="J651" s="774"/>
      <c r="K651" s="774"/>
      <c r="L651" s="774"/>
      <c r="M651" s="476" t="s">
        <v>1830</v>
      </c>
      <c r="N651" s="774"/>
      <c r="O651" s="774"/>
      <c r="P651" s="774"/>
      <c r="Q651" s="774"/>
      <c r="R651" s="477" t="s">
        <v>692</v>
      </c>
      <c r="S651" s="478" t="str">
        <f>$E$29</f>
        <v>ILF5_90FCOS_B114CAGR43006</v>
      </c>
      <c r="T651" s="774"/>
      <c r="U651" s="774"/>
    </row>
    <row r="652" spans="1:22" ht="12" customHeight="1">
      <c r="B652" s="731"/>
      <c r="C652" s="731"/>
      <c r="D652" s="731"/>
      <c r="E652" s="731"/>
      <c r="F652" s="731"/>
      <c r="G652" s="731"/>
      <c r="H652" s="731"/>
      <c r="I652" s="731"/>
      <c r="J652" s="731"/>
      <c r="K652" s="731"/>
      <c r="L652" s="731"/>
      <c r="M652" s="731"/>
      <c r="N652" s="731"/>
      <c r="O652" s="731"/>
      <c r="P652" s="731"/>
      <c r="Q652" s="731"/>
      <c r="R652" s="731"/>
      <c r="S652" s="731"/>
      <c r="T652" s="731"/>
      <c r="U652" s="731"/>
    </row>
    <row r="653" spans="1:22">
      <c r="H653" s="436" t="s">
        <v>690</v>
      </c>
      <c r="I653" s="420"/>
      <c r="K653" s="420"/>
      <c r="L653" s="437" t="str">
        <f>$B$11</f>
        <v>INMOBILIARIA SERVIGESTION</v>
      </c>
    </row>
    <row r="655" spans="1:22" ht="30">
      <c r="B655" s="2395" t="s">
        <v>461</v>
      </c>
      <c r="C655" s="2395"/>
      <c r="D655" s="2395"/>
      <c r="E655" s="2395"/>
      <c r="F655" s="2395"/>
      <c r="G655" s="2395"/>
      <c r="H655" s="2395"/>
      <c r="I655" s="2395"/>
      <c r="J655" s="2395"/>
      <c r="K655" s="2395"/>
      <c r="L655" s="2395"/>
      <c r="M655" s="2395"/>
      <c r="N655" s="2395"/>
      <c r="O655" s="2395"/>
      <c r="P655" s="2395"/>
      <c r="Q655" s="2395"/>
      <c r="R655" s="2395"/>
      <c r="S655" s="2395"/>
      <c r="T655" s="2395"/>
      <c r="U655" s="2395"/>
    </row>
    <row r="656" spans="1:22" ht="22.9" customHeight="1">
      <c r="B656" s="2252" t="s">
        <v>675</v>
      </c>
      <c r="C656" s="2252"/>
      <c r="D656" s="2252"/>
      <c r="E656" s="2252"/>
      <c r="F656" s="2252"/>
      <c r="G656" s="2252"/>
      <c r="H656" s="2252"/>
      <c r="I656" s="2252"/>
      <c r="J656" s="2252"/>
      <c r="K656" s="2252"/>
      <c r="L656" s="2252"/>
      <c r="M656" s="2252"/>
      <c r="N656" s="2252"/>
      <c r="O656" s="2252"/>
      <c r="P656" s="2252"/>
      <c r="Q656" s="2252"/>
      <c r="R656" s="2252"/>
      <c r="S656" s="2252"/>
      <c r="T656" s="2252"/>
      <c r="U656" s="2252"/>
    </row>
    <row r="657" spans="1:22" s="522" customFormat="1" ht="21" customHeight="1">
      <c r="B657" s="2474" t="s">
        <v>760</v>
      </c>
      <c r="C657" s="2474"/>
      <c r="D657" s="2474"/>
      <c r="E657" s="2474"/>
      <c r="F657" s="2474"/>
      <c r="G657" s="2474"/>
      <c r="H657" s="2474"/>
      <c r="I657" s="2474"/>
      <c r="J657" s="2474"/>
      <c r="K657" s="2474"/>
      <c r="L657" s="2474"/>
      <c r="M657" s="2474"/>
      <c r="N657" s="2474"/>
      <c r="O657" s="2474"/>
      <c r="P657" s="2474"/>
      <c r="Q657" s="2474"/>
      <c r="R657" s="2474"/>
      <c r="S657" s="2474"/>
      <c r="T657" s="2474"/>
      <c r="U657" s="2474"/>
    </row>
    <row r="658" spans="1:22" s="522" customFormat="1" ht="31.5" customHeight="1">
      <c r="B658" s="2441" t="s">
        <v>1179</v>
      </c>
      <c r="C658" s="2441"/>
      <c r="D658" s="2441"/>
      <c r="E658" s="2441"/>
      <c r="F658" s="2441"/>
      <c r="G658" s="2441"/>
      <c r="H658" s="2441"/>
      <c r="I658" s="2441"/>
      <c r="J658" s="2441"/>
      <c r="K658" s="2441"/>
      <c r="L658" s="2441"/>
      <c r="M658" s="2441"/>
      <c r="N658" s="2441"/>
      <c r="O658" s="2441"/>
      <c r="P658" s="2441"/>
      <c r="Q658" s="2441"/>
      <c r="R658" s="2441"/>
      <c r="S658" s="2441"/>
      <c r="T658" s="2441"/>
      <c r="U658" s="2441"/>
    </row>
    <row r="659" spans="1:22" s="522" customFormat="1" ht="18" customHeight="1">
      <c r="B659" s="2440" t="s">
        <v>1936</v>
      </c>
      <c r="C659" s="2440"/>
      <c r="D659" s="2440"/>
      <c r="E659" s="2440"/>
      <c r="F659" s="2440"/>
      <c r="G659" s="2440"/>
      <c r="H659" s="2440"/>
      <c r="I659" s="2440"/>
      <c r="J659" s="2440"/>
      <c r="K659" s="2440"/>
      <c r="L659" s="2440"/>
      <c r="M659" s="2440"/>
      <c r="N659" s="2440"/>
      <c r="O659" s="2440"/>
      <c r="P659" s="2440"/>
      <c r="Q659" s="2440"/>
      <c r="R659" s="2440"/>
      <c r="S659" s="2440"/>
      <c r="T659" s="2440"/>
      <c r="U659" s="2440"/>
    </row>
    <row r="660" spans="1:22" s="522" customFormat="1" ht="18" customHeight="1">
      <c r="B660" s="2538" t="s">
        <v>1937</v>
      </c>
      <c r="C660" s="2538"/>
      <c r="D660" s="2538"/>
      <c r="E660" s="2538"/>
      <c r="F660" s="2538"/>
      <c r="G660" s="2538"/>
      <c r="H660" s="2538"/>
      <c r="I660" s="2538"/>
      <c r="J660" s="2538"/>
      <c r="K660" s="2538"/>
      <c r="L660" s="2538"/>
      <c r="M660" s="2538"/>
      <c r="N660" s="2538"/>
      <c r="O660" s="2538"/>
      <c r="P660" s="2538"/>
      <c r="Q660" s="2538"/>
      <c r="R660" s="2538"/>
      <c r="S660" s="2538"/>
      <c r="T660" s="2538"/>
      <c r="U660" s="2538"/>
    </row>
    <row r="661" spans="1:22" s="522" customFormat="1" ht="18" customHeight="1">
      <c r="B661" s="2440" t="s">
        <v>2026</v>
      </c>
      <c r="C661" s="2440"/>
      <c r="D661" s="2440"/>
      <c r="E661" s="2440"/>
      <c r="F661" s="2440"/>
      <c r="G661" s="2440"/>
      <c r="H661" s="2440"/>
      <c r="I661" s="2440"/>
      <c r="J661" s="2440"/>
      <c r="K661" s="2440"/>
      <c r="L661" s="2440"/>
      <c r="M661" s="2440"/>
      <c r="N661" s="2440"/>
      <c r="O661" s="2440"/>
      <c r="P661" s="2440"/>
      <c r="Q661" s="2440"/>
      <c r="R661" s="2440"/>
      <c r="S661" s="2440"/>
      <c r="T661" s="2440"/>
      <c r="U661" s="2440"/>
    </row>
    <row r="662" spans="1:22" s="732" customFormat="1" ht="18" customHeight="1">
      <c r="B662" s="2491" t="s">
        <v>2055</v>
      </c>
      <c r="C662" s="2491"/>
      <c r="D662" s="2491"/>
      <c r="E662" s="2491"/>
      <c r="F662" s="2491"/>
      <c r="G662" s="2491"/>
      <c r="H662" s="2491"/>
      <c r="I662" s="2491"/>
      <c r="J662" s="2491"/>
      <c r="K662" s="2491"/>
      <c r="L662" s="2491"/>
      <c r="M662" s="2491"/>
      <c r="N662" s="2491"/>
      <c r="O662" s="2491"/>
      <c r="P662" s="2491"/>
      <c r="Q662" s="2491"/>
      <c r="R662" s="2491"/>
      <c r="S662" s="2491"/>
      <c r="T662" s="2491"/>
      <c r="U662" s="2491"/>
    </row>
    <row r="663" spans="1:22" s="522" customFormat="1" ht="21" customHeight="1">
      <c r="B663" s="2474" t="s">
        <v>1178</v>
      </c>
      <c r="C663" s="2474"/>
      <c r="D663" s="2474"/>
      <c r="E663" s="2474"/>
      <c r="F663" s="2474"/>
      <c r="G663" s="2474"/>
      <c r="H663" s="2474"/>
      <c r="I663" s="2474"/>
      <c r="J663" s="2474"/>
      <c r="K663" s="2474"/>
      <c r="L663" s="2474"/>
      <c r="M663" s="2474"/>
      <c r="N663" s="2474"/>
      <c r="O663" s="2474"/>
      <c r="P663" s="2474"/>
      <c r="Q663" s="2474"/>
      <c r="R663" s="2474"/>
      <c r="S663" s="2474"/>
      <c r="T663" s="2474"/>
      <c r="U663" s="2474"/>
    </row>
    <row r="664" spans="1:22" s="522" customFormat="1" ht="61.5" customHeight="1">
      <c r="B664" s="2441" t="s">
        <v>2059</v>
      </c>
      <c r="C664" s="2441"/>
      <c r="D664" s="2441"/>
      <c r="E664" s="2441"/>
      <c r="F664" s="2441"/>
      <c r="G664" s="2441"/>
      <c r="H664" s="2441"/>
      <c r="I664" s="2441"/>
      <c r="J664" s="2441"/>
      <c r="K664" s="2441"/>
      <c r="L664" s="2441"/>
      <c r="M664" s="2441"/>
      <c r="N664" s="2441"/>
      <c r="O664" s="2441"/>
      <c r="P664" s="2441"/>
      <c r="Q664" s="2441"/>
      <c r="R664" s="2441"/>
      <c r="S664" s="2441"/>
      <c r="T664" s="2441"/>
      <c r="U664" s="2441"/>
    </row>
    <row r="665" spans="1:22" customFormat="1" ht="2.25" customHeight="1"/>
    <row r="666" spans="1:22" s="522" customFormat="1" ht="21" customHeight="1">
      <c r="B666" s="2501" t="s">
        <v>949</v>
      </c>
      <c r="C666" s="2501"/>
      <c r="D666" s="2501"/>
      <c r="E666" s="2501"/>
      <c r="F666" s="2501"/>
      <c r="G666" s="2501"/>
      <c r="H666" s="2501"/>
      <c r="I666" s="2501"/>
      <c r="J666" s="2501"/>
      <c r="K666" s="2501"/>
      <c r="L666" s="2501"/>
      <c r="M666" s="2501"/>
      <c r="N666" s="2501"/>
      <c r="O666" s="2501"/>
      <c r="P666" s="2501"/>
      <c r="Q666" s="2501"/>
      <c r="R666" s="2501"/>
      <c r="S666" s="2501"/>
      <c r="T666" s="2501"/>
      <c r="U666" s="2501"/>
      <c r="V666" s="429"/>
    </row>
    <row r="667" spans="1:22" s="733" customFormat="1" ht="33.75" customHeight="1">
      <c r="A667" s="429"/>
      <c r="B667" s="2441" t="s">
        <v>953</v>
      </c>
      <c r="C667" s="2441"/>
      <c r="D667" s="2441"/>
      <c r="E667" s="2441"/>
      <c r="F667" s="2441"/>
      <c r="G667" s="2441"/>
      <c r="H667" s="2441"/>
      <c r="I667" s="2441"/>
      <c r="J667" s="2441"/>
      <c r="K667" s="2441"/>
      <c r="L667" s="2441"/>
      <c r="M667" s="2441"/>
      <c r="N667" s="2441"/>
      <c r="O667" s="2441"/>
      <c r="P667" s="2441"/>
      <c r="Q667" s="2441"/>
      <c r="R667" s="2441"/>
      <c r="S667" s="2441"/>
      <c r="T667" s="2441"/>
      <c r="U667" s="2441"/>
      <c r="V667" s="429"/>
    </row>
    <row r="668" spans="1:22" s="733" customFormat="1" ht="33.75" customHeight="1">
      <c r="A668" s="429"/>
      <c r="B668" s="2488" t="s">
        <v>954</v>
      </c>
      <c r="C668" s="2488"/>
      <c r="D668" s="2488"/>
      <c r="E668" s="2488"/>
      <c r="F668" s="2488"/>
      <c r="G668" s="2488"/>
      <c r="H668" s="2488"/>
      <c r="I668" s="2488"/>
      <c r="J668" s="2488"/>
      <c r="K668" s="2488"/>
      <c r="L668" s="2488"/>
      <c r="M668" s="2488"/>
      <c r="N668" s="2488"/>
      <c r="O668" s="2488"/>
      <c r="P668" s="2488"/>
      <c r="Q668" s="2488"/>
      <c r="R668" s="2488"/>
      <c r="S668" s="2488"/>
      <c r="T668" s="2488"/>
      <c r="U668" s="2488"/>
      <c r="V668" s="429"/>
    </row>
    <row r="669" spans="1:22" s="733" customFormat="1" ht="16.149999999999999" customHeight="1">
      <c r="A669" s="429"/>
      <c r="B669" s="2441" t="s">
        <v>955</v>
      </c>
      <c r="C669" s="2441"/>
      <c r="D669" s="2441"/>
      <c r="E669" s="2441"/>
      <c r="F669" s="2441"/>
      <c r="G669" s="2441"/>
      <c r="H669" s="2441"/>
      <c r="I669" s="2441"/>
      <c r="J669" s="2441"/>
      <c r="K669" s="2441"/>
      <c r="L669" s="2441"/>
      <c r="M669" s="2441"/>
      <c r="N669" s="2441"/>
      <c r="O669" s="2441"/>
      <c r="P669" s="2441"/>
      <c r="Q669" s="2441"/>
      <c r="R669" s="2441"/>
      <c r="S669" s="2441"/>
      <c r="T669" s="2441"/>
      <c r="U669" s="2441"/>
      <c r="V669" s="429"/>
    </row>
    <row r="670" spans="1:22" s="733" customFormat="1" ht="47.25" customHeight="1">
      <c r="A670" s="429"/>
      <c r="B670" s="2440" t="s">
        <v>1938</v>
      </c>
      <c r="C670" s="2440"/>
      <c r="D670" s="2440"/>
      <c r="E670" s="2440"/>
      <c r="F670" s="2440"/>
      <c r="G670" s="2440"/>
      <c r="H670" s="2440"/>
      <c r="I670" s="2440"/>
      <c r="J670" s="2440"/>
      <c r="K670" s="2440"/>
      <c r="L670" s="2440"/>
      <c r="M670" s="2440"/>
      <c r="N670" s="2440"/>
      <c r="O670" s="2440"/>
      <c r="P670" s="2440"/>
      <c r="Q670" s="2440"/>
      <c r="R670" s="2440"/>
      <c r="S670" s="2440"/>
      <c r="T670" s="2440"/>
      <c r="U670" s="2440"/>
      <c r="V670" s="429"/>
    </row>
    <row r="671" spans="1:22" s="734" customFormat="1" ht="15" customHeight="1">
      <c r="A671" s="429"/>
      <c r="B671" s="2501" t="s">
        <v>912</v>
      </c>
      <c r="C671" s="2501"/>
      <c r="D671" s="2501"/>
      <c r="E671" s="2501"/>
      <c r="F671" s="2501"/>
      <c r="G671" s="2501"/>
      <c r="H671" s="2501"/>
      <c r="I671" s="2501"/>
      <c r="J671" s="2501"/>
      <c r="K671" s="2501"/>
      <c r="L671" s="2501"/>
      <c r="M671" s="2501"/>
      <c r="N671" s="2501"/>
      <c r="O671" s="2501"/>
      <c r="P671" s="2501"/>
      <c r="Q671" s="2501"/>
      <c r="R671" s="2501"/>
      <c r="S671" s="2501"/>
      <c r="T671" s="2501"/>
      <c r="U671" s="2501"/>
      <c r="V671" s="429"/>
    </row>
    <row r="672" spans="1:22" s="429" customFormat="1" ht="3.75" customHeight="1"/>
    <row r="673" spans="1:22" s="733" customFormat="1" ht="59.25" customHeight="1">
      <c r="A673" s="429"/>
      <c r="B673" s="2488" t="s">
        <v>959</v>
      </c>
      <c r="C673" s="2488"/>
      <c r="D673" s="2488"/>
      <c r="E673" s="2488"/>
      <c r="F673" s="2488"/>
      <c r="G673" s="2488"/>
      <c r="H673" s="2488"/>
      <c r="I673" s="2488"/>
      <c r="J673" s="2488"/>
      <c r="K673" s="2488"/>
      <c r="L673" s="2488"/>
      <c r="M673" s="2488"/>
      <c r="N673" s="2488"/>
      <c r="O673" s="2488"/>
      <c r="P673" s="2488"/>
      <c r="Q673" s="2488"/>
      <c r="R673" s="2488"/>
      <c r="S673" s="2488"/>
      <c r="T673" s="2488"/>
      <c r="U673" s="2488"/>
      <c r="V673" s="429"/>
    </row>
    <row r="674" spans="1:22" s="522" customFormat="1" ht="19.5" customHeight="1">
      <c r="B674" s="2501" t="s">
        <v>1135</v>
      </c>
      <c r="C674" s="2501"/>
      <c r="D674" s="2501"/>
      <c r="E674" s="2501"/>
      <c r="F674" s="2501"/>
      <c r="G674" s="2501"/>
      <c r="H674" s="2501"/>
      <c r="I674" s="2501"/>
      <c r="J674" s="2501"/>
      <c r="K674" s="2501"/>
      <c r="L674" s="2501"/>
      <c r="M674" s="2501"/>
      <c r="N674" s="2501"/>
      <c r="O674" s="2501"/>
      <c r="P674" s="2501"/>
      <c r="Q674" s="2501"/>
      <c r="R674" s="2501"/>
      <c r="S674" s="2501"/>
      <c r="T674" s="2501"/>
      <c r="U674" s="2501"/>
      <c r="V674" s="429"/>
    </row>
    <row r="675" spans="1:22" s="522" customFormat="1" ht="42.75" customHeight="1">
      <c r="B675" s="2441" t="s">
        <v>2068</v>
      </c>
      <c r="C675" s="2441"/>
      <c r="D675" s="2441"/>
      <c r="E675" s="2441"/>
      <c r="F675" s="2441"/>
      <c r="G675" s="2441"/>
      <c r="H675" s="2441"/>
      <c r="I675" s="2441"/>
      <c r="J675" s="2441"/>
      <c r="K675" s="2441"/>
      <c r="L675" s="2441"/>
      <c r="M675" s="2441"/>
      <c r="N675" s="2441"/>
      <c r="O675" s="2441"/>
      <c r="P675" s="2441"/>
      <c r="Q675" s="2441"/>
      <c r="R675" s="2441"/>
      <c r="S675" s="2441"/>
      <c r="T675" s="2441"/>
      <c r="U675" s="2441"/>
      <c r="V675" s="429"/>
    </row>
    <row r="676" spans="1:22" s="522" customFormat="1" ht="19.5" customHeight="1">
      <c r="B676" s="2635" t="s">
        <v>912</v>
      </c>
      <c r="C676" s="2635"/>
      <c r="D676" s="2635"/>
      <c r="E676" s="2635"/>
      <c r="F676" s="2635"/>
      <c r="G676" s="2635"/>
      <c r="H676" s="2635"/>
      <c r="I676" s="2635"/>
      <c r="J676" s="2635"/>
      <c r="K676" s="2635"/>
      <c r="L676" s="2635"/>
      <c r="M676" s="2635"/>
      <c r="N676" s="2635"/>
      <c r="O676" s="2635"/>
      <c r="P676" s="2635"/>
      <c r="Q676" s="2635"/>
      <c r="R676" s="2635"/>
      <c r="S676" s="2635"/>
      <c r="T676" s="2635"/>
      <c r="U676" s="2635"/>
      <c r="V676" s="429"/>
    </row>
    <row r="677" spans="1:22" s="522" customFormat="1" ht="18.75" customHeight="1">
      <c r="B677" s="2441" t="s">
        <v>1134</v>
      </c>
      <c r="C677" s="2441"/>
      <c r="D677" s="2441"/>
      <c r="E677" s="2441"/>
      <c r="F677" s="2441"/>
      <c r="G677" s="2441"/>
      <c r="H677" s="2441"/>
      <c r="I677" s="2441"/>
      <c r="J677" s="2441"/>
      <c r="K677" s="2441"/>
      <c r="L677" s="2441"/>
      <c r="M677" s="2441"/>
      <c r="N677" s="2441"/>
      <c r="O677" s="2441"/>
      <c r="P677" s="2441"/>
      <c r="Q677" s="2441"/>
      <c r="R677" s="2441"/>
      <c r="S677" s="2441"/>
      <c r="T677" s="2441"/>
      <c r="U677" s="2441"/>
      <c r="V677" s="429"/>
    </row>
    <row r="678" spans="1:22" s="522" customFormat="1" ht="44.25" customHeight="1">
      <c r="B678" s="2584" t="s">
        <v>1949</v>
      </c>
      <c r="C678" s="2584"/>
      <c r="D678" s="2584"/>
      <c r="E678" s="2584"/>
      <c r="F678" s="2584"/>
      <c r="G678" s="2584"/>
      <c r="H678" s="2584"/>
      <c r="I678" s="2584"/>
      <c r="J678" s="2584"/>
      <c r="K678" s="2584"/>
      <c r="L678" s="2584"/>
      <c r="M678" s="2584"/>
      <c r="N678" s="2584"/>
      <c r="O678" s="2584"/>
      <c r="P678" s="2584"/>
      <c r="Q678" s="2584"/>
      <c r="R678" s="2584"/>
      <c r="S678" s="2584"/>
      <c r="T678" s="2584"/>
      <c r="U678" s="2584"/>
      <c r="V678" s="429"/>
    </row>
    <row r="679" spans="1:22" s="522" customFormat="1" ht="46.5" customHeight="1">
      <c r="B679" s="2488" t="s">
        <v>1902</v>
      </c>
      <c r="C679" s="2488"/>
      <c r="D679" s="2488"/>
      <c r="E679" s="2488"/>
      <c r="F679" s="2488"/>
      <c r="G679" s="2488"/>
      <c r="H679" s="2488"/>
      <c r="I679" s="2488"/>
      <c r="J679" s="2488"/>
      <c r="K679" s="2488"/>
      <c r="L679" s="2488"/>
      <c r="M679" s="2488"/>
      <c r="N679" s="2488"/>
      <c r="O679" s="2488"/>
      <c r="P679" s="2488"/>
      <c r="Q679" s="2488"/>
      <c r="R679" s="2488"/>
      <c r="S679" s="2488"/>
      <c r="T679" s="2488"/>
      <c r="U679" s="2488"/>
    </row>
    <row r="680" spans="1:22" s="522" customFormat="1" ht="16.5" customHeight="1">
      <c r="B680" s="2474" t="str">
        <f>IF(Perfiles_usuario!R282&gt;0,IF(Perfiles_usuario!J17="Cartera Orange","","Abono de penalizaciones"),"")</f>
        <v>Abono de penalizaciones</v>
      </c>
      <c r="C680" s="2474"/>
      <c r="D680" s="2474"/>
      <c r="E680" s="2474"/>
      <c r="F680" s="2474"/>
      <c r="G680" s="2474"/>
      <c r="H680" s="2474"/>
      <c r="I680" s="492"/>
      <c r="J680" s="492"/>
      <c r="K680" s="492"/>
      <c r="L680" s="492"/>
      <c r="M680" s="492"/>
      <c r="N680" s="492"/>
      <c r="O680" s="492"/>
      <c r="P680" s="492"/>
      <c r="Q680" s="492"/>
      <c r="R680" s="492"/>
      <c r="S680" s="492"/>
      <c r="T680" s="492"/>
      <c r="U680" s="735"/>
    </row>
    <row r="681" spans="1:22" s="522" customFormat="1" ht="38.25" customHeight="1">
      <c r="B681" s="2600" t="str">
        <f>IF(Perfiles_usuario!J17="Cartera Orange","",IF(Perfiles_usuario!$R$282=0,"",CONCATENATE(CONCATENATE("En el supuesto de que  ",$B$11," deba hacer frente a penalización por cancelación anticipada de su Contrato de prestación de servicios de telecomunicación con su actual operador, ORANGE se compromete a aplicar dicho importe como descuento en factura"), CONCATENATE(", con un máximo de ",ROUND(Perfiles_usuario!$R$282,0)," €"))))</f>
        <v>En el supuesto de que  INMOBILIARIA SERVIGESTION deba hacer frente a penalización por cancelación anticipada de su Contrato de prestación de servicios de telecomunicación con su actual operador, ORANGE se compromete a aplicar dicho importe como descuento en factura, con un máximo de 452 €</v>
      </c>
      <c r="C681" s="2600"/>
      <c r="D681" s="2600"/>
      <c r="E681" s="2600"/>
      <c r="F681" s="2600"/>
      <c r="G681" s="2600"/>
      <c r="H681" s="2600"/>
      <c r="I681" s="2600"/>
      <c r="J681" s="2600"/>
      <c r="K681" s="2600"/>
      <c r="L681" s="2600"/>
      <c r="M681" s="2600"/>
      <c r="N681" s="2600"/>
      <c r="O681" s="2600"/>
      <c r="P681" s="2600"/>
      <c r="Q681" s="2600"/>
      <c r="R681" s="2600"/>
      <c r="S681" s="2600"/>
      <c r="T681" s="2600"/>
      <c r="U681" s="2600"/>
    </row>
    <row r="682" spans="1:22" s="522" customFormat="1" ht="55.5" customHeight="1">
      <c r="B682" s="2600" t="str">
        <f>IF(Perfiles_usuario!J17="Cartera Orange","",IF(Perfiles_usuario!$R$282=0,"",CONCATENATE(CONCATENATE($B$11," deberá acreditar la cuantía y pago de la correspondiente penalización a su actual operador para que dicho descuento sea aplicado. ","Si el valor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INMOBILIARIA SERVIGESTION deberá acreditar la cuantía y pago de la correspondiente penalización a su actual operador para que dicho descuento sea aplicado. Si el valor abonado es inferior al máximo descuento en factura, el descuento que se aplicará será lo efectivamente abonado por INMOBILIARIA SERVIGESTION. El descuento se realizará, en una sola factura, tras la recepción en ORANGE de los documentos acreditativos del pago de la penalización en un plazo inferior a 6 meses, contados a partir del comienzo de la activación de los servicios. </v>
      </c>
      <c r="C682" s="2600"/>
      <c r="D682" s="2600"/>
      <c r="E682" s="2600"/>
      <c r="F682" s="2600"/>
      <c r="G682" s="2600"/>
      <c r="H682" s="2600"/>
      <c r="I682" s="2600"/>
      <c r="J682" s="2600"/>
      <c r="K682" s="2600"/>
      <c r="L682" s="2600"/>
      <c r="M682" s="2600"/>
      <c r="N682" s="2600"/>
      <c r="O682" s="2600"/>
      <c r="P682" s="2600"/>
      <c r="Q682" s="2600"/>
      <c r="R682" s="2600"/>
      <c r="S682" s="2600"/>
      <c r="T682" s="2600"/>
      <c r="U682" s="2600"/>
    </row>
    <row r="683" spans="1:22" s="522" customFormat="1" ht="41.25" customHeight="1">
      <c r="B683" s="2600"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INMOBILIARIA SERVIGESTION se compromete a portar 6 líneas móviles y a permanecer de alta en el servicio móvil Empresas de ORANGE con 8 líneas móviles, manteniendo la tarifa y los productos y módulos contratados en la presente hoja de condiciones durante un mínimo de 12 meses. Dicho descuento está condicionado al mantenimiento del nº de líneas y nº de líneas activas facilitados por el cliente.</v>
      </c>
      <c r="C683" s="2600"/>
      <c r="D683" s="2600"/>
      <c r="E683" s="2600"/>
      <c r="F683" s="2600"/>
      <c r="G683" s="2600"/>
      <c r="H683" s="2600"/>
      <c r="I683" s="2600"/>
      <c r="J683" s="2600"/>
      <c r="K683" s="2600"/>
      <c r="L683" s="2600"/>
      <c r="M683" s="2600"/>
      <c r="N683" s="2600"/>
      <c r="O683" s="2600"/>
      <c r="P683" s="2600"/>
      <c r="Q683" s="2600"/>
      <c r="R683" s="2600"/>
      <c r="S683" s="2600"/>
      <c r="T683" s="2600"/>
      <c r="U683" s="2600"/>
    </row>
    <row r="684" spans="1:22" s="522" customFormat="1" ht="33" customHeight="1">
      <c r="B684" s="2600"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INMOBILIARIA SERVIGESTION desee cancelar, total o parcialmente, o modificar sustancialmente los servicios regulados por el Contrato Empresas de ORANGE tras la activación de los mismos y antes del abono del descuento, éste no se efectuará.</v>
      </c>
      <c r="C684" s="2600"/>
      <c r="D684" s="2600"/>
      <c r="E684" s="2600"/>
      <c r="F684" s="2600"/>
      <c r="G684" s="2600"/>
      <c r="H684" s="2600"/>
      <c r="I684" s="2600"/>
      <c r="J684" s="2600"/>
      <c r="K684" s="2600"/>
      <c r="L684" s="2600"/>
      <c r="M684" s="2600"/>
      <c r="N684" s="2600"/>
      <c r="O684" s="2600"/>
      <c r="P684" s="2600"/>
      <c r="Q684" s="2600"/>
      <c r="R684" s="2600"/>
      <c r="S684" s="2600"/>
      <c r="T684" s="2600"/>
      <c r="U684" s="2600"/>
    </row>
    <row r="685" spans="1:22" ht="42" customHeight="1">
      <c r="B685" s="2252" t="s">
        <v>676</v>
      </c>
      <c r="C685" s="2252"/>
      <c r="D685" s="2252"/>
      <c r="E685" s="2252"/>
      <c r="F685" s="2252"/>
      <c r="G685" s="2252"/>
      <c r="H685" s="2252"/>
      <c r="I685" s="2252"/>
      <c r="J685" s="2252"/>
      <c r="K685" s="2252"/>
      <c r="L685" s="2252"/>
      <c r="M685" s="2252"/>
      <c r="N685" s="2252"/>
      <c r="O685" s="2252"/>
      <c r="P685" s="2252"/>
      <c r="Q685" s="2252"/>
      <c r="R685" s="2252"/>
      <c r="S685" s="2252"/>
      <c r="T685" s="2252"/>
      <c r="U685" s="2252"/>
    </row>
    <row r="686" spans="1:22" ht="51.75" customHeight="1">
      <c r="B686" s="2617" t="s">
        <v>677</v>
      </c>
      <c r="C686" s="2617"/>
      <c r="D686" s="2617"/>
      <c r="E686" s="2617"/>
      <c r="F686" s="2617"/>
      <c r="G686" s="2617"/>
      <c r="H686" s="2617"/>
      <c r="I686" s="2617"/>
      <c r="J686" s="2617"/>
      <c r="K686" s="2617"/>
      <c r="L686" s="2617"/>
      <c r="M686" s="2617"/>
      <c r="N686" s="2617"/>
      <c r="O686" s="2617"/>
      <c r="P686" s="2617"/>
      <c r="Q686" s="2617"/>
      <c r="R686" s="2617"/>
      <c r="S686" s="2617"/>
      <c r="T686" s="2617"/>
      <c r="U686" s="2617"/>
    </row>
    <row r="687" spans="1:22" ht="129" customHeight="1">
      <c r="B687" s="522"/>
      <c r="C687" s="738" t="s">
        <v>668</v>
      </c>
      <c r="D687" s="584"/>
      <c r="E687" s="584"/>
      <c r="F687" s="584"/>
      <c r="G687" s="2498" t="s">
        <v>678</v>
      </c>
      <c r="H687" s="2499"/>
      <c r="I687" s="2499"/>
      <c r="J687" s="2499"/>
      <c r="K687" s="2499"/>
      <c r="L687" s="2499"/>
      <c r="M687" s="2499"/>
      <c r="N687" s="2499"/>
      <c r="O687" s="2499"/>
      <c r="P687" s="2500"/>
      <c r="Q687" s="561"/>
      <c r="R687" s="561"/>
      <c r="S687" s="441"/>
      <c r="T687" s="441"/>
      <c r="U687" s="588"/>
      <c r="V687" s="441"/>
    </row>
    <row r="688" spans="1:22" ht="5.0999999999999996" customHeight="1"/>
    <row r="689" spans="13:19" ht="5.0999999999999996" customHeight="1"/>
    <row r="690" spans="13:19" ht="5.0999999999999996" customHeight="1"/>
    <row r="691" spans="13:19" ht="15.75">
      <c r="M691" s="476" t="s">
        <v>1831</v>
      </c>
      <c r="R691" s="477" t="s">
        <v>692</v>
      </c>
      <c r="S691" s="478" t="str">
        <f>$E$29</f>
        <v>ILF5_90FCOS_B114CAGR43006</v>
      </c>
    </row>
  </sheetData>
  <sheetProtection algorithmName="SHA-512" hashValue="sx6ppsREqKdZHktw9pRoXVAqfabCiOzaoDB9F9bv3y+7V2s2kcZTYc+P/pIbbkcc496wrae1LPii1uaX5PAPVg==" saltValue="ZIQvEhqRbJr0NWnZ0CrTvA==" spinCount="100000" sheet="1" selectLockedCells="1" selectUnlockedCells="1"/>
  <mergeCells count="743">
    <mergeCell ref="M345:O345"/>
    <mergeCell ref="M346:O346"/>
    <mergeCell ref="M347:O347"/>
    <mergeCell ref="M348:O348"/>
    <mergeCell ref="M349:O349"/>
    <mergeCell ref="M350:O350"/>
    <mergeCell ref="M351:O351"/>
    <mergeCell ref="M352:O352"/>
    <mergeCell ref="H345:J345"/>
    <mergeCell ref="H346:J346"/>
    <mergeCell ref="H347:J347"/>
    <mergeCell ref="H348:J348"/>
    <mergeCell ref="H349:J349"/>
    <mergeCell ref="H350:J350"/>
    <mergeCell ref="H351:J351"/>
    <mergeCell ref="H352:J352"/>
    <mergeCell ref="K345:L345"/>
    <mergeCell ref="K346:L346"/>
    <mergeCell ref="K347:L347"/>
    <mergeCell ref="K348:L348"/>
    <mergeCell ref="K349:L349"/>
    <mergeCell ref="K350:L350"/>
    <mergeCell ref="K351:L351"/>
    <mergeCell ref="K352:L352"/>
    <mergeCell ref="B620:U620"/>
    <mergeCell ref="B621:U621"/>
    <mergeCell ref="C607:D607"/>
    <mergeCell ref="C608:D608"/>
    <mergeCell ref="E607:G607"/>
    <mergeCell ref="E608:G608"/>
    <mergeCell ref="B558:K558"/>
    <mergeCell ref="B559:U559"/>
    <mergeCell ref="B560:U560"/>
    <mergeCell ref="B568:U568"/>
    <mergeCell ref="B569:U569"/>
    <mergeCell ref="B571:K571"/>
    <mergeCell ref="B572:U572"/>
    <mergeCell ref="C573:T573"/>
    <mergeCell ref="C574:K574"/>
    <mergeCell ref="M574:T574"/>
    <mergeCell ref="C575:K575"/>
    <mergeCell ref="S586:T587"/>
    <mergeCell ref="M575:T575"/>
    <mergeCell ref="C576:G576"/>
    <mergeCell ref="M576:Q576"/>
    <mergeCell ref="C578:K578"/>
    <mergeCell ref="M578:T578"/>
    <mergeCell ref="C579:K579"/>
    <mergeCell ref="B549:U549"/>
    <mergeCell ref="B550:U550"/>
    <mergeCell ref="B551:U551"/>
    <mergeCell ref="B552:U552"/>
    <mergeCell ref="B553:U553"/>
    <mergeCell ref="B554:U554"/>
    <mergeCell ref="B555:U555"/>
    <mergeCell ref="B556:U556"/>
    <mergeCell ref="B557:U557"/>
    <mergeCell ref="B539:U539"/>
    <mergeCell ref="B540:U540"/>
    <mergeCell ref="B541:U541"/>
    <mergeCell ref="B542:U542"/>
    <mergeCell ref="B543:K543"/>
    <mergeCell ref="B544:U544"/>
    <mergeCell ref="B545:U545"/>
    <mergeCell ref="B547:K547"/>
    <mergeCell ref="B548:U548"/>
    <mergeCell ref="B529:U529"/>
    <mergeCell ref="B530:U530"/>
    <mergeCell ref="B532:K532"/>
    <mergeCell ref="B533:U533"/>
    <mergeCell ref="B534:U534"/>
    <mergeCell ref="B535:U535"/>
    <mergeCell ref="B536:U536"/>
    <mergeCell ref="B537:U537"/>
    <mergeCell ref="B538:U538"/>
    <mergeCell ref="B454:U454"/>
    <mergeCell ref="B456:U456"/>
    <mergeCell ref="B459:U459"/>
    <mergeCell ref="C462:J462"/>
    <mergeCell ref="B444:C444"/>
    <mergeCell ref="E444:J444"/>
    <mergeCell ref="K444:L444"/>
    <mergeCell ref="M444:N444"/>
    <mergeCell ref="B445:C445"/>
    <mergeCell ref="E445:J445"/>
    <mergeCell ref="K445:L445"/>
    <mergeCell ref="M445:N445"/>
    <mergeCell ref="B446:C446"/>
    <mergeCell ref="E446:J446"/>
    <mergeCell ref="K446:L446"/>
    <mergeCell ref="M446:N446"/>
    <mergeCell ref="B436:U436"/>
    <mergeCell ref="B437:U437"/>
    <mergeCell ref="B439:U439"/>
    <mergeCell ref="B440:U440"/>
    <mergeCell ref="B442:C442"/>
    <mergeCell ref="E442:J442"/>
    <mergeCell ref="K442:L442"/>
    <mergeCell ref="M442:N442"/>
    <mergeCell ref="B443:C443"/>
    <mergeCell ref="E443:J443"/>
    <mergeCell ref="K443:L443"/>
    <mergeCell ref="M443:N443"/>
    <mergeCell ref="B682:U682"/>
    <mergeCell ref="B683:U683"/>
    <mergeCell ref="B685:U685"/>
    <mergeCell ref="B686:U686"/>
    <mergeCell ref="G687:P687"/>
    <mergeCell ref="B679:U679"/>
    <mergeCell ref="B680:H680"/>
    <mergeCell ref="B681:U681"/>
    <mergeCell ref="B684:U684"/>
    <mergeCell ref="B676:U676"/>
    <mergeCell ref="B677:U677"/>
    <mergeCell ref="B674:U674"/>
    <mergeCell ref="B675:U675"/>
    <mergeCell ref="B678:U678"/>
    <mergeCell ref="B666:U666"/>
    <mergeCell ref="B649:U649"/>
    <mergeCell ref="B650:U650"/>
    <mergeCell ref="B655:U655"/>
    <mergeCell ref="B656:U656"/>
    <mergeCell ref="B657:U657"/>
    <mergeCell ref="B658:U658"/>
    <mergeCell ref="B667:U667"/>
    <mergeCell ref="B668:U668"/>
    <mergeCell ref="B669:U669"/>
    <mergeCell ref="B670:U670"/>
    <mergeCell ref="B671:U671"/>
    <mergeCell ref="B673:U673"/>
    <mergeCell ref="B659:U659"/>
    <mergeCell ref="B660:U660"/>
    <mergeCell ref="B661:U661"/>
    <mergeCell ref="B662:U662"/>
    <mergeCell ref="B663:U663"/>
    <mergeCell ref="B664:U664"/>
    <mergeCell ref="B642:U642"/>
    <mergeCell ref="B643:U643"/>
    <mergeCell ref="B644:U644"/>
    <mergeCell ref="B645:U645"/>
    <mergeCell ref="B647:U647"/>
    <mergeCell ref="B648:U648"/>
    <mergeCell ref="B646:U646"/>
    <mergeCell ref="B634:U634"/>
    <mergeCell ref="B636:U636"/>
    <mergeCell ref="B638:U638"/>
    <mergeCell ref="B639:U639"/>
    <mergeCell ref="B640:U640"/>
    <mergeCell ref="B641:U641"/>
    <mergeCell ref="B637:U637"/>
    <mergeCell ref="B628:U628"/>
    <mergeCell ref="B629:U629"/>
    <mergeCell ref="B630:U630"/>
    <mergeCell ref="B631:U631"/>
    <mergeCell ref="B632:U632"/>
    <mergeCell ref="B633:U633"/>
    <mergeCell ref="B505:U505"/>
    <mergeCell ref="B507:U507"/>
    <mergeCell ref="B508:U508"/>
    <mergeCell ref="B509:U509"/>
    <mergeCell ref="B510:U510"/>
    <mergeCell ref="B511:K511"/>
    <mergeCell ref="B622:U622"/>
    <mergeCell ref="B623:U623"/>
    <mergeCell ref="B624:U624"/>
    <mergeCell ref="B625:U625"/>
    <mergeCell ref="B626:U626"/>
    <mergeCell ref="B627:U627"/>
    <mergeCell ref="B506:U506"/>
    <mergeCell ref="B614:U614"/>
    <mergeCell ref="B615:U615"/>
    <mergeCell ref="B617:U617"/>
    <mergeCell ref="B618:U618"/>
    <mergeCell ref="B619:U619"/>
    <mergeCell ref="C489:K489"/>
    <mergeCell ref="B490:U490"/>
    <mergeCell ref="B492:U492"/>
    <mergeCell ref="C501:K501"/>
    <mergeCell ref="C502:K502"/>
    <mergeCell ref="C503:K503"/>
    <mergeCell ref="B504:U504"/>
    <mergeCell ref="B491:U491"/>
    <mergeCell ref="B493:U493"/>
    <mergeCell ref="B496:U496"/>
    <mergeCell ref="B498:U498"/>
    <mergeCell ref="B499:U499"/>
    <mergeCell ref="B500:U500"/>
    <mergeCell ref="B494:K494"/>
    <mergeCell ref="B495:K495"/>
    <mergeCell ref="C487:K487"/>
    <mergeCell ref="C488:K488"/>
    <mergeCell ref="C413:D413"/>
    <mergeCell ref="C414:J414"/>
    <mergeCell ref="C415:J415"/>
    <mergeCell ref="C418:J418"/>
    <mergeCell ref="M418:T418"/>
    <mergeCell ref="B408:C408"/>
    <mergeCell ref="K408:L408"/>
    <mergeCell ref="M408:N408"/>
    <mergeCell ref="B411:U411"/>
    <mergeCell ref="C412:J412"/>
    <mergeCell ref="B485:U485"/>
    <mergeCell ref="B486:U486"/>
    <mergeCell ref="C419:J419"/>
    <mergeCell ref="M419:T419"/>
    <mergeCell ref="B477:U477"/>
    <mergeCell ref="B478:U478"/>
    <mergeCell ref="B424:U424"/>
    <mergeCell ref="B479:U479"/>
    <mergeCell ref="B480:K480"/>
    <mergeCell ref="B484:U484"/>
    <mergeCell ref="B481:K481"/>
    <mergeCell ref="B482:U482"/>
    <mergeCell ref="B406:C406"/>
    <mergeCell ref="E406:J406"/>
    <mergeCell ref="K406:L406"/>
    <mergeCell ref="M406:N406"/>
    <mergeCell ref="B407:C407"/>
    <mergeCell ref="E407:G407"/>
    <mergeCell ref="H407:J407"/>
    <mergeCell ref="K407:L407"/>
    <mergeCell ref="M407:N407"/>
    <mergeCell ref="B404:C404"/>
    <mergeCell ref="E404:J404"/>
    <mergeCell ref="K404:L404"/>
    <mergeCell ref="M404:N404"/>
    <mergeCell ref="B405:C405"/>
    <mergeCell ref="E405:J405"/>
    <mergeCell ref="K405:L405"/>
    <mergeCell ref="M405:N405"/>
    <mergeCell ref="B402:C402"/>
    <mergeCell ref="E402:J402"/>
    <mergeCell ref="K402:L402"/>
    <mergeCell ref="M402:N402"/>
    <mergeCell ref="B403:C403"/>
    <mergeCell ref="E403:J403"/>
    <mergeCell ref="K403:L403"/>
    <mergeCell ref="M403:N403"/>
    <mergeCell ref="B388:U388"/>
    <mergeCell ref="B395:U395"/>
    <mergeCell ref="B396:U396"/>
    <mergeCell ref="B398:U398"/>
    <mergeCell ref="B399:U399"/>
    <mergeCell ref="B401:C401"/>
    <mergeCell ref="E401:J401"/>
    <mergeCell ref="K401:L401"/>
    <mergeCell ref="M401:N401"/>
    <mergeCell ref="P384:P385"/>
    <mergeCell ref="S384:S385"/>
    <mergeCell ref="B385:C385"/>
    <mergeCell ref="I386:J386"/>
    <mergeCell ref="K386:M386"/>
    <mergeCell ref="B387:C387"/>
    <mergeCell ref="N387:U387"/>
    <mergeCell ref="B381:C381"/>
    <mergeCell ref="I381:J381"/>
    <mergeCell ref="B382:C382"/>
    <mergeCell ref="I382:J382"/>
    <mergeCell ref="B384:C384"/>
    <mergeCell ref="I384:M384"/>
    <mergeCell ref="B378:C378"/>
    <mergeCell ref="I378:J378"/>
    <mergeCell ref="B379:C379"/>
    <mergeCell ref="I379:J379"/>
    <mergeCell ref="B380:C380"/>
    <mergeCell ref="I380:J380"/>
    <mergeCell ref="B375:C375"/>
    <mergeCell ref="I375:J375"/>
    <mergeCell ref="B376:C376"/>
    <mergeCell ref="I376:J376"/>
    <mergeCell ref="B377:C377"/>
    <mergeCell ref="I377:J377"/>
    <mergeCell ref="B372:C372"/>
    <mergeCell ref="I372:J372"/>
    <mergeCell ref="B373:C373"/>
    <mergeCell ref="I373:J373"/>
    <mergeCell ref="B374:C374"/>
    <mergeCell ref="I374:J374"/>
    <mergeCell ref="B369:C369"/>
    <mergeCell ref="I369:J369"/>
    <mergeCell ref="B370:C370"/>
    <mergeCell ref="I370:J370"/>
    <mergeCell ref="B371:C371"/>
    <mergeCell ref="I371:J371"/>
    <mergeCell ref="B363:U363"/>
    <mergeCell ref="B364:U364"/>
    <mergeCell ref="B365:U365"/>
    <mergeCell ref="B367:C367"/>
    <mergeCell ref="I367:J367"/>
    <mergeCell ref="B368:C368"/>
    <mergeCell ref="I368:J368"/>
    <mergeCell ref="B362:U362"/>
    <mergeCell ref="H353:J353"/>
    <mergeCell ref="K353:L353"/>
    <mergeCell ref="M353:O353"/>
    <mergeCell ref="H354:J354"/>
    <mergeCell ref="K354:L354"/>
    <mergeCell ref="M354:O354"/>
    <mergeCell ref="B355:U355"/>
    <mergeCell ref="B334:T334"/>
    <mergeCell ref="H336:K336"/>
    <mergeCell ref="C338:T338"/>
    <mergeCell ref="B342:T342"/>
    <mergeCell ref="B341:P341"/>
    <mergeCell ref="H343:J343"/>
    <mergeCell ref="K343:L343"/>
    <mergeCell ref="M343:O343"/>
    <mergeCell ref="H344:J344"/>
    <mergeCell ref="K344:L344"/>
    <mergeCell ref="M344:O344"/>
    <mergeCell ref="B329:U329"/>
    <mergeCell ref="B331:U331"/>
    <mergeCell ref="C313:D313"/>
    <mergeCell ref="G313:H313"/>
    <mergeCell ref="C312:D312"/>
    <mergeCell ref="G309:H309"/>
    <mergeCell ref="C309:D309"/>
    <mergeCell ref="G312:H312"/>
    <mergeCell ref="B333:H333"/>
    <mergeCell ref="C310:D310"/>
    <mergeCell ref="G310:H310"/>
    <mergeCell ref="C311:D311"/>
    <mergeCell ref="G311:H311"/>
    <mergeCell ref="O313:P313"/>
    <mergeCell ref="O314:P314"/>
    <mergeCell ref="B328:U328"/>
    <mergeCell ref="C314:D314"/>
    <mergeCell ref="G314:H314"/>
    <mergeCell ref="O307:P307"/>
    <mergeCell ref="O308:P308"/>
    <mergeCell ref="O309:P309"/>
    <mergeCell ref="O310:P310"/>
    <mergeCell ref="O311:P311"/>
    <mergeCell ref="O312:P312"/>
    <mergeCell ref="C302:D302"/>
    <mergeCell ref="G302:H302"/>
    <mergeCell ref="I302:J302"/>
    <mergeCell ref="C303:D303"/>
    <mergeCell ref="G303:H303"/>
    <mergeCell ref="I303:J303"/>
    <mergeCell ref="C308:D308"/>
    <mergeCell ref="G308:H308"/>
    <mergeCell ref="C304:D304"/>
    <mergeCell ref="G304:H304"/>
    <mergeCell ref="I304:J304"/>
    <mergeCell ref="C305:D305"/>
    <mergeCell ref="G305:H305"/>
    <mergeCell ref="C306:D306"/>
    <mergeCell ref="G306:H306"/>
    <mergeCell ref="C307:D307"/>
    <mergeCell ref="G307:H307"/>
    <mergeCell ref="C301:D301"/>
    <mergeCell ref="G301:H301"/>
    <mergeCell ref="I301:J301"/>
    <mergeCell ref="C298:D298"/>
    <mergeCell ref="G298:H298"/>
    <mergeCell ref="I298:J298"/>
    <mergeCell ref="C299:D299"/>
    <mergeCell ref="G299:H299"/>
    <mergeCell ref="I299:J299"/>
    <mergeCell ref="C296:D296"/>
    <mergeCell ref="G296:H296"/>
    <mergeCell ref="I296:J296"/>
    <mergeCell ref="C297:D297"/>
    <mergeCell ref="G297:H297"/>
    <mergeCell ref="I297:J297"/>
    <mergeCell ref="C300:D300"/>
    <mergeCell ref="G300:H300"/>
    <mergeCell ref="I300:J300"/>
    <mergeCell ref="C293:D293"/>
    <mergeCell ref="G293:H293"/>
    <mergeCell ref="I293:J293"/>
    <mergeCell ref="O293:P293"/>
    <mergeCell ref="C294:D294"/>
    <mergeCell ref="G294:H294"/>
    <mergeCell ref="I294:J294"/>
    <mergeCell ref="C295:D295"/>
    <mergeCell ref="G295:H295"/>
    <mergeCell ref="I295:J295"/>
    <mergeCell ref="O294:P294"/>
    <mergeCell ref="O295:P295"/>
    <mergeCell ref="C291:D291"/>
    <mergeCell ref="E291:F291"/>
    <mergeCell ref="G291:H291"/>
    <mergeCell ref="I291:J291"/>
    <mergeCell ref="C290:D290"/>
    <mergeCell ref="E290:F290"/>
    <mergeCell ref="G290:H290"/>
    <mergeCell ref="I290:J290"/>
    <mergeCell ref="C292:D292"/>
    <mergeCell ref="E292:F292"/>
    <mergeCell ref="G292:H292"/>
    <mergeCell ref="I292:J292"/>
    <mergeCell ref="Q286:R286"/>
    <mergeCell ref="K287:L287"/>
    <mergeCell ref="C286:D286"/>
    <mergeCell ref="E286:F286"/>
    <mergeCell ref="G286:H286"/>
    <mergeCell ref="I286:J286"/>
    <mergeCell ref="K286:L286"/>
    <mergeCell ref="C289:D289"/>
    <mergeCell ref="E289:F289"/>
    <mergeCell ref="G289:H289"/>
    <mergeCell ref="I289:J289"/>
    <mergeCell ref="C288:D288"/>
    <mergeCell ref="E288:F288"/>
    <mergeCell ref="G288:H288"/>
    <mergeCell ref="I288:J288"/>
    <mergeCell ref="C287:D287"/>
    <mergeCell ref="E287:F287"/>
    <mergeCell ref="G287:H287"/>
    <mergeCell ref="I287:J287"/>
    <mergeCell ref="Q287:R287"/>
    <mergeCell ref="Q288:R288"/>
    <mergeCell ref="O289:P289"/>
    <mergeCell ref="Q289:R289"/>
    <mergeCell ref="O286:P288"/>
    <mergeCell ref="Q284:R284"/>
    <mergeCell ref="C285:D285"/>
    <mergeCell ref="E285:F285"/>
    <mergeCell ref="G285:H285"/>
    <mergeCell ref="I285:J285"/>
    <mergeCell ref="K285:L285"/>
    <mergeCell ref="C284:D284"/>
    <mergeCell ref="E284:F284"/>
    <mergeCell ref="G284:H284"/>
    <mergeCell ref="I284:J284"/>
    <mergeCell ref="K284:L284"/>
    <mergeCell ref="Q285:R285"/>
    <mergeCell ref="O284:P285"/>
    <mergeCell ref="C283:D283"/>
    <mergeCell ref="E283:F283"/>
    <mergeCell ref="G283:H283"/>
    <mergeCell ref="I283:J283"/>
    <mergeCell ref="K283:L283"/>
    <mergeCell ref="C282:D282"/>
    <mergeCell ref="E282:F282"/>
    <mergeCell ref="G282:H282"/>
    <mergeCell ref="I282:J282"/>
    <mergeCell ref="K282:L282"/>
    <mergeCell ref="C281:D281"/>
    <mergeCell ref="E281:F281"/>
    <mergeCell ref="G281:H281"/>
    <mergeCell ref="I281:J281"/>
    <mergeCell ref="K281:L281"/>
    <mergeCell ref="C280:D280"/>
    <mergeCell ref="E280:F280"/>
    <mergeCell ref="G280:H280"/>
    <mergeCell ref="I280:J280"/>
    <mergeCell ref="K280:L280"/>
    <mergeCell ref="C279:D279"/>
    <mergeCell ref="E279:F279"/>
    <mergeCell ref="G279:H279"/>
    <mergeCell ref="I279:J279"/>
    <mergeCell ref="K279:L279"/>
    <mergeCell ref="C278:D278"/>
    <mergeCell ref="E278:F278"/>
    <mergeCell ref="G278:H278"/>
    <mergeCell ref="I278:J278"/>
    <mergeCell ref="K278:L278"/>
    <mergeCell ref="C277:D277"/>
    <mergeCell ref="E277:F277"/>
    <mergeCell ref="G277:H277"/>
    <mergeCell ref="I277:J277"/>
    <mergeCell ref="K277:L277"/>
    <mergeCell ref="C276:D276"/>
    <mergeCell ref="E276:F276"/>
    <mergeCell ref="G276:H276"/>
    <mergeCell ref="I276:J276"/>
    <mergeCell ref="K276:L276"/>
    <mergeCell ref="C275:D275"/>
    <mergeCell ref="E275:F275"/>
    <mergeCell ref="G275:H275"/>
    <mergeCell ref="I275:J275"/>
    <mergeCell ref="K275:L275"/>
    <mergeCell ref="C274:D274"/>
    <mergeCell ref="E274:F274"/>
    <mergeCell ref="G274:H274"/>
    <mergeCell ref="I274:J274"/>
    <mergeCell ref="K274:L274"/>
    <mergeCell ref="C271:M271"/>
    <mergeCell ref="O271:S271"/>
    <mergeCell ref="C272:D272"/>
    <mergeCell ref="E272:F272"/>
    <mergeCell ref="G272:H272"/>
    <mergeCell ref="I272:J272"/>
    <mergeCell ref="K272:L272"/>
    <mergeCell ref="C266:Q266"/>
    <mergeCell ref="Q249:R250"/>
    <mergeCell ref="S249:S250"/>
    <mergeCell ref="O272:P272"/>
    <mergeCell ref="B257:U257"/>
    <mergeCell ref="B258:U258"/>
    <mergeCell ref="C261:Q261"/>
    <mergeCell ref="Q272:R272"/>
    <mergeCell ref="Z243:AA244"/>
    <mergeCell ref="AB243:AD243"/>
    <mergeCell ref="Z245:Z250"/>
    <mergeCell ref="O251:P251"/>
    <mergeCell ref="C270:M270"/>
    <mergeCell ref="O270:S270"/>
    <mergeCell ref="T249:T250"/>
    <mergeCell ref="L227:O227"/>
    <mergeCell ref="Q227:U227"/>
    <mergeCell ref="S229:U229"/>
    <mergeCell ref="Q231:R231"/>
    <mergeCell ref="C253:S253"/>
    <mergeCell ref="Q232:Q234"/>
    <mergeCell ref="C227:I227"/>
    <mergeCell ref="C230:D230"/>
    <mergeCell ref="C231:D231"/>
    <mergeCell ref="C236:I236"/>
    <mergeCell ref="L236:O239"/>
    <mergeCell ref="Q236:U236"/>
    <mergeCell ref="S238:U238"/>
    <mergeCell ref="Q240:Q242"/>
    <mergeCell ref="L244:O245"/>
    <mergeCell ref="Q244:T245"/>
    <mergeCell ref="Q247:R248"/>
    <mergeCell ref="S247:S248"/>
    <mergeCell ref="T247:T248"/>
    <mergeCell ref="N248:O248"/>
    <mergeCell ref="C197:T197"/>
    <mergeCell ref="B203:U203"/>
    <mergeCell ref="B204:U204"/>
    <mergeCell ref="B221:U221"/>
    <mergeCell ref="C225:J225"/>
    <mergeCell ref="B182:U182"/>
    <mergeCell ref="B185:U185"/>
    <mergeCell ref="B186:U186"/>
    <mergeCell ref="B191:U191"/>
    <mergeCell ref="B192:U192"/>
    <mergeCell ref="C196:J196"/>
    <mergeCell ref="L196:T196"/>
    <mergeCell ref="B206:U206"/>
    <mergeCell ref="B207:U207"/>
    <mergeCell ref="C209:T209"/>
    <mergeCell ref="L210:S210"/>
    <mergeCell ref="C211:K211"/>
    <mergeCell ref="M211:T211"/>
    <mergeCell ref="C212:K212"/>
    <mergeCell ref="M212:T212"/>
    <mergeCell ref="C213:G213"/>
    <mergeCell ref="M213:Q213"/>
    <mergeCell ref="E215:S215"/>
    <mergeCell ref="L225:U225"/>
    <mergeCell ref="B168:U168"/>
    <mergeCell ref="B169:U169"/>
    <mergeCell ref="B173:U173"/>
    <mergeCell ref="B174:U174"/>
    <mergeCell ref="B177:U177"/>
    <mergeCell ref="B178:U178"/>
    <mergeCell ref="B154:U154"/>
    <mergeCell ref="B155:U155"/>
    <mergeCell ref="B157:U157"/>
    <mergeCell ref="B158:U158"/>
    <mergeCell ref="B159:U159"/>
    <mergeCell ref="B166:U166"/>
    <mergeCell ref="M122:T122"/>
    <mergeCell ref="C123:G123"/>
    <mergeCell ref="M123:Q123"/>
    <mergeCell ref="C125:T125"/>
    <mergeCell ref="C126:T126"/>
    <mergeCell ref="B130:U130"/>
    <mergeCell ref="C134:T136"/>
    <mergeCell ref="C137:T137"/>
    <mergeCell ref="C122:K122"/>
    <mergeCell ref="B140:U140"/>
    <mergeCell ref="C143:T144"/>
    <mergeCell ref="B145:K145"/>
    <mergeCell ref="E24:I24"/>
    <mergeCell ref="B51:U51"/>
    <mergeCell ref="B52:U52"/>
    <mergeCell ref="B54:U54"/>
    <mergeCell ref="B56:K56"/>
    <mergeCell ref="B57:U57"/>
    <mergeCell ref="D58:H58"/>
    <mergeCell ref="P98:T98"/>
    <mergeCell ref="B70:K70"/>
    <mergeCell ref="B71:U71"/>
    <mergeCell ref="D72:H72"/>
    <mergeCell ref="J72:N72"/>
    <mergeCell ref="P72:T72"/>
    <mergeCell ref="P97:T97"/>
    <mergeCell ref="D73:H81"/>
    <mergeCell ref="J73:N81"/>
    <mergeCell ref="P73:T81"/>
    <mergeCell ref="B84:K84"/>
    <mergeCell ref="B85:U85"/>
    <mergeCell ref="B86:U86"/>
    <mergeCell ref="D87:H87"/>
    <mergeCell ref="J87:N87"/>
    <mergeCell ref="P87:T87"/>
    <mergeCell ref="B8:U8"/>
    <mergeCell ref="B9:U9"/>
    <mergeCell ref="B10:U10"/>
    <mergeCell ref="B11:U11"/>
    <mergeCell ref="E16:I16"/>
    <mergeCell ref="E17:I17"/>
    <mergeCell ref="B31:H39"/>
    <mergeCell ref="D88:H96"/>
    <mergeCell ref="J88:N96"/>
    <mergeCell ref="P88:T96"/>
    <mergeCell ref="J58:N58"/>
    <mergeCell ref="P58:T58"/>
    <mergeCell ref="D59:H67"/>
    <mergeCell ref="J59:N67"/>
    <mergeCell ref="P59:T67"/>
    <mergeCell ref="E25:I25"/>
    <mergeCell ref="D26:I26"/>
    <mergeCell ref="E27:I27"/>
    <mergeCell ref="E28:I28"/>
    <mergeCell ref="E18:I18"/>
    <mergeCell ref="E19:I19"/>
    <mergeCell ref="E20:I20"/>
    <mergeCell ref="E21:I21"/>
    <mergeCell ref="E23:I23"/>
    <mergeCell ref="B99:U99"/>
    <mergeCell ref="H100:I101"/>
    <mergeCell ref="J100:K101"/>
    <mergeCell ref="L100:M101"/>
    <mergeCell ref="N100:O101"/>
    <mergeCell ref="B107:U107"/>
    <mergeCell ref="C115:K115"/>
    <mergeCell ref="M115:T115"/>
    <mergeCell ref="C116:G116"/>
    <mergeCell ref="C119:T119"/>
    <mergeCell ref="L120:S120"/>
    <mergeCell ref="C121:K121"/>
    <mergeCell ref="M121:T121"/>
    <mergeCell ref="B108:U108"/>
    <mergeCell ref="B110:U110"/>
    <mergeCell ref="C112:T112"/>
    <mergeCell ref="L113:S113"/>
    <mergeCell ref="C114:K114"/>
    <mergeCell ref="M114:T114"/>
    <mergeCell ref="L596:M596"/>
    <mergeCell ref="N596:O596"/>
    <mergeCell ref="L598:M598"/>
    <mergeCell ref="H608:I608"/>
    <mergeCell ref="J608:K608"/>
    <mergeCell ref="L608:M608"/>
    <mergeCell ref="N608:O608"/>
    <mergeCell ref="C603:T603"/>
    <mergeCell ref="C604:T604"/>
    <mergeCell ref="C605:Q605"/>
    <mergeCell ref="H607:I607"/>
    <mergeCell ref="J607:K607"/>
    <mergeCell ref="L607:M607"/>
    <mergeCell ref="N607:O607"/>
    <mergeCell ref="B601:U601"/>
    <mergeCell ref="H427:O427"/>
    <mergeCell ref="B522:U522"/>
    <mergeCell ref="O302:P303"/>
    <mergeCell ref="O298:P298"/>
    <mergeCell ref="O299:P299"/>
    <mergeCell ref="N598:O598"/>
    <mergeCell ref="B599:U599"/>
    <mergeCell ref="B600:K600"/>
    <mergeCell ref="B589:U589"/>
    <mergeCell ref="C591:G591"/>
    <mergeCell ref="H591:K591"/>
    <mergeCell ref="L591:M591"/>
    <mergeCell ref="N591:O591"/>
    <mergeCell ref="C592:G592"/>
    <mergeCell ref="H592:K592"/>
    <mergeCell ref="L592:M592"/>
    <mergeCell ref="N592:O592"/>
    <mergeCell ref="N594:O594"/>
    <mergeCell ref="C595:G595"/>
    <mergeCell ref="H595:K595"/>
    <mergeCell ref="L595:M595"/>
    <mergeCell ref="N595:O595"/>
    <mergeCell ref="C596:G596"/>
    <mergeCell ref="H596:K596"/>
    <mergeCell ref="C593:G593"/>
    <mergeCell ref="H593:K593"/>
    <mergeCell ref="L593:M593"/>
    <mergeCell ref="N593:O593"/>
    <mergeCell ref="C594:G594"/>
    <mergeCell ref="H594:K594"/>
    <mergeCell ref="L594:M594"/>
    <mergeCell ref="O290:P290"/>
    <mergeCell ref="Q290:R290"/>
    <mergeCell ref="B520:J520"/>
    <mergeCell ref="B521:U521"/>
    <mergeCell ref="C581:G581"/>
    <mergeCell ref="M581:Q581"/>
    <mergeCell ref="B512:K512"/>
    <mergeCell ref="B513:U513"/>
    <mergeCell ref="B515:U515"/>
    <mergeCell ref="B516:U516"/>
    <mergeCell ref="B517:U517"/>
    <mergeCell ref="B518:U518"/>
    <mergeCell ref="B519:J519"/>
    <mergeCell ref="M579:T579"/>
    <mergeCell ref="C580:K580"/>
    <mergeCell ref="M580:T580"/>
    <mergeCell ref="O291:P291"/>
    <mergeCell ref="Q291:R291"/>
    <mergeCell ref="O292:P292"/>
    <mergeCell ref="Q292:R292"/>
    <mergeCell ref="C586:G587"/>
    <mergeCell ref="H586:H587"/>
    <mergeCell ref="I586:K587"/>
    <mergeCell ref="M586:Q587"/>
    <mergeCell ref="R586:R587"/>
    <mergeCell ref="O306:P306"/>
    <mergeCell ref="C583:K583"/>
    <mergeCell ref="M583:T583"/>
    <mergeCell ref="C584:K584"/>
    <mergeCell ref="M584:T584"/>
    <mergeCell ref="C585:K585"/>
    <mergeCell ref="M585:T585"/>
    <mergeCell ref="O300:P300"/>
    <mergeCell ref="O301:P301"/>
    <mergeCell ref="O304:P304"/>
    <mergeCell ref="O305:P305"/>
    <mergeCell ref="O296:P296"/>
    <mergeCell ref="O297:P297"/>
    <mergeCell ref="M414:T414"/>
    <mergeCell ref="M415:T415"/>
    <mergeCell ref="H426:O426"/>
    <mergeCell ref="O274:P274"/>
    <mergeCell ref="Q274:R274"/>
    <mergeCell ref="O275:P275"/>
    <mergeCell ref="Q275:R275"/>
    <mergeCell ref="O276:P276"/>
    <mergeCell ref="Q276:R276"/>
    <mergeCell ref="O277:P277"/>
    <mergeCell ref="Q277:R277"/>
    <mergeCell ref="O278:P278"/>
    <mergeCell ref="Q278:R278"/>
    <mergeCell ref="O279:P279"/>
    <mergeCell ref="Q279:R279"/>
    <mergeCell ref="O280:P280"/>
    <mergeCell ref="Q280:R280"/>
    <mergeCell ref="O281:P281"/>
    <mergeCell ref="Q281:R281"/>
    <mergeCell ref="O282:P282"/>
    <mergeCell ref="Q282:R282"/>
    <mergeCell ref="O283:P283"/>
    <mergeCell ref="Q283:R283"/>
  </mergeCells>
  <conditionalFormatting sqref="M272">
    <cfRule type="expression" dxfId="9" priority="5" stopIfTrue="1">
      <formula>#REF!=" "</formula>
    </cfRule>
  </conditionalFormatting>
  <conditionalFormatting sqref="O271">
    <cfRule type="expression" dxfId="8" priority="4" stopIfTrue="1">
      <formula>#REF!=" "</formula>
    </cfRule>
  </conditionalFormatting>
  <conditionalFormatting sqref="S272">
    <cfRule type="expression" dxfId="7" priority="3" stopIfTrue="1">
      <formula>#REF!=" "</formula>
    </cfRule>
  </conditionalFormatting>
  <conditionalFormatting sqref="Q272">
    <cfRule type="expression" dxfId="6" priority="2" stopIfTrue="1">
      <formula>#REF!=" "</formula>
    </cfRule>
  </conditionalFormatting>
  <conditionalFormatting sqref="O272">
    <cfRule type="expression" dxfId="5" priority="1" stopIfTrue="1">
      <formula>#REF!=" "</formula>
    </cfRule>
  </conditionalFormatting>
  <hyperlinks>
    <hyperlink ref="P97:T97" r:id="rId1" display="Descárguesela ya desde Google Play"/>
    <hyperlink ref="P98:T98" r:id="rId2" display="Descárguesela ya desde App Store"/>
  </hyperlinks>
  <printOptions horizontalCentered="1" verticalCentered="1"/>
  <pageMargins left="0.11811023622047245" right="0.11811023622047245" top="0" bottom="0" header="0.19685039370078741" footer="0.31496062992125984"/>
  <pageSetup paperSize="9" scale="44" fitToHeight="0" orientation="landscape" r:id="rId3"/>
  <headerFooter alignWithMargins="0"/>
  <rowBreaks count="14" manualBreakCount="14">
    <brk id="49" max="21" man="1"/>
    <brk id="104" max="21" man="1"/>
    <brk id="150" max="21" man="1"/>
    <brk id="201" max="21" man="1"/>
    <brk id="255" max="21" man="1"/>
    <brk id="326" max="21" man="1"/>
    <brk id="359" max="21" man="1"/>
    <brk id="390" max="21" man="1"/>
    <brk id="431" max="21" man="1"/>
    <brk id="473" max="21" man="1"/>
    <brk id="527" max="21" man="1"/>
    <brk id="566" max="21" man="1"/>
    <brk id="611" max="21" man="1"/>
    <brk id="651" max="21" man="1"/>
  </rowBreaks>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3"/>
    <pageSetUpPr fitToPage="1"/>
  </sheetPr>
  <dimension ref="A1:AD653"/>
  <sheetViews>
    <sheetView showGridLines="0" showOutlineSymbols="0" view="pageBreakPreview" topLeftCell="B648" zoomScale="55" zoomScaleNormal="70" zoomScaleSheetLayoutView="55" zoomScalePageLayoutView="25" workbookViewId="0">
      <selection activeCell="E30" sqref="E30"/>
    </sheetView>
  </sheetViews>
  <sheetFormatPr baseColWidth="10" defaultColWidth="11.42578125" defaultRowHeight="12.75"/>
  <cols>
    <col min="1" max="1" width="7.140625" style="422" customWidth="1"/>
    <col min="2" max="2" width="12.28515625" style="422" customWidth="1"/>
    <col min="3" max="3" width="16.28515625" style="422" customWidth="1"/>
    <col min="4" max="4" width="12" style="422" customWidth="1"/>
    <col min="5" max="5" width="15.5703125" style="422" customWidth="1"/>
    <col min="6" max="6" width="15.140625" style="422" customWidth="1"/>
    <col min="7" max="7" width="16" style="422" customWidth="1"/>
    <col min="8" max="8" width="18.28515625" style="422" bestFit="1" customWidth="1"/>
    <col min="9" max="9" width="13.5703125" style="422" customWidth="1"/>
    <col min="10" max="10" width="14.140625" style="422" customWidth="1"/>
    <col min="11" max="11" width="13.140625" style="422" customWidth="1"/>
    <col min="12" max="12" width="16.5703125" style="422" customWidth="1"/>
    <col min="13" max="13" width="17.28515625" style="422" customWidth="1"/>
    <col min="14" max="14" width="17.85546875" style="422" customWidth="1"/>
    <col min="15" max="15" width="24.28515625" style="422" customWidth="1"/>
    <col min="16" max="16" width="18.140625" style="422" customWidth="1"/>
    <col min="17" max="17" width="20" style="422" customWidth="1"/>
    <col min="18" max="18" width="15.7109375" style="422" customWidth="1"/>
    <col min="19" max="19" width="17.7109375" style="422" customWidth="1"/>
    <col min="20" max="20" width="17.42578125" style="422" customWidth="1"/>
    <col min="21" max="21" width="17.85546875" style="422" customWidth="1"/>
    <col min="22" max="22" width="1.28515625" style="422" customWidth="1"/>
    <col min="23" max="16384" width="11.42578125" style="422"/>
  </cols>
  <sheetData>
    <row r="1" spans="1:21" s="416" customFormat="1">
      <c r="A1" s="415"/>
      <c r="B1" s="415"/>
      <c r="C1" s="415"/>
      <c r="D1" s="415"/>
      <c r="E1" s="415"/>
    </row>
    <row r="2" spans="1:21" s="416" customFormat="1">
      <c r="A2" s="415"/>
      <c r="B2" s="415"/>
      <c r="C2" s="415"/>
      <c r="D2" s="415"/>
      <c r="E2" s="415"/>
    </row>
    <row r="3" spans="1:21" s="416" customFormat="1">
      <c r="A3" s="415"/>
      <c r="B3" s="415"/>
      <c r="C3" s="415"/>
      <c r="D3" s="415"/>
      <c r="E3" s="415"/>
    </row>
    <row r="4" spans="1:21" s="416" customFormat="1">
      <c r="A4" s="415"/>
      <c r="B4" s="415"/>
      <c r="C4" s="415"/>
      <c r="D4" s="415"/>
      <c r="E4" s="415"/>
    </row>
    <row r="5" spans="1:21" s="416" customFormat="1">
      <c r="A5" s="415"/>
      <c r="B5" s="415"/>
      <c r="C5" s="415"/>
      <c r="D5" s="415"/>
      <c r="E5" s="415"/>
    </row>
    <row r="6" spans="1:21" s="416" customFormat="1">
      <c r="A6" s="415"/>
      <c r="B6" s="415"/>
      <c r="C6" s="415"/>
      <c r="D6" s="415"/>
      <c r="E6" s="415"/>
    </row>
    <row r="7" spans="1:21" s="416" customFormat="1">
      <c r="A7" s="415"/>
      <c r="B7" s="415"/>
      <c r="C7" s="415"/>
      <c r="D7" s="415"/>
      <c r="E7" s="415"/>
    </row>
    <row r="8" spans="1:21" s="416" customFormat="1" ht="34.5">
      <c r="A8" s="415"/>
      <c r="B8" s="2268" t="s">
        <v>667</v>
      </c>
      <c r="C8" s="2268"/>
      <c r="D8" s="2268"/>
      <c r="E8" s="2268"/>
      <c r="F8" s="2268"/>
      <c r="G8" s="2268"/>
      <c r="H8" s="2268"/>
      <c r="I8" s="2268"/>
      <c r="J8" s="2268"/>
      <c r="K8" s="2268"/>
      <c r="L8" s="2268"/>
      <c r="M8" s="2268"/>
      <c r="N8" s="2268"/>
      <c r="O8" s="2268"/>
      <c r="P8" s="2268"/>
      <c r="Q8" s="2268"/>
      <c r="R8" s="2268"/>
      <c r="S8" s="2268"/>
      <c r="T8" s="2268"/>
      <c r="U8" s="2268"/>
    </row>
    <row r="9" spans="1:21" s="416" customFormat="1" ht="34.5">
      <c r="A9" s="415"/>
      <c r="B9" s="2268" t="s">
        <v>696</v>
      </c>
      <c r="C9" s="2268"/>
      <c r="D9" s="2268"/>
      <c r="E9" s="2268"/>
      <c r="F9" s="2268"/>
      <c r="G9" s="2268"/>
      <c r="H9" s="2268"/>
      <c r="I9" s="2268"/>
      <c r="J9" s="2268"/>
      <c r="K9" s="2268"/>
      <c r="L9" s="2268"/>
      <c r="M9" s="2268"/>
      <c r="N9" s="2268"/>
      <c r="O9" s="2268"/>
      <c r="P9" s="2268"/>
      <c r="Q9" s="2268"/>
      <c r="R9" s="2268"/>
      <c r="S9" s="2268"/>
      <c r="T9" s="2268"/>
      <c r="U9" s="2268"/>
    </row>
    <row r="10" spans="1:21" s="416" customFormat="1" ht="34.5">
      <c r="A10" s="415"/>
      <c r="B10" s="2268"/>
      <c r="C10" s="2268"/>
      <c r="D10" s="2268"/>
      <c r="E10" s="2268"/>
      <c r="F10" s="2268"/>
      <c r="G10" s="2268"/>
      <c r="H10" s="2268"/>
      <c r="I10" s="2268"/>
      <c r="J10" s="2268"/>
      <c r="K10" s="2268"/>
      <c r="L10" s="2268"/>
      <c r="M10" s="2268"/>
      <c r="N10" s="2268"/>
      <c r="O10" s="2268"/>
      <c r="P10" s="2268"/>
      <c r="Q10" s="2268"/>
      <c r="R10" s="2268"/>
      <c r="S10" s="2268"/>
      <c r="T10" s="2268"/>
      <c r="U10" s="2268"/>
    </row>
    <row r="11" spans="1:21" s="416" customFormat="1" ht="34.5">
      <c r="A11" s="415"/>
      <c r="B11" s="2414" t="str">
        <f>'Seleccion de oferta'!E9</f>
        <v>INMOBILIARIA SERVIGESTION</v>
      </c>
      <c r="C11" s="2414"/>
      <c r="D11" s="2414"/>
      <c r="E11" s="2414"/>
      <c r="F11" s="2414"/>
      <c r="G11" s="2414"/>
      <c r="H11" s="2414"/>
      <c r="I11" s="2414"/>
      <c r="J11" s="2414"/>
      <c r="K11" s="2414"/>
      <c r="L11" s="2414"/>
      <c r="M11" s="2414"/>
      <c r="N11" s="2414"/>
      <c r="O11" s="2414"/>
      <c r="P11" s="2414"/>
      <c r="Q11" s="2414"/>
      <c r="R11" s="2414"/>
      <c r="S11" s="2414"/>
      <c r="T11" s="2414"/>
      <c r="U11" s="2414"/>
    </row>
    <row r="12" spans="1:21" s="416" customFormat="1">
      <c r="A12" s="415"/>
    </row>
    <row r="13" spans="1:21" s="416" customFormat="1">
      <c r="A13" s="415"/>
    </row>
    <row r="14" spans="1:21" s="416" customFormat="1">
      <c r="A14" s="415"/>
    </row>
    <row r="15" spans="1:21" s="416" customFormat="1" ht="25.9" customHeight="1">
      <c r="A15" s="415"/>
      <c r="B15" s="415"/>
      <c r="C15" s="415"/>
      <c r="D15" s="415"/>
      <c r="E15" s="415"/>
    </row>
    <row r="16" spans="1:21" s="416" customFormat="1" ht="25.9" customHeight="1">
      <c r="A16" s="415"/>
      <c r="B16" s="417" t="s">
        <v>648</v>
      </c>
      <c r="C16" s="418"/>
      <c r="D16" s="419"/>
      <c r="E16" s="2415" t="str">
        <f>'Seleccion de oferta'!E11</f>
        <v>B11412343</v>
      </c>
      <c r="F16" s="2415"/>
      <c r="G16" s="2415"/>
      <c r="H16" s="2415"/>
      <c r="I16" s="2415"/>
    </row>
    <row r="17" spans="1:22" s="416" customFormat="1" ht="25.9" customHeight="1">
      <c r="A17" s="415"/>
      <c r="B17" s="417" t="s">
        <v>187</v>
      </c>
      <c r="C17" s="418"/>
      <c r="D17" s="419"/>
      <c r="E17" s="2415" t="str">
        <f>'Seleccion de oferta'!E13</f>
        <v>PLAZA ESPAÑA Nº1, EDIFICIO ESPAÑA PLANTA 1º OFICINA 2</v>
      </c>
      <c r="F17" s="2415"/>
      <c r="G17" s="2415"/>
      <c r="H17" s="2415"/>
      <c r="I17" s="2415"/>
    </row>
    <row r="18" spans="1:22" s="416" customFormat="1" ht="25.9" customHeight="1">
      <c r="A18" s="415"/>
      <c r="B18" s="417" t="s">
        <v>646</v>
      </c>
      <c r="C18" s="418"/>
      <c r="D18" s="419"/>
      <c r="E18" s="2415" t="str">
        <f>'Seleccion de oferta'!E15</f>
        <v>CHICLANA</v>
      </c>
      <c r="F18" s="2415"/>
      <c r="G18" s="2415"/>
      <c r="H18" s="2415"/>
      <c r="I18" s="2415"/>
    </row>
    <row r="19" spans="1:22" ht="25.9" customHeight="1">
      <c r="A19" s="420"/>
      <c r="B19" s="417" t="s">
        <v>647</v>
      </c>
      <c r="C19" s="421"/>
      <c r="D19" s="421"/>
      <c r="E19" s="2415" t="str">
        <f>'Seleccion de oferta'!E17</f>
        <v>CADIZ</v>
      </c>
      <c r="F19" s="2415"/>
      <c r="G19" s="2415"/>
      <c r="H19" s="2415"/>
      <c r="I19" s="2415"/>
      <c r="V19" s="420"/>
    </row>
    <row r="20" spans="1:22" ht="25.9" customHeight="1">
      <c r="A20" s="420"/>
      <c r="B20" s="417" t="s">
        <v>644</v>
      </c>
      <c r="C20" s="423"/>
      <c r="D20" s="421"/>
      <c r="E20" s="2415" t="str">
        <f>'Seleccion de oferta'!E19</f>
        <v>MANUEL</v>
      </c>
      <c r="F20" s="2415"/>
      <c r="G20" s="2415"/>
      <c r="H20" s="2415"/>
      <c r="I20" s="2415"/>
      <c r="J20" s="424"/>
      <c r="K20" s="424"/>
      <c r="L20" s="424"/>
      <c r="M20" s="424"/>
      <c r="N20" s="424"/>
      <c r="O20" s="424"/>
      <c r="P20" s="424"/>
      <c r="Q20" s="424"/>
      <c r="R20" s="424"/>
      <c r="S20" s="424"/>
      <c r="T20" s="424"/>
      <c r="U20" s="424"/>
      <c r="V20" s="420"/>
    </row>
    <row r="21" spans="1:22" ht="25.9" customHeight="1">
      <c r="A21" s="420"/>
      <c r="B21" s="425" t="s">
        <v>645</v>
      </c>
      <c r="C21" s="426"/>
      <c r="D21" s="421"/>
      <c r="E21" s="2415">
        <f>'Seleccion de oferta'!E21</f>
        <v>956535624</v>
      </c>
      <c r="F21" s="2415"/>
      <c r="G21" s="2415"/>
      <c r="H21" s="2415"/>
      <c r="I21" s="2415"/>
      <c r="J21" s="757"/>
      <c r="K21" s="757"/>
      <c r="L21" s="757"/>
      <c r="M21" s="757"/>
      <c r="N21" s="757"/>
      <c r="O21" s="757"/>
      <c r="P21" s="757"/>
      <c r="Q21" s="757"/>
      <c r="R21" s="757"/>
      <c r="S21" s="757"/>
      <c r="T21" s="757"/>
      <c r="U21" s="757"/>
      <c r="V21" s="420"/>
    </row>
    <row r="22" spans="1:22" ht="79.900000000000006" customHeight="1">
      <c r="A22" s="420"/>
      <c r="C22" s="428"/>
      <c r="D22" s="428"/>
      <c r="E22" s="428"/>
      <c r="F22" s="428"/>
      <c r="G22" s="428"/>
      <c r="H22" s="428"/>
      <c r="I22" s="428"/>
      <c r="J22" s="428"/>
      <c r="K22" s="428"/>
      <c r="L22" s="428"/>
      <c r="M22" s="428"/>
      <c r="N22" s="428"/>
      <c r="O22" s="428"/>
      <c r="P22" s="428"/>
      <c r="Q22" s="428"/>
      <c r="R22" s="428"/>
      <c r="S22" s="428"/>
      <c r="T22" s="428"/>
      <c r="U22" s="428"/>
      <c r="V22" s="420"/>
    </row>
    <row r="23" spans="1:22" ht="25.9" customHeight="1">
      <c r="A23" s="420"/>
      <c r="B23" s="417" t="s">
        <v>649</v>
      </c>
      <c r="C23" s="418"/>
      <c r="D23" s="419"/>
      <c r="E23" s="2415" t="str">
        <f>'Seleccion de oferta'!E30:G30</f>
        <v>JOSE LUIS PARRA</v>
      </c>
      <c r="F23" s="2415"/>
      <c r="G23" s="2415"/>
      <c r="H23" s="2415"/>
      <c r="I23" s="2415"/>
      <c r="J23" s="428"/>
      <c r="V23" s="420"/>
    </row>
    <row r="24" spans="1:22" ht="25.9" customHeight="1">
      <c r="A24" s="429"/>
      <c r="B24" s="417" t="s">
        <v>645</v>
      </c>
      <c r="C24" s="418"/>
      <c r="D24" s="419"/>
      <c r="E24" s="2439">
        <f>'Seleccion de oferta'!E34</f>
        <v>630836774</v>
      </c>
      <c r="F24" s="2415"/>
      <c r="G24" s="2415"/>
      <c r="H24" s="2415"/>
      <c r="I24" s="2415"/>
      <c r="J24" s="428"/>
      <c r="V24" s="429"/>
    </row>
    <row r="25" spans="1:22" s="416" customFormat="1" ht="23.25">
      <c r="A25" s="415"/>
      <c r="B25" s="417" t="s">
        <v>650</v>
      </c>
      <c r="C25" s="418"/>
      <c r="D25" s="419"/>
      <c r="E25" s="2415" t="str">
        <f>'Seleccion de oferta'!E42:G42</f>
        <v>GRUPO PROMOVIL</v>
      </c>
      <c r="F25" s="2415"/>
      <c r="G25" s="2415"/>
      <c r="H25" s="2415"/>
      <c r="I25" s="2415"/>
      <c r="J25" s="428"/>
    </row>
    <row r="26" spans="1:22" s="416" customFormat="1" ht="79.900000000000006" customHeight="1">
      <c r="A26" s="415"/>
      <c r="B26" s="417"/>
      <c r="C26" s="422"/>
      <c r="D26" s="2404"/>
      <c r="E26" s="2404"/>
      <c r="F26" s="2404"/>
      <c r="G26" s="2404"/>
      <c r="H26" s="2404"/>
      <c r="I26" s="2404"/>
      <c r="J26" s="428"/>
    </row>
    <row r="27" spans="1:22" s="416" customFormat="1" ht="25.9" customHeight="1">
      <c r="A27" s="415"/>
      <c r="B27" s="417" t="s">
        <v>669</v>
      </c>
      <c r="C27" s="424"/>
      <c r="D27" s="430"/>
      <c r="E27" s="2417">
        <f>'Seleccion de oferta'!E50</f>
        <v>43006</v>
      </c>
      <c r="F27" s="2417"/>
      <c r="G27" s="2417"/>
      <c r="H27" s="2417"/>
      <c r="I27" s="2417"/>
      <c r="J27" s="428"/>
    </row>
    <row r="28" spans="1:22" s="416" customFormat="1" ht="25.9" customHeight="1">
      <c r="A28" s="415"/>
      <c r="B28" s="417" t="s">
        <v>670</v>
      </c>
      <c r="C28" s="757"/>
      <c r="D28" s="431"/>
      <c r="E28" s="2417">
        <f>'Seleccion de oferta'!E52</f>
        <v>43008</v>
      </c>
      <c r="F28" s="2417"/>
      <c r="G28" s="2417"/>
      <c r="H28" s="2417"/>
      <c r="I28" s="2417"/>
      <c r="J28" s="428"/>
    </row>
    <row r="29" spans="1:22" s="416" customFormat="1" ht="25.9" customHeight="1">
      <c r="A29" s="415"/>
      <c r="B29" s="417" t="s">
        <v>692</v>
      </c>
      <c r="C29" s="757"/>
      <c r="D29" s="431"/>
      <c r="E29" s="763" t="str">
        <f>CONCATENATE("ILF5_90FCPRS_",MID(E16,1,4),MID(E19,1,2),MID(E25,1,2),E27)</f>
        <v>ILF5_90FCPRS_B114CAGR43006</v>
      </c>
      <c r="F29" s="763"/>
      <c r="G29" s="763"/>
      <c r="H29" s="763"/>
      <c r="I29" s="763"/>
      <c r="J29" s="428"/>
    </row>
    <row r="30" spans="1:22" s="416" customFormat="1" ht="79.900000000000006" customHeight="1">
      <c r="A30" s="415"/>
      <c r="B30" s="417"/>
      <c r="C30" s="757"/>
      <c r="D30" s="433"/>
      <c r="E30" s="764"/>
      <c r="F30" s="764"/>
      <c r="G30" s="764"/>
      <c r="H30" s="764"/>
      <c r="I30" s="764"/>
      <c r="J30" s="428"/>
    </row>
    <row r="31" spans="1:22" s="416" customFormat="1" ht="25.9" customHeight="1">
      <c r="A31" s="415"/>
      <c r="B31" s="2405" t="s">
        <v>684</v>
      </c>
      <c r="C31" s="2405"/>
      <c r="D31" s="2405"/>
      <c r="E31" s="2405"/>
      <c r="F31" s="2405"/>
      <c r="G31" s="2405"/>
      <c r="H31" s="2405"/>
      <c r="I31" s="2405"/>
      <c r="J31" s="428"/>
    </row>
    <row r="32" spans="1:22" s="416" customFormat="1" ht="25.9" customHeight="1">
      <c r="A32" s="415"/>
      <c r="B32" s="2405"/>
      <c r="C32" s="2405"/>
      <c r="D32" s="2405"/>
      <c r="E32" s="2405"/>
      <c r="F32" s="2405"/>
      <c r="G32" s="2405"/>
      <c r="H32" s="2405"/>
      <c r="I32" s="2405"/>
      <c r="J32" s="428"/>
    </row>
    <row r="33" spans="1:21" s="416" customFormat="1" ht="25.9" customHeight="1">
      <c r="A33" s="415"/>
      <c r="B33" s="2405"/>
      <c r="C33" s="2405"/>
      <c r="D33" s="2405"/>
      <c r="E33" s="2405"/>
      <c r="F33" s="2405"/>
      <c r="G33" s="2405"/>
      <c r="H33" s="2405"/>
      <c r="I33" s="2405"/>
    </row>
    <row r="34" spans="1:21" s="416" customFormat="1" ht="25.9" customHeight="1">
      <c r="A34" s="415"/>
      <c r="B34" s="2405"/>
      <c r="C34" s="2405"/>
      <c r="D34" s="2405"/>
      <c r="E34" s="2405"/>
      <c r="F34" s="2405"/>
      <c r="G34" s="2405"/>
      <c r="H34" s="2405"/>
      <c r="I34" s="2405"/>
      <c r="J34" s="435"/>
      <c r="K34" s="435"/>
      <c r="L34" s="435"/>
      <c r="M34" s="435"/>
      <c r="N34" s="435"/>
      <c r="O34" s="435"/>
      <c r="P34" s="435"/>
      <c r="Q34" s="435"/>
      <c r="R34" s="435"/>
      <c r="S34" s="435"/>
      <c r="T34" s="435"/>
      <c r="U34" s="435"/>
    </row>
    <row r="35" spans="1:21" s="416" customFormat="1" ht="79.900000000000006" customHeight="1">
      <c r="B35" s="2405"/>
      <c r="C35" s="2405"/>
      <c r="D35" s="2405"/>
      <c r="E35" s="2405"/>
      <c r="F35" s="2405"/>
      <c r="G35" s="2405"/>
      <c r="H35" s="2405"/>
      <c r="I35" s="2405"/>
      <c r="J35" s="428"/>
      <c r="K35" s="428"/>
      <c r="L35" s="428"/>
      <c r="M35" s="428"/>
      <c r="N35" s="428"/>
      <c r="O35" s="428"/>
      <c r="P35" s="428"/>
      <c r="Q35" s="428"/>
      <c r="R35" s="428"/>
      <c r="S35" s="428"/>
      <c r="T35" s="428"/>
      <c r="U35" s="428"/>
    </row>
    <row r="36" spans="1:21" s="416" customFormat="1">
      <c r="B36" s="2405"/>
      <c r="C36" s="2405"/>
      <c r="D36" s="2405"/>
      <c r="E36" s="2405"/>
      <c r="F36" s="2405"/>
      <c r="G36" s="2405"/>
      <c r="H36" s="2405"/>
      <c r="I36" s="2405"/>
    </row>
    <row r="37" spans="1:21" s="416" customFormat="1">
      <c r="B37" s="2405"/>
      <c r="C37" s="2405"/>
      <c r="D37" s="2405"/>
      <c r="E37" s="2405"/>
      <c r="F37" s="2405"/>
      <c r="G37" s="2405"/>
      <c r="H37" s="2405"/>
      <c r="I37" s="2405"/>
    </row>
    <row r="38" spans="1:21" s="416" customFormat="1">
      <c r="B38" s="2405"/>
      <c r="C38" s="2405"/>
      <c r="D38" s="2405"/>
      <c r="E38" s="2405"/>
      <c r="F38" s="2405"/>
      <c r="G38" s="2405"/>
      <c r="H38" s="2405"/>
      <c r="I38" s="2405"/>
    </row>
    <row r="39" spans="1:21" s="416" customFormat="1">
      <c r="B39" s="2405"/>
      <c r="C39" s="2405"/>
      <c r="D39" s="2405"/>
      <c r="E39" s="2405"/>
      <c r="F39" s="2405"/>
      <c r="G39" s="2405"/>
      <c r="H39" s="2405"/>
      <c r="I39" s="2405"/>
    </row>
    <row r="40" spans="1:21" s="416" customFormat="1">
      <c r="B40" s="2405"/>
      <c r="C40" s="2405"/>
      <c r="D40" s="2405"/>
      <c r="E40" s="2405"/>
      <c r="F40" s="2405"/>
      <c r="G40" s="2405"/>
      <c r="H40" s="2405"/>
      <c r="I40" s="2405"/>
    </row>
    <row r="41" spans="1:21" s="416" customFormat="1">
      <c r="B41" s="2405"/>
      <c r="C41" s="2405"/>
      <c r="D41" s="2405"/>
      <c r="E41" s="2405"/>
      <c r="F41" s="2405"/>
      <c r="G41" s="2405"/>
      <c r="H41" s="2405"/>
      <c r="I41" s="2405"/>
    </row>
    <row r="42" spans="1:21" s="416" customFormat="1"/>
    <row r="43" spans="1:21" s="416" customFormat="1"/>
    <row r="44" spans="1:21" s="416" customFormat="1"/>
    <row r="45" spans="1:21" s="416" customFormat="1"/>
    <row r="46" spans="1:21" s="416" customFormat="1"/>
    <row r="47" spans="1:21" s="416" customFormat="1"/>
    <row r="48" spans="1:21" s="416" customFormat="1"/>
    <row r="49" spans="1:22" s="416" customFormat="1"/>
    <row r="50" spans="1:22" s="416" customFormat="1"/>
    <row r="51" spans="1:22" s="416" customFormat="1"/>
    <row r="52" spans="1:22" s="416" customFormat="1"/>
    <row r="53" spans="1:22" s="416" customFormat="1"/>
    <row r="54" spans="1:22" s="416" customFormat="1"/>
    <row r="55" spans="1:22">
      <c r="A55" s="420"/>
      <c r="B55" s="420"/>
      <c r="C55" s="420"/>
      <c r="D55" s="420"/>
      <c r="E55" s="420"/>
      <c r="F55" s="420"/>
      <c r="G55" s="420"/>
      <c r="H55" s="436" t="s">
        <v>690</v>
      </c>
      <c r="I55" s="420"/>
      <c r="K55" s="420"/>
      <c r="L55" s="437" t="str">
        <f>$B$11</f>
        <v>INMOBILIARIA SERVIGESTION</v>
      </c>
      <c r="M55" s="420"/>
      <c r="N55" s="420"/>
      <c r="O55" s="420"/>
      <c r="P55" s="420"/>
      <c r="Q55" s="420"/>
      <c r="R55" s="420"/>
      <c r="S55" s="420"/>
      <c r="T55" s="420"/>
      <c r="U55" s="420"/>
      <c r="V55" s="420"/>
    </row>
    <row r="56" spans="1:22" ht="34.5">
      <c r="A56" s="420"/>
      <c r="B56" s="2268" t="s">
        <v>461</v>
      </c>
      <c r="C56" s="2268"/>
      <c r="D56" s="2268"/>
      <c r="E56" s="2268"/>
      <c r="F56" s="2268"/>
      <c r="G56" s="2268"/>
      <c r="H56" s="2268"/>
      <c r="I56" s="2268"/>
      <c r="J56" s="2268"/>
      <c r="K56" s="2268"/>
      <c r="L56" s="2268"/>
      <c r="M56" s="2268"/>
      <c r="N56" s="2268"/>
      <c r="O56" s="2268"/>
      <c r="P56" s="2268"/>
      <c r="Q56" s="2268"/>
      <c r="R56" s="2268"/>
      <c r="S56" s="2268"/>
      <c r="T56" s="2268"/>
      <c r="U56" s="2268"/>
      <c r="V56" s="420"/>
    </row>
    <row r="57" spans="1:22" ht="22.9" customHeight="1">
      <c r="A57" s="420"/>
      <c r="B57" s="2269" t="s">
        <v>885</v>
      </c>
      <c r="C57" s="2269"/>
      <c r="D57" s="2269"/>
      <c r="E57" s="2269"/>
      <c r="F57" s="2269"/>
      <c r="G57" s="2269"/>
      <c r="H57" s="2269"/>
      <c r="I57" s="2269"/>
      <c r="J57" s="2269"/>
      <c r="K57" s="2269"/>
      <c r="L57" s="2269"/>
      <c r="M57" s="2269"/>
      <c r="N57" s="2269"/>
      <c r="O57" s="2269"/>
      <c r="P57" s="2269"/>
      <c r="Q57" s="2269"/>
      <c r="R57" s="2269"/>
      <c r="S57" s="2269"/>
      <c r="T57" s="2269"/>
      <c r="U57" s="2269"/>
      <c r="V57" s="420"/>
    </row>
    <row r="58" spans="1:22" ht="16.149999999999999" customHeight="1">
      <c r="A58" s="420"/>
      <c r="B58" s="802"/>
      <c r="C58" s="802"/>
      <c r="D58" s="802"/>
      <c r="E58" s="802"/>
      <c r="F58" s="802"/>
      <c r="G58" s="802"/>
      <c r="H58" s="802"/>
      <c r="I58" s="802"/>
      <c r="J58" s="802"/>
      <c r="K58" s="802"/>
      <c r="L58" s="802"/>
      <c r="M58" s="802"/>
      <c r="N58" s="802"/>
      <c r="O58" s="802"/>
      <c r="Q58" s="802"/>
      <c r="R58" s="802"/>
      <c r="S58" s="802"/>
      <c r="T58" s="802"/>
      <c r="U58" s="802"/>
      <c r="V58" s="420"/>
    </row>
    <row r="59" spans="1:22" ht="18.399999999999999" customHeight="1">
      <c r="A59" s="429"/>
      <c r="B59" s="2251"/>
      <c r="C59" s="2251"/>
      <c r="D59" s="2251"/>
      <c r="E59" s="2251"/>
      <c r="F59" s="2251"/>
      <c r="G59" s="2251"/>
      <c r="H59" s="2251"/>
      <c r="I59" s="2251"/>
      <c r="J59" s="2251"/>
      <c r="K59" s="2251"/>
      <c r="L59" s="2251"/>
      <c r="M59" s="2251"/>
      <c r="N59" s="2251"/>
      <c r="O59" s="2251"/>
      <c r="P59" s="2251"/>
      <c r="Q59" s="2251"/>
      <c r="R59" s="2251"/>
      <c r="S59" s="2251"/>
      <c r="T59" s="2251"/>
      <c r="U59" s="2251"/>
      <c r="V59" s="429"/>
    </row>
    <row r="60" spans="1:22" ht="23.25">
      <c r="A60" s="420"/>
      <c r="B60" s="802"/>
      <c r="C60" s="802"/>
      <c r="D60" s="802"/>
      <c r="E60" s="802"/>
      <c r="F60" s="802"/>
      <c r="G60" s="802"/>
      <c r="H60" s="802"/>
      <c r="I60" s="802"/>
      <c r="J60" s="802"/>
      <c r="K60" s="802"/>
      <c r="L60" s="802"/>
      <c r="M60" s="802"/>
      <c r="N60" s="802"/>
      <c r="O60" s="802"/>
      <c r="P60" s="802"/>
      <c r="Q60" s="802"/>
      <c r="R60" s="802"/>
      <c r="S60" s="802"/>
      <c r="T60" s="802"/>
      <c r="U60" s="802"/>
      <c r="V60" s="420"/>
    </row>
    <row r="61" spans="1:22" ht="23.25" customHeight="1">
      <c r="A61" s="420"/>
      <c r="B61" s="2325" t="s">
        <v>886</v>
      </c>
      <c r="C61" s="2326"/>
      <c r="D61" s="2326"/>
      <c r="E61" s="2326"/>
      <c r="F61" s="2326"/>
      <c r="G61" s="2326"/>
      <c r="H61" s="2326"/>
      <c r="I61" s="2326"/>
      <c r="J61" s="2326"/>
      <c r="K61" s="2326"/>
      <c r="L61" s="807"/>
      <c r="M61" s="807"/>
      <c r="N61" s="807"/>
      <c r="O61" s="807"/>
      <c r="P61" s="807"/>
      <c r="Q61" s="807"/>
      <c r="R61" s="807"/>
      <c r="S61" s="807"/>
      <c r="T61" s="807"/>
      <c r="U61" s="439"/>
      <c r="V61" s="420"/>
    </row>
    <row r="62" spans="1:22" ht="23.25" customHeight="1">
      <c r="A62" s="420"/>
      <c r="B62" s="2297" t="s">
        <v>887</v>
      </c>
      <c r="C62" s="2288"/>
      <c r="D62" s="2288"/>
      <c r="E62" s="2288"/>
      <c r="F62" s="2288"/>
      <c r="G62" s="2288"/>
      <c r="H62" s="2288"/>
      <c r="I62" s="2288"/>
      <c r="J62" s="2288"/>
      <c r="K62" s="2288"/>
      <c r="L62" s="2288"/>
      <c r="M62" s="2288"/>
      <c r="N62" s="2288"/>
      <c r="O62" s="2288"/>
      <c r="P62" s="2288"/>
      <c r="Q62" s="2288"/>
      <c r="R62" s="2288"/>
      <c r="S62" s="2288"/>
      <c r="T62" s="2288"/>
      <c r="U62" s="2298"/>
      <c r="V62" s="420"/>
    </row>
    <row r="63" spans="1:22" ht="63" customHeight="1">
      <c r="A63" s="420"/>
      <c r="B63" s="801"/>
      <c r="C63" s="441"/>
      <c r="D63" s="2437" t="s">
        <v>889</v>
      </c>
      <c r="E63" s="2437"/>
      <c r="F63" s="2437"/>
      <c r="G63" s="2437"/>
      <c r="H63" s="2437"/>
      <c r="I63" s="441"/>
      <c r="J63" s="2437" t="s">
        <v>888</v>
      </c>
      <c r="K63" s="2437"/>
      <c r="L63" s="2437"/>
      <c r="M63" s="2437"/>
      <c r="N63" s="2437"/>
      <c r="O63" s="441"/>
      <c r="P63" s="2437" t="s">
        <v>890</v>
      </c>
      <c r="Q63" s="2437"/>
      <c r="R63" s="2437"/>
      <c r="S63" s="2437"/>
      <c r="T63" s="2437"/>
      <c r="U63" s="442"/>
      <c r="V63" s="420"/>
    </row>
    <row r="64" spans="1:22" s="416" customFormat="1" ht="13.15" customHeight="1">
      <c r="A64" s="415"/>
      <c r="B64" s="443"/>
      <c r="C64" s="444"/>
      <c r="D64" s="2436" t="s">
        <v>962</v>
      </c>
      <c r="E64" s="2436"/>
      <c r="F64" s="2436"/>
      <c r="G64" s="2436"/>
      <c r="H64" s="2436"/>
      <c r="I64" s="444"/>
      <c r="J64" s="2436" t="s">
        <v>963</v>
      </c>
      <c r="K64" s="2436"/>
      <c r="L64" s="2436"/>
      <c r="M64" s="2436"/>
      <c r="N64" s="2436"/>
      <c r="O64" s="444"/>
      <c r="P64" s="2436" t="s">
        <v>964</v>
      </c>
      <c r="Q64" s="2436"/>
      <c r="R64" s="2436"/>
      <c r="S64" s="2436"/>
      <c r="T64" s="2436"/>
      <c r="U64" s="445"/>
    </row>
    <row r="65" spans="1:22" s="416" customFormat="1" ht="13.15" customHeight="1">
      <c r="A65" s="415"/>
      <c r="B65" s="443"/>
      <c r="C65" s="444"/>
      <c r="D65" s="2436"/>
      <c r="E65" s="2436"/>
      <c r="F65" s="2436"/>
      <c r="G65" s="2436"/>
      <c r="H65" s="2436"/>
      <c r="I65" s="444"/>
      <c r="J65" s="2436"/>
      <c r="K65" s="2436"/>
      <c r="L65" s="2436"/>
      <c r="M65" s="2436"/>
      <c r="N65" s="2436"/>
      <c r="O65" s="444"/>
      <c r="P65" s="2436"/>
      <c r="Q65" s="2436"/>
      <c r="R65" s="2436"/>
      <c r="S65" s="2436"/>
      <c r="T65" s="2436"/>
      <c r="U65" s="445"/>
    </row>
    <row r="66" spans="1:22" s="416" customFormat="1" ht="13.15" customHeight="1">
      <c r="A66" s="415"/>
      <c r="B66" s="443"/>
      <c r="C66" s="444"/>
      <c r="D66" s="2436"/>
      <c r="E66" s="2436"/>
      <c r="F66" s="2436"/>
      <c r="G66" s="2436"/>
      <c r="H66" s="2436"/>
      <c r="I66" s="444"/>
      <c r="J66" s="2436"/>
      <c r="K66" s="2436"/>
      <c r="L66" s="2436"/>
      <c r="M66" s="2436"/>
      <c r="N66" s="2436"/>
      <c r="O66" s="444"/>
      <c r="P66" s="2436"/>
      <c r="Q66" s="2436"/>
      <c r="R66" s="2436"/>
      <c r="S66" s="2436"/>
      <c r="T66" s="2436"/>
      <c r="U66" s="445"/>
    </row>
    <row r="67" spans="1:22" s="416" customFormat="1" ht="25.9" customHeight="1">
      <c r="A67" s="415"/>
      <c r="B67" s="446"/>
      <c r="C67" s="444"/>
      <c r="D67" s="2436"/>
      <c r="E67" s="2436"/>
      <c r="F67" s="2436"/>
      <c r="G67" s="2436"/>
      <c r="H67" s="2436"/>
      <c r="I67" s="444"/>
      <c r="J67" s="2436"/>
      <c r="K67" s="2436"/>
      <c r="L67" s="2436"/>
      <c r="M67" s="2436"/>
      <c r="N67" s="2436"/>
      <c r="O67" s="444"/>
      <c r="P67" s="2436"/>
      <c r="Q67" s="2436"/>
      <c r="R67" s="2436"/>
      <c r="S67" s="2436"/>
      <c r="T67" s="2436"/>
      <c r="U67" s="445"/>
    </row>
    <row r="68" spans="1:22" s="416" customFormat="1" ht="25.9" customHeight="1">
      <c r="A68" s="415"/>
      <c r="B68" s="447"/>
      <c r="C68" s="448"/>
      <c r="D68" s="2436"/>
      <c r="E68" s="2436"/>
      <c r="F68" s="2436"/>
      <c r="G68" s="2436"/>
      <c r="H68" s="2436"/>
      <c r="I68" s="449"/>
      <c r="J68" s="2436"/>
      <c r="K68" s="2436"/>
      <c r="L68" s="2436"/>
      <c r="M68" s="2436"/>
      <c r="N68" s="2436"/>
      <c r="O68" s="444"/>
      <c r="P68" s="2436"/>
      <c r="Q68" s="2436"/>
      <c r="R68" s="2436"/>
      <c r="S68" s="2436"/>
      <c r="T68" s="2436"/>
      <c r="U68" s="445"/>
    </row>
    <row r="69" spans="1:22" s="416" customFormat="1" ht="25.9" customHeight="1">
      <c r="A69" s="415"/>
      <c r="B69" s="447"/>
      <c r="C69" s="448"/>
      <c r="D69" s="2436"/>
      <c r="E69" s="2436"/>
      <c r="F69" s="2436"/>
      <c r="G69" s="2436"/>
      <c r="H69" s="2436"/>
      <c r="I69" s="449"/>
      <c r="J69" s="2436"/>
      <c r="K69" s="2436"/>
      <c r="L69" s="2436"/>
      <c r="M69" s="2436"/>
      <c r="N69" s="2436"/>
      <c r="O69" s="444"/>
      <c r="P69" s="2436"/>
      <c r="Q69" s="2436"/>
      <c r="R69" s="2436"/>
      <c r="S69" s="2436"/>
      <c r="T69" s="2436"/>
      <c r="U69" s="445"/>
    </row>
    <row r="70" spans="1:22" s="416" customFormat="1" ht="25.9" customHeight="1">
      <c r="A70" s="415"/>
      <c r="B70" s="447"/>
      <c r="C70" s="448"/>
      <c r="D70" s="2436"/>
      <c r="E70" s="2436"/>
      <c r="F70" s="2436"/>
      <c r="G70" s="2436"/>
      <c r="H70" s="2436"/>
      <c r="I70" s="449"/>
      <c r="J70" s="2436"/>
      <c r="K70" s="2436"/>
      <c r="L70" s="2436"/>
      <c r="M70" s="2436"/>
      <c r="N70" s="2436"/>
      <c r="O70" s="444"/>
      <c r="P70" s="2436"/>
      <c r="Q70" s="2436"/>
      <c r="R70" s="2436"/>
      <c r="S70" s="2436"/>
      <c r="T70" s="2436"/>
      <c r="U70" s="445"/>
    </row>
    <row r="71" spans="1:22" ht="25.9" customHeight="1">
      <c r="A71" s="420"/>
      <c r="B71" s="447"/>
      <c r="C71" s="450"/>
      <c r="D71" s="2436"/>
      <c r="E71" s="2436"/>
      <c r="F71" s="2436"/>
      <c r="G71" s="2436"/>
      <c r="H71" s="2436"/>
      <c r="I71" s="449"/>
      <c r="J71" s="2436"/>
      <c r="K71" s="2436"/>
      <c r="L71" s="2436"/>
      <c r="M71" s="2436"/>
      <c r="N71" s="2436"/>
      <c r="O71" s="441"/>
      <c r="P71" s="2436"/>
      <c r="Q71" s="2436"/>
      <c r="R71" s="2436"/>
      <c r="S71" s="2436"/>
      <c r="T71" s="2436"/>
      <c r="U71" s="451"/>
      <c r="V71" s="420"/>
    </row>
    <row r="72" spans="1:22" ht="25.9" customHeight="1">
      <c r="A72" s="420"/>
      <c r="B72" s="447"/>
      <c r="C72" s="452"/>
      <c r="D72" s="2436"/>
      <c r="E72" s="2436"/>
      <c r="F72" s="2436"/>
      <c r="G72" s="2436"/>
      <c r="H72" s="2436"/>
      <c r="I72" s="449"/>
      <c r="J72" s="2436"/>
      <c r="K72" s="2436"/>
      <c r="L72" s="2436"/>
      <c r="M72" s="2436"/>
      <c r="N72" s="2436"/>
      <c r="O72" s="453"/>
      <c r="P72" s="2436"/>
      <c r="Q72" s="2436"/>
      <c r="R72" s="2436"/>
      <c r="S72" s="2436"/>
      <c r="T72" s="2436"/>
      <c r="U72" s="454"/>
      <c r="V72" s="420"/>
    </row>
    <row r="73" spans="1:22" ht="25.9" customHeight="1">
      <c r="A73" s="420"/>
      <c r="B73" s="455"/>
      <c r="C73" s="456"/>
      <c r="D73" s="457"/>
      <c r="E73" s="458"/>
      <c r="F73" s="458"/>
      <c r="G73" s="458"/>
      <c r="H73" s="458"/>
      <c r="I73" s="458"/>
      <c r="J73" s="459"/>
      <c r="K73" s="459"/>
      <c r="L73" s="459"/>
      <c r="M73" s="459"/>
      <c r="N73" s="459"/>
      <c r="O73" s="459"/>
      <c r="P73" s="459"/>
      <c r="Q73" s="459"/>
      <c r="R73" s="459"/>
      <c r="S73" s="459"/>
      <c r="T73" s="459"/>
      <c r="U73" s="460"/>
      <c r="V73" s="420"/>
    </row>
    <row r="74" spans="1:22" ht="21" customHeight="1">
      <c r="A74" s="420"/>
      <c r="C74" s="428"/>
      <c r="D74" s="428"/>
      <c r="E74" s="428"/>
      <c r="F74" s="428"/>
      <c r="G74" s="428"/>
      <c r="H74" s="428"/>
      <c r="I74" s="428"/>
      <c r="J74" s="428"/>
      <c r="K74" s="428"/>
      <c r="L74" s="428"/>
      <c r="M74" s="428"/>
      <c r="N74" s="428"/>
      <c r="O74" s="428"/>
      <c r="P74" s="428"/>
      <c r="Q74" s="428"/>
      <c r="R74" s="428"/>
      <c r="S74" s="428"/>
      <c r="T74" s="428"/>
      <c r="U74" s="428"/>
      <c r="V74" s="420"/>
    </row>
    <row r="75" spans="1:22" ht="23.25" customHeight="1">
      <c r="A75" s="420"/>
      <c r="B75" s="2325" t="s">
        <v>913</v>
      </c>
      <c r="C75" s="2326"/>
      <c r="D75" s="2326"/>
      <c r="E75" s="2326"/>
      <c r="F75" s="2326"/>
      <c r="G75" s="2326"/>
      <c r="H75" s="2326"/>
      <c r="I75" s="2326"/>
      <c r="J75" s="2326"/>
      <c r="K75" s="2326"/>
      <c r="L75" s="807"/>
      <c r="M75" s="807"/>
      <c r="N75" s="807"/>
      <c r="O75" s="807"/>
      <c r="P75" s="807"/>
      <c r="Q75" s="807"/>
      <c r="R75" s="807"/>
      <c r="S75" s="807"/>
      <c r="T75" s="807"/>
      <c r="U75" s="439"/>
      <c r="V75" s="420"/>
    </row>
    <row r="76" spans="1:22" ht="23.25" customHeight="1">
      <c r="A76" s="420"/>
      <c r="B76" s="2297" t="s">
        <v>914</v>
      </c>
      <c r="C76" s="2288"/>
      <c r="D76" s="2288"/>
      <c r="E76" s="2288"/>
      <c r="F76" s="2288"/>
      <c r="G76" s="2288"/>
      <c r="H76" s="2288"/>
      <c r="I76" s="2288"/>
      <c r="J76" s="2288"/>
      <c r="K76" s="2288"/>
      <c r="L76" s="2288"/>
      <c r="M76" s="2288"/>
      <c r="N76" s="2288"/>
      <c r="O76" s="2288"/>
      <c r="P76" s="2288"/>
      <c r="Q76" s="2288"/>
      <c r="R76" s="2288"/>
      <c r="S76" s="2288"/>
      <c r="T76" s="2288"/>
      <c r="U76" s="2298"/>
      <c r="V76" s="420"/>
    </row>
    <row r="77" spans="1:22" ht="63" customHeight="1">
      <c r="A77" s="420"/>
      <c r="B77" s="801"/>
      <c r="C77" s="441"/>
      <c r="D77" s="2437" t="s">
        <v>915</v>
      </c>
      <c r="E77" s="2437"/>
      <c r="F77" s="2437"/>
      <c r="G77" s="2437"/>
      <c r="H77" s="2437"/>
      <c r="I77" s="441"/>
      <c r="J77" s="2437" t="s">
        <v>924</v>
      </c>
      <c r="K77" s="2437"/>
      <c r="L77" s="2437"/>
      <c r="M77" s="2437"/>
      <c r="N77" s="2437"/>
      <c r="O77" s="441"/>
      <c r="P77" s="2437" t="s">
        <v>916</v>
      </c>
      <c r="Q77" s="2437"/>
      <c r="R77" s="2437"/>
      <c r="S77" s="2437"/>
      <c r="T77" s="2437"/>
      <c r="U77" s="442"/>
      <c r="V77" s="420"/>
    </row>
    <row r="78" spans="1:22" s="416" customFormat="1" ht="13.15" customHeight="1">
      <c r="A78" s="415"/>
      <c r="B78" s="443"/>
      <c r="C78" s="444"/>
      <c r="D78" s="2436" t="s">
        <v>965</v>
      </c>
      <c r="E78" s="2436"/>
      <c r="F78" s="2436"/>
      <c r="G78" s="2436"/>
      <c r="H78" s="2436"/>
      <c r="I78" s="444"/>
      <c r="J78" s="2436" t="s">
        <v>966</v>
      </c>
      <c r="K78" s="2436"/>
      <c r="L78" s="2436"/>
      <c r="M78" s="2436"/>
      <c r="N78" s="2436"/>
      <c r="O78" s="444"/>
      <c r="P78" s="2436" t="s">
        <v>967</v>
      </c>
      <c r="Q78" s="2436"/>
      <c r="R78" s="2436"/>
      <c r="S78" s="2436"/>
      <c r="T78" s="2436"/>
      <c r="U78" s="445"/>
    </row>
    <row r="79" spans="1:22" s="416" customFormat="1" ht="13.15" customHeight="1">
      <c r="A79" s="415"/>
      <c r="B79" s="443"/>
      <c r="C79" s="444"/>
      <c r="D79" s="2436"/>
      <c r="E79" s="2436"/>
      <c r="F79" s="2436"/>
      <c r="G79" s="2436"/>
      <c r="H79" s="2436"/>
      <c r="I79" s="444"/>
      <c r="J79" s="2436"/>
      <c r="K79" s="2436"/>
      <c r="L79" s="2436"/>
      <c r="M79" s="2436"/>
      <c r="N79" s="2436"/>
      <c r="O79" s="444"/>
      <c r="P79" s="2436"/>
      <c r="Q79" s="2436"/>
      <c r="R79" s="2436"/>
      <c r="S79" s="2436"/>
      <c r="T79" s="2436"/>
      <c r="U79" s="445"/>
    </row>
    <row r="80" spans="1:22" s="416" customFormat="1" ht="13.15" customHeight="1">
      <c r="A80" s="415"/>
      <c r="B80" s="443"/>
      <c r="C80" s="444"/>
      <c r="D80" s="2436"/>
      <c r="E80" s="2436"/>
      <c r="F80" s="2436"/>
      <c r="G80" s="2436"/>
      <c r="H80" s="2436"/>
      <c r="I80" s="444"/>
      <c r="J80" s="2436"/>
      <c r="K80" s="2436"/>
      <c r="L80" s="2436"/>
      <c r="M80" s="2436"/>
      <c r="N80" s="2436"/>
      <c r="O80" s="444"/>
      <c r="P80" s="2436"/>
      <c r="Q80" s="2436"/>
      <c r="R80" s="2436"/>
      <c r="S80" s="2436"/>
      <c r="T80" s="2436"/>
      <c r="U80" s="445"/>
    </row>
    <row r="81" spans="1:22" s="416" customFormat="1" ht="25.9" customHeight="1">
      <c r="A81" s="415"/>
      <c r="B81" s="446"/>
      <c r="C81" s="444"/>
      <c r="D81" s="2436"/>
      <c r="E81" s="2436"/>
      <c r="F81" s="2436"/>
      <c r="G81" s="2436"/>
      <c r="H81" s="2436"/>
      <c r="I81" s="444"/>
      <c r="J81" s="2436"/>
      <c r="K81" s="2436"/>
      <c r="L81" s="2436"/>
      <c r="M81" s="2436"/>
      <c r="N81" s="2436"/>
      <c r="O81" s="444"/>
      <c r="P81" s="2436"/>
      <c r="Q81" s="2436"/>
      <c r="R81" s="2436"/>
      <c r="S81" s="2436"/>
      <c r="T81" s="2436"/>
      <c r="U81" s="445"/>
    </row>
    <row r="82" spans="1:22" s="416" customFormat="1" ht="25.9" customHeight="1">
      <c r="A82" s="415"/>
      <c r="B82" s="447"/>
      <c r="C82" s="448"/>
      <c r="D82" s="2436"/>
      <c r="E82" s="2436"/>
      <c r="F82" s="2436"/>
      <c r="G82" s="2436"/>
      <c r="H82" s="2436"/>
      <c r="I82" s="449"/>
      <c r="J82" s="2436"/>
      <c r="K82" s="2436"/>
      <c r="L82" s="2436"/>
      <c r="M82" s="2436"/>
      <c r="N82" s="2436"/>
      <c r="O82" s="444"/>
      <c r="P82" s="2436"/>
      <c r="Q82" s="2436"/>
      <c r="R82" s="2436"/>
      <c r="S82" s="2436"/>
      <c r="T82" s="2436"/>
      <c r="U82" s="445"/>
    </row>
    <row r="83" spans="1:22" s="416" customFormat="1" ht="25.9" customHeight="1">
      <c r="A83" s="415"/>
      <c r="B83" s="461"/>
      <c r="C83" s="462"/>
      <c r="D83" s="2436"/>
      <c r="E83" s="2436"/>
      <c r="F83" s="2436"/>
      <c r="G83" s="2436"/>
      <c r="H83" s="2436"/>
      <c r="I83" s="462"/>
      <c r="J83" s="2436"/>
      <c r="K83" s="2436"/>
      <c r="L83" s="2436"/>
      <c r="M83" s="2436"/>
      <c r="N83" s="2436"/>
      <c r="O83" s="444"/>
      <c r="P83" s="2436"/>
      <c r="Q83" s="2436"/>
      <c r="R83" s="2436"/>
      <c r="S83" s="2436"/>
      <c r="T83" s="2436"/>
      <c r="U83" s="445"/>
    </row>
    <row r="84" spans="1:22" s="416" customFormat="1" ht="25.9" customHeight="1">
      <c r="A84" s="415"/>
      <c r="B84" s="461"/>
      <c r="C84" s="462"/>
      <c r="D84" s="2436"/>
      <c r="E84" s="2436"/>
      <c r="F84" s="2436"/>
      <c r="G84" s="2436"/>
      <c r="H84" s="2436"/>
      <c r="I84" s="462"/>
      <c r="J84" s="2436"/>
      <c r="K84" s="2436"/>
      <c r="L84" s="2436"/>
      <c r="M84" s="2436"/>
      <c r="N84" s="2436"/>
      <c r="O84" s="444"/>
      <c r="P84" s="2436"/>
      <c r="Q84" s="2436"/>
      <c r="R84" s="2436"/>
      <c r="S84" s="2436"/>
      <c r="T84" s="2436"/>
      <c r="U84" s="445"/>
    </row>
    <row r="85" spans="1:22" ht="25.9" customHeight="1">
      <c r="A85" s="420"/>
      <c r="B85" s="461"/>
      <c r="C85" s="462"/>
      <c r="D85" s="2436"/>
      <c r="E85" s="2436"/>
      <c r="F85" s="2436"/>
      <c r="G85" s="2436"/>
      <c r="H85" s="2436"/>
      <c r="I85" s="462"/>
      <c r="J85" s="2436"/>
      <c r="K85" s="2436"/>
      <c r="L85" s="2436"/>
      <c r="M85" s="2436"/>
      <c r="N85" s="2436"/>
      <c r="O85" s="441"/>
      <c r="P85" s="2436"/>
      <c r="Q85" s="2436"/>
      <c r="R85" s="2436"/>
      <c r="S85" s="2436"/>
      <c r="T85" s="2436"/>
      <c r="U85" s="451"/>
      <c r="V85" s="420"/>
    </row>
    <row r="86" spans="1:22" ht="13.9" customHeight="1">
      <c r="A86" s="420"/>
      <c r="B86" s="461"/>
      <c r="C86" s="462"/>
      <c r="D86" s="2436"/>
      <c r="E86" s="2436"/>
      <c r="F86" s="2436"/>
      <c r="G86" s="2436"/>
      <c r="H86" s="2436"/>
      <c r="I86" s="462"/>
      <c r="J86" s="2436"/>
      <c r="K86" s="2436"/>
      <c r="L86" s="2436"/>
      <c r="M86" s="2436"/>
      <c r="N86" s="2436"/>
      <c r="O86" s="453"/>
      <c r="P86" s="2436"/>
      <c r="Q86" s="2436"/>
      <c r="R86" s="2436"/>
      <c r="S86" s="2436"/>
      <c r="T86" s="2436"/>
      <c r="U86" s="454"/>
      <c r="V86" s="420"/>
    </row>
    <row r="87" spans="1:22" ht="25.9" customHeight="1">
      <c r="A87" s="420"/>
      <c r="B87" s="463"/>
      <c r="C87" s="464"/>
      <c r="D87" s="464"/>
      <c r="E87" s="464"/>
      <c r="F87" s="464"/>
      <c r="G87" s="464"/>
      <c r="H87" s="464"/>
      <c r="I87" s="464"/>
      <c r="J87" s="459"/>
      <c r="K87" s="459"/>
      <c r="L87" s="459"/>
      <c r="M87" s="459"/>
      <c r="N87" s="459"/>
      <c r="O87" s="459"/>
      <c r="P87" s="459"/>
      <c r="Q87" s="459"/>
      <c r="R87" s="459"/>
      <c r="S87" s="459"/>
      <c r="T87" s="459"/>
      <c r="U87" s="460"/>
      <c r="V87" s="420"/>
    </row>
    <row r="88" spans="1:22" ht="33" customHeight="1">
      <c r="A88" s="420"/>
      <c r="B88" s="465"/>
      <c r="C88" s="465"/>
      <c r="D88" s="465"/>
      <c r="E88" s="465"/>
      <c r="F88" s="465"/>
      <c r="G88" s="465"/>
      <c r="H88" s="465"/>
      <c r="I88" s="465"/>
      <c r="J88" s="428"/>
      <c r="K88" s="428"/>
      <c r="L88" s="428"/>
      <c r="M88" s="428"/>
      <c r="N88" s="428"/>
      <c r="O88" s="428"/>
      <c r="P88" s="428"/>
      <c r="Q88" s="428"/>
      <c r="R88" s="428"/>
      <c r="S88" s="428"/>
      <c r="T88" s="428"/>
      <c r="U88" s="428"/>
      <c r="V88" s="420"/>
    </row>
    <row r="89" spans="1:22" ht="23.25" customHeight="1">
      <c r="A89" s="420"/>
      <c r="B89" s="2325" t="s">
        <v>917</v>
      </c>
      <c r="C89" s="2326"/>
      <c r="D89" s="2326"/>
      <c r="E89" s="2326"/>
      <c r="F89" s="2326"/>
      <c r="G89" s="2326"/>
      <c r="H89" s="2326"/>
      <c r="I89" s="2326"/>
      <c r="J89" s="2326"/>
      <c r="K89" s="2326"/>
      <c r="L89" s="807"/>
      <c r="M89" s="807"/>
      <c r="N89" s="807"/>
      <c r="O89" s="807"/>
      <c r="P89" s="807"/>
      <c r="Q89" s="807"/>
      <c r="R89" s="807"/>
      <c r="S89" s="807"/>
      <c r="T89" s="807"/>
      <c r="U89" s="439"/>
      <c r="V89" s="420"/>
    </row>
    <row r="90" spans="1:22" ht="23.25" customHeight="1">
      <c r="A90" s="420"/>
      <c r="B90" s="2297" t="s">
        <v>918</v>
      </c>
      <c r="C90" s="2288"/>
      <c r="D90" s="2288"/>
      <c r="E90" s="2288"/>
      <c r="F90" s="2288"/>
      <c r="G90" s="2288"/>
      <c r="H90" s="2288"/>
      <c r="I90" s="2288"/>
      <c r="J90" s="2288"/>
      <c r="K90" s="2288"/>
      <c r="L90" s="2288"/>
      <c r="M90" s="2288"/>
      <c r="N90" s="2288"/>
      <c r="O90" s="2288"/>
      <c r="P90" s="2288"/>
      <c r="Q90" s="2288"/>
      <c r="R90" s="2288"/>
      <c r="S90" s="2288"/>
      <c r="T90" s="2288"/>
      <c r="U90" s="2298"/>
      <c r="V90" s="420"/>
    </row>
    <row r="91" spans="1:22" ht="33" customHeight="1">
      <c r="A91" s="420"/>
      <c r="B91" s="2297" t="s">
        <v>919</v>
      </c>
      <c r="C91" s="2288"/>
      <c r="D91" s="2288"/>
      <c r="E91" s="2288"/>
      <c r="F91" s="2288"/>
      <c r="G91" s="2288"/>
      <c r="H91" s="2288"/>
      <c r="I91" s="2288"/>
      <c r="J91" s="2288"/>
      <c r="K91" s="2288"/>
      <c r="L91" s="2288"/>
      <c r="M91" s="2288"/>
      <c r="N91" s="2288"/>
      <c r="O91" s="2288"/>
      <c r="P91" s="2288"/>
      <c r="Q91" s="2288"/>
      <c r="R91" s="2288"/>
      <c r="S91" s="2288"/>
      <c r="T91" s="2288"/>
      <c r="U91" s="2298"/>
      <c r="V91" s="420"/>
    </row>
    <row r="92" spans="1:22" ht="39" customHeight="1">
      <c r="A92" s="420"/>
      <c r="B92" s="466"/>
      <c r="C92" s="441"/>
      <c r="D92" s="2437" t="s">
        <v>920</v>
      </c>
      <c r="E92" s="2437"/>
      <c r="F92" s="2437"/>
      <c r="G92" s="2437"/>
      <c r="H92" s="2437"/>
      <c r="I92" s="441"/>
      <c r="J92" s="2437" t="s">
        <v>921</v>
      </c>
      <c r="K92" s="2437"/>
      <c r="L92" s="2437"/>
      <c r="M92" s="2437"/>
      <c r="N92" s="2437"/>
      <c r="O92" s="441"/>
      <c r="P92" s="2437" t="s">
        <v>922</v>
      </c>
      <c r="Q92" s="2437"/>
      <c r="R92" s="2437"/>
      <c r="S92" s="2437"/>
      <c r="T92" s="2437"/>
      <c r="U92" s="451"/>
      <c r="V92" s="420"/>
    </row>
    <row r="93" spans="1:22" s="416" customFormat="1" ht="13.15" customHeight="1">
      <c r="A93" s="415"/>
      <c r="B93" s="443"/>
      <c r="C93" s="444"/>
      <c r="D93" s="2436" t="s">
        <v>968</v>
      </c>
      <c r="E93" s="2436"/>
      <c r="F93" s="2436"/>
      <c r="G93" s="2436"/>
      <c r="H93" s="2436"/>
      <c r="I93" s="444"/>
      <c r="J93" s="2436" t="s">
        <v>969</v>
      </c>
      <c r="K93" s="2436"/>
      <c r="L93" s="2436"/>
      <c r="M93" s="2436"/>
      <c r="N93" s="2436"/>
      <c r="O93" s="444"/>
      <c r="P93" s="2438" t="s">
        <v>970</v>
      </c>
      <c r="Q93" s="2438"/>
      <c r="R93" s="2438"/>
      <c r="S93" s="2438"/>
      <c r="T93" s="2438"/>
      <c r="U93" s="445"/>
    </row>
    <row r="94" spans="1:22" s="416" customFormat="1" ht="13.15" customHeight="1">
      <c r="A94" s="415"/>
      <c r="B94" s="443"/>
      <c r="C94" s="444"/>
      <c r="D94" s="2436"/>
      <c r="E94" s="2436"/>
      <c r="F94" s="2436"/>
      <c r="G94" s="2436"/>
      <c r="H94" s="2436"/>
      <c r="I94" s="444"/>
      <c r="J94" s="2436"/>
      <c r="K94" s="2436"/>
      <c r="L94" s="2436"/>
      <c r="M94" s="2436"/>
      <c r="N94" s="2436"/>
      <c r="O94" s="444"/>
      <c r="P94" s="2438"/>
      <c r="Q94" s="2438"/>
      <c r="R94" s="2438"/>
      <c r="S94" s="2438"/>
      <c r="T94" s="2438"/>
      <c r="U94" s="445"/>
    </row>
    <row r="95" spans="1:22" s="416" customFormat="1" ht="13.15" customHeight="1">
      <c r="A95" s="415"/>
      <c r="B95" s="443"/>
      <c r="C95" s="444"/>
      <c r="D95" s="2436"/>
      <c r="E95" s="2436"/>
      <c r="F95" s="2436"/>
      <c r="G95" s="2436"/>
      <c r="H95" s="2436"/>
      <c r="I95" s="444"/>
      <c r="J95" s="2436"/>
      <c r="K95" s="2436"/>
      <c r="L95" s="2436"/>
      <c r="M95" s="2436"/>
      <c r="N95" s="2436"/>
      <c r="O95" s="444"/>
      <c r="P95" s="2438"/>
      <c r="Q95" s="2438"/>
      <c r="R95" s="2438"/>
      <c r="S95" s="2438"/>
      <c r="T95" s="2438"/>
      <c r="U95" s="445"/>
    </row>
    <row r="96" spans="1:22" s="416" customFormat="1" ht="25.9" customHeight="1">
      <c r="A96" s="415"/>
      <c r="B96" s="446"/>
      <c r="C96" s="444"/>
      <c r="D96" s="2436"/>
      <c r="E96" s="2436"/>
      <c r="F96" s="2436"/>
      <c r="G96" s="2436"/>
      <c r="H96" s="2436"/>
      <c r="I96" s="444"/>
      <c r="J96" s="2436"/>
      <c r="K96" s="2436"/>
      <c r="L96" s="2436"/>
      <c r="M96" s="2436"/>
      <c r="N96" s="2436"/>
      <c r="O96" s="444"/>
      <c r="P96" s="2438"/>
      <c r="Q96" s="2438"/>
      <c r="R96" s="2438"/>
      <c r="S96" s="2438"/>
      <c r="T96" s="2438"/>
      <c r="U96" s="445"/>
    </row>
    <row r="97" spans="1:22" s="416" customFormat="1" ht="25.9" customHeight="1">
      <c r="A97" s="415"/>
      <c r="B97" s="447"/>
      <c r="C97" s="448"/>
      <c r="D97" s="2436"/>
      <c r="E97" s="2436"/>
      <c r="F97" s="2436"/>
      <c r="G97" s="2436"/>
      <c r="H97" s="2436"/>
      <c r="I97" s="449"/>
      <c r="J97" s="2436"/>
      <c r="K97" s="2436"/>
      <c r="L97" s="2436"/>
      <c r="M97" s="2436"/>
      <c r="N97" s="2436"/>
      <c r="O97" s="444"/>
      <c r="P97" s="2438"/>
      <c r="Q97" s="2438"/>
      <c r="R97" s="2438"/>
      <c r="S97" s="2438"/>
      <c r="T97" s="2438"/>
      <c r="U97" s="445"/>
    </row>
    <row r="98" spans="1:22" s="416" customFormat="1" ht="25.9" customHeight="1">
      <c r="A98" s="415"/>
      <c r="B98" s="461"/>
      <c r="C98" s="462"/>
      <c r="D98" s="2436"/>
      <c r="E98" s="2436"/>
      <c r="F98" s="2436"/>
      <c r="G98" s="2436"/>
      <c r="H98" s="2436"/>
      <c r="I98" s="462"/>
      <c r="J98" s="2436"/>
      <c r="K98" s="2436"/>
      <c r="L98" s="2436"/>
      <c r="M98" s="2436"/>
      <c r="N98" s="2436"/>
      <c r="O98" s="444"/>
      <c r="P98" s="2438"/>
      <c r="Q98" s="2438"/>
      <c r="R98" s="2438"/>
      <c r="S98" s="2438"/>
      <c r="T98" s="2438"/>
      <c r="U98" s="445"/>
    </row>
    <row r="99" spans="1:22" s="416" customFormat="1" ht="25.9" customHeight="1">
      <c r="A99" s="415"/>
      <c r="B99" s="461"/>
      <c r="C99" s="462"/>
      <c r="D99" s="2436"/>
      <c r="E99" s="2436"/>
      <c r="F99" s="2436"/>
      <c r="G99" s="2436"/>
      <c r="H99" s="2436"/>
      <c r="I99" s="462"/>
      <c r="J99" s="2436"/>
      <c r="K99" s="2436"/>
      <c r="L99" s="2436"/>
      <c r="M99" s="2436"/>
      <c r="N99" s="2436"/>
      <c r="O99" s="444"/>
      <c r="P99" s="2438"/>
      <c r="Q99" s="2438"/>
      <c r="R99" s="2438"/>
      <c r="S99" s="2438"/>
      <c r="T99" s="2438"/>
      <c r="U99" s="445"/>
    </row>
    <row r="100" spans="1:22" ht="25.9" customHeight="1">
      <c r="A100" s="420"/>
      <c r="B100" s="461"/>
      <c r="C100" s="462"/>
      <c r="D100" s="2436"/>
      <c r="E100" s="2436"/>
      <c r="F100" s="2436"/>
      <c r="G100" s="2436"/>
      <c r="H100" s="2436"/>
      <c r="I100" s="462"/>
      <c r="J100" s="2436"/>
      <c r="K100" s="2436"/>
      <c r="L100" s="2436"/>
      <c r="M100" s="2436"/>
      <c r="N100" s="2436"/>
      <c r="O100" s="441"/>
      <c r="P100" s="2438"/>
      <c r="Q100" s="2438"/>
      <c r="R100" s="2438"/>
      <c r="S100" s="2438"/>
      <c r="T100" s="2438"/>
      <c r="U100" s="451"/>
      <c r="V100" s="420"/>
    </row>
    <row r="101" spans="1:22" ht="25.9" customHeight="1">
      <c r="A101" s="420"/>
      <c r="B101" s="461"/>
      <c r="C101" s="462"/>
      <c r="D101" s="2436"/>
      <c r="E101" s="2436"/>
      <c r="F101" s="2436"/>
      <c r="G101" s="2436"/>
      <c r="H101" s="2436"/>
      <c r="I101" s="462"/>
      <c r="J101" s="2436"/>
      <c r="K101" s="2436"/>
      <c r="L101" s="2436"/>
      <c r="M101" s="2436"/>
      <c r="N101" s="2436"/>
      <c r="O101" s="453"/>
      <c r="P101" s="2438"/>
      <c r="Q101" s="2438"/>
      <c r="R101" s="2438"/>
      <c r="S101" s="2438"/>
      <c r="T101" s="2438"/>
      <c r="U101" s="454"/>
      <c r="V101" s="420"/>
    </row>
    <row r="102" spans="1:22" s="429" customFormat="1" ht="25.9" customHeight="1">
      <c r="A102" s="420"/>
      <c r="B102" s="461"/>
      <c r="C102" s="462"/>
      <c r="D102" s="467"/>
      <c r="E102" s="467"/>
      <c r="F102" s="467"/>
      <c r="G102" s="467"/>
      <c r="H102" s="467"/>
      <c r="I102" s="462"/>
      <c r="J102" s="467"/>
      <c r="K102" s="467"/>
      <c r="L102" s="467"/>
      <c r="M102" s="467"/>
      <c r="N102" s="467"/>
      <c r="O102" s="453"/>
      <c r="P102" s="2416" t="s">
        <v>923</v>
      </c>
      <c r="Q102" s="2416"/>
      <c r="R102" s="2416"/>
      <c r="S102" s="2416"/>
      <c r="T102" s="2416"/>
      <c r="U102" s="454"/>
      <c r="V102" s="420"/>
    </row>
    <row r="103" spans="1:22" s="429" customFormat="1" ht="25.9" customHeight="1">
      <c r="A103" s="420"/>
      <c r="B103" s="461"/>
      <c r="C103" s="462"/>
      <c r="D103" s="467"/>
      <c r="E103" s="467"/>
      <c r="F103" s="467"/>
      <c r="G103" s="467"/>
      <c r="H103" s="467"/>
      <c r="I103" s="462"/>
      <c r="J103" s="467"/>
      <c r="K103" s="467"/>
      <c r="L103" s="467"/>
      <c r="M103" s="467"/>
      <c r="N103" s="467"/>
      <c r="O103" s="453"/>
      <c r="P103" s="2416" t="s">
        <v>1005</v>
      </c>
      <c r="Q103" s="2416"/>
      <c r="R103" s="2416"/>
      <c r="S103" s="2416"/>
      <c r="T103" s="2416"/>
      <c r="U103" s="454"/>
      <c r="V103" s="420"/>
    </row>
    <row r="104" spans="1:22" ht="33" customHeight="1">
      <c r="A104" s="420"/>
      <c r="B104" s="2297" t="s">
        <v>971</v>
      </c>
      <c r="C104" s="2288"/>
      <c r="D104" s="2288"/>
      <c r="E104" s="2288"/>
      <c r="F104" s="2288"/>
      <c r="G104" s="2288"/>
      <c r="H104" s="2288"/>
      <c r="I104" s="2288"/>
      <c r="J104" s="2288"/>
      <c r="K104" s="2288"/>
      <c r="L104" s="2288"/>
      <c r="M104" s="2288"/>
      <c r="N104" s="2288"/>
      <c r="O104" s="2288"/>
      <c r="P104" s="2288"/>
      <c r="Q104" s="2288"/>
      <c r="R104" s="2288"/>
      <c r="S104" s="2288"/>
      <c r="T104" s="2288"/>
      <c r="U104" s="2298"/>
      <c r="V104" s="420"/>
    </row>
    <row r="105" spans="1:22" ht="33" customHeight="1">
      <c r="A105" s="420"/>
      <c r="B105" s="801"/>
      <c r="C105" s="800"/>
      <c r="D105" s="800"/>
      <c r="E105" s="800"/>
      <c r="F105" s="800"/>
      <c r="G105" s="800"/>
      <c r="H105" s="2423" t="s">
        <v>972</v>
      </c>
      <c r="I105" s="2424"/>
      <c r="J105" s="2423" t="s">
        <v>973</v>
      </c>
      <c r="K105" s="2424"/>
      <c r="L105" s="2423" t="s">
        <v>974</v>
      </c>
      <c r="M105" s="2424"/>
      <c r="N105" s="2423" t="s">
        <v>975</v>
      </c>
      <c r="O105" s="2424"/>
      <c r="P105" s="800"/>
      <c r="Q105" s="800"/>
      <c r="R105" s="800"/>
      <c r="S105" s="800"/>
      <c r="T105" s="800"/>
      <c r="U105" s="805"/>
      <c r="V105" s="420"/>
    </row>
    <row r="106" spans="1:22" ht="33" customHeight="1">
      <c r="A106" s="420"/>
      <c r="B106" s="801"/>
      <c r="C106" s="800"/>
      <c r="D106" s="800"/>
      <c r="E106" s="800"/>
      <c r="F106" s="800"/>
      <c r="G106" s="800"/>
      <c r="H106" s="2425"/>
      <c r="I106" s="2426"/>
      <c r="J106" s="2425"/>
      <c r="K106" s="2426"/>
      <c r="L106" s="2425"/>
      <c r="M106" s="2426"/>
      <c r="N106" s="2425"/>
      <c r="O106" s="2426"/>
      <c r="P106" s="800"/>
      <c r="Q106" s="800"/>
      <c r="R106" s="800"/>
      <c r="S106" s="800"/>
      <c r="T106" s="800"/>
      <c r="U106" s="805"/>
      <c r="V106" s="420"/>
    </row>
    <row r="107" spans="1:22" s="470" customFormat="1" ht="33" customHeight="1">
      <c r="B107" s="471"/>
      <c r="C107" s="472"/>
      <c r="D107" s="472"/>
      <c r="E107" s="472"/>
      <c r="F107" s="472"/>
      <c r="G107" s="472"/>
      <c r="H107" s="472"/>
      <c r="I107" s="472"/>
      <c r="J107" s="472"/>
      <c r="K107" s="472"/>
      <c r="L107" s="472"/>
      <c r="M107" s="472"/>
      <c r="N107" s="472"/>
      <c r="O107" s="472"/>
      <c r="P107" s="472"/>
      <c r="Q107" s="472"/>
      <c r="R107" s="472"/>
      <c r="S107" s="472"/>
      <c r="T107" s="472"/>
      <c r="U107" s="473"/>
    </row>
    <row r="108" spans="1:22" ht="15.75">
      <c r="A108" s="420"/>
      <c r="B108" s="420"/>
      <c r="C108" s="420"/>
      <c r="D108" s="420"/>
      <c r="E108" s="420"/>
      <c r="F108" s="420"/>
      <c r="G108" s="420"/>
      <c r="H108" s="420"/>
      <c r="I108" s="420"/>
      <c r="J108" s="420"/>
      <c r="K108" s="420"/>
      <c r="L108" s="420"/>
      <c r="M108" s="476" t="s">
        <v>989</v>
      </c>
      <c r="N108" s="420"/>
      <c r="O108" s="420"/>
      <c r="P108" s="420"/>
      <c r="Q108" s="420"/>
      <c r="R108" s="477" t="s">
        <v>692</v>
      </c>
      <c r="S108" s="478" t="str">
        <f>$E$29</f>
        <v>ILF5_90FCPRS_B114CAGR43006</v>
      </c>
      <c r="T108" s="420"/>
      <c r="U108" s="420"/>
      <c r="V108" s="420"/>
    </row>
    <row r="109" spans="1:22">
      <c r="A109" s="420"/>
      <c r="B109" s="420"/>
      <c r="C109" s="420"/>
      <c r="D109" s="420"/>
      <c r="E109" s="420"/>
      <c r="F109" s="420"/>
      <c r="G109" s="420"/>
      <c r="H109" s="436" t="s">
        <v>690</v>
      </c>
      <c r="I109" s="420"/>
      <c r="K109" s="420"/>
      <c r="L109" s="437" t="str">
        <f>$B$11</f>
        <v>INMOBILIARIA SERVIGESTION</v>
      </c>
      <c r="M109" s="420"/>
      <c r="N109" s="420"/>
      <c r="O109" s="420"/>
      <c r="P109" s="420"/>
      <c r="Q109" s="420"/>
      <c r="R109" s="420"/>
      <c r="S109" s="420"/>
      <c r="T109" s="420"/>
      <c r="U109" s="420"/>
      <c r="V109" s="420"/>
    </row>
    <row r="110" spans="1:22" ht="34.5">
      <c r="A110" s="420"/>
      <c r="B110" s="2268" t="s">
        <v>461</v>
      </c>
      <c r="C110" s="2268"/>
      <c r="D110" s="2268"/>
      <c r="E110" s="2268"/>
      <c r="F110" s="2268"/>
      <c r="G110" s="2268"/>
      <c r="H110" s="2268"/>
      <c r="I110" s="2268"/>
      <c r="J110" s="2268"/>
      <c r="K110" s="2268"/>
      <c r="L110" s="2268"/>
      <c r="M110" s="2268"/>
      <c r="N110" s="2268"/>
      <c r="O110" s="2268"/>
      <c r="P110" s="2268"/>
      <c r="Q110" s="2268"/>
      <c r="R110" s="2268"/>
      <c r="S110" s="2268"/>
      <c r="T110" s="2268"/>
      <c r="U110" s="2268"/>
      <c r="V110" s="420"/>
    </row>
    <row r="111" spans="1:22" ht="22.9" customHeight="1">
      <c r="A111" s="420"/>
      <c r="B111" s="2269" t="s">
        <v>1084</v>
      </c>
      <c r="C111" s="2269"/>
      <c r="D111" s="2269"/>
      <c r="E111" s="2269"/>
      <c r="F111" s="2269"/>
      <c r="G111" s="2269"/>
      <c r="H111" s="2269"/>
      <c r="I111" s="2269"/>
      <c r="J111" s="2269"/>
      <c r="K111" s="2269"/>
      <c r="L111" s="2269"/>
      <c r="M111" s="2269"/>
      <c r="N111" s="2269"/>
      <c r="O111" s="2269"/>
      <c r="P111" s="2269"/>
      <c r="Q111" s="2269"/>
      <c r="R111" s="2269"/>
      <c r="S111" s="2269"/>
      <c r="T111" s="2269"/>
      <c r="U111" s="2269"/>
      <c r="V111" s="420"/>
    </row>
    <row r="112" spans="1:22" ht="16.149999999999999" customHeight="1">
      <c r="A112" s="420"/>
      <c r="B112" s="459"/>
      <c r="C112" s="459"/>
      <c r="D112" s="459"/>
      <c r="E112" s="459"/>
      <c r="F112" s="459"/>
      <c r="G112" s="459"/>
      <c r="H112" s="459"/>
      <c r="I112" s="459"/>
      <c r="J112" s="459"/>
      <c r="K112" s="459"/>
      <c r="L112" s="459"/>
      <c r="M112" s="459"/>
      <c r="N112" s="459"/>
      <c r="O112" s="459"/>
      <c r="P112" s="488"/>
      <c r="Q112" s="459"/>
      <c r="R112" s="459"/>
      <c r="S112" s="459"/>
      <c r="T112" s="459"/>
      <c r="U112" s="459"/>
      <c r="V112" s="420"/>
    </row>
    <row r="113" spans="1:23" ht="102" customHeight="1">
      <c r="A113" s="489"/>
      <c r="B113" s="2444" t="s">
        <v>1908</v>
      </c>
      <c r="C113" s="2445"/>
      <c r="D113" s="2445"/>
      <c r="E113" s="2445"/>
      <c r="F113" s="2445"/>
      <c r="G113" s="2445"/>
      <c r="H113" s="2445"/>
      <c r="I113" s="2445"/>
      <c r="J113" s="2445"/>
      <c r="K113" s="2445"/>
      <c r="L113" s="2445"/>
      <c r="M113" s="2445"/>
      <c r="N113" s="2445"/>
      <c r="O113" s="2445"/>
      <c r="P113" s="2445"/>
      <c r="Q113" s="2445"/>
      <c r="R113" s="2445"/>
      <c r="S113" s="2445"/>
      <c r="T113" s="2445"/>
      <c r="U113" s="2446"/>
      <c r="V113" s="490"/>
    </row>
    <row r="114" spans="1:23" ht="13.9" customHeight="1">
      <c r="A114" s="489"/>
      <c r="B114" s="1973"/>
      <c r="C114" s="1973"/>
      <c r="D114" s="1973"/>
      <c r="E114" s="1973"/>
      <c r="F114" s="1973"/>
      <c r="G114" s="1973"/>
      <c r="H114" s="1973"/>
      <c r="I114" s="1973"/>
      <c r="J114" s="1973"/>
      <c r="K114" s="1973"/>
      <c r="L114" s="1973"/>
      <c r="M114" s="1973"/>
      <c r="N114" s="1973"/>
      <c r="O114" s="1973"/>
      <c r="P114" s="1973"/>
      <c r="Q114" s="1973"/>
      <c r="R114" s="1973"/>
      <c r="S114" s="1973"/>
      <c r="T114" s="1973"/>
      <c r="U114" s="1973"/>
      <c r="V114" s="490"/>
    </row>
    <row r="115" spans="1:23" ht="36.75" customHeight="1">
      <c r="A115" s="489"/>
      <c r="B115" s="1973"/>
      <c r="C115" s="2599" t="s">
        <v>784</v>
      </c>
      <c r="D115" s="2599"/>
      <c r="E115" s="2599"/>
      <c r="F115" s="2599"/>
      <c r="G115" s="2599"/>
      <c r="H115" s="2599"/>
      <c r="I115" s="2599"/>
      <c r="J115" s="2599"/>
      <c r="K115" s="2599"/>
      <c r="L115" s="2599"/>
      <c r="M115" s="2599"/>
      <c r="N115" s="2599"/>
      <c r="O115" s="2599"/>
      <c r="P115" s="2599"/>
      <c r="Q115" s="2599"/>
      <c r="R115" s="2599"/>
      <c r="S115" s="2599"/>
      <c r="T115" s="2599"/>
      <c r="U115" s="1973"/>
      <c r="V115" s="490"/>
    </row>
    <row r="116" spans="1:23" ht="22.15" customHeight="1">
      <c r="A116" s="451"/>
      <c r="B116" s="1862"/>
      <c r="C116" s="1862"/>
      <c r="D116" s="1862"/>
      <c r="E116" s="1862"/>
      <c r="F116" s="1862"/>
      <c r="G116" s="1862"/>
      <c r="H116" s="1862"/>
      <c r="I116" s="1862"/>
      <c r="J116" s="1862"/>
      <c r="K116" s="1862"/>
      <c r="L116" s="2400"/>
      <c r="M116" s="2400"/>
      <c r="N116" s="2400"/>
      <c r="O116" s="2400"/>
      <c r="P116" s="2400"/>
      <c r="Q116" s="2400"/>
      <c r="R116" s="2400"/>
      <c r="S116" s="2400"/>
      <c r="T116" s="1862"/>
      <c r="U116" s="1863"/>
      <c r="V116" s="493"/>
    </row>
    <row r="117" spans="1:23" ht="23.25">
      <c r="B117" s="1864"/>
      <c r="C117" s="2401" t="s">
        <v>1083</v>
      </c>
      <c r="D117" s="2401"/>
      <c r="E117" s="2401"/>
      <c r="F117" s="2401"/>
      <c r="G117" s="2401"/>
      <c r="H117" s="2401"/>
      <c r="I117" s="2401"/>
      <c r="J117" s="2401"/>
      <c r="K117" s="2401"/>
      <c r="L117" s="1867"/>
      <c r="M117" s="2447" t="s">
        <v>1988</v>
      </c>
      <c r="N117" s="2448"/>
      <c r="O117" s="2448"/>
      <c r="P117" s="2448"/>
      <c r="Q117" s="2448"/>
      <c r="R117" s="2448"/>
      <c r="S117" s="2448"/>
      <c r="T117" s="2449"/>
      <c r="U117" s="1866"/>
      <c r="V117" s="441"/>
    </row>
    <row r="118" spans="1:23" ht="108.75" customHeight="1">
      <c r="B118" s="495" t="s">
        <v>362</v>
      </c>
      <c r="C118" s="2396" t="s">
        <v>1909</v>
      </c>
      <c r="D118" s="2397"/>
      <c r="E118" s="2397"/>
      <c r="F118" s="2397"/>
      <c r="G118" s="2397"/>
      <c r="H118" s="2397"/>
      <c r="I118" s="2397"/>
      <c r="J118" s="2397"/>
      <c r="K118" s="2398"/>
      <c r="L118" s="1867"/>
      <c r="M118" s="2396" t="s">
        <v>1989</v>
      </c>
      <c r="N118" s="2397"/>
      <c r="O118" s="2397"/>
      <c r="P118" s="2397"/>
      <c r="Q118" s="2397"/>
      <c r="R118" s="2397"/>
      <c r="S118" s="2397"/>
      <c r="T118" s="2398"/>
      <c r="U118" s="1866"/>
      <c r="V118" s="441"/>
    </row>
    <row r="119" spans="1:23" ht="26.25">
      <c r="A119" s="441"/>
      <c r="B119" s="1868"/>
      <c r="C119" s="2327" t="s">
        <v>783</v>
      </c>
      <c r="D119" s="2327"/>
      <c r="E119" s="2327"/>
      <c r="F119" s="2327"/>
      <c r="G119" s="2327"/>
      <c r="H119" s="1869">
        <v>24</v>
      </c>
      <c r="I119" s="1870"/>
      <c r="J119" s="1870"/>
      <c r="K119" s="1870"/>
      <c r="L119" s="1871"/>
      <c r="M119" s="1872" t="s">
        <v>783</v>
      </c>
      <c r="N119" s="1873"/>
      <c r="O119" s="1874"/>
      <c r="P119" s="1874"/>
      <c r="Q119" s="1874"/>
      <c r="R119" s="1869">
        <v>32</v>
      </c>
      <c r="S119" s="1875"/>
      <c r="T119" s="1875"/>
      <c r="U119" s="1876"/>
    </row>
    <row r="120" spans="1:23" ht="10.9" customHeight="1">
      <c r="A120" s="441"/>
      <c r="B120" s="1877"/>
      <c r="C120" s="501"/>
      <c r="D120" s="501"/>
      <c r="E120" s="501"/>
      <c r="F120" s="501"/>
      <c r="G120" s="501"/>
      <c r="H120" s="501"/>
      <c r="I120" s="501"/>
      <c r="J120" s="501"/>
      <c r="K120" s="501"/>
      <c r="L120" s="501"/>
      <c r="M120" s="501"/>
      <c r="N120" s="501"/>
      <c r="O120" s="501"/>
      <c r="P120" s="501"/>
      <c r="Q120" s="501"/>
      <c r="R120" s="501"/>
      <c r="S120" s="501"/>
      <c r="T120" s="501"/>
      <c r="U120" s="502"/>
    </row>
    <row r="121" spans="1:23" ht="15.6" customHeight="1">
      <c r="A121" s="441"/>
      <c r="B121" s="495"/>
      <c r="C121" s="501"/>
      <c r="D121" s="501"/>
      <c r="E121" s="501"/>
      <c r="F121" s="501"/>
      <c r="G121" s="501"/>
      <c r="H121" s="501"/>
      <c r="I121" s="501"/>
      <c r="J121" s="501"/>
      <c r="K121" s="501"/>
      <c r="L121" s="501"/>
      <c r="M121" s="501"/>
      <c r="N121" s="501"/>
      <c r="O121" s="1871"/>
      <c r="P121" s="1878"/>
      <c r="Q121" s="501"/>
      <c r="R121" s="501"/>
      <c r="S121" s="501"/>
      <c r="T121" s="501"/>
      <c r="U121" s="502"/>
    </row>
    <row r="122" spans="1:23" s="429" customFormat="1" ht="99.75" customHeight="1">
      <c r="A122" s="504"/>
      <c r="B122" s="1879"/>
      <c r="C122" s="2599" t="s">
        <v>786</v>
      </c>
      <c r="D122" s="2599"/>
      <c r="E122" s="2599"/>
      <c r="F122" s="2599"/>
      <c r="G122" s="2599"/>
      <c r="H122" s="2599"/>
      <c r="I122" s="2599"/>
      <c r="J122" s="2599"/>
      <c r="K122" s="2599"/>
      <c r="L122" s="2599"/>
      <c r="M122" s="2599"/>
      <c r="N122" s="2599"/>
      <c r="O122" s="2599"/>
      <c r="P122" s="2599"/>
      <c r="Q122" s="2599"/>
      <c r="R122" s="2599"/>
      <c r="S122" s="2599"/>
      <c r="T122" s="2599"/>
      <c r="U122" s="505"/>
    </row>
    <row r="123" spans="1:23" s="429" customFormat="1" ht="20.25" customHeight="1">
      <c r="A123" s="504"/>
      <c r="B123" s="1879"/>
      <c r="C123" s="1862"/>
      <c r="D123" s="1862"/>
      <c r="E123" s="1862"/>
      <c r="F123" s="1862"/>
      <c r="G123" s="1862"/>
      <c r="H123" s="1862"/>
      <c r="I123" s="1862"/>
      <c r="J123" s="1862"/>
      <c r="K123" s="1862"/>
      <c r="L123" s="2400"/>
      <c r="M123" s="2400"/>
      <c r="N123" s="2400"/>
      <c r="O123" s="2400"/>
      <c r="P123" s="2400"/>
      <c r="Q123" s="2400"/>
      <c r="R123" s="2400"/>
      <c r="S123" s="2400"/>
      <c r="T123" s="1862"/>
      <c r="U123" s="505"/>
      <c r="V123" s="504"/>
    </row>
    <row r="124" spans="1:23" s="429" customFormat="1" ht="24" customHeight="1">
      <c r="B124" s="1880"/>
      <c r="C124" s="2401" t="s">
        <v>1986</v>
      </c>
      <c r="D124" s="2401"/>
      <c r="E124" s="2401"/>
      <c r="F124" s="2401"/>
      <c r="G124" s="2401"/>
      <c r="H124" s="2401"/>
      <c r="I124" s="2401"/>
      <c r="J124" s="2401"/>
      <c r="K124" s="2401"/>
      <c r="L124" s="1881"/>
      <c r="M124" s="2401" t="s">
        <v>1984</v>
      </c>
      <c r="N124" s="2401"/>
      <c r="O124" s="2401"/>
      <c r="P124" s="2401"/>
      <c r="Q124" s="2401"/>
      <c r="R124" s="2401"/>
      <c r="S124" s="2401"/>
      <c r="T124" s="2401"/>
      <c r="U124" s="505"/>
    </row>
    <row r="125" spans="1:23" s="429" customFormat="1" ht="208.5" customHeight="1">
      <c r="B125" s="1882"/>
      <c r="C125" s="2601" t="s">
        <v>1992</v>
      </c>
      <c r="D125" s="2402"/>
      <c r="E125" s="2402"/>
      <c r="F125" s="2402"/>
      <c r="G125" s="2402"/>
      <c r="H125" s="2402"/>
      <c r="I125" s="2402"/>
      <c r="J125" s="2402"/>
      <c r="K125" s="2403"/>
      <c r="L125" s="507"/>
      <c r="M125" s="2601" t="s">
        <v>1991</v>
      </c>
      <c r="N125" s="2602"/>
      <c r="O125" s="2602"/>
      <c r="P125" s="2602"/>
      <c r="Q125" s="2602"/>
      <c r="R125" s="2602"/>
      <c r="S125" s="2602"/>
      <c r="T125" s="2603"/>
      <c r="U125" s="505"/>
      <c r="V125" s="490"/>
      <c r="W125" s="504"/>
    </row>
    <row r="126" spans="1:23" s="429" customFormat="1" ht="27" customHeight="1">
      <c r="B126" s="1883"/>
      <c r="C126" s="2327" t="s">
        <v>783</v>
      </c>
      <c r="D126" s="2327"/>
      <c r="E126" s="2327"/>
      <c r="F126" s="2327"/>
      <c r="G126" s="2327"/>
      <c r="H126" s="1884">
        <v>53</v>
      </c>
      <c r="I126" s="1869"/>
      <c r="J126" s="1869"/>
      <c r="K126" s="1869"/>
      <c r="L126" s="1885"/>
      <c r="M126" s="2327" t="s">
        <v>783</v>
      </c>
      <c r="N126" s="2327"/>
      <c r="O126" s="2327"/>
      <c r="P126" s="2327"/>
      <c r="Q126" s="2327"/>
      <c r="R126" s="1884">
        <v>73</v>
      </c>
      <c r="S126" s="1869"/>
      <c r="T126" s="1869"/>
      <c r="U126" s="505"/>
      <c r="V126" s="490"/>
      <c r="W126" s="504"/>
    </row>
    <row r="127" spans="1:23" s="429" customFormat="1" ht="23.25">
      <c r="B127" s="509"/>
      <c r="C127" s="1886"/>
      <c r="D127" s="1886"/>
      <c r="E127" s="510"/>
      <c r="F127" s="510"/>
      <c r="G127" s="510"/>
      <c r="H127" s="510"/>
      <c r="I127" s="510"/>
      <c r="J127" s="510"/>
      <c r="K127" s="510"/>
      <c r="L127" s="510"/>
      <c r="M127" s="510"/>
      <c r="N127" s="510"/>
      <c r="O127" s="1887"/>
      <c r="P127" s="1887"/>
      <c r="Q127" s="510"/>
      <c r="R127" s="510"/>
      <c r="S127" s="510"/>
      <c r="T127" s="510"/>
      <c r="U127" s="505"/>
      <c r="V127" s="504"/>
    </row>
    <row r="128" spans="1:23" s="429" customFormat="1" ht="73.900000000000006" customHeight="1">
      <c r="B128" s="1879"/>
      <c r="C128" s="2450" t="s">
        <v>1939</v>
      </c>
      <c r="D128" s="2450"/>
      <c r="E128" s="2450"/>
      <c r="F128" s="2450"/>
      <c r="G128" s="2450"/>
      <c r="H128" s="2450"/>
      <c r="I128" s="2450"/>
      <c r="J128" s="2450"/>
      <c r="K128" s="2450"/>
      <c r="L128" s="2450"/>
      <c r="M128" s="2450"/>
      <c r="N128" s="2450"/>
      <c r="O128" s="2450"/>
      <c r="P128" s="2450"/>
      <c r="Q128" s="2450"/>
      <c r="R128" s="2450"/>
      <c r="S128" s="2450"/>
      <c r="T128" s="2450"/>
      <c r="U128" s="505"/>
    </row>
    <row r="129" spans="2:22" s="429" customFormat="1" ht="53.25" customHeight="1">
      <c r="B129" s="1880"/>
      <c r="C129" s="2450" t="s">
        <v>1002</v>
      </c>
      <c r="D129" s="2450"/>
      <c r="E129" s="2450"/>
      <c r="F129" s="2450"/>
      <c r="G129" s="2450"/>
      <c r="H129" s="2450"/>
      <c r="I129" s="2450"/>
      <c r="J129" s="2450"/>
      <c r="K129" s="2450"/>
      <c r="L129" s="2450"/>
      <c r="M129" s="2450"/>
      <c r="N129" s="2450"/>
      <c r="O129" s="2450"/>
      <c r="P129" s="2450"/>
      <c r="Q129" s="2450"/>
      <c r="R129" s="2450"/>
      <c r="S129" s="2450"/>
      <c r="T129" s="2450"/>
      <c r="U129" s="1888"/>
    </row>
    <row r="130" spans="2:22" s="429" customFormat="1" ht="19.149999999999999" customHeight="1">
      <c r="B130" s="506"/>
      <c r="C130" s="504"/>
      <c r="D130" s="512"/>
      <c r="E130" s="513"/>
      <c r="F130" s="513"/>
      <c r="G130" s="513"/>
      <c r="H130" s="513"/>
      <c r="I130" s="513"/>
      <c r="J130" s="514"/>
      <c r="K130" s="513"/>
      <c r="L130" s="513"/>
      <c r="M130" s="513"/>
      <c r="N130" s="512"/>
      <c r="O130" s="513"/>
      <c r="P130" s="512"/>
      <c r="Q130" s="504"/>
      <c r="R130" s="513"/>
      <c r="S130" s="514"/>
      <c r="T130" s="514"/>
      <c r="U130" s="511"/>
    </row>
    <row r="131" spans="2:22" ht="19.149999999999999" customHeight="1">
      <c r="B131" s="515"/>
      <c r="C131" s="488"/>
      <c r="D131" s="516"/>
      <c r="E131" s="517"/>
      <c r="F131" s="517"/>
      <c r="G131" s="517"/>
      <c r="H131" s="517"/>
      <c r="I131" s="517"/>
      <c r="J131" s="518"/>
      <c r="K131" s="517"/>
      <c r="L131" s="517"/>
      <c r="M131" s="517"/>
      <c r="N131" s="516"/>
      <c r="O131" s="517"/>
      <c r="P131" s="516"/>
      <c r="Q131" s="488"/>
      <c r="R131" s="517"/>
      <c r="S131" s="518"/>
      <c r="T131" s="518"/>
      <c r="U131" s="519"/>
    </row>
    <row r="132" spans="2:22" ht="17.45" customHeight="1">
      <c r="B132" s="520" t="s">
        <v>785</v>
      </c>
      <c r="C132" s="521"/>
      <c r="D132" s="521"/>
      <c r="E132" s="521"/>
      <c r="F132" s="521"/>
      <c r="G132" s="521"/>
      <c r="H132" s="521"/>
      <c r="I132" s="521"/>
      <c r="J132" s="521"/>
      <c r="K132" s="521"/>
      <c r="L132" s="521"/>
      <c r="M132" s="521"/>
      <c r="N132" s="521"/>
      <c r="O132" s="479"/>
      <c r="P132" s="479"/>
      <c r="Q132" s="521"/>
      <c r="R132" s="521"/>
      <c r="S132" s="521"/>
      <c r="T132" s="521"/>
      <c r="U132" s="521"/>
      <c r="V132" s="441"/>
    </row>
    <row r="133" spans="2:22" ht="10.5" customHeight="1">
      <c r="B133" s="522"/>
      <c r="C133" s="522"/>
      <c r="D133" s="522"/>
      <c r="E133" s="522"/>
      <c r="F133" s="522"/>
      <c r="G133" s="522"/>
      <c r="H133" s="522"/>
      <c r="I133" s="499"/>
      <c r="J133" s="523"/>
      <c r="K133" s="499"/>
      <c r="L133" s="499"/>
      <c r="M133" s="499"/>
      <c r="N133" s="524"/>
      <c r="O133" s="499"/>
      <c r="P133" s="524"/>
      <c r="Q133" s="441"/>
      <c r="R133" s="499"/>
      <c r="S133" s="523"/>
      <c r="T133" s="523"/>
      <c r="U133" s="499"/>
    </row>
    <row r="134" spans="2:22" ht="24" customHeight="1">
      <c r="B134" s="2269" t="s">
        <v>1073</v>
      </c>
      <c r="C134" s="2269"/>
      <c r="D134" s="2269"/>
      <c r="E134" s="2269"/>
      <c r="F134" s="2269"/>
      <c r="G134" s="2269"/>
      <c r="H134" s="2269"/>
      <c r="I134" s="2269"/>
      <c r="J134" s="2269"/>
      <c r="K134" s="2269"/>
      <c r="L134" s="2269"/>
      <c r="M134" s="2269"/>
      <c r="N134" s="2269"/>
      <c r="O134" s="2269"/>
      <c r="P134" s="2269"/>
      <c r="Q134" s="2269"/>
      <c r="R134" s="2269"/>
      <c r="S134" s="2269"/>
      <c r="T134" s="2269"/>
      <c r="U134" s="2269"/>
      <c r="V134" s="441"/>
    </row>
    <row r="135" spans="2:22" ht="6.6" customHeight="1">
      <c r="B135" s="520"/>
      <c r="C135" s="521"/>
      <c r="D135" s="521"/>
      <c r="E135" s="521"/>
      <c r="F135" s="521"/>
      <c r="G135" s="521"/>
      <c r="H135" s="521"/>
      <c r="I135" s="521"/>
      <c r="J135" s="521"/>
      <c r="K135" s="521"/>
      <c r="L135" s="521"/>
      <c r="M135" s="521"/>
      <c r="N135" s="521"/>
      <c r="O135" s="479"/>
      <c r="P135" s="479"/>
      <c r="Q135" s="521"/>
      <c r="R135" s="521"/>
      <c r="S135" s="521"/>
      <c r="T135" s="521"/>
      <c r="U135" s="521"/>
      <c r="V135" s="441"/>
    </row>
    <row r="136" spans="2:22" ht="4.5" customHeight="1">
      <c r="B136" s="912"/>
      <c r="C136" s="913"/>
      <c r="D136" s="913"/>
      <c r="E136" s="913"/>
      <c r="F136" s="913"/>
      <c r="G136" s="913"/>
      <c r="H136" s="913"/>
      <c r="I136" s="913"/>
      <c r="J136" s="913"/>
      <c r="K136" s="913"/>
      <c r="L136" s="913"/>
      <c r="M136" s="913"/>
      <c r="N136" s="913"/>
      <c r="O136" s="914"/>
      <c r="P136" s="914"/>
      <c r="Q136" s="913"/>
      <c r="R136" s="913"/>
      <c r="S136" s="913"/>
      <c r="T136" s="913"/>
      <c r="U136" s="915"/>
      <c r="V136" s="441"/>
    </row>
    <row r="137" spans="2:22" ht="17.45" customHeight="1">
      <c r="B137" s="916"/>
      <c r="C137" s="2332" t="s">
        <v>1075</v>
      </c>
      <c r="D137" s="2332"/>
      <c r="E137" s="2332"/>
      <c r="F137" s="2332"/>
      <c r="G137" s="2332"/>
      <c r="H137" s="2332"/>
      <c r="I137" s="2332"/>
      <c r="J137" s="2332"/>
      <c r="K137" s="2332"/>
      <c r="L137" s="2332"/>
      <c r="M137" s="2332"/>
      <c r="N137" s="2332"/>
      <c r="O137" s="2332"/>
      <c r="P137" s="2332"/>
      <c r="Q137" s="2332"/>
      <c r="R137" s="2332"/>
      <c r="S137" s="2332"/>
      <c r="T137" s="2332"/>
      <c r="U137" s="511"/>
      <c r="V137" s="441"/>
    </row>
    <row r="138" spans="2:22" ht="17.45" customHeight="1">
      <c r="B138" s="916"/>
      <c r="C138" s="2332"/>
      <c r="D138" s="2332"/>
      <c r="E138" s="2332"/>
      <c r="F138" s="2332"/>
      <c r="G138" s="2332"/>
      <c r="H138" s="2332"/>
      <c r="I138" s="2332"/>
      <c r="J138" s="2332"/>
      <c r="K138" s="2332"/>
      <c r="L138" s="2332"/>
      <c r="M138" s="2332"/>
      <c r="N138" s="2332"/>
      <c r="O138" s="2332"/>
      <c r="P138" s="2332"/>
      <c r="Q138" s="2332"/>
      <c r="R138" s="2332"/>
      <c r="S138" s="2332"/>
      <c r="T138" s="2332"/>
      <c r="U138" s="511"/>
      <c r="V138" s="441"/>
    </row>
    <row r="139" spans="2:22" ht="36.75" customHeight="1">
      <c r="B139" s="916"/>
      <c r="C139" s="2332"/>
      <c r="D139" s="2332"/>
      <c r="E139" s="2332"/>
      <c r="F139" s="2332"/>
      <c r="G139" s="2332"/>
      <c r="H139" s="2332"/>
      <c r="I139" s="2332"/>
      <c r="J139" s="2332"/>
      <c r="K139" s="2332"/>
      <c r="L139" s="2332"/>
      <c r="M139" s="2332"/>
      <c r="N139" s="2332"/>
      <c r="O139" s="2332"/>
      <c r="P139" s="2332"/>
      <c r="Q139" s="2332"/>
      <c r="R139" s="2332"/>
      <c r="S139" s="2332"/>
      <c r="T139" s="2332"/>
      <c r="U139" s="511"/>
      <c r="V139" s="441"/>
    </row>
    <row r="140" spans="2:22" ht="22.15" customHeight="1">
      <c r="B140" s="916"/>
      <c r="C140" s="2332" t="s">
        <v>1074</v>
      </c>
      <c r="D140" s="2332"/>
      <c r="E140" s="2332"/>
      <c r="F140" s="2332"/>
      <c r="G140" s="2332"/>
      <c r="H140" s="2332"/>
      <c r="I140" s="2332"/>
      <c r="J140" s="2332"/>
      <c r="K140" s="2332"/>
      <c r="L140" s="2332"/>
      <c r="M140" s="2332"/>
      <c r="N140" s="2332"/>
      <c r="O140" s="2332"/>
      <c r="P140" s="2332"/>
      <c r="Q140" s="2332"/>
      <c r="R140" s="2332"/>
      <c r="S140" s="2332"/>
      <c r="T140" s="2332"/>
      <c r="U140" s="511"/>
      <c r="V140" s="441"/>
    </row>
    <row r="141" spans="2:22" ht="4.5" customHeight="1">
      <c r="B141" s="917"/>
      <c r="C141" s="918"/>
      <c r="D141" s="918"/>
      <c r="E141" s="918"/>
      <c r="F141" s="918"/>
      <c r="G141" s="918"/>
      <c r="H141" s="918"/>
      <c r="I141" s="918"/>
      <c r="J141" s="918"/>
      <c r="K141" s="918"/>
      <c r="L141" s="918"/>
      <c r="M141" s="918"/>
      <c r="N141" s="918"/>
      <c r="O141" s="919"/>
      <c r="P141" s="919"/>
      <c r="Q141" s="918"/>
      <c r="R141" s="918"/>
      <c r="S141" s="918"/>
      <c r="T141" s="918"/>
      <c r="U141" s="920"/>
      <c r="V141" s="441"/>
    </row>
    <row r="142" spans="2:22" ht="14.25" customHeight="1">
      <c r="B142" s="1977"/>
      <c r="C142" s="513"/>
      <c r="D142" s="513"/>
      <c r="E142" s="513"/>
      <c r="F142" s="513"/>
      <c r="G142" s="513"/>
      <c r="H142" s="513"/>
      <c r="I142" s="513"/>
      <c r="J142" s="513"/>
      <c r="K142" s="513"/>
      <c r="L142" s="513"/>
      <c r="M142" s="513"/>
      <c r="N142" s="513"/>
      <c r="O142" s="479"/>
      <c r="P142" s="479"/>
      <c r="Q142" s="513"/>
      <c r="R142" s="513"/>
      <c r="S142" s="513"/>
      <c r="T142" s="513"/>
      <c r="U142" s="513"/>
      <c r="V142" s="441"/>
    </row>
    <row r="143" spans="2:22" ht="26.25" customHeight="1">
      <c r="B143" s="2269" t="s">
        <v>1950</v>
      </c>
      <c r="C143" s="2269"/>
      <c r="D143" s="2269"/>
      <c r="E143" s="2269"/>
      <c r="F143" s="2269"/>
      <c r="G143" s="2269"/>
      <c r="H143" s="2269"/>
      <c r="I143" s="2269"/>
      <c r="J143" s="2269"/>
      <c r="K143" s="2269"/>
      <c r="L143" s="2269"/>
      <c r="M143" s="2269"/>
      <c r="N143" s="2269"/>
      <c r="O143" s="2269"/>
      <c r="P143" s="2269"/>
      <c r="Q143" s="2269"/>
      <c r="R143" s="2269"/>
      <c r="S143" s="2269"/>
      <c r="T143" s="2269"/>
      <c r="U143" s="2269"/>
      <c r="V143" s="441"/>
    </row>
    <row r="144" spans="2:22" ht="4.5" customHeight="1">
      <c r="B144" s="1850"/>
      <c r="C144" s="1850"/>
      <c r="D144" s="1850"/>
      <c r="E144" s="1850"/>
      <c r="F144" s="1850"/>
      <c r="G144" s="1850"/>
      <c r="H144" s="1850"/>
      <c r="I144" s="1850"/>
      <c r="J144" s="1850"/>
      <c r="K144" s="1850"/>
      <c r="L144" s="1850"/>
      <c r="M144" s="1850"/>
      <c r="N144" s="1850"/>
      <c r="O144" s="1850"/>
      <c r="P144" s="1850"/>
      <c r="Q144" s="1850"/>
      <c r="R144" s="1850"/>
      <c r="S144" s="1850"/>
      <c r="T144" s="1850"/>
      <c r="U144" s="1850"/>
      <c r="V144" s="441"/>
    </row>
    <row r="145" spans="1:22" ht="8.25" customHeight="1">
      <c r="B145" s="912"/>
      <c r="C145" s="913"/>
      <c r="D145" s="913"/>
      <c r="E145" s="913"/>
      <c r="F145" s="913"/>
      <c r="G145" s="913"/>
      <c r="H145" s="913"/>
      <c r="I145" s="913"/>
      <c r="J145" s="913"/>
      <c r="K145" s="913"/>
      <c r="L145" s="913"/>
      <c r="M145" s="913"/>
      <c r="N145" s="913"/>
      <c r="O145" s="914"/>
      <c r="P145" s="914"/>
      <c r="Q145" s="913"/>
      <c r="R145" s="913"/>
      <c r="S145" s="913"/>
      <c r="T145" s="913"/>
      <c r="U145" s="915"/>
      <c r="V145" s="441"/>
    </row>
    <row r="146" spans="1:22" ht="17.45" customHeight="1">
      <c r="B146" s="916"/>
      <c r="C146" s="2346" t="s">
        <v>1951</v>
      </c>
      <c r="D146" s="2346"/>
      <c r="E146" s="2346"/>
      <c r="F146" s="2346"/>
      <c r="G146" s="2346"/>
      <c r="H146" s="2346"/>
      <c r="I146" s="2346"/>
      <c r="J146" s="2346"/>
      <c r="K146" s="2346"/>
      <c r="L146" s="2346"/>
      <c r="M146" s="2346"/>
      <c r="N146" s="2346"/>
      <c r="O146" s="2346"/>
      <c r="P146" s="2346"/>
      <c r="Q146" s="2346"/>
      <c r="R146" s="2346"/>
      <c r="S146" s="2346"/>
      <c r="T146" s="2346"/>
      <c r="U146" s="511"/>
      <c r="V146" s="441"/>
    </row>
    <row r="147" spans="1:22" ht="34.5" customHeight="1">
      <c r="A147" s="420"/>
      <c r="B147" s="916"/>
      <c r="C147" s="2346"/>
      <c r="D147" s="2346"/>
      <c r="E147" s="2346"/>
      <c r="F147" s="2346"/>
      <c r="G147" s="2346"/>
      <c r="H147" s="2346"/>
      <c r="I147" s="2346"/>
      <c r="J147" s="2346"/>
      <c r="K147" s="2346"/>
      <c r="L147" s="2346"/>
      <c r="M147" s="2346"/>
      <c r="N147" s="2346"/>
      <c r="O147" s="2346"/>
      <c r="P147" s="2346"/>
      <c r="Q147" s="2346"/>
      <c r="R147" s="2346"/>
      <c r="S147" s="2346"/>
      <c r="T147" s="2346"/>
      <c r="U147" s="511"/>
      <c r="V147" s="420"/>
    </row>
    <row r="148" spans="1:22" ht="5.25" customHeight="1">
      <c r="B148" s="2333"/>
      <c r="C148" s="2334"/>
      <c r="D148" s="2334"/>
      <c r="E148" s="2334"/>
      <c r="F148" s="2334"/>
      <c r="G148" s="2334"/>
      <c r="H148" s="2334"/>
      <c r="I148" s="2334"/>
      <c r="J148" s="2334"/>
      <c r="K148" s="2334"/>
      <c r="L148" s="1978"/>
      <c r="M148" s="1978"/>
      <c r="N148" s="1978"/>
      <c r="O148" s="1978"/>
      <c r="P148" s="1978"/>
      <c r="Q148" s="1978"/>
      <c r="R148" s="1978"/>
      <c r="S148" s="1978"/>
      <c r="T148" s="1978"/>
      <c r="U148" s="1979"/>
    </row>
    <row r="149" spans="1:22" ht="23.25" customHeight="1">
      <c r="A149" s="420"/>
      <c r="B149" s="1854"/>
      <c r="C149" s="1854"/>
      <c r="D149" s="1854"/>
      <c r="E149" s="1854"/>
      <c r="F149" s="1854"/>
      <c r="G149" s="1854"/>
      <c r="H149" s="1854"/>
      <c r="I149" s="1854"/>
      <c r="J149" s="1854"/>
      <c r="K149" s="1854"/>
      <c r="L149" s="1854"/>
      <c r="M149" s="1854"/>
      <c r="N149" s="1854"/>
      <c r="O149" s="1854"/>
      <c r="P149" s="1854"/>
      <c r="Q149" s="1854"/>
      <c r="R149" s="1854"/>
      <c r="S149" s="1854"/>
      <c r="T149" s="1854"/>
      <c r="U149" s="1854"/>
      <c r="V149" s="420"/>
    </row>
    <row r="150" spans="1:22" ht="19.149999999999999" customHeight="1">
      <c r="I150" s="522"/>
      <c r="J150" s="522"/>
      <c r="K150" s="522"/>
      <c r="L150" s="522"/>
      <c r="M150" s="522"/>
      <c r="N150" s="526"/>
      <c r="O150" s="527"/>
      <c r="P150" s="528"/>
      <c r="Q150" s="529"/>
      <c r="R150" s="522"/>
      <c r="S150" s="522"/>
      <c r="T150" s="522"/>
      <c r="U150" s="522"/>
    </row>
    <row r="151" spans="1:22" ht="15.75">
      <c r="A151" s="420"/>
      <c r="B151" s="420"/>
      <c r="C151" s="420"/>
      <c r="D151" s="420"/>
      <c r="E151" s="420"/>
      <c r="F151" s="420"/>
      <c r="G151" s="420"/>
      <c r="H151" s="420"/>
      <c r="I151" s="420"/>
      <c r="J151" s="420"/>
      <c r="K151" s="420"/>
      <c r="L151" s="420"/>
      <c r="M151" s="476" t="s">
        <v>990</v>
      </c>
      <c r="N151" s="420"/>
      <c r="O151" s="420"/>
      <c r="P151" s="420"/>
      <c r="Q151" s="420"/>
      <c r="R151" s="477" t="s">
        <v>692</v>
      </c>
      <c r="S151" s="478" t="str">
        <f>$E$29</f>
        <v>ILF5_90FCPRS_B114CAGR43006</v>
      </c>
      <c r="T151" s="420"/>
      <c r="U151" s="420"/>
      <c r="V151" s="420"/>
    </row>
    <row r="152" spans="1:22">
      <c r="A152" s="420"/>
      <c r="B152" s="420"/>
      <c r="C152" s="420"/>
      <c r="D152" s="420"/>
      <c r="E152" s="420"/>
      <c r="F152" s="420"/>
      <c r="G152" s="420"/>
      <c r="H152" s="420"/>
      <c r="I152" s="420"/>
      <c r="J152" s="420"/>
      <c r="K152" s="420"/>
      <c r="L152" s="420"/>
      <c r="M152" s="420"/>
      <c r="N152" s="420"/>
      <c r="O152" s="420"/>
      <c r="P152" s="420"/>
      <c r="Q152" s="420"/>
      <c r="R152" s="420"/>
      <c r="S152" s="420"/>
      <c r="T152" s="420"/>
      <c r="U152" s="420"/>
      <c r="V152" s="420"/>
    </row>
    <row r="154" spans="1:22">
      <c r="A154" s="420"/>
      <c r="B154" s="420"/>
      <c r="C154" s="420"/>
      <c r="D154" s="420"/>
      <c r="E154" s="420"/>
      <c r="F154" s="420"/>
      <c r="G154" s="420"/>
      <c r="H154" s="436" t="s">
        <v>690</v>
      </c>
      <c r="I154" s="420"/>
      <c r="K154" s="420"/>
      <c r="L154" s="437" t="str">
        <f>$B$11</f>
        <v>INMOBILIARIA SERVIGESTION</v>
      </c>
      <c r="M154" s="420"/>
      <c r="N154" s="420"/>
      <c r="O154" s="420"/>
      <c r="P154" s="420"/>
      <c r="Q154" s="420"/>
      <c r="R154" s="420"/>
      <c r="S154" s="420"/>
      <c r="T154" s="420"/>
      <c r="U154" s="420"/>
      <c r="V154" s="420"/>
    </row>
    <row r="155" spans="1:22">
      <c r="A155" s="420"/>
      <c r="B155" s="420"/>
      <c r="C155" s="420"/>
      <c r="D155" s="420"/>
      <c r="E155" s="420"/>
      <c r="F155" s="420"/>
      <c r="G155" s="420"/>
      <c r="H155" s="420"/>
      <c r="I155" s="420"/>
      <c r="J155" s="420"/>
      <c r="K155" s="420"/>
      <c r="L155" s="420"/>
      <c r="M155" s="420"/>
      <c r="N155" s="420"/>
      <c r="O155" s="420"/>
      <c r="P155" s="420"/>
      <c r="Q155" s="420"/>
      <c r="R155" s="420"/>
      <c r="S155" s="420"/>
      <c r="T155" s="420"/>
      <c r="U155" s="420"/>
      <c r="V155" s="420"/>
    </row>
    <row r="156" spans="1:22" ht="34.5">
      <c r="A156" s="420"/>
      <c r="B156" s="2268" t="s">
        <v>461</v>
      </c>
      <c r="C156" s="2268"/>
      <c r="D156" s="2268"/>
      <c r="E156" s="2268"/>
      <c r="F156" s="2268"/>
      <c r="G156" s="2268"/>
      <c r="H156" s="2268"/>
      <c r="I156" s="2268"/>
      <c r="J156" s="2268"/>
      <c r="K156" s="2268"/>
      <c r="L156" s="2268"/>
      <c r="M156" s="2268"/>
      <c r="N156" s="2268"/>
      <c r="O156" s="2268"/>
      <c r="P156" s="2268"/>
      <c r="Q156" s="2268"/>
      <c r="R156" s="2268"/>
      <c r="S156" s="2268"/>
      <c r="T156" s="2268"/>
      <c r="U156" s="2268"/>
      <c r="V156" s="420"/>
    </row>
    <row r="157" spans="1:22" ht="22.9" customHeight="1">
      <c r="A157" s="420"/>
      <c r="B157" s="2269" t="s">
        <v>830</v>
      </c>
      <c r="C157" s="2269"/>
      <c r="D157" s="2269"/>
      <c r="E157" s="2269"/>
      <c r="F157" s="2269"/>
      <c r="G157" s="2269"/>
      <c r="H157" s="2269"/>
      <c r="I157" s="2269"/>
      <c r="J157" s="2269"/>
      <c r="K157" s="2269"/>
      <c r="L157" s="2269"/>
      <c r="M157" s="2269"/>
      <c r="N157" s="2269"/>
      <c r="O157" s="2269"/>
      <c r="P157" s="2269"/>
      <c r="Q157" s="2269"/>
      <c r="R157" s="2269"/>
      <c r="S157" s="2269"/>
      <c r="T157" s="2269"/>
      <c r="U157" s="2269"/>
      <c r="V157" s="420"/>
    </row>
    <row r="158" spans="1:22" ht="16.149999999999999" customHeight="1">
      <c r="A158" s="420"/>
      <c r="B158" s="757"/>
      <c r="C158" s="757"/>
      <c r="D158" s="757"/>
      <c r="E158" s="757"/>
      <c r="F158" s="757"/>
      <c r="G158" s="757"/>
      <c r="H158" s="757"/>
      <c r="I158" s="757"/>
      <c r="J158" s="757"/>
      <c r="K158" s="757"/>
      <c r="L158" s="757"/>
      <c r="M158" s="757"/>
      <c r="N158" s="757"/>
      <c r="O158" s="757"/>
      <c r="P158" s="757"/>
      <c r="Q158" s="757"/>
      <c r="R158" s="757"/>
      <c r="S158" s="757"/>
      <c r="T158" s="757"/>
      <c r="U158" s="757"/>
      <c r="V158" s="420"/>
    </row>
    <row r="159" spans="1:22" s="437" customFormat="1" ht="39.75" customHeight="1">
      <c r="A159" s="785"/>
      <c r="B159" s="2251" t="s">
        <v>789</v>
      </c>
      <c r="C159" s="2251"/>
      <c r="D159" s="2251"/>
      <c r="E159" s="2251"/>
      <c r="F159" s="2251"/>
      <c r="G159" s="2251"/>
      <c r="H159" s="2251"/>
      <c r="I159" s="2251"/>
      <c r="J159" s="2251"/>
      <c r="K159" s="2251"/>
      <c r="L159" s="2251"/>
      <c r="M159" s="2251"/>
      <c r="N159" s="2251"/>
      <c r="O159" s="2251"/>
      <c r="P159" s="2251"/>
      <c r="Q159" s="2251"/>
      <c r="R159" s="2251"/>
      <c r="S159" s="2251"/>
      <c r="T159" s="2251"/>
      <c r="U159" s="2251"/>
      <c r="V159" s="785"/>
    </row>
    <row r="160" spans="1:22" ht="22.15" customHeight="1">
      <c r="A160" s="441"/>
      <c r="B160" s="2348" t="s">
        <v>791</v>
      </c>
      <c r="C160" s="2349"/>
      <c r="D160" s="2349"/>
      <c r="E160" s="2349"/>
      <c r="F160" s="2349"/>
      <c r="G160" s="2349"/>
      <c r="H160" s="2349"/>
      <c r="I160" s="2349"/>
      <c r="J160" s="2349"/>
      <c r="K160" s="2349"/>
      <c r="L160" s="2349"/>
      <c r="M160" s="2349"/>
      <c r="N160" s="2349"/>
      <c r="O160" s="2349"/>
      <c r="P160" s="2349"/>
      <c r="Q160" s="2349"/>
      <c r="R160" s="2349"/>
      <c r="S160" s="2349"/>
      <c r="T160" s="2349"/>
      <c r="U160" s="2350"/>
    </row>
    <row r="161" spans="1:22" ht="48" customHeight="1">
      <c r="B161" s="2329" t="s">
        <v>1941</v>
      </c>
      <c r="C161" s="2330"/>
      <c r="D161" s="2330"/>
      <c r="E161" s="2330"/>
      <c r="F161" s="2330"/>
      <c r="G161" s="2330"/>
      <c r="H161" s="2330"/>
      <c r="I161" s="2330"/>
      <c r="J161" s="2330"/>
      <c r="K161" s="2330"/>
      <c r="L161" s="2330"/>
      <c r="M161" s="2330"/>
      <c r="N161" s="2330"/>
      <c r="O161" s="2330"/>
      <c r="P161" s="2330"/>
      <c r="Q161" s="2330"/>
      <c r="R161" s="2330"/>
      <c r="S161" s="2330"/>
      <c r="T161" s="2330"/>
      <c r="U161" s="2331"/>
      <c r="V161" s="441"/>
    </row>
    <row r="162" spans="1:22">
      <c r="B162" s="1889"/>
      <c r="C162" s="1890"/>
      <c r="D162" s="1890"/>
      <c r="E162" s="1890"/>
      <c r="F162" s="1890"/>
      <c r="G162" s="1890"/>
      <c r="H162" s="1890"/>
      <c r="I162" s="1890"/>
      <c r="J162" s="1890"/>
      <c r="K162" s="1890"/>
      <c r="L162" s="1890"/>
      <c r="M162" s="1890"/>
      <c r="N162" s="1890"/>
      <c r="O162" s="1890"/>
      <c r="P162" s="1890"/>
      <c r="Q162" s="1890"/>
      <c r="R162" s="1890"/>
      <c r="S162" s="1890"/>
      <c r="T162" s="1890"/>
      <c r="U162" s="1891"/>
      <c r="V162" s="441"/>
    </row>
    <row r="163" spans="1:22" ht="23.25">
      <c r="A163" s="441"/>
      <c r="B163" s="1892"/>
      <c r="C163" s="1893"/>
      <c r="D163" s="1974"/>
      <c r="E163" s="1895" t="s">
        <v>469</v>
      </c>
      <c r="F163" s="1896" t="s">
        <v>470</v>
      </c>
      <c r="G163" s="1897"/>
      <c r="H163" s="1897"/>
      <c r="I163" s="1897"/>
      <c r="J163" s="1898"/>
      <c r="K163" s="1974"/>
      <c r="L163" s="1974"/>
      <c r="M163" s="1895" t="s">
        <v>471</v>
      </c>
      <c r="N163" s="1899">
        <v>0</v>
      </c>
      <c r="O163" s="1898"/>
      <c r="P163" s="1867"/>
      <c r="Q163" s="1900" t="s">
        <v>472</v>
      </c>
      <c r="R163" s="1901" t="s">
        <v>1940</v>
      </c>
      <c r="S163" s="1898"/>
      <c r="T163" s="1898"/>
      <c r="U163" s="1902"/>
    </row>
    <row r="164" spans="1:22" ht="23.25">
      <c r="A164" s="441"/>
      <c r="B164" s="1892"/>
      <c r="C164" s="1893"/>
      <c r="D164" s="1974"/>
      <c r="E164" s="1895"/>
      <c r="F164" s="1896"/>
      <c r="G164" s="1897"/>
      <c r="H164" s="1897"/>
      <c r="I164" s="1897"/>
      <c r="J164" s="1898"/>
      <c r="K164" s="1974"/>
      <c r="L164" s="1974"/>
      <c r="M164" s="1895"/>
      <c r="N164" s="1899"/>
      <c r="O164" s="1898"/>
      <c r="P164" s="1867"/>
      <c r="Q164" s="1900"/>
      <c r="R164" s="1975" t="s">
        <v>1912</v>
      </c>
      <c r="S164" s="1898"/>
      <c r="T164" s="1898"/>
      <c r="U164" s="1902"/>
    </row>
    <row r="165" spans="1:22" ht="20.25">
      <c r="A165" s="441"/>
      <c r="B165" s="1903"/>
      <c r="C165" s="1904"/>
      <c r="D165" s="1905"/>
      <c r="E165" s="1906"/>
      <c r="F165" s="1906"/>
      <c r="G165" s="1906"/>
      <c r="H165" s="1906"/>
      <c r="I165" s="1906"/>
      <c r="J165" s="1907"/>
      <c r="K165" s="1908"/>
      <c r="L165" s="1909"/>
      <c r="M165" s="1909"/>
      <c r="N165" s="1910"/>
      <c r="O165" s="1907"/>
      <c r="P165" s="1911"/>
      <c r="Q165" s="1912"/>
      <c r="R165" s="1913"/>
      <c r="S165" s="1907"/>
      <c r="T165" s="1907"/>
      <c r="U165" s="1914"/>
    </row>
    <row r="166" spans="1:22">
      <c r="B166" s="441"/>
      <c r="C166" s="441"/>
      <c r="D166" s="441"/>
      <c r="E166" s="441"/>
      <c r="F166" s="441"/>
      <c r="G166" s="441"/>
      <c r="H166" s="441"/>
      <c r="I166" s="441"/>
      <c r="J166" s="441"/>
      <c r="K166" s="441"/>
      <c r="L166" s="441"/>
      <c r="M166" s="441"/>
      <c r="N166" s="441"/>
      <c r="O166" s="441"/>
      <c r="P166" s="441"/>
      <c r="Q166" s="441"/>
      <c r="R166" s="441"/>
      <c r="S166" s="441"/>
      <c r="T166" s="441"/>
    </row>
    <row r="167" spans="1:22">
      <c r="B167" s="441"/>
      <c r="C167" s="441"/>
      <c r="D167" s="441"/>
      <c r="E167" s="441"/>
      <c r="F167" s="441"/>
      <c r="G167" s="441"/>
      <c r="H167" s="441"/>
      <c r="I167" s="441"/>
      <c r="J167" s="441"/>
      <c r="K167" s="441"/>
      <c r="L167" s="441"/>
      <c r="M167" s="441"/>
      <c r="N167" s="441"/>
      <c r="O167" s="441"/>
      <c r="P167" s="441"/>
      <c r="Q167" s="441"/>
      <c r="R167" s="441"/>
      <c r="S167" s="441"/>
      <c r="T167" s="441"/>
    </row>
    <row r="168" spans="1:22" s="521" customFormat="1" ht="25.5" customHeight="1">
      <c r="B168" s="2251" t="s">
        <v>977</v>
      </c>
      <c r="C168" s="2251"/>
      <c r="D168" s="2251"/>
      <c r="E168" s="2251"/>
      <c r="F168" s="2251"/>
      <c r="G168" s="2251"/>
      <c r="H168" s="2251"/>
      <c r="I168" s="2251"/>
      <c r="J168" s="2251"/>
      <c r="K168" s="2251"/>
      <c r="L168" s="2251"/>
      <c r="M168" s="2251"/>
      <c r="N168" s="2251"/>
      <c r="O168" s="2251"/>
      <c r="P168" s="2251"/>
      <c r="Q168" s="2251"/>
      <c r="R168" s="2251"/>
      <c r="S168" s="2251"/>
      <c r="T168" s="2251"/>
      <c r="U168" s="2251"/>
    </row>
    <row r="169" spans="1:22" s="521" customFormat="1" ht="8.4499999999999993" customHeight="1">
      <c r="B169" s="1848"/>
      <c r="C169" s="1848"/>
      <c r="D169" s="1848"/>
      <c r="E169" s="1848"/>
      <c r="F169" s="1848"/>
      <c r="G169" s="1848"/>
      <c r="H169" s="1848"/>
      <c r="I169" s="1848"/>
      <c r="J169" s="1848"/>
      <c r="K169" s="1848"/>
      <c r="L169" s="1848"/>
      <c r="M169" s="1848"/>
      <c r="N169" s="1848"/>
      <c r="O169" s="1848"/>
      <c r="P169" s="1848"/>
      <c r="Q169" s="1848"/>
      <c r="R169" s="1848"/>
      <c r="S169" s="1848"/>
      <c r="T169" s="1848"/>
      <c r="U169" s="1848"/>
    </row>
    <row r="170" spans="1:22" ht="22.15" customHeight="1">
      <c r="A170" s="441"/>
      <c r="B170" s="2304" t="s">
        <v>1943</v>
      </c>
      <c r="C170" s="2305"/>
      <c r="D170" s="2305"/>
      <c r="E170" s="2305"/>
      <c r="F170" s="2305"/>
      <c r="G170" s="2305"/>
      <c r="H170" s="2305"/>
      <c r="I170" s="2305"/>
      <c r="J170" s="2305"/>
      <c r="K170" s="2305"/>
      <c r="L170" s="2305"/>
      <c r="M170" s="2305"/>
      <c r="N170" s="2305"/>
      <c r="O170" s="2305"/>
      <c r="P170" s="2305"/>
      <c r="Q170" s="2305"/>
      <c r="R170" s="2305"/>
      <c r="S170" s="2305"/>
      <c r="T170" s="2305"/>
      <c r="U170" s="2386"/>
    </row>
    <row r="171" spans="1:22" ht="35.25" customHeight="1">
      <c r="B171" s="1851" t="s">
        <v>831</v>
      </c>
      <c r="C171" s="441"/>
      <c r="D171" s="441"/>
      <c r="E171" s="531" t="s">
        <v>474</v>
      </c>
      <c r="F171" s="545" t="s">
        <v>832</v>
      </c>
      <c r="G171" s="546"/>
      <c r="H171" s="441"/>
      <c r="I171" s="545"/>
      <c r="J171" s="545"/>
      <c r="K171" s="547"/>
      <c r="L171" s="548"/>
      <c r="M171" s="531" t="s">
        <v>476</v>
      </c>
      <c r="N171" s="549">
        <v>0.15</v>
      </c>
      <c r="O171" s="441"/>
      <c r="Q171" s="550"/>
      <c r="R171" s="551"/>
      <c r="S171" s="1852"/>
      <c r="T171" s="1852"/>
      <c r="U171" s="1853"/>
      <c r="V171" s="441"/>
    </row>
    <row r="172" spans="1:22" ht="20.25">
      <c r="B172" s="466"/>
      <c r="C172" s="441"/>
      <c r="D172" s="441"/>
      <c r="E172" s="531" t="s">
        <v>833</v>
      </c>
      <c r="F172" s="795" t="s">
        <v>861</v>
      </c>
      <c r="G172" s="441"/>
      <c r="H172" s="441"/>
      <c r="I172" s="441"/>
      <c r="J172" s="441"/>
      <c r="K172" s="441"/>
      <c r="L172" s="441"/>
      <c r="M172" s="531" t="s">
        <v>833</v>
      </c>
      <c r="N172" s="795" t="s">
        <v>861</v>
      </c>
      <c r="O172" s="441"/>
      <c r="P172" s="441"/>
      <c r="Q172" s="441"/>
      <c r="R172" s="441"/>
      <c r="S172" s="441"/>
      <c r="T172" s="441"/>
      <c r="U172" s="451"/>
      <c r="V172" s="441"/>
    </row>
    <row r="173" spans="1:22" ht="10.5" customHeight="1">
      <c r="A173" s="441"/>
      <c r="B173" s="466"/>
      <c r="S173" s="441"/>
      <c r="T173" s="441"/>
      <c r="U173" s="451"/>
    </row>
    <row r="174" spans="1:22" ht="23.25" customHeight="1">
      <c r="A174" s="441"/>
      <c r="B174" s="2345" t="s">
        <v>834</v>
      </c>
      <c r="C174" s="2346"/>
      <c r="D174" s="2346"/>
      <c r="E174" s="2346"/>
      <c r="F174" s="2346"/>
      <c r="G174" s="2346"/>
      <c r="H174" s="2346"/>
      <c r="I174" s="2346"/>
      <c r="J174" s="2346"/>
      <c r="K174" s="2346"/>
      <c r="L174" s="2346"/>
      <c r="M174" s="2346"/>
      <c r="N174" s="2346"/>
      <c r="O174" s="2346"/>
      <c r="P174" s="2346"/>
      <c r="Q174" s="2346"/>
      <c r="R174" s="2346"/>
      <c r="S174" s="2346"/>
      <c r="T174" s="2346"/>
      <c r="U174" s="2347"/>
    </row>
    <row r="175" spans="1:22" ht="23.25" customHeight="1">
      <c r="A175" s="441"/>
      <c r="B175" s="2345"/>
      <c r="C175" s="2346"/>
      <c r="D175" s="2346"/>
      <c r="E175" s="2346"/>
      <c r="F175" s="2346"/>
      <c r="G175" s="2346"/>
      <c r="H175" s="2346"/>
      <c r="I175" s="2346"/>
      <c r="J175" s="2346"/>
      <c r="K175" s="2346"/>
      <c r="L175" s="2346"/>
      <c r="M175" s="2346"/>
      <c r="N175" s="2346"/>
      <c r="O175" s="2346"/>
      <c r="P175" s="2346"/>
      <c r="Q175" s="2346"/>
      <c r="R175" s="2346"/>
      <c r="S175" s="2346"/>
      <c r="T175" s="2346"/>
      <c r="U175" s="2347"/>
    </row>
    <row r="176" spans="1:22" ht="27" customHeight="1">
      <c r="A176" s="441"/>
      <c r="B176" s="2345" t="s">
        <v>477</v>
      </c>
      <c r="C176" s="2346"/>
      <c r="D176" s="2346"/>
      <c r="E176" s="2346"/>
      <c r="F176" s="2346"/>
      <c r="G176" s="2346"/>
      <c r="H176" s="2346"/>
      <c r="I176" s="2346"/>
      <c r="J176" s="2346"/>
      <c r="K176" s="2346"/>
      <c r="L176" s="2346"/>
      <c r="M176" s="2346"/>
      <c r="N176" s="2346"/>
      <c r="O176" s="2346"/>
      <c r="P176" s="2346"/>
      <c r="Q176" s="2346"/>
      <c r="R176" s="2346"/>
      <c r="S176" s="2346"/>
      <c r="T176" s="2346"/>
      <c r="U176" s="2347"/>
    </row>
    <row r="177" spans="1:22" ht="9.75" customHeight="1">
      <c r="A177" s="441"/>
      <c r="B177" s="555"/>
      <c r="C177" s="556"/>
      <c r="D177" s="556"/>
      <c r="E177" s="556"/>
      <c r="F177" s="556"/>
      <c r="G177" s="556"/>
      <c r="H177" s="556"/>
      <c r="I177" s="556"/>
      <c r="J177" s="556"/>
      <c r="K177" s="556"/>
      <c r="L177" s="556"/>
      <c r="M177" s="556"/>
      <c r="N177" s="556"/>
      <c r="O177" s="556"/>
      <c r="P177" s="556"/>
      <c r="Q177" s="556"/>
      <c r="R177" s="556"/>
      <c r="S177" s="556"/>
      <c r="T177" s="556"/>
      <c r="U177" s="557"/>
    </row>
    <row r="178" spans="1:22" ht="21" customHeight="1">
      <c r="A178" s="441"/>
      <c r="B178" s="1852"/>
      <c r="C178" s="1852"/>
      <c r="D178" s="1852"/>
      <c r="E178" s="1852"/>
      <c r="F178" s="1852"/>
      <c r="G178" s="1852"/>
      <c r="H178" s="1852"/>
      <c r="I178" s="1852"/>
      <c r="J178" s="1852"/>
      <c r="K178" s="1852"/>
      <c r="L178" s="1852"/>
      <c r="M178" s="1852"/>
      <c r="N178" s="1852"/>
      <c r="O178" s="1852"/>
      <c r="P178" s="1852"/>
      <c r="Q178" s="1852"/>
      <c r="R178" s="1852"/>
      <c r="S178" s="1852"/>
      <c r="T178" s="1852"/>
      <c r="U178" s="1852"/>
    </row>
    <row r="179" spans="1:22" ht="19.149999999999999" customHeight="1">
      <c r="B179" s="2342" t="s">
        <v>1915</v>
      </c>
      <c r="C179" s="2343"/>
      <c r="D179" s="2343"/>
      <c r="E179" s="2343"/>
      <c r="F179" s="2343"/>
      <c r="G179" s="2343"/>
      <c r="H179" s="2343"/>
      <c r="I179" s="2343"/>
      <c r="J179" s="2343"/>
      <c r="K179" s="2343"/>
      <c r="L179" s="2343"/>
      <c r="M179" s="2343"/>
      <c r="N179" s="2343"/>
      <c r="O179" s="2343"/>
      <c r="P179" s="2343"/>
      <c r="Q179" s="2343"/>
      <c r="R179" s="2343"/>
      <c r="S179" s="2343"/>
      <c r="T179" s="2343"/>
      <c r="U179" s="2344"/>
    </row>
    <row r="180" spans="1:22" ht="24.75" customHeight="1">
      <c r="B180" s="2345" t="s">
        <v>835</v>
      </c>
      <c r="C180" s="2346"/>
      <c r="D180" s="2346"/>
      <c r="E180" s="2346"/>
      <c r="F180" s="2346"/>
      <c r="G180" s="2346"/>
      <c r="H180" s="2346"/>
      <c r="I180" s="2346"/>
      <c r="J180" s="2346"/>
      <c r="K180" s="2346"/>
      <c r="L180" s="2346"/>
      <c r="M180" s="2346"/>
      <c r="N180" s="2346"/>
      <c r="O180" s="2346"/>
      <c r="P180" s="2346"/>
      <c r="Q180" s="2346"/>
      <c r="R180" s="2346"/>
      <c r="S180" s="2346"/>
      <c r="T180" s="2346"/>
      <c r="U180" s="2347"/>
      <c r="V180" s="441"/>
    </row>
    <row r="181" spans="1:22">
      <c r="B181" s="466"/>
      <c r="C181" s="441"/>
      <c r="D181" s="441"/>
      <c r="E181" s="441"/>
      <c r="F181" s="441"/>
      <c r="G181" s="441"/>
      <c r="H181" s="441"/>
      <c r="I181" s="441"/>
      <c r="J181" s="441"/>
      <c r="K181" s="441"/>
      <c r="L181" s="441"/>
      <c r="M181" s="441"/>
      <c r="N181" s="441"/>
      <c r="O181" s="441"/>
      <c r="P181" s="441"/>
      <c r="Q181" s="441"/>
      <c r="R181" s="441"/>
      <c r="S181" s="441"/>
      <c r="T181" s="441"/>
      <c r="U181" s="451"/>
      <c r="V181" s="441"/>
    </row>
    <row r="182" spans="1:22" ht="23.25">
      <c r="B182" s="466"/>
      <c r="C182" s="441"/>
      <c r="D182" s="552"/>
      <c r="E182" s="531" t="s">
        <v>478</v>
      </c>
      <c r="F182" s="532" t="s">
        <v>836</v>
      </c>
      <c r="G182" s="441"/>
      <c r="H182" s="531" t="s">
        <v>837</v>
      </c>
      <c r="I182" s="795">
        <v>0.65</v>
      </c>
      <c r="J182" s="441"/>
      <c r="K182" s="441"/>
      <c r="L182" s="441"/>
      <c r="M182" s="441"/>
      <c r="N182" s="441"/>
      <c r="O182" s="441"/>
      <c r="Q182" s="533"/>
      <c r="R182" s="532"/>
      <c r="S182" s="441"/>
      <c r="T182" s="441"/>
      <c r="U182" s="451"/>
      <c r="V182" s="441"/>
    </row>
    <row r="183" spans="1:22">
      <c r="B183" s="466"/>
      <c r="C183" s="441"/>
      <c r="D183" s="441"/>
      <c r="E183" s="441"/>
      <c r="F183" s="441"/>
      <c r="G183" s="441"/>
      <c r="H183" s="441"/>
      <c r="I183" s="441"/>
      <c r="J183" s="441"/>
      <c r="K183" s="441"/>
      <c r="L183" s="441"/>
      <c r="M183" s="441"/>
      <c r="N183" s="441"/>
      <c r="O183" s="441"/>
      <c r="P183" s="441"/>
      <c r="Q183" s="441"/>
      <c r="R183" s="441"/>
      <c r="S183" s="441"/>
      <c r="T183" s="441"/>
      <c r="U183" s="451"/>
      <c r="V183" s="441"/>
    </row>
    <row r="184" spans="1:22" ht="18">
      <c r="B184" s="558"/>
      <c r="C184" s="543"/>
      <c r="D184" s="488"/>
      <c r="E184" s="488"/>
      <c r="F184" s="488"/>
      <c r="G184" s="537"/>
      <c r="H184" s="537"/>
      <c r="I184" s="537"/>
      <c r="J184" s="537"/>
      <c r="K184" s="537"/>
      <c r="L184" s="537"/>
      <c r="M184" s="537"/>
      <c r="N184" s="539"/>
      <c r="O184" s="538"/>
      <c r="P184" s="488"/>
      <c r="Q184" s="488"/>
      <c r="R184" s="559"/>
      <c r="S184" s="538"/>
      <c r="T184" s="538"/>
      <c r="U184" s="560"/>
      <c r="V184" s="441"/>
    </row>
    <row r="185" spans="1:22" ht="23.25">
      <c r="A185" s="441"/>
      <c r="B185" s="1852"/>
      <c r="C185" s="1852"/>
      <c r="D185" s="1852"/>
      <c r="E185" s="1852"/>
      <c r="F185" s="1852"/>
      <c r="G185" s="1852"/>
      <c r="H185" s="1852"/>
      <c r="I185" s="1852"/>
      <c r="J185" s="1852"/>
      <c r="K185" s="1852"/>
      <c r="L185" s="1852"/>
      <c r="M185" s="1852"/>
      <c r="N185" s="1852"/>
      <c r="O185" s="1852"/>
      <c r="P185" s="1852"/>
      <c r="Q185" s="1852"/>
      <c r="R185" s="1852"/>
      <c r="S185" s="1852"/>
      <c r="T185" s="1852"/>
      <c r="U185" s="1852"/>
    </row>
    <row r="186" spans="1:22" ht="23.25" customHeight="1">
      <c r="B186" s="2304" t="s">
        <v>1942</v>
      </c>
      <c r="C186" s="2305"/>
      <c r="D186" s="2305"/>
      <c r="E186" s="2305"/>
      <c r="F186" s="2305"/>
      <c r="G186" s="2305"/>
      <c r="H186" s="2305"/>
      <c r="I186" s="2305"/>
      <c r="J186" s="2305"/>
      <c r="K186" s="2305"/>
      <c r="L186" s="2305"/>
      <c r="M186" s="2305"/>
      <c r="N186" s="2305"/>
      <c r="O186" s="2305"/>
      <c r="P186" s="2305"/>
      <c r="Q186" s="2305"/>
      <c r="R186" s="2305"/>
      <c r="S186" s="2305"/>
      <c r="T186" s="2305"/>
      <c r="U186" s="2386"/>
      <c r="V186" s="441"/>
    </row>
    <row r="187" spans="1:22" ht="23.25" customHeight="1">
      <c r="B187" s="2345" t="s">
        <v>838</v>
      </c>
      <c r="C187" s="2346"/>
      <c r="D187" s="2346"/>
      <c r="E187" s="2346"/>
      <c r="F187" s="2346"/>
      <c r="G187" s="2346"/>
      <c r="H187" s="2346"/>
      <c r="I187" s="2346"/>
      <c r="J187" s="2346"/>
      <c r="K187" s="2346"/>
      <c r="L187" s="2346"/>
      <c r="M187" s="2346"/>
      <c r="N187" s="2346"/>
      <c r="O187" s="2346"/>
      <c r="P187" s="2346"/>
      <c r="Q187" s="2346"/>
      <c r="R187" s="2346"/>
      <c r="S187" s="2346"/>
      <c r="T187" s="2346"/>
      <c r="U187" s="2347"/>
      <c r="V187" s="441"/>
    </row>
    <row r="188" spans="1:22">
      <c r="B188" s="466"/>
      <c r="C188" s="441"/>
      <c r="D188" s="441"/>
      <c r="E188" s="441"/>
      <c r="F188" s="441"/>
      <c r="G188" s="441"/>
      <c r="H188" s="441"/>
      <c r="I188" s="441"/>
      <c r="J188" s="441"/>
      <c r="K188" s="441"/>
      <c r="L188" s="441"/>
      <c r="M188" s="441"/>
      <c r="N188" s="441"/>
      <c r="O188" s="441"/>
      <c r="P188" s="441"/>
      <c r="Q188" s="441"/>
      <c r="R188" s="441"/>
      <c r="S188" s="441"/>
      <c r="T188" s="441"/>
      <c r="U188" s="451"/>
    </row>
    <row r="189" spans="1:22" ht="23.25">
      <c r="B189" s="466"/>
      <c r="C189" s="561"/>
      <c r="D189" s="552"/>
      <c r="E189" s="562" t="s">
        <v>482</v>
      </c>
      <c r="F189" s="546" t="s">
        <v>884</v>
      </c>
      <c r="G189" s="441"/>
      <c r="H189" s="531" t="s">
        <v>837</v>
      </c>
      <c r="I189" s="795">
        <v>0.65</v>
      </c>
      <c r="J189" s="552"/>
      <c r="K189" s="552"/>
      <c r="L189" s="564"/>
      <c r="M189" s="553"/>
      <c r="N189" s="548"/>
      <c r="O189" s="554"/>
      <c r="Q189" s="550"/>
      <c r="R189" s="551"/>
      <c r="S189" s="441"/>
      <c r="T189" s="441"/>
      <c r="U189" s="451"/>
    </row>
    <row r="190" spans="1:22" ht="23.25">
      <c r="B190" s="558"/>
      <c r="C190" s="543"/>
      <c r="D190" s="535"/>
      <c r="E190" s="565"/>
      <c r="F190" s="566"/>
      <c r="G190" s="488"/>
      <c r="H190" s="535"/>
      <c r="I190" s="567"/>
      <c r="J190" s="535"/>
      <c r="K190" s="535"/>
      <c r="L190" s="568"/>
      <c r="M190" s="537"/>
      <c r="N190" s="539"/>
      <c r="O190" s="559"/>
      <c r="P190" s="569"/>
      <c r="Q190" s="570"/>
      <c r="R190" s="543"/>
      <c r="S190" s="488"/>
      <c r="T190" s="488"/>
      <c r="U190" s="544"/>
    </row>
    <row r="191" spans="1:22" ht="20.25">
      <c r="B191" s="441"/>
      <c r="C191" s="561"/>
      <c r="D191" s="552"/>
      <c r="E191" s="552"/>
      <c r="F191" s="545"/>
      <c r="G191" s="441"/>
      <c r="H191" s="553"/>
      <c r="I191" s="553"/>
      <c r="J191" s="553"/>
      <c r="K191" s="571"/>
      <c r="L191" s="553"/>
      <c r="M191" s="553"/>
      <c r="N191" s="548"/>
      <c r="O191" s="554"/>
      <c r="P191" s="572"/>
      <c r="Q191" s="573"/>
      <c r="R191" s="561"/>
      <c r="S191" s="441"/>
      <c r="T191" s="441"/>
      <c r="U191" s="441"/>
    </row>
    <row r="192" spans="1:22" ht="23.25">
      <c r="A192" s="441"/>
      <c r="B192" s="2304" t="s">
        <v>483</v>
      </c>
      <c r="C192" s="2305"/>
      <c r="D192" s="2305"/>
      <c r="E192" s="2305"/>
      <c r="F192" s="2305"/>
      <c r="G192" s="2305"/>
      <c r="H192" s="2305"/>
      <c r="I192" s="2305"/>
      <c r="J192" s="2305"/>
      <c r="K192" s="2305"/>
      <c r="L192" s="2305"/>
      <c r="M192" s="2305"/>
      <c r="N192" s="2305"/>
      <c r="O192" s="2305"/>
      <c r="P192" s="2305"/>
      <c r="Q192" s="2305"/>
      <c r="R192" s="2305"/>
      <c r="S192" s="2305"/>
      <c r="T192" s="2305"/>
      <c r="U192" s="2386"/>
    </row>
    <row r="193" spans="1:22" ht="23.25">
      <c r="A193" s="441"/>
      <c r="B193" s="2345" t="s">
        <v>484</v>
      </c>
      <c r="C193" s="2346"/>
      <c r="D193" s="2346"/>
      <c r="E193" s="2346"/>
      <c r="F193" s="2346"/>
      <c r="G193" s="2346"/>
      <c r="H193" s="2346"/>
      <c r="I193" s="2346"/>
      <c r="J193" s="2346"/>
      <c r="K193" s="2346"/>
      <c r="L193" s="2346"/>
      <c r="M193" s="2346"/>
      <c r="N193" s="2346"/>
      <c r="O193" s="2346"/>
      <c r="P193" s="2346"/>
      <c r="Q193" s="2346"/>
      <c r="R193" s="2346"/>
      <c r="S193" s="2346"/>
      <c r="T193" s="2346"/>
      <c r="U193" s="2347"/>
    </row>
    <row r="194" spans="1:22" ht="23.25">
      <c r="A194" s="441"/>
      <c r="B194" s="749"/>
      <c r="C194" s="750"/>
      <c r="D194" s="750"/>
      <c r="E194" s="750"/>
      <c r="F194" s="750"/>
      <c r="G194" s="750"/>
      <c r="H194" s="750"/>
      <c r="I194" s="750"/>
      <c r="J194" s="750"/>
      <c r="K194" s="750"/>
      <c r="L194" s="750"/>
      <c r="M194" s="750"/>
      <c r="N194" s="750"/>
      <c r="O194" s="750"/>
      <c r="P194" s="750"/>
      <c r="Q194" s="750"/>
      <c r="R194" s="750"/>
      <c r="S194" s="750"/>
      <c r="T194" s="750"/>
      <c r="U194" s="751"/>
    </row>
    <row r="195" spans="1:22" ht="23.25">
      <c r="A195" s="441"/>
      <c r="B195" s="749"/>
      <c r="C195" s="576" t="s">
        <v>485</v>
      </c>
      <c r="D195" s="441"/>
      <c r="F195" s="577">
        <v>3</v>
      </c>
      <c r="G195" s="546"/>
      <c r="H195" s="441"/>
      <c r="I195" s="545"/>
      <c r="J195" s="545"/>
      <c r="K195" s="547"/>
      <c r="L195" s="576" t="s">
        <v>486</v>
      </c>
      <c r="Q195" s="577" t="s">
        <v>487</v>
      </c>
      <c r="R195" s="545"/>
      <c r="S195" s="545"/>
      <c r="T195" s="545"/>
      <c r="U195" s="451"/>
    </row>
    <row r="196" spans="1:22" ht="23.25">
      <c r="A196" s="441"/>
      <c r="B196" s="749"/>
      <c r="C196" s="750"/>
      <c r="D196" s="441"/>
      <c r="E196" s="531"/>
      <c r="F196" s="577"/>
      <c r="G196" s="546"/>
      <c r="H196" s="441"/>
      <c r="I196" s="545"/>
      <c r="J196" s="545"/>
      <c r="K196" s="547"/>
      <c r="L196" s="750"/>
      <c r="M196" s="441"/>
      <c r="N196" s="531"/>
      <c r="P196" s="546"/>
      <c r="Q196" s="577"/>
      <c r="R196" s="545"/>
      <c r="S196" s="545"/>
      <c r="T196" s="545"/>
      <c r="U196" s="451"/>
    </row>
    <row r="197" spans="1:22" ht="63.6" customHeight="1">
      <c r="A197" s="441"/>
      <c r="B197" s="578"/>
      <c r="C197" s="2378" t="s">
        <v>489</v>
      </c>
      <c r="D197" s="2378"/>
      <c r="E197" s="2378"/>
      <c r="F197" s="2378"/>
      <c r="G197" s="2378"/>
      <c r="H197" s="2378"/>
      <c r="I197" s="2378"/>
      <c r="J197" s="2378"/>
      <c r="K197" s="579"/>
      <c r="L197" s="2378" t="s">
        <v>490</v>
      </c>
      <c r="M197" s="2378"/>
      <c r="N197" s="2378"/>
      <c r="O197" s="2378"/>
      <c r="P197" s="2378"/>
      <c r="Q197" s="2378"/>
      <c r="R197" s="2378"/>
      <c r="S197" s="2378"/>
      <c r="T197" s="2378"/>
      <c r="U197" s="751"/>
    </row>
    <row r="198" spans="1:22" s="522" customFormat="1" ht="47.25" customHeight="1">
      <c r="B198" s="578"/>
      <c r="C198" s="2378" t="s">
        <v>839</v>
      </c>
      <c r="D198" s="2378"/>
      <c r="E198" s="2378"/>
      <c r="F198" s="2378"/>
      <c r="G198" s="2378"/>
      <c r="H198" s="2378"/>
      <c r="I198" s="2378"/>
      <c r="J198" s="2378"/>
      <c r="K198" s="2378"/>
      <c r="L198" s="2378"/>
      <c r="M198" s="2378"/>
      <c r="N198" s="2378"/>
      <c r="O198" s="2378"/>
      <c r="P198" s="2378"/>
      <c r="Q198" s="2378"/>
      <c r="R198" s="2378"/>
      <c r="S198" s="2378"/>
      <c r="T198" s="2378"/>
      <c r="U198" s="580"/>
    </row>
    <row r="199" spans="1:22" ht="22.9" customHeight="1">
      <c r="A199" s="441"/>
      <c r="B199" s="581"/>
      <c r="C199" s="488"/>
      <c r="D199" s="582"/>
      <c r="E199" s="582"/>
      <c r="F199" s="582"/>
      <c r="G199" s="543"/>
      <c r="H199" s="543"/>
      <c r="I199" s="543"/>
      <c r="J199" s="543"/>
      <c r="K199" s="543"/>
      <c r="L199" s="543"/>
      <c r="M199" s="543"/>
      <c r="N199" s="543"/>
      <c r="O199" s="543"/>
      <c r="P199" s="543"/>
      <c r="Q199" s="543"/>
      <c r="R199" s="543"/>
      <c r="S199" s="543"/>
      <c r="T199" s="543"/>
      <c r="U199" s="557"/>
    </row>
    <row r="200" spans="1:22" ht="23.25">
      <c r="A200" s="441"/>
      <c r="B200" s="520"/>
      <c r="C200" s="583"/>
      <c r="D200" s="583"/>
      <c r="E200" s="583"/>
      <c r="F200" s="583"/>
      <c r="G200" s="561"/>
      <c r="H200" s="561"/>
      <c r="I200" s="561"/>
      <c r="J200" s="561"/>
      <c r="K200" s="561"/>
      <c r="L200" s="561"/>
      <c r="M200" s="561"/>
      <c r="N200" s="561"/>
      <c r="O200" s="561"/>
      <c r="P200" s="561"/>
      <c r="Q200" s="561"/>
      <c r="R200" s="561"/>
      <c r="S200" s="561"/>
      <c r="T200" s="561"/>
      <c r="U200" s="750"/>
    </row>
    <row r="201" spans="1:22" ht="20.25" customHeight="1">
      <c r="B201" s="522"/>
      <c r="C201" s="584"/>
      <c r="D201" s="584"/>
      <c r="E201" s="584"/>
      <c r="F201" s="584"/>
      <c r="G201" s="522"/>
      <c r="H201" s="522"/>
      <c r="I201" s="522"/>
      <c r="J201" s="522"/>
      <c r="K201" s="522"/>
      <c r="L201" s="522"/>
      <c r="M201" s="476" t="s">
        <v>991</v>
      </c>
      <c r="N201" s="522"/>
      <c r="O201" s="522"/>
      <c r="P201" s="522"/>
      <c r="Q201" s="522"/>
      <c r="R201" s="477" t="s">
        <v>692</v>
      </c>
      <c r="S201" s="478" t="str">
        <f>$E$29</f>
        <v>ILF5_90FCPRS_B114CAGR43006</v>
      </c>
      <c r="T201" s="522"/>
    </row>
    <row r="202" spans="1:22" ht="16.899999999999999" customHeight="1">
      <c r="B202" s="522"/>
      <c r="C202" s="585"/>
      <c r="D202" s="584"/>
      <c r="E202" s="584"/>
      <c r="F202" s="584"/>
      <c r="G202" s="586"/>
      <c r="H202" s="586"/>
      <c r="I202" s="586"/>
      <c r="J202" s="586"/>
      <c r="K202" s="587"/>
      <c r="L202" s="587"/>
      <c r="M202" s="587"/>
      <c r="N202" s="587"/>
      <c r="O202" s="587"/>
      <c r="P202" s="587"/>
      <c r="Q202" s="561"/>
      <c r="R202" s="561"/>
      <c r="S202" s="441"/>
      <c r="T202" s="441"/>
      <c r="U202" s="588"/>
      <c r="V202" s="441"/>
    </row>
    <row r="203" spans="1:22">
      <c r="A203" s="420"/>
      <c r="B203" s="420"/>
      <c r="C203" s="420"/>
      <c r="D203" s="420"/>
      <c r="E203" s="420"/>
      <c r="F203" s="420"/>
      <c r="G203" s="420"/>
      <c r="H203" s="436" t="s">
        <v>690</v>
      </c>
      <c r="I203" s="420"/>
      <c r="K203" s="420"/>
      <c r="L203" s="437" t="str">
        <f>$B$11</f>
        <v>INMOBILIARIA SERVIGESTION</v>
      </c>
      <c r="M203" s="420"/>
      <c r="N203" s="420"/>
      <c r="O203" s="420"/>
      <c r="P203" s="420"/>
      <c r="Q203" s="420"/>
      <c r="R203" s="420"/>
      <c r="S203" s="420"/>
      <c r="T203" s="420"/>
      <c r="U203" s="420"/>
      <c r="V203" s="420"/>
    </row>
    <row r="204" spans="1:22" ht="34.5">
      <c r="A204" s="420"/>
      <c r="B204" s="2268" t="s">
        <v>461</v>
      </c>
      <c r="C204" s="2268"/>
      <c r="D204" s="2268"/>
      <c r="E204" s="2268"/>
      <c r="F204" s="2268"/>
      <c r="G204" s="2268"/>
      <c r="H204" s="2268"/>
      <c r="I204" s="2268"/>
      <c r="J204" s="2268"/>
      <c r="K204" s="2268"/>
      <c r="L204" s="2268"/>
      <c r="M204" s="2268"/>
      <c r="N204" s="2268"/>
      <c r="O204" s="2268"/>
      <c r="P204" s="2268"/>
      <c r="Q204" s="2268"/>
      <c r="R204" s="2268"/>
      <c r="S204" s="2268"/>
      <c r="T204" s="2268"/>
      <c r="U204" s="2268"/>
      <c r="V204" s="420"/>
    </row>
    <row r="205" spans="1:22" ht="22.9" customHeight="1">
      <c r="A205" s="420"/>
      <c r="B205" s="2269" t="s">
        <v>840</v>
      </c>
      <c r="C205" s="2269"/>
      <c r="D205" s="2269"/>
      <c r="E205" s="2269"/>
      <c r="F205" s="2269"/>
      <c r="G205" s="2269"/>
      <c r="H205" s="2269"/>
      <c r="I205" s="2269"/>
      <c r="J205" s="2269"/>
      <c r="K205" s="2269"/>
      <c r="L205" s="2269"/>
      <c r="M205" s="2269"/>
      <c r="N205" s="2269"/>
      <c r="O205" s="2269"/>
      <c r="P205" s="2269"/>
      <c r="Q205" s="2269"/>
      <c r="R205" s="2269"/>
      <c r="S205" s="2269"/>
      <c r="T205" s="2269"/>
      <c r="U205" s="2269"/>
      <c r="V205" s="420"/>
    </row>
    <row r="206" spans="1:22" ht="16.149999999999999" customHeight="1">
      <c r="A206" s="420"/>
      <c r="B206" s="757"/>
      <c r="C206" s="757"/>
      <c r="D206" s="757"/>
      <c r="E206" s="757"/>
      <c r="F206" s="757"/>
      <c r="G206" s="757"/>
      <c r="H206" s="757"/>
      <c r="I206" s="757"/>
      <c r="J206" s="757"/>
      <c r="K206" s="757"/>
      <c r="L206" s="757"/>
      <c r="M206" s="757"/>
      <c r="N206" s="757"/>
      <c r="O206" s="757"/>
      <c r="Q206" s="757"/>
      <c r="R206" s="757"/>
      <c r="S206" s="757"/>
      <c r="T206" s="757"/>
      <c r="U206" s="757"/>
      <c r="V206" s="420"/>
    </row>
    <row r="207" spans="1:22" ht="26.25">
      <c r="A207" s="504"/>
      <c r="B207" s="2387" t="s">
        <v>893</v>
      </c>
      <c r="C207" s="2388"/>
      <c r="D207" s="2388"/>
      <c r="E207" s="2388"/>
      <c r="F207" s="2388"/>
      <c r="G207" s="2388"/>
      <c r="H207" s="2388"/>
      <c r="I207" s="2388"/>
      <c r="J207" s="2388"/>
      <c r="K207" s="2388"/>
      <c r="L207" s="2388"/>
      <c r="M207" s="2388"/>
      <c r="N207" s="2388"/>
      <c r="O207" s="2388"/>
      <c r="P207" s="2388"/>
      <c r="Q207" s="2388"/>
      <c r="R207" s="2388"/>
      <c r="S207" s="2388"/>
      <c r="T207" s="2388"/>
      <c r="U207" s="2389"/>
      <c r="V207" s="504"/>
    </row>
    <row r="208" spans="1:22" ht="102" customHeight="1">
      <c r="A208" s="504"/>
      <c r="B208" s="2604" t="s">
        <v>1993</v>
      </c>
      <c r="C208" s="2605"/>
      <c r="D208" s="2605"/>
      <c r="E208" s="2605"/>
      <c r="F208" s="2605"/>
      <c r="G208" s="2605"/>
      <c r="H208" s="2605"/>
      <c r="I208" s="2605"/>
      <c r="J208" s="2605"/>
      <c r="K208" s="2605"/>
      <c r="L208" s="2605"/>
      <c r="M208" s="2605"/>
      <c r="N208" s="2605"/>
      <c r="O208" s="2605"/>
      <c r="P208" s="2605"/>
      <c r="Q208" s="2605"/>
      <c r="R208" s="2605"/>
      <c r="S208" s="2605"/>
      <c r="T208" s="2605"/>
      <c r="U208" s="2606"/>
      <c r="V208" s="504"/>
    </row>
    <row r="209" spans="1:22" ht="13.9" customHeight="1">
      <c r="A209" s="504"/>
      <c r="B209" s="816"/>
      <c r="C209" s="817"/>
      <c r="D209" s="817"/>
      <c r="E209" s="817"/>
      <c r="F209" s="817"/>
      <c r="G209" s="817"/>
      <c r="H209" s="817"/>
      <c r="I209" s="817"/>
      <c r="J209" s="817"/>
      <c r="K209" s="817"/>
      <c r="L209" s="817"/>
      <c r="M209" s="817"/>
      <c r="N209" s="817"/>
      <c r="O209" s="817"/>
      <c r="P209" s="817"/>
      <c r="Q209" s="817"/>
      <c r="R209" s="817"/>
      <c r="S209" s="817"/>
      <c r="T209" s="817"/>
      <c r="U209" s="818"/>
      <c r="V209" s="504"/>
    </row>
    <row r="210" spans="1:22" ht="36.75" customHeight="1">
      <c r="A210" s="504"/>
      <c r="B210" s="816"/>
      <c r="C210" s="2390" t="s">
        <v>956</v>
      </c>
      <c r="D210" s="2390"/>
      <c r="E210" s="2390"/>
      <c r="F210" s="2390"/>
      <c r="G210" s="2390"/>
      <c r="H210" s="2390"/>
      <c r="I210" s="2390"/>
      <c r="J210" s="2390"/>
      <c r="K210" s="2390"/>
      <c r="L210" s="2390"/>
      <c r="M210" s="2390"/>
      <c r="N210" s="2390"/>
      <c r="O210" s="2390"/>
      <c r="P210" s="2390"/>
      <c r="Q210" s="2390"/>
      <c r="R210" s="2390"/>
      <c r="S210" s="2390"/>
      <c r="T210" s="2390"/>
      <c r="U210" s="818"/>
      <c r="V210" s="504"/>
    </row>
    <row r="211" spans="1:22" ht="22.15" customHeight="1">
      <c r="A211" s="441"/>
      <c r="B211" s="508"/>
      <c r="C211" s="821"/>
      <c r="D211" s="821"/>
      <c r="E211" s="821"/>
      <c r="F211" s="821"/>
      <c r="G211" s="821"/>
      <c r="H211" s="821"/>
      <c r="I211" s="821"/>
      <c r="J211" s="821"/>
      <c r="K211" s="821"/>
      <c r="L211" s="2365"/>
      <c r="M211" s="2365"/>
      <c r="N211" s="2365"/>
      <c r="O211" s="2365"/>
      <c r="P211" s="2365"/>
      <c r="Q211" s="2365"/>
      <c r="R211" s="2365"/>
      <c r="S211" s="2365"/>
      <c r="T211" s="821"/>
      <c r="U211" s="589"/>
      <c r="V211" s="492"/>
    </row>
    <row r="212" spans="1:22" ht="23.25">
      <c r="B212" s="466"/>
      <c r="C212" s="2335" t="s">
        <v>933</v>
      </c>
      <c r="D212" s="2335"/>
      <c r="E212" s="2335"/>
      <c r="F212" s="2335"/>
      <c r="G212" s="2335"/>
      <c r="H212" s="2335"/>
      <c r="I212" s="2335"/>
      <c r="J212" s="2335"/>
      <c r="K212" s="2335"/>
      <c r="L212" s="441"/>
      <c r="M212" s="2375" t="s">
        <v>910</v>
      </c>
      <c r="N212" s="2376"/>
      <c r="O212" s="2376"/>
      <c r="P212" s="2376"/>
      <c r="Q212" s="2376"/>
      <c r="R212" s="2376"/>
      <c r="S212" s="2376"/>
      <c r="T212" s="2377"/>
      <c r="U212" s="494"/>
      <c r="V212" s="441"/>
    </row>
    <row r="213" spans="1:22" ht="137.44999999999999" customHeight="1">
      <c r="B213" s="495" t="s">
        <v>362</v>
      </c>
      <c r="C213" s="2396" t="s">
        <v>935</v>
      </c>
      <c r="D213" s="2397"/>
      <c r="E213" s="2397"/>
      <c r="F213" s="2397"/>
      <c r="G213" s="2397"/>
      <c r="H213" s="2397"/>
      <c r="I213" s="2397"/>
      <c r="J213" s="2397"/>
      <c r="K213" s="2398"/>
      <c r="L213" s="441"/>
      <c r="M213" s="2396" t="s">
        <v>937</v>
      </c>
      <c r="N213" s="2397"/>
      <c r="O213" s="2397"/>
      <c r="P213" s="2397"/>
      <c r="Q213" s="2397"/>
      <c r="R213" s="2397"/>
      <c r="S213" s="2397"/>
      <c r="T213" s="2398"/>
      <c r="U213" s="494"/>
      <c r="V213" s="441"/>
    </row>
    <row r="214" spans="1:22" ht="26.25">
      <c r="A214" s="441"/>
      <c r="B214" s="496"/>
      <c r="C214" s="2399" t="s">
        <v>934</v>
      </c>
      <c r="D214" s="2399"/>
      <c r="E214" s="2399"/>
      <c r="F214" s="2399"/>
      <c r="G214" s="2399"/>
      <c r="H214" s="497">
        <v>30</v>
      </c>
      <c r="I214" s="498"/>
      <c r="J214" s="498"/>
      <c r="K214" s="498"/>
      <c r="L214" s="499"/>
      <c r="M214" s="2399" t="s">
        <v>934</v>
      </c>
      <c r="N214" s="2399"/>
      <c r="O214" s="2399"/>
      <c r="P214" s="2399"/>
      <c r="Q214" s="2399"/>
      <c r="R214" s="497">
        <v>10</v>
      </c>
      <c r="S214" s="498"/>
      <c r="T214" s="498"/>
      <c r="U214" s="590"/>
    </row>
    <row r="215" spans="1:22" ht="16.149999999999999" customHeight="1">
      <c r="A215" s="420"/>
      <c r="B215" s="485"/>
      <c r="C215" s="475"/>
      <c r="D215" s="475"/>
      <c r="E215" s="475"/>
      <c r="F215" s="475"/>
      <c r="G215" s="475"/>
      <c r="H215" s="475"/>
      <c r="I215" s="475"/>
      <c r="J215" s="475"/>
      <c r="K215" s="475"/>
      <c r="L215" s="475"/>
      <c r="M215" s="475"/>
      <c r="N215" s="475"/>
      <c r="O215" s="475"/>
      <c r="P215" s="441"/>
      <c r="Q215" s="475"/>
      <c r="R215" s="475"/>
      <c r="S215" s="475"/>
      <c r="T215" s="475"/>
      <c r="U215" s="442"/>
      <c r="V215" s="420"/>
    </row>
    <row r="216" spans="1:22" ht="22.15" customHeight="1">
      <c r="A216" s="420"/>
      <c r="B216" s="485"/>
      <c r="C216" s="441"/>
      <c r="D216" s="441"/>
      <c r="E216" s="2406" t="s">
        <v>936</v>
      </c>
      <c r="F216" s="2406"/>
      <c r="G216" s="2406"/>
      <c r="H216" s="2406"/>
      <c r="I216" s="2406"/>
      <c r="J216" s="2406"/>
      <c r="K216" s="2406"/>
      <c r="L216" s="2406"/>
      <c r="M216" s="2406"/>
      <c r="N216" s="2406"/>
      <c r="O216" s="2406"/>
      <c r="P216" s="2406"/>
      <c r="Q216" s="2406"/>
      <c r="R216" s="2406"/>
      <c r="S216" s="2406"/>
      <c r="T216" s="475"/>
      <c r="U216" s="442"/>
      <c r="V216" s="420"/>
    </row>
    <row r="217" spans="1:22" ht="16.149999999999999" customHeight="1">
      <c r="A217" s="420"/>
      <c r="B217" s="485"/>
      <c r="C217" s="441"/>
      <c r="D217" s="441"/>
      <c r="E217" s="591" t="s">
        <v>525</v>
      </c>
      <c r="F217" s="592" t="s">
        <v>543</v>
      </c>
      <c r="G217" s="593" t="s">
        <v>550</v>
      </c>
      <c r="H217" s="593" t="s">
        <v>558</v>
      </c>
      <c r="I217" s="593" t="s">
        <v>580</v>
      </c>
      <c r="J217" s="593" t="s">
        <v>613</v>
      </c>
      <c r="K217" s="593" t="s">
        <v>549</v>
      </c>
      <c r="L217" s="593" t="s">
        <v>622</v>
      </c>
      <c r="M217" s="593" t="s">
        <v>624</v>
      </c>
      <c r="N217" s="593" t="s">
        <v>628</v>
      </c>
      <c r="O217" s="593" t="s">
        <v>928</v>
      </c>
      <c r="P217" s="593" t="s">
        <v>588</v>
      </c>
      <c r="Q217" s="593" t="s">
        <v>930</v>
      </c>
      <c r="R217" s="593" t="s">
        <v>596</v>
      </c>
      <c r="S217" s="594" t="s">
        <v>638</v>
      </c>
      <c r="T217" s="475"/>
      <c r="U217" s="442"/>
      <c r="V217" s="420"/>
    </row>
    <row r="218" spans="1:22">
      <c r="B218" s="466"/>
      <c r="C218" s="592"/>
      <c r="D218" s="592"/>
      <c r="E218" s="591" t="s">
        <v>520</v>
      </c>
      <c r="F218" s="593" t="s">
        <v>548</v>
      </c>
      <c r="G218" s="593" t="s">
        <v>554</v>
      </c>
      <c r="H218" s="593" t="s">
        <v>575</v>
      </c>
      <c r="I218" s="593" t="s">
        <v>595</v>
      </c>
      <c r="J218" s="593" t="s">
        <v>926</v>
      </c>
      <c r="K218" s="593" t="s">
        <v>559</v>
      </c>
      <c r="L218" s="593" t="s">
        <v>567</v>
      </c>
      <c r="M218" s="593" t="s">
        <v>927</v>
      </c>
      <c r="N218" s="593" t="s">
        <v>630</v>
      </c>
      <c r="O218" s="593" t="s">
        <v>929</v>
      </c>
      <c r="P218" s="593" t="s">
        <v>581</v>
      </c>
      <c r="Q218" s="593" t="s">
        <v>586</v>
      </c>
      <c r="R218" s="595" t="s">
        <v>600</v>
      </c>
      <c r="S218" s="596"/>
      <c r="T218" s="597"/>
      <c r="U218" s="451"/>
    </row>
    <row r="219" spans="1:22" ht="7.15" customHeight="1">
      <c r="B219" s="466"/>
      <c r="C219" s="441"/>
      <c r="D219" s="441"/>
      <c r="E219" s="598"/>
      <c r="F219" s="598"/>
      <c r="G219" s="598"/>
      <c r="H219" s="598"/>
      <c r="I219" s="598"/>
      <c r="J219" s="598"/>
      <c r="K219" s="598"/>
      <c r="L219" s="598"/>
      <c r="M219" s="598"/>
      <c r="N219" s="598"/>
      <c r="O219" s="598"/>
      <c r="P219" s="598"/>
      <c r="Q219" s="598"/>
      <c r="R219" s="598"/>
      <c r="S219" s="441"/>
      <c r="T219" s="441"/>
      <c r="U219" s="451"/>
    </row>
    <row r="220" spans="1:22" ht="16.149999999999999" customHeight="1">
      <c r="A220" s="420"/>
      <c r="B220" s="487"/>
      <c r="C220" s="459"/>
      <c r="D220" s="459"/>
      <c r="E220" s="459"/>
      <c r="F220" s="459"/>
      <c r="G220" s="459"/>
      <c r="H220" s="459"/>
      <c r="I220" s="459"/>
      <c r="J220" s="459"/>
      <c r="K220" s="459"/>
      <c r="L220" s="459"/>
      <c r="M220" s="459"/>
      <c r="N220" s="459"/>
      <c r="O220" s="459"/>
      <c r="P220" s="488"/>
      <c r="Q220" s="459"/>
      <c r="R220" s="459"/>
      <c r="S220" s="459"/>
      <c r="T220" s="459"/>
      <c r="U220" s="460"/>
      <c r="V220" s="420"/>
    </row>
    <row r="221" spans="1:22" ht="16.149999999999999" customHeight="1">
      <c r="A221" s="420"/>
      <c r="B221" s="822"/>
      <c r="C221" s="822"/>
      <c r="D221" s="822"/>
      <c r="E221" s="822"/>
      <c r="F221" s="822"/>
      <c r="G221" s="822"/>
      <c r="H221" s="822"/>
      <c r="I221" s="822"/>
      <c r="J221" s="822"/>
      <c r="K221" s="822"/>
      <c r="L221" s="822"/>
      <c r="M221" s="822"/>
      <c r="N221" s="822"/>
      <c r="O221" s="822"/>
      <c r="Q221" s="822"/>
      <c r="R221" s="822"/>
      <c r="S221" s="822"/>
      <c r="T221" s="822"/>
      <c r="U221" s="822"/>
      <c r="V221" s="420"/>
    </row>
    <row r="222" spans="1:22" ht="50.25" customHeight="1">
      <c r="A222" s="429"/>
      <c r="B222" s="2251" t="s">
        <v>792</v>
      </c>
      <c r="C222" s="2251"/>
      <c r="D222" s="2251"/>
      <c r="E222" s="2251"/>
      <c r="F222" s="2251"/>
      <c r="G222" s="2251"/>
      <c r="H222" s="2251"/>
      <c r="I222" s="2251"/>
      <c r="J222" s="2251"/>
      <c r="K222" s="2251"/>
      <c r="L222" s="2251"/>
      <c r="M222" s="2251"/>
      <c r="N222" s="2251"/>
      <c r="O222" s="2251"/>
      <c r="P222" s="2251"/>
      <c r="Q222" s="2251"/>
      <c r="R222" s="2251"/>
      <c r="S222" s="2251"/>
      <c r="T222" s="2251"/>
      <c r="U222" s="2251"/>
      <c r="V222" s="429"/>
    </row>
    <row r="223" spans="1:22" ht="50.25" customHeight="1">
      <c r="A223" s="429"/>
      <c r="B223" s="2251" t="s">
        <v>792</v>
      </c>
      <c r="C223" s="2251"/>
      <c r="D223" s="2251"/>
      <c r="E223" s="2251"/>
      <c r="F223" s="2251"/>
      <c r="G223" s="2251"/>
      <c r="H223" s="2251"/>
      <c r="I223" s="2251"/>
      <c r="J223" s="2251"/>
      <c r="K223" s="2251"/>
      <c r="L223" s="2251"/>
      <c r="M223" s="2251"/>
      <c r="N223" s="2251"/>
      <c r="O223" s="2251"/>
      <c r="P223" s="2251"/>
      <c r="Q223" s="2251"/>
      <c r="R223" s="2251"/>
      <c r="S223" s="2251"/>
      <c r="T223" s="2251"/>
      <c r="U223" s="2251"/>
      <c r="V223" s="429"/>
    </row>
    <row r="224" spans="1:22" ht="16.149999999999999" customHeight="1">
      <c r="A224" s="420"/>
      <c r="B224" s="757"/>
      <c r="C224" s="757"/>
      <c r="D224" s="757"/>
      <c r="E224" s="757"/>
      <c r="F224" s="757"/>
      <c r="G224" s="757"/>
      <c r="H224" s="757"/>
      <c r="I224" s="757"/>
      <c r="J224" s="757"/>
      <c r="K224" s="757"/>
      <c r="L224" s="757"/>
      <c r="M224" s="757"/>
      <c r="N224" s="757"/>
      <c r="O224" s="757"/>
      <c r="P224" s="757"/>
      <c r="Q224" s="757"/>
      <c r="R224" s="757"/>
      <c r="S224" s="757"/>
      <c r="T224" s="757"/>
      <c r="U224" s="757"/>
      <c r="V224" s="420"/>
    </row>
    <row r="225" spans="1:22" ht="22.9" customHeight="1">
      <c r="B225" s="600"/>
      <c r="C225" s="601"/>
      <c r="D225" s="601"/>
      <c r="E225" s="601"/>
      <c r="F225" s="601"/>
      <c r="G225" s="601"/>
      <c r="H225" s="601"/>
      <c r="I225" s="601"/>
      <c r="J225" s="601"/>
      <c r="K225" s="601"/>
      <c r="L225" s="601"/>
      <c r="M225" s="601"/>
      <c r="N225" s="601"/>
      <c r="O225" s="601"/>
      <c r="P225" s="601"/>
      <c r="Q225" s="601"/>
      <c r="R225" s="601"/>
      <c r="S225" s="601"/>
      <c r="T225" s="819"/>
      <c r="U225" s="603"/>
      <c r="V225" s="441"/>
    </row>
    <row r="226" spans="1:22" ht="16.149999999999999" customHeight="1">
      <c r="A226" s="420"/>
      <c r="B226" s="485"/>
      <c r="C226" s="441"/>
      <c r="D226" s="441"/>
      <c r="E226" s="441"/>
      <c r="F226" s="441"/>
      <c r="G226" s="441"/>
      <c r="H226" s="441"/>
      <c r="I226" s="441"/>
      <c r="J226" s="441"/>
      <c r="K226" s="475"/>
      <c r="L226" s="475"/>
      <c r="M226" s="604"/>
      <c r="N226" s="605"/>
      <c r="O226" s="605"/>
      <c r="P226" s="606"/>
      <c r="Q226" s="607"/>
      <c r="R226" s="475"/>
      <c r="S226" s="475"/>
      <c r="T226" s="475"/>
      <c r="U226" s="442"/>
      <c r="V226" s="420"/>
    </row>
    <row r="227" spans="1:22" ht="46.9" customHeight="1">
      <c r="A227" s="420"/>
      <c r="B227" s="466"/>
      <c r="C227" s="2412" t="s">
        <v>492</v>
      </c>
      <c r="D227" s="2412"/>
      <c r="E227" s="2412"/>
      <c r="F227" s="2412"/>
      <c r="G227" s="2412"/>
      <c r="H227" s="2412"/>
      <c r="I227" s="2412"/>
      <c r="J227" s="2412"/>
      <c r="K227" s="821"/>
      <c r="L227" s="2392" t="s">
        <v>493</v>
      </c>
      <c r="M227" s="2393"/>
      <c r="N227" s="2393"/>
      <c r="O227" s="2393"/>
      <c r="P227" s="2393"/>
      <c r="Q227" s="2393"/>
      <c r="R227" s="2393"/>
      <c r="S227" s="2393"/>
      <c r="T227" s="2393"/>
      <c r="U227" s="2394"/>
      <c r="V227" s="420"/>
    </row>
    <row r="228" spans="1:22" ht="22.15" customHeight="1">
      <c r="A228" s="420"/>
      <c r="B228" s="485"/>
      <c r="C228" s="2411" t="s">
        <v>494</v>
      </c>
      <c r="D228" s="2411"/>
      <c r="E228" s="2411"/>
      <c r="F228" s="2411"/>
      <c r="G228" s="2411"/>
      <c r="H228" s="2411"/>
      <c r="I228" s="2411"/>
      <c r="J228" s="561"/>
      <c r="K228" s="475"/>
      <c r="L228" s="2308" t="s">
        <v>495</v>
      </c>
      <c r="M228" s="2308"/>
      <c r="N228" s="2308"/>
      <c r="O228" s="2308"/>
      <c r="P228" s="610"/>
      <c r="Q228" s="2308" t="s">
        <v>501</v>
      </c>
      <c r="R228" s="2308"/>
      <c r="S228" s="2308"/>
      <c r="T228" s="2308"/>
      <c r="U228" s="2385"/>
      <c r="V228" s="420"/>
    </row>
    <row r="229" spans="1:22" ht="16.5" customHeight="1">
      <c r="A229" s="420"/>
      <c r="B229" s="485"/>
      <c r="C229" s="820"/>
      <c r="D229" s="820"/>
      <c r="E229" s="820"/>
      <c r="F229" s="820"/>
      <c r="G229" s="820"/>
      <c r="H229" s="820"/>
      <c r="I229" s="820"/>
      <c r="J229" s="561"/>
      <c r="K229" s="475"/>
      <c r="L229" s="475"/>
      <c r="M229" s="531"/>
      <c r="N229" s="795"/>
      <c r="O229" s="552"/>
      <c r="P229" s="820"/>
      <c r="Q229" s="820"/>
      <c r="R229" s="820"/>
      <c r="S229" s="820"/>
      <c r="T229" s="820"/>
      <c r="U229" s="442"/>
      <c r="V229" s="420"/>
    </row>
    <row r="230" spans="1:22" ht="27" customHeight="1">
      <c r="A230" s="420"/>
      <c r="B230" s="485"/>
      <c r="C230" s="548"/>
      <c r="D230" s="612"/>
      <c r="E230" s="824" t="s">
        <v>311</v>
      </c>
      <c r="F230" s="824" t="s">
        <v>312</v>
      </c>
      <c r="G230" s="824" t="s">
        <v>327</v>
      </c>
      <c r="H230" s="824" t="s">
        <v>496</v>
      </c>
      <c r="I230" s="824" t="s">
        <v>497</v>
      </c>
      <c r="J230" s="824" t="s">
        <v>498</v>
      </c>
      <c r="K230" s="548"/>
      <c r="L230" s="1940"/>
      <c r="M230" s="1941" t="s">
        <v>1919</v>
      </c>
      <c r="N230" s="1942" t="s">
        <v>312</v>
      </c>
      <c r="O230" s="1942" t="s">
        <v>327</v>
      </c>
      <c r="P230" s="1865"/>
      <c r="Q230" s="1894"/>
      <c r="R230" s="1894"/>
      <c r="S230" s="2351" t="s">
        <v>502</v>
      </c>
      <c r="T230" s="2352"/>
      <c r="U230" s="2353"/>
      <c r="V230" s="420"/>
    </row>
    <row r="231" spans="1:22" ht="25.5" customHeight="1">
      <c r="A231" s="420"/>
      <c r="B231" s="485"/>
      <c r="C231" s="2407" t="s">
        <v>499</v>
      </c>
      <c r="D231" s="2407"/>
      <c r="E231" s="614">
        <f t="shared" ref="E231:J231" si="0">0.45*(1-0.45)</f>
        <v>0.24750000000000003</v>
      </c>
      <c r="F231" s="614">
        <f t="shared" si="0"/>
        <v>0.24750000000000003</v>
      </c>
      <c r="G231" s="614">
        <f t="shared" si="0"/>
        <v>0.24750000000000003</v>
      </c>
      <c r="H231" s="614">
        <f t="shared" si="0"/>
        <v>0.24750000000000003</v>
      </c>
      <c r="I231" s="614">
        <f t="shared" si="0"/>
        <v>0.24750000000000003</v>
      </c>
      <c r="J231" s="614">
        <f t="shared" si="0"/>
        <v>0.24750000000000003</v>
      </c>
      <c r="K231" s="548"/>
      <c r="L231" s="1943" t="s">
        <v>938</v>
      </c>
      <c r="M231" s="615">
        <v>0</v>
      </c>
      <c r="N231" s="614">
        <v>0.82499999999999996</v>
      </c>
      <c r="O231" s="614">
        <f>N231</f>
        <v>0.82499999999999996</v>
      </c>
      <c r="P231" s="1865"/>
      <c r="Q231" s="1944"/>
      <c r="R231" s="1944"/>
      <c r="S231" s="1941" t="s">
        <v>1919</v>
      </c>
      <c r="T231" s="1942" t="s">
        <v>312</v>
      </c>
      <c r="U231" s="1942" t="s">
        <v>327</v>
      </c>
      <c r="V231" s="420"/>
    </row>
    <row r="232" spans="1:22" ht="25.5" customHeight="1">
      <c r="A232" s="420"/>
      <c r="B232" s="485"/>
      <c r="C232" s="2407" t="s">
        <v>500</v>
      </c>
      <c r="D232" s="2407"/>
      <c r="E232" s="616">
        <v>0.26400000000000001</v>
      </c>
      <c r="F232" s="616">
        <v>0.39600000000000002</v>
      </c>
      <c r="G232" s="616">
        <v>0.42899999999999999</v>
      </c>
      <c r="H232" s="616">
        <v>0.627</v>
      </c>
      <c r="I232" s="616">
        <v>0.75900000000000001</v>
      </c>
      <c r="J232" s="616">
        <v>0.89100000000000001</v>
      </c>
      <c r="K232" s="548"/>
      <c r="L232" s="1943" t="s">
        <v>939</v>
      </c>
      <c r="M232" s="1984" t="s">
        <v>1920</v>
      </c>
      <c r="N232" s="1991">
        <v>0.77</v>
      </c>
      <c r="O232" s="1991">
        <v>1.21</v>
      </c>
      <c r="P232" s="1865"/>
      <c r="Q232" s="2354" t="s">
        <v>503</v>
      </c>
      <c r="R232" s="2354"/>
      <c r="S232" s="1947" t="s">
        <v>1921</v>
      </c>
      <c r="T232" s="1948">
        <v>1.5</v>
      </c>
      <c r="U232" s="1948">
        <v>1.5</v>
      </c>
      <c r="V232" s="420"/>
    </row>
    <row r="233" spans="1:22" ht="19.5" customHeight="1">
      <c r="A233" s="420"/>
      <c r="B233" s="485"/>
      <c r="C233" s="548"/>
      <c r="D233" s="548"/>
      <c r="E233" s="548"/>
      <c r="F233" s="548"/>
      <c r="G233" s="548"/>
      <c r="H233" s="548"/>
      <c r="I233" s="548"/>
      <c r="J233" s="548"/>
      <c r="K233" s="548"/>
      <c r="L233" s="1940"/>
      <c r="M233" s="1865"/>
      <c r="N233" s="1865"/>
      <c r="O233" s="1865"/>
      <c r="P233" s="1865"/>
      <c r="Q233" s="2355" t="s">
        <v>506</v>
      </c>
      <c r="R233" s="1941" t="s">
        <v>1919</v>
      </c>
      <c r="S233" s="1947" t="s">
        <v>1921</v>
      </c>
      <c r="T233" s="1948">
        <v>1.4</v>
      </c>
      <c r="U233" s="1948">
        <v>2.6</v>
      </c>
      <c r="V233" s="420"/>
    </row>
    <row r="234" spans="1:22" ht="23.25">
      <c r="A234" s="420"/>
      <c r="B234" s="485"/>
      <c r="C234" s="548"/>
      <c r="D234" s="548"/>
      <c r="E234" s="548"/>
      <c r="F234" s="548"/>
      <c r="G234" s="548"/>
      <c r="H234" s="548"/>
      <c r="I234" s="548"/>
      <c r="J234" s="548"/>
      <c r="K234" s="548"/>
      <c r="L234" s="1940"/>
      <c r="M234" s="1867"/>
      <c r="N234" s="1867"/>
      <c r="O234" s="1867"/>
      <c r="P234" s="1949"/>
      <c r="Q234" s="2355"/>
      <c r="R234" s="1950" t="s">
        <v>312</v>
      </c>
      <c r="S234" s="1947">
        <v>1.26</v>
      </c>
      <c r="T234" s="1948">
        <v>1.4</v>
      </c>
      <c r="U234" s="1948">
        <v>2.6</v>
      </c>
      <c r="V234" s="420"/>
    </row>
    <row r="235" spans="1:22" ht="16.149999999999999" customHeight="1">
      <c r="A235" s="420"/>
      <c r="B235" s="485"/>
      <c r="C235" s="548"/>
      <c r="D235" s="548"/>
      <c r="E235" s="548"/>
      <c r="F235" s="548"/>
      <c r="G235" s="548"/>
      <c r="H235" s="548"/>
      <c r="I235" s="548"/>
      <c r="J235" s="548"/>
      <c r="K235" s="548"/>
      <c r="L235" s="1940"/>
      <c r="M235" s="1867"/>
      <c r="N235" s="1867"/>
      <c r="O235" s="1867"/>
      <c r="P235" s="1865"/>
      <c r="Q235" s="2355"/>
      <c r="R235" s="1950" t="s">
        <v>327</v>
      </c>
      <c r="S235" s="1947">
        <v>2.3400000000000003</v>
      </c>
      <c r="T235" s="1948">
        <v>2.6</v>
      </c>
      <c r="U235" s="1948">
        <v>2.6</v>
      </c>
      <c r="V235" s="420"/>
    </row>
    <row r="236" spans="1:22" ht="24" customHeight="1">
      <c r="A236" s="420"/>
      <c r="B236" s="485"/>
      <c r="C236" s="441"/>
      <c r="D236" s="441"/>
      <c r="E236" s="441"/>
      <c r="F236" s="441"/>
      <c r="G236" s="441"/>
      <c r="H236" s="441"/>
      <c r="I236" s="441"/>
      <c r="J236" s="441"/>
      <c r="K236" s="548"/>
      <c r="L236" s="475"/>
      <c r="M236" s="441"/>
      <c r="N236" s="441"/>
      <c r="O236" s="441"/>
      <c r="P236" s="441"/>
      <c r="Q236" s="441"/>
      <c r="R236" s="618"/>
      <c r="S236" s="441"/>
      <c r="T236" s="441"/>
      <c r="U236" s="442"/>
      <c r="V236" s="420"/>
    </row>
    <row r="237" spans="1:22" ht="23.25">
      <c r="A237" s="420"/>
      <c r="B237" s="485"/>
      <c r="C237" s="2411" t="s">
        <v>234</v>
      </c>
      <c r="D237" s="2411"/>
      <c r="E237" s="2411"/>
      <c r="F237" s="2411"/>
      <c r="G237" s="2411"/>
      <c r="H237" s="2411"/>
      <c r="I237" s="2411"/>
      <c r="J237" s="441"/>
      <c r="K237" s="548"/>
      <c r="L237" s="2308" t="s">
        <v>510</v>
      </c>
      <c r="M237" s="2308"/>
      <c r="N237" s="2308"/>
      <c r="O237" s="2308"/>
      <c r="P237" s="610"/>
      <c r="Q237" s="2308" t="s">
        <v>507</v>
      </c>
      <c r="R237" s="2308"/>
      <c r="S237" s="2308"/>
      <c r="T237" s="2308"/>
      <c r="U237" s="2385"/>
      <c r="V237" s="420"/>
    </row>
    <row r="238" spans="1:22" s="437" customFormat="1" ht="27.75" customHeight="1">
      <c r="A238" s="785"/>
      <c r="B238" s="786"/>
      <c r="C238" s="619"/>
      <c r="D238" s="619"/>
      <c r="E238" s="619"/>
      <c r="F238" s="619"/>
      <c r="G238" s="619"/>
      <c r="H238" s="619"/>
      <c r="I238" s="619"/>
      <c r="J238" s="619"/>
      <c r="K238" s="548"/>
      <c r="L238" s="2308"/>
      <c r="M238" s="2308"/>
      <c r="N238" s="2308"/>
      <c r="O238" s="2308"/>
      <c r="P238" s="441"/>
      <c r="Q238" s="441"/>
      <c r="R238" s="1856"/>
      <c r="S238" s="1856"/>
      <c r="T238" s="1856"/>
      <c r="U238" s="442"/>
      <c r="V238" s="785"/>
    </row>
    <row r="239" spans="1:22" s="437" customFormat="1" ht="27.75" customHeight="1">
      <c r="A239" s="785"/>
      <c r="B239" s="786"/>
      <c r="C239" s="817"/>
      <c r="D239" s="619"/>
      <c r="E239" s="621" t="s">
        <v>504</v>
      </c>
      <c r="F239" s="827" t="s">
        <v>1007</v>
      </c>
      <c r="G239" s="546"/>
      <c r="H239" s="619"/>
      <c r="I239" s="545"/>
      <c r="J239" s="619"/>
      <c r="K239" s="548"/>
      <c r="L239" s="2308"/>
      <c r="M239" s="2308"/>
      <c r="N239" s="2308"/>
      <c r="O239" s="2308"/>
      <c r="P239" s="624"/>
      <c r="Q239" s="1951"/>
      <c r="R239" s="1952"/>
      <c r="S239" s="2408" t="s">
        <v>508</v>
      </c>
      <c r="T239" s="2409"/>
      <c r="U239" s="2410"/>
      <c r="V239" s="785"/>
    </row>
    <row r="240" spans="1:22" s="437" customFormat="1" ht="27.75" customHeight="1">
      <c r="A240" s="785"/>
      <c r="B240" s="786"/>
      <c r="C240" s="619"/>
      <c r="D240" s="619"/>
      <c r="E240" s="619"/>
      <c r="F240" s="619"/>
      <c r="G240" s="619"/>
      <c r="H240" s="619"/>
      <c r="I240" s="619"/>
      <c r="J240" s="619"/>
      <c r="K240" s="548"/>
      <c r="L240" s="2308"/>
      <c r="M240" s="2308"/>
      <c r="N240" s="2308"/>
      <c r="O240" s="2308"/>
      <c r="P240" s="624"/>
      <c r="Q240" s="1951"/>
      <c r="R240" s="1953"/>
      <c r="S240" s="1941" t="s">
        <v>1919</v>
      </c>
      <c r="T240" s="1954" t="s">
        <v>312</v>
      </c>
      <c r="U240" s="1954" t="s">
        <v>327</v>
      </c>
      <c r="V240" s="785"/>
    </row>
    <row r="241" spans="1:30" s="437" customFormat="1" ht="27.75" customHeight="1">
      <c r="A241" s="785"/>
      <c r="B241" s="786"/>
      <c r="C241" s="619"/>
      <c r="D241" s="619"/>
      <c r="E241" s="619"/>
      <c r="F241" s="619"/>
      <c r="G241" s="619"/>
      <c r="H241" s="619"/>
      <c r="I241" s="619"/>
      <c r="J241" s="619"/>
      <c r="K241" s="548"/>
      <c r="L241" s="1855"/>
      <c r="M241" s="624"/>
      <c r="N241" s="624"/>
      <c r="O241" s="624"/>
      <c r="P241" s="624"/>
      <c r="Q241" s="2506" t="s">
        <v>509</v>
      </c>
      <c r="R241" s="1941" t="s">
        <v>1919</v>
      </c>
      <c r="S241" s="1947" t="s">
        <v>1921</v>
      </c>
      <c r="T241" s="1948">
        <v>1</v>
      </c>
      <c r="U241" s="1948">
        <v>1</v>
      </c>
      <c r="V241" s="785"/>
    </row>
    <row r="242" spans="1:30" ht="16.149999999999999" customHeight="1">
      <c r="A242" s="420"/>
      <c r="B242" s="485"/>
      <c r="C242" s="441"/>
      <c r="D242" s="441"/>
      <c r="E242" s="441"/>
      <c r="F242" s="441"/>
      <c r="G242" s="441"/>
      <c r="H242" s="441"/>
      <c r="I242" s="441"/>
      <c r="J242" s="441"/>
      <c r="K242" s="548"/>
      <c r="L242" s="1855"/>
      <c r="M242" s="624"/>
      <c r="N242" s="624"/>
      <c r="O242" s="624"/>
      <c r="P242" s="624"/>
      <c r="Q242" s="2506"/>
      <c r="R242" s="1954" t="s">
        <v>312</v>
      </c>
      <c r="S242" s="1948">
        <v>1</v>
      </c>
      <c r="T242" s="1948">
        <v>1</v>
      </c>
      <c r="U242" s="1948">
        <v>1</v>
      </c>
      <c r="V242" s="420"/>
    </row>
    <row r="243" spans="1:30" ht="23.25">
      <c r="A243" s="420"/>
      <c r="B243" s="485"/>
      <c r="C243" s="548"/>
      <c r="D243" s="548"/>
      <c r="E243" s="548"/>
      <c r="F243" s="548"/>
      <c r="G243" s="548"/>
      <c r="H243" s="548"/>
      <c r="I243" s="548"/>
      <c r="J243" s="548"/>
      <c r="K243" s="548"/>
      <c r="L243" s="1855"/>
      <c r="M243" s="624"/>
      <c r="N243" s="624"/>
      <c r="O243" s="624"/>
      <c r="P243" s="624"/>
      <c r="Q243" s="2506"/>
      <c r="R243" s="1954" t="s">
        <v>327</v>
      </c>
      <c r="S243" s="1948">
        <v>1</v>
      </c>
      <c r="T243" s="1948">
        <v>1</v>
      </c>
      <c r="U243" s="1948">
        <v>1</v>
      </c>
      <c r="V243" s="420"/>
    </row>
    <row r="244" spans="1:30" ht="17.45" customHeight="1">
      <c r="A244" s="420"/>
      <c r="B244" s="485"/>
      <c r="C244" s="548"/>
      <c r="D244" s="548"/>
      <c r="E244" s="548"/>
      <c r="F244" s="548"/>
      <c r="G244" s="548"/>
      <c r="H244" s="548"/>
      <c r="I244" s="548"/>
      <c r="J244" s="548"/>
      <c r="K244" s="548"/>
      <c r="L244" s="623"/>
      <c r="M244" s="808"/>
      <c r="N244" s="561"/>
      <c r="O244" s="561"/>
      <c r="P244" s="561"/>
      <c r="Q244" s="561"/>
      <c r="R244" s="561"/>
      <c r="S244" s="561"/>
      <c r="T244" s="561"/>
      <c r="U244" s="442"/>
      <c r="V244" s="420"/>
    </row>
    <row r="245" spans="1:30" s="625" customFormat="1" ht="24" customHeight="1">
      <c r="A245" s="620"/>
      <c r="B245" s="508"/>
      <c r="C245" s="623"/>
      <c r="D245" s="623"/>
      <c r="E245" s="623"/>
      <c r="F245" s="623"/>
      <c r="G245" s="623"/>
      <c r="H245" s="623"/>
      <c r="I245" s="623"/>
      <c r="J245" s="623"/>
      <c r="K245" s="548"/>
      <c r="L245" s="2308" t="s">
        <v>986</v>
      </c>
      <c r="M245" s="2308"/>
      <c r="N245" s="2308"/>
      <c r="O245" s="2308"/>
      <c r="P245" s="561"/>
      <c r="Q245" s="2308" t="s">
        <v>987</v>
      </c>
      <c r="R245" s="2308"/>
      <c r="S245" s="2308"/>
      <c r="T245" s="2308"/>
      <c r="U245" s="442"/>
      <c r="V245" s="620"/>
    </row>
    <row r="246" spans="1:30" s="625" customFormat="1" ht="9.75" customHeight="1">
      <c r="A246" s="620"/>
      <c r="B246" s="508"/>
      <c r="C246" s="623"/>
      <c r="D246" s="623"/>
      <c r="E246" s="623"/>
      <c r="F246" s="623"/>
      <c r="G246" s="623"/>
      <c r="H246" s="623"/>
      <c r="I246" s="623"/>
      <c r="J246" s="623"/>
      <c r="K246" s="548"/>
      <c r="L246" s="2308"/>
      <c r="M246" s="2308"/>
      <c r="N246" s="2308"/>
      <c r="O246" s="2308"/>
      <c r="P246" s="561"/>
      <c r="Q246" s="2308"/>
      <c r="R246" s="2308"/>
      <c r="S246" s="2308"/>
      <c r="T246" s="2308"/>
      <c r="U246" s="599"/>
      <c r="V246" s="620"/>
      <c r="Z246" s="2505"/>
      <c r="AA246" s="2505"/>
      <c r="AB246" s="2505"/>
      <c r="AC246" s="2505"/>
      <c r="AD246" s="2505"/>
    </row>
    <row r="247" spans="1:30" s="625" customFormat="1" ht="51.75" customHeight="1">
      <c r="A247" s="620"/>
      <c r="B247" s="508"/>
      <c r="C247" s="623"/>
      <c r="D247" s="623"/>
      <c r="E247" s="623"/>
      <c r="F247" s="623"/>
      <c r="G247" s="623"/>
      <c r="H247" s="623"/>
      <c r="I247" s="623"/>
      <c r="J247" s="623"/>
      <c r="K247" s="548"/>
      <c r="L247" s="1867"/>
      <c r="M247" s="1867"/>
      <c r="N247" s="1867"/>
      <c r="O247" s="1867"/>
      <c r="P247" s="1865"/>
      <c r="Q247" s="1951"/>
      <c r="R247" s="1865"/>
      <c r="S247" s="1986" t="s">
        <v>1922</v>
      </c>
      <c r="T247" s="1986" t="s">
        <v>1962</v>
      </c>
      <c r="U247" s="1976"/>
      <c r="V247" s="620"/>
      <c r="Z247" s="2505"/>
      <c r="AA247" s="2505"/>
      <c r="AB247" s="775"/>
      <c r="AC247" s="775"/>
      <c r="AD247" s="775"/>
    </row>
    <row r="248" spans="1:30" s="625" customFormat="1" ht="24" customHeight="1">
      <c r="A248" s="620"/>
      <c r="B248" s="508"/>
      <c r="C248" s="623"/>
      <c r="D248" s="623"/>
      <c r="E248" s="623"/>
      <c r="F248" s="623"/>
      <c r="G248" s="623"/>
      <c r="H248" s="623"/>
      <c r="I248" s="623"/>
      <c r="J248" s="623"/>
      <c r="K248" s="548"/>
      <c r="L248" s="1956"/>
      <c r="M248" s="1941" t="s">
        <v>1919</v>
      </c>
      <c r="N248" s="1942" t="s">
        <v>312</v>
      </c>
      <c r="O248" s="1942" t="s">
        <v>327</v>
      </c>
      <c r="P248" s="1934"/>
      <c r="Q248" s="2356" t="s">
        <v>960</v>
      </c>
      <c r="R248" s="2357"/>
      <c r="S248" s="2360">
        <v>1</v>
      </c>
      <c r="T248" s="2360">
        <v>8</v>
      </c>
      <c r="U248" s="599"/>
      <c r="V248" s="620"/>
      <c r="Z248" s="2505"/>
      <c r="AA248" s="775"/>
      <c r="AB248" s="627"/>
      <c r="AC248" s="627"/>
      <c r="AD248" s="627"/>
    </row>
    <row r="249" spans="1:30" ht="16.149999999999999" customHeight="1">
      <c r="A249" s="420"/>
      <c r="B249" s="485"/>
      <c r="C249" s="548"/>
      <c r="D249" s="548"/>
      <c r="E249" s="548"/>
      <c r="F249" s="548"/>
      <c r="G249" s="548"/>
      <c r="H249" s="548"/>
      <c r="I249" s="548"/>
      <c r="J249" s="548"/>
      <c r="K249" s="548"/>
      <c r="L249" s="1957" t="s">
        <v>988</v>
      </c>
      <c r="M249" s="1947" t="s">
        <v>1921</v>
      </c>
      <c r="N249" s="2362" t="s">
        <v>957</v>
      </c>
      <c r="O249" s="2363"/>
      <c r="P249" s="1958"/>
      <c r="Q249" s="2358"/>
      <c r="R249" s="2359"/>
      <c r="S249" s="2361"/>
      <c r="T249" s="2361"/>
      <c r="U249" s="599"/>
      <c r="V249" s="420"/>
      <c r="Z249" s="2505"/>
      <c r="AA249" s="775"/>
      <c r="AB249" s="627"/>
      <c r="AC249" s="627"/>
      <c r="AD249" s="627"/>
    </row>
    <row r="250" spans="1:30" ht="18.399999999999999" customHeight="1">
      <c r="A250" s="429"/>
      <c r="B250" s="633"/>
      <c r="C250" s="634"/>
      <c r="D250" s="634"/>
      <c r="E250" s="634"/>
      <c r="F250" s="634"/>
      <c r="G250" s="634"/>
      <c r="H250" s="634"/>
      <c r="I250" s="634"/>
      <c r="J250" s="634"/>
      <c r="K250" s="548"/>
      <c r="L250" s="1867"/>
      <c r="M250" s="1959"/>
      <c r="N250" s="1959"/>
      <c r="O250" s="1959"/>
      <c r="P250" s="1959"/>
      <c r="Q250" s="2379" t="s">
        <v>961</v>
      </c>
      <c r="R250" s="2380"/>
      <c r="S250" s="2383">
        <v>4.5</v>
      </c>
      <c r="T250" s="2360">
        <v>30</v>
      </c>
      <c r="U250" s="1960"/>
      <c r="V250" s="429"/>
    </row>
    <row r="251" spans="1:30" ht="8.4499999999999993" customHeight="1">
      <c r="A251" s="429"/>
      <c r="B251" s="637"/>
      <c r="C251" s="826"/>
      <c r="D251" s="826"/>
      <c r="E251" s="826"/>
      <c r="F251" s="826"/>
      <c r="G251" s="826"/>
      <c r="H251" s="826"/>
      <c r="I251" s="826"/>
      <c r="J251" s="826"/>
      <c r="K251" s="548"/>
      <c r="L251" s="1961"/>
      <c r="M251" s="1961"/>
      <c r="N251" s="1961"/>
      <c r="O251" s="1961"/>
      <c r="P251" s="1959"/>
      <c r="Q251" s="2381"/>
      <c r="R251" s="2382"/>
      <c r="S251" s="2384"/>
      <c r="T251" s="2361"/>
      <c r="U251" s="1960"/>
      <c r="V251" s="429"/>
    </row>
    <row r="252" spans="1:30" ht="7.5" customHeight="1">
      <c r="A252" s="429"/>
      <c r="B252" s="637"/>
      <c r="C252" s="826"/>
      <c r="D252" s="826"/>
      <c r="E252" s="826"/>
      <c r="F252" s="826"/>
      <c r="G252" s="826"/>
      <c r="H252" s="826"/>
      <c r="I252" s="826"/>
      <c r="J252" s="826"/>
      <c r="K252" s="548"/>
      <c r="L252" s="548"/>
      <c r="M252" s="548"/>
      <c r="N252" s="548"/>
      <c r="O252" s="548"/>
      <c r="P252" s="548"/>
      <c r="Q252" s="548"/>
      <c r="R252" s="548"/>
      <c r="S252" s="548"/>
      <c r="T252" s="548"/>
      <c r="U252" s="548"/>
      <c r="V252" s="429"/>
    </row>
    <row r="253" spans="1:30" ht="8.4499999999999993" customHeight="1">
      <c r="A253" s="429"/>
      <c r="B253" s="639"/>
      <c r="C253" s="640"/>
      <c r="D253" s="640"/>
      <c r="E253" s="640"/>
      <c r="F253" s="640"/>
      <c r="G253" s="640"/>
      <c r="H253" s="640"/>
      <c r="I253" s="640"/>
      <c r="J253" s="640"/>
      <c r="K253" s="640"/>
      <c r="L253" s="640"/>
      <c r="M253" s="828"/>
      <c r="N253" s="828"/>
      <c r="O253" s="828"/>
      <c r="P253" s="828"/>
      <c r="Q253" s="828"/>
      <c r="R253" s="828"/>
      <c r="S253" s="828"/>
      <c r="T253" s="828"/>
      <c r="U253" s="829"/>
      <c r="V253" s="429"/>
      <c r="AB253" s="643"/>
      <c r="AC253" s="643"/>
      <c r="AD253" s="643"/>
    </row>
    <row r="254" spans="1:30" ht="19.149999999999999" customHeight="1">
      <c r="B254" s="520" t="s">
        <v>699</v>
      </c>
      <c r="C254" s="644"/>
      <c r="D254" s="644"/>
      <c r="E254" s="644"/>
      <c r="F254" s="644"/>
      <c r="G254" s="644"/>
      <c r="H254" s="644"/>
      <c r="I254" s="644"/>
      <c r="J254" s="644"/>
      <c r="K254" s="644"/>
      <c r="L254" s="644"/>
      <c r="M254" s="644"/>
      <c r="N254" s="644"/>
      <c r="O254" s="645"/>
      <c r="P254" s="645"/>
      <c r="Q254" s="645"/>
      <c r="R254" s="645"/>
      <c r="S254" s="645"/>
      <c r="T254" s="645"/>
      <c r="U254" s="644"/>
    </row>
    <row r="255" spans="1:30" ht="16.899999999999999" customHeight="1">
      <c r="B255" s="522"/>
      <c r="C255" s="585"/>
      <c r="D255" s="584"/>
      <c r="E255" s="584"/>
      <c r="F255" s="584"/>
      <c r="G255" s="586"/>
      <c r="H255" s="586"/>
      <c r="I255" s="586"/>
      <c r="J255" s="586"/>
      <c r="K255" s="587"/>
      <c r="L255" s="587"/>
      <c r="M255" s="476" t="s">
        <v>992</v>
      </c>
      <c r="N255" s="587"/>
      <c r="O255" s="587"/>
      <c r="P255" s="587"/>
      <c r="Q255" s="561"/>
      <c r="R255" s="477" t="s">
        <v>692</v>
      </c>
      <c r="S255" s="478" t="str">
        <f>$E$29</f>
        <v>ILF5_90FCPRS_B114CAGR43006</v>
      </c>
      <c r="T255" s="441"/>
      <c r="U255" s="588"/>
      <c r="V255" s="441"/>
    </row>
    <row r="256" spans="1:30" ht="16.899999999999999" customHeight="1">
      <c r="B256" s="522"/>
      <c r="C256" s="585"/>
      <c r="D256" s="584"/>
      <c r="E256" s="584"/>
      <c r="F256" s="584"/>
      <c r="G256" s="586"/>
      <c r="H256" s="586"/>
      <c r="I256" s="586"/>
      <c r="J256" s="586"/>
      <c r="K256" s="587"/>
      <c r="L256" s="587"/>
      <c r="M256" s="587"/>
      <c r="N256" s="587"/>
      <c r="O256" s="587"/>
      <c r="P256" s="587"/>
      <c r="Q256" s="561"/>
      <c r="R256" s="561"/>
      <c r="S256" s="441"/>
      <c r="T256" s="441"/>
      <c r="U256" s="588"/>
      <c r="V256" s="441"/>
    </row>
    <row r="257" spans="2:21">
      <c r="H257" s="436" t="s">
        <v>691</v>
      </c>
      <c r="I257" s="420"/>
      <c r="K257" s="420"/>
      <c r="L257" s="437" t="str">
        <f>$B$11</f>
        <v>INMOBILIARIA SERVIGESTION</v>
      </c>
    </row>
    <row r="258" spans="2:21" ht="30">
      <c r="B258" s="2395" t="s">
        <v>461</v>
      </c>
      <c r="C258" s="2395"/>
      <c r="D258" s="2395"/>
      <c r="E258" s="2395"/>
      <c r="F258" s="2395"/>
      <c r="G258" s="2395"/>
      <c r="H258" s="2395"/>
      <c r="I258" s="2395"/>
      <c r="J258" s="2395"/>
      <c r="K258" s="2395"/>
      <c r="L258" s="2395"/>
      <c r="M258" s="2395"/>
      <c r="N258" s="2395"/>
      <c r="O258" s="2395"/>
      <c r="P258" s="2395"/>
      <c r="Q258" s="2395"/>
      <c r="R258" s="2395"/>
      <c r="S258" s="2395"/>
      <c r="T258" s="2395"/>
      <c r="U258" s="2395"/>
    </row>
    <row r="259" spans="2:21" ht="22.9" customHeight="1">
      <c r="B259" s="2269" t="s">
        <v>793</v>
      </c>
      <c r="C259" s="2269"/>
      <c r="D259" s="2269"/>
      <c r="E259" s="2269"/>
      <c r="F259" s="2269"/>
      <c r="G259" s="2269"/>
      <c r="H259" s="2269"/>
      <c r="I259" s="2269"/>
      <c r="J259" s="2269"/>
      <c r="K259" s="2269"/>
      <c r="L259" s="2269"/>
      <c r="M259" s="2269"/>
      <c r="N259" s="2269"/>
      <c r="O259" s="2269"/>
      <c r="P259" s="2269"/>
      <c r="Q259" s="2269"/>
      <c r="R259" s="2269"/>
      <c r="S259" s="2269"/>
      <c r="T259" s="2269"/>
      <c r="U259" s="2269"/>
    </row>
    <row r="262" spans="2:21" ht="23.25">
      <c r="C262" s="2456" t="s">
        <v>1923</v>
      </c>
      <c r="D262" s="2456"/>
      <c r="E262" s="2456"/>
      <c r="F262" s="2456"/>
      <c r="G262" s="2456"/>
      <c r="H262" s="2456"/>
      <c r="I262" s="2456"/>
      <c r="J262" s="2456"/>
      <c r="K262" s="2456"/>
      <c r="L262" s="2456"/>
      <c r="M262" s="2456"/>
      <c r="N262" s="2456"/>
      <c r="O262" s="2456"/>
      <c r="P262" s="2456"/>
      <c r="Q262" s="2456"/>
      <c r="R262" s="1137"/>
      <c r="S262" s="470"/>
    </row>
    <row r="263" spans="2:21" ht="15">
      <c r="C263" s="1962" t="s">
        <v>516</v>
      </c>
      <c r="D263" s="1963" t="s">
        <v>539</v>
      </c>
      <c r="E263" s="1964" t="s">
        <v>546</v>
      </c>
      <c r="F263" s="1964" t="s">
        <v>551</v>
      </c>
      <c r="G263" s="1964" t="s">
        <v>561</v>
      </c>
      <c r="H263" s="1964" t="s">
        <v>577</v>
      </c>
      <c r="I263" s="1964" t="s">
        <v>582</v>
      </c>
      <c r="J263" s="1964" t="s">
        <v>601</v>
      </c>
      <c r="K263" s="1964" t="s">
        <v>662</v>
      </c>
      <c r="L263" s="1964" t="s">
        <v>611</v>
      </c>
      <c r="M263" s="1964" t="s">
        <v>620</v>
      </c>
      <c r="N263" s="1964" t="s">
        <v>627</v>
      </c>
      <c r="O263" s="1964" t="s">
        <v>633</v>
      </c>
      <c r="P263" s="1964" t="s">
        <v>663</v>
      </c>
      <c r="Q263" s="1965" t="s">
        <v>640</v>
      </c>
      <c r="R263" s="1136"/>
      <c r="S263" s="647"/>
    </row>
    <row r="264" spans="2:21" ht="15">
      <c r="C264" s="1962" t="s">
        <v>522</v>
      </c>
      <c r="D264" s="1963" t="s">
        <v>363</v>
      </c>
      <c r="E264" s="1964" t="s">
        <v>541</v>
      </c>
      <c r="F264" s="1964" t="s">
        <v>661</v>
      </c>
      <c r="G264" s="1964" t="s">
        <v>566</v>
      </c>
      <c r="H264" s="1964" t="s">
        <v>590</v>
      </c>
      <c r="I264" s="1964" t="s">
        <v>587</v>
      </c>
      <c r="J264" s="1964" t="s">
        <v>604</v>
      </c>
      <c r="K264" s="1964" t="s">
        <v>571</v>
      </c>
      <c r="L264" s="1964" t="s">
        <v>614</v>
      </c>
      <c r="M264" s="1964" t="s">
        <v>623</v>
      </c>
      <c r="N264" s="1867" t="s">
        <v>629</v>
      </c>
      <c r="O264" s="1964" t="s">
        <v>635</v>
      </c>
      <c r="P264" s="1964" t="s">
        <v>583</v>
      </c>
      <c r="Q264" s="1965" t="s">
        <v>641</v>
      </c>
      <c r="R264" s="1136"/>
      <c r="S264" s="647"/>
    </row>
    <row r="265" spans="2:21" ht="15">
      <c r="C265" s="1962" t="s">
        <v>529</v>
      </c>
      <c r="D265" s="1963" t="s">
        <v>534</v>
      </c>
      <c r="E265" s="1964" t="s">
        <v>545</v>
      </c>
      <c r="F265" s="1964" t="s">
        <v>556</v>
      </c>
      <c r="G265" s="1964" t="s">
        <v>572</v>
      </c>
      <c r="H265" s="1964" t="s">
        <v>603</v>
      </c>
      <c r="I265" s="1964" t="s">
        <v>597</v>
      </c>
      <c r="J265" s="1964" t="s">
        <v>552</v>
      </c>
      <c r="K265" s="1964" t="s">
        <v>565</v>
      </c>
      <c r="L265" s="1964" t="s">
        <v>617</v>
      </c>
      <c r="M265" s="1964" t="s">
        <v>619</v>
      </c>
      <c r="N265" s="1964" t="s">
        <v>631</v>
      </c>
      <c r="O265" s="1964" t="s">
        <v>1924</v>
      </c>
      <c r="P265" s="1964" t="s">
        <v>639</v>
      </c>
      <c r="Q265" s="1965" t="s">
        <v>642</v>
      </c>
      <c r="R265" s="595"/>
      <c r="S265" s="647"/>
    </row>
    <row r="266" spans="2:21">
      <c r="C266" s="598"/>
      <c r="D266" s="598"/>
      <c r="E266" s="598"/>
      <c r="F266" s="598"/>
      <c r="G266" s="598"/>
      <c r="H266" s="598"/>
      <c r="I266" s="598"/>
      <c r="J266" s="598"/>
      <c r="K266" s="598"/>
      <c r="L266" s="598"/>
      <c r="M266" s="598"/>
      <c r="N266" s="598"/>
      <c r="O266" s="598"/>
      <c r="P266" s="598"/>
      <c r="Q266" s="598"/>
      <c r="R266" s="441"/>
    </row>
    <row r="267" spans="2:21" ht="23.25">
      <c r="C267" s="2457" t="s">
        <v>925</v>
      </c>
      <c r="D267" s="2457"/>
      <c r="E267" s="2457"/>
      <c r="F267" s="2457"/>
      <c r="G267" s="2457"/>
      <c r="H267" s="2457"/>
      <c r="I267" s="2457"/>
      <c r="J267" s="2457"/>
      <c r="K267" s="2457"/>
      <c r="L267" s="2457"/>
      <c r="M267" s="2457"/>
      <c r="N267" s="2457"/>
      <c r="O267" s="2457"/>
      <c r="P267" s="2457"/>
      <c r="Q267" s="2457"/>
      <c r="R267" s="1137"/>
      <c r="S267" s="470"/>
    </row>
    <row r="268" spans="2:21" ht="15">
      <c r="C268" s="591" t="s">
        <v>525</v>
      </c>
      <c r="D268" s="592" t="s">
        <v>543</v>
      </c>
      <c r="E268" s="646" t="s">
        <v>550</v>
      </c>
      <c r="F268" s="646" t="s">
        <v>558</v>
      </c>
      <c r="G268" s="646" t="s">
        <v>580</v>
      </c>
      <c r="H268" s="646" t="s">
        <v>613</v>
      </c>
      <c r="I268" s="646" t="s">
        <v>549</v>
      </c>
      <c r="J268" s="646" t="s">
        <v>622</v>
      </c>
      <c r="K268" s="646" t="s">
        <v>624</v>
      </c>
      <c r="L268" s="646" t="s">
        <v>628</v>
      </c>
      <c r="M268" s="646" t="s">
        <v>928</v>
      </c>
      <c r="N268" s="646" t="s">
        <v>588</v>
      </c>
      <c r="O268" s="646" t="s">
        <v>930</v>
      </c>
      <c r="P268" s="646" t="s">
        <v>596</v>
      </c>
      <c r="Q268" s="593" t="s">
        <v>638</v>
      </c>
      <c r="R268" s="1136"/>
      <c r="S268" s="647"/>
    </row>
    <row r="269" spans="2:21" ht="15">
      <c r="C269" s="591" t="s">
        <v>520</v>
      </c>
      <c r="D269" s="592" t="s">
        <v>548</v>
      </c>
      <c r="E269" s="646" t="s">
        <v>554</v>
      </c>
      <c r="F269" s="646" t="s">
        <v>575</v>
      </c>
      <c r="G269" s="646" t="s">
        <v>595</v>
      </c>
      <c r="H269" s="646" t="s">
        <v>926</v>
      </c>
      <c r="I269" s="646" t="s">
        <v>559</v>
      </c>
      <c r="J269" s="646" t="s">
        <v>567</v>
      </c>
      <c r="K269" s="646" t="s">
        <v>927</v>
      </c>
      <c r="L269" s="646" t="s">
        <v>630</v>
      </c>
      <c r="M269" s="646" t="s">
        <v>929</v>
      </c>
      <c r="N269" s="646" t="s">
        <v>581</v>
      </c>
      <c r="O269" s="646" t="s">
        <v>586</v>
      </c>
      <c r="P269" s="646" t="s">
        <v>600</v>
      </c>
      <c r="Q269" s="646"/>
      <c r="R269" s="1136"/>
      <c r="S269" s="647"/>
    </row>
    <row r="270" spans="2:21">
      <c r="C270" s="598"/>
      <c r="D270" s="598"/>
      <c r="E270" s="598"/>
      <c r="F270" s="598"/>
      <c r="G270" s="598"/>
      <c r="H270" s="598"/>
      <c r="I270" s="598"/>
      <c r="J270" s="598"/>
      <c r="K270" s="598"/>
      <c r="L270" s="598"/>
      <c r="M270" s="598"/>
      <c r="N270" s="598"/>
      <c r="O270" s="598"/>
      <c r="P270" s="598"/>
      <c r="Q270" s="598"/>
      <c r="R270" s="441"/>
    </row>
    <row r="271" spans="2:21" ht="50.45" customHeight="1">
      <c r="C271" s="2364" t="s">
        <v>794</v>
      </c>
      <c r="D271" s="2364"/>
      <c r="E271" s="2364"/>
      <c r="F271" s="2364"/>
      <c r="G271" s="2364"/>
      <c r="H271" s="2364"/>
      <c r="I271" s="2364"/>
      <c r="J271" s="2364"/>
      <c r="K271" s="2364"/>
      <c r="L271" s="2364"/>
      <c r="M271" s="2364"/>
      <c r="O271" s="2364" t="s">
        <v>794</v>
      </c>
      <c r="P271" s="2364"/>
      <c r="Q271" s="2364"/>
      <c r="R271" s="2364"/>
      <c r="S271" s="2364"/>
    </row>
    <row r="272" spans="2:21" ht="60" customHeight="1">
      <c r="C272" s="2433" t="s">
        <v>931</v>
      </c>
      <c r="D272" s="2434"/>
      <c r="E272" s="2434"/>
      <c r="F272" s="2434"/>
      <c r="G272" s="2434"/>
      <c r="H272" s="2434"/>
      <c r="I272" s="2434"/>
      <c r="J272" s="2434"/>
      <c r="K272" s="2434"/>
      <c r="L272" s="2434"/>
      <c r="M272" s="2435"/>
      <c r="O272" s="2391" t="s">
        <v>932</v>
      </c>
      <c r="P272" s="2391"/>
      <c r="Q272" s="2391"/>
      <c r="R272" s="2391"/>
      <c r="S272" s="2391"/>
      <c r="T272" s="470"/>
      <c r="U272" s="470"/>
    </row>
    <row r="273" spans="3:21" ht="22.9" customHeight="1">
      <c r="C273" s="2374" t="s">
        <v>311</v>
      </c>
      <c r="D273" s="2374"/>
      <c r="E273" s="2374" t="s">
        <v>312</v>
      </c>
      <c r="F273" s="2374"/>
      <c r="G273" s="2374" t="s">
        <v>327</v>
      </c>
      <c r="H273" s="2374"/>
      <c r="I273" s="2374" t="s">
        <v>496</v>
      </c>
      <c r="J273" s="2374"/>
      <c r="K273" s="2374" t="s">
        <v>515</v>
      </c>
      <c r="L273" s="2374"/>
      <c r="M273" s="648" t="s">
        <v>498</v>
      </c>
      <c r="O273" s="2369" t="s">
        <v>1919</v>
      </c>
      <c r="P273" s="2369"/>
      <c r="Q273" s="2369" t="s">
        <v>312</v>
      </c>
      <c r="R273" s="2369"/>
      <c r="S273" s="1840" t="s">
        <v>327</v>
      </c>
      <c r="T273" s="470"/>
      <c r="U273" s="470"/>
    </row>
    <row r="274" spans="3:21">
      <c r="C274" s="649"/>
      <c r="D274" s="650"/>
      <c r="E274" s="649"/>
      <c r="F274" s="650"/>
      <c r="G274" s="649"/>
      <c r="H274" s="650"/>
      <c r="I274" s="649"/>
      <c r="J274" s="650"/>
      <c r="K274" s="649"/>
      <c r="L274" s="650"/>
      <c r="M274" s="651"/>
      <c r="O274" s="1966"/>
      <c r="P274" s="1967"/>
      <c r="Q274" s="1966"/>
      <c r="R274" s="1967"/>
      <c r="S274" s="651"/>
      <c r="T274" s="522"/>
    </row>
    <row r="275" spans="3:21" ht="15">
      <c r="C275" s="2314" t="s">
        <v>516</v>
      </c>
      <c r="D275" s="2313"/>
      <c r="E275" s="2312" t="s">
        <v>517</v>
      </c>
      <c r="F275" s="2313"/>
      <c r="G275" s="2312" t="s">
        <v>518</v>
      </c>
      <c r="H275" s="2313"/>
      <c r="I275" s="2312" t="s">
        <v>519</v>
      </c>
      <c r="J275" s="2313"/>
      <c r="K275" s="2312" t="s">
        <v>520</v>
      </c>
      <c r="L275" s="2313"/>
      <c r="M275" s="652" t="s">
        <v>521</v>
      </c>
      <c r="N275" s="441"/>
      <c r="O275" s="2370" t="s">
        <v>516</v>
      </c>
      <c r="P275" s="2371"/>
      <c r="Q275" s="2372" t="s">
        <v>517</v>
      </c>
      <c r="R275" s="2373"/>
      <c r="S275" s="653" t="s">
        <v>521</v>
      </c>
      <c r="T275" s="647"/>
    </row>
    <row r="276" spans="3:21" ht="15">
      <c r="C276" s="2314" t="s">
        <v>522</v>
      </c>
      <c r="D276" s="2313"/>
      <c r="E276" s="2312" t="s">
        <v>523</v>
      </c>
      <c r="F276" s="2313"/>
      <c r="G276" s="2312" t="s">
        <v>524</v>
      </c>
      <c r="H276" s="2313"/>
      <c r="I276" s="2312" t="s">
        <v>525</v>
      </c>
      <c r="J276" s="2313"/>
      <c r="K276" s="2312" t="s">
        <v>526</v>
      </c>
      <c r="L276" s="2313" t="s">
        <v>362</v>
      </c>
      <c r="M276" s="652" t="s">
        <v>527</v>
      </c>
      <c r="N276" s="441"/>
      <c r="O276" s="2370" t="s">
        <v>522</v>
      </c>
      <c r="P276" s="2371"/>
      <c r="Q276" s="2372" t="s">
        <v>528</v>
      </c>
      <c r="R276" s="2373"/>
      <c r="S276" s="653" t="s">
        <v>527</v>
      </c>
      <c r="T276" s="647"/>
    </row>
    <row r="277" spans="3:21" ht="15">
      <c r="C277" s="2314" t="s">
        <v>529</v>
      </c>
      <c r="D277" s="2313"/>
      <c r="E277" s="2312" t="s">
        <v>530</v>
      </c>
      <c r="F277" s="2313"/>
      <c r="G277" s="2312" t="s">
        <v>531</v>
      </c>
      <c r="H277" s="2313"/>
      <c r="I277" s="2312" t="s">
        <v>532</v>
      </c>
      <c r="J277" s="2313"/>
      <c r="K277" s="2312" t="s">
        <v>533</v>
      </c>
      <c r="L277" s="2313" t="s">
        <v>362</v>
      </c>
      <c r="M277" s="652"/>
      <c r="N277" s="441"/>
      <c r="O277" s="2370" t="s">
        <v>529</v>
      </c>
      <c r="P277" s="2371"/>
      <c r="Q277" s="2372" t="s">
        <v>1925</v>
      </c>
      <c r="R277" s="2373"/>
      <c r="S277" s="653" t="s">
        <v>362</v>
      </c>
      <c r="T277" s="647"/>
    </row>
    <row r="278" spans="3:21" ht="15">
      <c r="C278" s="2314" t="s">
        <v>534</v>
      </c>
      <c r="D278" s="2313"/>
      <c r="E278" s="2312" t="s">
        <v>535</v>
      </c>
      <c r="F278" s="2313"/>
      <c r="G278" s="2312" t="s">
        <v>536</v>
      </c>
      <c r="H278" s="2313"/>
      <c r="I278" s="2312" t="s">
        <v>537</v>
      </c>
      <c r="J278" s="2313"/>
      <c r="K278" s="2312" t="s">
        <v>538</v>
      </c>
      <c r="L278" s="2313" t="s">
        <v>362</v>
      </c>
      <c r="M278" s="652"/>
      <c r="N278" s="441"/>
      <c r="O278" s="2370" t="s">
        <v>539</v>
      </c>
      <c r="P278" s="2371"/>
      <c r="Q278" s="2372" t="s">
        <v>540</v>
      </c>
      <c r="R278" s="2373"/>
      <c r="S278" s="653" t="s">
        <v>362</v>
      </c>
      <c r="T278" s="647"/>
    </row>
    <row r="279" spans="3:21" ht="15">
      <c r="C279" s="2314" t="s">
        <v>541</v>
      </c>
      <c r="D279" s="2313"/>
      <c r="E279" s="2312" t="s">
        <v>539</v>
      </c>
      <c r="F279" s="2313"/>
      <c r="G279" s="2312" t="s">
        <v>542</v>
      </c>
      <c r="H279" s="2313"/>
      <c r="I279" s="2312" t="s">
        <v>543</v>
      </c>
      <c r="J279" s="2313"/>
      <c r="K279" s="2312" t="s">
        <v>544</v>
      </c>
      <c r="L279" s="2313" t="s">
        <v>362</v>
      </c>
      <c r="M279" s="652"/>
      <c r="N279" s="441"/>
      <c r="O279" s="2370" t="s">
        <v>546</v>
      </c>
      <c r="P279" s="2371"/>
      <c r="Q279" s="2372" t="s">
        <v>535</v>
      </c>
      <c r="R279" s="2373"/>
      <c r="S279" s="653" t="s">
        <v>362</v>
      </c>
      <c r="T279" s="647"/>
    </row>
    <row r="280" spans="3:21" ht="15">
      <c r="C280" s="2314" t="s">
        <v>545</v>
      </c>
      <c r="D280" s="2313"/>
      <c r="E280" s="2312" t="s">
        <v>546</v>
      </c>
      <c r="F280" s="2313"/>
      <c r="G280" s="2312" t="s">
        <v>547</v>
      </c>
      <c r="H280" s="2313"/>
      <c r="I280" s="2312" t="s">
        <v>548</v>
      </c>
      <c r="J280" s="2313"/>
      <c r="K280" s="2312" t="s">
        <v>549</v>
      </c>
      <c r="L280" s="2313" t="s">
        <v>362</v>
      </c>
      <c r="M280" s="652"/>
      <c r="N280" s="441"/>
      <c r="O280" s="2370" t="s">
        <v>534</v>
      </c>
      <c r="P280" s="2371"/>
      <c r="Q280" s="2372" t="s">
        <v>550</v>
      </c>
      <c r="R280" s="2373"/>
      <c r="S280" s="653" t="s">
        <v>362</v>
      </c>
      <c r="T280" s="647"/>
    </row>
    <row r="281" spans="3:21" ht="15.6" customHeight="1">
      <c r="C281" s="2314" t="s">
        <v>551</v>
      </c>
      <c r="D281" s="2313"/>
      <c r="E281" s="2312" t="s">
        <v>552</v>
      </c>
      <c r="F281" s="2313"/>
      <c r="G281" s="2312" t="s">
        <v>553</v>
      </c>
      <c r="H281" s="2313"/>
      <c r="I281" s="2312" t="s">
        <v>554</v>
      </c>
      <c r="J281" s="2313"/>
      <c r="K281" s="2312" t="s">
        <v>555</v>
      </c>
      <c r="L281" s="2313" t="s">
        <v>362</v>
      </c>
      <c r="M281" s="652"/>
      <c r="N281" s="441"/>
      <c r="O281" s="2370" t="s">
        <v>541</v>
      </c>
      <c r="P281" s="2371"/>
      <c r="Q281" s="2372" t="s">
        <v>137</v>
      </c>
      <c r="R281" s="2373"/>
      <c r="S281" s="653" t="s">
        <v>362</v>
      </c>
      <c r="T281" s="647"/>
    </row>
    <row r="282" spans="3:21" ht="15.6" customHeight="1">
      <c r="C282" s="2314" t="s">
        <v>556</v>
      </c>
      <c r="D282" s="2313"/>
      <c r="E282" s="2312" t="s">
        <v>557</v>
      </c>
      <c r="F282" s="2313"/>
      <c r="G282" s="2312" t="s">
        <v>550</v>
      </c>
      <c r="H282" s="2313"/>
      <c r="I282" s="2312" t="s">
        <v>558</v>
      </c>
      <c r="J282" s="2313"/>
      <c r="K282" s="2312" t="s">
        <v>559</v>
      </c>
      <c r="L282" s="2313" t="s">
        <v>362</v>
      </c>
      <c r="M282" s="652"/>
      <c r="N282" s="441"/>
      <c r="O282" s="2370" t="s">
        <v>556</v>
      </c>
      <c r="P282" s="2371"/>
      <c r="Q282" s="2372" t="s">
        <v>552</v>
      </c>
      <c r="R282" s="2373"/>
      <c r="S282" s="653" t="s">
        <v>362</v>
      </c>
      <c r="T282" s="647"/>
    </row>
    <row r="283" spans="3:21" ht="15.6" customHeight="1">
      <c r="C283" s="2314" t="s">
        <v>561</v>
      </c>
      <c r="D283" s="2313"/>
      <c r="E283" s="2312" t="s">
        <v>562</v>
      </c>
      <c r="F283" s="2313"/>
      <c r="G283" s="2312" t="s">
        <v>137</v>
      </c>
      <c r="H283" s="2313"/>
      <c r="I283" s="2312" t="s">
        <v>563</v>
      </c>
      <c r="J283" s="2313"/>
      <c r="K283" s="2312" t="s">
        <v>564</v>
      </c>
      <c r="L283" s="2313" t="s">
        <v>362</v>
      </c>
      <c r="M283" s="652"/>
      <c r="N283" s="441"/>
      <c r="O283" s="2370" t="s">
        <v>545</v>
      </c>
      <c r="P283" s="2371"/>
      <c r="Q283" s="2372" t="s">
        <v>560</v>
      </c>
      <c r="R283" s="2373"/>
      <c r="S283" s="653" t="s">
        <v>362</v>
      </c>
      <c r="T283" s="647"/>
    </row>
    <row r="284" spans="3:21" ht="15.6" customHeight="1">
      <c r="C284" s="2314" t="s">
        <v>566</v>
      </c>
      <c r="D284" s="2313"/>
      <c r="E284" s="2312" t="s">
        <v>567</v>
      </c>
      <c r="F284" s="2313"/>
      <c r="G284" s="2312" t="s">
        <v>568</v>
      </c>
      <c r="H284" s="2313"/>
      <c r="I284" s="2312" t="s">
        <v>569</v>
      </c>
      <c r="J284" s="2313"/>
      <c r="K284" s="2312" t="s">
        <v>570</v>
      </c>
      <c r="L284" s="2313" t="s">
        <v>362</v>
      </c>
      <c r="M284" s="652"/>
      <c r="N284" s="441"/>
      <c r="O284" s="2370" t="s">
        <v>551</v>
      </c>
      <c r="P284" s="2371"/>
      <c r="Q284" s="2372" t="s">
        <v>565</v>
      </c>
      <c r="R284" s="2373"/>
      <c r="S284" s="653" t="s">
        <v>362</v>
      </c>
      <c r="T284" s="647"/>
    </row>
    <row r="285" spans="3:21" ht="15.6" customHeight="1">
      <c r="C285" s="2314" t="s">
        <v>572</v>
      </c>
      <c r="D285" s="2313"/>
      <c r="E285" s="2312" t="s">
        <v>573</v>
      </c>
      <c r="F285" s="2313"/>
      <c r="G285" s="2312" t="s">
        <v>574</v>
      </c>
      <c r="H285" s="2313"/>
      <c r="I285" s="2312" t="s">
        <v>575</v>
      </c>
      <c r="J285" s="2313"/>
      <c r="K285" s="2312" t="s">
        <v>576</v>
      </c>
      <c r="L285" s="2313" t="s">
        <v>362</v>
      </c>
      <c r="M285" s="652"/>
      <c r="N285" s="441"/>
      <c r="O285" s="2317" t="s">
        <v>1926</v>
      </c>
      <c r="P285" s="2318"/>
      <c r="Q285" s="2372" t="s">
        <v>571</v>
      </c>
      <c r="R285" s="2373"/>
      <c r="S285" s="653" t="s">
        <v>362</v>
      </c>
      <c r="T285" s="647"/>
    </row>
    <row r="286" spans="3:21" ht="15">
      <c r="C286" s="2314" t="s">
        <v>577</v>
      </c>
      <c r="D286" s="2313"/>
      <c r="E286" s="2312" t="s">
        <v>578</v>
      </c>
      <c r="F286" s="2313"/>
      <c r="G286" s="2312" t="s">
        <v>579</v>
      </c>
      <c r="H286" s="2313"/>
      <c r="I286" s="2312" t="s">
        <v>580</v>
      </c>
      <c r="J286" s="2313"/>
      <c r="K286" s="2312" t="s">
        <v>581</v>
      </c>
      <c r="L286" s="2313" t="s">
        <v>362</v>
      </c>
      <c r="M286" s="652"/>
      <c r="N286" s="441"/>
      <c r="O286" s="2319"/>
      <c r="P286" s="2320"/>
      <c r="Q286" s="2372" t="s">
        <v>562</v>
      </c>
      <c r="R286" s="2373"/>
      <c r="S286" s="653" t="s">
        <v>362</v>
      </c>
      <c r="T286" s="647"/>
    </row>
    <row r="287" spans="3:21" ht="15.6" customHeight="1">
      <c r="C287" s="2314" t="s">
        <v>582</v>
      </c>
      <c r="D287" s="2313"/>
      <c r="E287" s="2312" t="s">
        <v>583</v>
      </c>
      <c r="F287" s="2313"/>
      <c r="G287" s="2312" t="s">
        <v>584</v>
      </c>
      <c r="H287" s="2313"/>
      <c r="I287" s="2312" t="s">
        <v>585</v>
      </c>
      <c r="J287" s="2313"/>
      <c r="K287" s="2312" t="s">
        <v>586</v>
      </c>
      <c r="L287" s="2313" t="s">
        <v>362</v>
      </c>
      <c r="M287" s="652"/>
      <c r="N287" s="441"/>
      <c r="O287" s="2317" t="s">
        <v>1927</v>
      </c>
      <c r="P287" s="2551"/>
      <c r="Q287" s="2372" t="s">
        <v>567</v>
      </c>
      <c r="R287" s="2373"/>
      <c r="S287" s="653" t="s">
        <v>362</v>
      </c>
      <c r="T287" s="647"/>
    </row>
    <row r="288" spans="3:21" ht="15">
      <c r="C288" s="2314" t="s">
        <v>587</v>
      </c>
      <c r="D288" s="2313"/>
      <c r="E288" s="2312" t="s">
        <v>588</v>
      </c>
      <c r="F288" s="2313"/>
      <c r="G288" s="2312" t="s">
        <v>589</v>
      </c>
      <c r="H288" s="2313"/>
      <c r="I288" s="2312" t="s">
        <v>590</v>
      </c>
      <c r="J288" s="2313"/>
      <c r="K288" s="2312" t="s">
        <v>591</v>
      </c>
      <c r="L288" s="2313" t="s">
        <v>362</v>
      </c>
      <c r="M288" s="652"/>
      <c r="N288" s="441"/>
      <c r="O288" s="2552"/>
      <c r="P288" s="2551"/>
      <c r="Q288" s="2372" t="s">
        <v>625</v>
      </c>
      <c r="R288" s="2373"/>
      <c r="S288" s="653" t="s">
        <v>362</v>
      </c>
      <c r="T288" s="647"/>
    </row>
    <row r="289" spans="3:20" ht="15">
      <c r="C289" s="2314" t="s">
        <v>571</v>
      </c>
      <c r="D289" s="2313"/>
      <c r="E289" s="2312" t="s">
        <v>593</v>
      </c>
      <c r="F289" s="2313"/>
      <c r="G289" s="2312" t="s">
        <v>594</v>
      </c>
      <c r="H289" s="2313"/>
      <c r="I289" s="2312" t="s">
        <v>595</v>
      </c>
      <c r="J289" s="2313"/>
      <c r="K289" s="753" t="s">
        <v>362</v>
      </c>
      <c r="L289" s="655" t="s">
        <v>362</v>
      </c>
      <c r="M289" s="652"/>
      <c r="N289" s="441"/>
      <c r="O289" s="2552"/>
      <c r="P289" s="2551"/>
      <c r="Q289" s="2372" t="s">
        <v>578</v>
      </c>
      <c r="R289" s="2373"/>
      <c r="S289" s="653" t="s">
        <v>362</v>
      </c>
      <c r="T289" s="647"/>
    </row>
    <row r="290" spans="3:20" ht="15">
      <c r="C290" s="2314" t="s">
        <v>597</v>
      </c>
      <c r="D290" s="2313"/>
      <c r="E290" s="2312" t="s">
        <v>592</v>
      </c>
      <c r="F290" s="2313"/>
      <c r="G290" s="2312" t="s">
        <v>598</v>
      </c>
      <c r="H290" s="2313"/>
      <c r="I290" s="2312" t="s">
        <v>599</v>
      </c>
      <c r="J290" s="2313"/>
      <c r="K290" s="753" t="s">
        <v>362</v>
      </c>
      <c r="L290" s="655" t="s">
        <v>362</v>
      </c>
      <c r="M290" s="652"/>
      <c r="N290" s="441"/>
      <c r="O290" s="2370" t="s">
        <v>577</v>
      </c>
      <c r="P290" s="2371"/>
      <c r="Q290" s="2372" t="s">
        <v>592</v>
      </c>
      <c r="R290" s="2373"/>
      <c r="S290" s="653" t="s">
        <v>362</v>
      </c>
      <c r="T290" s="647"/>
    </row>
    <row r="291" spans="3:20" ht="15.6" customHeight="1">
      <c r="C291" s="2314" t="s">
        <v>601</v>
      </c>
      <c r="D291" s="2313"/>
      <c r="E291" s="2312" t="s">
        <v>596</v>
      </c>
      <c r="F291" s="2313"/>
      <c r="G291" s="2312" t="s">
        <v>602</v>
      </c>
      <c r="H291" s="2313"/>
      <c r="I291" s="2312" t="s">
        <v>603</v>
      </c>
      <c r="J291" s="2313"/>
      <c r="K291" s="753" t="s">
        <v>362</v>
      </c>
      <c r="L291" s="655" t="s">
        <v>362</v>
      </c>
      <c r="M291" s="652"/>
      <c r="N291" s="441"/>
      <c r="O291" s="2370" t="s">
        <v>587</v>
      </c>
      <c r="P291" s="2371"/>
      <c r="Q291" s="2372" t="s">
        <v>641</v>
      </c>
      <c r="R291" s="2373"/>
      <c r="S291" s="653" t="s">
        <v>362</v>
      </c>
      <c r="T291" s="647"/>
    </row>
    <row r="292" spans="3:20" ht="15.6" customHeight="1">
      <c r="C292" s="2314" t="s">
        <v>604</v>
      </c>
      <c r="D292" s="2313"/>
      <c r="E292" s="2312" t="s">
        <v>600</v>
      </c>
      <c r="F292" s="2313"/>
      <c r="G292" s="2312" t="s">
        <v>605</v>
      </c>
      <c r="H292" s="2313"/>
      <c r="I292" s="2312" t="s">
        <v>606</v>
      </c>
      <c r="J292" s="2313"/>
      <c r="K292" s="753" t="s">
        <v>362</v>
      </c>
      <c r="L292" s="655" t="s">
        <v>362</v>
      </c>
      <c r="M292" s="652"/>
      <c r="N292" s="441"/>
      <c r="O292" s="2370" t="s">
        <v>597</v>
      </c>
      <c r="P292" s="2371"/>
      <c r="Q292" s="2372" t="s">
        <v>596</v>
      </c>
      <c r="R292" s="2373"/>
      <c r="S292" s="653" t="s">
        <v>362</v>
      </c>
      <c r="T292" s="647"/>
    </row>
    <row r="293" spans="3:20" ht="15">
      <c r="C293" s="2314" t="s">
        <v>607</v>
      </c>
      <c r="D293" s="2313"/>
      <c r="E293" s="2312" t="s">
        <v>608</v>
      </c>
      <c r="F293" s="2313"/>
      <c r="G293" s="2312" t="s">
        <v>609</v>
      </c>
      <c r="H293" s="2313"/>
      <c r="I293" s="2312" t="s">
        <v>610</v>
      </c>
      <c r="J293" s="2313"/>
      <c r="K293" s="753" t="s">
        <v>362</v>
      </c>
      <c r="L293" s="655" t="s">
        <v>362</v>
      </c>
      <c r="M293" s="652"/>
      <c r="N293" s="441"/>
      <c r="O293" s="2370" t="s">
        <v>601</v>
      </c>
      <c r="P293" s="2371"/>
      <c r="Q293" s="2372" t="s">
        <v>600</v>
      </c>
      <c r="R293" s="2373"/>
      <c r="S293" s="653" t="s">
        <v>362</v>
      </c>
      <c r="T293" s="647"/>
    </row>
    <row r="294" spans="3:20" ht="15">
      <c r="C294" s="2314" t="s">
        <v>611</v>
      </c>
      <c r="D294" s="2313"/>
      <c r="E294" s="578"/>
      <c r="F294" s="580"/>
      <c r="G294" s="2312" t="s">
        <v>612</v>
      </c>
      <c r="H294" s="2313"/>
      <c r="I294" s="2312" t="s">
        <v>613</v>
      </c>
      <c r="J294" s="2313"/>
      <c r="K294" s="753" t="s">
        <v>362</v>
      </c>
      <c r="L294" s="655" t="s">
        <v>362</v>
      </c>
      <c r="M294" s="652"/>
      <c r="N294" s="441"/>
      <c r="O294" s="2370" t="s">
        <v>604</v>
      </c>
      <c r="P294" s="2371"/>
      <c r="Q294" s="1968"/>
      <c r="R294" s="1969"/>
      <c r="S294" s="653" t="s">
        <v>362</v>
      </c>
      <c r="T294" s="647"/>
    </row>
    <row r="295" spans="3:20" ht="15">
      <c r="C295" s="2314" t="s">
        <v>614</v>
      </c>
      <c r="D295" s="2313"/>
      <c r="E295" s="578"/>
      <c r="F295" s="580"/>
      <c r="G295" s="2312" t="s">
        <v>615</v>
      </c>
      <c r="H295" s="2313"/>
      <c r="I295" s="2312" t="s">
        <v>616</v>
      </c>
      <c r="J295" s="2313"/>
      <c r="K295" s="753" t="s">
        <v>362</v>
      </c>
      <c r="L295" s="655" t="s">
        <v>362</v>
      </c>
      <c r="M295" s="652"/>
      <c r="N295" s="441"/>
      <c r="O295" s="2370" t="s">
        <v>611</v>
      </c>
      <c r="P295" s="2371"/>
      <c r="Q295" s="1968"/>
      <c r="R295" s="1969"/>
      <c r="S295" s="653" t="s">
        <v>362</v>
      </c>
      <c r="T295" s="647"/>
    </row>
    <row r="296" spans="3:20" ht="15">
      <c r="C296" s="2314" t="s">
        <v>617</v>
      </c>
      <c r="D296" s="2313"/>
      <c r="E296" s="578"/>
      <c r="F296" s="580"/>
      <c r="G296" s="2312" t="s">
        <v>618</v>
      </c>
      <c r="H296" s="2313"/>
      <c r="I296" s="2312" t="s">
        <v>619</v>
      </c>
      <c r="J296" s="2313"/>
      <c r="K296" s="753" t="s">
        <v>362</v>
      </c>
      <c r="L296" s="655" t="s">
        <v>362</v>
      </c>
      <c r="M296" s="652"/>
      <c r="N296" s="441"/>
      <c r="O296" s="2370" t="s">
        <v>614</v>
      </c>
      <c r="P296" s="2371"/>
      <c r="Q296" s="1968"/>
      <c r="R296" s="1969"/>
      <c r="S296" s="653" t="s">
        <v>362</v>
      </c>
      <c r="T296" s="647"/>
    </row>
    <row r="297" spans="3:20" ht="15">
      <c r="C297" s="2314" t="s">
        <v>620</v>
      </c>
      <c r="D297" s="2313"/>
      <c r="E297" s="578"/>
      <c r="F297" s="580"/>
      <c r="G297" s="2312" t="s">
        <v>621</v>
      </c>
      <c r="H297" s="2313"/>
      <c r="I297" s="2312" t="s">
        <v>622</v>
      </c>
      <c r="J297" s="2313"/>
      <c r="K297" s="753" t="s">
        <v>362</v>
      </c>
      <c r="L297" s="655" t="s">
        <v>362</v>
      </c>
      <c r="M297" s="652"/>
      <c r="N297" s="441"/>
      <c r="O297" s="2370" t="s">
        <v>617</v>
      </c>
      <c r="P297" s="2371"/>
      <c r="Q297" s="1968"/>
      <c r="R297" s="1969"/>
      <c r="S297" s="653" t="s">
        <v>362</v>
      </c>
      <c r="T297" s="647"/>
    </row>
    <row r="298" spans="3:20" ht="15">
      <c r="C298" s="2314" t="s">
        <v>623</v>
      </c>
      <c r="D298" s="2313"/>
      <c r="E298" s="578"/>
      <c r="F298" s="580"/>
      <c r="G298" s="2312"/>
      <c r="H298" s="2313"/>
      <c r="I298" s="2312" t="s">
        <v>624</v>
      </c>
      <c r="J298" s="2313"/>
      <c r="K298" s="753" t="s">
        <v>362</v>
      </c>
      <c r="L298" s="655" t="s">
        <v>362</v>
      </c>
      <c r="M298" s="652"/>
      <c r="N298" s="441"/>
      <c r="O298" s="2370" t="s">
        <v>620</v>
      </c>
      <c r="P298" s="2371"/>
      <c r="Q298" s="1968"/>
      <c r="R298" s="1969"/>
      <c r="S298" s="653" t="s">
        <v>362</v>
      </c>
      <c r="T298" s="647"/>
    </row>
    <row r="299" spans="3:20" ht="15.6" customHeight="1">
      <c r="C299" s="2314" t="s">
        <v>625</v>
      </c>
      <c r="D299" s="2313"/>
      <c r="E299" s="578"/>
      <c r="F299" s="580"/>
      <c r="G299" s="2312"/>
      <c r="H299" s="2313"/>
      <c r="I299" s="2312" t="s">
        <v>626</v>
      </c>
      <c r="J299" s="2313"/>
      <c r="K299" s="753" t="s">
        <v>362</v>
      </c>
      <c r="L299" s="655" t="s">
        <v>362</v>
      </c>
      <c r="M299" s="652"/>
      <c r="N299" s="441"/>
      <c r="O299" s="2370" t="s">
        <v>623</v>
      </c>
      <c r="P299" s="2371"/>
      <c r="Q299" s="1968"/>
      <c r="R299" s="1969"/>
      <c r="S299" s="653" t="s">
        <v>362</v>
      </c>
      <c r="T299" s="647"/>
    </row>
    <row r="300" spans="3:20" ht="15">
      <c r="C300" s="2314" t="s">
        <v>627</v>
      </c>
      <c r="D300" s="2313"/>
      <c r="E300" s="578"/>
      <c r="F300" s="580"/>
      <c r="G300" s="2312"/>
      <c r="H300" s="2313"/>
      <c r="I300" s="2312" t="s">
        <v>628</v>
      </c>
      <c r="J300" s="2313"/>
      <c r="K300" s="753" t="s">
        <v>362</v>
      </c>
      <c r="L300" s="655" t="s">
        <v>362</v>
      </c>
      <c r="M300" s="652"/>
      <c r="N300" s="441"/>
      <c r="O300" s="2370" t="s">
        <v>627</v>
      </c>
      <c r="P300" s="2371"/>
      <c r="Q300" s="1968"/>
      <c r="R300" s="1969"/>
      <c r="S300" s="653" t="s">
        <v>362</v>
      </c>
      <c r="T300" s="647"/>
    </row>
    <row r="301" spans="3:20" ht="15.6" customHeight="1">
      <c r="C301" s="2314" t="s">
        <v>629</v>
      </c>
      <c r="D301" s="2313"/>
      <c r="E301" s="578"/>
      <c r="F301" s="580"/>
      <c r="G301" s="2312"/>
      <c r="H301" s="2313"/>
      <c r="I301" s="2312" t="s">
        <v>630</v>
      </c>
      <c r="J301" s="2313"/>
      <c r="K301" s="753" t="s">
        <v>362</v>
      </c>
      <c r="L301" s="655" t="s">
        <v>362</v>
      </c>
      <c r="M301" s="652"/>
      <c r="N301" s="441"/>
      <c r="O301" s="2370" t="s">
        <v>629</v>
      </c>
      <c r="P301" s="2371"/>
      <c r="Q301" s="1968"/>
      <c r="R301" s="1969"/>
      <c r="S301" s="653" t="s">
        <v>362</v>
      </c>
      <c r="T301" s="647"/>
    </row>
    <row r="302" spans="3:20" ht="15">
      <c r="C302" s="2314" t="s">
        <v>631</v>
      </c>
      <c r="D302" s="2313"/>
      <c r="E302" s="578"/>
      <c r="F302" s="580"/>
      <c r="G302" s="2312"/>
      <c r="H302" s="2313"/>
      <c r="I302" s="2312" t="s">
        <v>632</v>
      </c>
      <c r="J302" s="2313"/>
      <c r="K302" s="753" t="s">
        <v>362</v>
      </c>
      <c r="L302" s="655" t="s">
        <v>362</v>
      </c>
      <c r="M302" s="652"/>
      <c r="N302" s="441"/>
      <c r="O302" s="2370" t="s">
        <v>631</v>
      </c>
      <c r="P302" s="2371"/>
      <c r="Q302" s="1968"/>
      <c r="R302" s="1969"/>
      <c r="S302" s="653" t="s">
        <v>362</v>
      </c>
      <c r="T302" s="647"/>
    </row>
    <row r="303" spans="3:20" ht="15.6" customHeight="1">
      <c r="C303" s="2314" t="s">
        <v>633</v>
      </c>
      <c r="D303" s="2313"/>
      <c r="E303" s="578"/>
      <c r="F303" s="580"/>
      <c r="G303" s="2312"/>
      <c r="H303" s="2313"/>
      <c r="I303" s="2312" t="s">
        <v>634</v>
      </c>
      <c r="J303" s="2313"/>
      <c r="K303" s="753" t="s">
        <v>362</v>
      </c>
      <c r="L303" s="655" t="s">
        <v>362</v>
      </c>
      <c r="M303" s="652"/>
      <c r="N303" s="441"/>
      <c r="O303" s="2317" t="s">
        <v>1928</v>
      </c>
      <c r="P303" s="2318"/>
      <c r="Q303" s="1968"/>
      <c r="R303" s="1969"/>
      <c r="S303" s="653" t="s">
        <v>362</v>
      </c>
      <c r="T303" s="647"/>
    </row>
    <row r="304" spans="3:20" ht="15">
      <c r="C304" s="2314" t="s">
        <v>635</v>
      </c>
      <c r="D304" s="2313"/>
      <c r="E304" s="578"/>
      <c r="F304" s="580"/>
      <c r="G304" s="2312"/>
      <c r="H304" s="2313"/>
      <c r="I304" s="2312" t="s">
        <v>636</v>
      </c>
      <c r="J304" s="2313"/>
      <c r="K304" s="753" t="s">
        <v>362</v>
      </c>
      <c r="L304" s="655" t="s">
        <v>362</v>
      </c>
      <c r="M304" s="652"/>
      <c r="N304" s="441"/>
      <c r="O304" s="2319"/>
      <c r="P304" s="2320"/>
      <c r="Q304" s="1968"/>
      <c r="R304" s="1969"/>
      <c r="S304" s="653" t="s">
        <v>362</v>
      </c>
      <c r="T304" s="647"/>
    </row>
    <row r="305" spans="3:20" ht="15">
      <c r="C305" s="2314" t="s">
        <v>637</v>
      </c>
      <c r="D305" s="2313"/>
      <c r="E305" s="578"/>
      <c r="F305" s="580"/>
      <c r="G305" s="2312"/>
      <c r="H305" s="2313"/>
      <c r="I305" s="2312" t="s">
        <v>638</v>
      </c>
      <c r="J305" s="2313"/>
      <c r="K305" s="753" t="s">
        <v>362</v>
      </c>
      <c r="L305" s="655" t="s">
        <v>362</v>
      </c>
      <c r="M305" s="652"/>
      <c r="N305" s="441"/>
      <c r="O305" s="2370" t="s">
        <v>1929</v>
      </c>
      <c r="P305" s="2371"/>
      <c r="Q305" s="1968"/>
      <c r="R305" s="1969"/>
      <c r="S305" s="653" t="s">
        <v>362</v>
      </c>
      <c r="T305" s="647"/>
    </row>
    <row r="306" spans="3:20" ht="15">
      <c r="C306" s="2314" t="s">
        <v>639</v>
      </c>
      <c r="D306" s="2313"/>
      <c r="E306" s="578"/>
      <c r="F306" s="580"/>
      <c r="G306" s="2312"/>
      <c r="H306" s="2313"/>
      <c r="I306" s="753" t="s">
        <v>362</v>
      </c>
      <c r="J306" s="655"/>
      <c r="K306" s="753" t="s">
        <v>362</v>
      </c>
      <c r="L306" s="655" t="s">
        <v>362</v>
      </c>
      <c r="M306" s="652"/>
      <c r="N306" s="441"/>
      <c r="O306" s="2370" t="s">
        <v>637</v>
      </c>
      <c r="P306" s="2371"/>
      <c r="Q306" s="1968"/>
      <c r="R306" s="1969"/>
      <c r="S306" s="653" t="s">
        <v>362</v>
      </c>
      <c r="T306" s="647"/>
    </row>
    <row r="307" spans="3:20" ht="15">
      <c r="C307" s="2314" t="s">
        <v>640</v>
      </c>
      <c r="D307" s="2313"/>
      <c r="E307" s="578"/>
      <c r="F307" s="580"/>
      <c r="G307" s="2312"/>
      <c r="H307" s="2313"/>
      <c r="I307" s="753" t="s">
        <v>362</v>
      </c>
      <c r="J307" s="655"/>
      <c r="K307" s="753" t="s">
        <v>362</v>
      </c>
      <c r="L307" s="655" t="s">
        <v>362</v>
      </c>
      <c r="M307" s="652"/>
      <c r="N307" s="441"/>
      <c r="O307" s="2370" t="s">
        <v>583</v>
      </c>
      <c r="P307" s="2371"/>
      <c r="Q307" s="1968"/>
      <c r="R307" s="1969"/>
      <c r="S307" s="653" t="s">
        <v>362</v>
      </c>
      <c r="T307" s="647"/>
    </row>
    <row r="308" spans="3:20" ht="15.6" customHeight="1">
      <c r="C308" s="2314" t="s">
        <v>641</v>
      </c>
      <c r="D308" s="2313"/>
      <c r="E308" s="578"/>
      <c r="F308" s="580"/>
      <c r="G308" s="2312"/>
      <c r="H308" s="2313"/>
      <c r="I308" s="753" t="s">
        <v>362</v>
      </c>
      <c r="J308" s="655"/>
      <c r="K308" s="753" t="s">
        <v>362</v>
      </c>
      <c r="L308" s="752" t="s">
        <v>362</v>
      </c>
      <c r="M308" s="652"/>
      <c r="N308" s="441"/>
      <c r="O308" s="2370" t="s">
        <v>640</v>
      </c>
      <c r="P308" s="2371"/>
      <c r="Q308" s="1968"/>
      <c r="R308" s="1969"/>
      <c r="S308" s="653" t="s">
        <v>362</v>
      </c>
      <c r="T308" s="647"/>
    </row>
    <row r="309" spans="3:20" ht="15.6" customHeight="1">
      <c r="C309" s="2314" t="s">
        <v>642</v>
      </c>
      <c r="D309" s="2313"/>
      <c r="E309" s="578"/>
      <c r="F309" s="580"/>
      <c r="G309" s="2312"/>
      <c r="H309" s="2313"/>
      <c r="I309" s="753" t="s">
        <v>362</v>
      </c>
      <c r="J309" s="655"/>
      <c r="K309" s="753" t="s">
        <v>362</v>
      </c>
      <c r="L309" s="655" t="s">
        <v>362</v>
      </c>
      <c r="M309" s="652"/>
      <c r="N309" s="441"/>
      <c r="O309" s="2372"/>
      <c r="P309" s="2373"/>
      <c r="Q309" s="1968"/>
      <c r="R309" s="1969"/>
      <c r="S309" s="653" t="s">
        <v>362</v>
      </c>
      <c r="T309" s="647"/>
    </row>
    <row r="310" spans="3:20" ht="15.6" customHeight="1">
      <c r="C310" s="2314"/>
      <c r="D310" s="2313"/>
      <c r="E310" s="578"/>
      <c r="F310" s="580"/>
      <c r="G310" s="2312"/>
      <c r="H310" s="2313"/>
      <c r="I310" s="753" t="s">
        <v>362</v>
      </c>
      <c r="J310" s="655"/>
      <c r="K310" s="753" t="s">
        <v>362</v>
      </c>
      <c r="L310" s="655"/>
      <c r="M310" s="652"/>
      <c r="N310" s="441"/>
      <c r="O310" s="2372"/>
      <c r="P310" s="2373"/>
      <c r="Q310" s="1968"/>
      <c r="R310" s="1969"/>
      <c r="S310" s="653" t="s">
        <v>362</v>
      </c>
      <c r="T310" s="647"/>
    </row>
    <row r="311" spans="3:20" ht="15">
      <c r="C311" s="2314"/>
      <c r="D311" s="2313"/>
      <c r="E311" s="578"/>
      <c r="F311" s="580"/>
      <c r="G311" s="2312"/>
      <c r="H311" s="2313"/>
      <c r="I311" s="656"/>
      <c r="J311" s="655"/>
      <c r="K311" s="656"/>
      <c r="L311" s="655"/>
      <c r="M311" s="652"/>
      <c r="N311" s="441"/>
      <c r="O311" s="2372"/>
      <c r="P311" s="2373"/>
      <c r="Q311" s="1968"/>
      <c r="R311" s="1969"/>
      <c r="S311" s="653" t="s">
        <v>362</v>
      </c>
      <c r="T311" s="647"/>
    </row>
    <row r="312" spans="3:20" ht="15.6" customHeight="1">
      <c r="C312" s="2315" t="s">
        <v>859</v>
      </c>
      <c r="D312" s="2316"/>
      <c r="E312" s="578"/>
      <c r="F312" s="580"/>
      <c r="G312" s="2312"/>
      <c r="H312" s="2313"/>
      <c r="I312" s="656"/>
      <c r="J312" s="655"/>
      <c r="K312" s="656"/>
      <c r="L312" s="655"/>
      <c r="M312" s="652"/>
      <c r="N312" s="441"/>
      <c r="O312" s="2372"/>
      <c r="P312" s="2373"/>
      <c r="Q312" s="1968"/>
      <c r="R312" s="1969"/>
      <c r="S312" s="653" t="s">
        <v>362</v>
      </c>
      <c r="T312" s="647"/>
    </row>
    <row r="313" spans="3:20" ht="15">
      <c r="C313" s="2315" t="s">
        <v>643</v>
      </c>
      <c r="D313" s="2316"/>
      <c r="E313" s="578"/>
      <c r="F313" s="580"/>
      <c r="G313" s="2312"/>
      <c r="H313" s="2313"/>
      <c r="I313" s="656"/>
      <c r="J313" s="655"/>
      <c r="K313" s="656"/>
      <c r="L313" s="655"/>
      <c r="M313" s="652"/>
      <c r="N313" s="441"/>
      <c r="O313" s="2372"/>
      <c r="P313" s="2373"/>
      <c r="Q313" s="1968"/>
      <c r="R313" s="1969"/>
      <c r="S313" s="653" t="s">
        <v>362</v>
      </c>
      <c r="T313" s="647"/>
    </row>
    <row r="314" spans="3:20" ht="15">
      <c r="C314" s="2315"/>
      <c r="D314" s="2316"/>
      <c r="E314" s="578"/>
      <c r="F314" s="580"/>
      <c r="G314" s="2312"/>
      <c r="H314" s="2313"/>
      <c r="I314" s="658"/>
      <c r="J314" s="655"/>
      <c r="K314" s="659"/>
      <c r="L314" s="655"/>
      <c r="M314" s="652"/>
      <c r="N314" s="441"/>
      <c r="O314" s="2372"/>
      <c r="P314" s="2373"/>
      <c r="Q314" s="1970"/>
      <c r="R314" s="1969"/>
      <c r="S314" s="653" t="s">
        <v>362</v>
      </c>
      <c r="T314" s="647"/>
    </row>
    <row r="315" spans="3:20" ht="15">
      <c r="C315" s="2323"/>
      <c r="D315" s="2324"/>
      <c r="E315" s="581"/>
      <c r="F315" s="660"/>
      <c r="G315" s="2321"/>
      <c r="H315" s="2322"/>
      <c r="I315" s="661"/>
      <c r="J315" s="662"/>
      <c r="K315" s="663"/>
      <c r="L315" s="662"/>
      <c r="M315" s="664"/>
      <c r="N315" s="441"/>
      <c r="O315" s="2553"/>
      <c r="P315" s="2554"/>
      <c r="Q315" s="1971"/>
      <c r="R315" s="1972"/>
      <c r="S315" s="665" t="s">
        <v>362</v>
      </c>
      <c r="T315" s="647"/>
    </row>
    <row r="316" spans="3:20" ht="15">
      <c r="C316" s="441"/>
      <c r="D316" s="441"/>
      <c r="E316" s="441"/>
      <c r="F316" s="441"/>
      <c r="G316" s="441"/>
      <c r="H316" s="441"/>
      <c r="I316" s="441"/>
      <c r="J316" s="441"/>
      <c r="K316" s="441"/>
      <c r="L316" s="441"/>
      <c r="M316" s="441"/>
      <c r="N316" s="666"/>
      <c r="O316" s="441"/>
      <c r="P316" s="441"/>
      <c r="Q316" s="441"/>
      <c r="R316" s="441"/>
      <c r="S316" s="441"/>
    </row>
    <row r="317" spans="3:20" ht="15">
      <c r="C317" s="441"/>
      <c r="D317" s="441"/>
      <c r="E317" s="441"/>
      <c r="F317" s="441"/>
      <c r="G317" s="441"/>
      <c r="H317" s="441"/>
      <c r="I317" s="441"/>
      <c r="J317" s="441"/>
      <c r="K317" s="441"/>
      <c r="L317" s="441"/>
      <c r="M317" s="441"/>
      <c r="N317" s="666"/>
      <c r="O317" s="441"/>
      <c r="P317" s="441"/>
      <c r="Q317" s="441"/>
      <c r="R317" s="441"/>
      <c r="S317" s="441"/>
    </row>
    <row r="318" spans="3:20" ht="15">
      <c r="C318" s="441"/>
      <c r="D318" s="441"/>
      <c r="E318" s="441"/>
      <c r="F318" s="441"/>
      <c r="G318" s="441"/>
      <c r="H318" s="441"/>
      <c r="I318" s="441"/>
      <c r="J318" s="441"/>
      <c r="K318" s="441"/>
      <c r="L318" s="441"/>
      <c r="M318" s="441"/>
      <c r="N318" s="666"/>
      <c r="O318" s="441"/>
      <c r="P318" s="441"/>
      <c r="Q318" s="441"/>
      <c r="R318" s="441"/>
      <c r="S318" s="441"/>
    </row>
    <row r="319" spans="3:20" ht="15">
      <c r="C319" s="441"/>
      <c r="D319" s="441"/>
      <c r="E319" s="441"/>
      <c r="F319" s="441"/>
      <c r="G319" s="441"/>
      <c r="H319" s="441"/>
      <c r="I319" s="441"/>
      <c r="J319" s="441"/>
      <c r="K319" s="441"/>
      <c r="L319" s="441"/>
      <c r="M319" s="441"/>
      <c r="N319" s="666"/>
      <c r="O319" s="441"/>
      <c r="P319" s="441"/>
      <c r="Q319" s="441"/>
      <c r="R319" s="441"/>
      <c r="S319" s="441"/>
    </row>
    <row r="320" spans="3:20" ht="15">
      <c r="C320" s="441"/>
      <c r="D320" s="441"/>
      <c r="E320" s="441"/>
      <c r="F320" s="441"/>
      <c r="G320" s="441"/>
      <c r="H320" s="441"/>
      <c r="I320" s="441"/>
      <c r="J320" s="441"/>
      <c r="K320" s="441"/>
      <c r="L320" s="441"/>
      <c r="M320" s="441"/>
      <c r="N320" s="666"/>
      <c r="O320" s="441"/>
      <c r="P320" s="441"/>
      <c r="Q320" s="441"/>
      <c r="R320" s="441"/>
      <c r="S320" s="441"/>
    </row>
    <row r="323" spans="1:22" ht="19.149999999999999" customHeight="1">
      <c r="B323" s="522"/>
      <c r="C323" s="585"/>
      <c r="D323" s="584"/>
      <c r="E323" s="584"/>
      <c r="F323" s="584"/>
      <c r="G323" s="586"/>
      <c r="H323" s="586"/>
      <c r="I323" s="586"/>
      <c r="J323" s="586"/>
      <c r="K323" s="587"/>
      <c r="L323" s="587"/>
      <c r="M323" s="587"/>
      <c r="N323" s="587"/>
      <c r="O323" s="587"/>
      <c r="P323" s="587"/>
      <c r="Q323" s="561"/>
      <c r="R323" s="561"/>
      <c r="S323" s="441"/>
      <c r="T323" s="441"/>
      <c r="U323" s="588"/>
      <c r="V323" s="441"/>
    </row>
    <row r="325" spans="1:22" ht="15.75">
      <c r="M325" s="476" t="s">
        <v>993</v>
      </c>
      <c r="R325" s="477" t="s">
        <v>692</v>
      </c>
      <c r="S325" s="478" t="str">
        <f>$E$29</f>
        <v>ILF5_90FCPRS_B114CAGR43006</v>
      </c>
    </row>
    <row r="328" spans="1:22">
      <c r="A328" s="420"/>
      <c r="B328" s="420"/>
      <c r="C328" s="420"/>
      <c r="D328" s="420"/>
      <c r="E328" s="420"/>
      <c r="F328" s="420"/>
      <c r="G328" s="420"/>
      <c r="H328" s="420"/>
      <c r="I328" s="420"/>
      <c r="K328" s="420"/>
      <c r="L328" s="420"/>
      <c r="M328" s="420"/>
      <c r="N328" s="420"/>
      <c r="O328" s="420"/>
      <c r="P328" s="420"/>
      <c r="Q328" s="420"/>
      <c r="R328" s="420"/>
      <c r="S328" s="420"/>
      <c r="T328" s="420"/>
      <c r="U328" s="420"/>
      <c r="V328" s="420"/>
    </row>
    <row r="329" spans="1:22">
      <c r="A329" s="420"/>
      <c r="B329" s="420"/>
      <c r="C329" s="420"/>
      <c r="D329" s="420"/>
      <c r="E329" s="420"/>
      <c r="F329" s="420"/>
      <c r="G329" s="420"/>
      <c r="H329" s="436" t="s">
        <v>690</v>
      </c>
      <c r="I329" s="420"/>
      <c r="K329" s="420"/>
      <c r="L329" s="437" t="str">
        <f>$B$11</f>
        <v>INMOBILIARIA SERVIGESTION</v>
      </c>
      <c r="M329" s="420"/>
      <c r="N329" s="420"/>
      <c r="P329" s="420"/>
      <c r="Q329" s="420"/>
      <c r="S329" s="420"/>
      <c r="T329" s="420"/>
      <c r="V329" s="437"/>
    </row>
    <row r="330" spans="1:22" ht="34.5">
      <c r="A330" s="420"/>
      <c r="B330" s="2268" t="s">
        <v>461</v>
      </c>
      <c r="C330" s="2268"/>
      <c r="D330" s="2268"/>
      <c r="E330" s="2268"/>
      <c r="F330" s="2268"/>
      <c r="G330" s="2268"/>
      <c r="H330" s="2268"/>
      <c r="I330" s="2268"/>
      <c r="J330" s="2268"/>
      <c r="K330" s="2268"/>
      <c r="L330" s="2268"/>
      <c r="M330" s="2268"/>
      <c r="N330" s="2268"/>
      <c r="O330" s="2268"/>
      <c r="P330" s="2268"/>
      <c r="Q330" s="2268"/>
      <c r="R330" s="2268"/>
      <c r="S330" s="2268"/>
      <c r="T330" s="2268"/>
      <c r="U330" s="2268"/>
      <c r="V330" s="420"/>
    </row>
    <row r="331" spans="1:22" ht="22.9" customHeight="1">
      <c r="A331" s="420"/>
      <c r="B331" s="2269" t="s">
        <v>808</v>
      </c>
      <c r="C331" s="2269"/>
      <c r="D331" s="2269"/>
      <c r="E331" s="2269"/>
      <c r="F331" s="2269"/>
      <c r="G331" s="2269"/>
      <c r="H331" s="2269"/>
      <c r="I331" s="2269"/>
      <c r="J331" s="2269"/>
      <c r="K331" s="2269"/>
      <c r="L331" s="2269"/>
      <c r="M331" s="2269"/>
      <c r="N331" s="2269"/>
      <c r="O331" s="2269"/>
      <c r="P331" s="2269"/>
      <c r="Q331" s="2269"/>
      <c r="R331" s="2269"/>
      <c r="S331" s="2269"/>
      <c r="T331" s="2269"/>
      <c r="U331" s="2269"/>
      <c r="V331" s="420"/>
    </row>
    <row r="332" spans="1:22" ht="21" customHeight="1">
      <c r="A332" s="420"/>
      <c r="B332" s="2251" t="s">
        <v>711</v>
      </c>
      <c r="C332" s="2251"/>
      <c r="D332" s="2251"/>
      <c r="E332" s="2251"/>
      <c r="F332" s="2251"/>
      <c r="G332" s="2251"/>
      <c r="H332" s="2251"/>
      <c r="I332" s="2251"/>
      <c r="J332" s="2251"/>
      <c r="K332" s="2251"/>
      <c r="L332" s="2251"/>
      <c r="M332" s="2251"/>
      <c r="N332" s="2251"/>
      <c r="O332" s="2251"/>
      <c r="P332" s="2251"/>
      <c r="Q332" s="2251"/>
      <c r="R332" s="2251"/>
      <c r="S332" s="2251"/>
      <c r="T332" s="2251"/>
      <c r="U332" s="2251"/>
      <c r="V332" s="420"/>
    </row>
    <row r="333" spans="1:22" ht="23.25">
      <c r="A333" s="420"/>
      <c r="B333" s="2279" t="s">
        <v>712</v>
      </c>
      <c r="C333" s="2279"/>
      <c r="D333" s="2279"/>
      <c r="E333" s="2279"/>
      <c r="F333" s="2279"/>
      <c r="G333" s="2279"/>
      <c r="H333" s="2279"/>
      <c r="I333" s="2279"/>
      <c r="J333" s="2279"/>
      <c r="K333" s="2279"/>
      <c r="L333" s="2279"/>
      <c r="M333" s="2279"/>
      <c r="N333" s="2279"/>
      <c r="O333" s="2279"/>
      <c r="P333" s="2279"/>
      <c r="Q333" s="2279"/>
      <c r="R333" s="2279"/>
      <c r="S333" s="2279"/>
      <c r="T333" s="2279"/>
      <c r="U333" s="2279"/>
      <c r="V333" s="420"/>
    </row>
    <row r="334" spans="1:22" ht="7.15" customHeight="1">
      <c r="A334" s="429"/>
      <c r="L334" s="488"/>
      <c r="R334" s="488"/>
      <c r="T334" s="488"/>
      <c r="V334" s="429"/>
    </row>
    <row r="335" spans="1:22" ht="72.75" customHeight="1">
      <c r="A335" s="441"/>
      <c r="B335" s="2609" t="s">
        <v>462</v>
      </c>
      <c r="C335" s="2610"/>
      <c r="D335" s="796" t="s">
        <v>463</v>
      </c>
      <c r="E335" s="796" t="s">
        <v>464</v>
      </c>
      <c r="F335" s="2607" t="s">
        <v>468</v>
      </c>
      <c r="G335" s="2608"/>
      <c r="H335" s="758" t="s">
        <v>693</v>
      </c>
      <c r="I335" s="2255" t="s">
        <v>763</v>
      </c>
      <c r="J335" s="2256"/>
      <c r="K335" s="758" t="s">
        <v>339</v>
      </c>
      <c r="L335" s="796" t="s">
        <v>444</v>
      </c>
      <c r="M335" s="758" t="s">
        <v>841</v>
      </c>
      <c r="N335" s="758" t="s">
        <v>51</v>
      </c>
      <c r="O335" s="758" t="s">
        <v>845</v>
      </c>
      <c r="P335" s="758" t="s">
        <v>842</v>
      </c>
      <c r="Q335" s="2611" t="s">
        <v>846</v>
      </c>
      <c r="R335" s="2612"/>
      <c r="S335" s="2611" t="s">
        <v>843</v>
      </c>
      <c r="T335" s="2612"/>
      <c r="U335" s="466"/>
    </row>
    <row r="336" spans="1:22" ht="48.75" customHeight="1">
      <c r="B336" s="2272" t="str">
        <f>IF(Perfiles_usuario!B39=0,"",Perfiles_usuario!B39)</f>
        <v>LINEA JEFE</v>
      </c>
      <c r="C336" s="2259"/>
      <c r="D336" s="756">
        <f>IF(Perfiles_usuario!D39=0,"",Perfiles_usuario!D39)</f>
        <v>1</v>
      </c>
      <c r="E336" s="756">
        <f>IF(Perfiles_usuario!D39=0,"",Perfiles_usuario!F39)</f>
        <v>1</v>
      </c>
      <c r="F336" s="2259" t="str">
        <f>IF(Perfiles_usuario!D39=0,"","incluidas")</f>
        <v>incluidas</v>
      </c>
      <c r="G336" s="2259"/>
      <c r="H336" s="756" t="str">
        <f>IF(B336&lt;&gt;"","Sí","")</f>
        <v>Sí</v>
      </c>
      <c r="I336" s="2259" t="str">
        <f>IF(Perfiles_usuario!D39=0,"",Perfiles_usuario!H39)</f>
        <v>Ilimitada+8GB</v>
      </c>
      <c r="J336" s="2259"/>
      <c r="K336" s="756" t="str">
        <f>IF(Perfiles_usuario!J39=0,"",Perfiles_usuario!J39)</f>
        <v/>
      </c>
      <c r="L336" s="756" t="str">
        <f>IF(Perfiles_usuario!D39=0,"",IF(Perfiles_usuario!N39="","No",Perfiles_usuario!N39))</f>
        <v>No</v>
      </c>
      <c r="M336" s="699">
        <f>IF(Perfiles_usuario!D39=0,"",Perfiles_usuario!P39)</f>
        <v>53</v>
      </c>
      <c r="N336" s="699">
        <f>IF(Perfiles_usuario!D39=0,"",Perfiles_usuario!R39)</f>
        <v>53</v>
      </c>
      <c r="O336" s="797">
        <f>IF(Perfiles_usuario!$D39=0,"",Perfiles_usuario!Z39)</f>
        <v>47.7</v>
      </c>
      <c r="P336" s="699">
        <f>IF(Perfiles_usuario!$D39=0,"",Perfiles_usuario!AB39)</f>
        <v>47.7</v>
      </c>
      <c r="Q336" s="2596">
        <f>IF(Perfiles_usuario!D39=0,"",Perfiles_usuario!AF39)</f>
        <v>42.400000000000006</v>
      </c>
      <c r="R336" s="2596"/>
      <c r="S336" s="2597">
        <f>IF(Perfiles_usuario!D39=0,"",Perfiles_usuario!AH39)</f>
        <v>42.400000000000006</v>
      </c>
      <c r="T336" s="2598"/>
      <c r="V336" s="441"/>
    </row>
    <row r="337" spans="2:22" ht="49.9" customHeight="1">
      <c r="B337" s="2272" t="str">
        <f>IF(Perfiles_usuario!B42=0,"",Perfiles_usuario!B42)</f>
        <v>ILIMITADA</v>
      </c>
      <c r="C337" s="2259"/>
      <c r="D337" s="756">
        <f>IF(Perfiles_usuario!D42=0,"",Perfiles_usuario!D42)</f>
        <v>1</v>
      </c>
      <c r="E337" s="756">
        <f>IF(Perfiles_usuario!D42=0,"",Perfiles_usuario!F42)</f>
        <v>1</v>
      </c>
      <c r="F337" s="2259" t="str">
        <f>IF(Perfiles_usuario!D42=0,"","incluidas")</f>
        <v>incluidas</v>
      </c>
      <c r="G337" s="2259"/>
      <c r="H337" s="1516" t="str">
        <f t="shared" ref="H337:H350" si="1">IF(B337&lt;&gt;"","Sí","")</f>
        <v>Sí</v>
      </c>
      <c r="I337" s="2259" t="str">
        <f>IF(Perfiles_usuario!D42=0,"",Perfiles_usuario!H42)</f>
        <v>Ilimitada+8GB</v>
      </c>
      <c r="J337" s="2259"/>
      <c r="K337" s="756" t="str">
        <f>IF(Perfiles_usuario!J42=0,"",Perfiles_usuario!J42)</f>
        <v/>
      </c>
      <c r="L337" s="756" t="str">
        <f>IF(Perfiles_usuario!D42=0,"",IF(Perfiles_usuario!N42="","No",Perfiles_usuario!N42))</f>
        <v>No</v>
      </c>
      <c r="M337" s="699">
        <f>IF(Perfiles_usuario!D42=0,"",Perfiles_usuario!P42)</f>
        <v>53</v>
      </c>
      <c r="N337" s="699">
        <f>IF(Perfiles_usuario!D42=0,"",Perfiles_usuario!R42)</f>
        <v>53</v>
      </c>
      <c r="O337" s="797">
        <f>IF(Perfiles_usuario!$D42=0,"",Perfiles_usuario!Z42)</f>
        <v>47.7</v>
      </c>
      <c r="P337" s="699">
        <f>IF(Perfiles_usuario!$D42=0,"",Perfiles_usuario!AB42)</f>
        <v>47.7</v>
      </c>
      <c r="Q337" s="2596">
        <f>IF(Perfiles_usuario!D42=0,"",Perfiles_usuario!AF42)</f>
        <v>42.400000000000006</v>
      </c>
      <c r="R337" s="2596"/>
      <c r="S337" s="2597">
        <f>IF(Perfiles_usuario!D42=0,"",Perfiles_usuario!AH42)</f>
        <v>42.400000000000006</v>
      </c>
      <c r="T337" s="2598"/>
      <c r="V337" s="441"/>
    </row>
    <row r="338" spans="2:22" ht="49.9" customHeight="1">
      <c r="B338" s="2272" t="str">
        <f>IF(Perfiles_usuario!B45=0,"",Perfiles_usuario!B45)</f>
        <v>ILIMITADA</v>
      </c>
      <c r="C338" s="2259"/>
      <c r="D338" s="756">
        <f>IF(Perfiles_usuario!D45=0,"",Perfiles_usuario!D45)</f>
        <v>1</v>
      </c>
      <c r="E338" s="756">
        <f>IF(Perfiles_usuario!D45=0,"",Perfiles_usuario!F45)</f>
        <v>1</v>
      </c>
      <c r="F338" s="2259" t="str">
        <f>IF(Perfiles_usuario!D45=0,"","incluidas")</f>
        <v>incluidas</v>
      </c>
      <c r="G338" s="2259"/>
      <c r="H338" s="1516" t="str">
        <f t="shared" si="1"/>
        <v>Sí</v>
      </c>
      <c r="I338" s="2259" t="str">
        <f>IF(Perfiles_usuario!D45=0,"",Perfiles_usuario!H45)</f>
        <v>Ilimitada+8GB</v>
      </c>
      <c r="J338" s="2259"/>
      <c r="K338" s="756" t="str">
        <f>IF(Perfiles_usuario!J45=0,"",Perfiles_usuario!J45)</f>
        <v/>
      </c>
      <c r="L338" s="756" t="str">
        <f>IF(Perfiles_usuario!D45=0,"",IF(Perfiles_usuario!N45="","No",Perfiles_usuario!N45))</f>
        <v>No</v>
      </c>
      <c r="M338" s="699">
        <f>IF(Perfiles_usuario!D45=0,"",Perfiles_usuario!P45)</f>
        <v>53</v>
      </c>
      <c r="N338" s="699">
        <f>IF(Perfiles_usuario!D45=0,"",Perfiles_usuario!R45)</f>
        <v>53</v>
      </c>
      <c r="O338" s="797">
        <f>IF(Perfiles_usuario!$D45=0,"",Perfiles_usuario!Z45)</f>
        <v>47.7</v>
      </c>
      <c r="P338" s="699">
        <f>IF(Perfiles_usuario!$D45=0,"",Perfiles_usuario!AB45)</f>
        <v>47.7</v>
      </c>
      <c r="Q338" s="2596">
        <f>IF(Perfiles_usuario!D45=0,"",Perfiles_usuario!AF45)</f>
        <v>42.400000000000006</v>
      </c>
      <c r="R338" s="2596"/>
      <c r="S338" s="2597">
        <f>IF(Perfiles_usuario!D45=0,"",Perfiles_usuario!AH45)</f>
        <v>42.400000000000006</v>
      </c>
      <c r="T338" s="2598"/>
    </row>
    <row r="339" spans="2:22" ht="49.9" customHeight="1">
      <c r="B339" s="2272" t="str">
        <f>IF(Perfiles_usuario!B48=0,"",Perfiles_usuario!B48)</f>
        <v>ILIMITADA CV</v>
      </c>
      <c r="C339" s="2259"/>
      <c r="D339" s="756">
        <f>IF(Perfiles_usuario!D48=0,"",Perfiles_usuario!D48)</f>
        <v>1</v>
      </c>
      <c r="E339" s="756">
        <f>IF(Perfiles_usuario!D48=0,"",Perfiles_usuario!F48)</f>
        <v>0</v>
      </c>
      <c r="F339" s="2259" t="str">
        <f>IF(Perfiles_usuario!D48=0,"","incluidas")</f>
        <v>incluidas</v>
      </c>
      <c r="G339" s="2259"/>
      <c r="H339" s="1516" t="str">
        <f t="shared" si="1"/>
        <v>Sí</v>
      </c>
      <c r="I339" s="2259" t="str">
        <f>IF(Perfiles_usuario!D48=0,"",Perfiles_usuario!H48)</f>
        <v>Ilimitada+1GB</v>
      </c>
      <c r="J339" s="2259"/>
      <c r="K339" s="756" t="str">
        <f>IF(Perfiles_usuario!J48=0,"",Perfiles_usuario!J48)</f>
        <v>Agente Centralita Virtual</v>
      </c>
      <c r="L339" s="756" t="str">
        <f>IF(Perfiles_usuario!D48=0,"",IF(Perfiles_usuario!N48="","No",Perfiles_usuario!N48))</f>
        <v>No</v>
      </c>
      <c r="M339" s="699">
        <f>IF(Perfiles_usuario!D48=0,"",Perfiles_usuario!P48)</f>
        <v>29</v>
      </c>
      <c r="N339" s="699">
        <f>IF(Perfiles_usuario!D48=0,"",Perfiles_usuario!R48)</f>
        <v>29</v>
      </c>
      <c r="O339" s="797">
        <f>IF(Perfiles_usuario!$D48=0,"",Perfiles_usuario!Z48)</f>
        <v>26.1</v>
      </c>
      <c r="P339" s="699">
        <f>IF(Perfiles_usuario!$D48=0,"",Perfiles_usuario!AB48)</f>
        <v>26.1</v>
      </c>
      <c r="Q339" s="2596">
        <f>IF(Perfiles_usuario!D48=0,"",Perfiles_usuario!AF48)</f>
        <v>23.200000000000003</v>
      </c>
      <c r="R339" s="2596"/>
      <c r="S339" s="2597">
        <f>IF(Perfiles_usuario!D48=0,"",Perfiles_usuario!AH48)</f>
        <v>23.200000000000003</v>
      </c>
      <c r="T339" s="2598"/>
      <c r="V339" s="441"/>
    </row>
    <row r="340" spans="2:22" ht="49.9" customHeight="1">
      <c r="B340" s="2272" t="str">
        <f>IF(Perfiles_usuario!B51=0,"",Perfiles_usuario!B51)</f>
        <v>1 NUEVA</v>
      </c>
      <c r="C340" s="2259"/>
      <c r="D340" s="756">
        <f>IF(Perfiles_usuario!D51=0,"",Perfiles_usuario!D51)</f>
        <v>1</v>
      </c>
      <c r="E340" s="756">
        <f>IF(Perfiles_usuario!D51=0,"",Perfiles_usuario!F51)</f>
        <v>0</v>
      </c>
      <c r="F340" s="2259" t="str">
        <f>IF(Perfiles_usuario!D51=0,"","incluidas")</f>
        <v>incluidas</v>
      </c>
      <c r="G340" s="2259"/>
      <c r="H340" s="1516" t="str">
        <f t="shared" si="1"/>
        <v>Sí</v>
      </c>
      <c r="I340" s="2259" t="str">
        <f>IF(Perfiles_usuario!D51=0,"",Perfiles_usuario!H51)</f>
        <v>Sin tarifa plana (0-50 min)</v>
      </c>
      <c r="J340" s="2259"/>
      <c r="K340" s="756" t="str">
        <f>IF(Perfiles_usuario!J51=0,"",Perfiles_usuario!J51)</f>
        <v/>
      </c>
      <c r="L340" s="756" t="str">
        <f>IF(Perfiles_usuario!D51=0,"",IF(Perfiles_usuario!N51="","No",Perfiles_usuario!N51))</f>
        <v>No</v>
      </c>
      <c r="M340" s="699">
        <f>IF(Perfiles_usuario!D51=0,"",Perfiles_usuario!P51)</f>
        <v>6</v>
      </c>
      <c r="N340" s="699">
        <f>IF(Perfiles_usuario!D51=0,"",Perfiles_usuario!R51)</f>
        <v>6</v>
      </c>
      <c r="O340" s="797">
        <f>IF(Perfiles_usuario!$D51=0,"",Perfiles_usuario!Z51)</f>
        <v>5.4</v>
      </c>
      <c r="P340" s="699">
        <f>IF(Perfiles_usuario!$D51=0,"",Perfiles_usuario!AB51)</f>
        <v>5.4</v>
      </c>
      <c r="Q340" s="2596">
        <f>IF(Perfiles_usuario!D51=0,"",Perfiles_usuario!AF51)</f>
        <v>4.8000000000000007</v>
      </c>
      <c r="R340" s="2596"/>
      <c r="S340" s="2597">
        <f>IF(Perfiles_usuario!D51=0,"",Perfiles_usuario!AH51)</f>
        <v>4.8000000000000007</v>
      </c>
      <c r="T340" s="2598"/>
      <c r="V340" s="441"/>
    </row>
    <row r="341" spans="2:22" ht="49.9" customHeight="1">
      <c r="B341" s="2272" t="str">
        <f>IF(Perfiles_usuario!B54=0,"",Perfiles_usuario!B54)</f>
        <v/>
      </c>
      <c r="C341" s="2259"/>
      <c r="D341" s="756" t="str">
        <f>IF(Perfiles_usuario!D54=0,"",Perfiles_usuario!D54)</f>
        <v/>
      </c>
      <c r="E341" s="756" t="str">
        <f>IF(Perfiles_usuario!D54=0,"",Perfiles_usuario!F54)</f>
        <v/>
      </c>
      <c r="F341" s="2259" t="str">
        <f>IF(Perfiles_usuario!D54=0,"","incluidas")</f>
        <v/>
      </c>
      <c r="G341" s="2259"/>
      <c r="H341" s="1516" t="str">
        <f t="shared" si="1"/>
        <v/>
      </c>
      <c r="I341" s="2259" t="str">
        <f>IF(Perfiles_usuario!D54=0,"",Perfiles_usuario!H54)</f>
        <v/>
      </c>
      <c r="J341" s="2259"/>
      <c r="K341" s="756" t="str">
        <f>IF(Perfiles_usuario!J54=0,"",Perfiles_usuario!J54)</f>
        <v/>
      </c>
      <c r="L341" s="756" t="str">
        <f>IF(Perfiles_usuario!D54=0,"",IF(Perfiles_usuario!N54="","No",Perfiles_usuario!N54))</f>
        <v/>
      </c>
      <c r="M341" s="699" t="str">
        <f>IF(Perfiles_usuario!D54=0,"",Perfiles_usuario!P54)</f>
        <v/>
      </c>
      <c r="N341" s="699" t="str">
        <f>IF(Perfiles_usuario!D54=0,"",Perfiles_usuario!R54)</f>
        <v/>
      </c>
      <c r="O341" s="797" t="str">
        <f>IF(Perfiles_usuario!$D54=0,"",Perfiles_usuario!Z54)</f>
        <v/>
      </c>
      <c r="P341" s="699" t="str">
        <f>IF(Perfiles_usuario!$D54=0,"",Perfiles_usuario!AB54)</f>
        <v/>
      </c>
      <c r="Q341" s="2596" t="str">
        <f>IF(Perfiles_usuario!D54=0,"",Perfiles_usuario!AF54)</f>
        <v/>
      </c>
      <c r="R341" s="2596"/>
      <c r="S341" s="2597" t="str">
        <f>IF(Perfiles_usuario!D54=0,"",Perfiles_usuario!AH54)</f>
        <v/>
      </c>
      <c r="T341" s="2598"/>
      <c r="V341" s="441"/>
    </row>
    <row r="342" spans="2:22" ht="49.9" customHeight="1">
      <c r="B342" s="2272" t="str">
        <f>IF(Perfiles_usuario!B57=0,"",Perfiles_usuario!B57)</f>
        <v/>
      </c>
      <c r="C342" s="2259"/>
      <c r="D342" s="756" t="str">
        <f>IF(Perfiles_usuario!D57=0,"",Perfiles_usuario!D57)</f>
        <v/>
      </c>
      <c r="E342" s="756" t="str">
        <f>IF(Perfiles_usuario!D57=0,"",Perfiles_usuario!F57)</f>
        <v/>
      </c>
      <c r="F342" s="2259" t="str">
        <f>IF(Perfiles_usuario!D57=0,"","incluidas")</f>
        <v/>
      </c>
      <c r="G342" s="2259"/>
      <c r="H342" s="1516" t="str">
        <f t="shared" si="1"/>
        <v/>
      </c>
      <c r="I342" s="2259" t="str">
        <f>IF(Perfiles_usuario!D57=0,"",Perfiles_usuario!H57)</f>
        <v/>
      </c>
      <c r="J342" s="2259"/>
      <c r="K342" s="756" t="str">
        <f>IF(Perfiles_usuario!J57=0,"",Perfiles_usuario!J57)</f>
        <v/>
      </c>
      <c r="L342" s="756" t="str">
        <f>IF(Perfiles_usuario!D57=0,"",IF(Perfiles_usuario!N57="","No",Perfiles_usuario!N57))</f>
        <v/>
      </c>
      <c r="M342" s="699" t="str">
        <f>IF(Perfiles_usuario!D57=0,"",Perfiles_usuario!P57)</f>
        <v/>
      </c>
      <c r="N342" s="699" t="str">
        <f>IF(Perfiles_usuario!D57=0,"",Perfiles_usuario!R57)</f>
        <v/>
      </c>
      <c r="O342" s="797" t="str">
        <f>IF(Perfiles_usuario!$D57=0,"",Perfiles_usuario!Z57)</f>
        <v/>
      </c>
      <c r="P342" s="699" t="str">
        <f>IF(Perfiles_usuario!$D57=0,"",Perfiles_usuario!AB57)</f>
        <v/>
      </c>
      <c r="Q342" s="2596" t="str">
        <f>IF(Perfiles_usuario!D57=0,"",Perfiles_usuario!AF57)</f>
        <v/>
      </c>
      <c r="R342" s="2596"/>
      <c r="S342" s="2597" t="str">
        <f>IF(Perfiles_usuario!D57=0,"",Perfiles_usuario!AH57)</f>
        <v/>
      </c>
      <c r="T342" s="2598"/>
      <c r="V342" s="441"/>
    </row>
    <row r="343" spans="2:22" ht="49.9" customHeight="1">
      <c r="B343" s="2272" t="str">
        <f>IF(Perfiles_usuario!B60=0,"",Perfiles_usuario!B60)</f>
        <v/>
      </c>
      <c r="C343" s="2259"/>
      <c r="D343" s="756" t="str">
        <f>IF(Perfiles_usuario!D60=0,"",Perfiles_usuario!D60)</f>
        <v/>
      </c>
      <c r="E343" s="756" t="str">
        <f>IF(Perfiles_usuario!D60=0,"",Perfiles_usuario!F60)</f>
        <v/>
      </c>
      <c r="F343" s="2259" t="str">
        <f>IF(Perfiles_usuario!D60=0,"","incluidas")</f>
        <v/>
      </c>
      <c r="G343" s="2259"/>
      <c r="H343" s="1516" t="str">
        <f t="shared" si="1"/>
        <v/>
      </c>
      <c r="I343" s="2259" t="str">
        <f>IF(Perfiles_usuario!D60=0,"",Perfiles_usuario!H60)</f>
        <v/>
      </c>
      <c r="J343" s="2259"/>
      <c r="K343" s="756" t="str">
        <f>IF(Perfiles_usuario!J60=0,"",Perfiles_usuario!J60)</f>
        <v/>
      </c>
      <c r="L343" s="756" t="str">
        <f>IF(Perfiles_usuario!D60=0,"",IF(Perfiles_usuario!N60="","No",Perfiles_usuario!N60))</f>
        <v/>
      </c>
      <c r="M343" s="699" t="str">
        <f>IF(Perfiles_usuario!D60=0,"",Perfiles_usuario!P60)</f>
        <v/>
      </c>
      <c r="N343" s="699" t="str">
        <f>IF(Perfiles_usuario!D60=0,"",Perfiles_usuario!R60)</f>
        <v/>
      </c>
      <c r="O343" s="797" t="str">
        <f>IF(Perfiles_usuario!$D60=0,"",Perfiles_usuario!Z60)</f>
        <v/>
      </c>
      <c r="P343" s="699" t="str">
        <f>IF(Perfiles_usuario!$D60=0,"",Perfiles_usuario!AB60)</f>
        <v/>
      </c>
      <c r="Q343" s="2596" t="str">
        <f>IF(Perfiles_usuario!D60=0,"",Perfiles_usuario!AF60)</f>
        <v/>
      </c>
      <c r="R343" s="2596"/>
      <c r="S343" s="2597" t="str">
        <f>IF(Perfiles_usuario!D60=0,"",Perfiles_usuario!AH60)</f>
        <v/>
      </c>
      <c r="T343" s="2598"/>
      <c r="V343" s="441"/>
    </row>
    <row r="344" spans="2:22" ht="49.9" customHeight="1">
      <c r="B344" s="2272" t="str">
        <f>IF(Perfiles_usuario!B63=0,"",Perfiles_usuario!B63)</f>
        <v/>
      </c>
      <c r="C344" s="2259"/>
      <c r="D344" s="756" t="str">
        <f>IF(Perfiles_usuario!D63=0,"",Perfiles_usuario!D63)</f>
        <v/>
      </c>
      <c r="E344" s="756" t="str">
        <f>IF(Perfiles_usuario!D63=0,"",Perfiles_usuario!F63)</f>
        <v/>
      </c>
      <c r="F344" s="2259" t="str">
        <f>IF(Perfiles_usuario!D63=0,"","incluidas")</f>
        <v/>
      </c>
      <c r="G344" s="2259"/>
      <c r="H344" s="1516" t="str">
        <f t="shared" si="1"/>
        <v/>
      </c>
      <c r="I344" s="2259" t="str">
        <f>IF(Perfiles_usuario!D63=0,"",Perfiles_usuario!H63)</f>
        <v/>
      </c>
      <c r="J344" s="2259"/>
      <c r="K344" s="756" t="str">
        <f>IF(Perfiles_usuario!J63=0,"",Perfiles_usuario!J63)</f>
        <v/>
      </c>
      <c r="L344" s="756" t="str">
        <f>IF(Perfiles_usuario!D63=0,"",IF(Perfiles_usuario!N63="","No",Perfiles_usuario!N63))</f>
        <v/>
      </c>
      <c r="M344" s="699" t="str">
        <f>IF(Perfiles_usuario!D63=0,"",Perfiles_usuario!P63)</f>
        <v/>
      </c>
      <c r="N344" s="699" t="str">
        <f>IF(Perfiles_usuario!D63=0,"",Perfiles_usuario!R63)</f>
        <v/>
      </c>
      <c r="O344" s="797" t="str">
        <f>IF(Perfiles_usuario!$D63=0,"",Perfiles_usuario!Z63)</f>
        <v/>
      </c>
      <c r="P344" s="699" t="str">
        <f>IF(Perfiles_usuario!$D63=0,"",Perfiles_usuario!AB63)</f>
        <v/>
      </c>
      <c r="Q344" s="2596" t="str">
        <f>IF(Perfiles_usuario!D63=0,"",Perfiles_usuario!AF63)</f>
        <v/>
      </c>
      <c r="R344" s="2596"/>
      <c r="S344" s="2597" t="str">
        <f>IF(Perfiles_usuario!D63=0,"",Perfiles_usuario!AH63)</f>
        <v/>
      </c>
      <c r="T344" s="2598"/>
      <c r="V344" s="441"/>
    </row>
    <row r="345" spans="2:22" ht="49.9" customHeight="1">
      <c r="B345" s="2272" t="str">
        <f>IF(Perfiles_usuario!B66=0,"",Perfiles_usuario!B66)</f>
        <v/>
      </c>
      <c r="C345" s="2259"/>
      <c r="D345" s="756" t="str">
        <f>IF(Perfiles_usuario!D66=0,"",Perfiles_usuario!D66)</f>
        <v/>
      </c>
      <c r="E345" s="756" t="str">
        <f>IF(Perfiles_usuario!D66=0,"",Perfiles_usuario!F66)</f>
        <v/>
      </c>
      <c r="F345" s="2259" t="str">
        <f>IF(Perfiles_usuario!D66=0,"","incluidas")</f>
        <v/>
      </c>
      <c r="G345" s="2259"/>
      <c r="H345" s="1516" t="str">
        <f t="shared" si="1"/>
        <v/>
      </c>
      <c r="I345" s="2259" t="str">
        <f>IF(Perfiles_usuario!D66=0,"",Perfiles_usuario!H66)</f>
        <v/>
      </c>
      <c r="J345" s="2259"/>
      <c r="K345" s="756" t="str">
        <f>IF(Perfiles_usuario!J66=0,"",Perfiles_usuario!J66)</f>
        <v/>
      </c>
      <c r="L345" s="756" t="str">
        <f>IF(Perfiles_usuario!D66=0,"",IF(Perfiles_usuario!N66="","No",Perfiles_usuario!N66))</f>
        <v/>
      </c>
      <c r="M345" s="699" t="str">
        <f>IF(Perfiles_usuario!D66=0,"",Perfiles_usuario!P66)</f>
        <v/>
      </c>
      <c r="N345" s="699" t="str">
        <f>IF(Perfiles_usuario!D66=0,"",Perfiles_usuario!R66)</f>
        <v/>
      </c>
      <c r="O345" s="797" t="str">
        <f>IF(Perfiles_usuario!$D66=0,"",Perfiles_usuario!Z66)</f>
        <v/>
      </c>
      <c r="P345" s="699" t="str">
        <f>IF(Perfiles_usuario!$D66=0,"",Perfiles_usuario!AB66)</f>
        <v/>
      </c>
      <c r="Q345" s="2596" t="str">
        <f>IF(Perfiles_usuario!D66=0,"",Perfiles_usuario!AF66)</f>
        <v/>
      </c>
      <c r="R345" s="2596"/>
      <c r="S345" s="2597" t="str">
        <f>IF(Perfiles_usuario!D66=0,"",Perfiles_usuario!AH66)</f>
        <v/>
      </c>
      <c r="T345" s="2598"/>
      <c r="V345" s="441"/>
    </row>
    <row r="346" spans="2:22" ht="49.9" customHeight="1">
      <c r="B346" s="2272" t="str">
        <f>IF(Perfiles_usuario!B68=0,"",Perfiles_usuario!B68)</f>
        <v/>
      </c>
      <c r="C346" s="2259"/>
      <c r="D346" s="756" t="str">
        <f>IF(Perfiles_usuario!D68=0,"",Perfiles_usuario!D68)</f>
        <v/>
      </c>
      <c r="E346" s="756" t="str">
        <f>IF(Perfiles_usuario!D68=0,"",Perfiles_usuario!F68)</f>
        <v/>
      </c>
      <c r="F346" s="2259" t="str">
        <f>IF(Perfiles_usuario!D68=0,"","incluidas")</f>
        <v/>
      </c>
      <c r="G346" s="2259"/>
      <c r="H346" s="1516" t="str">
        <f t="shared" si="1"/>
        <v/>
      </c>
      <c r="I346" s="2259" t="str">
        <f>IF(Perfiles_usuario!D68=0,"",Perfiles_usuario!H68)</f>
        <v/>
      </c>
      <c r="J346" s="2259"/>
      <c r="K346" s="756" t="str">
        <f>IF(Perfiles_usuario!J68=0,"",Perfiles_usuario!J68)</f>
        <v/>
      </c>
      <c r="L346" s="756" t="str">
        <f>IF(Perfiles_usuario!D68=0,"",IF(Perfiles_usuario!N68="","No",Perfiles_usuario!N68))</f>
        <v/>
      </c>
      <c r="M346" s="699" t="str">
        <f>IF(Perfiles_usuario!D68=0,"",Perfiles_usuario!P68)</f>
        <v/>
      </c>
      <c r="N346" s="699" t="str">
        <f>IF(Perfiles_usuario!D68=0,"",Perfiles_usuario!R68)</f>
        <v/>
      </c>
      <c r="O346" s="797" t="str">
        <f>IF(Perfiles_usuario!$D68=0,"",Perfiles_usuario!Z68)</f>
        <v/>
      </c>
      <c r="P346" s="699" t="str">
        <f>IF(Perfiles_usuario!$D68=0,"",Perfiles_usuario!AB68)</f>
        <v/>
      </c>
      <c r="Q346" s="2596" t="str">
        <f>IF(Perfiles_usuario!D68=0,"",Perfiles_usuario!AF68)</f>
        <v/>
      </c>
      <c r="R346" s="2596"/>
      <c r="S346" s="2597" t="str">
        <f>IF(Perfiles_usuario!D68=0,"",Perfiles_usuario!AH68)</f>
        <v/>
      </c>
      <c r="T346" s="2598"/>
      <c r="V346" s="441"/>
    </row>
    <row r="347" spans="2:22" ht="49.9" customHeight="1">
      <c r="B347" s="2272" t="str">
        <f>IF(Perfiles_usuario!B70=0,"",Perfiles_usuario!B70)</f>
        <v/>
      </c>
      <c r="C347" s="2259"/>
      <c r="D347" s="756" t="str">
        <f>IF(Perfiles_usuario!D70=0,"",Perfiles_usuario!D70)</f>
        <v/>
      </c>
      <c r="E347" s="756" t="str">
        <f>IF(Perfiles_usuario!D70=0,"",Perfiles_usuario!F70)</f>
        <v/>
      </c>
      <c r="F347" s="2259" t="str">
        <f>IF(Perfiles_usuario!D70=0,"","incluidas")</f>
        <v/>
      </c>
      <c r="G347" s="2259"/>
      <c r="H347" s="1516" t="str">
        <f t="shared" si="1"/>
        <v/>
      </c>
      <c r="I347" s="2259" t="str">
        <f>IF(Perfiles_usuario!D70=0,"",Perfiles_usuario!H70)</f>
        <v/>
      </c>
      <c r="J347" s="2259"/>
      <c r="K347" s="756" t="str">
        <f>IF(Perfiles_usuario!J70=0,"",Perfiles_usuario!J70)</f>
        <v/>
      </c>
      <c r="L347" s="756" t="str">
        <f>IF(Perfiles_usuario!D70=0,"",IF(Perfiles_usuario!N70="","No",Perfiles_usuario!N70))</f>
        <v/>
      </c>
      <c r="M347" s="699" t="str">
        <f>IF(Perfiles_usuario!D70=0,"",Perfiles_usuario!P70)</f>
        <v/>
      </c>
      <c r="N347" s="699" t="str">
        <f>IF(Perfiles_usuario!D70=0,"",Perfiles_usuario!R70)</f>
        <v/>
      </c>
      <c r="O347" s="797" t="str">
        <f>IF(Perfiles_usuario!$D70=0,"",Perfiles_usuario!Z70)</f>
        <v/>
      </c>
      <c r="P347" s="699" t="str">
        <f>IF(Perfiles_usuario!$D70=0,"",Perfiles_usuario!AB70)</f>
        <v/>
      </c>
      <c r="Q347" s="2596" t="str">
        <f>IF(Perfiles_usuario!D70=0,"",Perfiles_usuario!AF70)</f>
        <v/>
      </c>
      <c r="R347" s="2596"/>
      <c r="S347" s="2597" t="str">
        <f>IF(Perfiles_usuario!D70=0,"",Perfiles_usuario!AH70)</f>
        <v/>
      </c>
      <c r="T347" s="2598"/>
      <c r="V347" s="441"/>
    </row>
    <row r="348" spans="2:22" ht="49.9" customHeight="1">
      <c r="B348" s="2272" t="str">
        <f>IF(Perfiles_usuario!B72=0,"",Perfiles_usuario!B72)</f>
        <v/>
      </c>
      <c r="C348" s="2259"/>
      <c r="D348" s="756" t="str">
        <f>IF(Perfiles_usuario!D72=0,"",Perfiles_usuario!D72)</f>
        <v/>
      </c>
      <c r="E348" s="756" t="str">
        <f>IF(Perfiles_usuario!D72=0,"",Perfiles_usuario!F72)</f>
        <v/>
      </c>
      <c r="F348" s="2259" t="str">
        <f>IF(Perfiles_usuario!D72=0,"","incluidas")</f>
        <v/>
      </c>
      <c r="G348" s="2259"/>
      <c r="H348" s="1516" t="str">
        <f t="shared" si="1"/>
        <v/>
      </c>
      <c r="I348" s="2259" t="str">
        <f>IF(Perfiles_usuario!D72=0,"",Perfiles_usuario!H72)</f>
        <v/>
      </c>
      <c r="J348" s="2259"/>
      <c r="K348" s="756" t="str">
        <f>IF(Perfiles_usuario!J72=0,"",Perfiles_usuario!J72)</f>
        <v/>
      </c>
      <c r="L348" s="756" t="str">
        <f>IF(Perfiles_usuario!D72=0,"",IF(Perfiles_usuario!N72="","No",Perfiles_usuario!N72))</f>
        <v/>
      </c>
      <c r="M348" s="699" t="str">
        <f>IF(Perfiles_usuario!D72=0,"",Perfiles_usuario!P72)</f>
        <v/>
      </c>
      <c r="N348" s="699" t="str">
        <f>IF(Perfiles_usuario!D72=0,"",Perfiles_usuario!R72)</f>
        <v/>
      </c>
      <c r="O348" s="797" t="str">
        <f>IF(Perfiles_usuario!$D72=0,"",Perfiles_usuario!Z72)</f>
        <v/>
      </c>
      <c r="P348" s="699" t="str">
        <f>IF(Perfiles_usuario!$D72=0,"",Perfiles_usuario!AB72)</f>
        <v/>
      </c>
      <c r="Q348" s="2596" t="str">
        <f>IF(Perfiles_usuario!D72=0,"",Perfiles_usuario!AF72)</f>
        <v/>
      </c>
      <c r="R348" s="2596"/>
      <c r="S348" s="2597" t="str">
        <f>IF(Perfiles_usuario!D72=0,"",Perfiles_usuario!AH72)</f>
        <v/>
      </c>
      <c r="T348" s="2598"/>
      <c r="V348" s="441"/>
    </row>
    <row r="349" spans="2:22" ht="49.9" customHeight="1">
      <c r="B349" s="2272" t="str">
        <f>IF(Perfiles_usuario!B74=0,"",Perfiles_usuario!B74)</f>
        <v/>
      </c>
      <c r="C349" s="2259"/>
      <c r="D349" s="756" t="str">
        <f>IF(Perfiles_usuario!D74=0,"",Perfiles_usuario!D74)</f>
        <v/>
      </c>
      <c r="E349" s="756" t="str">
        <f>IF(Perfiles_usuario!D74=0,"",Perfiles_usuario!F74)</f>
        <v/>
      </c>
      <c r="F349" s="2259" t="str">
        <f>IF(Perfiles_usuario!D74=0,"","incluidas")</f>
        <v/>
      </c>
      <c r="G349" s="2259"/>
      <c r="H349" s="1516" t="str">
        <f t="shared" si="1"/>
        <v/>
      </c>
      <c r="I349" s="2259" t="str">
        <f>IF(Perfiles_usuario!D74=0,"",Perfiles_usuario!H74)</f>
        <v/>
      </c>
      <c r="J349" s="2259"/>
      <c r="K349" s="756" t="str">
        <f>IF(Perfiles_usuario!J74=0,"",Perfiles_usuario!J74)</f>
        <v/>
      </c>
      <c r="L349" s="756" t="str">
        <f>IF(Perfiles_usuario!D74=0,"",IF(Perfiles_usuario!N74="","No",Perfiles_usuario!N74))</f>
        <v/>
      </c>
      <c r="M349" s="699" t="str">
        <f>IF(Perfiles_usuario!D74=0,"",Perfiles_usuario!P74)</f>
        <v/>
      </c>
      <c r="N349" s="699" t="str">
        <f>IF(Perfiles_usuario!D74=0,"",Perfiles_usuario!R74)</f>
        <v/>
      </c>
      <c r="O349" s="797" t="str">
        <f>IF(Perfiles_usuario!$D74=0,"",Perfiles_usuario!Z74)</f>
        <v/>
      </c>
      <c r="P349" s="699" t="str">
        <f>IF(Perfiles_usuario!$D74=0,"",Perfiles_usuario!AB74)</f>
        <v/>
      </c>
      <c r="Q349" s="2596" t="str">
        <f>IF(Perfiles_usuario!D74=0,"",Perfiles_usuario!AF74)</f>
        <v/>
      </c>
      <c r="R349" s="2596"/>
      <c r="S349" s="2597" t="str">
        <f>IF(Perfiles_usuario!D74=0,"",Perfiles_usuario!AH74)</f>
        <v/>
      </c>
      <c r="T349" s="2598"/>
      <c r="V349" s="441"/>
    </row>
    <row r="350" spans="2:22" ht="49.9" customHeight="1">
      <c r="B350" s="2272" t="str">
        <f>IF(Perfiles_usuario!B76=0,"",Perfiles_usuario!B76)</f>
        <v/>
      </c>
      <c r="C350" s="2259"/>
      <c r="D350" s="756" t="str">
        <f>IF(Perfiles_usuario!D76=0,"",Perfiles_usuario!D76)</f>
        <v/>
      </c>
      <c r="E350" s="756" t="str">
        <f>IF(Perfiles_usuario!D76=0,"",Perfiles_usuario!F76)</f>
        <v/>
      </c>
      <c r="F350" s="2259" t="str">
        <f>IF(Perfiles_usuario!D76=0,"","incluidas")</f>
        <v/>
      </c>
      <c r="G350" s="2259"/>
      <c r="H350" s="1516" t="str">
        <f t="shared" si="1"/>
        <v/>
      </c>
      <c r="I350" s="2259" t="str">
        <f>IF(Perfiles_usuario!D76=0,"",Perfiles_usuario!H76)</f>
        <v/>
      </c>
      <c r="J350" s="2259"/>
      <c r="K350" s="756" t="str">
        <f>IF(Perfiles_usuario!J76=0,"",Perfiles_usuario!J76)</f>
        <v/>
      </c>
      <c r="L350" s="756" t="str">
        <f>IF(Perfiles_usuario!D76=0,"",IF(Perfiles_usuario!N76="","No",Perfiles_usuario!N76))</f>
        <v/>
      </c>
      <c r="M350" s="699" t="str">
        <f>IF(Perfiles_usuario!D76=0,"",Perfiles_usuario!P76)</f>
        <v/>
      </c>
      <c r="N350" s="699" t="str">
        <f>IF(Perfiles_usuario!D76=0,"",Perfiles_usuario!R76)</f>
        <v/>
      </c>
      <c r="O350" s="797" t="str">
        <f>IF(Perfiles_usuario!$D76=0,"",Perfiles_usuario!Z76)</f>
        <v/>
      </c>
      <c r="P350" s="699" t="str">
        <f>IF(Perfiles_usuario!$D76=0,"",Perfiles_usuario!AB76)</f>
        <v/>
      </c>
      <c r="Q350" s="2596" t="str">
        <f>IF(Perfiles_usuario!D76=0,"",Perfiles_usuario!AF76)</f>
        <v/>
      </c>
      <c r="R350" s="2596"/>
      <c r="S350" s="2597" t="str">
        <f>IF(Perfiles_usuario!D76=0,"",Perfiles_usuario!AH76)</f>
        <v/>
      </c>
      <c r="T350" s="2598"/>
      <c r="V350" s="441"/>
    </row>
    <row r="351" spans="2:22" ht="7.15" customHeight="1"/>
    <row r="352" spans="2:22" ht="35.25" customHeight="1">
      <c r="B352" s="2452" t="s">
        <v>721</v>
      </c>
      <c r="C352" s="2453"/>
      <c r="D352" s="702">
        <f>Perfiles_usuario!D79</f>
        <v>0</v>
      </c>
      <c r="E352" s="703">
        <f>Perfiles_usuario!F79</f>
        <v>0</v>
      </c>
      <c r="I352" s="2571" t="s">
        <v>680</v>
      </c>
      <c r="J352" s="2571"/>
      <c r="K352" s="2571"/>
      <c r="L352" s="2571"/>
      <c r="M352" s="2572"/>
      <c r="N352" s="789">
        <f>Perfiles_usuario!R78</f>
        <v>0</v>
      </c>
      <c r="P352" s="2300"/>
      <c r="S352" s="2300"/>
      <c r="U352" s="705"/>
    </row>
    <row r="353" spans="1:22" ht="38.25" customHeight="1">
      <c r="B353" s="2454" t="s">
        <v>722</v>
      </c>
      <c r="C353" s="2455"/>
      <c r="D353" s="702">
        <f>Perfiles_usuario!D81</f>
        <v>3</v>
      </c>
      <c r="E353" s="703">
        <f>Perfiles_usuario!F81</f>
        <v>3</v>
      </c>
      <c r="P353" s="2300"/>
      <c r="Q353" s="706"/>
      <c r="R353" s="705"/>
      <c r="S353" s="2300"/>
      <c r="U353" s="705"/>
    </row>
    <row r="354" spans="1:22" ht="36.75" customHeight="1">
      <c r="F354" s="561"/>
      <c r="G354" s="561"/>
      <c r="H354" s="561"/>
      <c r="I354" s="2299"/>
      <c r="J354" s="2299"/>
      <c r="K354" s="2301" t="s">
        <v>844</v>
      </c>
      <c r="L354" s="2301"/>
      <c r="M354" s="2302"/>
      <c r="N354" s="707">
        <f>Perfiles_usuario!R82</f>
        <v>194</v>
      </c>
      <c r="O354" s="762" t="s">
        <v>847</v>
      </c>
      <c r="P354" s="707">
        <f>Perfiles_usuario!AB82</f>
        <v>174.60000000000002</v>
      </c>
      <c r="Q354" s="2621" t="s">
        <v>848</v>
      </c>
      <c r="R354" s="2301"/>
      <c r="S354" s="2622">
        <f>Perfiles_usuario!AH82</f>
        <v>155.20000000000005</v>
      </c>
      <c r="T354" s="2623"/>
      <c r="U354" s="466"/>
    </row>
    <row r="355" spans="1:22" s="470" customFormat="1" ht="31.5" customHeight="1">
      <c r="B355" s="2273" t="s">
        <v>679</v>
      </c>
      <c r="C355" s="2274"/>
      <c r="D355" s="713">
        <f>SUM(D336:D350)+SUM(D352:D353)</f>
        <v>8</v>
      </c>
      <c r="E355" s="714">
        <f>SUM(E336:E350)+SUM(E352:E353)</f>
        <v>6</v>
      </c>
      <c r="N355" s="2422" t="str">
        <f>IF(Perfiles_usuario!$R$83="Aplica consumo mínimo","Estos totales incluyen la aplicación de consumos mínimos pues el total de facturación estimada no alcanza el mínimo exigido","")</f>
        <v/>
      </c>
      <c r="O355" s="2422"/>
      <c r="P355" s="2422"/>
      <c r="Q355" s="2422"/>
      <c r="R355" s="2422"/>
      <c r="S355" s="2422"/>
      <c r="T355" s="2422"/>
      <c r="U355" s="2422"/>
    </row>
    <row r="356" spans="1:22" ht="21.75" customHeight="1">
      <c r="B356" s="2624" t="s">
        <v>849</v>
      </c>
      <c r="C356" s="2624"/>
      <c r="D356" s="2624"/>
      <c r="E356" s="2624"/>
      <c r="F356" s="2624"/>
      <c r="G356" s="2624"/>
      <c r="H356" s="2624"/>
      <c r="I356" s="2624"/>
      <c r="J356" s="2624"/>
      <c r="K356" s="2624"/>
      <c r="L356" s="2624"/>
      <c r="M356" s="2624"/>
      <c r="N356" s="2624"/>
      <c r="O356" s="2624"/>
      <c r="P356" s="2624"/>
      <c r="Q356" s="2624"/>
      <c r="R356" s="2624"/>
      <c r="S356" s="2624"/>
      <c r="T356" s="2624"/>
      <c r="U356" s="2624"/>
    </row>
    <row r="357" spans="1:22" ht="33" customHeight="1">
      <c r="B357" s="2624" t="s">
        <v>850</v>
      </c>
      <c r="C357" s="2624"/>
      <c r="D357" s="2624"/>
      <c r="E357" s="2624"/>
      <c r="F357" s="2624"/>
      <c r="G357" s="2624"/>
      <c r="H357" s="2624"/>
      <c r="I357" s="2624"/>
      <c r="J357" s="2624"/>
      <c r="K357" s="2624"/>
      <c r="L357" s="2624"/>
      <c r="M357" s="2624"/>
      <c r="N357" s="2624"/>
      <c r="O357" s="2624"/>
      <c r="P357" s="2624"/>
      <c r="Q357" s="2624"/>
      <c r="R357" s="2624"/>
      <c r="S357" s="2624"/>
      <c r="T357" s="2624"/>
      <c r="U357" s="2624"/>
    </row>
    <row r="358" spans="1:22" ht="15.75">
      <c r="M358" s="476" t="s">
        <v>994</v>
      </c>
      <c r="R358" s="477" t="s">
        <v>692</v>
      </c>
      <c r="S358" s="478" t="str">
        <f>$E$29</f>
        <v>ILF5_90FCPRS_B114CAGR43006</v>
      </c>
      <c r="T358" s="470"/>
      <c r="U358" s="470"/>
      <c r="V358" s="470"/>
    </row>
    <row r="359" spans="1:22" ht="22.9" customHeight="1">
      <c r="B359" s="522"/>
      <c r="C359" s="769"/>
      <c r="D359" s="561"/>
      <c r="E359" s="561"/>
      <c r="F359" s="561"/>
      <c r="G359" s="586"/>
      <c r="H359" s="586"/>
      <c r="I359" s="586"/>
      <c r="J359" s="586"/>
      <c r="K359" s="587"/>
      <c r="L359" s="587"/>
      <c r="M359" s="587"/>
      <c r="N359" s="587"/>
      <c r="O359" s="587"/>
      <c r="P359" s="587"/>
      <c r="Q359" s="561"/>
      <c r="R359" s="561"/>
      <c r="S359" s="441"/>
      <c r="T359" s="441"/>
      <c r="U359" s="588"/>
      <c r="V359" s="441"/>
    </row>
    <row r="360" spans="1:22" ht="11.45" customHeight="1">
      <c r="B360" s="522"/>
      <c r="C360" s="769"/>
      <c r="D360" s="561"/>
      <c r="E360" s="561"/>
      <c r="F360" s="561"/>
      <c r="G360" s="586"/>
      <c r="H360" s="586"/>
      <c r="I360" s="586"/>
      <c r="J360" s="586"/>
      <c r="K360" s="587"/>
      <c r="L360" s="587"/>
      <c r="M360" s="587"/>
      <c r="N360" s="587"/>
      <c r="O360" s="587"/>
      <c r="P360" s="587"/>
      <c r="Q360" s="561"/>
      <c r="R360" s="561"/>
      <c r="S360" s="441"/>
      <c r="T360" s="441"/>
      <c r="U360" s="588"/>
      <c r="V360" s="441"/>
    </row>
    <row r="361" spans="1:22">
      <c r="H361" s="436" t="s">
        <v>690</v>
      </c>
      <c r="I361" s="420"/>
      <c r="K361" s="420"/>
      <c r="L361" s="437" t="str">
        <f>$B$11</f>
        <v>INMOBILIARIA SERVIGESTION</v>
      </c>
      <c r="S361" s="420"/>
      <c r="T361" s="420"/>
      <c r="V361" s="437"/>
    </row>
    <row r="362" spans="1:22">
      <c r="A362" s="420"/>
      <c r="B362" s="420"/>
      <c r="C362" s="420"/>
      <c r="D362" s="420"/>
      <c r="E362" s="420"/>
      <c r="F362" s="420"/>
      <c r="G362" s="420"/>
      <c r="H362" s="420"/>
      <c r="I362" s="420"/>
      <c r="J362" s="420"/>
      <c r="K362" s="420"/>
      <c r="L362" s="420"/>
      <c r="M362" s="420"/>
      <c r="N362" s="420"/>
      <c r="O362" s="420"/>
      <c r="P362" s="420"/>
      <c r="Q362" s="420"/>
      <c r="R362" s="420"/>
      <c r="S362" s="420"/>
      <c r="T362" s="420"/>
      <c r="U362" s="420"/>
      <c r="V362" s="420"/>
    </row>
    <row r="363" spans="1:22">
      <c r="A363" s="420"/>
      <c r="B363" s="420"/>
      <c r="C363" s="420"/>
      <c r="D363" s="420"/>
      <c r="E363" s="420"/>
      <c r="F363" s="420"/>
      <c r="G363" s="420"/>
      <c r="H363" s="420"/>
      <c r="I363" s="420"/>
      <c r="J363" s="420"/>
      <c r="K363" s="420"/>
      <c r="L363" s="420"/>
      <c r="M363" s="420"/>
      <c r="N363" s="420"/>
      <c r="O363" s="420"/>
      <c r="P363" s="420"/>
      <c r="Q363" s="420"/>
      <c r="R363" s="420"/>
      <c r="S363" s="420"/>
      <c r="T363" s="420"/>
      <c r="U363" s="420"/>
      <c r="V363" s="420"/>
    </row>
    <row r="364" spans="1:22" ht="34.5">
      <c r="A364" s="420"/>
      <c r="B364" s="2268" t="s">
        <v>461</v>
      </c>
      <c r="C364" s="2268"/>
      <c r="D364" s="2268"/>
      <c r="E364" s="2268"/>
      <c r="F364" s="2268"/>
      <c r="G364" s="2268"/>
      <c r="H364" s="2268"/>
      <c r="I364" s="2268"/>
      <c r="J364" s="2268"/>
      <c r="K364" s="2268"/>
      <c r="L364" s="2268"/>
      <c r="M364" s="2268"/>
      <c r="N364" s="2268"/>
      <c r="O364" s="2268"/>
      <c r="P364" s="2268"/>
      <c r="Q364" s="2268"/>
      <c r="R364" s="2268"/>
      <c r="S364" s="2268"/>
      <c r="T364" s="2268"/>
      <c r="U364" s="2268"/>
      <c r="V364" s="420"/>
    </row>
    <row r="365" spans="1:22" ht="22.9" customHeight="1">
      <c r="A365" s="420"/>
      <c r="B365" s="2269" t="s">
        <v>876</v>
      </c>
      <c r="C365" s="2269"/>
      <c r="D365" s="2269"/>
      <c r="E365" s="2269"/>
      <c r="F365" s="2269"/>
      <c r="G365" s="2269"/>
      <c r="H365" s="2269"/>
      <c r="I365" s="2269"/>
      <c r="J365" s="2269"/>
      <c r="K365" s="2269"/>
      <c r="L365" s="2269"/>
      <c r="M365" s="2269"/>
      <c r="N365" s="2269"/>
      <c r="O365" s="2269"/>
      <c r="P365" s="2269"/>
      <c r="Q365" s="2269"/>
      <c r="R365" s="2269"/>
      <c r="S365" s="2269"/>
      <c r="T365" s="2269"/>
      <c r="U365" s="2269"/>
      <c r="V365" s="420"/>
    </row>
    <row r="366" spans="1:22" ht="9.75" customHeight="1">
      <c r="A366" s="420"/>
      <c r="B366" s="757"/>
      <c r="C366" s="757"/>
      <c r="D366" s="757"/>
      <c r="E366" s="757"/>
      <c r="F366" s="757"/>
      <c r="G366" s="757"/>
      <c r="H366" s="757"/>
      <c r="I366" s="757"/>
      <c r="J366" s="757"/>
      <c r="K366" s="757"/>
      <c r="L366" s="757"/>
      <c r="M366" s="757"/>
      <c r="N366" s="757"/>
      <c r="O366" s="757"/>
      <c r="P366" s="757"/>
      <c r="Q366" s="757"/>
      <c r="R366" s="757"/>
      <c r="S366" s="757"/>
      <c r="T366" s="757"/>
      <c r="U366" s="757"/>
      <c r="V366" s="420"/>
    </row>
    <row r="367" spans="1:22" ht="23.25">
      <c r="A367" s="420"/>
      <c r="B367" s="2279" t="s">
        <v>408</v>
      </c>
      <c r="C367" s="2279"/>
      <c r="D367" s="2279"/>
      <c r="E367" s="2279"/>
      <c r="F367" s="2279"/>
      <c r="G367" s="2279"/>
      <c r="H367" s="2279"/>
      <c r="I367" s="2279"/>
      <c r="J367" s="2279"/>
      <c r="K367" s="2279"/>
      <c r="L367" s="2279"/>
      <c r="M367" s="2279"/>
      <c r="N367" s="2279"/>
      <c r="O367" s="2279"/>
      <c r="P367" s="2279"/>
      <c r="Q367" s="2279"/>
      <c r="R367" s="2279"/>
      <c r="S367" s="2279"/>
      <c r="T367" s="2279"/>
      <c r="U367" s="2279"/>
      <c r="V367" s="420"/>
    </row>
    <row r="368" spans="1:22" ht="22.9" customHeight="1">
      <c r="B368" s="2251" t="s">
        <v>466</v>
      </c>
      <c r="C368" s="2251"/>
      <c r="D368" s="2251"/>
      <c r="E368" s="2251"/>
      <c r="F368" s="2251"/>
      <c r="G368" s="2251"/>
      <c r="H368" s="2251"/>
      <c r="I368" s="2251"/>
      <c r="J368" s="2251"/>
      <c r="K368" s="2251"/>
      <c r="L368" s="2251"/>
      <c r="M368" s="2251"/>
      <c r="N368" s="2251"/>
      <c r="O368" s="2251"/>
      <c r="P368" s="2251"/>
      <c r="Q368" s="2251"/>
      <c r="R368" s="2251"/>
      <c r="S368" s="2251"/>
      <c r="T368" s="2251"/>
      <c r="U368" s="2251"/>
      <c r="V368" s="441"/>
    </row>
    <row r="369" spans="2:22" ht="10.9" customHeight="1">
      <c r="B369" s="715"/>
      <c r="C369" s="715"/>
      <c r="D369" s="715"/>
      <c r="E369" s="715"/>
      <c r="F369" s="715"/>
      <c r="G369" s="715"/>
      <c r="H369" s="715"/>
      <c r="I369" s="715"/>
      <c r="J369" s="715"/>
      <c r="K369" s="715"/>
      <c r="L369" s="715"/>
      <c r="M369" s="715"/>
      <c r="N369" s="715"/>
      <c r="O369" s="715"/>
      <c r="P369" s="715"/>
      <c r="Q369" s="715"/>
      <c r="R369" s="715"/>
      <c r="S369" s="715"/>
      <c r="T369" s="715"/>
      <c r="U369" s="715"/>
      <c r="V369" s="441"/>
    </row>
    <row r="370" spans="2:22" ht="42.6" customHeight="1">
      <c r="B370" s="2253" t="s">
        <v>462</v>
      </c>
      <c r="C370" s="2254"/>
      <c r="D370" s="758" t="s">
        <v>463</v>
      </c>
      <c r="E370" s="2254" t="s">
        <v>875</v>
      </c>
      <c r="F370" s="2254"/>
      <c r="G370" s="2254"/>
      <c r="H370" s="2254"/>
      <c r="I370" s="2254"/>
      <c r="J370" s="2254"/>
      <c r="K370" s="2254" t="s">
        <v>851</v>
      </c>
      <c r="L370" s="2254"/>
      <c r="M370" s="2254" t="s">
        <v>852</v>
      </c>
      <c r="N370" s="2280"/>
      <c r="V370" s="441"/>
    </row>
    <row r="371" spans="2:22" ht="46.9" customHeight="1">
      <c r="B371" s="2294" t="str">
        <f>IF(Perfiles_usuario!B91=0,"",Perfiles_usuario!B91)</f>
        <v/>
      </c>
      <c r="C371" s="2295"/>
      <c r="D371" s="760" t="str">
        <f>IF(Perfiles_usuario!D91=0,"",Perfiles_usuario!D91)</f>
        <v/>
      </c>
      <c r="E371" s="2282" t="str">
        <f>IF(Perfiles_usuario!D91=0,"",Perfiles_usuario!F91)</f>
        <v/>
      </c>
      <c r="F371" s="2282"/>
      <c r="G371" s="2282"/>
      <c r="H371" s="2282"/>
      <c r="I371" s="2282"/>
      <c r="J371" s="2282"/>
      <c r="K371" s="2636" t="str">
        <f>IF(Perfiles_usuario!D91=0,"",Perfiles_usuario!J91)</f>
        <v/>
      </c>
      <c r="L371" s="2636"/>
      <c r="M371" s="2636" t="str">
        <f>IF(Perfiles_usuario!D91=0,"",Perfiles_usuario!L91)</f>
        <v/>
      </c>
      <c r="N371" s="2637"/>
      <c r="O371" s="522"/>
      <c r="P371" s="522"/>
      <c r="Q371" s="522"/>
      <c r="R371" s="522"/>
      <c r="S371" s="522"/>
      <c r="T371" s="522"/>
      <c r="U371" s="522"/>
      <c r="V371" s="441"/>
    </row>
    <row r="372" spans="2:22" ht="46.9" customHeight="1">
      <c r="B372" s="2460" t="str">
        <f>IF(Perfiles_usuario!B93=0,"",Perfiles_usuario!B93)</f>
        <v/>
      </c>
      <c r="C372" s="2461"/>
      <c r="D372" s="759" t="str">
        <f>IF(Perfiles_usuario!D93=0,"",Perfiles_usuario!D93)</f>
        <v/>
      </c>
      <c r="E372" s="2458" t="str">
        <f>IF(Perfiles_usuario!D93=0,"",Perfiles_usuario!F93)</f>
        <v/>
      </c>
      <c r="F372" s="2458"/>
      <c r="G372" s="2458"/>
      <c r="H372" s="2458"/>
      <c r="I372" s="2458"/>
      <c r="J372" s="2458"/>
      <c r="K372" s="2641" t="str">
        <f>IF(Perfiles_usuario!D93=0,"",Perfiles_usuario!J93)</f>
        <v/>
      </c>
      <c r="L372" s="2641"/>
      <c r="M372" s="2641" t="str">
        <f>IF(Perfiles_usuario!D93=0,"",Perfiles_usuario!L93)</f>
        <v/>
      </c>
      <c r="N372" s="2642"/>
      <c r="O372" s="522"/>
      <c r="P372" s="522"/>
      <c r="Q372" s="522"/>
      <c r="R372" s="522"/>
      <c r="S372" s="522"/>
      <c r="T372" s="522"/>
      <c r="U372" s="522"/>
      <c r="V372" s="441"/>
    </row>
    <row r="373" spans="2:22" ht="46.9" customHeight="1">
      <c r="B373" s="2460" t="str">
        <f>IF(Perfiles_usuario!B95=0,"",Perfiles_usuario!B95)</f>
        <v/>
      </c>
      <c r="C373" s="2461"/>
      <c r="D373" s="759" t="str">
        <f>IF(Perfiles_usuario!D95=0,"",Perfiles_usuario!D95)</f>
        <v/>
      </c>
      <c r="E373" s="2458" t="str">
        <f>IF(Perfiles_usuario!D95=0,"",Perfiles_usuario!F95)</f>
        <v/>
      </c>
      <c r="F373" s="2458"/>
      <c r="G373" s="2458"/>
      <c r="H373" s="2458"/>
      <c r="I373" s="2458"/>
      <c r="J373" s="2458"/>
      <c r="K373" s="2641" t="str">
        <f>IF(Perfiles_usuario!D95=0,"",Perfiles_usuario!J95)</f>
        <v/>
      </c>
      <c r="L373" s="2641"/>
      <c r="M373" s="2641" t="str">
        <f>IF(Perfiles_usuario!D95=0,"",Perfiles_usuario!L95)</f>
        <v/>
      </c>
      <c r="N373" s="2642"/>
      <c r="O373" s="522"/>
      <c r="P373" s="522"/>
      <c r="Q373" s="522"/>
      <c r="R373" s="522"/>
      <c r="S373" s="522"/>
      <c r="T373" s="522"/>
      <c r="U373" s="522"/>
      <c r="V373" s="441"/>
    </row>
    <row r="374" spans="2:22" ht="46.9" customHeight="1">
      <c r="B374" s="2460" t="str">
        <f>IF(Perfiles_usuario!B97=0,"",Perfiles_usuario!B97)</f>
        <v/>
      </c>
      <c r="C374" s="2461"/>
      <c r="D374" s="759" t="str">
        <f>IF(Perfiles_usuario!D97=0,"",Perfiles_usuario!D97)</f>
        <v/>
      </c>
      <c r="E374" s="2458" t="str">
        <f>IF(Perfiles_usuario!D97=0,"",Perfiles_usuario!F97)</f>
        <v/>
      </c>
      <c r="F374" s="2458"/>
      <c r="G374" s="2458"/>
      <c r="H374" s="2458"/>
      <c r="I374" s="2458"/>
      <c r="J374" s="2458"/>
      <c r="K374" s="2641" t="str">
        <f>IF(Perfiles_usuario!D97=0,"",Perfiles_usuario!J97)</f>
        <v/>
      </c>
      <c r="L374" s="2641"/>
      <c r="M374" s="2641" t="str">
        <f>IF(Perfiles_usuario!D97=0,"",Perfiles_usuario!L97)</f>
        <v/>
      </c>
      <c r="N374" s="2642"/>
      <c r="O374" s="522"/>
      <c r="P374" s="522"/>
      <c r="Q374" s="522"/>
      <c r="R374" s="522"/>
      <c r="S374" s="522"/>
      <c r="T374" s="522"/>
      <c r="U374" s="522"/>
      <c r="V374" s="441"/>
    </row>
    <row r="375" spans="2:22" ht="46.9" customHeight="1">
      <c r="B375" s="2460" t="str">
        <f>IF(Perfiles_usuario!B99=0,"",Perfiles_usuario!B99)</f>
        <v/>
      </c>
      <c r="C375" s="2461"/>
      <c r="D375" s="759" t="str">
        <f>IF(Perfiles_usuario!D99=0,"",Perfiles_usuario!D99)</f>
        <v/>
      </c>
      <c r="E375" s="2458" t="str">
        <f>IF(Perfiles_usuario!D99=0,"",Perfiles_usuario!F99)</f>
        <v/>
      </c>
      <c r="F375" s="2458"/>
      <c r="G375" s="2458"/>
      <c r="H375" s="2458"/>
      <c r="I375" s="2458"/>
      <c r="J375" s="2458"/>
      <c r="K375" s="2641" t="str">
        <f>IF(Perfiles_usuario!D99=0,"",Perfiles_usuario!J99)</f>
        <v/>
      </c>
      <c r="L375" s="2641"/>
      <c r="M375" s="2641" t="str">
        <f>IF(Perfiles_usuario!D99=0,"",Perfiles_usuario!L99)</f>
        <v/>
      </c>
      <c r="N375" s="2642"/>
      <c r="O375" s="522"/>
      <c r="P375" s="522"/>
      <c r="Q375" s="522"/>
      <c r="R375" s="522"/>
      <c r="S375" s="522"/>
      <c r="T375" s="522"/>
      <c r="U375" s="522"/>
      <c r="V375" s="441"/>
    </row>
    <row r="376" spans="2:22" ht="9.6" customHeight="1">
      <c r="B376" s="2495"/>
      <c r="C376" s="2495"/>
      <c r="D376" s="767"/>
      <c r="E376" s="2495"/>
      <c r="F376" s="2495"/>
      <c r="G376" s="2495"/>
      <c r="H376" s="2495"/>
      <c r="I376" s="2495"/>
      <c r="J376" s="2495"/>
      <c r="K376" s="2495"/>
      <c r="L376" s="2495"/>
      <c r="M376" s="2495"/>
      <c r="N376" s="2495"/>
      <c r="O376" s="561"/>
      <c r="P376" s="522"/>
      <c r="Q376" s="522"/>
      <c r="R376" s="522"/>
      <c r="S376" s="522"/>
      <c r="T376" s="522"/>
      <c r="U376" s="522"/>
      <c r="V376" s="441"/>
    </row>
    <row r="377" spans="2:22" ht="31.15" customHeight="1">
      <c r="B377" s="2273" t="s">
        <v>683</v>
      </c>
      <c r="C377" s="2274"/>
      <c r="D377" s="719">
        <f>SUM(Perfiles_usuario!D91:D99)</f>
        <v>0</v>
      </c>
      <c r="E377" s="522"/>
      <c r="F377" s="522"/>
      <c r="G377" s="522"/>
      <c r="H377" s="522"/>
      <c r="I377" s="522"/>
      <c r="J377" s="522"/>
      <c r="K377" s="2463" t="s">
        <v>295</v>
      </c>
      <c r="L377" s="2464"/>
      <c r="M377" s="2638" t="str">
        <f>IF(Perfiles_usuario!L101=0,"",Perfiles_usuario!L101)</f>
        <v/>
      </c>
      <c r="N377" s="2639"/>
      <c r="O377" s="522"/>
      <c r="P377" s="522"/>
      <c r="Q377" s="522"/>
      <c r="R377" s="522"/>
      <c r="S377" s="522"/>
      <c r="T377" s="522"/>
      <c r="U377" s="522"/>
      <c r="V377" s="441"/>
    </row>
    <row r="378" spans="2:22" ht="22.9" customHeight="1">
      <c r="B378" s="522"/>
      <c r="C378" s="522"/>
      <c r="D378" s="522"/>
      <c r="E378" s="522"/>
      <c r="F378" s="522"/>
      <c r="G378" s="522"/>
      <c r="H378" s="522"/>
      <c r="I378" s="522"/>
      <c r="J378" s="522"/>
      <c r="K378" s="522"/>
      <c r="L378" s="522"/>
      <c r="M378" s="522"/>
      <c r="N378" s="522"/>
      <c r="O378" s="522"/>
      <c r="P378" s="522"/>
      <c r="Q378" s="522"/>
      <c r="R378" s="522"/>
      <c r="S378" s="522"/>
      <c r="T378" s="522"/>
      <c r="U378" s="522"/>
      <c r="V378" s="441"/>
    </row>
    <row r="379" spans="2:22" ht="22.9" customHeight="1">
      <c r="B379" s="522"/>
      <c r="C379" s="769"/>
      <c r="D379" s="561"/>
      <c r="E379" s="561"/>
      <c r="F379" s="561"/>
      <c r="G379" s="586"/>
      <c r="H379" s="586"/>
      <c r="I379" s="586"/>
      <c r="J379" s="586"/>
      <c r="K379" s="587"/>
      <c r="L379" s="587"/>
      <c r="M379" s="587"/>
      <c r="N379" s="587"/>
      <c r="O379" s="587"/>
      <c r="P379" s="587"/>
      <c r="Q379" s="561"/>
      <c r="R379" s="561"/>
      <c r="S379" s="441"/>
      <c r="T379" s="441"/>
      <c r="U379" s="588"/>
      <c r="V379" s="441"/>
    </row>
    <row r="380" spans="2:22" ht="22.9" customHeight="1">
      <c r="B380" s="2251" t="s">
        <v>983</v>
      </c>
      <c r="C380" s="2251"/>
      <c r="D380" s="2251"/>
      <c r="E380" s="2251"/>
      <c r="F380" s="2251"/>
      <c r="G380" s="2251"/>
      <c r="H380" s="2251"/>
      <c r="I380" s="2251"/>
      <c r="J380" s="2251"/>
      <c r="K380" s="2251"/>
      <c r="L380" s="2251"/>
      <c r="M380" s="2251"/>
      <c r="N380" s="2251"/>
      <c r="O380" s="2251"/>
      <c r="P380" s="2251"/>
      <c r="Q380" s="2251"/>
      <c r="R380" s="2251"/>
      <c r="S380" s="2251"/>
      <c r="T380" s="2251"/>
      <c r="U380" s="2251"/>
      <c r="V380" s="441"/>
    </row>
    <row r="381" spans="2:22" ht="22.9" customHeight="1">
      <c r="B381" s="600"/>
      <c r="C381" s="2442"/>
      <c r="D381" s="2442"/>
      <c r="E381" s="2442"/>
      <c r="F381" s="2442"/>
      <c r="G381" s="2442"/>
      <c r="H381" s="2442"/>
      <c r="I381" s="2442"/>
      <c r="J381" s="2442"/>
      <c r="K381" s="601"/>
      <c r="L381" s="601"/>
      <c r="M381" s="601"/>
      <c r="N381" s="601"/>
      <c r="O381" s="601"/>
      <c r="P381" s="601"/>
      <c r="Q381" s="601"/>
      <c r="R381" s="601"/>
      <c r="S381" s="601"/>
      <c r="T381" s="601"/>
      <c r="U381" s="603"/>
      <c r="V381" s="441"/>
    </row>
    <row r="382" spans="2:22" ht="22.9" customHeight="1">
      <c r="B382" s="495"/>
      <c r="C382" s="2290"/>
      <c r="D382" s="2290"/>
      <c r="E382" s="501"/>
      <c r="F382" s="501"/>
      <c r="G382" s="501"/>
      <c r="H382" s="501"/>
      <c r="I382" s="501"/>
      <c r="J382" s="501"/>
      <c r="K382" s="501"/>
      <c r="L382" s="501"/>
      <c r="M382" s="501"/>
      <c r="N382" s="501"/>
      <c r="O382" s="479"/>
      <c r="P382" s="479"/>
      <c r="Q382" s="501"/>
      <c r="R382" s="501"/>
      <c r="S382" s="501"/>
      <c r="T382" s="501"/>
      <c r="U382" s="502"/>
      <c r="V382" s="441"/>
    </row>
    <row r="383" spans="2:22" ht="22.9" customHeight="1">
      <c r="B383" s="466"/>
      <c r="C383" s="2290" t="s">
        <v>759</v>
      </c>
      <c r="D383" s="2290"/>
      <c r="E383" s="2290" t="s">
        <v>399</v>
      </c>
      <c r="F383" s="2290"/>
      <c r="G383" s="2290"/>
      <c r="H383" s="2290"/>
      <c r="I383" s="2290"/>
      <c r="J383" s="2290"/>
      <c r="K383" s="720"/>
      <c r="L383" s="720"/>
      <c r="M383" s="2290" t="s">
        <v>1867</v>
      </c>
      <c r="N383" s="2290"/>
      <c r="O383" s="2290"/>
      <c r="P383" s="2290"/>
      <c r="Q383" s="2290"/>
      <c r="R383" s="2290"/>
      <c r="S383" s="2290"/>
      <c r="T383" s="2290"/>
      <c r="U383" s="721"/>
      <c r="V383" s="441"/>
    </row>
    <row r="384" spans="2:22" ht="65.45" customHeight="1">
      <c r="B384" s="466"/>
      <c r="C384" s="2275" t="s">
        <v>984</v>
      </c>
      <c r="D384" s="2275"/>
      <c r="E384" s="2275"/>
      <c r="F384" s="2275"/>
      <c r="G384" s="2275"/>
      <c r="H384" s="2275"/>
      <c r="I384" s="2275"/>
      <c r="J384" s="2275"/>
      <c r="K384" s="501"/>
      <c r="L384" s="501"/>
      <c r="M384" s="2275" t="s">
        <v>1881</v>
      </c>
      <c r="N384" s="2275"/>
      <c r="O384" s="2275"/>
      <c r="P384" s="2275"/>
      <c r="Q384" s="2275"/>
      <c r="R384" s="2275"/>
      <c r="S384" s="2275"/>
      <c r="T384" s="2275"/>
      <c r="U384" s="502"/>
      <c r="V384" s="441"/>
    </row>
    <row r="385" spans="1:22" ht="22.9" customHeight="1">
      <c r="B385" s="496"/>
      <c r="C385" s="441"/>
      <c r="D385" s="524" t="s">
        <v>491</v>
      </c>
      <c r="E385" s="499"/>
      <c r="F385" s="499"/>
      <c r="G385" s="499"/>
      <c r="H385" s="499"/>
      <c r="I385" s="499"/>
      <c r="J385" s="523">
        <v>35</v>
      </c>
      <c r="K385" s="499"/>
      <c r="L385" s="499"/>
      <c r="M385" s="492"/>
      <c r="N385" s="524" t="s">
        <v>491</v>
      </c>
      <c r="O385" s="499"/>
      <c r="P385" s="524"/>
      <c r="Q385" s="441"/>
      <c r="R385" s="499"/>
      <c r="S385" s="728">
        <v>7.35</v>
      </c>
      <c r="T385" s="492"/>
      <c r="U385" s="722"/>
      <c r="V385" s="441"/>
    </row>
    <row r="386" spans="1:22" ht="22.9" customHeight="1">
      <c r="B386" s="500"/>
      <c r="C386" s="499"/>
      <c r="D386" s="499"/>
      <c r="E386" s="499"/>
      <c r="F386" s="499"/>
      <c r="G386" s="499"/>
      <c r="H386" s="499"/>
      <c r="I386" s="499"/>
      <c r="J386" s="499"/>
      <c r="K386" s="499"/>
      <c r="L386" s="499"/>
      <c r="M386" s="499"/>
      <c r="N386" s="723"/>
      <c r="O386" s="724"/>
      <c r="P386" s="725"/>
      <c r="Q386" s="499"/>
      <c r="R386" s="503"/>
      <c r="S386" s="503"/>
      <c r="T386" s="503"/>
      <c r="U386" s="726"/>
      <c r="V386" s="441"/>
    </row>
    <row r="387" spans="1:22" ht="22.9" customHeight="1">
      <c r="B387" s="727"/>
      <c r="C387" s="2290" t="s">
        <v>1213</v>
      </c>
      <c r="D387" s="2290"/>
      <c r="E387" s="2290" t="s">
        <v>399</v>
      </c>
      <c r="F387" s="2290"/>
      <c r="G387" s="2290"/>
      <c r="H387" s="2290"/>
      <c r="I387" s="2290"/>
      <c r="J387" s="2290"/>
      <c r="K387" s="720"/>
      <c r="L387" s="720"/>
      <c r="M387" s="2467" t="s">
        <v>1078</v>
      </c>
      <c r="N387" s="2467"/>
      <c r="O387" s="2467"/>
      <c r="P387" s="2467"/>
      <c r="Q387" s="2467"/>
      <c r="R387" s="2467"/>
      <c r="S387" s="2467"/>
      <c r="T387" s="2467"/>
      <c r="U387" s="721"/>
      <c r="V387" s="441"/>
    </row>
    <row r="388" spans="1:22" ht="90" customHeight="1">
      <c r="B388" s="466"/>
      <c r="C388" s="2275" t="s">
        <v>1882</v>
      </c>
      <c r="D388" s="2275"/>
      <c r="E388" s="2275"/>
      <c r="F388" s="2275"/>
      <c r="G388" s="2275"/>
      <c r="H388" s="2275"/>
      <c r="I388" s="2275"/>
      <c r="J388" s="2275"/>
      <c r="K388" s="501"/>
      <c r="L388" s="501"/>
      <c r="M388" s="2276" t="s">
        <v>1975</v>
      </c>
      <c r="N388" s="2277"/>
      <c r="O388" s="2277"/>
      <c r="P388" s="2277"/>
      <c r="Q388" s="2277"/>
      <c r="R388" s="2277"/>
      <c r="S388" s="2277"/>
      <c r="T388" s="2278"/>
      <c r="U388" s="502"/>
      <c r="V388" s="441"/>
    </row>
    <row r="389" spans="1:22" ht="22.9" customHeight="1">
      <c r="B389" s="496"/>
      <c r="C389" s="441"/>
      <c r="D389" s="524" t="s">
        <v>491</v>
      </c>
      <c r="E389" s="499"/>
      <c r="F389" s="499"/>
      <c r="G389" s="499"/>
      <c r="H389" s="499"/>
      <c r="I389" s="499"/>
      <c r="J389" s="728">
        <v>20.619834710743802</v>
      </c>
      <c r="K389" s="499"/>
      <c r="L389" s="499"/>
      <c r="M389" s="561"/>
      <c r="N389" s="524" t="s">
        <v>491</v>
      </c>
      <c r="O389" s="586"/>
      <c r="P389" s="586"/>
      <c r="Q389" s="441"/>
      <c r="S389" s="728">
        <v>53.64</v>
      </c>
      <c r="T389" s="441"/>
      <c r="U389" s="722"/>
      <c r="V389" s="441"/>
    </row>
    <row r="390" spans="1:22" ht="22.9" customHeight="1">
      <c r="B390" s="515"/>
      <c r="C390" s="488"/>
      <c r="D390" s="516"/>
      <c r="E390" s="517"/>
      <c r="F390" s="517"/>
      <c r="G390" s="517"/>
      <c r="H390" s="517"/>
      <c r="I390" s="517"/>
      <c r="J390" s="518"/>
      <c r="K390" s="517"/>
      <c r="L390" s="517"/>
      <c r="M390" s="517"/>
      <c r="N390" s="516"/>
      <c r="O390" s="517"/>
      <c r="P390" s="516"/>
      <c r="Q390" s="488"/>
      <c r="R390" s="517"/>
      <c r="S390" s="518"/>
      <c r="T390" s="518"/>
      <c r="U390" s="519"/>
      <c r="V390" s="441"/>
    </row>
    <row r="391" spans="1:22" ht="22.9" customHeight="1">
      <c r="B391" s="520" t="s">
        <v>699</v>
      </c>
      <c r="C391" s="441"/>
      <c r="D391" s="480"/>
      <c r="E391" s="499"/>
      <c r="F391" s="499"/>
      <c r="G391" s="499"/>
      <c r="H391" s="499"/>
      <c r="I391" s="499"/>
      <c r="J391" s="523"/>
      <c r="K391" s="499"/>
      <c r="L391" s="499"/>
      <c r="M391" s="524"/>
      <c r="O391" s="499"/>
      <c r="P391" s="524"/>
      <c r="Q391" s="524"/>
      <c r="R391" s="499"/>
      <c r="S391" s="523"/>
      <c r="T391" s="523"/>
      <c r="U391" s="499"/>
      <c r="V391" s="441"/>
    </row>
    <row r="392" spans="1:22" ht="22.9" customHeight="1">
      <c r="A392" s="441"/>
      <c r="B392" s="524"/>
      <c r="C392" s="441"/>
      <c r="D392" s="480"/>
      <c r="E392" s="499"/>
      <c r="F392" s="499"/>
      <c r="G392" s="470"/>
      <c r="H392" s="470"/>
      <c r="I392" s="470"/>
      <c r="J392" s="470"/>
      <c r="K392" s="470"/>
      <c r="L392" s="470"/>
      <c r="M392" s="470"/>
      <c r="N392" s="470"/>
      <c r="O392" s="470"/>
      <c r="P392" s="470"/>
      <c r="Q392" s="524"/>
      <c r="R392" s="499"/>
      <c r="S392" s="523"/>
      <c r="T392" s="523"/>
      <c r="U392" s="499"/>
      <c r="V392" s="441"/>
    </row>
    <row r="393" spans="1:22" ht="22.9" customHeight="1">
      <c r="A393" s="441"/>
      <c r="B393" s="2287" t="s">
        <v>985</v>
      </c>
      <c r="C393" s="2287"/>
      <c r="D393" s="2287"/>
      <c r="E393" s="2287"/>
      <c r="F393" s="2287"/>
      <c r="G393" s="2287"/>
      <c r="H393" s="2287"/>
      <c r="I393" s="2287"/>
      <c r="J393" s="2287"/>
      <c r="K393" s="2287"/>
      <c r="L393" s="2287"/>
      <c r="M393" s="2287"/>
      <c r="N393" s="2287"/>
      <c r="O393" s="2287"/>
      <c r="P393" s="2287"/>
      <c r="Q393" s="2287"/>
      <c r="R393" s="2287"/>
      <c r="S393" s="2287"/>
      <c r="T393" s="2287"/>
      <c r="U393" s="2287"/>
      <c r="V393" s="441"/>
    </row>
    <row r="394" spans="1:22" ht="22.9" customHeight="1">
      <c r="A394" s="441"/>
      <c r="B394" s="1197"/>
      <c r="C394" s="1195"/>
      <c r="D394" s="1195"/>
      <c r="E394" s="1195"/>
      <c r="F394" s="1195"/>
      <c r="G394" s="1195"/>
      <c r="H394" s="1195"/>
      <c r="I394" s="1195"/>
      <c r="J394" s="1195"/>
      <c r="K394" s="1195"/>
      <c r="L394" s="601"/>
      <c r="M394" s="1195"/>
      <c r="N394" s="1195"/>
      <c r="O394" s="1195"/>
      <c r="P394" s="1195"/>
      <c r="Q394" s="1195"/>
      <c r="R394" s="1195"/>
      <c r="S394" s="1195"/>
      <c r="T394" s="1195"/>
      <c r="U394" s="603"/>
      <c r="V394" s="441"/>
    </row>
    <row r="395" spans="1:22" ht="22.9" customHeight="1">
      <c r="A395" s="441"/>
      <c r="B395" s="495"/>
      <c r="H395" s="2291" t="s">
        <v>1079</v>
      </c>
      <c r="I395" s="2291"/>
      <c r="J395" s="2291"/>
      <c r="K395" s="2291"/>
      <c r="L395" s="2291"/>
      <c r="M395" s="2291"/>
      <c r="N395" s="2291"/>
      <c r="O395" s="2291"/>
      <c r="U395" s="502"/>
      <c r="V395" s="441"/>
    </row>
    <row r="396" spans="1:22" ht="66.599999999999994" customHeight="1">
      <c r="A396" s="441"/>
      <c r="B396" s="466"/>
      <c r="H396" s="2275" t="s">
        <v>1970</v>
      </c>
      <c r="I396" s="2275"/>
      <c r="J396" s="2275"/>
      <c r="K396" s="2275"/>
      <c r="L396" s="2275"/>
      <c r="M396" s="2275"/>
      <c r="N396" s="2275"/>
      <c r="O396" s="2275"/>
      <c r="U396" s="721"/>
      <c r="V396" s="441"/>
    </row>
    <row r="397" spans="1:22" ht="22.9" customHeight="1">
      <c r="B397" s="466"/>
      <c r="C397" s="808"/>
      <c r="E397" s="561"/>
      <c r="F397" s="561"/>
      <c r="G397" s="586"/>
      <c r="H397" s="524" t="s">
        <v>491</v>
      </c>
      <c r="I397" s="441"/>
      <c r="K397" s="587"/>
      <c r="L397" s="587"/>
      <c r="N397" s="728">
        <v>33.020000000000003</v>
      </c>
      <c r="U397" s="502"/>
      <c r="V397" s="441"/>
    </row>
    <row r="398" spans="1:22" ht="22.9" customHeight="1">
      <c r="B398" s="515"/>
      <c r="C398" s="488"/>
      <c r="D398" s="488"/>
      <c r="E398" s="488"/>
      <c r="F398" s="488"/>
      <c r="G398" s="488"/>
      <c r="H398" s="488"/>
      <c r="I398" s="488"/>
      <c r="J398" s="488"/>
      <c r="K398" s="488"/>
      <c r="L398" s="488"/>
      <c r="M398" s="488"/>
      <c r="N398" s="488"/>
      <c r="O398" s="488"/>
      <c r="P398" s="488"/>
      <c r="Q398" s="488"/>
      <c r="R398" s="488"/>
      <c r="S398" s="488"/>
      <c r="T398" s="488"/>
      <c r="U398" s="519"/>
      <c r="V398" s="441"/>
    </row>
    <row r="399" spans="1:22" ht="22.9" customHeight="1">
      <c r="B399" s="520" t="s">
        <v>699</v>
      </c>
      <c r="C399" s="769"/>
      <c r="D399" s="561"/>
      <c r="E399" s="561"/>
      <c r="F399" s="561"/>
      <c r="G399" s="586"/>
      <c r="H399" s="586"/>
      <c r="I399" s="586"/>
      <c r="J399" s="586"/>
      <c r="K399" s="587"/>
      <c r="L399" s="587"/>
      <c r="M399" s="476" t="s">
        <v>995</v>
      </c>
      <c r="N399" s="587"/>
      <c r="O399" s="587"/>
      <c r="P399" s="587"/>
      <c r="Q399" s="561"/>
      <c r="R399" s="477" t="s">
        <v>692</v>
      </c>
      <c r="S399" s="478" t="str">
        <f>$E$29</f>
        <v>ILF5_90FCPRS_B114CAGR43006</v>
      </c>
      <c r="T399" s="441"/>
      <c r="U399" s="588"/>
      <c r="V399" s="441"/>
    </row>
    <row r="400" spans="1:22" ht="16.899999999999999" customHeight="1">
      <c r="B400" s="522"/>
      <c r="C400" s="585"/>
      <c r="D400" s="584"/>
      <c r="E400" s="584"/>
      <c r="F400" s="584"/>
      <c r="G400" s="586"/>
      <c r="H400" s="436"/>
      <c r="I400" s="420"/>
      <c r="K400" s="420"/>
      <c r="L400" s="437"/>
      <c r="M400" s="587"/>
      <c r="N400" s="587"/>
      <c r="O400" s="587"/>
      <c r="P400" s="587"/>
      <c r="Q400" s="561"/>
      <c r="R400" s="561"/>
      <c r="S400" s="441"/>
      <c r="T400" s="441"/>
      <c r="U400" s="588"/>
      <c r="V400" s="441"/>
    </row>
    <row r="401" spans="2:22" ht="16.899999999999999" customHeight="1">
      <c r="H401" s="436" t="s">
        <v>690</v>
      </c>
      <c r="I401" s="420"/>
      <c r="K401" s="420"/>
      <c r="L401" s="437" t="str">
        <f>$B$11</f>
        <v>INMOBILIARIA SERVIGESTION</v>
      </c>
      <c r="S401" s="420"/>
      <c r="T401" s="420"/>
      <c r="V401" s="441"/>
    </row>
    <row r="402" spans="2:22" ht="16.899999999999999" customHeight="1">
      <c r="B402" s="420"/>
      <c r="C402" s="420"/>
      <c r="D402" s="420"/>
      <c r="E402" s="420"/>
      <c r="F402" s="420"/>
      <c r="G402" s="420"/>
      <c r="H402" s="420"/>
      <c r="I402" s="420"/>
      <c r="J402" s="420"/>
      <c r="K402" s="420"/>
      <c r="L402" s="420"/>
      <c r="M402" s="420"/>
      <c r="N402" s="420"/>
      <c r="O402" s="420"/>
      <c r="P402" s="420"/>
      <c r="Q402" s="420"/>
      <c r="R402" s="420"/>
      <c r="S402" s="420"/>
      <c r="T402" s="420"/>
      <c r="U402" s="420"/>
      <c r="V402" s="441"/>
    </row>
    <row r="403" spans="2:22" ht="16.899999999999999" customHeight="1">
      <c r="B403" s="420"/>
      <c r="C403" s="420"/>
      <c r="D403" s="420"/>
      <c r="E403" s="420"/>
      <c r="F403" s="420"/>
      <c r="G403" s="420"/>
      <c r="H403" s="420"/>
      <c r="I403" s="420"/>
      <c r="J403" s="420"/>
      <c r="K403" s="420"/>
      <c r="L403" s="420"/>
      <c r="M403" s="420"/>
      <c r="N403" s="420"/>
      <c r="O403" s="420"/>
      <c r="P403" s="420"/>
      <c r="Q403" s="420"/>
      <c r="R403" s="420"/>
      <c r="S403" s="420"/>
      <c r="T403" s="420"/>
      <c r="U403" s="420"/>
      <c r="V403" s="441"/>
    </row>
    <row r="404" spans="2:22" ht="35.1" customHeight="1">
      <c r="B404" s="2268" t="s">
        <v>461</v>
      </c>
      <c r="C404" s="2268"/>
      <c r="D404" s="2268"/>
      <c r="E404" s="2268"/>
      <c r="F404" s="2268"/>
      <c r="G404" s="2268"/>
      <c r="H404" s="2268"/>
      <c r="I404" s="2268"/>
      <c r="J404" s="2268"/>
      <c r="K404" s="2268"/>
      <c r="L404" s="2268"/>
      <c r="M404" s="2268"/>
      <c r="N404" s="2268"/>
      <c r="O404" s="2268"/>
      <c r="P404" s="2268"/>
      <c r="Q404" s="2268"/>
      <c r="R404" s="2268"/>
      <c r="S404" s="2268"/>
      <c r="T404" s="2268"/>
      <c r="U404" s="2268"/>
      <c r="V404" s="441"/>
    </row>
    <row r="405" spans="2:22" ht="30" customHeight="1">
      <c r="B405" s="2269" t="s">
        <v>1191</v>
      </c>
      <c r="C405" s="2269"/>
      <c r="D405" s="2269"/>
      <c r="E405" s="2269"/>
      <c r="F405" s="2269"/>
      <c r="G405" s="2269"/>
      <c r="H405" s="2269"/>
      <c r="I405" s="2269"/>
      <c r="J405" s="2269"/>
      <c r="K405" s="2269"/>
      <c r="L405" s="2269"/>
      <c r="M405" s="2269"/>
      <c r="N405" s="2269"/>
      <c r="O405" s="2269"/>
      <c r="P405" s="2269"/>
      <c r="Q405" s="2269"/>
      <c r="R405" s="2269"/>
      <c r="S405" s="2269"/>
      <c r="T405" s="2269"/>
      <c r="U405" s="2269"/>
      <c r="V405" s="441"/>
    </row>
    <row r="406" spans="2:22" ht="16.899999999999999" customHeight="1">
      <c r="B406" s="1236"/>
      <c r="C406" s="1236"/>
      <c r="D406" s="1236"/>
      <c r="E406" s="1236"/>
      <c r="F406" s="1236"/>
      <c r="G406" s="1236"/>
      <c r="H406" s="1236"/>
      <c r="I406" s="1236"/>
      <c r="J406" s="1236"/>
      <c r="K406" s="1236"/>
      <c r="L406" s="1236"/>
      <c r="M406" s="1236"/>
      <c r="N406" s="1236"/>
      <c r="O406" s="1236"/>
      <c r="P406" s="1236"/>
      <c r="Q406" s="1236"/>
      <c r="R406" s="1236"/>
      <c r="S406" s="1236"/>
      <c r="T406" s="1236"/>
      <c r="U406" s="1236"/>
      <c r="V406" s="441"/>
    </row>
    <row r="407" spans="2:22" ht="16.899999999999999" customHeight="1">
      <c r="B407" s="2279" t="s">
        <v>1195</v>
      </c>
      <c r="C407" s="2279"/>
      <c r="D407" s="2279"/>
      <c r="E407" s="2279"/>
      <c r="F407" s="2279"/>
      <c r="G407" s="2279"/>
      <c r="H407" s="2279"/>
      <c r="I407" s="2279"/>
      <c r="J407" s="2279"/>
      <c r="K407" s="2279"/>
      <c r="L407" s="2279"/>
      <c r="M407" s="2279"/>
      <c r="N407" s="2279"/>
      <c r="O407" s="2279"/>
      <c r="P407" s="2279"/>
      <c r="Q407" s="2279"/>
      <c r="R407" s="2279"/>
      <c r="S407" s="2279"/>
      <c r="T407" s="2279"/>
      <c r="U407" s="2279"/>
      <c r="V407" s="441"/>
    </row>
    <row r="408" spans="2:22" ht="16.899999999999999" customHeight="1">
      <c r="B408" s="2251" t="s">
        <v>1196</v>
      </c>
      <c r="C408" s="2251"/>
      <c r="D408" s="2251"/>
      <c r="E408" s="2251"/>
      <c r="F408" s="2251"/>
      <c r="G408" s="2251"/>
      <c r="H408" s="2251"/>
      <c r="I408" s="2251"/>
      <c r="J408" s="2251"/>
      <c r="K408" s="2251"/>
      <c r="L408" s="2251"/>
      <c r="M408" s="2251"/>
      <c r="N408" s="2251"/>
      <c r="O408" s="2251"/>
      <c r="P408" s="2251"/>
      <c r="Q408" s="2251"/>
      <c r="R408" s="2251"/>
      <c r="S408" s="2251"/>
      <c r="T408" s="2251"/>
      <c r="U408" s="2251"/>
      <c r="V408" s="441"/>
    </row>
    <row r="409" spans="2:22" ht="16.899999999999999" customHeight="1">
      <c r="B409" s="902"/>
      <c r="C409" s="902"/>
      <c r="D409" s="902"/>
      <c r="E409" s="902"/>
      <c r="F409" s="902"/>
      <c r="G409" s="902"/>
      <c r="H409" s="902"/>
      <c r="I409" s="902"/>
      <c r="J409" s="902"/>
      <c r="K409" s="902"/>
      <c r="L409" s="902"/>
      <c r="M409" s="902"/>
      <c r="N409" s="902"/>
      <c r="O409" s="902"/>
      <c r="P409" s="902"/>
      <c r="Q409" s="902"/>
      <c r="R409" s="902"/>
      <c r="S409" s="902"/>
      <c r="T409" s="902"/>
      <c r="U409" s="902"/>
      <c r="V409" s="441"/>
    </row>
    <row r="410" spans="2:22" ht="42" customHeight="1">
      <c r="B410" s="2253" t="s">
        <v>462</v>
      </c>
      <c r="C410" s="2254"/>
      <c r="D410" s="1238" t="s">
        <v>463</v>
      </c>
      <c r="E410" s="2254" t="s">
        <v>1380</v>
      </c>
      <c r="F410" s="2254"/>
      <c r="G410" s="2254"/>
      <c r="H410" s="2254"/>
      <c r="I410" s="2254"/>
      <c r="J410" s="2254"/>
      <c r="K410" s="2254" t="s">
        <v>467</v>
      </c>
      <c r="L410" s="2254"/>
      <c r="M410" s="2254" t="s">
        <v>295</v>
      </c>
      <c r="N410" s="2280"/>
      <c r="V410" s="441"/>
    </row>
    <row r="411" spans="2:22" ht="42" customHeight="1">
      <c r="B411" s="2281" t="str">
        <f>IF(Perfiles_usuario!$B$107=0,"",Perfiles_usuario!$B$107)</f>
        <v/>
      </c>
      <c r="C411" s="2282"/>
      <c r="D411" s="1237" t="str">
        <f>IF(Perfiles_usuario!$D$107=0,"",Perfiles_usuario!$D$107)</f>
        <v/>
      </c>
      <c r="E411" s="2282" t="str">
        <f>IF(Perfiles_usuario!$D$107=0,"",Perfiles_usuario!$F$107)</f>
        <v/>
      </c>
      <c r="F411" s="2282"/>
      <c r="G411" s="2282"/>
      <c r="H411" s="2282"/>
      <c r="I411" s="2282"/>
      <c r="J411" s="2282"/>
      <c r="K411" s="2292" t="str">
        <f>IF(Perfiles_usuario!$D$107=0,"",Perfiles_usuario!$J$107)</f>
        <v/>
      </c>
      <c r="L411" s="2292"/>
      <c r="M411" s="2292" t="str">
        <f>IF(Perfiles_usuario!$D$107=0,"",Perfiles_usuario!$L$107)</f>
        <v/>
      </c>
      <c r="N411" s="2293"/>
      <c r="O411" s="522"/>
      <c r="P411" s="522"/>
      <c r="Q411" s="522"/>
      <c r="R411" s="522"/>
      <c r="S411" s="522"/>
      <c r="T411" s="522"/>
      <c r="U411" s="522"/>
      <c r="V411" s="441"/>
    </row>
    <row r="412" spans="2:22" ht="42" customHeight="1">
      <c r="B412" s="2294" t="str">
        <f>IF(Perfiles_usuario!$B$109=0,"",Perfiles_usuario!$B$109)</f>
        <v/>
      </c>
      <c r="C412" s="2295"/>
      <c r="D412" s="1237" t="str">
        <f>IF(Perfiles_usuario!$D$109=0,"",Perfiles_usuario!$D$109)</f>
        <v/>
      </c>
      <c r="E412" s="2282" t="str">
        <f>IF(Perfiles_usuario!$D$109=0,"",Perfiles_usuario!$F$109)</f>
        <v/>
      </c>
      <c r="F412" s="2282"/>
      <c r="G412" s="2282"/>
      <c r="H412" s="2282"/>
      <c r="I412" s="2282"/>
      <c r="J412" s="2282"/>
      <c r="K412" s="2292" t="str">
        <f>IF(Perfiles_usuario!$D$109=0,"",Perfiles_usuario!$J$109)</f>
        <v/>
      </c>
      <c r="L412" s="2292"/>
      <c r="M412" s="2292" t="str">
        <f>IF(Perfiles_usuario!$D$109=0,"",Perfiles_usuario!$L$109)</f>
        <v/>
      </c>
      <c r="N412" s="2293"/>
      <c r="O412" s="522"/>
      <c r="P412" s="522"/>
      <c r="Q412" s="522"/>
      <c r="R412" s="522"/>
      <c r="S412" s="522"/>
      <c r="T412" s="522"/>
      <c r="U412" s="522"/>
      <c r="V412" s="441"/>
    </row>
    <row r="413" spans="2:22" ht="42" customHeight="1">
      <c r="B413" s="2283"/>
      <c r="C413" s="2283"/>
      <c r="D413" s="1245"/>
      <c r="E413" s="2284"/>
      <c r="F413" s="2284"/>
      <c r="G413" s="2284"/>
      <c r="H413" s="2284"/>
      <c r="I413" s="2284"/>
      <c r="J413" s="2284"/>
      <c r="K413" s="2296"/>
      <c r="L413" s="2296"/>
      <c r="M413" s="2296"/>
      <c r="N413" s="2296"/>
      <c r="O413" s="522"/>
      <c r="P413" s="522"/>
      <c r="Q413" s="522"/>
      <c r="R413" s="522"/>
      <c r="S413" s="522"/>
      <c r="T413" s="522"/>
      <c r="U413" s="522"/>
      <c r="V413" s="441"/>
    </row>
    <row r="414" spans="2:22" ht="42" customHeight="1">
      <c r="B414" s="2273" t="s">
        <v>1192</v>
      </c>
      <c r="C414" s="2274"/>
      <c r="D414" s="719">
        <f>SUM(Perfiles_usuario!$D$107:$D$109)</f>
        <v>0</v>
      </c>
      <c r="E414" s="2284"/>
      <c r="F414" s="2284"/>
      <c r="G414" s="2284"/>
      <c r="H414" s="2284"/>
      <c r="I414" s="2284"/>
      <c r="J414" s="2284"/>
      <c r="K414" s="2463" t="s">
        <v>295</v>
      </c>
      <c r="L414" s="2464"/>
      <c r="M414" s="2285" t="str">
        <f>IF(Perfiles_usuario!$L$111=0,"",Perfiles_usuario!$L$111)</f>
        <v/>
      </c>
      <c r="N414" s="2286"/>
      <c r="O414" s="522"/>
      <c r="P414" s="522"/>
      <c r="Q414" s="522"/>
      <c r="R414" s="522"/>
      <c r="S414" s="522"/>
      <c r="T414" s="522"/>
      <c r="U414" s="522"/>
      <c r="V414" s="441"/>
    </row>
    <row r="415" spans="2:22" ht="16.899999999999999" customHeight="1">
      <c r="B415" s="522"/>
      <c r="C415" s="585"/>
      <c r="D415" s="584"/>
      <c r="E415" s="584"/>
      <c r="F415" s="584"/>
      <c r="G415" s="586"/>
      <c r="H415" s="436"/>
      <c r="I415" s="420"/>
      <c r="K415" s="420"/>
      <c r="L415" s="437"/>
      <c r="M415" s="587"/>
      <c r="N415" s="587"/>
      <c r="O415" s="587"/>
      <c r="P415" s="587"/>
      <c r="Q415" s="561"/>
      <c r="R415" s="561"/>
      <c r="S415" s="441"/>
      <c r="T415" s="441"/>
      <c r="U415" s="588"/>
      <c r="V415" s="441"/>
    </row>
    <row r="416" spans="2:22" ht="16.899999999999999" customHeight="1">
      <c r="B416" s="522"/>
      <c r="C416" s="585"/>
      <c r="D416" s="584"/>
      <c r="E416" s="584"/>
      <c r="F416" s="584"/>
      <c r="G416" s="586"/>
      <c r="H416" s="436"/>
      <c r="I416" s="420"/>
      <c r="K416" s="420"/>
      <c r="L416" s="437"/>
      <c r="M416" s="587"/>
      <c r="N416" s="587"/>
      <c r="O416" s="587"/>
      <c r="P416" s="587"/>
      <c r="Q416" s="561"/>
      <c r="R416" s="561"/>
      <c r="S416" s="441"/>
      <c r="T416" s="441"/>
      <c r="U416" s="588"/>
      <c r="V416" s="441"/>
    </row>
    <row r="417" spans="2:22" ht="16.899999999999999" customHeight="1">
      <c r="B417" s="522"/>
      <c r="C417" s="585"/>
      <c r="D417" s="584"/>
      <c r="E417" s="584"/>
      <c r="F417" s="584"/>
      <c r="G417" s="586"/>
      <c r="H417" s="436"/>
      <c r="I417" s="420"/>
      <c r="K417" s="420"/>
      <c r="L417" s="437"/>
      <c r="M417" s="587"/>
      <c r="N417" s="587"/>
      <c r="O417" s="587"/>
      <c r="P417" s="587"/>
      <c r="Q417" s="561"/>
      <c r="R417" s="561"/>
      <c r="S417" s="441"/>
      <c r="T417" s="441"/>
      <c r="U417" s="588"/>
      <c r="V417" s="441"/>
    </row>
    <row r="418" spans="2:22" ht="16.899999999999999" customHeight="1">
      <c r="B418" s="522"/>
      <c r="C418" s="585"/>
      <c r="D418" s="584"/>
      <c r="E418" s="584"/>
      <c r="F418" s="584"/>
      <c r="G418" s="586"/>
      <c r="H418" s="436"/>
      <c r="I418" s="420"/>
      <c r="K418" s="420"/>
      <c r="L418" s="437"/>
      <c r="M418" s="587"/>
      <c r="N418" s="587"/>
      <c r="O418" s="587"/>
      <c r="P418" s="587"/>
      <c r="Q418" s="561"/>
      <c r="R418" s="561"/>
      <c r="S418" s="441"/>
      <c r="T418" s="441"/>
      <c r="U418" s="588"/>
      <c r="V418" s="441"/>
    </row>
    <row r="419" spans="2:22" ht="16.899999999999999" customHeight="1">
      <c r="V419" s="441"/>
    </row>
    <row r="420" spans="2:22" ht="16.899999999999999" customHeight="1">
      <c r="U420" s="588"/>
      <c r="V420" s="441"/>
    </row>
    <row r="421" spans="2:22" ht="16.899999999999999" customHeight="1">
      <c r="B421" s="522"/>
      <c r="C421" s="585"/>
      <c r="D421" s="584"/>
      <c r="E421" s="584"/>
      <c r="F421" s="584"/>
      <c r="G421" s="586"/>
      <c r="H421" s="436"/>
      <c r="I421" s="420"/>
      <c r="K421" s="420"/>
      <c r="L421" s="437"/>
      <c r="M421" s="587"/>
      <c r="N421" s="587"/>
      <c r="O421" s="587"/>
      <c r="P421" s="587"/>
      <c r="Q421" s="561"/>
      <c r="R421" s="561"/>
      <c r="S421" s="441"/>
      <c r="T421" s="441"/>
      <c r="U421" s="588"/>
      <c r="V421" s="441"/>
    </row>
    <row r="422" spans="2:22" ht="76.5" customHeight="1">
      <c r="B422" s="2288" t="s">
        <v>1386</v>
      </c>
      <c r="C422" s="2288"/>
      <c r="D422" s="2288"/>
      <c r="E422" s="2288"/>
      <c r="F422" s="2288"/>
      <c r="G422" s="2288"/>
      <c r="H422" s="2288"/>
      <c r="I422" s="2288"/>
      <c r="J422" s="2288"/>
      <c r="K422" s="2288"/>
      <c r="L422" s="2288"/>
      <c r="M422" s="2288"/>
      <c r="N422" s="2288"/>
      <c r="O422" s="2288"/>
      <c r="P422" s="2288"/>
      <c r="Q422" s="2288"/>
      <c r="R422" s="2288"/>
      <c r="S422" s="2288"/>
      <c r="T422" s="2288"/>
      <c r="U422" s="2288"/>
      <c r="V422" s="441"/>
    </row>
    <row r="423" spans="2:22" ht="16.899999999999999" customHeight="1">
      <c r="B423" s="522"/>
      <c r="C423" s="585"/>
      <c r="D423" s="584"/>
      <c r="E423" s="584"/>
      <c r="F423" s="584"/>
      <c r="G423" s="586"/>
      <c r="H423" s="436"/>
      <c r="I423" s="420"/>
      <c r="K423" s="420"/>
      <c r="L423" s="437"/>
      <c r="M423" s="587"/>
      <c r="N423" s="587"/>
      <c r="O423" s="587"/>
      <c r="P423" s="587"/>
      <c r="Q423" s="561"/>
      <c r="R423" s="561"/>
      <c r="S423" s="441"/>
      <c r="T423" s="441"/>
      <c r="U423" s="588"/>
      <c r="V423" s="441"/>
    </row>
    <row r="424" spans="2:22" ht="48" customHeight="1">
      <c r="B424" s="2288" t="s">
        <v>1193</v>
      </c>
      <c r="C424" s="2288"/>
      <c r="D424" s="2288"/>
      <c r="E424" s="2288"/>
      <c r="F424" s="2288"/>
      <c r="G424" s="2288"/>
      <c r="H424" s="2288"/>
      <c r="I424" s="2288"/>
      <c r="J424" s="2288"/>
      <c r="K424" s="2288"/>
      <c r="L424" s="2288"/>
      <c r="M424" s="2288"/>
      <c r="N424" s="2288"/>
      <c r="O424" s="2288"/>
      <c r="P424" s="2288"/>
      <c r="Q424" s="2288"/>
      <c r="R424" s="2288"/>
      <c r="S424" s="2288"/>
      <c r="T424" s="2288"/>
      <c r="U424" s="2288"/>
      <c r="V424" s="441"/>
    </row>
    <row r="425" spans="2:22" ht="16.899999999999999" customHeight="1">
      <c r="B425" s="522"/>
      <c r="K425" s="420"/>
      <c r="L425" s="437"/>
      <c r="U425" s="588"/>
      <c r="V425" s="441"/>
    </row>
    <row r="426" spans="2:22" ht="16.899999999999999" customHeight="1">
      <c r="V426" s="441"/>
    </row>
    <row r="427" spans="2:22" ht="16.899999999999999" customHeight="1">
      <c r="B427" s="2288" t="s">
        <v>1208</v>
      </c>
      <c r="C427" s="2288"/>
      <c r="D427" s="2288"/>
      <c r="E427" s="2288"/>
      <c r="F427" s="2288"/>
      <c r="G427" s="2288"/>
      <c r="H427" s="2288"/>
      <c r="I427" s="2288"/>
      <c r="J427" s="2288"/>
      <c r="K427" s="2288"/>
      <c r="L427" s="2288"/>
      <c r="M427" s="2288"/>
      <c r="N427" s="2288"/>
      <c r="O427" s="2288"/>
      <c r="P427" s="2288"/>
      <c r="Q427" s="2288"/>
      <c r="R427" s="2288"/>
      <c r="S427" s="2288"/>
      <c r="T427" s="2288"/>
      <c r="U427" s="2288"/>
      <c r="V427" s="441"/>
    </row>
    <row r="428" spans="2:22" ht="16.899999999999999" customHeight="1">
      <c r="B428" s="522"/>
      <c r="K428" s="420"/>
      <c r="T428" s="441"/>
      <c r="U428" s="588"/>
      <c r="V428" s="441"/>
    </row>
    <row r="429" spans="2:22" ht="16.899999999999999" customHeight="1">
      <c r="B429" s="522"/>
      <c r="K429" s="420"/>
      <c r="L429" s="437"/>
      <c r="M429" s="587"/>
      <c r="N429" s="587"/>
      <c r="O429" s="587"/>
      <c r="P429" s="587"/>
      <c r="Q429" s="561"/>
      <c r="R429" s="561"/>
      <c r="S429" s="441"/>
      <c r="T429" s="441"/>
      <c r="U429" s="588"/>
      <c r="V429" s="441"/>
    </row>
    <row r="430" spans="2:22" ht="34.5" customHeight="1">
      <c r="B430" s="522"/>
      <c r="C430" s="2579" t="s">
        <v>1198</v>
      </c>
      <c r="D430" s="2579"/>
      <c r="E430" s="2579" t="s">
        <v>399</v>
      </c>
      <c r="F430" s="2579"/>
      <c r="G430" s="2579"/>
      <c r="H430" s="2579"/>
      <c r="I430" s="2579"/>
      <c r="J430" s="2579"/>
      <c r="K430" s="420"/>
      <c r="L430" s="1246">
        <v>15</v>
      </c>
      <c r="M430" s="587"/>
      <c r="N430" s="587"/>
      <c r="O430" s="587"/>
      <c r="P430" s="587"/>
      <c r="Q430" s="561"/>
      <c r="R430" s="561"/>
      <c r="S430" s="441"/>
      <c r="T430" s="441"/>
      <c r="U430" s="588"/>
      <c r="V430" s="441"/>
    </row>
    <row r="431" spans="2:22" ht="16.899999999999999" customHeight="1">
      <c r="B431" s="522"/>
      <c r="C431" s="585"/>
      <c r="D431" s="584"/>
      <c r="E431" s="584"/>
      <c r="F431" s="584"/>
      <c r="G431" s="586"/>
      <c r="H431" s="436"/>
      <c r="I431" s="420"/>
      <c r="K431" s="420"/>
      <c r="L431" s="437"/>
      <c r="M431" s="587"/>
      <c r="N431" s="587"/>
      <c r="O431" s="587"/>
      <c r="P431" s="587"/>
      <c r="Q431" s="561"/>
      <c r="R431" s="561"/>
      <c r="S431" s="441"/>
      <c r="T431" s="441"/>
      <c r="U431" s="588"/>
      <c r="V431" s="441"/>
    </row>
    <row r="432" spans="2:22" ht="16.899999999999999" customHeight="1">
      <c r="B432" s="522"/>
      <c r="C432" s="1240"/>
      <c r="D432" s="1241"/>
      <c r="E432" s="1241"/>
      <c r="F432" s="1241"/>
      <c r="G432" s="1242"/>
      <c r="H432" s="1243"/>
      <c r="I432" s="1244"/>
      <c r="J432" s="1239"/>
      <c r="K432" s="420"/>
      <c r="L432" s="437"/>
      <c r="M432" s="587"/>
      <c r="N432" s="587"/>
      <c r="O432" s="587"/>
      <c r="P432" s="587"/>
      <c r="Q432" s="561"/>
      <c r="R432" s="561"/>
      <c r="S432" s="441"/>
      <c r="T432" s="441"/>
      <c r="U432" s="588"/>
      <c r="V432" s="441"/>
    </row>
    <row r="433" spans="1:22" ht="16.899999999999999" customHeight="1">
      <c r="B433" s="522"/>
      <c r="C433" s="585"/>
      <c r="D433" s="584"/>
      <c r="E433" s="584"/>
      <c r="F433" s="584"/>
      <c r="G433" s="586"/>
      <c r="H433" s="436"/>
      <c r="I433" s="420"/>
      <c r="K433" s="420"/>
      <c r="L433" s="437"/>
      <c r="M433" s="587"/>
      <c r="N433" s="587"/>
      <c r="O433" s="587"/>
      <c r="P433" s="587"/>
      <c r="Q433" s="561"/>
      <c r="R433" s="561"/>
      <c r="S433" s="441"/>
      <c r="T433" s="441"/>
      <c r="U433" s="588"/>
      <c r="V433" s="441"/>
    </row>
    <row r="434" spans="1:22" ht="16.899999999999999" customHeight="1">
      <c r="B434" s="522"/>
      <c r="C434" s="585"/>
      <c r="D434" s="584"/>
      <c r="E434" s="584"/>
      <c r="F434" s="584"/>
      <c r="G434" s="586"/>
      <c r="H434" s="436"/>
      <c r="I434" s="420"/>
      <c r="K434" s="420"/>
      <c r="L434" s="437"/>
      <c r="M434" s="587"/>
      <c r="N434" s="587"/>
      <c r="O434" s="587"/>
      <c r="P434" s="587"/>
      <c r="Q434" s="561"/>
      <c r="R434" s="561"/>
      <c r="S434" s="441"/>
      <c r="T434" s="441"/>
      <c r="U434" s="588"/>
      <c r="V434" s="441"/>
    </row>
    <row r="435" spans="1:22" ht="16.899999999999999" customHeight="1">
      <c r="B435" s="522"/>
      <c r="C435" s="585"/>
      <c r="D435" s="584"/>
      <c r="E435" s="584"/>
      <c r="F435" s="584"/>
      <c r="G435" s="586"/>
      <c r="H435" s="436"/>
      <c r="I435" s="420"/>
      <c r="K435" s="420"/>
      <c r="L435" s="437"/>
      <c r="M435" s="587"/>
      <c r="N435" s="587"/>
      <c r="O435" s="587"/>
      <c r="P435" s="587"/>
      <c r="Q435" s="561"/>
      <c r="R435" s="561"/>
      <c r="S435" s="441"/>
      <c r="T435" s="441"/>
      <c r="U435" s="588"/>
      <c r="V435" s="441"/>
    </row>
    <row r="436" spans="1:22" ht="16.899999999999999" customHeight="1">
      <c r="T436" s="441"/>
      <c r="U436" s="588"/>
      <c r="V436" s="441"/>
    </row>
    <row r="437" spans="1:22" ht="16.899999999999999" customHeight="1">
      <c r="B437" s="522"/>
      <c r="C437" s="585"/>
      <c r="D437" s="584"/>
      <c r="E437" s="584"/>
      <c r="F437" s="584"/>
      <c r="G437" s="586"/>
      <c r="H437" s="436"/>
      <c r="I437" s="420"/>
      <c r="K437" s="420"/>
      <c r="L437" s="437"/>
      <c r="M437" s="587"/>
      <c r="N437" s="587"/>
      <c r="O437" s="587"/>
      <c r="P437" s="587"/>
      <c r="Q437" s="561"/>
      <c r="R437" s="561"/>
      <c r="S437" s="441"/>
      <c r="T437" s="441"/>
      <c r="U437" s="588"/>
      <c r="V437" s="441"/>
    </row>
    <row r="438" spans="1:22" ht="16.899999999999999" customHeight="1">
      <c r="B438" s="522"/>
      <c r="C438" s="585"/>
      <c r="D438" s="584"/>
      <c r="E438" s="584"/>
      <c r="F438" s="584"/>
      <c r="G438" s="586"/>
      <c r="H438" s="436"/>
      <c r="I438" s="420"/>
      <c r="K438" s="420"/>
      <c r="L438" s="437"/>
      <c r="M438" s="587"/>
      <c r="N438" s="587"/>
      <c r="O438" s="587"/>
      <c r="P438" s="587"/>
      <c r="Q438" s="561"/>
      <c r="R438" s="561"/>
      <c r="S438" s="441"/>
      <c r="T438" s="441"/>
      <c r="U438" s="588"/>
      <c r="V438" s="441"/>
    </row>
    <row r="439" spans="1:22" ht="16.899999999999999" customHeight="1">
      <c r="B439" s="522"/>
      <c r="C439" s="585"/>
      <c r="D439" s="584"/>
      <c r="E439" s="584"/>
      <c r="F439" s="584"/>
      <c r="G439" s="586"/>
      <c r="H439" s="436"/>
      <c r="I439" s="420"/>
      <c r="K439" s="420"/>
      <c r="L439" s="437"/>
      <c r="M439" s="587"/>
      <c r="N439" s="587"/>
      <c r="O439" s="587"/>
      <c r="P439" s="587"/>
      <c r="Q439" s="561"/>
      <c r="R439" s="561"/>
      <c r="S439" s="441"/>
      <c r="T439" s="441"/>
      <c r="U439" s="588"/>
      <c r="V439" s="441"/>
    </row>
    <row r="440" spans="1:22" ht="16.899999999999999" customHeight="1">
      <c r="B440" s="522"/>
      <c r="C440" s="585"/>
      <c r="D440" s="584"/>
      <c r="E440" s="584"/>
      <c r="F440" s="584"/>
      <c r="G440" s="586"/>
      <c r="H440" s="436"/>
      <c r="I440" s="420"/>
      <c r="K440" s="420"/>
      <c r="L440" s="437"/>
      <c r="M440" s="587"/>
      <c r="N440" s="587"/>
      <c r="O440" s="587"/>
      <c r="P440" s="587"/>
      <c r="Q440" s="561"/>
      <c r="R440" s="561"/>
      <c r="S440" s="441"/>
      <c r="T440" s="441"/>
      <c r="U440" s="588"/>
      <c r="V440" s="441"/>
    </row>
    <row r="441" spans="1:22" ht="16.899999999999999" customHeight="1">
      <c r="B441" s="520" t="s">
        <v>699</v>
      </c>
      <c r="C441" s="585"/>
      <c r="D441" s="584"/>
      <c r="E441" s="584"/>
      <c r="F441" s="584"/>
      <c r="G441" s="586"/>
      <c r="H441" s="436"/>
      <c r="I441" s="420"/>
      <c r="K441" s="420"/>
      <c r="L441" s="437"/>
      <c r="M441" s="476" t="s">
        <v>996</v>
      </c>
      <c r="N441" s="587"/>
      <c r="O441" s="587"/>
      <c r="P441" s="587"/>
      <c r="Q441" s="561"/>
      <c r="R441" s="477" t="s">
        <v>692</v>
      </c>
      <c r="S441" s="478" t="str">
        <f>$E$29</f>
        <v>ILF5_90FCPRS_B114CAGR43006</v>
      </c>
      <c r="T441" s="441"/>
      <c r="U441" s="588"/>
      <c r="V441" s="441"/>
    </row>
    <row r="442" spans="1:22">
      <c r="A442" s="420"/>
      <c r="B442" s="420"/>
      <c r="C442" s="420"/>
      <c r="D442" s="420"/>
      <c r="E442" s="420"/>
      <c r="F442" s="420"/>
      <c r="G442" s="420"/>
      <c r="H442" s="436" t="s">
        <v>691</v>
      </c>
      <c r="I442" s="420"/>
      <c r="K442" s="420"/>
      <c r="L442" s="437" t="str">
        <f>$B$11</f>
        <v>INMOBILIARIA SERVIGESTION</v>
      </c>
      <c r="M442" s="420"/>
      <c r="N442" s="420"/>
      <c r="O442" s="420"/>
      <c r="P442" s="420"/>
      <c r="Q442" s="420"/>
      <c r="R442" s="420"/>
      <c r="S442" s="420"/>
      <c r="T442" s="420"/>
      <c r="U442" s="420"/>
      <c r="V442" s="420"/>
    </row>
    <row r="443" spans="1:22" ht="34.5">
      <c r="A443" s="420"/>
      <c r="B443" s="2268" t="s">
        <v>461</v>
      </c>
      <c r="C443" s="2268"/>
      <c r="D443" s="2268"/>
      <c r="E443" s="2268"/>
      <c r="F443" s="2268"/>
      <c r="G443" s="2268"/>
      <c r="H443" s="2268"/>
      <c r="I443" s="2268"/>
      <c r="J443" s="2268"/>
      <c r="K443" s="2268"/>
      <c r="L443" s="2268"/>
      <c r="M443" s="2268"/>
      <c r="N443" s="2268"/>
      <c r="O443" s="2268"/>
      <c r="P443" s="2268"/>
      <c r="Q443" s="2268"/>
      <c r="R443" s="2268"/>
      <c r="S443" s="2268"/>
      <c r="T443" s="2268"/>
      <c r="U443" s="2268"/>
      <c r="V443" s="420"/>
    </row>
    <row r="444" spans="1:22" ht="22.9" customHeight="1">
      <c r="A444" s="420"/>
      <c r="B444" s="2269" t="s">
        <v>1114</v>
      </c>
      <c r="C444" s="2269"/>
      <c r="D444" s="2269"/>
      <c r="E444" s="2269"/>
      <c r="F444" s="2269"/>
      <c r="G444" s="2269"/>
      <c r="H444" s="2269"/>
      <c r="I444" s="2269"/>
      <c r="J444" s="2269"/>
      <c r="K444" s="2269"/>
      <c r="L444" s="2269"/>
      <c r="M444" s="2269"/>
      <c r="N444" s="2269"/>
      <c r="O444" s="2269"/>
      <c r="P444" s="2269"/>
      <c r="Q444" s="2269"/>
      <c r="R444" s="2269"/>
      <c r="S444" s="2269"/>
      <c r="T444" s="2269"/>
      <c r="U444" s="2269"/>
      <c r="V444" s="420"/>
    </row>
    <row r="445" spans="1:22" ht="16.149999999999999" customHeight="1">
      <c r="A445" s="420"/>
      <c r="B445" s="757"/>
      <c r="C445" s="757"/>
      <c r="D445" s="757"/>
      <c r="E445" s="757"/>
      <c r="F445" s="757"/>
      <c r="G445" s="757"/>
      <c r="H445" s="757"/>
      <c r="I445" s="757"/>
      <c r="J445" s="757"/>
      <c r="K445" s="757"/>
      <c r="L445" s="757"/>
      <c r="M445" s="757"/>
      <c r="N445" s="757"/>
      <c r="O445" s="757"/>
      <c r="Q445" s="757"/>
      <c r="R445" s="757"/>
      <c r="S445" s="757"/>
      <c r="T445" s="757"/>
      <c r="U445" s="757"/>
      <c r="V445" s="420"/>
    </row>
    <row r="446" spans="1:22" ht="22.9" customHeight="1">
      <c r="A446" s="420"/>
      <c r="B446" s="2252"/>
      <c r="C446" s="2252"/>
      <c r="D446" s="2252"/>
      <c r="E446" s="2252"/>
      <c r="F446" s="2252"/>
      <c r="G446" s="2252"/>
      <c r="H446" s="2252"/>
      <c r="I446" s="2252"/>
      <c r="J446" s="2252"/>
      <c r="K446" s="2252"/>
      <c r="L446" s="831"/>
      <c r="M446" s="831"/>
      <c r="N446" s="831"/>
      <c r="O446" s="831"/>
      <c r="P446" s="831"/>
      <c r="Q446" s="831"/>
      <c r="R446" s="831"/>
      <c r="S446" s="831"/>
      <c r="T446" s="831"/>
      <c r="U446" s="831"/>
      <c r="V446" s="420"/>
    </row>
    <row r="447" spans="1:22" ht="23.25">
      <c r="A447" s="420"/>
      <c r="B447" s="2252" t="s">
        <v>513</v>
      </c>
      <c r="C447" s="2252"/>
      <c r="D447" s="2252"/>
      <c r="E447" s="2252"/>
      <c r="F447" s="2252"/>
      <c r="G447" s="2252"/>
      <c r="H447" s="2252"/>
      <c r="I447" s="2252"/>
      <c r="J447" s="2252"/>
      <c r="K447" s="2252"/>
      <c r="L447" s="908"/>
      <c r="M447" s="908"/>
      <c r="N447" s="908"/>
      <c r="O447" s="908"/>
      <c r="P447" s="908"/>
      <c r="Q447" s="908"/>
      <c r="R447" s="908"/>
      <c r="S447" s="908"/>
      <c r="T447" s="908"/>
      <c r="U447" s="908"/>
      <c r="V447" s="420"/>
    </row>
    <row r="448" spans="1:22" ht="61.15" customHeight="1">
      <c r="A448" s="420"/>
      <c r="B448" s="2260" t="s">
        <v>1049</v>
      </c>
      <c r="C448" s="2260"/>
      <c r="D448" s="2260"/>
      <c r="E448" s="2260"/>
      <c r="F448" s="2260"/>
      <c r="G448" s="2260"/>
      <c r="H448" s="2260"/>
      <c r="I448" s="2260"/>
      <c r="J448" s="2260"/>
      <c r="K448" s="2260"/>
      <c r="L448" s="2260"/>
      <c r="M448" s="2260"/>
      <c r="N448" s="2260"/>
      <c r="O448" s="2260"/>
      <c r="P448" s="2260"/>
      <c r="Q448" s="2260"/>
      <c r="R448" s="2260"/>
      <c r="S448" s="2260"/>
      <c r="T448" s="2260"/>
      <c r="U448" s="2260"/>
      <c r="V448" s="420"/>
    </row>
    <row r="449" spans="1:22">
      <c r="A449" s="420"/>
      <c r="V449" s="420"/>
    </row>
    <row r="450" spans="1:22" ht="29.45" customHeight="1">
      <c r="A450" s="420"/>
      <c r="B450" s="2251" t="s">
        <v>514</v>
      </c>
      <c r="C450" s="2251"/>
      <c r="D450" s="2251"/>
      <c r="E450" s="2251"/>
      <c r="F450" s="2251"/>
      <c r="G450" s="2251"/>
      <c r="H450" s="2251"/>
      <c r="I450" s="2251"/>
      <c r="J450" s="2251"/>
      <c r="K450" s="2251"/>
      <c r="L450" s="2251"/>
      <c r="M450" s="2251"/>
      <c r="N450" s="2251"/>
      <c r="O450" s="2251"/>
      <c r="P450" s="2251"/>
      <c r="Q450" s="2251"/>
      <c r="R450" s="2251"/>
      <c r="S450" s="2251"/>
      <c r="T450" s="2251"/>
      <c r="U450" s="2251"/>
      <c r="V450" s="420"/>
    </row>
    <row r="451" spans="1:22" ht="27.6" customHeight="1">
      <c r="A451" s="420"/>
      <c r="B451" s="2251" t="s">
        <v>1044</v>
      </c>
      <c r="C451" s="2251"/>
      <c r="D451" s="2251"/>
      <c r="E451" s="2251"/>
      <c r="F451" s="2251"/>
      <c r="G451" s="2251"/>
      <c r="H451" s="2251"/>
      <c r="I451" s="2251"/>
      <c r="J451" s="2251"/>
      <c r="K451" s="2251"/>
      <c r="L451" s="2251"/>
      <c r="M451" s="2251"/>
      <c r="N451" s="2251"/>
      <c r="O451" s="2251"/>
      <c r="P451" s="2251"/>
      <c r="Q451" s="2251"/>
      <c r="R451" s="2251"/>
      <c r="S451" s="2251"/>
      <c r="T451" s="2251"/>
      <c r="U451" s="2251"/>
      <c r="V451" s="420"/>
    </row>
    <row r="452" spans="1:22" ht="27.6" customHeight="1">
      <c r="A452" s="420"/>
      <c r="B452" s="2251" t="s">
        <v>1034</v>
      </c>
      <c r="C452" s="2251"/>
      <c r="D452" s="2251"/>
      <c r="E452" s="2251"/>
      <c r="F452" s="2251"/>
      <c r="G452" s="2251"/>
      <c r="H452" s="2251"/>
      <c r="I452" s="2251"/>
      <c r="J452" s="2251"/>
      <c r="K452" s="2251"/>
      <c r="L452" s="2251"/>
      <c r="M452" s="2251"/>
      <c r="N452" s="2251"/>
      <c r="O452" s="2251"/>
      <c r="P452" s="2251"/>
      <c r="Q452" s="2251"/>
      <c r="R452" s="2251"/>
      <c r="S452" s="2251"/>
      <c r="T452" s="2251"/>
      <c r="U452" s="2251"/>
      <c r="V452" s="420"/>
    </row>
    <row r="453" spans="1:22" ht="27.6" customHeight="1">
      <c r="A453" s="420"/>
      <c r="B453" s="909"/>
      <c r="C453" s="2251" t="s">
        <v>2024</v>
      </c>
      <c r="D453" s="2251"/>
      <c r="E453" s="2251"/>
      <c r="F453" s="2251"/>
      <c r="G453" s="2251"/>
      <c r="H453" s="2251"/>
      <c r="I453" s="2251"/>
      <c r="J453" s="2251"/>
      <c r="K453" s="2251"/>
      <c r="L453" s="909"/>
      <c r="M453" s="909"/>
      <c r="N453" s="909"/>
      <c r="O453" s="909"/>
      <c r="P453" s="909"/>
      <c r="Q453" s="909"/>
      <c r="R453" s="909"/>
      <c r="S453" s="909"/>
      <c r="T453" s="909"/>
      <c r="U453" s="909"/>
      <c r="V453" s="420"/>
    </row>
    <row r="454" spans="1:22" ht="27.6" customHeight="1">
      <c r="A454" s="420"/>
      <c r="B454" s="909"/>
      <c r="C454" s="2251" t="s">
        <v>1997</v>
      </c>
      <c r="D454" s="2251"/>
      <c r="E454" s="2251"/>
      <c r="F454" s="2251"/>
      <c r="G454" s="2251"/>
      <c r="H454" s="2251"/>
      <c r="I454" s="2251"/>
      <c r="J454" s="2251"/>
      <c r="K454" s="2251"/>
      <c r="L454" s="909"/>
      <c r="M454" s="909"/>
      <c r="N454" s="909"/>
      <c r="O454" s="909"/>
      <c r="P454" s="909"/>
      <c r="Q454" s="909"/>
      <c r="R454" s="909"/>
      <c r="S454" s="909"/>
      <c r="T454" s="909"/>
      <c r="U454" s="909"/>
      <c r="V454" s="420"/>
    </row>
    <row r="455" spans="1:22" ht="27.6" customHeight="1">
      <c r="A455" s="420"/>
      <c r="B455" s="909"/>
      <c r="C455" s="2251" t="s">
        <v>1035</v>
      </c>
      <c r="D455" s="2251"/>
      <c r="E455" s="2251"/>
      <c r="F455" s="2251"/>
      <c r="G455" s="2251"/>
      <c r="H455" s="2251"/>
      <c r="I455" s="2251"/>
      <c r="J455" s="2251"/>
      <c r="K455" s="2251"/>
      <c r="L455" s="909"/>
      <c r="M455" s="909"/>
      <c r="N455" s="909"/>
      <c r="O455" s="909"/>
      <c r="P455" s="909"/>
      <c r="Q455" s="909"/>
      <c r="R455" s="909"/>
      <c r="S455" s="909"/>
      <c r="T455" s="909"/>
      <c r="U455" s="909"/>
      <c r="V455" s="420"/>
    </row>
    <row r="456" spans="1:22" ht="27.6" customHeight="1">
      <c r="A456" s="420"/>
      <c r="B456" s="2251" t="s">
        <v>1036</v>
      </c>
      <c r="C456" s="2251"/>
      <c r="D456" s="2251"/>
      <c r="E456" s="2251"/>
      <c r="F456" s="2251"/>
      <c r="G456" s="2251"/>
      <c r="H456" s="2251"/>
      <c r="I456" s="2251"/>
      <c r="J456" s="2251"/>
      <c r="K456" s="2251"/>
      <c r="L456" s="2251"/>
      <c r="M456" s="2251"/>
      <c r="N456" s="2251"/>
      <c r="O456" s="2251"/>
      <c r="P456" s="2251"/>
      <c r="Q456" s="2251"/>
      <c r="R456" s="2251"/>
      <c r="S456" s="2251"/>
      <c r="T456" s="2251"/>
      <c r="U456" s="2251"/>
      <c r="V456" s="420"/>
    </row>
    <row r="457" spans="1:22" ht="27.6" customHeight="1">
      <c r="A457" s="420"/>
      <c r="B457" s="2251" t="s">
        <v>1037</v>
      </c>
      <c r="C457" s="2251"/>
      <c r="D457" s="2251"/>
      <c r="E457" s="2251"/>
      <c r="F457" s="2251"/>
      <c r="G457" s="2251"/>
      <c r="H457" s="2251"/>
      <c r="I457" s="2251"/>
      <c r="J457" s="2251"/>
      <c r="K457" s="2251"/>
      <c r="L457" s="2251"/>
      <c r="M457" s="2251"/>
      <c r="N457" s="2251"/>
      <c r="O457" s="2251"/>
      <c r="P457" s="2251"/>
      <c r="Q457" s="2251"/>
      <c r="R457" s="2251"/>
      <c r="S457" s="2251"/>
      <c r="T457" s="2251"/>
      <c r="U457" s="2251"/>
      <c r="V457" s="420"/>
    </row>
    <row r="458" spans="1:22" ht="27.6" customHeight="1">
      <c r="A458" s="420"/>
      <c r="B458" s="2251" t="s">
        <v>1039</v>
      </c>
      <c r="C458" s="2251"/>
      <c r="D458" s="2251"/>
      <c r="E458" s="2251"/>
      <c r="F458" s="2251"/>
      <c r="G458" s="2251"/>
      <c r="H458" s="2251"/>
      <c r="I458" s="2251"/>
      <c r="J458" s="2251"/>
      <c r="K458" s="2251"/>
      <c r="L458" s="2251"/>
      <c r="M458" s="2251"/>
      <c r="N458" s="2251"/>
      <c r="O458" s="2251"/>
      <c r="P458" s="2251"/>
      <c r="Q458" s="2251"/>
      <c r="R458" s="2251"/>
      <c r="S458" s="2251"/>
      <c r="T458" s="2251"/>
      <c r="U458" s="2251"/>
      <c r="V458" s="420"/>
    </row>
    <row r="459" spans="1:22" ht="33.6" customHeight="1">
      <c r="A459" s="420"/>
      <c r="B459" s="2251" t="s">
        <v>1038</v>
      </c>
      <c r="C459" s="2251"/>
      <c r="D459" s="2251"/>
      <c r="E459" s="2251"/>
      <c r="F459" s="2251"/>
      <c r="G459" s="2251"/>
      <c r="H459" s="2251"/>
      <c r="I459" s="2251"/>
      <c r="J459" s="2251"/>
      <c r="K459" s="2251"/>
      <c r="L459" s="2251"/>
      <c r="M459" s="2251"/>
      <c r="N459" s="2251"/>
      <c r="O459" s="2251"/>
      <c r="P459" s="2251"/>
      <c r="Q459" s="2251"/>
      <c r="R459" s="2251"/>
      <c r="S459" s="2251"/>
      <c r="T459" s="2251"/>
      <c r="U459" s="2251"/>
      <c r="V459" s="420"/>
    </row>
    <row r="460" spans="1:22" ht="22.9" customHeight="1">
      <c r="A460" s="420"/>
      <c r="B460" s="2252"/>
      <c r="C460" s="2252"/>
      <c r="D460" s="2252"/>
      <c r="E460" s="2252"/>
      <c r="F460" s="2252"/>
      <c r="G460" s="2252"/>
      <c r="H460" s="2252"/>
      <c r="I460" s="2252"/>
      <c r="J460" s="2252"/>
      <c r="K460" s="2252"/>
      <c r="L460" s="909"/>
      <c r="M460" s="909"/>
      <c r="N460" s="909"/>
      <c r="O460" s="909"/>
      <c r="P460" s="909"/>
      <c r="Q460" s="909"/>
      <c r="R460" s="909"/>
      <c r="S460" s="909"/>
      <c r="T460" s="909"/>
      <c r="U460" s="909"/>
      <c r="V460" s="420"/>
    </row>
    <row r="461" spans="1:22" ht="23.25">
      <c r="A461" s="420"/>
      <c r="B461" s="2252" t="s">
        <v>1041</v>
      </c>
      <c r="C461" s="2252"/>
      <c r="D461" s="2252"/>
      <c r="E461" s="2252"/>
      <c r="F461" s="2252"/>
      <c r="G461" s="2252"/>
      <c r="H461" s="2252"/>
      <c r="I461" s="2252"/>
      <c r="J461" s="2252"/>
      <c r="K461" s="2252"/>
      <c r="L461" s="909"/>
      <c r="M461" s="909"/>
      <c r="N461" s="909"/>
      <c r="O461" s="909"/>
      <c r="P461" s="909"/>
      <c r="Q461" s="909"/>
      <c r="R461" s="909"/>
      <c r="S461" s="909"/>
      <c r="T461" s="909"/>
      <c r="U461" s="909"/>
      <c r="V461" s="420"/>
    </row>
    <row r="462" spans="1:22" ht="23.25">
      <c r="A462" s="420"/>
      <c r="B462" s="2251" t="s">
        <v>1040</v>
      </c>
      <c r="C462" s="2251"/>
      <c r="D462" s="2251"/>
      <c r="E462" s="2251"/>
      <c r="F462" s="2251"/>
      <c r="G462" s="2251"/>
      <c r="H462" s="2251"/>
      <c r="I462" s="2251"/>
      <c r="J462" s="2251"/>
      <c r="K462" s="2251"/>
      <c r="L462" s="2251"/>
      <c r="M462" s="2251"/>
      <c r="N462" s="2251"/>
      <c r="O462" s="2251"/>
      <c r="P462" s="2251"/>
      <c r="Q462" s="2251"/>
      <c r="R462" s="2251"/>
      <c r="S462" s="2251"/>
      <c r="T462" s="2251"/>
      <c r="U462" s="2251"/>
      <c r="V462" s="420"/>
    </row>
    <row r="463" spans="1:22">
      <c r="A463" s="420"/>
      <c r="V463" s="420"/>
    </row>
    <row r="464" spans="1:22" ht="23.25">
      <c r="A464" s="420"/>
      <c r="B464" s="2251" t="s">
        <v>1042</v>
      </c>
      <c r="C464" s="2251"/>
      <c r="D464" s="2251"/>
      <c r="E464" s="2251"/>
      <c r="F464" s="2251"/>
      <c r="G464" s="2251"/>
      <c r="H464" s="2251"/>
      <c r="I464" s="2251"/>
      <c r="J464" s="2251"/>
      <c r="K464" s="2251"/>
      <c r="L464" s="2251"/>
      <c r="M464" s="2251"/>
      <c r="N464" s="2251"/>
      <c r="O464" s="2251"/>
      <c r="P464" s="2251"/>
      <c r="Q464" s="2251"/>
      <c r="R464" s="2251"/>
      <c r="S464" s="2251"/>
      <c r="T464" s="2251"/>
      <c r="U464" s="2251"/>
      <c r="V464" s="420"/>
    </row>
    <row r="465" spans="1:22" ht="28.15" customHeight="1">
      <c r="A465" s="420"/>
      <c r="B465" s="2251" t="s">
        <v>1043</v>
      </c>
      <c r="C465" s="2251"/>
      <c r="D465" s="2251"/>
      <c r="E465" s="2251"/>
      <c r="F465" s="2251"/>
      <c r="G465" s="2251"/>
      <c r="H465" s="2251"/>
      <c r="I465" s="2251"/>
      <c r="J465" s="2251"/>
      <c r="K465" s="2251"/>
      <c r="L465" s="2251"/>
      <c r="M465" s="2251"/>
      <c r="N465" s="2251"/>
      <c r="O465" s="2251"/>
      <c r="P465" s="2251"/>
      <c r="Q465" s="2251"/>
      <c r="R465" s="2251"/>
      <c r="S465" s="2251"/>
      <c r="T465" s="2251"/>
      <c r="U465" s="2251"/>
      <c r="V465" s="420"/>
    </row>
    <row r="466" spans="1:22" ht="28.15" customHeight="1">
      <c r="A466" s="420"/>
      <c r="B466" s="2251" t="s">
        <v>1034</v>
      </c>
      <c r="C466" s="2251"/>
      <c r="D466" s="2251"/>
      <c r="E466" s="2251"/>
      <c r="F466" s="2251"/>
      <c r="G466" s="2251"/>
      <c r="H466" s="2251"/>
      <c r="I466" s="2251"/>
      <c r="J466" s="2251"/>
      <c r="K466" s="2251"/>
      <c r="L466" s="2251"/>
      <c r="M466" s="2251"/>
      <c r="N466" s="2251"/>
      <c r="O466" s="2251"/>
      <c r="P466" s="2251"/>
      <c r="Q466" s="2251"/>
      <c r="R466" s="2251"/>
      <c r="S466" s="2251"/>
      <c r="T466" s="2251"/>
      <c r="U466" s="2251"/>
      <c r="V466" s="420"/>
    </row>
    <row r="467" spans="1:22" ht="28.15" customHeight="1">
      <c r="A467" s="420"/>
      <c r="B467" s="909"/>
      <c r="C467" s="2251" t="s">
        <v>2024</v>
      </c>
      <c r="D467" s="2251"/>
      <c r="E467" s="2251"/>
      <c r="F467" s="2251"/>
      <c r="G467" s="2251"/>
      <c r="H467" s="2251"/>
      <c r="I467" s="2251"/>
      <c r="J467" s="2251"/>
      <c r="K467" s="2251"/>
      <c r="L467" s="909"/>
      <c r="M467" s="909"/>
      <c r="N467" s="909"/>
      <c r="O467" s="909"/>
      <c r="P467" s="909"/>
      <c r="Q467" s="909"/>
      <c r="R467" s="909"/>
      <c r="S467" s="909"/>
      <c r="T467" s="909"/>
      <c r="U467" s="909"/>
      <c r="V467" s="420"/>
    </row>
    <row r="468" spans="1:22" ht="28.15" customHeight="1">
      <c r="A468" s="420"/>
      <c r="B468" s="909"/>
      <c r="C468" s="2251" t="s">
        <v>1997</v>
      </c>
      <c r="D468" s="2251"/>
      <c r="E468" s="2251"/>
      <c r="F468" s="2251"/>
      <c r="G468" s="2251"/>
      <c r="H468" s="2251"/>
      <c r="I468" s="2251"/>
      <c r="J468" s="2251"/>
      <c r="K468" s="2251"/>
      <c r="L468" s="909"/>
      <c r="M468" s="909"/>
      <c r="N468" s="909"/>
      <c r="O468" s="909"/>
      <c r="P468" s="909"/>
      <c r="Q468" s="909"/>
      <c r="R468" s="909"/>
      <c r="S468" s="909"/>
      <c r="T468" s="909"/>
      <c r="U468" s="909"/>
      <c r="V468" s="420"/>
    </row>
    <row r="469" spans="1:22" ht="28.15" customHeight="1">
      <c r="A469" s="420"/>
      <c r="B469" s="909"/>
      <c r="C469" s="2251" t="s">
        <v>1035</v>
      </c>
      <c r="D469" s="2251"/>
      <c r="E469" s="2251"/>
      <c r="F469" s="2251"/>
      <c r="G469" s="2251"/>
      <c r="H469" s="2251"/>
      <c r="I469" s="2251"/>
      <c r="J469" s="2251"/>
      <c r="K469" s="2251"/>
      <c r="L469" s="909"/>
      <c r="M469" s="909"/>
      <c r="N469" s="909"/>
      <c r="O469" s="909"/>
      <c r="P469" s="909"/>
      <c r="Q469" s="909"/>
      <c r="R469" s="909"/>
      <c r="S469" s="909"/>
      <c r="T469" s="909"/>
      <c r="U469" s="909"/>
      <c r="V469" s="420"/>
    </row>
    <row r="470" spans="1:22" ht="28.15" customHeight="1">
      <c r="A470" s="420"/>
      <c r="B470" s="2251" t="s">
        <v>1045</v>
      </c>
      <c r="C470" s="2251"/>
      <c r="D470" s="2251"/>
      <c r="E470" s="2251"/>
      <c r="F470" s="2251"/>
      <c r="G470" s="2251"/>
      <c r="H470" s="2251"/>
      <c r="I470" s="2251"/>
      <c r="J470" s="2251"/>
      <c r="K470" s="2251"/>
      <c r="L470" s="2251"/>
      <c r="M470" s="2251"/>
      <c r="N470" s="2251"/>
      <c r="O470" s="2251"/>
      <c r="P470" s="2251"/>
      <c r="Q470" s="2251"/>
      <c r="R470" s="2251"/>
      <c r="S470" s="2251"/>
      <c r="T470" s="2251"/>
      <c r="U470" s="2251"/>
      <c r="V470" s="420"/>
    </row>
    <row r="471" spans="1:22" ht="28.15" customHeight="1">
      <c r="A471" s="420"/>
      <c r="B471" s="2251" t="s">
        <v>1046</v>
      </c>
      <c r="C471" s="2251"/>
      <c r="D471" s="2251"/>
      <c r="E471" s="2251"/>
      <c r="F471" s="2251"/>
      <c r="G471" s="2251"/>
      <c r="H471" s="2251"/>
      <c r="I471" s="2251"/>
      <c r="J471" s="2251"/>
      <c r="K471" s="2251"/>
      <c r="L471" s="2251"/>
      <c r="M471" s="2251"/>
      <c r="N471" s="2251"/>
      <c r="O471" s="2251"/>
      <c r="P471" s="2251"/>
      <c r="Q471" s="2251"/>
      <c r="R471" s="2251"/>
      <c r="S471" s="2251"/>
      <c r="T471" s="2251"/>
      <c r="U471" s="2251"/>
      <c r="V471" s="420"/>
    </row>
    <row r="472" spans="1:22" ht="28.15" customHeight="1">
      <c r="A472" s="420"/>
      <c r="B472" s="2251" t="s">
        <v>1076</v>
      </c>
      <c r="C472" s="2251"/>
      <c r="D472" s="2251"/>
      <c r="E472" s="2251"/>
      <c r="F472" s="2251"/>
      <c r="G472" s="2251"/>
      <c r="H472" s="2251"/>
      <c r="I472" s="2251"/>
      <c r="J472" s="2251"/>
      <c r="K472" s="2251"/>
      <c r="L472" s="2251"/>
      <c r="M472" s="2251"/>
      <c r="N472" s="2251"/>
      <c r="O472" s="2251"/>
      <c r="P472" s="2251"/>
      <c r="Q472" s="2251"/>
      <c r="R472" s="2251"/>
      <c r="S472" s="2251"/>
      <c r="T472" s="2251"/>
      <c r="U472" s="2251"/>
      <c r="V472" s="420"/>
    </row>
    <row r="473" spans="1:22" ht="28.15" customHeight="1">
      <c r="A473" s="420"/>
      <c r="B473" s="2251" t="s">
        <v>1047</v>
      </c>
      <c r="C473" s="2251"/>
      <c r="D473" s="2251"/>
      <c r="E473" s="2251"/>
      <c r="F473" s="2251"/>
      <c r="G473" s="2251"/>
      <c r="H473" s="2251"/>
      <c r="I473" s="2251"/>
      <c r="J473" s="2251"/>
      <c r="K473" s="2251"/>
      <c r="L473" s="2251"/>
      <c r="M473" s="2251"/>
      <c r="N473" s="2251"/>
      <c r="O473" s="2251"/>
      <c r="P473" s="2251"/>
      <c r="Q473" s="2251"/>
      <c r="R473" s="2251"/>
      <c r="S473" s="2251"/>
      <c r="T473" s="2251"/>
      <c r="U473" s="2251"/>
      <c r="V473" s="420"/>
    </row>
    <row r="474" spans="1:22" ht="28.15" customHeight="1">
      <c r="A474" s="420"/>
      <c r="B474" s="2251" t="s">
        <v>1048</v>
      </c>
      <c r="C474" s="2251"/>
      <c r="D474" s="2251"/>
      <c r="E474" s="2251"/>
      <c r="F474" s="2251"/>
      <c r="G474" s="2251"/>
      <c r="H474" s="2251"/>
      <c r="I474" s="2251"/>
      <c r="J474" s="2251"/>
      <c r="K474" s="2251"/>
      <c r="L474" s="2251"/>
      <c r="M474" s="2251"/>
      <c r="N474" s="2251"/>
      <c r="O474" s="2251"/>
      <c r="P474" s="2251"/>
      <c r="Q474" s="2251"/>
      <c r="R474" s="2251"/>
      <c r="S474" s="2251"/>
      <c r="T474" s="2251"/>
      <c r="U474" s="2251"/>
      <c r="V474" s="420"/>
    </row>
    <row r="475" spans="1:22" ht="28.15" customHeight="1">
      <c r="A475" s="420"/>
      <c r="B475" s="2251" t="s">
        <v>1039</v>
      </c>
      <c r="C475" s="2251"/>
      <c r="D475" s="2251"/>
      <c r="E475" s="2251"/>
      <c r="F475" s="2251"/>
      <c r="G475" s="2251"/>
      <c r="H475" s="2251"/>
      <c r="I475" s="2251"/>
      <c r="J475" s="2251"/>
      <c r="K475" s="2251"/>
      <c r="L475" s="2251"/>
      <c r="M475" s="2251"/>
      <c r="N475" s="2251"/>
      <c r="O475" s="2251"/>
      <c r="P475" s="2251"/>
      <c r="Q475" s="2251"/>
      <c r="R475" s="2251"/>
      <c r="S475" s="2251"/>
      <c r="T475" s="2251"/>
      <c r="U475" s="2251"/>
      <c r="V475" s="420"/>
    </row>
    <row r="476" spans="1:22" ht="28.9" customHeight="1">
      <c r="A476" s="420"/>
      <c r="B476" s="2251" t="s">
        <v>1038</v>
      </c>
      <c r="C476" s="2251"/>
      <c r="D476" s="2251"/>
      <c r="E476" s="2251"/>
      <c r="F476" s="2251"/>
      <c r="G476" s="2251"/>
      <c r="H476" s="2251"/>
      <c r="I476" s="2251"/>
      <c r="J476" s="2251"/>
      <c r="K476" s="2251"/>
      <c r="L476" s="2251"/>
      <c r="M476" s="2251"/>
      <c r="N476" s="2251"/>
      <c r="O476" s="2251"/>
      <c r="P476" s="2251"/>
      <c r="Q476" s="2251"/>
      <c r="R476" s="2251"/>
      <c r="S476" s="2251"/>
      <c r="T476" s="2251"/>
      <c r="U476" s="2251"/>
      <c r="V476" s="420"/>
    </row>
    <row r="477" spans="1:22" ht="22.9" customHeight="1">
      <c r="A477" s="420"/>
      <c r="B477" s="2252"/>
      <c r="C477" s="2252"/>
      <c r="D477" s="2252"/>
      <c r="E477" s="2252"/>
      <c r="F477" s="2252"/>
      <c r="G477" s="2252"/>
      <c r="H477" s="2252"/>
      <c r="I477" s="2252"/>
      <c r="J477" s="2252"/>
      <c r="K477" s="2252"/>
      <c r="L477" s="908"/>
      <c r="M477" s="908"/>
      <c r="N477" s="908"/>
      <c r="O477" s="908"/>
      <c r="P477" s="908"/>
      <c r="Q477" s="908"/>
      <c r="R477" s="908"/>
      <c r="S477" s="908"/>
      <c r="T477" s="908"/>
      <c r="U477" s="908"/>
      <c r="V477" s="420"/>
    </row>
    <row r="478" spans="1:22">
      <c r="A478" s="522"/>
      <c r="B478" s="522"/>
      <c r="C478" s="522"/>
      <c r="D478" s="522"/>
      <c r="E478" s="522"/>
      <c r="F478" s="522"/>
      <c r="G478" s="522"/>
      <c r="H478" s="522"/>
      <c r="I478" s="522"/>
      <c r="J478" s="522"/>
      <c r="K478" s="522"/>
      <c r="L478" s="522"/>
      <c r="M478" s="522"/>
      <c r="N478" s="522"/>
      <c r="O478" s="522"/>
      <c r="P478" s="522"/>
      <c r="Q478" s="522"/>
      <c r="R478" s="522"/>
      <c r="S478" s="522"/>
      <c r="T478" s="522"/>
      <c r="U478" s="522"/>
      <c r="V478" s="522"/>
    </row>
    <row r="479" spans="1:22" ht="23.25">
      <c r="A479" s="522"/>
      <c r="B479" s="2252" t="s">
        <v>1218</v>
      </c>
      <c r="C479" s="2252"/>
      <c r="D479" s="2252"/>
      <c r="E479" s="2252"/>
      <c r="F479" s="2252"/>
      <c r="G479" s="2252"/>
      <c r="H479" s="2252"/>
      <c r="I479" s="2252"/>
      <c r="J479" s="2252"/>
      <c r="K479" s="2252"/>
      <c r="L479" s="1262"/>
      <c r="M479" s="1262"/>
      <c r="N479" s="1262"/>
      <c r="O479" s="1262"/>
      <c r="P479" s="1262"/>
      <c r="Q479" s="1262"/>
      <c r="R479" s="1262"/>
      <c r="S479" s="1262"/>
      <c r="T479" s="1262"/>
      <c r="U479" s="1262"/>
      <c r="V479" s="522"/>
    </row>
    <row r="480" spans="1:22" ht="23.25">
      <c r="A480" s="522"/>
      <c r="B480" s="2251" t="s">
        <v>1222</v>
      </c>
      <c r="C480" s="2251"/>
      <c r="D480" s="2251"/>
      <c r="E480" s="2251"/>
      <c r="F480" s="2251"/>
      <c r="G480" s="2251"/>
      <c r="H480" s="2251"/>
      <c r="I480" s="2251"/>
      <c r="J480" s="2251"/>
      <c r="K480" s="2251"/>
      <c r="L480" s="2251"/>
      <c r="M480" s="2251"/>
      <c r="N480" s="2251"/>
      <c r="O480" s="2251"/>
      <c r="P480" s="2251"/>
      <c r="Q480" s="2251"/>
      <c r="R480" s="2251"/>
      <c r="S480" s="2251"/>
      <c r="T480" s="2251"/>
      <c r="U480" s="2251"/>
      <c r="V480" s="522"/>
    </row>
    <row r="481" spans="1:22" ht="23.25">
      <c r="A481" s="522"/>
      <c r="B481" s="1262"/>
      <c r="C481" s="1262"/>
      <c r="D481" s="1262"/>
      <c r="E481" s="1262"/>
      <c r="F481" s="1262"/>
      <c r="G481" s="1262"/>
      <c r="H481" s="1262"/>
      <c r="I481" s="1262"/>
      <c r="J481" s="1262"/>
      <c r="K481" s="1262"/>
      <c r="L481" s="1262"/>
      <c r="M481" s="1262"/>
      <c r="N481" s="1262"/>
      <c r="O481" s="1262"/>
      <c r="P481" s="1262"/>
      <c r="Q481" s="1262"/>
      <c r="R481" s="1262"/>
      <c r="S481" s="1262"/>
      <c r="T481" s="1262"/>
      <c r="U481" s="1262"/>
      <c r="V481" s="522"/>
    </row>
    <row r="482" spans="1:22" ht="23.25">
      <c r="A482" s="522"/>
      <c r="B482" s="2251" t="s">
        <v>1219</v>
      </c>
      <c r="C482" s="2251"/>
      <c r="D482" s="2251"/>
      <c r="E482" s="2251"/>
      <c r="F482" s="2251"/>
      <c r="G482" s="2251"/>
      <c r="H482" s="2251"/>
      <c r="I482" s="2251"/>
      <c r="J482" s="2251"/>
      <c r="K482" s="2251"/>
      <c r="L482" s="2251"/>
      <c r="M482" s="2251"/>
      <c r="N482" s="2251"/>
      <c r="O482" s="2251"/>
      <c r="P482" s="2251"/>
      <c r="Q482" s="2251"/>
      <c r="R482" s="2251"/>
      <c r="S482" s="2251"/>
      <c r="T482" s="2251"/>
      <c r="U482" s="2251"/>
      <c r="V482" s="522"/>
    </row>
    <row r="483" spans="1:22" ht="23.25">
      <c r="A483" s="522"/>
      <c r="B483" s="2251" t="s">
        <v>1223</v>
      </c>
      <c r="C483" s="2251"/>
      <c r="D483" s="2251"/>
      <c r="E483" s="2251"/>
      <c r="F483" s="2251"/>
      <c r="G483" s="2251"/>
      <c r="H483" s="2251"/>
      <c r="I483" s="2251"/>
      <c r="J483" s="2251"/>
      <c r="K483" s="2251"/>
      <c r="L483" s="2251"/>
      <c r="M483" s="2251"/>
      <c r="N483" s="2251"/>
      <c r="O483" s="2251"/>
      <c r="P483" s="2251"/>
      <c r="Q483" s="2251"/>
      <c r="R483" s="2251"/>
      <c r="S483" s="2251"/>
      <c r="T483" s="2251"/>
      <c r="U483" s="2251"/>
      <c r="V483" s="522"/>
    </row>
    <row r="484" spans="1:22" ht="23.25">
      <c r="A484" s="522"/>
      <c r="B484" s="2251" t="s">
        <v>1224</v>
      </c>
      <c r="C484" s="2251"/>
      <c r="D484" s="2251"/>
      <c r="E484" s="2251"/>
      <c r="F484" s="2251"/>
      <c r="G484" s="2251"/>
      <c r="H484" s="2251"/>
      <c r="I484" s="2251"/>
      <c r="J484" s="2251"/>
      <c r="K484" s="2251"/>
      <c r="L484" s="2251"/>
      <c r="M484" s="2251"/>
      <c r="N484" s="2251"/>
      <c r="O484" s="2251"/>
      <c r="P484" s="2251"/>
      <c r="Q484" s="2251"/>
      <c r="R484" s="2251"/>
      <c r="S484" s="2251"/>
      <c r="T484" s="2251"/>
      <c r="U484" s="2251"/>
      <c r="V484" s="522"/>
    </row>
    <row r="485" spans="1:22" ht="30" customHeight="1">
      <c r="A485" s="522"/>
      <c r="B485" s="2251" t="s">
        <v>1034</v>
      </c>
      <c r="C485" s="2251"/>
      <c r="D485" s="2251"/>
      <c r="E485" s="2251"/>
      <c r="F485" s="2251"/>
      <c r="G485" s="2251"/>
      <c r="H485" s="2251"/>
      <c r="I485" s="2251"/>
      <c r="J485" s="2251"/>
      <c r="K485" s="2251"/>
      <c r="L485" s="2251"/>
      <c r="M485" s="2251"/>
      <c r="N485" s="2251"/>
      <c r="O485" s="2251"/>
      <c r="P485" s="2251"/>
      <c r="Q485" s="2251"/>
      <c r="R485" s="2251"/>
      <c r="S485" s="2251"/>
      <c r="T485" s="2251"/>
      <c r="U485" s="2251"/>
      <c r="V485" s="522"/>
    </row>
    <row r="486" spans="1:22" ht="16.149999999999999" customHeight="1">
      <c r="A486" s="420"/>
      <c r="B486" s="2451" t="s">
        <v>1220</v>
      </c>
      <c r="C486" s="2451"/>
      <c r="D486" s="2451"/>
      <c r="E486" s="2451"/>
      <c r="F486" s="2451"/>
      <c r="G486" s="2451"/>
      <c r="H486" s="2451"/>
      <c r="I486" s="2451"/>
      <c r="J486" s="2451"/>
      <c r="V486" s="420"/>
    </row>
    <row r="487" spans="1:22" ht="31.5" customHeight="1">
      <c r="A487" s="420"/>
      <c r="B487" s="2451" t="s">
        <v>1035</v>
      </c>
      <c r="C487" s="2451"/>
      <c r="D487" s="2451"/>
      <c r="E487" s="2451"/>
      <c r="F487" s="2451"/>
      <c r="G487" s="2451"/>
      <c r="H487" s="2451"/>
      <c r="I487" s="2451"/>
      <c r="J487" s="2451"/>
      <c r="V487" s="420"/>
    </row>
    <row r="488" spans="1:22" ht="22.5" customHeight="1">
      <c r="A488" s="429"/>
      <c r="B488" s="2251" t="s">
        <v>1225</v>
      </c>
      <c r="C488" s="2251"/>
      <c r="D488" s="2251"/>
      <c r="E488" s="2251"/>
      <c r="F488" s="2251"/>
      <c r="G488" s="2251"/>
      <c r="H488" s="2251"/>
      <c r="I488" s="2251"/>
      <c r="J488" s="2251"/>
      <c r="K488" s="2251"/>
      <c r="L488" s="2251"/>
      <c r="M488" s="2251"/>
      <c r="N488" s="2251"/>
      <c r="O488" s="2251"/>
      <c r="P488" s="2251"/>
      <c r="Q488" s="2251"/>
      <c r="R488" s="2251"/>
      <c r="S488" s="2251"/>
      <c r="T488" s="2251"/>
      <c r="U488" s="2251"/>
      <c r="V488" s="429"/>
    </row>
    <row r="489" spans="1:22" ht="39.75" customHeight="1">
      <c r="A489" s="429"/>
      <c r="B489" s="2251" t="s">
        <v>1221</v>
      </c>
      <c r="C489" s="2251"/>
      <c r="D489" s="2251"/>
      <c r="E489" s="2251"/>
      <c r="F489" s="2251"/>
      <c r="G489" s="2251"/>
      <c r="H489" s="2251"/>
      <c r="I489" s="2251"/>
      <c r="J489" s="2251"/>
      <c r="K489" s="2251"/>
      <c r="L489" s="2251"/>
      <c r="M489" s="2251"/>
      <c r="N489" s="2251"/>
      <c r="O489" s="2251"/>
      <c r="P489" s="2251"/>
      <c r="Q489" s="2251"/>
      <c r="R489" s="2251"/>
      <c r="S489" s="2251"/>
      <c r="T489" s="2251"/>
      <c r="U489" s="2251"/>
      <c r="V489" s="429"/>
    </row>
    <row r="490" spans="1:22" ht="22.15" customHeight="1">
      <c r="A490" s="522"/>
      <c r="B490" s="522"/>
      <c r="C490" s="522"/>
      <c r="D490" s="522"/>
      <c r="E490" s="522"/>
      <c r="F490" s="522"/>
      <c r="G490" s="522"/>
      <c r="H490" s="522"/>
      <c r="I490" s="522"/>
      <c r="J490" s="522"/>
      <c r="K490" s="522"/>
      <c r="L490" s="522"/>
      <c r="M490" s="522"/>
      <c r="N490" s="522"/>
      <c r="O490" s="522"/>
      <c r="P490" s="522"/>
      <c r="Q490" s="522"/>
      <c r="R490" s="522"/>
      <c r="S490" s="522"/>
      <c r="T490" s="522"/>
      <c r="U490" s="522"/>
    </row>
    <row r="492" spans="1:22" ht="19.149999999999999" customHeight="1">
      <c r="B492" s="522"/>
      <c r="C492" s="585"/>
      <c r="D492" s="584"/>
      <c r="E492" s="584"/>
      <c r="F492" s="584"/>
      <c r="G492" s="586"/>
      <c r="H492" s="586"/>
      <c r="I492" s="586"/>
      <c r="J492" s="586"/>
      <c r="K492" s="587"/>
      <c r="L492" s="587"/>
      <c r="M492" s="587"/>
      <c r="N492" s="587"/>
      <c r="O492" s="587"/>
      <c r="P492" s="587"/>
      <c r="Q492" s="561"/>
      <c r="R492" s="561"/>
      <c r="S492" s="441"/>
      <c r="T492" s="441"/>
      <c r="U492" s="588"/>
      <c r="V492" s="441"/>
    </row>
    <row r="493" spans="1:22">
      <c r="A493" s="420"/>
      <c r="B493" s="420"/>
      <c r="C493" s="420"/>
      <c r="D493" s="420"/>
      <c r="E493" s="420"/>
      <c r="F493" s="420"/>
      <c r="G493" s="420"/>
      <c r="H493" s="420"/>
      <c r="I493" s="420"/>
      <c r="J493" s="420"/>
      <c r="K493" s="420"/>
      <c r="L493" s="420"/>
      <c r="M493" s="420"/>
      <c r="N493" s="420"/>
      <c r="O493" s="420"/>
      <c r="P493" s="420"/>
      <c r="Q493" s="420"/>
      <c r="R493" s="420"/>
      <c r="S493" s="420"/>
      <c r="T493" s="420"/>
      <c r="U493" s="420"/>
      <c r="V493" s="420"/>
    </row>
    <row r="494" spans="1:22" ht="15.75">
      <c r="A494" s="420"/>
      <c r="B494" s="420"/>
      <c r="C494" s="420"/>
      <c r="D494" s="420"/>
      <c r="E494" s="420"/>
      <c r="F494" s="420"/>
      <c r="G494" s="420"/>
      <c r="H494" s="420"/>
      <c r="I494" s="420"/>
      <c r="J494" s="420"/>
      <c r="K494" s="420"/>
      <c r="L494" s="420"/>
      <c r="M494" s="476" t="s">
        <v>997</v>
      </c>
      <c r="N494" s="420"/>
      <c r="O494" s="420"/>
      <c r="P494" s="420"/>
      <c r="Q494" s="420"/>
      <c r="R494" s="477" t="s">
        <v>692</v>
      </c>
      <c r="S494" s="478" t="str">
        <f>$E$29</f>
        <v>ILF5_90FCPRS_B114CAGR43006</v>
      </c>
      <c r="T494" s="420"/>
      <c r="U494" s="420"/>
      <c r="V494" s="420"/>
    </row>
    <row r="495" spans="1:22">
      <c r="A495" s="420"/>
      <c r="B495" s="420"/>
      <c r="C495" s="420"/>
      <c r="D495" s="420"/>
      <c r="E495" s="420"/>
      <c r="F495" s="420"/>
      <c r="G495" s="420"/>
      <c r="H495" s="420"/>
      <c r="I495" s="420"/>
      <c r="J495" s="420"/>
      <c r="K495" s="420"/>
      <c r="L495" s="420"/>
      <c r="M495" s="420"/>
      <c r="N495" s="420"/>
      <c r="O495" s="420"/>
      <c r="P495" s="420"/>
      <c r="Q495" s="420"/>
      <c r="R495" s="420"/>
      <c r="S495" s="420"/>
      <c r="T495" s="420"/>
      <c r="U495" s="420"/>
      <c r="V495" s="420"/>
    </row>
    <row r="496" spans="1:22">
      <c r="A496" s="420"/>
      <c r="B496" s="420"/>
      <c r="C496" s="420"/>
      <c r="D496" s="420"/>
      <c r="E496" s="420"/>
      <c r="F496" s="420"/>
      <c r="G496" s="420"/>
      <c r="H496" s="436" t="s">
        <v>691</v>
      </c>
      <c r="I496" s="420"/>
      <c r="K496" s="420"/>
      <c r="L496" s="437" t="str">
        <f>$B$11</f>
        <v>INMOBILIARIA SERVIGESTION</v>
      </c>
      <c r="M496" s="420"/>
      <c r="N496" s="420"/>
      <c r="O496" s="420"/>
      <c r="P496" s="420"/>
      <c r="Q496" s="420"/>
      <c r="R496" s="420"/>
      <c r="S496" s="420"/>
      <c r="T496" s="420"/>
      <c r="U496" s="420"/>
      <c r="V496" s="420"/>
    </row>
    <row r="497" spans="1:22" ht="34.5">
      <c r="A497" s="420"/>
      <c r="B497" s="2268" t="s">
        <v>461</v>
      </c>
      <c r="C497" s="2268"/>
      <c r="D497" s="2268"/>
      <c r="E497" s="2268"/>
      <c r="F497" s="2268"/>
      <c r="G497" s="2268"/>
      <c r="H497" s="2268"/>
      <c r="I497" s="2268"/>
      <c r="J497" s="2268"/>
      <c r="K497" s="2268"/>
      <c r="L497" s="2268"/>
      <c r="M497" s="2268"/>
      <c r="N497" s="2268"/>
      <c r="O497" s="2268"/>
      <c r="P497" s="2268"/>
      <c r="Q497" s="2268"/>
      <c r="R497" s="2268"/>
      <c r="S497" s="2268"/>
      <c r="T497" s="2268"/>
      <c r="U497" s="2268"/>
      <c r="V497" s="420"/>
    </row>
    <row r="498" spans="1:22" ht="22.9" customHeight="1">
      <c r="A498" s="420"/>
      <c r="B498" s="2269" t="s">
        <v>1774</v>
      </c>
      <c r="C498" s="2269"/>
      <c r="D498" s="2269"/>
      <c r="E498" s="2269"/>
      <c r="F498" s="2269"/>
      <c r="G498" s="2269"/>
      <c r="H498" s="2269"/>
      <c r="I498" s="2269"/>
      <c r="J498" s="2269"/>
      <c r="K498" s="2269"/>
      <c r="L498" s="2269"/>
      <c r="M498" s="2269"/>
      <c r="N498" s="2269"/>
      <c r="O498" s="2269"/>
      <c r="P498" s="2269"/>
      <c r="Q498" s="2269"/>
      <c r="R498" s="2269"/>
      <c r="S498" s="2269"/>
      <c r="T498" s="2269"/>
      <c r="U498" s="2269"/>
      <c r="V498" s="420"/>
    </row>
    <row r="499" spans="1:22" ht="16.149999999999999" customHeight="1">
      <c r="A499" s="420"/>
      <c r="B499" s="1775"/>
      <c r="C499" s="1775"/>
      <c r="D499" s="1775"/>
      <c r="E499" s="1775"/>
      <c r="F499" s="1775"/>
      <c r="G499" s="1775"/>
      <c r="H499" s="1775"/>
      <c r="I499" s="1775"/>
      <c r="J499" s="1775"/>
      <c r="K499" s="1775"/>
      <c r="L499" s="1775"/>
      <c r="M499" s="1775"/>
      <c r="N499" s="1775"/>
      <c r="O499" s="1775"/>
      <c r="Q499" s="1775"/>
      <c r="R499" s="1775"/>
      <c r="S499" s="1775"/>
      <c r="T499" s="1775"/>
      <c r="U499" s="1775"/>
      <c r="V499" s="420"/>
    </row>
    <row r="500" spans="1:22" ht="23.25">
      <c r="A500" s="420"/>
      <c r="B500" s="2252" t="s">
        <v>1753</v>
      </c>
      <c r="C500" s="2252"/>
      <c r="D500" s="2252"/>
      <c r="E500" s="2252"/>
      <c r="F500" s="2252"/>
      <c r="G500" s="2252"/>
      <c r="H500" s="2252"/>
      <c r="I500" s="2252"/>
      <c r="J500" s="2252"/>
      <c r="K500" s="2252"/>
      <c r="L500" s="1775"/>
      <c r="M500" s="1775"/>
      <c r="N500" s="1775"/>
      <c r="O500" s="1775"/>
      <c r="P500" s="1775"/>
      <c r="Q500" s="1775"/>
      <c r="R500" s="1775"/>
      <c r="S500" s="1775"/>
      <c r="T500" s="1775"/>
      <c r="U500" s="1775"/>
      <c r="V500" s="420"/>
    </row>
    <row r="501" spans="1:22" ht="44.25" customHeight="1">
      <c r="A501" s="420"/>
      <c r="B501" s="2270" t="s">
        <v>1797</v>
      </c>
      <c r="C501" s="2270"/>
      <c r="D501" s="2270"/>
      <c r="E501" s="2270"/>
      <c r="F501" s="2270"/>
      <c r="G501" s="2270"/>
      <c r="H501" s="2270"/>
      <c r="I501" s="2270"/>
      <c r="J501" s="2270"/>
      <c r="K501" s="2270"/>
      <c r="L501" s="2270"/>
      <c r="M501" s="2270"/>
      <c r="N501" s="2270"/>
      <c r="O501" s="2270"/>
      <c r="P501" s="2270"/>
      <c r="Q501" s="2270"/>
      <c r="R501" s="2270"/>
      <c r="S501" s="2270"/>
      <c r="T501" s="2270"/>
      <c r="U501" s="2270"/>
      <c r="V501" s="420"/>
    </row>
    <row r="502" spans="1:22" ht="29.45" customHeight="1">
      <c r="A502" s="420"/>
      <c r="B502" s="2265" t="s">
        <v>1775</v>
      </c>
      <c r="C502" s="2266"/>
      <c r="D502" s="2266"/>
      <c r="E502" s="2266"/>
      <c r="F502" s="2266"/>
      <c r="G502" s="2266"/>
      <c r="H502" s="2266"/>
      <c r="I502" s="2266"/>
      <c r="J502" s="2266"/>
      <c r="K502" s="2266"/>
      <c r="L502" s="2266"/>
      <c r="M502" s="2266"/>
      <c r="N502" s="2266"/>
      <c r="O502" s="2266"/>
      <c r="P502" s="2266"/>
      <c r="Q502" s="2266"/>
      <c r="R502" s="2266"/>
      <c r="S502" s="2266"/>
      <c r="T502" s="2266"/>
      <c r="U502" s="2266"/>
      <c r="V502" s="420"/>
    </row>
    <row r="503" spans="1:22" ht="27.6" customHeight="1">
      <c r="A503" s="420"/>
      <c r="B503" s="2266" t="s">
        <v>1776</v>
      </c>
      <c r="C503" s="2266"/>
      <c r="D503" s="2266"/>
      <c r="E503" s="2266"/>
      <c r="F503" s="2266"/>
      <c r="G503" s="2266"/>
      <c r="H503" s="2266"/>
      <c r="I503" s="2266"/>
      <c r="J503" s="2266"/>
      <c r="K503" s="2266"/>
      <c r="L503" s="2266"/>
      <c r="M503" s="2266"/>
      <c r="N503" s="2266"/>
      <c r="O503" s="2266"/>
      <c r="P503" s="2266"/>
      <c r="Q503" s="2266"/>
      <c r="R503" s="2266"/>
      <c r="S503" s="2266"/>
      <c r="T503" s="2266"/>
      <c r="U503" s="2266"/>
      <c r="V503" s="420"/>
    </row>
    <row r="504" spans="1:22" ht="27.6" customHeight="1">
      <c r="A504" s="420"/>
      <c r="B504" s="2266" t="s">
        <v>1777</v>
      </c>
      <c r="C504" s="2266"/>
      <c r="D504" s="2266"/>
      <c r="E504" s="2266"/>
      <c r="F504" s="2266"/>
      <c r="G504" s="2266"/>
      <c r="H504" s="2266"/>
      <c r="I504" s="2266"/>
      <c r="J504" s="2266"/>
      <c r="K504" s="2266"/>
      <c r="L504" s="2266"/>
      <c r="M504" s="2266"/>
      <c r="N504" s="2266"/>
      <c r="O504" s="2266"/>
      <c r="P504" s="2266"/>
      <c r="Q504" s="2266"/>
      <c r="R504" s="2266"/>
      <c r="S504" s="2266"/>
      <c r="T504" s="2266"/>
      <c r="U504" s="2266"/>
      <c r="V504" s="420"/>
    </row>
    <row r="505" spans="1:22" ht="27.6" customHeight="1">
      <c r="A505" s="420"/>
      <c r="B505" s="2266" t="s">
        <v>1778</v>
      </c>
      <c r="C505" s="2266"/>
      <c r="D505" s="2266"/>
      <c r="E505" s="2266"/>
      <c r="F505" s="2266"/>
      <c r="G505" s="2266"/>
      <c r="H505" s="2266"/>
      <c r="I505" s="2266"/>
      <c r="J505" s="2266"/>
      <c r="K505" s="2266"/>
      <c r="L505" s="2266"/>
      <c r="M505" s="2266"/>
      <c r="N505" s="2266"/>
      <c r="O505" s="2266"/>
      <c r="P505" s="2266"/>
      <c r="Q505" s="2266"/>
      <c r="R505" s="2266"/>
      <c r="S505" s="2266"/>
      <c r="T505" s="2266"/>
      <c r="U505" s="2266"/>
      <c r="V505" s="420"/>
    </row>
    <row r="506" spans="1:22" ht="27.6" customHeight="1">
      <c r="A506" s="420"/>
      <c r="B506" s="2266" t="s">
        <v>1779</v>
      </c>
      <c r="C506" s="2266"/>
      <c r="D506" s="2266"/>
      <c r="E506" s="2266"/>
      <c r="F506" s="2266"/>
      <c r="G506" s="2266"/>
      <c r="H506" s="2266"/>
      <c r="I506" s="2266"/>
      <c r="J506" s="2266"/>
      <c r="K506" s="2266"/>
      <c r="L506" s="2266"/>
      <c r="M506" s="2266"/>
      <c r="N506" s="2266"/>
      <c r="O506" s="2266"/>
      <c r="P506" s="2266"/>
      <c r="Q506" s="2266"/>
      <c r="R506" s="2266"/>
      <c r="S506" s="2266"/>
      <c r="T506" s="2266"/>
      <c r="U506" s="2266"/>
      <c r="V506" s="420"/>
    </row>
    <row r="507" spans="1:22" ht="27.6" customHeight="1">
      <c r="A507" s="420"/>
      <c r="B507" s="2266" t="s">
        <v>1780</v>
      </c>
      <c r="C507" s="2266"/>
      <c r="D507" s="2266"/>
      <c r="E507" s="2266"/>
      <c r="F507" s="2266"/>
      <c r="G507" s="2266"/>
      <c r="H507" s="2266"/>
      <c r="I507" s="2266"/>
      <c r="J507" s="2266"/>
      <c r="K507" s="2266"/>
      <c r="L507" s="2266"/>
      <c r="M507" s="2266"/>
      <c r="N507" s="2266"/>
      <c r="O507" s="2266"/>
      <c r="P507" s="2266"/>
      <c r="Q507" s="2266"/>
      <c r="R507" s="2266"/>
      <c r="S507" s="2266"/>
      <c r="T507" s="2266"/>
      <c r="U507" s="2266"/>
      <c r="V507" s="420"/>
    </row>
    <row r="508" spans="1:22" ht="27.6" customHeight="1">
      <c r="A508" s="420"/>
      <c r="B508" s="2264" t="s">
        <v>1781</v>
      </c>
      <c r="C508" s="2264"/>
      <c r="D508" s="2264"/>
      <c r="E508" s="2264"/>
      <c r="F508" s="2264"/>
      <c r="G508" s="2264"/>
      <c r="H508" s="2264"/>
      <c r="I508" s="2264"/>
      <c r="J508" s="2264"/>
      <c r="K508" s="2264"/>
      <c r="L508" s="2264"/>
      <c r="M508" s="2264"/>
      <c r="N508" s="2264"/>
      <c r="O508" s="2264"/>
      <c r="P508" s="2264"/>
      <c r="Q508" s="2264"/>
      <c r="R508" s="2264"/>
      <c r="S508" s="2264"/>
      <c r="T508" s="2264"/>
      <c r="U508" s="2264"/>
      <c r="V508" s="420"/>
    </row>
    <row r="509" spans="1:22" ht="27.6" customHeight="1">
      <c r="A509" s="420"/>
      <c r="B509" s="2264" t="s">
        <v>1782</v>
      </c>
      <c r="C509" s="2264"/>
      <c r="D509" s="2264"/>
      <c r="E509" s="2264"/>
      <c r="F509" s="2264"/>
      <c r="G509" s="2264"/>
      <c r="H509" s="2264"/>
      <c r="I509" s="2264"/>
      <c r="J509" s="2264"/>
      <c r="K509" s="2264"/>
      <c r="L509" s="2264"/>
      <c r="M509" s="2264"/>
      <c r="N509" s="2264"/>
      <c r="O509" s="2264"/>
      <c r="P509" s="2264"/>
      <c r="Q509" s="2264"/>
      <c r="R509" s="2264"/>
      <c r="S509" s="2264"/>
      <c r="T509" s="2264"/>
      <c r="U509" s="2264"/>
      <c r="V509" s="420"/>
    </row>
    <row r="510" spans="1:22" ht="27.6" customHeight="1">
      <c r="A510" s="420"/>
      <c r="B510" s="2264" t="s">
        <v>1783</v>
      </c>
      <c r="C510" s="2264"/>
      <c r="D510" s="2264"/>
      <c r="E510" s="2264"/>
      <c r="F510" s="2264"/>
      <c r="G510" s="2264"/>
      <c r="H510" s="2264"/>
      <c r="I510" s="2264"/>
      <c r="J510" s="2264"/>
      <c r="K510" s="2264"/>
      <c r="L510" s="2264"/>
      <c r="M510" s="2264"/>
      <c r="N510" s="2264"/>
      <c r="O510" s="2264"/>
      <c r="P510" s="2264"/>
      <c r="Q510" s="2264"/>
      <c r="R510" s="2264"/>
      <c r="S510" s="2264"/>
      <c r="T510" s="2264"/>
      <c r="U510" s="2264"/>
      <c r="V510" s="420"/>
    </row>
    <row r="511" spans="1:22" ht="33.6" customHeight="1">
      <c r="A511" s="420"/>
      <c r="B511" s="2265" t="s">
        <v>1784</v>
      </c>
      <c r="C511" s="2266"/>
      <c r="D511" s="2266"/>
      <c r="E511" s="2266"/>
      <c r="F511" s="2266"/>
      <c r="G511" s="2266"/>
      <c r="H511" s="2266"/>
      <c r="I511" s="2266"/>
      <c r="J511" s="2266"/>
      <c r="K511" s="2266"/>
      <c r="L511" s="1777"/>
      <c r="M511" s="1777"/>
      <c r="N511" s="1777"/>
      <c r="O511" s="1777"/>
      <c r="P511" s="1777"/>
      <c r="Q511" s="1777"/>
      <c r="R511" s="1777"/>
      <c r="S511" s="1777"/>
      <c r="T511" s="1777"/>
      <c r="U511" s="1777"/>
      <c r="V511" s="420"/>
    </row>
    <row r="512" spans="1:22" ht="22.9" customHeight="1">
      <c r="A512" s="420"/>
      <c r="B512" s="2266" t="s">
        <v>1785</v>
      </c>
      <c r="C512" s="2266"/>
      <c r="D512" s="2266"/>
      <c r="E512" s="2266"/>
      <c r="F512" s="2266"/>
      <c r="G512" s="2266"/>
      <c r="H512" s="2266"/>
      <c r="I512" s="2266"/>
      <c r="J512" s="2266"/>
      <c r="K512" s="2266"/>
      <c r="L512" s="2266"/>
      <c r="M512" s="2266"/>
      <c r="N512" s="2266"/>
      <c r="O512" s="2266"/>
      <c r="P512" s="2266"/>
      <c r="Q512" s="2266"/>
      <c r="R512" s="2266"/>
      <c r="S512" s="2266"/>
      <c r="T512" s="2266"/>
      <c r="U512" s="2266"/>
      <c r="V512" s="420"/>
    </row>
    <row r="513" spans="1:22" ht="22.15" customHeight="1">
      <c r="A513" s="420"/>
      <c r="B513" s="2267" t="s">
        <v>1786</v>
      </c>
      <c r="C513" s="2267"/>
      <c r="D513" s="2267"/>
      <c r="E513" s="2267"/>
      <c r="F513" s="2267"/>
      <c r="G513" s="2267"/>
      <c r="H513" s="2267"/>
      <c r="I513" s="2267"/>
      <c r="J513" s="2267"/>
      <c r="K513" s="2267"/>
      <c r="L513" s="2267"/>
      <c r="M513" s="2267"/>
      <c r="N513" s="2267"/>
      <c r="O513" s="2267"/>
      <c r="P513" s="2267"/>
      <c r="Q513" s="2267"/>
      <c r="R513" s="2267"/>
      <c r="S513" s="2267"/>
      <c r="T513" s="2267"/>
      <c r="U513" s="2267"/>
      <c r="V513" s="420"/>
    </row>
    <row r="514" spans="1:22">
      <c r="A514" s="420"/>
      <c r="V514" s="420"/>
    </row>
    <row r="515" spans="1:22" ht="23.25">
      <c r="A515" s="420"/>
      <c r="B515" s="2252" t="s">
        <v>1755</v>
      </c>
      <c r="C515" s="2252"/>
      <c r="D515" s="2252"/>
      <c r="E515" s="2252"/>
      <c r="F515" s="2252"/>
      <c r="G515" s="2252"/>
      <c r="H515" s="2252"/>
      <c r="I515" s="2252"/>
      <c r="J515" s="2252"/>
      <c r="K515" s="2252"/>
      <c r="L515" s="1775"/>
      <c r="M515" s="1775"/>
      <c r="N515" s="1775"/>
      <c r="O515" s="1775"/>
      <c r="P515" s="1775"/>
      <c r="Q515" s="1775"/>
      <c r="R515" s="1775"/>
      <c r="S515" s="1775"/>
      <c r="T515" s="1775"/>
      <c r="U515" s="1775"/>
      <c r="V515" s="420"/>
    </row>
    <row r="516" spans="1:22" ht="28.15" customHeight="1">
      <c r="A516" s="420"/>
      <c r="B516" s="2260" t="s">
        <v>1787</v>
      </c>
      <c r="C516" s="2260"/>
      <c r="D516" s="2260"/>
      <c r="E516" s="2260"/>
      <c r="F516" s="2260"/>
      <c r="G516" s="2260"/>
      <c r="H516" s="2260"/>
      <c r="I516" s="2260"/>
      <c r="J516" s="2260"/>
      <c r="K516" s="2260"/>
      <c r="L516" s="2260"/>
      <c r="M516" s="2260"/>
      <c r="N516" s="2260"/>
      <c r="O516" s="2260"/>
      <c r="P516" s="2260"/>
      <c r="Q516" s="2260"/>
      <c r="R516" s="2260"/>
      <c r="S516" s="2260"/>
      <c r="T516" s="2260"/>
      <c r="U516" s="2260"/>
      <c r="V516" s="420"/>
    </row>
    <row r="517" spans="1:22" ht="28.15" customHeight="1">
      <c r="A517" s="420"/>
      <c r="B517" s="2250" t="s">
        <v>1788</v>
      </c>
      <c r="C517" s="2251"/>
      <c r="D517" s="2251"/>
      <c r="E517" s="2251"/>
      <c r="F517" s="2251"/>
      <c r="G517" s="2251"/>
      <c r="H517" s="2251"/>
      <c r="I517" s="2251"/>
      <c r="J517" s="2251"/>
      <c r="K517" s="2251"/>
      <c r="L517" s="2251"/>
      <c r="M517" s="2251"/>
      <c r="N517" s="2251"/>
      <c r="O517" s="2251"/>
      <c r="P517" s="2251"/>
      <c r="Q517" s="2251"/>
      <c r="R517" s="2251"/>
      <c r="S517" s="2251"/>
      <c r="T517" s="2251"/>
      <c r="U517" s="2251"/>
      <c r="V517" s="420"/>
    </row>
    <row r="518" spans="1:22" ht="28.15" customHeight="1">
      <c r="A518" s="420"/>
      <c r="B518" s="2251" t="s">
        <v>1789</v>
      </c>
      <c r="C518" s="2251"/>
      <c r="D518" s="2251"/>
      <c r="E518" s="2251"/>
      <c r="F518" s="2251"/>
      <c r="G518" s="2251"/>
      <c r="H518" s="2251"/>
      <c r="I518" s="2251"/>
      <c r="J518" s="2251"/>
      <c r="K518" s="2251"/>
      <c r="L518" s="2251"/>
      <c r="M518" s="2251"/>
      <c r="N518" s="2251"/>
      <c r="O518" s="2251"/>
      <c r="P518" s="2251"/>
      <c r="Q518" s="2251"/>
      <c r="R518" s="2251"/>
      <c r="S518" s="2251"/>
      <c r="T518" s="2251"/>
      <c r="U518" s="2251"/>
      <c r="V518" s="420"/>
    </row>
    <row r="519" spans="1:22" ht="28.15" customHeight="1">
      <c r="A519" s="420"/>
      <c r="B519" s="2251" t="s">
        <v>1790</v>
      </c>
      <c r="C519" s="2251"/>
      <c r="D519" s="2251"/>
      <c r="E519" s="2251"/>
      <c r="F519" s="2251"/>
      <c r="G519" s="2251"/>
      <c r="H519" s="2251"/>
      <c r="I519" s="2251"/>
      <c r="J519" s="2251"/>
      <c r="K519" s="2251"/>
      <c r="L519" s="2251"/>
      <c r="M519" s="2251"/>
      <c r="N519" s="2251"/>
      <c r="O519" s="2251"/>
      <c r="P519" s="2251"/>
      <c r="Q519" s="2251"/>
      <c r="R519" s="2251"/>
      <c r="S519" s="2251"/>
      <c r="T519" s="2251"/>
      <c r="U519" s="2251"/>
      <c r="V519" s="420"/>
    </row>
    <row r="520" spans="1:22" ht="28.15" customHeight="1">
      <c r="A520" s="420"/>
      <c r="B520" s="2251" t="s">
        <v>1791</v>
      </c>
      <c r="C520" s="2251"/>
      <c r="D520" s="2251"/>
      <c r="E520" s="2251"/>
      <c r="F520" s="2251"/>
      <c r="G520" s="2251"/>
      <c r="H520" s="2251"/>
      <c r="I520" s="2251"/>
      <c r="J520" s="2251"/>
      <c r="K520" s="2251"/>
      <c r="L520" s="2251"/>
      <c r="M520" s="2251"/>
      <c r="N520" s="2251"/>
      <c r="O520" s="2251"/>
      <c r="P520" s="2251"/>
      <c r="Q520" s="2251"/>
      <c r="R520" s="2251"/>
      <c r="S520" s="2251"/>
      <c r="T520" s="2251"/>
      <c r="U520" s="2251"/>
      <c r="V520" s="420"/>
    </row>
    <row r="521" spans="1:22" ht="28.15" customHeight="1">
      <c r="A521" s="420"/>
      <c r="B521" s="2251" t="s">
        <v>1792</v>
      </c>
      <c r="C521" s="2251"/>
      <c r="D521" s="2251"/>
      <c r="E521" s="2251"/>
      <c r="F521" s="2251"/>
      <c r="G521" s="2251"/>
      <c r="H521" s="2251"/>
      <c r="I521" s="2251"/>
      <c r="J521" s="2251"/>
      <c r="K521" s="2251"/>
      <c r="L521" s="2251"/>
      <c r="M521" s="2251"/>
      <c r="N521" s="2251"/>
      <c r="O521" s="2251"/>
      <c r="P521" s="2251"/>
      <c r="Q521" s="2251"/>
      <c r="R521" s="2251"/>
      <c r="S521" s="2251"/>
      <c r="T521" s="2251"/>
      <c r="U521" s="2251"/>
      <c r="V521" s="420"/>
    </row>
    <row r="522" spans="1:22" ht="28.15" customHeight="1">
      <c r="A522" s="420"/>
      <c r="B522" s="2251" t="s">
        <v>1793</v>
      </c>
      <c r="C522" s="2251"/>
      <c r="D522" s="2251"/>
      <c r="E522" s="2251"/>
      <c r="F522" s="2251"/>
      <c r="G522" s="2251"/>
      <c r="H522" s="2251"/>
      <c r="I522" s="2251"/>
      <c r="J522" s="2251"/>
      <c r="K522" s="2251"/>
      <c r="L522" s="2251"/>
      <c r="M522" s="2251"/>
      <c r="N522" s="2251"/>
      <c r="O522" s="2251"/>
      <c r="P522" s="2251"/>
      <c r="Q522" s="2251"/>
      <c r="R522" s="2251"/>
      <c r="S522" s="2251"/>
      <c r="T522" s="2251"/>
      <c r="U522" s="2251"/>
      <c r="V522" s="420"/>
    </row>
    <row r="523" spans="1:22" ht="28.15" customHeight="1">
      <c r="A523" s="420"/>
      <c r="B523" s="2249" t="s">
        <v>1781</v>
      </c>
      <c r="C523" s="2249"/>
      <c r="D523" s="2249"/>
      <c r="E523" s="2249"/>
      <c r="F523" s="2249"/>
      <c r="G523" s="2249"/>
      <c r="H523" s="2249"/>
      <c r="I523" s="2249"/>
      <c r="J523" s="2249"/>
      <c r="K523" s="2249"/>
      <c r="L523" s="2249"/>
      <c r="M523" s="2249"/>
      <c r="N523" s="2249"/>
      <c r="O523" s="2249"/>
      <c r="P523" s="2249"/>
      <c r="Q523" s="2249"/>
      <c r="R523" s="2249"/>
      <c r="S523" s="2249"/>
      <c r="T523" s="2249"/>
      <c r="U523" s="2249"/>
      <c r="V523" s="420"/>
    </row>
    <row r="524" spans="1:22" ht="28.15" customHeight="1">
      <c r="A524" s="420"/>
      <c r="B524" s="2249" t="s">
        <v>1782</v>
      </c>
      <c r="C524" s="2249"/>
      <c r="D524" s="2249"/>
      <c r="E524" s="2249"/>
      <c r="F524" s="2249"/>
      <c r="G524" s="2249"/>
      <c r="H524" s="2249"/>
      <c r="I524" s="2249"/>
      <c r="J524" s="2249"/>
      <c r="K524" s="2249"/>
      <c r="L524" s="2249"/>
      <c r="M524" s="2249"/>
      <c r="N524" s="2249"/>
      <c r="O524" s="2249"/>
      <c r="P524" s="2249"/>
      <c r="Q524" s="2249"/>
      <c r="R524" s="2249"/>
      <c r="S524" s="2249"/>
      <c r="T524" s="2249"/>
      <c r="U524" s="2249"/>
      <c r="V524" s="420"/>
    </row>
    <row r="525" spans="1:22" ht="28.15" customHeight="1">
      <c r="A525" s="420"/>
      <c r="B525" s="2249" t="s">
        <v>1783</v>
      </c>
      <c r="C525" s="2249"/>
      <c r="D525" s="2249"/>
      <c r="E525" s="2249"/>
      <c r="F525" s="2249"/>
      <c r="G525" s="2249"/>
      <c r="H525" s="2249"/>
      <c r="I525" s="2249"/>
      <c r="J525" s="2249"/>
      <c r="K525" s="2249"/>
      <c r="L525" s="2249"/>
      <c r="M525" s="2249"/>
      <c r="N525" s="2249"/>
      <c r="O525" s="2249"/>
      <c r="P525" s="2249"/>
      <c r="Q525" s="2249"/>
      <c r="R525" s="2249"/>
      <c r="S525" s="2249"/>
      <c r="T525" s="2249"/>
      <c r="U525" s="2249"/>
      <c r="V525" s="420"/>
    </row>
    <row r="526" spans="1:22" ht="28.9" customHeight="1">
      <c r="A526" s="420"/>
      <c r="B526" s="2250" t="s">
        <v>1784</v>
      </c>
      <c r="C526" s="2251"/>
      <c r="D526" s="2251"/>
      <c r="E526" s="2251"/>
      <c r="F526" s="2251"/>
      <c r="G526" s="2251"/>
      <c r="H526" s="2251"/>
      <c r="I526" s="2251"/>
      <c r="J526" s="2251"/>
      <c r="K526" s="2251"/>
      <c r="L526" s="1774"/>
      <c r="M526" s="1774"/>
      <c r="N526" s="1774"/>
      <c r="O526" s="1774"/>
      <c r="P526" s="1774"/>
      <c r="Q526" s="1774"/>
      <c r="R526" s="1774"/>
      <c r="S526" s="1774"/>
      <c r="T526" s="1774"/>
      <c r="U526" s="1774"/>
      <c r="V526" s="420"/>
    </row>
    <row r="527" spans="1:22" ht="28.9" customHeight="1">
      <c r="A527" s="420"/>
      <c r="B527" s="2251" t="s">
        <v>1794</v>
      </c>
      <c r="C527" s="2251"/>
      <c r="D527" s="2251"/>
      <c r="E527" s="2251"/>
      <c r="F527" s="2251"/>
      <c r="G527" s="2251"/>
      <c r="H527" s="2251"/>
      <c r="I527" s="2251"/>
      <c r="J527" s="2251"/>
      <c r="K527" s="2251"/>
      <c r="L527" s="2251"/>
      <c r="M527" s="2251"/>
      <c r="N527" s="2251"/>
      <c r="O527" s="2251"/>
      <c r="P527" s="2251"/>
      <c r="Q527" s="2251"/>
      <c r="R527" s="2251"/>
      <c r="S527" s="2251"/>
      <c r="T527" s="2251"/>
      <c r="U527" s="2251"/>
      <c r="V527" s="420"/>
    </row>
    <row r="528" spans="1:22" ht="23.25">
      <c r="A528" s="420"/>
      <c r="B528" s="2252" t="s">
        <v>1795</v>
      </c>
      <c r="C528" s="2252"/>
      <c r="D528" s="2252"/>
      <c r="E528" s="2252"/>
      <c r="F528" s="2252"/>
      <c r="G528" s="2252"/>
      <c r="H528" s="2252"/>
      <c r="I528" s="2252"/>
      <c r="J528" s="2252"/>
      <c r="K528" s="2252"/>
      <c r="L528" s="2252"/>
      <c r="M528" s="2252"/>
      <c r="N528" s="2252"/>
      <c r="O528" s="2252"/>
      <c r="P528" s="2252"/>
      <c r="Q528" s="2252"/>
      <c r="R528" s="2252"/>
      <c r="S528" s="2252"/>
      <c r="T528" s="2252"/>
      <c r="U528" s="2252"/>
      <c r="V528" s="420"/>
    </row>
    <row r="529" spans="1:23" ht="23.25">
      <c r="A529" s="420"/>
      <c r="B529" s="1775"/>
      <c r="C529" s="1775"/>
      <c r="D529" s="1775"/>
      <c r="E529" s="1775"/>
      <c r="F529" s="1775"/>
      <c r="G529" s="1775"/>
      <c r="H529" s="1775"/>
      <c r="I529" s="1775"/>
      <c r="J529" s="1775"/>
      <c r="K529" s="1775"/>
      <c r="L529" s="1775"/>
      <c r="M529" s="1775"/>
      <c r="N529" s="1775"/>
      <c r="O529" s="1775"/>
      <c r="P529" s="1775"/>
      <c r="Q529" s="1775"/>
      <c r="R529" s="1775"/>
      <c r="S529" s="1775"/>
      <c r="T529" s="1775"/>
      <c r="U529" s="1775"/>
      <c r="V529" s="420"/>
    </row>
    <row r="530" spans="1:23" ht="23.25">
      <c r="A530" s="420"/>
      <c r="B530" s="1775"/>
      <c r="C530" s="1775"/>
      <c r="D530" s="1775"/>
      <c r="E530" s="1775"/>
      <c r="F530" s="1775"/>
      <c r="G530" s="1775"/>
      <c r="H530" s="1775"/>
      <c r="I530" s="1775"/>
      <c r="J530" s="1775"/>
      <c r="K530" s="1775"/>
      <c r="L530" s="1775"/>
      <c r="M530" s="1775"/>
      <c r="N530" s="1775"/>
      <c r="O530" s="1775"/>
      <c r="P530" s="1775"/>
      <c r="Q530" s="1775"/>
      <c r="R530" s="1775"/>
      <c r="S530" s="1775"/>
      <c r="T530" s="1775"/>
      <c r="U530" s="1775"/>
      <c r="V530" s="420"/>
    </row>
    <row r="531" spans="1:23" ht="23.25">
      <c r="A531" s="420"/>
      <c r="B531" s="1775"/>
      <c r="C531" s="1775"/>
      <c r="D531" s="1775"/>
      <c r="E531" s="1775"/>
      <c r="F531" s="1775"/>
      <c r="G531" s="1775"/>
      <c r="H531" s="1775"/>
      <c r="I531" s="1775"/>
      <c r="J531" s="1775"/>
      <c r="K531" s="1775"/>
      <c r="L531" s="1775"/>
      <c r="M531" s="1775"/>
      <c r="N531" s="1775"/>
      <c r="O531" s="1775"/>
      <c r="P531" s="1775"/>
      <c r="Q531" s="1775"/>
      <c r="R531" s="1775"/>
      <c r="S531" s="1775"/>
      <c r="T531" s="1775"/>
      <c r="U531" s="1775"/>
      <c r="V531" s="420"/>
    </row>
    <row r="532" spans="1:23" ht="23.25">
      <c r="A532" s="420"/>
      <c r="B532" s="1775"/>
      <c r="C532" s="1775"/>
      <c r="D532" s="1775"/>
      <c r="E532" s="1775"/>
      <c r="F532" s="1775"/>
      <c r="G532" s="1775"/>
      <c r="H532" s="1775"/>
      <c r="I532" s="1775"/>
      <c r="J532" s="1775"/>
      <c r="K532" s="1775"/>
      <c r="L532" s="1775"/>
      <c r="M532" s="1775"/>
      <c r="N532" s="1775"/>
      <c r="O532" s="1775"/>
      <c r="P532" s="1775"/>
      <c r="Q532" s="1775"/>
      <c r="R532" s="1775"/>
      <c r="S532" s="1775"/>
      <c r="T532" s="1775"/>
      <c r="U532" s="1775"/>
      <c r="V532" s="420"/>
    </row>
    <row r="533" spans="1:23">
      <c r="A533" s="420"/>
      <c r="B533" s="420"/>
      <c r="C533" s="420"/>
      <c r="D533" s="420"/>
      <c r="E533" s="420"/>
      <c r="F533" s="420"/>
      <c r="G533" s="420"/>
      <c r="H533" s="420"/>
      <c r="I533" s="420"/>
      <c r="J533" s="420"/>
      <c r="K533" s="420"/>
      <c r="L533" s="420"/>
      <c r="M533" s="420"/>
      <c r="N533" s="420"/>
      <c r="O533" s="420"/>
      <c r="P533" s="420"/>
      <c r="Q533" s="420"/>
      <c r="R533" s="420"/>
      <c r="S533" s="420"/>
      <c r="T533" s="420"/>
      <c r="U533" s="420"/>
      <c r="V533" s="420"/>
    </row>
    <row r="534" spans="1:23" ht="15.75">
      <c r="A534" s="420"/>
      <c r="B534" s="420"/>
      <c r="C534" s="420"/>
      <c r="D534" s="420"/>
      <c r="E534" s="420"/>
      <c r="F534" s="420"/>
      <c r="G534" s="420"/>
      <c r="H534" s="420"/>
      <c r="I534" s="420"/>
      <c r="J534" s="420"/>
      <c r="K534" s="420"/>
      <c r="L534" s="420"/>
      <c r="M534" s="476" t="s">
        <v>998</v>
      </c>
      <c r="N534" s="420"/>
      <c r="O534" s="420"/>
      <c r="P534" s="420"/>
      <c r="Q534" s="420"/>
      <c r="R534" s="477" t="s">
        <v>692</v>
      </c>
      <c r="S534" s="478" t="str">
        <f>$E$29</f>
        <v>ILF5_90FCPRS_B114CAGR43006</v>
      </c>
      <c r="T534" s="420"/>
      <c r="U534" s="420"/>
      <c r="V534" s="420"/>
    </row>
    <row r="535" spans="1:23">
      <c r="A535" s="420"/>
      <c r="B535" s="420"/>
      <c r="C535" s="420"/>
      <c r="D535" s="420"/>
      <c r="E535" s="420"/>
      <c r="F535" s="420"/>
      <c r="G535" s="420"/>
      <c r="H535" s="436" t="s">
        <v>691</v>
      </c>
      <c r="I535" s="420"/>
      <c r="K535" s="420"/>
      <c r="L535" s="437" t="str">
        <f>$B$11</f>
        <v>INMOBILIARIA SERVIGESTION</v>
      </c>
      <c r="M535" s="420"/>
      <c r="N535" s="420"/>
      <c r="O535" s="420"/>
      <c r="P535" s="420"/>
      <c r="Q535" s="420"/>
      <c r="R535" s="420"/>
      <c r="S535" s="420"/>
      <c r="T535" s="420"/>
      <c r="U535" s="420"/>
      <c r="V535" s="420"/>
    </row>
    <row r="536" spans="1:23" ht="34.5">
      <c r="A536" s="420"/>
      <c r="B536" s="2268" t="s">
        <v>461</v>
      </c>
      <c r="C536" s="2268"/>
      <c r="D536" s="2268"/>
      <c r="E536" s="2268"/>
      <c r="F536" s="2268"/>
      <c r="G536" s="2268"/>
      <c r="H536" s="2268"/>
      <c r="I536" s="2268"/>
      <c r="J536" s="2268"/>
      <c r="K536" s="2268"/>
      <c r="L536" s="2268"/>
      <c r="M536" s="2268"/>
      <c r="N536" s="2268"/>
      <c r="O536" s="2268"/>
      <c r="P536" s="2268"/>
      <c r="Q536" s="2268"/>
      <c r="R536" s="2268"/>
      <c r="S536" s="2268"/>
      <c r="T536" s="2268"/>
      <c r="U536" s="2268"/>
      <c r="V536" s="420"/>
    </row>
    <row r="537" spans="1:23" ht="22.9" customHeight="1">
      <c r="A537" s="420"/>
      <c r="B537" s="2269" t="s">
        <v>1108</v>
      </c>
      <c r="C537" s="2269"/>
      <c r="D537" s="2269"/>
      <c r="E537" s="2269"/>
      <c r="F537" s="2269"/>
      <c r="G537" s="2269"/>
      <c r="H537" s="2269"/>
      <c r="I537" s="2269"/>
      <c r="J537" s="2269"/>
      <c r="K537" s="2269"/>
      <c r="L537" s="2269"/>
      <c r="M537" s="2269"/>
      <c r="N537" s="2269"/>
      <c r="O537" s="2269"/>
      <c r="P537" s="2269"/>
      <c r="Q537" s="2269"/>
      <c r="R537" s="2269"/>
      <c r="S537" s="2269"/>
      <c r="T537" s="2269"/>
      <c r="U537" s="2269"/>
      <c r="V537" s="420"/>
    </row>
    <row r="538" spans="1:23" ht="33" customHeight="1">
      <c r="A538" s="420"/>
      <c r="B538" s="2252" t="s">
        <v>1091</v>
      </c>
      <c r="C538" s="2252"/>
      <c r="D538" s="2252"/>
      <c r="E538" s="2252"/>
      <c r="F538" s="2252"/>
      <c r="G538" s="2252"/>
      <c r="H538" s="2252"/>
      <c r="I538" s="2252"/>
      <c r="J538" s="2252"/>
      <c r="K538" s="2252"/>
      <c r="L538" s="1165"/>
      <c r="M538" s="1165"/>
      <c r="N538" s="1165"/>
      <c r="O538" s="1165"/>
      <c r="P538" s="1165"/>
      <c r="Q538" s="1165"/>
      <c r="R538" s="1165"/>
      <c r="S538" s="1165"/>
      <c r="T538" s="1165"/>
      <c r="U538" s="1165"/>
      <c r="V538" s="420"/>
    </row>
    <row r="539" spans="1:23" ht="33" customHeight="1">
      <c r="A539" s="420"/>
      <c r="B539" s="2260" t="s">
        <v>1115</v>
      </c>
      <c r="C539" s="2260"/>
      <c r="D539" s="2260"/>
      <c r="E539" s="2260"/>
      <c r="F539" s="2260"/>
      <c r="G539" s="2260"/>
      <c r="H539" s="2260"/>
      <c r="I539" s="2260"/>
      <c r="J539" s="2260"/>
      <c r="K539" s="2260"/>
      <c r="L539" s="2260"/>
      <c r="M539" s="2260"/>
      <c r="N539" s="2260"/>
      <c r="O539" s="2260"/>
      <c r="P539" s="2260"/>
      <c r="Q539" s="2260"/>
      <c r="R539" s="2260"/>
      <c r="S539" s="2260"/>
      <c r="T539" s="2260"/>
      <c r="U539" s="2260"/>
      <c r="V539" s="420"/>
    </row>
    <row r="540" spans="1:23" ht="27" customHeight="1">
      <c r="A540" s="504"/>
      <c r="B540" s="1161"/>
      <c r="C540" s="2390" t="s">
        <v>1116</v>
      </c>
      <c r="D540" s="2390"/>
      <c r="E540" s="2390"/>
      <c r="F540" s="2390"/>
      <c r="G540" s="2390"/>
      <c r="H540" s="2390"/>
      <c r="I540" s="2390"/>
      <c r="J540" s="2390"/>
      <c r="K540" s="2390"/>
      <c r="L540" s="2390"/>
      <c r="M540" s="2390"/>
      <c r="N540" s="2390"/>
      <c r="O540" s="2390"/>
      <c r="P540" s="2390"/>
      <c r="Q540" s="2390"/>
      <c r="R540" s="2390"/>
      <c r="S540" s="2390"/>
      <c r="T540" s="2390"/>
      <c r="U540" s="1161"/>
      <c r="V540" s="1171"/>
      <c r="W540" s="441"/>
    </row>
    <row r="541" spans="1:23" ht="23.25">
      <c r="A541" s="441"/>
      <c r="B541" s="441"/>
      <c r="C541" s="2335" t="s">
        <v>1103</v>
      </c>
      <c r="D541" s="2335"/>
      <c r="E541" s="2335"/>
      <c r="F541" s="2335"/>
      <c r="G541" s="2335"/>
      <c r="H541" s="2335"/>
      <c r="I541" s="2335"/>
      <c r="J541" s="2335"/>
      <c r="K541" s="2335"/>
      <c r="L541" s="441"/>
      <c r="M541" s="2375" t="s">
        <v>1102</v>
      </c>
      <c r="N541" s="2376"/>
      <c r="O541" s="2376"/>
      <c r="P541" s="2376"/>
      <c r="Q541" s="2376"/>
      <c r="R541" s="2376"/>
      <c r="S541" s="2376"/>
      <c r="T541" s="2377"/>
      <c r="U541" s="546"/>
      <c r="V541" s="1171"/>
      <c r="W541" s="441"/>
    </row>
    <row r="542" spans="1:23" ht="165.75" customHeight="1">
      <c r="A542" s="441"/>
      <c r="B542" s="501" t="s">
        <v>362</v>
      </c>
      <c r="C542" s="2396" t="s">
        <v>1130</v>
      </c>
      <c r="D542" s="2397"/>
      <c r="E542" s="2397"/>
      <c r="F542" s="2397"/>
      <c r="G542" s="2397"/>
      <c r="H542" s="2397"/>
      <c r="I542" s="2397"/>
      <c r="J542" s="2397"/>
      <c r="K542" s="2398"/>
      <c r="L542" s="441"/>
      <c r="M542" s="2396" t="s">
        <v>1136</v>
      </c>
      <c r="N542" s="2397"/>
      <c r="O542" s="2397"/>
      <c r="P542" s="2397"/>
      <c r="Q542" s="2397"/>
      <c r="R542" s="2397"/>
      <c r="S542" s="2397"/>
      <c r="T542" s="2398"/>
      <c r="U542" s="546"/>
      <c r="V542" s="1171"/>
      <c r="W542" s="441"/>
    </row>
    <row r="543" spans="1:23" ht="26.25">
      <c r="A543" s="441"/>
      <c r="B543" s="524"/>
      <c r="C543" s="2399" t="s">
        <v>1119</v>
      </c>
      <c r="D543" s="2399"/>
      <c r="E543" s="2399"/>
      <c r="F543" s="2399"/>
      <c r="G543" s="2399"/>
      <c r="H543" s="1167">
        <v>10.5</v>
      </c>
      <c r="I543" s="498"/>
      <c r="J543" s="498"/>
      <c r="K543" s="498"/>
      <c r="L543" s="499"/>
      <c r="M543" s="2399" t="s">
        <v>1119</v>
      </c>
      <c r="N543" s="2399"/>
      <c r="O543" s="2399"/>
      <c r="P543" s="2399"/>
      <c r="Q543" s="2399"/>
      <c r="R543" s="1167">
        <v>4.5</v>
      </c>
      <c r="S543" s="498"/>
      <c r="T543" s="498"/>
      <c r="U543" s="1168"/>
      <c r="V543" s="1171"/>
      <c r="W543" s="441"/>
    </row>
    <row r="544" spans="1:23" customFormat="1" ht="8.25" customHeight="1">
      <c r="A544" s="325"/>
      <c r="B544" s="524"/>
      <c r="U544" s="1168"/>
      <c r="V544" s="1171"/>
      <c r="W544" s="441"/>
    </row>
    <row r="545" spans="1:25" customFormat="1" ht="60" customHeight="1">
      <c r="A545" s="325"/>
      <c r="B545" s="524"/>
      <c r="C545" s="2475" t="s">
        <v>1118</v>
      </c>
      <c r="D545" s="2475"/>
      <c r="E545" s="2475"/>
      <c r="F545" s="2475"/>
      <c r="G545" s="2475"/>
      <c r="H545" s="2475"/>
      <c r="I545" s="2475"/>
      <c r="J545" s="2475"/>
      <c r="K545" s="2475"/>
      <c r="M545" s="2541" t="s">
        <v>1120</v>
      </c>
      <c r="N545" s="2541"/>
      <c r="O545" s="2541"/>
      <c r="P545" s="2541"/>
      <c r="Q545" s="2541"/>
      <c r="R545" s="2541"/>
      <c r="S545" s="2541"/>
      <c r="T545" s="2541"/>
      <c r="U545" s="1168"/>
      <c r="V545" s="1171"/>
      <c r="W545" s="441"/>
    </row>
    <row r="546" spans="1:25" ht="27.6" customHeight="1">
      <c r="A546" s="1171"/>
      <c r="B546" s="524"/>
      <c r="C546" s="2335" t="s">
        <v>1092</v>
      </c>
      <c r="D546" s="2335"/>
      <c r="E546" s="2335"/>
      <c r="F546" s="2335"/>
      <c r="G546" s="2335"/>
      <c r="H546" s="2335"/>
      <c r="I546" s="2335"/>
      <c r="J546" s="2335"/>
      <c r="K546" s="2335"/>
      <c r="L546" s="1162"/>
      <c r="M546" s="2375" t="s">
        <v>1093</v>
      </c>
      <c r="N546" s="2376"/>
      <c r="O546" s="2376"/>
      <c r="P546" s="2376"/>
      <c r="Q546" s="2376"/>
      <c r="R546" s="2376"/>
      <c r="S546" s="2376"/>
      <c r="T546" s="2377"/>
      <c r="U546" s="1168"/>
      <c r="V546" s="1171"/>
      <c r="W546" s="441"/>
    </row>
    <row r="547" spans="1:25" ht="128.25" customHeight="1">
      <c r="A547" s="1171"/>
      <c r="B547" s="524"/>
      <c r="C547" s="2396" t="s">
        <v>1125</v>
      </c>
      <c r="D547" s="2397"/>
      <c r="E547" s="2397"/>
      <c r="F547" s="2397"/>
      <c r="G547" s="2397"/>
      <c r="H547" s="2397"/>
      <c r="I547" s="2397"/>
      <c r="J547" s="2397"/>
      <c r="K547" s="2398"/>
      <c r="L547" s="1162"/>
      <c r="M547" s="2396" t="s">
        <v>1124</v>
      </c>
      <c r="N547" s="2397"/>
      <c r="O547" s="2397"/>
      <c r="P547" s="2397"/>
      <c r="Q547" s="2397"/>
      <c r="R547" s="2397"/>
      <c r="S547" s="2397"/>
      <c r="T547" s="2398"/>
      <c r="U547" s="1168"/>
      <c r="V547" s="1171"/>
      <c r="W547" s="441"/>
    </row>
    <row r="548" spans="1:25" ht="26.25">
      <c r="A548" s="441"/>
      <c r="B548" s="524"/>
      <c r="C548" s="2399" t="s">
        <v>1119</v>
      </c>
      <c r="D548" s="2399"/>
      <c r="E548" s="2399"/>
      <c r="F548" s="2399"/>
      <c r="G548" s="2399"/>
      <c r="H548" s="1167">
        <v>10</v>
      </c>
      <c r="I548" s="498"/>
      <c r="J548" s="498"/>
      <c r="K548" s="498"/>
      <c r="L548" s="499"/>
      <c r="M548" s="2399" t="s">
        <v>1119</v>
      </c>
      <c r="N548" s="2399"/>
      <c r="O548" s="2399"/>
      <c r="P548" s="2399"/>
      <c r="Q548" s="2399"/>
      <c r="R548" s="1167">
        <v>5</v>
      </c>
      <c r="S548" s="498"/>
      <c r="T548" s="498"/>
      <c r="U548" s="1168"/>
      <c r="V548" s="1171"/>
      <c r="W548" s="441"/>
    </row>
    <row r="549" spans="1:25" ht="10.5" customHeight="1">
      <c r="A549" s="1171"/>
      <c r="B549" s="524"/>
      <c r="C549" s="1166"/>
      <c r="D549" s="1166"/>
      <c r="E549" s="1166"/>
      <c r="F549" s="1166"/>
      <c r="G549" s="1166"/>
      <c r="H549" s="1166"/>
      <c r="I549" s="1166"/>
      <c r="J549" s="1166"/>
      <c r="K549" s="1166"/>
      <c r="L549" s="1166"/>
      <c r="M549" s="1166"/>
      <c r="N549" s="1166"/>
      <c r="O549" s="1166"/>
      <c r="P549" s="1166"/>
      <c r="Q549" s="1166"/>
      <c r="R549" s="1166"/>
      <c r="S549" s="1166"/>
      <c r="T549" s="1166"/>
      <c r="U549" s="1168"/>
      <c r="V549" s="1171"/>
      <c r="W549" s="441"/>
    </row>
    <row r="550" spans="1:25" customFormat="1" ht="54" customHeight="1">
      <c r="A550" s="325"/>
      <c r="B550" s="524"/>
      <c r="C550" s="2475" t="s">
        <v>1121</v>
      </c>
      <c r="D550" s="2475"/>
      <c r="E550" s="2475"/>
      <c r="F550" s="2475"/>
      <c r="G550" s="2475"/>
      <c r="H550" s="2475"/>
      <c r="I550" s="2475"/>
      <c r="J550" s="2475"/>
      <c r="K550" s="2475"/>
      <c r="M550" s="2541" t="s">
        <v>1123</v>
      </c>
      <c r="N550" s="2541"/>
      <c r="O550" s="2541"/>
      <c r="P550" s="2541"/>
      <c r="Q550" s="2541"/>
      <c r="R550" s="2541"/>
      <c r="S550" s="2541"/>
      <c r="T550" s="2541"/>
      <c r="U550" s="1168"/>
      <c r="V550" s="1171"/>
      <c r="W550" s="441"/>
    </row>
    <row r="551" spans="1:25" ht="27" customHeight="1">
      <c r="A551" s="1171"/>
      <c r="B551" s="524"/>
      <c r="C551" s="2335" t="s">
        <v>1094</v>
      </c>
      <c r="D551" s="2335"/>
      <c r="E551" s="2335"/>
      <c r="F551" s="2335"/>
      <c r="G551" s="2335"/>
      <c r="H551" s="2335"/>
      <c r="I551" s="2335"/>
      <c r="J551" s="2335"/>
      <c r="K551" s="2335"/>
      <c r="L551" s="1162"/>
      <c r="M551" s="2375" t="s">
        <v>1095</v>
      </c>
      <c r="N551" s="2376"/>
      <c r="O551" s="2376"/>
      <c r="P551" s="2376"/>
      <c r="Q551" s="2376"/>
      <c r="R551" s="2376"/>
      <c r="S551" s="2376"/>
      <c r="T551" s="2377"/>
      <c r="U551" s="1168"/>
      <c r="V551" s="1171"/>
      <c r="W551" s="441"/>
    </row>
    <row r="552" spans="1:25" ht="112.5" customHeight="1">
      <c r="A552" s="1171"/>
      <c r="B552" s="524"/>
      <c r="C552" s="2396" t="s">
        <v>1126</v>
      </c>
      <c r="D552" s="2397"/>
      <c r="E552" s="2397"/>
      <c r="F552" s="2397"/>
      <c r="G552" s="2397"/>
      <c r="H552" s="2397"/>
      <c r="I552" s="2397"/>
      <c r="J552" s="2397"/>
      <c r="K552" s="2398"/>
      <c r="L552" s="1162"/>
      <c r="M552" s="2396" t="s">
        <v>1127</v>
      </c>
      <c r="N552" s="2397"/>
      <c r="O552" s="2397"/>
      <c r="P552" s="2397"/>
      <c r="Q552" s="2397"/>
      <c r="R552" s="2397"/>
      <c r="S552" s="2397"/>
      <c r="T552" s="2398"/>
      <c r="U552" s="1168"/>
      <c r="V552" s="1171"/>
      <c r="W552" s="441"/>
    </row>
    <row r="553" spans="1:25" ht="26.25">
      <c r="A553" s="441"/>
      <c r="B553" s="524"/>
      <c r="C553" s="2479" t="s">
        <v>1129</v>
      </c>
      <c r="D553" s="2479"/>
      <c r="E553" s="2479"/>
      <c r="F553" s="2479"/>
      <c r="G553" s="2479"/>
      <c r="H553" s="2468">
        <v>10</v>
      </c>
      <c r="I553" s="2543"/>
      <c r="J553" s="2543"/>
      <c r="K553" s="2544"/>
      <c r="L553" s="499"/>
      <c r="M553" s="2479" t="s">
        <v>1128</v>
      </c>
      <c r="N553" s="2480"/>
      <c r="O553" s="2480"/>
      <c r="P553" s="2480"/>
      <c r="Q553" s="2480"/>
      <c r="R553" s="2468">
        <v>15</v>
      </c>
      <c r="S553" s="2470"/>
      <c r="T553" s="2471"/>
      <c r="U553" s="1168"/>
      <c r="V553" s="1171"/>
      <c r="W553" s="441"/>
    </row>
    <row r="554" spans="1:25" ht="18" customHeight="1">
      <c r="A554" s="420"/>
      <c r="B554" s="1166"/>
      <c r="C554" s="2412"/>
      <c r="D554" s="2412"/>
      <c r="E554" s="2412"/>
      <c r="F554" s="2412"/>
      <c r="G554" s="2412"/>
      <c r="H554" s="2542"/>
      <c r="I554" s="2545"/>
      <c r="J554" s="2545"/>
      <c r="K554" s="2546"/>
      <c r="L554" s="1166"/>
      <c r="M554" s="2481"/>
      <c r="N554" s="2481"/>
      <c r="O554" s="2481"/>
      <c r="P554" s="2481"/>
      <c r="Q554" s="2481"/>
      <c r="R554" s="2469"/>
      <c r="S554" s="2472"/>
      <c r="T554" s="2473"/>
      <c r="U554" s="1166"/>
      <c r="V554" s="1171"/>
      <c r="W554" s="441"/>
    </row>
    <row r="555" spans="1:25">
      <c r="A555" s="420"/>
      <c r="C555" s="601"/>
      <c r="D555" s="601"/>
      <c r="E555" s="601"/>
      <c r="F555" s="601"/>
      <c r="G555" s="601"/>
      <c r="H555" s="601"/>
      <c r="J555" s="441"/>
      <c r="K555" s="441"/>
      <c r="M555" s="441"/>
      <c r="N555" s="441"/>
      <c r="S555" s="601"/>
      <c r="T555" s="601"/>
      <c r="V555" s="1171"/>
      <c r="W555" s="441"/>
    </row>
    <row r="556" spans="1:25" ht="24.95" customHeight="1">
      <c r="A556" s="441"/>
      <c r="C556" s="2534" t="s">
        <v>1087</v>
      </c>
      <c r="D556" s="2486"/>
      <c r="E556" s="2486"/>
      <c r="F556" s="2486"/>
      <c r="G556" s="2256"/>
      <c r="H556" s="2255" t="s">
        <v>1122</v>
      </c>
      <c r="I556" s="2486"/>
      <c r="J556" s="2486"/>
      <c r="K556" s="2256"/>
      <c r="L556" s="2255" t="s">
        <v>1101</v>
      </c>
      <c r="M556" s="2256"/>
      <c r="N556" s="2254" t="s">
        <v>51</v>
      </c>
      <c r="O556" s="2255"/>
      <c r="P556" s="1170"/>
      <c r="Q556"/>
      <c r="R556"/>
      <c r="S556"/>
      <c r="T556"/>
      <c r="U556"/>
      <c r="V556" s="325"/>
      <c r="W556" s="325"/>
      <c r="X556"/>
      <c r="Y556"/>
    </row>
    <row r="557" spans="1:25" ht="24.95" customHeight="1">
      <c r="C557" s="2485">
        <f>Oferta_OptimaRPV!C811</f>
        <v>0</v>
      </c>
      <c r="D557" s="2484"/>
      <c r="E557" s="2484"/>
      <c r="F557" s="2484"/>
      <c r="G557" s="2484"/>
      <c r="H557" s="2482">
        <f>Oferta_OptimaRPV!H811</f>
        <v>0</v>
      </c>
      <c r="I557" s="2482"/>
      <c r="J557" s="2482"/>
      <c r="K557" s="2482"/>
      <c r="L557" s="2484">
        <f>Oferta_OptimaRPV!L811</f>
        <v>0</v>
      </c>
      <c r="M557" s="2484"/>
      <c r="N557" s="2484">
        <f>Oferta_OptimaRPV!N811</f>
        <v>0</v>
      </c>
      <c r="O557" s="2484"/>
      <c r="P557" s="1170"/>
      <c r="Q557"/>
      <c r="R557"/>
      <c r="S557"/>
      <c r="T557"/>
      <c r="U557"/>
      <c r="V557"/>
      <c r="W557"/>
      <c r="X557"/>
      <c r="Y557"/>
    </row>
    <row r="558" spans="1:25" ht="24.95" customHeight="1">
      <c r="C558" s="2485">
        <f>Oferta_OptimaRPV!C812</f>
        <v>0</v>
      </c>
      <c r="D558" s="2484"/>
      <c r="E558" s="2484"/>
      <c r="F558" s="2484"/>
      <c r="G558" s="2484"/>
      <c r="H558" s="2482">
        <f>Oferta_OptimaRPV!H812</f>
        <v>0</v>
      </c>
      <c r="I558" s="2482"/>
      <c r="J558" s="2482"/>
      <c r="K558" s="2482"/>
      <c r="L558" s="2484">
        <f>Oferta_OptimaRPV!L812</f>
        <v>0</v>
      </c>
      <c r="M558" s="2484"/>
      <c r="N558" s="2484">
        <f>Oferta_OptimaRPV!N812</f>
        <v>0</v>
      </c>
      <c r="O558" s="2484"/>
      <c r="P558" s="1170"/>
      <c r="Q558"/>
      <c r="R558"/>
      <c r="S558"/>
      <c r="T558"/>
      <c r="U558"/>
      <c r="V558"/>
      <c r="W558"/>
      <c r="X558"/>
      <c r="Y558"/>
    </row>
    <row r="559" spans="1:25" ht="24.95" customHeight="1">
      <c r="C559" s="2485">
        <f>Oferta_OptimaRPV!C813</f>
        <v>0</v>
      </c>
      <c r="D559" s="2484"/>
      <c r="E559" s="2484"/>
      <c r="F559" s="2484"/>
      <c r="G559" s="2484"/>
      <c r="H559" s="2482">
        <f>Oferta_OptimaRPV!H813</f>
        <v>0</v>
      </c>
      <c r="I559" s="2482"/>
      <c r="J559" s="2482"/>
      <c r="K559" s="2482"/>
      <c r="L559" s="2484">
        <f>Oferta_OptimaRPV!L813</f>
        <v>0</v>
      </c>
      <c r="M559" s="2484"/>
      <c r="N559" s="2484">
        <f>Oferta_OptimaRPV!N813</f>
        <v>0</v>
      </c>
      <c r="O559" s="2484"/>
      <c r="P559" s="1170"/>
      <c r="Q559"/>
      <c r="R559"/>
      <c r="S559"/>
      <c r="T559"/>
      <c r="U559"/>
      <c r="V559"/>
      <c r="W559"/>
      <c r="X559"/>
      <c r="Y559"/>
    </row>
    <row r="560" spans="1:25" ht="24.95" customHeight="1">
      <c r="C560" s="2485">
        <f>Oferta_OptimaRPV!C814</f>
        <v>0</v>
      </c>
      <c r="D560" s="2484"/>
      <c r="E560" s="2484"/>
      <c r="F560" s="2484"/>
      <c r="G560" s="2484"/>
      <c r="H560" s="2482">
        <f>Oferta_OptimaRPV!H814</f>
        <v>0</v>
      </c>
      <c r="I560" s="2482"/>
      <c r="J560" s="2482"/>
      <c r="K560" s="2482"/>
      <c r="L560" s="2484">
        <f>Oferta_OptimaRPV!L814</f>
        <v>0</v>
      </c>
      <c r="M560" s="2484"/>
      <c r="N560" s="2484">
        <f>Oferta_OptimaRPV!N814</f>
        <v>0</v>
      </c>
      <c r="O560" s="2484"/>
      <c r="P560" s="1170"/>
      <c r="Q560"/>
      <c r="R560"/>
      <c r="S560"/>
      <c r="T560"/>
      <c r="U560"/>
      <c r="V560"/>
      <c r="W560"/>
      <c r="X560"/>
      <c r="Y560"/>
    </row>
    <row r="561" spans="1:25" ht="24.95" customHeight="1">
      <c r="A561" s="420"/>
      <c r="C561" s="2485">
        <f>Oferta_OptimaRPV!C815</f>
        <v>0</v>
      </c>
      <c r="D561" s="2484"/>
      <c r="E561" s="2484"/>
      <c r="F561" s="2484"/>
      <c r="G561" s="2484"/>
      <c r="H561" s="2482">
        <f>Oferta_OptimaRPV!H815</f>
        <v>0</v>
      </c>
      <c r="I561" s="2482"/>
      <c r="J561" s="2482"/>
      <c r="K561" s="2482"/>
      <c r="L561" s="2484">
        <f>Oferta_OptimaRPV!L815</f>
        <v>0</v>
      </c>
      <c r="M561" s="2484"/>
      <c r="N561" s="2484">
        <f>Oferta_OptimaRPV!N815</f>
        <v>0</v>
      </c>
      <c r="O561" s="2484"/>
      <c r="P561" s="1170"/>
      <c r="Q561"/>
      <c r="R561"/>
      <c r="S561"/>
      <c r="T561"/>
      <c r="U561"/>
      <c r="V561"/>
      <c r="W561"/>
      <c r="X561"/>
      <c r="Y561"/>
    </row>
    <row r="562" spans="1:25" ht="12" customHeight="1">
      <c r="A562" s="420"/>
      <c r="B562" s="1165"/>
      <c r="C562" s="1165"/>
      <c r="D562" s="1165"/>
      <c r="E562" s="1165"/>
      <c r="F562" s="1165"/>
      <c r="G562" s="1165"/>
      <c r="H562" s="1165"/>
      <c r="I562" s="1165"/>
      <c r="J562" s="1165"/>
      <c r="K562" s="1165"/>
      <c r="L562" s="1165"/>
      <c r="M562" s="1165"/>
      <c r="N562" s="1160"/>
      <c r="O562" s="1169"/>
      <c r="P562" s="1165"/>
      <c r="Q562"/>
      <c r="R562"/>
      <c r="S562"/>
      <c r="T562"/>
      <c r="U562"/>
      <c r="V562" s="420"/>
    </row>
    <row r="563" spans="1:25" ht="23.25">
      <c r="A563" s="420"/>
      <c r="B563" s="1165"/>
      <c r="C563" s="1165"/>
      <c r="D563" s="1165"/>
      <c r="E563" s="1165"/>
      <c r="F563" s="1165"/>
      <c r="G563" s="1165"/>
      <c r="H563" s="1165"/>
      <c r="I563" s="1165"/>
      <c r="J563" s="1165"/>
      <c r="K563" s="1165"/>
      <c r="L563" s="2301" t="s">
        <v>295</v>
      </c>
      <c r="M563" s="2301"/>
      <c r="N563" s="2547">
        <f>Perfiles_usuario!H252</f>
        <v>0</v>
      </c>
      <c r="O563" s="2548"/>
      <c r="Q563"/>
      <c r="R563"/>
      <c r="S563"/>
      <c r="T563"/>
      <c r="U563"/>
      <c r="V563" s="470"/>
    </row>
    <row r="564" spans="1:25" ht="23.25">
      <c r="A564" s="420"/>
      <c r="B564" s="2252" t="s">
        <v>1090</v>
      </c>
      <c r="C564" s="2252"/>
      <c r="D564" s="2252"/>
      <c r="E564" s="2252"/>
      <c r="F564" s="2252"/>
      <c r="G564" s="2252"/>
      <c r="H564" s="2252"/>
      <c r="I564" s="2252"/>
      <c r="J564" s="2252"/>
      <c r="K564" s="2252"/>
      <c r="L564" s="1165"/>
      <c r="M564" s="1165"/>
      <c r="N564" s="1165"/>
      <c r="O564" s="1165"/>
      <c r="P564" s="1165"/>
      <c r="Q564" s="1165"/>
      <c r="R564" s="1165"/>
      <c r="S564" s="1165"/>
      <c r="T564" s="1165"/>
      <c r="U564" s="1165"/>
      <c r="V564" s="420"/>
    </row>
    <row r="565" spans="1:25" ht="23.25">
      <c r="A565" s="420"/>
      <c r="B565" s="2260" t="s">
        <v>1131</v>
      </c>
      <c r="C565" s="2260"/>
      <c r="D565" s="2260"/>
      <c r="E565" s="2260"/>
      <c r="F565" s="2260"/>
      <c r="G565" s="2260"/>
      <c r="H565" s="2260"/>
      <c r="I565" s="2260"/>
      <c r="J565" s="2260"/>
      <c r="K565" s="2260"/>
      <c r="L565" s="2260"/>
      <c r="M565" s="2260"/>
      <c r="N565" s="2260"/>
      <c r="O565" s="2260"/>
      <c r="P565" s="2260"/>
      <c r="Q565" s="2260"/>
      <c r="R565" s="2260"/>
      <c r="S565" s="2260"/>
      <c r="T565" s="2260"/>
      <c r="U565" s="2260"/>
      <c r="V565" s="420"/>
    </row>
    <row r="566" spans="1:25" ht="8.25" customHeight="1">
      <c r="A566" s="420"/>
      <c r="B566" s="1166"/>
      <c r="C566" s="1166"/>
      <c r="D566" s="1166"/>
      <c r="E566" s="1166"/>
      <c r="F566" s="1166"/>
      <c r="G566" s="1166"/>
      <c r="H566" s="1166"/>
      <c r="I566" s="1166"/>
      <c r="J566" s="1166"/>
      <c r="K566" s="1166"/>
      <c r="L566" s="1166"/>
      <c r="M566" s="1166"/>
      <c r="N566" s="1166"/>
      <c r="O566" s="1166"/>
      <c r="P566" s="1166"/>
      <c r="Q566" s="1166"/>
      <c r="R566" s="1166"/>
      <c r="S566" s="1166"/>
      <c r="T566" s="1166"/>
      <c r="U566" s="1166"/>
      <c r="V566" s="420"/>
    </row>
    <row r="567" spans="1:25" ht="22.15" customHeight="1">
      <c r="A567" s="420"/>
      <c r="B567" s="1166"/>
      <c r="C567" s="2527" t="s">
        <v>1090</v>
      </c>
      <c r="D567" s="2527"/>
      <c r="E567" s="2527"/>
      <c r="F567" s="2527"/>
      <c r="G567" s="2527"/>
      <c r="H567" s="2527"/>
      <c r="I567" s="2527"/>
      <c r="J567" s="2527"/>
      <c r="K567" s="2527"/>
      <c r="L567" s="2527"/>
      <c r="M567" s="2527"/>
      <c r="N567" s="2527"/>
      <c r="O567" s="2527"/>
      <c r="P567" s="2527"/>
      <c r="Q567" s="2527"/>
      <c r="R567" s="2527"/>
      <c r="S567" s="2527"/>
      <c r="T567" s="2528"/>
      <c r="U567" s="1166"/>
      <c r="V567" s="420"/>
    </row>
    <row r="568" spans="1:25" ht="80.25" customHeight="1">
      <c r="A568" s="420"/>
      <c r="B568" s="1166"/>
      <c r="C568" s="2529" t="s">
        <v>1132</v>
      </c>
      <c r="D568" s="2530"/>
      <c r="E568" s="2530"/>
      <c r="F568" s="2530"/>
      <c r="G568" s="2530"/>
      <c r="H568" s="2530"/>
      <c r="I568" s="2530"/>
      <c r="J568" s="2530"/>
      <c r="K568" s="2530"/>
      <c r="L568" s="2530"/>
      <c r="M568" s="2530"/>
      <c r="N568" s="2530"/>
      <c r="O568" s="2530"/>
      <c r="P568" s="2530"/>
      <c r="Q568" s="2530"/>
      <c r="R568" s="2530"/>
      <c r="S568" s="2530"/>
      <c r="T568" s="2531"/>
      <c r="U568" s="1172"/>
      <c r="V568" s="420"/>
    </row>
    <row r="569" spans="1:25" ht="26.25">
      <c r="A569" s="420"/>
      <c r="B569" s="1166"/>
      <c r="C569" s="2532" t="s">
        <v>1860</v>
      </c>
      <c r="D569" s="2532"/>
      <c r="E569" s="2532"/>
      <c r="F569" s="2532"/>
      <c r="G569" s="2532"/>
      <c r="H569" s="2532"/>
      <c r="I569" s="2532"/>
      <c r="J569" s="2532"/>
      <c r="K569" s="2532"/>
      <c r="L569" s="2532"/>
      <c r="M569" s="2532"/>
      <c r="N569" s="2532"/>
      <c r="O569" s="2532"/>
      <c r="P569" s="2532"/>
      <c r="Q569" s="2533"/>
      <c r="R569" s="1167">
        <v>10</v>
      </c>
      <c r="S569" s="498"/>
      <c r="T569" s="498"/>
      <c r="U569" s="1166"/>
      <c r="V569" s="420"/>
    </row>
    <row r="570" spans="1:25" ht="8.25" customHeight="1">
      <c r="A570" s="420"/>
      <c r="B570" s="1166"/>
      <c r="C570" s="1166"/>
      <c r="D570" s="1166"/>
      <c r="E570" s="1166"/>
      <c r="F570" s="1166"/>
      <c r="G570" s="1166"/>
      <c r="H570" s="1166"/>
      <c r="I570" s="1166"/>
      <c r="J570" s="1166"/>
      <c r="K570" s="1166"/>
      <c r="L570" s="1166"/>
      <c r="M570" s="1166"/>
      <c r="N570" s="1166"/>
      <c r="O570" s="1166"/>
      <c r="P570" s="484"/>
      <c r="Q570" s="484"/>
      <c r="R570" s="1166"/>
      <c r="S570" s="1166"/>
      <c r="T570" s="1166"/>
      <c r="U570" s="1166"/>
      <c r="V570" s="420"/>
    </row>
    <row r="571" spans="1:25" ht="57.75" customHeight="1">
      <c r="A571" s="420"/>
      <c r="B571" s="420"/>
      <c r="C571" s="2534" t="s">
        <v>1087</v>
      </c>
      <c r="D571" s="2486"/>
      <c r="E571" s="2255" t="s">
        <v>1088</v>
      </c>
      <c r="F571" s="2486"/>
      <c r="G571" s="2256"/>
      <c r="H571" s="2255" t="s">
        <v>217</v>
      </c>
      <c r="I571" s="2256"/>
      <c r="J571" s="2486" t="s">
        <v>293</v>
      </c>
      <c r="K571" s="2256"/>
      <c r="L571" s="2255" t="s">
        <v>1836</v>
      </c>
      <c r="M571" s="2256"/>
      <c r="N571" s="2254" t="s">
        <v>1837</v>
      </c>
      <c r="O571" s="2255"/>
      <c r="P571" s="1163" t="s">
        <v>1861</v>
      </c>
      <c r="Q571" s="1163" t="s">
        <v>1862</v>
      </c>
      <c r="R571" s="1163" t="s">
        <v>1845</v>
      </c>
      <c r="S571" s="1163" t="s">
        <v>1846</v>
      </c>
      <c r="T571" s="1164" t="s">
        <v>1104</v>
      </c>
      <c r="U571" s="420"/>
      <c r="V571" s="420"/>
    </row>
    <row r="572" spans="1:25" ht="20.45" customHeight="1">
      <c r="A572" s="420"/>
      <c r="B572" s="420"/>
      <c r="C572" s="2485">
        <f>Oferta_OptimaRPV!C826</f>
        <v>0</v>
      </c>
      <c r="D572" s="2484"/>
      <c r="E572" s="2484" t="str">
        <f>Oferta_OptimaRPV!E826</f>
        <v>Acceso web, API y email</v>
      </c>
      <c r="F572" s="2484"/>
      <c r="G572" s="2484"/>
      <c r="H572" s="2586">
        <f>Oferta_OptimaRPV!H826</f>
        <v>0</v>
      </c>
      <c r="I572" s="2586"/>
      <c r="J572" s="2586">
        <f>Oferta_OptimaRPV!J826</f>
        <v>15</v>
      </c>
      <c r="K572" s="2586"/>
      <c r="L572" s="2484">
        <f>Oferta_OptimaRPV!L826</f>
        <v>0</v>
      </c>
      <c r="M572" s="2484"/>
      <c r="N572" s="2586">
        <f>Oferta_OptimaRPV!N826</f>
        <v>0</v>
      </c>
      <c r="O572" s="2586"/>
      <c r="P572" s="1783">
        <f>Oferta_OptimaRPV!P826</f>
        <v>0</v>
      </c>
      <c r="Q572" s="1783">
        <f>Oferta_OptimaRPV!Q826</f>
        <v>0</v>
      </c>
      <c r="R572" s="1783">
        <f>Oferta_OptimaRPV!R826</f>
        <v>0</v>
      </c>
      <c r="S572" s="1783">
        <f>Oferta_OptimaRPV!S826</f>
        <v>0</v>
      </c>
      <c r="T572" s="1799">
        <f>Oferta_OptimaRPV!T826</f>
        <v>0</v>
      </c>
      <c r="U572" s="729"/>
      <c r="V572" s="420"/>
    </row>
    <row r="573" spans="1:25" ht="25.15" customHeight="1">
      <c r="P573" s="1800">
        <f>Oferta_OptimaRPV!P827</f>
        <v>0</v>
      </c>
      <c r="Q573" s="1801">
        <f>Oferta_OptimaRPV!Q827</f>
        <v>0</v>
      </c>
      <c r="R573" s="1801">
        <f>Oferta_OptimaRPV!R827</f>
        <v>0</v>
      </c>
      <c r="S573" s="1801">
        <f>Oferta_OptimaRPV!S827</f>
        <v>0</v>
      </c>
      <c r="T573" s="1803"/>
    </row>
    <row r="574" spans="1:25" ht="6.75" customHeight="1">
      <c r="P574" s="1175"/>
      <c r="Q574" s="1175"/>
      <c r="R574" s="1175"/>
      <c r="S574" s="1175"/>
      <c r="T574" s="441"/>
    </row>
    <row r="575" spans="1:25" ht="15.75">
      <c r="A575" s="420"/>
      <c r="B575" s="420"/>
      <c r="C575" s="420"/>
      <c r="D575" s="420"/>
      <c r="E575" s="420"/>
      <c r="F575" s="420"/>
      <c r="G575" s="420"/>
      <c r="H575" s="420"/>
      <c r="I575" s="420"/>
      <c r="J575" s="420"/>
      <c r="K575" s="420"/>
      <c r="L575" s="420"/>
      <c r="M575" s="476" t="s">
        <v>999</v>
      </c>
      <c r="N575" s="420"/>
      <c r="O575" s="420"/>
      <c r="P575" s="420"/>
      <c r="Q575" s="420"/>
      <c r="R575" s="477" t="s">
        <v>692</v>
      </c>
      <c r="S575" s="478" t="str">
        <f>$E$29</f>
        <v>ILF5_90FCPRS_B114CAGR43006</v>
      </c>
      <c r="T575" s="420"/>
      <c r="U575" s="420"/>
      <c r="V575" s="420"/>
    </row>
    <row r="576" spans="1:25">
      <c r="H576" s="436" t="s">
        <v>690</v>
      </c>
      <c r="I576" s="420"/>
      <c r="K576" s="420"/>
      <c r="L576" s="437" t="str">
        <f>$B$11</f>
        <v>INMOBILIARIA SERVIGESTION</v>
      </c>
    </row>
    <row r="578" spans="2:21" ht="30">
      <c r="B578" s="2395" t="s">
        <v>461</v>
      </c>
      <c r="C578" s="2395"/>
      <c r="D578" s="2395"/>
      <c r="E578" s="2395"/>
      <c r="F578" s="2395"/>
      <c r="G578" s="2395"/>
      <c r="H578" s="2395"/>
      <c r="I578" s="2395"/>
      <c r="J578" s="2395"/>
      <c r="K578" s="2395"/>
      <c r="L578" s="2395"/>
      <c r="M578" s="2395"/>
      <c r="N578" s="2395"/>
      <c r="O578" s="2395"/>
      <c r="P578" s="2395"/>
      <c r="Q578" s="2395"/>
      <c r="R578" s="2395"/>
      <c r="S578" s="2395"/>
      <c r="T578" s="2395"/>
      <c r="U578" s="2395"/>
    </row>
    <row r="579" spans="2:21" ht="22.9" customHeight="1">
      <c r="B579" s="2252" t="s">
        <v>674</v>
      </c>
      <c r="C579" s="2252"/>
      <c r="D579" s="2252"/>
      <c r="E579" s="2252"/>
      <c r="F579" s="2252"/>
      <c r="G579" s="2252"/>
      <c r="H579" s="2252"/>
      <c r="I579" s="2252"/>
      <c r="J579" s="2252"/>
      <c r="K579" s="2252"/>
      <c r="L579" s="2252"/>
      <c r="M579" s="2252"/>
      <c r="N579" s="2252"/>
      <c r="O579" s="2252"/>
      <c r="P579" s="2252"/>
      <c r="Q579" s="2252"/>
      <c r="R579" s="2252"/>
      <c r="S579" s="2252"/>
      <c r="T579" s="2252"/>
      <c r="U579" s="2252"/>
    </row>
    <row r="581" spans="2:21" s="522" customFormat="1" ht="21" customHeight="1">
      <c r="B581" s="2474" t="s">
        <v>853</v>
      </c>
      <c r="C581" s="2474"/>
      <c r="D581" s="2474"/>
      <c r="E581" s="2474"/>
      <c r="F581" s="2474"/>
      <c r="G581" s="2474"/>
      <c r="H581" s="2474"/>
      <c r="I581" s="2474"/>
      <c r="J581" s="2474"/>
      <c r="K581" s="2474"/>
      <c r="L581" s="2474"/>
      <c r="M581" s="2474"/>
      <c r="N581" s="2474"/>
      <c r="O581" s="2474"/>
      <c r="P581" s="2474"/>
      <c r="Q581" s="2474"/>
      <c r="R581" s="2474"/>
      <c r="S581" s="2474"/>
      <c r="T581" s="2474"/>
      <c r="U581" s="2474"/>
    </row>
    <row r="582" spans="2:21" ht="40.5" customHeight="1">
      <c r="B582" s="2595" t="s">
        <v>1944</v>
      </c>
      <c r="C582" s="2595"/>
      <c r="D582" s="2595"/>
      <c r="E582" s="2595"/>
      <c r="F582" s="2595"/>
      <c r="G582" s="2595"/>
      <c r="H582" s="2595"/>
      <c r="I582" s="2595"/>
      <c r="J582" s="2595"/>
      <c r="K582" s="2595"/>
      <c r="L582" s="2595"/>
      <c r="M582" s="2595"/>
      <c r="N582" s="2595"/>
      <c r="O582" s="2595"/>
      <c r="P582" s="2595"/>
      <c r="Q582" s="2595"/>
      <c r="R582" s="2595"/>
      <c r="S582" s="2595"/>
      <c r="T582" s="2595"/>
      <c r="U582" s="2595"/>
    </row>
    <row r="583" spans="2:21" ht="31.5" customHeight="1">
      <c r="B583" s="2493" t="s">
        <v>1963</v>
      </c>
      <c r="C583" s="2493"/>
      <c r="D583" s="2493"/>
      <c r="E583" s="2493"/>
      <c r="F583" s="2493"/>
      <c r="G583" s="2493"/>
      <c r="H583" s="2493"/>
      <c r="I583" s="2493"/>
      <c r="J583" s="2493"/>
      <c r="K583" s="2493"/>
      <c r="L583" s="2493"/>
      <c r="M583" s="2493"/>
      <c r="N583" s="2493"/>
      <c r="O583" s="2493"/>
      <c r="P583" s="2493"/>
      <c r="Q583" s="2493"/>
      <c r="R583" s="2493"/>
      <c r="S583" s="2493"/>
      <c r="T583" s="2493"/>
      <c r="U583" s="2493"/>
    </row>
    <row r="584" spans="2:21" ht="60.75" customHeight="1">
      <c r="B584" s="2489" t="s">
        <v>1964</v>
      </c>
      <c r="C584" s="2489"/>
      <c r="D584" s="2489"/>
      <c r="E584" s="2489"/>
      <c r="F584" s="2489"/>
      <c r="G584" s="2489"/>
      <c r="H584" s="2489"/>
      <c r="I584" s="2489"/>
      <c r="J584" s="2489"/>
      <c r="K584" s="2489"/>
      <c r="L584" s="2489"/>
      <c r="M584" s="2489"/>
      <c r="N584" s="2489"/>
      <c r="O584" s="2489"/>
      <c r="P584" s="2489"/>
      <c r="Q584" s="2489"/>
      <c r="R584" s="2489"/>
      <c r="S584" s="2489"/>
      <c r="T584" s="2489"/>
      <c r="U584" s="2489"/>
    </row>
    <row r="585" spans="2:21" ht="30.75" customHeight="1">
      <c r="B585" s="2594" t="s">
        <v>1945</v>
      </c>
      <c r="C585" s="2594"/>
      <c r="D585" s="2594"/>
      <c r="E585" s="2594"/>
      <c r="F585" s="2594"/>
      <c r="G585" s="2594"/>
      <c r="H585" s="2594"/>
      <c r="I585" s="2594"/>
      <c r="J585" s="2594"/>
      <c r="K585" s="2594"/>
      <c r="L585" s="2594"/>
      <c r="M585" s="2594"/>
      <c r="N585" s="2594"/>
      <c r="O585" s="2594"/>
      <c r="P585" s="2594"/>
      <c r="Q585" s="2594"/>
      <c r="R585" s="2594"/>
      <c r="S585" s="2594"/>
      <c r="T585" s="2594"/>
      <c r="U585" s="2594"/>
    </row>
    <row r="586" spans="2:21" ht="21" customHeight="1">
      <c r="B586" s="2595" t="s">
        <v>652</v>
      </c>
      <c r="C586" s="2595"/>
      <c r="D586" s="2595"/>
      <c r="E586" s="2595"/>
      <c r="F586" s="2595"/>
      <c r="G586" s="2595"/>
      <c r="H586" s="2595"/>
      <c r="I586" s="2595"/>
      <c r="J586" s="2595"/>
      <c r="K586" s="2595"/>
      <c r="L586" s="2595"/>
      <c r="M586" s="2595"/>
      <c r="N586" s="2595"/>
      <c r="O586" s="2595"/>
      <c r="P586" s="2595"/>
      <c r="Q586" s="2595"/>
      <c r="R586" s="2595"/>
      <c r="S586" s="2595"/>
      <c r="T586" s="2595"/>
      <c r="U586" s="2595"/>
    </row>
    <row r="587" spans="2:21" ht="21" customHeight="1">
      <c r="B587" s="2594" t="s">
        <v>877</v>
      </c>
      <c r="C587" s="2594"/>
      <c r="D587" s="2594"/>
      <c r="E587" s="2594"/>
      <c r="F587" s="2594"/>
      <c r="G587" s="2594"/>
      <c r="H587" s="2594"/>
      <c r="I587" s="2594"/>
      <c r="J587" s="2594"/>
      <c r="K587" s="2594"/>
      <c r="L587" s="2594"/>
      <c r="M587" s="2594"/>
      <c r="N587" s="2594"/>
      <c r="O587" s="2594"/>
      <c r="P587" s="2594"/>
      <c r="Q587" s="2594"/>
      <c r="R587" s="2594"/>
      <c r="S587" s="2594"/>
      <c r="T587" s="2594"/>
      <c r="U587" s="2594"/>
    </row>
    <row r="588" spans="2:21" ht="21" customHeight="1">
      <c r="B588" s="2595" t="s">
        <v>854</v>
      </c>
      <c r="C588" s="2595"/>
      <c r="D588" s="2595"/>
      <c r="E588" s="2595"/>
      <c r="F588" s="2595"/>
      <c r="G588" s="2595"/>
      <c r="H588" s="2595"/>
      <c r="I588" s="2595"/>
      <c r="J588" s="2595"/>
      <c r="K588" s="2595"/>
      <c r="L588" s="2595"/>
      <c r="M588" s="2595"/>
      <c r="N588" s="2595"/>
      <c r="O588" s="2595"/>
      <c r="P588" s="2595"/>
      <c r="Q588" s="2595"/>
      <c r="R588" s="2595"/>
      <c r="S588" s="2595"/>
      <c r="T588" s="2595"/>
      <c r="U588" s="2595"/>
    </row>
    <row r="589" spans="2:21" ht="17.45" customHeight="1">
      <c r="B589" s="2594" t="s">
        <v>1946</v>
      </c>
      <c r="C589" s="2594"/>
      <c r="D589" s="2594"/>
      <c r="E589" s="2594"/>
      <c r="F589" s="2594"/>
      <c r="G589" s="2594"/>
      <c r="H589" s="2594"/>
      <c r="I589" s="2594"/>
      <c r="J589" s="2594"/>
      <c r="K589" s="2594"/>
      <c r="L589" s="2594"/>
      <c r="M589" s="2594"/>
      <c r="N589" s="2594"/>
      <c r="O589" s="2594"/>
      <c r="P589" s="2594"/>
      <c r="Q589" s="2594"/>
      <c r="R589" s="2594"/>
      <c r="S589" s="2594"/>
      <c r="T589" s="2594"/>
      <c r="U589" s="2594"/>
    </row>
    <row r="590" spans="2:21" s="522" customFormat="1" ht="20.45" customHeight="1">
      <c r="B590" s="2595" t="s">
        <v>731</v>
      </c>
      <c r="C590" s="2595"/>
      <c r="D590" s="2595"/>
      <c r="E590" s="2595"/>
      <c r="F590" s="2595"/>
      <c r="G590" s="2595"/>
      <c r="H590" s="2595"/>
      <c r="I590" s="2595"/>
      <c r="J590" s="2595"/>
      <c r="K590" s="2595"/>
      <c r="L590" s="2595"/>
      <c r="M590" s="2595"/>
      <c r="N590" s="2595"/>
      <c r="O590" s="2595"/>
      <c r="P590" s="2595"/>
      <c r="Q590" s="2595"/>
      <c r="R590" s="2595"/>
      <c r="S590" s="2595"/>
      <c r="T590" s="2595"/>
      <c r="U590" s="2595"/>
    </row>
    <row r="591" spans="2:21" s="522" customFormat="1" ht="16.149999999999999" customHeight="1">
      <c r="B591" s="2594" t="s">
        <v>732</v>
      </c>
      <c r="C591" s="2594"/>
      <c r="D591" s="2594"/>
      <c r="E591" s="2594"/>
      <c r="F591" s="2594"/>
      <c r="G591" s="2594"/>
      <c r="H591" s="2594"/>
      <c r="I591" s="2594"/>
      <c r="J591" s="2594"/>
      <c r="K591" s="2594"/>
      <c r="L591" s="2594"/>
      <c r="M591" s="2594"/>
      <c r="N591" s="2594"/>
      <c r="O591" s="2594"/>
      <c r="P591" s="2594"/>
      <c r="Q591" s="2594"/>
      <c r="R591" s="2594"/>
      <c r="S591" s="2594"/>
      <c r="T591" s="2594"/>
      <c r="U591" s="2594"/>
    </row>
    <row r="592" spans="2:21" s="522" customFormat="1" ht="16.149999999999999" customHeight="1">
      <c r="B592" s="2595" t="s">
        <v>733</v>
      </c>
      <c r="C592" s="2595"/>
      <c r="D592" s="2595"/>
      <c r="E592" s="2595"/>
      <c r="F592" s="2595"/>
      <c r="G592" s="2595"/>
      <c r="H592" s="2595"/>
      <c r="I592" s="2595"/>
      <c r="J592" s="2595"/>
      <c r="K592" s="2595"/>
      <c r="L592" s="2595"/>
      <c r="M592" s="2595"/>
      <c r="N592" s="2595"/>
      <c r="O592" s="2595"/>
      <c r="P592" s="2595"/>
      <c r="Q592" s="2595"/>
      <c r="R592" s="2595"/>
      <c r="S592" s="2595"/>
      <c r="T592" s="2595"/>
      <c r="U592" s="2595"/>
    </row>
    <row r="593" spans="1:22" s="522" customFormat="1" ht="67.150000000000006" customHeight="1">
      <c r="B593" s="2614" t="s">
        <v>860</v>
      </c>
      <c r="C593" s="2614"/>
      <c r="D593" s="2614"/>
      <c r="E593" s="2614"/>
      <c r="F593" s="2614"/>
      <c r="G593" s="2614"/>
      <c r="H593" s="2614"/>
      <c r="I593" s="2614"/>
      <c r="J593" s="2614"/>
      <c r="K593" s="2614"/>
      <c r="L593" s="2614"/>
      <c r="M593" s="2614"/>
      <c r="N593" s="2614"/>
      <c r="O593" s="2614"/>
      <c r="P593" s="2614"/>
      <c r="Q593" s="2614"/>
      <c r="R593" s="2614"/>
      <c r="S593" s="2614"/>
      <c r="T593" s="2614"/>
      <c r="U593" s="2614"/>
    </row>
    <row r="594" spans="1:22" s="522" customFormat="1" ht="24.6" customHeight="1">
      <c r="B594" s="2615" t="s">
        <v>855</v>
      </c>
      <c r="C594" s="2615"/>
      <c r="D594" s="2615"/>
      <c r="E594" s="2615"/>
      <c r="F594" s="2615"/>
      <c r="G594" s="2615"/>
      <c r="H594" s="2615"/>
      <c r="I594" s="2615"/>
      <c r="J594" s="2615"/>
      <c r="K594" s="2615"/>
      <c r="L594" s="2615"/>
      <c r="M594" s="2615"/>
      <c r="N594" s="2615"/>
      <c r="O594" s="2615"/>
      <c r="P594" s="2615"/>
      <c r="Q594" s="2615"/>
      <c r="R594" s="2615"/>
      <c r="S594" s="2615"/>
      <c r="T594" s="2615"/>
      <c r="U594" s="2615"/>
    </row>
    <row r="595" spans="1:22" s="522" customFormat="1" ht="21" customHeight="1">
      <c r="B595" s="2614" t="s">
        <v>1089</v>
      </c>
      <c r="C595" s="2614"/>
      <c r="D595" s="2614"/>
      <c r="E595" s="2614"/>
      <c r="F595" s="2614"/>
      <c r="G595" s="2614"/>
      <c r="H595" s="2614"/>
      <c r="I595" s="2614"/>
      <c r="J595" s="2614"/>
      <c r="K595" s="2614"/>
      <c r="L595" s="2614"/>
      <c r="M595" s="2614"/>
      <c r="N595" s="2614"/>
      <c r="O595" s="2614"/>
      <c r="P595" s="2614"/>
      <c r="Q595" s="2614"/>
      <c r="R595" s="2614"/>
      <c r="S595" s="2614"/>
      <c r="T595" s="2614"/>
      <c r="U595" s="2614"/>
    </row>
    <row r="596" spans="1:22" s="522" customFormat="1" ht="52.15" customHeight="1">
      <c r="B596" s="2536"/>
      <c r="C596" s="2536"/>
      <c r="D596" s="2536"/>
      <c r="E596" s="2536"/>
      <c r="F596" s="2536"/>
      <c r="G596" s="2536"/>
      <c r="H596" s="2536"/>
      <c r="I596" s="2536"/>
      <c r="J596" s="2536"/>
      <c r="K596" s="2536"/>
      <c r="L596" s="2536"/>
      <c r="M596" s="2536"/>
      <c r="N596" s="2536"/>
      <c r="O596" s="2536"/>
      <c r="P596" s="2536"/>
      <c r="Q596" s="2536"/>
      <c r="R596" s="2536"/>
      <c r="S596" s="2536"/>
      <c r="T596" s="2536"/>
      <c r="U596" s="2536"/>
    </row>
    <row r="597" spans="1:22" s="522" customFormat="1" ht="51.6" customHeight="1">
      <c r="B597" s="2494"/>
      <c r="C597" s="2494"/>
      <c r="D597" s="2494"/>
      <c r="E597" s="2494"/>
      <c r="F597" s="2494"/>
      <c r="G597" s="2494"/>
      <c r="H597" s="2494"/>
      <c r="I597" s="2494"/>
      <c r="J597" s="2494"/>
      <c r="K597" s="2494"/>
      <c r="L597" s="2494"/>
      <c r="M597" s="2494"/>
      <c r="N597" s="2494"/>
      <c r="O597" s="2494"/>
      <c r="P597" s="2494"/>
      <c r="Q597" s="2494"/>
      <c r="R597" s="2494"/>
      <c r="S597" s="2494"/>
      <c r="T597" s="2494"/>
      <c r="U597" s="2494"/>
    </row>
    <row r="598" spans="1:22" s="522" customFormat="1" ht="34.15" customHeight="1">
      <c r="B598" s="768"/>
      <c r="C598" s="768"/>
      <c r="D598" s="768"/>
      <c r="E598" s="768"/>
      <c r="F598" s="768"/>
      <c r="G598" s="768"/>
      <c r="H598" s="768"/>
      <c r="I598" s="768"/>
      <c r="J598" s="768"/>
      <c r="K598" s="768"/>
      <c r="L598" s="768"/>
      <c r="M598" s="768"/>
      <c r="N598" s="768"/>
      <c r="O598" s="768"/>
      <c r="P598" s="768"/>
      <c r="Q598" s="768"/>
      <c r="R598" s="768"/>
      <c r="S598" s="768"/>
      <c r="T598" s="768"/>
      <c r="U598" s="768"/>
    </row>
    <row r="599" spans="1:22" s="522" customFormat="1" ht="21" customHeight="1">
      <c r="B599" s="2474" t="s">
        <v>856</v>
      </c>
      <c r="C599" s="2474"/>
      <c r="D599" s="2474"/>
      <c r="E599" s="2474"/>
      <c r="F599" s="2474"/>
      <c r="G599" s="2474"/>
      <c r="H599" s="2474"/>
      <c r="I599" s="2474"/>
      <c r="J599" s="2474"/>
      <c r="K599" s="2474"/>
      <c r="L599" s="2474"/>
      <c r="M599" s="2474"/>
      <c r="N599" s="2474"/>
      <c r="O599" s="2474"/>
      <c r="P599" s="2474"/>
      <c r="Q599" s="2474"/>
      <c r="R599" s="2474"/>
      <c r="S599" s="2474"/>
      <c r="T599" s="2474"/>
      <c r="U599" s="2474"/>
    </row>
    <row r="600" spans="1:22" s="522" customFormat="1" ht="31.5" customHeight="1">
      <c r="B600" s="2627" t="s">
        <v>1932</v>
      </c>
      <c r="C600" s="2627"/>
      <c r="D600" s="2627"/>
      <c r="E600" s="2627"/>
      <c r="F600" s="2627"/>
      <c r="G600" s="2627"/>
      <c r="H600" s="2627"/>
      <c r="I600" s="2627"/>
      <c r="J600" s="2627"/>
      <c r="K600" s="2627"/>
      <c r="L600" s="2627"/>
      <c r="M600" s="2627"/>
      <c r="N600" s="2627"/>
      <c r="O600" s="2627"/>
      <c r="P600" s="2627"/>
      <c r="Q600" s="2627"/>
      <c r="R600" s="2627"/>
      <c r="S600" s="2627"/>
      <c r="T600" s="2627"/>
      <c r="U600" s="2627"/>
    </row>
    <row r="601" spans="1:22" s="1198" customFormat="1" ht="33.6" customHeight="1">
      <c r="B601" s="2640" t="s">
        <v>1903</v>
      </c>
      <c r="C601" s="2640"/>
      <c r="D601" s="2640"/>
      <c r="E601" s="2640"/>
      <c r="F601" s="2640"/>
      <c r="G601" s="2640"/>
      <c r="H601" s="2640"/>
      <c r="I601" s="2640"/>
      <c r="J601" s="2640"/>
      <c r="K601" s="2640"/>
      <c r="L601" s="2640"/>
      <c r="M601" s="2640"/>
      <c r="N601" s="2640"/>
      <c r="O601" s="2640"/>
      <c r="P601" s="2640"/>
      <c r="Q601" s="2640"/>
      <c r="R601" s="2640"/>
      <c r="S601" s="2640"/>
      <c r="T601" s="2640"/>
      <c r="U601" s="2640"/>
    </row>
    <row r="602" spans="1:22" s="522" customFormat="1" ht="47.45" customHeight="1">
      <c r="B602" s="2493" t="s">
        <v>2050</v>
      </c>
      <c r="C602" s="2493"/>
      <c r="D602" s="2493"/>
      <c r="E602" s="2493"/>
      <c r="F602" s="2493"/>
      <c r="G602" s="2493"/>
      <c r="H602" s="2493"/>
      <c r="I602" s="2493"/>
      <c r="J602" s="2493"/>
      <c r="K602" s="2493"/>
      <c r="L602" s="2493"/>
      <c r="M602" s="2493"/>
      <c r="N602" s="2493"/>
      <c r="O602" s="2493"/>
      <c r="P602" s="2493"/>
      <c r="Q602" s="2493"/>
      <c r="R602" s="2493"/>
      <c r="S602" s="2493"/>
      <c r="T602" s="2493"/>
      <c r="U602" s="2493"/>
      <c r="V602" s="429"/>
    </row>
    <row r="603" spans="1:22" s="1198" customFormat="1" ht="40.5" customHeight="1">
      <c r="A603" s="437"/>
      <c r="B603" s="2489" t="s">
        <v>2051</v>
      </c>
      <c r="C603" s="2489"/>
      <c r="D603" s="2489"/>
      <c r="E603" s="2489"/>
      <c r="F603" s="2489"/>
      <c r="G603" s="2489"/>
      <c r="H603" s="2489"/>
      <c r="I603" s="2489"/>
      <c r="J603" s="2489"/>
      <c r="K603" s="2489"/>
      <c r="L603" s="2489"/>
      <c r="M603" s="2489"/>
      <c r="N603" s="2489"/>
      <c r="O603" s="2489"/>
      <c r="P603" s="2489"/>
      <c r="Q603" s="2489"/>
      <c r="R603" s="2489"/>
      <c r="S603" s="2489"/>
      <c r="T603" s="2489"/>
      <c r="U603" s="2489"/>
      <c r="V603" s="437"/>
    </row>
    <row r="604" spans="1:22" s="429" customFormat="1" ht="33" customHeight="1">
      <c r="B604" s="2493" t="s">
        <v>2052</v>
      </c>
      <c r="C604" s="2493"/>
      <c r="D604" s="2493"/>
      <c r="E604" s="2493"/>
      <c r="F604" s="2493"/>
      <c r="G604" s="2493"/>
      <c r="H604" s="2493"/>
      <c r="I604" s="2493"/>
      <c r="J604" s="2493"/>
      <c r="K604" s="2493"/>
      <c r="L604" s="2493"/>
      <c r="M604" s="2493"/>
      <c r="N604" s="2493"/>
      <c r="O604" s="2493"/>
      <c r="P604" s="2493"/>
      <c r="Q604" s="2493"/>
      <c r="R604" s="2493"/>
      <c r="S604" s="2493"/>
      <c r="T604" s="2493"/>
      <c r="U604" s="2493"/>
    </row>
    <row r="605" spans="1:22" s="673" customFormat="1" ht="29.25" customHeight="1">
      <c r="A605" s="429"/>
      <c r="B605" s="2537" t="s">
        <v>2053</v>
      </c>
      <c r="C605" s="2537"/>
      <c r="D605" s="2537"/>
      <c r="E605" s="2537"/>
      <c r="F605" s="2537"/>
      <c r="G605" s="2537"/>
      <c r="H605" s="2537"/>
      <c r="I605" s="2537"/>
      <c r="J605" s="2537"/>
      <c r="K605" s="2537"/>
      <c r="L605" s="2537"/>
      <c r="M605" s="2537"/>
      <c r="N605" s="2537"/>
      <c r="O605" s="2537"/>
      <c r="P605" s="2537"/>
      <c r="Q605" s="2537"/>
      <c r="R605" s="2537"/>
      <c r="S605" s="2537"/>
      <c r="T605" s="2537"/>
      <c r="U605" s="2537"/>
      <c r="V605" s="429"/>
    </row>
    <row r="606" spans="1:22" s="437" customFormat="1" ht="24" customHeight="1">
      <c r="B606" s="2493" t="s">
        <v>2054</v>
      </c>
      <c r="C606" s="2493"/>
      <c r="D606" s="2493"/>
      <c r="E606" s="2493"/>
      <c r="F606" s="2493"/>
      <c r="G606" s="2493"/>
      <c r="H606" s="2493"/>
      <c r="I606" s="2493"/>
      <c r="J606" s="2493"/>
      <c r="K606" s="2493"/>
      <c r="L606" s="2493"/>
      <c r="M606" s="2493"/>
      <c r="N606" s="2493"/>
      <c r="O606" s="2493"/>
      <c r="P606" s="2493"/>
      <c r="Q606" s="2493"/>
      <c r="R606" s="2493"/>
      <c r="S606" s="2493"/>
      <c r="T606" s="2493"/>
      <c r="U606" s="2493"/>
    </row>
    <row r="607" spans="1:22" s="1521" customFormat="1" ht="22.5" customHeight="1">
      <c r="A607" s="437"/>
      <c r="B607" s="2537" t="s">
        <v>1934</v>
      </c>
      <c r="C607" s="2537"/>
      <c r="D607" s="2537"/>
      <c r="E607" s="2537"/>
      <c r="F607" s="2537"/>
      <c r="G607" s="2537"/>
      <c r="H607" s="2537"/>
      <c r="I607" s="2537"/>
      <c r="J607" s="2537"/>
      <c r="K607" s="2537"/>
      <c r="L607" s="2537"/>
      <c r="M607" s="2537"/>
      <c r="N607" s="2537"/>
      <c r="O607" s="2537"/>
      <c r="P607" s="2537"/>
      <c r="Q607" s="2537"/>
      <c r="R607" s="2537"/>
      <c r="S607" s="2537"/>
      <c r="T607" s="2537"/>
      <c r="U607" s="2537"/>
      <c r="V607" s="437"/>
    </row>
    <row r="608" spans="1:22" s="1521" customFormat="1" ht="18.75" customHeight="1">
      <c r="A608" s="437"/>
      <c r="B608" s="2585" t="s">
        <v>1935</v>
      </c>
      <c r="C608" s="2585"/>
      <c r="D608" s="2585"/>
      <c r="E608" s="2585"/>
      <c r="F608" s="2585"/>
      <c r="G608" s="2585"/>
      <c r="H608" s="2585"/>
      <c r="I608" s="2585"/>
      <c r="J608" s="2585"/>
      <c r="K608" s="2585"/>
      <c r="L608" s="2585"/>
      <c r="M608" s="2585"/>
      <c r="N608" s="2585"/>
      <c r="O608" s="2585"/>
      <c r="P608" s="2585"/>
      <c r="Q608" s="2585"/>
      <c r="R608" s="2585"/>
      <c r="S608" s="2585"/>
      <c r="T608" s="2585"/>
      <c r="U608" s="2585"/>
      <c r="V608" s="437"/>
    </row>
    <row r="609" spans="1:22" s="673" customFormat="1" ht="33.75" customHeight="1">
      <c r="A609" s="429"/>
      <c r="B609" s="2487" t="s">
        <v>872</v>
      </c>
      <c r="C609" s="2487"/>
      <c r="D609" s="2487"/>
      <c r="E609" s="2487"/>
      <c r="F609" s="2487"/>
      <c r="G609" s="2487"/>
      <c r="H609" s="2487"/>
      <c r="I609" s="2487"/>
      <c r="J609" s="2487"/>
      <c r="K609" s="2487"/>
      <c r="L609" s="2487"/>
      <c r="M609" s="2487"/>
      <c r="N609" s="2487"/>
      <c r="O609" s="2487"/>
      <c r="P609" s="2487"/>
      <c r="Q609" s="2487"/>
      <c r="R609" s="2487"/>
      <c r="S609" s="2487"/>
      <c r="T609" s="2487"/>
      <c r="U609" s="2487"/>
      <c r="V609" s="429"/>
    </row>
    <row r="610" spans="1:22" s="673" customFormat="1" ht="18.75" customHeight="1">
      <c r="A610" s="429"/>
      <c r="B610" s="2616" t="s">
        <v>810</v>
      </c>
      <c r="C610" s="2616"/>
      <c r="D610" s="2616"/>
      <c r="E610" s="2616"/>
      <c r="F610" s="2616"/>
      <c r="G610" s="2616"/>
      <c r="H610" s="2616"/>
      <c r="I610" s="2616"/>
      <c r="J610" s="2616"/>
      <c r="K610" s="2616"/>
      <c r="L610" s="2616"/>
      <c r="M610" s="2616"/>
      <c r="N610" s="2616"/>
      <c r="O610" s="2616"/>
      <c r="P610" s="2616"/>
      <c r="Q610" s="2616"/>
      <c r="R610" s="2616"/>
      <c r="S610" s="2616"/>
      <c r="T610" s="2616"/>
      <c r="U610" s="2616"/>
      <c r="V610" s="429"/>
    </row>
    <row r="611" spans="1:22" s="673" customFormat="1" ht="33.75" customHeight="1">
      <c r="A611" s="429"/>
      <c r="B611" s="2487" t="s">
        <v>673</v>
      </c>
      <c r="C611" s="2487"/>
      <c r="D611" s="2487"/>
      <c r="E611" s="2487"/>
      <c r="F611" s="2487"/>
      <c r="G611" s="2487"/>
      <c r="H611" s="2487"/>
      <c r="I611" s="2487"/>
      <c r="J611" s="2487"/>
      <c r="K611" s="2487"/>
      <c r="L611" s="2487"/>
      <c r="M611" s="2487"/>
      <c r="N611" s="2487"/>
      <c r="O611" s="2487"/>
      <c r="P611" s="2487"/>
      <c r="Q611" s="2487"/>
      <c r="R611" s="2487"/>
      <c r="S611" s="2487"/>
      <c r="T611" s="2487"/>
      <c r="U611" s="2487"/>
      <c r="V611" s="429"/>
    </row>
    <row r="612" spans="1:22" s="522" customFormat="1" ht="57.75" customHeight="1">
      <c r="B612" s="2619" t="s">
        <v>1089</v>
      </c>
      <c r="C612" s="2619"/>
      <c r="D612" s="2619"/>
      <c r="E612" s="2619"/>
      <c r="F612" s="2619"/>
      <c r="G612" s="2619"/>
      <c r="H612" s="2619"/>
      <c r="I612" s="2619"/>
      <c r="J612" s="2619"/>
      <c r="K612" s="2619"/>
      <c r="L612" s="2619"/>
      <c r="M612" s="2619"/>
      <c r="N612" s="2619"/>
      <c r="O612" s="2619"/>
      <c r="P612" s="2619"/>
      <c r="Q612" s="2619"/>
      <c r="R612" s="2619"/>
      <c r="S612" s="2619"/>
      <c r="T612" s="2619"/>
      <c r="U612" s="2619"/>
    </row>
    <row r="613" spans="1:22" ht="42.6" customHeight="1">
      <c r="B613" s="2539" t="s">
        <v>1902</v>
      </c>
      <c r="C613" s="2539"/>
      <c r="D613" s="2539"/>
      <c r="E613" s="2539"/>
      <c r="F613" s="2539"/>
      <c r="G613" s="2539"/>
      <c r="H613" s="2539"/>
      <c r="I613" s="2539"/>
      <c r="J613" s="2539"/>
      <c r="K613" s="2539"/>
      <c r="L613" s="2539"/>
      <c r="M613" s="2539"/>
      <c r="N613" s="2539"/>
      <c r="O613" s="2539"/>
      <c r="P613" s="2539"/>
      <c r="Q613" s="2539"/>
      <c r="R613" s="2539"/>
      <c r="S613" s="2539"/>
      <c r="T613" s="2539"/>
      <c r="U613" s="2539"/>
    </row>
    <row r="614" spans="1:22" ht="19.5" customHeight="1">
      <c r="B614" s="774"/>
      <c r="C614" s="774"/>
      <c r="D614" s="774"/>
      <c r="E614" s="774"/>
      <c r="F614" s="774"/>
      <c r="G614" s="774"/>
      <c r="H614" s="774"/>
      <c r="I614" s="774"/>
      <c r="J614" s="774"/>
      <c r="K614" s="774"/>
      <c r="L614" s="774"/>
      <c r="M614" s="476" t="s">
        <v>1000</v>
      </c>
      <c r="N614" s="774"/>
      <c r="O614" s="774"/>
      <c r="P614" s="774"/>
      <c r="Q614" s="774"/>
      <c r="R614" s="477" t="s">
        <v>692</v>
      </c>
      <c r="S614" s="478" t="str">
        <f>$E$29</f>
        <v>ILF5_90FCPRS_B114CAGR43006</v>
      </c>
      <c r="T614" s="774"/>
      <c r="U614" s="774"/>
    </row>
    <row r="615" spans="1:22" ht="12" customHeight="1">
      <c r="B615" s="731"/>
      <c r="C615" s="731"/>
      <c r="D615" s="731"/>
      <c r="E615" s="731"/>
      <c r="F615" s="731"/>
      <c r="G615" s="731"/>
      <c r="H615" s="731"/>
      <c r="I615" s="731"/>
      <c r="J615" s="731"/>
      <c r="K615" s="731"/>
      <c r="L615" s="731"/>
      <c r="M615" s="731"/>
      <c r="N615" s="731"/>
      <c r="O615" s="731"/>
      <c r="P615" s="731"/>
      <c r="Q615" s="731"/>
      <c r="R615" s="731"/>
      <c r="S615" s="731"/>
      <c r="T615" s="731"/>
      <c r="U615" s="731"/>
    </row>
    <row r="616" spans="1:22">
      <c r="H616" s="436" t="s">
        <v>690</v>
      </c>
      <c r="I616" s="420"/>
      <c r="K616" s="420"/>
      <c r="L616" s="437" t="str">
        <f>$B$11</f>
        <v>INMOBILIARIA SERVIGESTION</v>
      </c>
    </row>
    <row r="618" spans="1:22" ht="30">
      <c r="B618" s="2395" t="s">
        <v>461</v>
      </c>
      <c r="C618" s="2395"/>
      <c r="D618" s="2395"/>
      <c r="E618" s="2395"/>
      <c r="F618" s="2395"/>
      <c r="G618" s="2395"/>
      <c r="H618" s="2395"/>
      <c r="I618" s="2395"/>
      <c r="J618" s="2395"/>
      <c r="K618" s="2395"/>
      <c r="L618" s="2395"/>
      <c r="M618" s="2395"/>
      <c r="N618" s="2395"/>
      <c r="O618" s="2395"/>
      <c r="P618" s="2395"/>
      <c r="Q618" s="2395"/>
      <c r="R618" s="2395"/>
      <c r="S618" s="2395"/>
      <c r="T618" s="2395"/>
      <c r="U618" s="2395"/>
    </row>
    <row r="619" spans="1:22" ht="22.9" customHeight="1">
      <c r="B619" s="2252" t="s">
        <v>675</v>
      </c>
      <c r="C619" s="2252"/>
      <c r="D619" s="2252"/>
      <c r="E619" s="2252"/>
      <c r="F619" s="2252"/>
      <c r="G619" s="2252"/>
      <c r="H619" s="2252"/>
      <c r="I619" s="2252"/>
      <c r="J619" s="2252"/>
      <c r="K619" s="2252"/>
      <c r="L619" s="2252"/>
      <c r="M619" s="2252"/>
      <c r="N619" s="2252"/>
      <c r="O619" s="2252"/>
      <c r="P619" s="2252"/>
      <c r="Q619" s="2252"/>
      <c r="R619" s="2252"/>
      <c r="S619" s="2252"/>
      <c r="T619" s="2252"/>
      <c r="U619" s="2252"/>
    </row>
    <row r="621" spans="1:22" s="522" customFormat="1" ht="21" customHeight="1">
      <c r="B621" s="2474" t="s">
        <v>760</v>
      </c>
      <c r="C621" s="2474"/>
      <c r="D621" s="2474"/>
      <c r="E621" s="2474"/>
      <c r="F621" s="2474"/>
      <c r="G621" s="2474"/>
      <c r="H621" s="2474"/>
      <c r="I621" s="2474"/>
      <c r="J621" s="2474"/>
      <c r="K621" s="2474"/>
      <c r="L621" s="2474"/>
      <c r="M621" s="2474"/>
      <c r="N621" s="2474"/>
      <c r="O621" s="2474"/>
      <c r="P621" s="2474"/>
      <c r="Q621" s="2474"/>
      <c r="R621" s="2474"/>
      <c r="S621" s="2474"/>
      <c r="T621" s="2474"/>
      <c r="U621" s="2474"/>
    </row>
    <row r="622" spans="1:22" s="522" customFormat="1" ht="37.5" customHeight="1">
      <c r="B622" s="2441" t="s">
        <v>1179</v>
      </c>
      <c r="C622" s="2441"/>
      <c r="D622" s="2441"/>
      <c r="E622" s="2441"/>
      <c r="F622" s="2441"/>
      <c r="G622" s="2441"/>
      <c r="H622" s="2441"/>
      <c r="I622" s="2441"/>
      <c r="J622" s="2441"/>
      <c r="K622" s="2441"/>
      <c r="L622" s="2441"/>
      <c r="M622" s="2441"/>
      <c r="N622" s="2441"/>
      <c r="O622" s="2441"/>
      <c r="P622" s="2441"/>
      <c r="Q622" s="2441"/>
      <c r="R622" s="2441"/>
      <c r="S622" s="2441"/>
      <c r="T622" s="2441"/>
      <c r="U622" s="2441"/>
    </row>
    <row r="623" spans="1:22" s="522" customFormat="1" ht="21" customHeight="1">
      <c r="B623" s="2620" t="s">
        <v>1936</v>
      </c>
      <c r="C623" s="2620"/>
      <c r="D623" s="2620"/>
      <c r="E623" s="2620"/>
      <c r="F623" s="2620"/>
      <c r="G623" s="2620"/>
      <c r="H623" s="2620"/>
      <c r="I623" s="2620"/>
      <c r="J623" s="2620"/>
      <c r="K623" s="2620"/>
      <c r="L623" s="2620"/>
      <c r="M623" s="2620"/>
      <c r="N623" s="2620"/>
      <c r="O623" s="2620"/>
      <c r="P623" s="2620"/>
      <c r="Q623" s="2620"/>
      <c r="R623" s="2620"/>
      <c r="S623" s="2620"/>
      <c r="T623" s="2620"/>
      <c r="U623" s="2620"/>
    </row>
    <row r="624" spans="1:22" s="522" customFormat="1" ht="21" customHeight="1">
      <c r="B624" s="2584" t="s">
        <v>1947</v>
      </c>
      <c r="C624" s="2584"/>
      <c r="D624" s="2584"/>
      <c r="E624" s="2584"/>
      <c r="F624" s="2584"/>
      <c r="G624" s="2584"/>
      <c r="H624" s="2584"/>
      <c r="I624" s="2584"/>
      <c r="J624" s="2584"/>
      <c r="K624" s="2584"/>
      <c r="L624" s="2584"/>
      <c r="M624" s="2584"/>
      <c r="N624" s="2584"/>
      <c r="O624" s="2584"/>
      <c r="P624" s="2584"/>
      <c r="Q624" s="2584"/>
      <c r="R624" s="2584"/>
      <c r="S624" s="2584"/>
      <c r="T624" s="2584"/>
      <c r="U624" s="2584"/>
    </row>
    <row r="625" spans="1:22" s="522" customFormat="1" ht="19.149999999999999" customHeight="1">
      <c r="B625" s="2620" t="s">
        <v>1948</v>
      </c>
      <c r="C625" s="2620"/>
      <c r="D625" s="2620"/>
      <c r="E625" s="2620"/>
      <c r="F625" s="2620"/>
      <c r="G625" s="2620"/>
      <c r="H625" s="2620"/>
      <c r="I625" s="2620"/>
      <c r="J625" s="2620"/>
      <c r="K625" s="2620"/>
      <c r="L625" s="2620"/>
      <c r="M625" s="2620"/>
      <c r="N625" s="2620"/>
      <c r="O625" s="2620"/>
      <c r="P625" s="2620"/>
      <c r="Q625" s="2620"/>
      <c r="R625" s="2620"/>
      <c r="S625" s="2620"/>
      <c r="T625" s="2620"/>
      <c r="U625" s="2620"/>
    </row>
    <row r="626" spans="1:22" s="732" customFormat="1" ht="25.9" customHeight="1">
      <c r="B626" s="2491" t="s">
        <v>2055</v>
      </c>
      <c r="C626" s="2491"/>
      <c r="D626" s="2491"/>
      <c r="E626" s="2491"/>
      <c r="F626" s="2491"/>
      <c r="G626" s="2491"/>
      <c r="H626" s="2491"/>
      <c r="I626" s="2491"/>
      <c r="J626" s="2491"/>
      <c r="K626" s="2491"/>
      <c r="L626" s="2491"/>
      <c r="M626" s="2491"/>
      <c r="N626" s="2491"/>
      <c r="O626" s="2491"/>
      <c r="P626" s="2491"/>
      <c r="Q626" s="2491"/>
      <c r="R626" s="2491"/>
      <c r="S626" s="2491"/>
      <c r="T626" s="2491"/>
      <c r="U626" s="2491"/>
    </row>
    <row r="627" spans="1:22" s="522" customFormat="1" ht="21" customHeight="1">
      <c r="B627" s="2474" t="s">
        <v>1178</v>
      </c>
      <c r="C627" s="2474"/>
      <c r="D627" s="2474"/>
      <c r="E627" s="2474"/>
      <c r="F627" s="2474"/>
      <c r="G627" s="2474"/>
      <c r="H627" s="2474"/>
      <c r="I627" s="2474"/>
      <c r="J627" s="2474"/>
      <c r="K627" s="2474"/>
      <c r="L627" s="2474"/>
      <c r="M627" s="2474"/>
      <c r="N627" s="2474"/>
      <c r="O627" s="2474"/>
      <c r="P627" s="2474"/>
      <c r="Q627" s="2474"/>
      <c r="R627" s="2474"/>
      <c r="S627" s="2474"/>
      <c r="T627" s="2474"/>
      <c r="U627" s="2474"/>
    </row>
    <row r="628" spans="1:22" s="522" customFormat="1" ht="58.5" customHeight="1">
      <c r="B628" s="2441" t="s">
        <v>2060</v>
      </c>
      <c r="C628" s="2441"/>
      <c r="D628" s="2441"/>
      <c r="E628" s="2441"/>
      <c r="F628" s="2441"/>
      <c r="G628" s="2441"/>
      <c r="H628" s="2441"/>
      <c r="I628" s="2441"/>
      <c r="J628" s="2441"/>
      <c r="K628" s="2441"/>
      <c r="L628" s="2441"/>
      <c r="M628" s="2441"/>
      <c r="N628" s="2441"/>
      <c r="O628" s="2441"/>
      <c r="P628" s="2441"/>
      <c r="Q628" s="2441"/>
      <c r="R628" s="2441"/>
      <c r="S628" s="2441"/>
      <c r="T628" s="2441"/>
      <c r="U628" s="2441"/>
    </row>
    <row r="629" spans="1:22" customFormat="1" ht="6" customHeight="1"/>
    <row r="630" spans="1:22" s="522" customFormat="1" ht="21" customHeight="1">
      <c r="B630" s="2501" t="s">
        <v>949</v>
      </c>
      <c r="C630" s="2501"/>
      <c r="D630" s="2501"/>
      <c r="E630" s="2501"/>
      <c r="F630" s="2501"/>
      <c r="G630" s="2501"/>
      <c r="H630" s="2501"/>
      <c r="I630" s="2501"/>
      <c r="J630" s="2501"/>
      <c r="K630" s="2501"/>
      <c r="L630" s="2501"/>
      <c r="M630" s="2501"/>
      <c r="N630" s="2501"/>
      <c r="O630" s="2501"/>
      <c r="P630" s="2501"/>
      <c r="Q630" s="2501"/>
      <c r="R630" s="2501"/>
      <c r="S630" s="2501"/>
      <c r="T630" s="2501"/>
      <c r="U630" s="2501"/>
      <c r="V630" s="429"/>
    </row>
    <row r="631" spans="1:22" s="733" customFormat="1" ht="33.75" customHeight="1">
      <c r="A631" s="429"/>
      <c r="B631" s="2441" t="s">
        <v>953</v>
      </c>
      <c r="C631" s="2441"/>
      <c r="D631" s="2441"/>
      <c r="E631" s="2441"/>
      <c r="F631" s="2441"/>
      <c r="G631" s="2441"/>
      <c r="H631" s="2441"/>
      <c r="I631" s="2441"/>
      <c r="J631" s="2441"/>
      <c r="K631" s="2441"/>
      <c r="L631" s="2441"/>
      <c r="M631" s="2441"/>
      <c r="N631" s="2441"/>
      <c r="O631" s="2441"/>
      <c r="P631" s="2441"/>
      <c r="Q631" s="2441"/>
      <c r="R631" s="2441"/>
      <c r="S631" s="2441"/>
      <c r="T631" s="2441"/>
      <c r="U631" s="2441"/>
      <c r="V631" s="429"/>
    </row>
    <row r="632" spans="1:22" s="733" customFormat="1" ht="39.75" customHeight="1">
      <c r="A632" s="429"/>
      <c r="B632" s="2488" t="s">
        <v>954</v>
      </c>
      <c r="C632" s="2488"/>
      <c r="D632" s="2488"/>
      <c r="E632" s="2488"/>
      <c r="F632" s="2488"/>
      <c r="G632" s="2488"/>
      <c r="H632" s="2488"/>
      <c r="I632" s="2488"/>
      <c r="J632" s="2488"/>
      <c r="K632" s="2488"/>
      <c r="L632" s="2488"/>
      <c r="M632" s="2488"/>
      <c r="N632" s="2488"/>
      <c r="O632" s="2488"/>
      <c r="P632" s="2488"/>
      <c r="Q632" s="2488"/>
      <c r="R632" s="2488"/>
      <c r="S632" s="2488"/>
      <c r="T632" s="2488"/>
      <c r="U632" s="2488"/>
      <c r="V632" s="429"/>
    </row>
    <row r="633" spans="1:22" s="733" customFormat="1" ht="27.75" customHeight="1">
      <c r="A633" s="429"/>
      <c r="B633" s="2441" t="s">
        <v>955</v>
      </c>
      <c r="C633" s="2441"/>
      <c r="D633" s="2441"/>
      <c r="E633" s="2441"/>
      <c r="F633" s="2441"/>
      <c r="G633" s="2441"/>
      <c r="H633" s="2441"/>
      <c r="I633" s="2441"/>
      <c r="J633" s="2441"/>
      <c r="K633" s="2441"/>
      <c r="L633" s="2441"/>
      <c r="M633" s="2441"/>
      <c r="N633" s="2441"/>
      <c r="O633" s="2441"/>
      <c r="P633" s="2441"/>
      <c r="Q633" s="2441"/>
      <c r="R633" s="2441"/>
      <c r="S633" s="2441"/>
      <c r="T633" s="2441"/>
      <c r="U633" s="2441"/>
      <c r="V633" s="429"/>
    </row>
    <row r="634" spans="1:22" s="733" customFormat="1" ht="46.5" customHeight="1">
      <c r="A634" s="429"/>
      <c r="B634" s="2440" t="s">
        <v>1938</v>
      </c>
      <c r="C634" s="2440"/>
      <c r="D634" s="2440"/>
      <c r="E634" s="2440"/>
      <c r="F634" s="2440"/>
      <c r="G634" s="2440"/>
      <c r="H634" s="2440"/>
      <c r="I634" s="2440"/>
      <c r="J634" s="2440"/>
      <c r="K634" s="2440"/>
      <c r="L634" s="2440"/>
      <c r="M634" s="2440"/>
      <c r="N634" s="2440"/>
      <c r="O634" s="2440"/>
      <c r="P634" s="2440"/>
      <c r="Q634" s="2440"/>
      <c r="R634" s="2440"/>
      <c r="S634" s="2440"/>
      <c r="T634" s="2440"/>
      <c r="U634" s="2440"/>
      <c r="V634" s="429"/>
    </row>
    <row r="635" spans="1:22" s="522" customFormat="1" ht="6.75" customHeight="1">
      <c r="B635" s="825"/>
      <c r="C635" s="825"/>
      <c r="D635" s="825"/>
      <c r="E635" s="825"/>
      <c r="F635" s="825"/>
      <c r="G635" s="825"/>
      <c r="H635" s="825"/>
      <c r="I635" s="825"/>
      <c r="J635" s="825"/>
      <c r="K635" s="825"/>
      <c r="L635" s="825"/>
      <c r="M635" s="825"/>
      <c r="N635" s="825"/>
      <c r="O635" s="825"/>
      <c r="P635" s="825"/>
      <c r="Q635" s="825"/>
      <c r="R635" s="825"/>
      <c r="S635" s="825"/>
      <c r="T635" s="825"/>
      <c r="U635" s="825"/>
      <c r="V635" s="429"/>
    </row>
    <row r="636" spans="1:22" s="522" customFormat="1" ht="22.15" customHeight="1">
      <c r="B636" s="2501" t="s">
        <v>1135</v>
      </c>
      <c r="C636" s="2501"/>
      <c r="D636" s="2501"/>
      <c r="E636" s="2501"/>
      <c r="F636" s="2501"/>
      <c r="G636" s="2501"/>
      <c r="H636" s="2501"/>
      <c r="I636" s="2501"/>
      <c r="J636" s="2501"/>
      <c r="K636" s="2501"/>
      <c r="L636" s="2501"/>
      <c r="M636" s="2501"/>
      <c r="N636" s="2501"/>
      <c r="O636" s="2501"/>
      <c r="P636" s="2501"/>
      <c r="Q636" s="2501"/>
      <c r="R636" s="2501"/>
      <c r="S636" s="2501"/>
      <c r="T636" s="2501"/>
      <c r="U636" s="2501"/>
      <c r="V636" s="429"/>
    </row>
    <row r="637" spans="1:22" s="522" customFormat="1" ht="32.25" customHeight="1">
      <c r="B637" s="2441" t="s">
        <v>1855</v>
      </c>
      <c r="C637" s="2441"/>
      <c r="D637" s="2441"/>
      <c r="E637" s="2441"/>
      <c r="F637" s="2441"/>
      <c r="G637" s="2441"/>
      <c r="H637" s="2441"/>
      <c r="I637" s="2441"/>
      <c r="J637" s="2441"/>
      <c r="K637" s="2441"/>
      <c r="L637" s="2441"/>
      <c r="M637" s="2441"/>
      <c r="N637" s="2441"/>
      <c r="O637" s="2441"/>
      <c r="P637" s="2441"/>
      <c r="Q637" s="2441"/>
      <c r="R637" s="2441"/>
      <c r="S637" s="2441"/>
      <c r="T637" s="2441"/>
      <c r="U637" s="2441"/>
      <c r="V637" s="429"/>
    </row>
    <row r="638" spans="1:22" s="734" customFormat="1" ht="31.15" customHeight="1">
      <c r="A638" s="429"/>
      <c r="B638" s="2501" t="s">
        <v>912</v>
      </c>
      <c r="C638" s="2501"/>
      <c r="D638" s="2501"/>
      <c r="E638" s="2501"/>
      <c r="F638" s="2501"/>
      <c r="G638" s="2501"/>
      <c r="H638" s="2501"/>
      <c r="I638" s="2501"/>
      <c r="J638" s="2501"/>
      <c r="K638" s="2501"/>
      <c r="L638" s="2501"/>
      <c r="M638" s="2501"/>
      <c r="N638" s="2501"/>
      <c r="O638" s="2501"/>
      <c r="P638" s="2501"/>
      <c r="Q638" s="2501"/>
      <c r="R638" s="2501"/>
      <c r="S638" s="2501"/>
      <c r="T638" s="2501"/>
      <c r="U638" s="2501"/>
      <c r="V638" s="429"/>
    </row>
    <row r="639" spans="1:22" s="733" customFormat="1" ht="67.150000000000006" customHeight="1">
      <c r="A639" s="429"/>
      <c r="B639" s="2488" t="s">
        <v>959</v>
      </c>
      <c r="C639" s="2488"/>
      <c r="D639" s="2488"/>
      <c r="E639" s="2488"/>
      <c r="F639" s="2488"/>
      <c r="G639" s="2488"/>
      <c r="H639" s="2488"/>
      <c r="I639" s="2488"/>
      <c r="J639" s="2488"/>
      <c r="K639" s="2488"/>
      <c r="L639" s="2488"/>
      <c r="M639" s="2488"/>
      <c r="N639" s="2488"/>
      <c r="O639" s="2488"/>
      <c r="P639" s="2488"/>
      <c r="Q639" s="2488"/>
      <c r="R639" s="2488"/>
      <c r="S639" s="2488"/>
      <c r="T639" s="2488"/>
      <c r="U639" s="2488"/>
      <c r="V639" s="429"/>
    </row>
    <row r="640" spans="1:22" s="1239" customFormat="1" ht="67.150000000000006" customHeight="1">
      <c r="B640" s="2584" t="s">
        <v>1949</v>
      </c>
      <c r="C640" s="2584"/>
      <c r="D640" s="2584"/>
      <c r="E640" s="2584"/>
      <c r="F640" s="2584"/>
      <c r="G640" s="2584"/>
      <c r="H640" s="2584"/>
      <c r="I640" s="2584"/>
      <c r="J640" s="2584"/>
      <c r="K640" s="2584"/>
      <c r="L640" s="2584"/>
      <c r="M640" s="2584"/>
      <c r="N640" s="2584"/>
      <c r="O640" s="2584"/>
      <c r="P640" s="2584"/>
      <c r="Q640" s="2584"/>
      <c r="R640" s="2584"/>
      <c r="S640" s="2584"/>
      <c r="T640" s="2584"/>
      <c r="U640" s="2584"/>
    </row>
    <row r="641" spans="2:22" s="522" customFormat="1" ht="64.150000000000006" customHeight="1">
      <c r="B641" s="2539" t="s">
        <v>1902</v>
      </c>
      <c r="C641" s="2539"/>
      <c r="D641" s="2539"/>
      <c r="E641" s="2539"/>
      <c r="F641" s="2539"/>
      <c r="G641" s="2539"/>
      <c r="H641" s="2539"/>
      <c r="I641" s="2539"/>
      <c r="J641" s="2539"/>
      <c r="K641" s="2539"/>
      <c r="L641" s="2539"/>
      <c r="M641" s="2539"/>
      <c r="N641" s="2539"/>
      <c r="O641" s="2539"/>
      <c r="P641" s="2539"/>
      <c r="Q641" s="2539"/>
      <c r="R641" s="2539"/>
      <c r="S641" s="2539"/>
      <c r="T641" s="2539"/>
      <c r="U641" s="2539"/>
    </row>
    <row r="642" spans="2:22" s="522" customFormat="1" ht="31.15" customHeight="1">
      <c r="B642" s="2474" t="str">
        <f>IF(Perfiles_usuario!R282&gt;0,IF(Perfiles_usuario!J17="Cartera Orange","","Abono de penalizaciones"),"")</f>
        <v>Abono de penalizaciones</v>
      </c>
      <c r="C642" s="2474"/>
      <c r="D642" s="2474"/>
      <c r="E642" s="2474"/>
      <c r="F642" s="2474"/>
      <c r="G642" s="2474"/>
      <c r="H642" s="2474"/>
      <c r="I642" s="492"/>
      <c r="J642" s="492"/>
      <c r="K642" s="492"/>
      <c r="L642" s="492"/>
      <c r="M642" s="492"/>
      <c r="N642" s="492"/>
      <c r="O642" s="492"/>
      <c r="P642" s="492"/>
      <c r="Q642" s="492"/>
      <c r="R642" s="492"/>
      <c r="S642" s="492"/>
      <c r="T642" s="492"/>
      <c r="U642" s="735"/>
    </row>
    <row r="643" spans="2:22" s="522" customFormat="1" ht="45" customHeight="1">
      <c r="B643" s="2600" t="str">
        <f>IF(Perfiles_usuario!J17="Cartera Orange","",IF(Perfiles_usuario!$R$282=0,"",CONCATENATE(CONCATENATE("En el supuesto de que  ",$B$11," deba hacer frente a penalización por cancelación anticipada de su Contrato de prestación de servicios de telecomunicación con su actual operador, ORANGE se compromete a aplicar dicho importe como descuento en factura"), CONCATENATE(", con un máximo de ",ROUND(Perfiles_usuario!$R$282,0)," €"))))</f>
        <v>En el supuesto de que  INMOBILIARIA SERVIGESTION deba hacer frente a penalización por cancelación anticipada de su Contrato de prestación de servicios de telecomunicación con su actual operador, ORANGE se compromete a aplicar dicho importe como descuento en factura, con un máximo de 452 €</v>
      </c>
      <c r="C643" s="2600"/>
      <c r="D643" s="2600"/>
      <c r="E643" s="2600"/>
      <c r="F643" s="2600"/>
      <c r="G643" s="2600"/>
      <c r="H643" s="2600"/>
      <c r="I643" s="2600"/>
      <c r="J643" s="2600"/>
      <c r="K643" s="2600"/>
      <c r="L643" s="2600"/>
      <c r="M643" s="2600"/>
      <c r="N643" s="2600"/>
      <c r="O643" s="2600"/>
      <c r="P643" s="2600"/>
      <c r="Q643" s="2600"/>
      <c r="R643" s="2600"/>
      <c r="S643" s="2600"/>
      <c r="T643" s="2600"/>
      <c r="U643" s="2600"/>
    </row>
    <row r="644" spans="2:22" s="522" customFormat="1" ht="59.25" customHeight="1">
      <c r="B644" s="2600" t="str">
        <f>IF(Perfiles_usuario!J17="Cartera Orange","",IF(Perfiles_usuario!$R$282=0,"",CONCATENATE(CONCATENATE($B$11," deberá acreditar la cuantía y pago de la correspondiente penalización a su actual operador para que dicho descuento sea aplicado. ","Si el valor efectivamente abonado es inferior al máximo descuento en factura, el descuento que se aplicará será lo efectivamente abonado por ",$B$11),CONCATENATE(". El descuento se realizará, en una sola factura, tras la recepción en ORANGE de los documentos acreditativos del pago de la penalización en un plazo inferior a 6 meses, contados a partir del comienzo de la activación de los servicios. "))))</f>
        <v xml:space="preserve">INMOBILIARIA SERVIGESTION deberá acreditar la cuantía y pago de la correspondiente penalización a su actual operador para que dicho descuento sea aplicado. Si el valor efectivamente abonado es inferior al máximo descuento en factura, el descuento que se aplicará será lo efectivamente abonado por INMOBILIARIA SERVIGESTION. El descuento se realizará, en una sola factura, tras la recepción en ORANGE de los documentos acreditativos del pago de la penalización en un plazo inferior a 6 meses, contados a partir del comienzo de la activación de los servicios. </v>
      </c>
      <c r="C644" s="2600"/>
      <c r="D644" s="2600"/>
      <c r="E644" s="2600"/>
      <c r="F644" s="2600"/>
      <c r="G644" s="2600"/>
      <c r="H644" s="2600"/>
      <c r="I644" s="2600"/>
      <c r="J644" s="2600"/>
      <c r="K644" s="2600"/>
      <c r="L644" s="2600"/>
      <c r="M644" s="2600"/>
      <c r="N644" s="2600"/>
      <c r="O644" s="2600"/>
      <c r="P644" s="2600"/>
      <c r="Q644" s="2600"/>
      <c r="R644" s="2600"/>
      <c r="S644" s="2600"/>
      <c r="T644" s="2600"/>
      <c r="U644" s="2600"/>
    </row>
    <row r="645" spans="2:22" s="522" customFormat="1" ht="50.25" customHeight="1">
      <c r="B645" s="2600" t="str">
        <f>IF(Perfiles_usuario!J17="Cartera Orange","",IF(Perfiles_usuario!$R$282=0,"",CONCATENATE(Oferta_OptimaRPV!$B$11," se compromete a portar ",Oferta_OptimaRPV!$E$555," líneas móviles y a permanecer de alta en el servicio móvil Empresas de ORANGE con ",Oferta_OptimaRPV!$D$555," líneas móviles",CONCATENATE(", manteniendo la tarifa y los productos y módulos contratados en la presente hoja de condiciones durante un mínimo de 12 meses. ","Dicho descuento está condicionado al mantenimiento del nº de líneas y nº de líneas activas facilitados por el cliente."))))</f>
        <v>INMOBILIARIA SERVIGESTION se compromete a portar 6 líneas móviles y a permanecer de alta en el servicio móvil Empresas de ORANGE con 8 líneas móviles, manteniendo la tarifa y los productos y módulos contratados en la presente hoja de condiciones durante un mínimo de 12 meses. Dicho descuento está condicionado al mantenimiento del nº de líneas y nº de líneas activas facilitados por el cliente.</v>
      </c>
      <c r="C645" s="2600"/>
      <c r="D645" s="2600"/>
      <c r="E645" s="2600"/>
      <c r="F645" s="2600"/>
      <c r="G645" s="2600"/>
      <c r="H645" s="2600"/>
      <c r="I645" s="2600"/>
      <c r="J645" s="2600"/>
      <c r="K645" s="2600"/>
      <c r="L645" s="2600"/>
      <c r="M645" s="2600"/>
      <c r="N645" s="2600"/>
      <c r="O645" s="2600"/>
      <c r="P645" s="2600"/>
      <c r="Q645" s="2600"/>
      <c r="R645" s="2600"/>
      <c r="S645" s="2600"/>
      <c r="T645" s="2600"/>
      <c r="U645" s="2600"/>
    </row>
    <row r="646" spans="2:22" s="522" customFormat="1" ht="49.5" customHeight="1">
      <c r="B646" s="2600" t="str">
        <f>IF(Perfiles_usuario!J17="Cartera Orange","",IF(Perfiles_usuario!$R$282=0,"",CONCATENATE("En el supuesto de que ", B11," desee cancelar, total o parcialmente, o modificar sustancialmente los servicios regulados por el Contrato Empresas de ORANGE tras la activación de los mismos y antes del abono del descuento, éste no se efectuará.")))</f>
        <v>En el supuesto de que INMOBILIARIA SERVIGESTION desee cancelar, total o parcialmente, o modificar sustancialmente los servicios regulados por el Contrato Empresas de ORANGE tras la activación de los mismos y antes del abono del descuento, éste no se efectuará.</v>
      </c>
      <c r="C646" s="2600"/>
      <c r="D646" s="2600"/>
      <c r="E646" s="2600"/>
      <c r="F646" s="2600"/>
      <c r="G646" s="2600"/>
      <c r="H646" s="2600"/>
      <c r="I646" s="2600"/>
      <c r="J646" s="2600"/>
      <c r="K646" s="2600"/>
      <c r="L646" s="2600"/>
      <c r="M646" s="2600"/>
      <c r="N646" s="2600"/>
      <c r="O646" s="2600"/>
      <c r="P646" s="2600"/>
      <c r="Q646" s="2600"/>
      <c r="R646" s="2600"/>
      <c r="S646" s="2600"/>
      <c r="T646" s="2600"/>
      <c r="U646" s="2600"/>
    </row>
    <row r="647" spans="2:22" ht="36.75" customHeight="1">
      <c r="B647" s="2252" t="s">
        <v>676</v>
      </c>
      <c r="C647" s="2252"/>
      <c r="D647" s="2252"/>
      <c r="E647" s="2252"/>
      <c r="F647" s="2252"/>
      <c r="G647" s="2252"/>
      <c r="H647" s="2252"/>
      <c r="I647" s="2252"/>
      <c r="J647" s="2252"/>
      <c r="K647" s="2252"/>
      <c r="L647" s="2252"/>
      <c r="M647" s="2252"/>
      <c r="N647" s="2252"/>
      <c r="O647" s="2252"/>
      <c r="P647" s="2252"/>
      <c r="Q647" s="2252"/>
      <c r="R647" s="2252"/>
      <c r="S647" s="2252"/>
      <c r="T647" s="2252"/>
      <c r="U647" s="2252"/>
    </row>
    <row r="648" spans="2:22" ht="74.25" customHeight="1">
      <c r="B648" s="2617" t="s">
        <v>677</v>
      </c>
      <c r="C648" s="2617"/>
      <c r="D648" s="2617"/>
      <c r="E648" s="2617"/>
      <c r="F648" s="2617"/>
      <c r="G648" s="2617"/>
      <c r="H648" s="2617"/>
      <c r="I648" s="2617"/>
      <c r="J648" s="2617"/>
      <c r="K648" s="2617"/>
      <c r="L648" s="2617"/>
      <c r="M648" s="2617"/>
      <c r="N648" s="2617"/>
      <c r="O648" s="2617"/>
      <c r="P648" s="2617"/>
      <c r="Q648" s="2617"/>
      <c r="R648" s="2617"/>
      <c r="S648" s="2617"/>
      <c r="T648" s="2617"/>
      <c r="U648" s="2617"/>
    </row>
    <row r="649" spans="2:22" ht="28.15" customHeight="1">
      <c r="B649" s="773"/>
      <c r="D649" s="773"/>
      <c r="E649" s="773"/>
      <c r="F649" s="773"/>
      <c r="G649" s="773"/>
      <c r="H649" s="773"/>
      <c r="I649" s="766"/>
      <c r="J649" s="773"/>
      <c r="K649" s="773"/>
      <c r="L649" s="773"/>
      <c r="M649" s="773"/>
      <c r="N649" s="773"/>
      <c r="O649" s="773"/>
      <c r="P649" s="773"/>
      <c r="Q649" s="773"/>
      <c r="R649" s="773"/>
      <c r="S649" s="773"/>
      <c r="T649" s="773"/>
      <c r="U649" s="773"/>
    </row>
    <row r="650" spans="2:22" ht="150" customHeight="1">
      <c r="B650" s="522"/>
      <c r="C650" s="738" t="s">
        <v>668</v>
      </c>
      <c r="D650" s="584"/>
      <c r="E650" s="584"/>
      <c r="F650" s="584"/>
      <c r="G650" s="2498" t="s">
        <v>678</v>
      </c>
      <c r="H650" s="2499"/>
      <c r="I650" s="2499"/>
      <c r="J650" s="2499"/>
      <c r="K650" s="2499"/>
      <c r="L650" s="2499"/>
      <c r="M650" s="2499"/>
      <c r="N650" s="2499"/>
      <c r="O650" s="2499"/>
      <c r="P650" s="2500"/>
      <c r="Q650" s="561"/>
      <c r="R650" s="561"/>
      <c r="S650" s="441"/>
      <c r="T650" s="441"/>
      <c r="U650" s="588"/>
      <c r="V650" s="441"/>
    </row>
    <row r="651" spans="2:22" ht="19.149999999999999" customHeight="1">
      <c r="B651" s="522"/>
      <c r="C651" s="585"/>
      <c r="D651" s="584"/>
      <c r="E651" s="584"/>
      <c r="F651" s="584"/>
      <c r="G651" s="586"/>
      <c r="H651" s="586"/>
      <c r="I651" s="586"/>
      <c r="J651" s="586"/>
      <c r="K651" s="587"/>
      <c r="L651" s="587"/>
      <c r="M651" s="587"/>
      <c r="N651" s="587"/>
      <c r="O651" s="587"/>
      <c r="P651" s="587"/>
      <c r="Q651" s="561"/>
      <c r="R651" s="561"/>
      <c r="S651" s="441"/>
      <c r="T651" s="441"/>
      <c r="U651" s="588"/>
      <c r="V651" s="441"/>
    </row>
    <row r="653" spans="2:22" ht="15.75">
      <c r="M653" s="476" t="s">
        <v>1001</v>
      </c>
      <c r="R653" s="477" t="s">
        <v>692</v>
      </c>
      <c r="S653" s="478" t="str">
        <f>$E$29</f>
        <v>ILF5_90FCPRS_B114CAGR43006</v>
      </c>
    </row>
  </sheetData>
  <sheetProtection algorithmName="SHA-512" hashValue="13jLngh6X9TbsS1oLVZxcJRkQbutgv43d8ZjlqgMqthaOsCUgCKuSFZLB83OowZREQwoowX850cKSLVXfZcrcw==" saltValue="FFs8XDC9IEyXj6/JMScvkA==" spinCount="100000" sheet="1" selectLockedCells="1" selectUnlockedCells="1"/>
  <mergeCells count="740">
    <mergeCell ref="B583:U583"/>
    <mergeCell ref="B584:U584"/>
    <mergeCell ref="O305:P305"/>
    <mergeCell ref="O306:P306"/>
    <mergeCell ref="O307:P307"/>
    <mergeCell ref="O308:P308"/>
    <mergeCell ref="O290:P290"/>
    <mergeCell ref="Q290:R290"/>
    <mergeCell ref="O291:P291"/>
    <mergeCell ref="Q291:R291"/>
    <mergeCell ref="O292:P292"/>
    <mergeCell ref="Q292:R292"/>
    <mergeCell ref="O293:P293"/>
    <mergeCell ref="Q293:R293"/>
    <mergeCell ref="O294:P294"/>
    <mergeCell ref="B526:K526"/>
    <mergeCell ref="B527:U527"/>
    <mergeCell ref="B528:U528"/>
    <mergeCell ref="B517:U517"/>
    <mergeCell ref="B518:U518"/>
    <mergeCell ref="B519:U519"/>
    <mergeCell ref="B520:U520"/>
    <mergeCell ref="B521:U521"/>
    <mergeCell ref="B522:U522"/>
    <mergeCell ref="B523:U523"/>
    <mergeCell ref="B524:U524"/>
    <mergeCell ref="B525:U525"/>
    <mergeCell ref="B507:U507"/>
    <mergeCell ref="B508:U508"/>
    <mergeCell ref="B509:U509"/>
    <mergeCell ref="B510:U510"/>
    <mergeCell ref="B511:K511"/>
    <mergeCell ref="B512:U512"/>
    <mergeCell ref="B513:U513"/>
    <mergeCell ref="B515:K515"/>
    <mergeCell ref="B516:U516"/>
    <mergeCell ref="B497:U497"/>
    <mergeCell ref="B498:U498"/>
    <mergeCell ref="B500:K500"/>
    <mergeCell ref="B501:U501"/>
    <mergeCell ref="B502:U502"/>
    <mergeCell ref="B503:U503"/>
    <mergeCell ref="B504:U504"/>
    <mergeCell ref="B505:U505"/>
    <mergeCell ref="B506:U506"/>
    <mergeCell ref="B590:U590"/>
    <mergeCell ref="B410:C410"/>
    <mergeCell ref="E410:J410"/>
    <mergeCell ref="K410:L410"/>
    <mergeCell ref="M410:N410"/>
    <mergeCell ref="B411:C411"/>
    <mergeCell ref="E411:J411"/>
    <mergeCell ref="K411:L411"/>
    <mergeCell ref="M411:N411"/>
    <mergeCell ref="B412:C412"/>
    <mergeCell ref="E412:J412"/>
    <mergeCell ref="K412:L412"/>
    <mergeCell ref="M412:N412"/>
    <mergeCell ref="B424:U424"/>
    <mergeCell ref="B427:U427"/>
    <mergeCell ref="C430:J430"/>
    <mergeCell ref="B413:C413"/>
    <mergeCell ref="E413:J413"/>
    <mergeCell ref="K413:L413"/>
    <mergeCell ref="M413:N413"/>
    <mergeCell ref="B414:C414"/>
    <mergeCell ref="E414:J414"/>
    <mergeCell ref="K414:L414"/>
    <mergeCell ref="M414:N414"/>
    <mergeCell ref="B91:U91"/>
    <mergeCell ref="D92:H92"/>
    <mergeCell ref="J92:N92"/>
    <mergeCell ref="P92:T92"/>
    <mergeCell ref="M387:T387"/>
    <mergeCell ref="C388:J388"/>
    <mergeCell ref="M388:T388"/>
    <mergeCell ref="B374:C374"/>
    <mergeCell ref="E374:J374"/>
    <mergeCell ref="K374:L374"/>
    <mergeCell ref="M374:N374"/>
    <mergeCell ref="B375:C375"/>
    <mergeCell ref="E375:J375"/>
    <mergeCell ref="K375:L375"/>
    <mergeCell ref="M375:N375"/>
    <mergeCell ref="B372:C372"/>
    <mergeCell ref="E372:J372"/>
    <mergeCell ref="K372:L372"/>
    <mergeCell ref="M372:N372"/>
    <mergeCell ref="B373:C373"/>
    <mergeCell ref="E373:J373"/>
    <mergeCell ref="K373:L373"/>
    <mergeCell ref="M373:N373"/>
    <mergeCell ref="Q289:R289"/>
    <mergeCell ref="D64:H72"/>
    <mergeCell ref="J64:N72"/>
    <mergeCell ref="P64:T72"/>
    <mergeCell ref="B75:K75"/>
    <mergeCell ref="B76:U76"/>
    <mergeCell ref="D77:H77"/>
    <mergeCell ref="J77:N77"/>
    <mergeCell ref="P77:T77"/>
    <mergeCell ref="B90:U90"/>
    <mergeCell ref="B638:U638"/>
    <mergeCell ref="B639:U639"/>
    <mergeCell ref="B393:U393"/>
    <mergeCell ref="B623:U623"/>
    <mergeCell ref="B625:U625"/>
    <mergeCell ref="B626:U626"/>
    <mergeCell ref="B627:U627"/>
    <mergeCell ref="B613:U613"/>
    <mergeCell ref="B618:U618"/>
    <mergeCell ref="B619:U619"/>
    <mergeCell ref="B621:U621"/>
    <mergeCell ref="B622:U622"/>
    <mergeCell ref="B624:U624"/>
    <mergeCell ref="B606:U606"/>
    <mergeCell ref="B607:U607"/>
    <mergeCell ref="B608:U608"/>
    <mergeCell ref="B601:U601"/>
    <mergeCell ref="B602:U602"/>
    <mergeCell ref="B603:U603"/>
    <mergeCell ref="B610:U610"/>
    <mergeCell ref="B611:U611"/>
    <mergeCell ref="B612:U612"/>
    <mergeCell ref="B609:U609"/>
    <mergeCell ref="B599:U599"/>
    <mergeCell ref="B648:U648"/>
    <mergeCell ref="G650:P650"/>
    <mergeCell ref="B641:U641"/>
    <mergeCell ref="B642:H642"/>
    <mergeCell ref="B643:U643"/>
    <mergeCell ref="B644:U644"/>
    <mergeCell ref="B645:U645"/>
    <mergeCell ref="B647:U647"/>
    <mergeCell ref="B646:U646"/>
    <mergeCell ref="B640:U640"/>
    <mergeCell ref="B591:U591"/>
    <mergeCell ref="B444:U444"/>
    <mergeCell ref="B446:K446"/>
    <mergeCell ref="B578:U578"/>
    <mergeCell ref="B579:U579"/>
    <mergeCell ref="B581:U581"/>
    <mergeCell ref="B582:U582"/>
    <mergeCell ref="B585:U585"/>
    <mergeCell ref="C454:K454"/>
    <mergeCell ref="C455:K455"/>
    <mergeCell ref="B456:U456"/>
    <mergeCell ref="B457:U457"/>
    <mergeCell ref="B458:U458"/>
    <mergeCell ref="B459:U459"/>
    <mergeCell ref="B460:K460"/>
    <mergeCell ref="B461:K461"/>
    <mergeCell ref="B472:U472"/>
    <mergeCell ref="B473:U473"/>
    <mergeCell ref="B474:U474"/>
    <mergeCell ref="B475:U475"/>
    <mergeCell ref="B476:U476"/>
    <mergeCell ref="B630:U630"/>
    <mergeCell ref="B631:U631"/>
    <mergeCell ref="B422:U422"/>
    <mergeCell ref="B443:U443"/>
    <mergeCell ref="H395:O395"/>
    <mergeCell ref="B636:U636"/>
    <mergeCell ref="B637:U637"/>
    <mergeCell ref="B632:U632"/>
    <mergeCell ref="B633:U633"/>
    <mergeCell ref="B634:U634"/>
    <mergeCell ref="B604:U604"/>
    <mergeCell ref="B605:U605"/>
    <mergeCell ref="B592:U592"/>
    <mergeCell ref="B593:U593"/>
    <mergeCell ref="B594:U594"/>
    <mergeCell ref="B595:U595"/>
    <mergeCell ref="B596:U596"/>
    <mergeCell ref="B597:U597"/>
    <mergeCell ref="B586:U586"/>
    <mergeCell ref="B587:U587"/>
    <mergeCell ref="B588:U588"/>
    <mergeCell ref="B589:U589"/>
    <mergeCell ref="B477:K477"/>
    <mergeCell ref="B462:U462"/>
    <mergeCell ref="B464:U464"/>
    <mergeCell ref="B465:U465"/>
    <mergeCell ref="B447:K447"/>
    <mergeCell ref="B448:U448"/>
    <mergeCell ref="B450:U450"/>
    <mergeCell ref="B451:U451"/>
    <mergeCell ref="B452:U452"/>
    <mergeCell ref="C453:K453"/>
    <mergeCell ref="B466:U466"/>
    <mergeCell ref="C467:K467"/>
    <mergeCell ref="C468:K468"/>
    <mergeCell ref="C469:K469"/>
    <mergeCell ref="B470:U470"/>
    <mergeCell ref="B471:U471"/>
    <mergeCell ref="H396:O396"/>
    <mergeCell ref="B404:U404"/>
    <mergeCell ref="B405:U405"/>
    <mergeCell ref="B407:U407"/>
    <mergeCell ref="B408:U408"/>
    <mergeCell ref="B376:C376"/>
    <mergeCell ref="E376:G376"/>
    <mergeCell ref="H376:J376"/>
    <mergeCell ref="K376:L376"/>
    <mergeCell ref="M376:N376"/>
    <mergeCell ref="B377:C377"/>
    <mergeCell ref="K377:L377"/>
    <mergeCell ref="M377:N377"/>
    <mergeCell ref="C381:J381"/>
    <mergeCell ref="B380:U380"/>
    <mergeCell ref="C382:D382"/>
    <mergeCell ref="C383:J383"/>
    <mergeCell ref="M383:T383"/>
    <mergeCell ref="C384:J384"/>
    <mergeCell ref="M384:T384"/>
    <mergeCell ref="C387:J387"/>
    <mergeCell ref="B370:C370"/>
    <mergeCell ref="E370:J370"/>
    <mergeCell ref="K370:L370"/>
    <mergeCell ref="M370:N370"/>
    <mergeCell ref="B371:C371"/>
    <mergeCell ref="E371:J371"/>
    <mergeCell ref="K371:L371"/>
    <mergeCell ref="M371:N371"/>
    <mergeCell ref="B356:U356"/>
    <mergeCell ref="B357:U357"/>
    <mergeCell ref="B364:U364"/>
    <mergeCell ref="B365:U365"/>
    <mergeCell ref="B367:U367"/>
    <mergeCell ref="B368:U368"/>
    <mergeCell ref="I354:J354"/>
    <mergeCell ref="K354:M354"/>
    <mergeCell ref="Q354:R354"/>
    <mergeCell ref="S354:T354"/>
    <mergeCell ref="B355:C355"/>
    <mergeCell ref="N355:U355"/>
    <mergeCell ref="B350:C350"/>
    <mergeCell ref="F350:G350"/>
    <mergeCell ref="I350:J350"/>
    <mergeCell ref="Q350:R350"/>
    <mergeCell ref="S350:T350"/>
    <mergeCell ref="B352:C352"/>
    <mergeCell ref="I352:M352"/>
    <mergeCell ref="P352:P353"/>
    <mergeCell ref="S352:S353"/>
    <mergeCell ref="B353:C353"/>
    <mergeCell ref="B348:C348"/>
    <mergeCell ref="F348:G348"/>
    <mergeCell ref="I348:J348"/>
    <mergeCell ref="Q348:R348"/>
    <mergeCell ref="S348:T348"/>
    <mergeCell ref="B349:C349"/>
    <mergeCell ref="F349:G349"/>
    <mergeCell ref="I349:J349"/>
    <mergeCell ref="Q349:R349"/>
    <mergeCell ref="S349:T349"/>
    <mergeCell ref="B346:C346"/>
    <mergeCell ref="F346:G346"/>
    <mergeCell ref="I346:J346"/>
    <mergeCell ref="Q346:R346"/>
    <mergeCell ref="S346:T346"/>
    <mergeCell ref="B347:C347"/>
    <mergeCell ref="F347:G347"/>
    <mergeCell ref="I347:J347"/>
    <mergeCell ref="Q347:R347"/>
    <mergeCell ref="S347:T347"/>
    <mergeCell ref="B344:C344"/>
    <mergeCell ref="F344:G344"/>
    <mergeCell ref="I344:J344"/>
    <mergeCell ref="Q344:R344"/>
    <mergeCell ref="S344:T344"/>
    <mergeCell ref="B345:C345"/>
    <mergeCell ref="F345:G345"/>
    <mergeCell ref="I345:J345"/>
    <mergeCell ref="Q345:R345"/>
    <mergeCell ref="S345:T345"/>
    <mergeCell ref="B342:C342"/>
    <mergeCell ref="F342:G342"/>
    <mergeCell ref="I342:J342"/>
    <mergeCell ref="Q342:R342"/>
    <mergeCell ref="S342:T342"/>
    <mergeCell ref="B343:C343"/>
    <mergeCell ref="F343:G343"/>
    <mergeCell ref="I343:J343"/>
    <mergeCell ref="Q343:R343"/>
    <mergeCell ref="S343:T343"/>
    <mergeCell ref="B340:C340"/>
    <mergeCell ref="F340:G340"/>
    <mergeCell ref="I340:J340"/>
    <mergeCell ref="Q340:R340"/>
    <mergeCell ref="S340:T340"/>
    <mergeCell ref="B341:C341"/>
    <mergeCell ref="F341:G341"/>
    <mergeCell ref="I341:J341"/>
    <mergeCell ref="Q341:R341"/>
    <mergeCell ref="S341:T341"/>
    <mergeCell ref="B338:C338"/>
    <mergeCell ref="F338:G338"/>
    <mergeCell ref="I338:J338"/>
    <mergeCell ref="Q338:R338"/>
    <mergeCell ref="S338:T338"/>
    <mergeCell ref="B339:C339"/>
    <mergeCell ref="F339:G339"/>
    <mergeCell ref="I339:J339"/>
    <mergeCell ref="Q339:R339"/>
    <mergeCell ref="S339:T339"/>
    <mergeCell ref="B336:C336"/>
    <mergeCell ref="F336:G336"/>
    <mergeCell ref="I336:J336"/>
    <mergeCell ref="Q336:R336"/>
    <mergeCell ref="S336:T336"/>
    <mergeCell ref="B337:C337"/>
    <mergeCell ref="F337:G337"/>
    <mergeCell ref="I337:J337"/>
    <mergeCell ref="Q337:R337"/>
    <mergeCell ref="S337:T337"/>
    <mergeCell ref="B335:C335"/>
    <mergeCell ref="F335:G335"/>
    <mergeCell ref="I335:J335"/>
    <mergeCell ref="Q335:R335"/>
    <mergeCell ref="S335:T335"/>
    <mergeCell ref="C315:D315"/>
    <mergeCell ref="G315:H315"/>
    <mergeCell ref="B330:U330"/>
    <mergeCell ref="B331:U331"/>
    <mergeCell ref="B332:U332"/>
    <mergeCell ref="C314:D314"/>
    <mergeCell ref="G314:H314"/>
    <mergeCell ref="C311:D311"/>
    <mergeCell ref="G311:H311"/>
    <mergeCell ref="C312:D312"/>
    <mergeCell ref="G312:H312"/>
    <mergeCell ref="B333:U333"/>
    <mergeCell ref="C309:D309"/>
    <mergeCell ref="G309:H309"/>
    <mergeCell ref="C313:D313"/>
    <mergeCell ref="G310:H310"/>
    <mergeCell ref="C310:D310"/>
    <mergeCell ref="G313:H313"/>
    <mergeCell ref="O309:P309"/>
    <mergeCell ref="O310:P310"/>
    <mergeCell ref="O311:P311"/>
    <mergeCell ref="O312:P312"/>
    <mergeCell ref="O313:P313"/>
    <mergeCell ref="O314:P314"/>
    <mergeCell ref="O315:P315"/>
    <mergeCell ref="C307:D307"/>
    <mergeCell ref="G307:H307"/>
    <mergeCell ref="C308:D308"/>
    <mergeCell ref="G308:H308"/>
    <mergeCell ref="C305:D305"/>
    <mergeCell ref="G305:H305"/>
    <mergeCell ref="I305:J305"/>
    <mergeCell ref="C306:D306"/>
    <mergeCell ref="G306:H306"/>
    <mergeCell ref="C300:D300"/>
    <mergeCell ref="G300:H300"/>
    <mergeCell ref="I300:J300"/>
    <mergeCell ref="C303:D303"/>
    <mergeCell ref="G303:H303"/>
    <mergeCell ref="I303:J303"/>
    <mergeCell ref="C304:D304"/>
    <mergeCell ref="G304:H304"/>
    <mergeCell ref="I304:J304"/>
    <mergeCell ref="C301:D301"/>
    <mergeCell ref="G301:H301"/>
    <mergeCell ref="I301:J301"/>
    <mergeCell ref="C302:D302"/>
    <mergeCell ref="G302:H302"/>
    <mergeCell ref="I302:J302"/>
    <mergeCell ref="C297:D297"/>
    <mergeCell ref="G297:H297"/>
    <mergeCell ref="I297:J297"/>
    <mergeCell ref="C298:D298"/>
    <mergeCell ref="G298:H298"/>
    <mergeCell ref="I298:J298"/>
    <mergeCell ref="C299:D299"/>
    <mergeCell ref="G299:H299"/>
    <mergeCell ref="I299:J299"/>
    <mergeCell ref="C295:D295"/>
    <mergeCell ref="G295:H295"/>
    <mergeCell ref="I295:J295"/>
    <mergeCell ref="C296:D296"/>
    <mergeCell ref="G296:H296"/>
    <mergeCell ref="I296:J296"/>
    <mergeCell ref="C293:D293"/>
    <mergeCell ref="E293:F293"/>
    <mergeCell ref="G293:H293"/>
    <mergeCell ref="I293:J293"/>
    <mergeCell ref="C294:D294"/>
    <mergeCell ref="G294:H294"/>
    <mergeCell ref="I294:J294"/>
    <mergeCell ref="I288:J288"/>
    <mergeCell ref="K288:L288"/>
    <mergeCell ref="C292:D292"/>
    <mergeCell ref="E292:F292"/>
    <mergeCell ref="G292:H292"/>
    <mergeCell ref="I292:J292"/>
    <mergeCell ref="C291:D291"/>
    <mergeCell ref="E291:F291"/>
    <mergeCell ref="G291:H291"/>
    <mergeCell ref="I291:J291"/>
    <mergeCell ref="C290:D290"/>
    <mergeCell ref="E290:F290"/>
    <mergeCell ref="G290:H290"/>
    <mergeCell ref="I290:J290"/>
    <mergeCell ref="C289:D289"/>
    <mergeCell ref="E289:F289"/>
    <mergeCell ref="G289:H289"/>
    <mergeCell ref="I289:J289"/>
    <mergeCell ref="C288:D288"/>
    <mergeCell ref="E288:F288"/>
    <mergeCell ref="G288:H288"/>
    <mergeCell ref="C287:D287"/>
    <mergeCell ref="E287:F287"/>
    <mergeCell ref="G287:H287"/>
    <mergeCell ref="I287:J287"/>
    <mergeCell ref="K287:L287"/>
    <mergeCell ref="C286:D286"/>
    <mergeCell ref="E286:F286"/>
    <mergeCell ref="G286:H286"/>
    <mergeCell ref="I286:J286"/>
    <mergeCell ref="K286:L286"/>
    <mergeCell ref="C285:D285"/>
    <mergeCell ref="E285:F285"/>
    <mergeCell ref="G285:H285"/>
    <mergeCell ref="I285:J285"/>
    <mergeCell ref="K285:L285"/>
    <mergeCell ref="C284:D284"/>
    <mergeCell ref="E284:F284"/>
    <mergeCell ref="G284:H284"/>
    <mergeCell ref="I284:J284"/>
    <mergeCell ref="K284:L284"/>
    <mergeCell ref="C283:D283"/>
    <mergeCell ref="E283:F283"/>
    <mergeCell ref="G283:H283"/>
    <mergeCell ref="I283:J283"/>
    <mergeCell ref="K283:L283"/>
    <mergeCell ref="C282:D282"/>
    <mergeCell ref="E282:F282"/>
    <mergeCell ref="G282:H282"/>
    <mergeCell ref="I282:J282"/>
    <mergeCell ref="K282:L282"/>
    <mergeCell ref="C281:D281"/>
    <mergeCell ref="E281:F281"/>
    <mergeCell ref="G281:H281"/>
    <mergeCell ref="I281:J281"/>
    <mergeCell ref="K281:L281"/>
    <mergeCell ref="C280:D280"/>
    <mergeCell ref="E280:F280"/>
    <mergeCell ref="G280:H280"/>
    <mergeCell ref="I280:J280"/>
    <mergeCell ref="K280:L280"/>
    <mergeCell ref="C279:D279"/>
    <mergeCell ref="E279:F279"/>
    <mergeCell ref="G279:H279"/>
    <mergeCell ref="I279:J279"/>
    <mergeCell ref="K279:L279"/>
    <mergeCell ref="C278:D278"/>
    <mergeCell ref="E278:F278"/>
    <mergeCell ref="G278:H278"/>
    <mergeCell ref="I278:J278"/>
    <mergeCell ref="K278:L278"/>
    <mergeCell ref="C277:D277"/>
    <mergeCell ref="E277:F277"/>
    <mergeCell ref="G277:H277"/>
    <mergeCell ref="I277:J277"/>
    <mergeCell ref="K277:L277"/>
    <mergeCell ref="C276:D276"/>
    <mergeCell ref="E276:F276"/>
    <mergeCell ref="G276:H276"/>
    <mergeCell ref="I276:J276"/>
    <mergeCell ref="K276:L276"/>
    <mergeCell ref="Q250:R251"/>
    <mergeCell ref="S250:S251"/>
    <mergeCell ref="T250:T251"/>
    <mergeCell ref="B258:U258"/>
    <mergeCell ref="B259:U259"/>
    <mergeCell ref="Z246:AA247"/>
    <mergeCell ref="C262:Q262"/>
    <mergeCell ref="C275:D275"/>
    <mergeCell ref="E275:F275"/>
    <mergeCell ref="G275:H275"/>
    <mergeCell ref="I275:J275"/>
    <mergeCell ref="K275:L275"/>
    <mergeCell ref="C271:M271"/>
    <mergeCell ref="O271:S271"/>
    <mergeCell ref="C272:M272"/>
    <mergeCell ref="O272:S272"/>
    <mergeCell ref="C273:D273"/>
    <mergeCell ref="E273:F273"/>
    <mergeCell ref="G273:H273"/>
    <mergeCell ref="I273:J273"/>
    <mergeCell ref="K273:L273"/>
    <mergeCell ref="Q241:Q243"/>
    <mergeCell ref="AB246:AD246"/>
    <mergeCell ref="Z248:Z249"/>
    <mergeCell ref="L245:O246"/>
    <mergeCell ref="Q245:T246"/>
    <mergeCell ref="Q248:R249"/>
    <mergeCell ref="S248:S249"/>
    <mergeCell ref="T248:T249"/>
    <mergeCell ref="N249:O249"/>
    <mergeCell ref="C237:I237"/>
    <mergeCell ref="C228:I228"/>
    <mergeCell ref="C231:D231"/>
    <mergeCell ref="C232:D232"/>
    <mergeCell ref="Q232:R232"/>
    <mergeCell ref="Q233:Q235"/>
    <mergeCell ref="L237:O240"/>
    <mergeCell ref="Q237:U237"/>
    <mergeCell ref="S239:U239"/>
    <mergeCell ref="C198:T198"/>
    <mergeCell ref="B204:U204"/>
    <mergeCell ref="B205:U205"/>
    <mergeCell ref="B223:U223"/>
    <mergeCell ref="C227:J227"/>
    <mergeCell ref="B186:U186"/>
    <mergeCell ref="B187:U187"/>
    <mergeCell ref="B192:U192"/>
    <mergeCell ref="B193:U193"/>
    <mergeCell ref="C197:J197"/>
    <mergeCell ref="L197:T197"/>
    <mergeCell ref="B207:U207"/>
    <mergeCell ref="B208:U208"/>
    <mergeCell ref="C210:T210"/>
    <mergeCell ref="L211:S211"/>
    <mergeCell ref="C212:K212"/>
    <mergeCell ref="M212:T212"/>
    <mergeCell ref="C213:K213"/>
    <mergeCell ref="M213:T213"/>
    <mergeCell ref="C214:G214"/>
    <mergeCell ref="M214:Q214"/>
    <mergeCell ref="E216:S216"/>
    <mergeCell ref="B222:U222"/>
    <mergeCell ref="B170:U170"/>
    <mergeCell ref="B174:U174"/>
    <mergeCell ref="B175:U175"/>
    <mergeCell ref="B176:U176"/>
    <mergeCell ref="B179:U179"/>
    <mergeCell ref="B180:U180"/>
    <mergeCell ref="B156:U156"/>
    <mergeCell ref="B157:U157"/>
    <mergeCell ref="B159:U159"/>
    <mergeCell ref="B160:U160"/>
    <mergeCell ref="B161:U161"/>
    <mergeCell ref="B168:U168"/>
    <mergeCell ref="C125:K125"/>
    <mergeCell ref="M125:T125"/>
    <mergeCell ref="C126:G126"/>
    <mergeCell ref="M126:Q126"/>
    <mergeCell ref="C128:T128"/>
    <mergeCell ref="C129:T129"/>
    <mergeCell ref="B134:U134"/>
    <mergeCell ref="C137:T139"/>
    <mergeCell ref="C140:T140"/>
    <mergeCell ref="C119:G119"/>
    <mergeCell ref="C122:T122"/>
    <mergeCell ref="L123:S123"/>
    <mergeCell ref="C124:K124"/>
    <mergeCell ref="M124:T124"/>
    <mergeCell ref="B111:U111"/>
    <mergeCell ref="B113:U113"/>
    <mergeCell ref="C115:T115"/>
    <mergeCell ref="L116:S116"/>
    <mergeCell ref="C117:K117"/>
    <mergeCell ref="M117:T117"/>
    <mergeCell ref="B56:U56"/>
    <mergeCell ref="B57:U57"/>
    <mergeCell ref="B59:U59"/>
    <mergeCell ref="B61:K61"/>
    <mergeCell ref="B62:U62"/>
    <mergeCell ref="D63:H63"/>
    <mergeCell ref="C118:K118"/>
    <mergeCell ref="M118:T118"/>
    <mergeCell ref="D93:H101"/>
    <mergeCell ref="J93:N101"/>
    <mergeCell ref="P93:T101"/>
    <mergeCell ref="P102:T102"/>
    <mergeCell ref="P103:T103"/>
    <mergeCell ref="B104:U104"/>
    <mergeCell ref="H105:I106"/>
    <mergeCell ref="J105:K106"/>
    <mergeCell ref="L105:M106"/>
    <mergeCell ref="N105:O106"/>
    <mergeCell ref="D78:H86"/>
    <mergeCell ref="J78:N86"/>
    <mergeCell ref="P78:T86"/>
    <mergeCell ref="B89:K89"/>
    <mergeCell ref="J63:N63"/>
    <mergeCell ref="P63:T63"/>
    <mergeCell ref="B628:U628"/>
    <mergeCell ref="C267:Q267"/>
    <mergeCell ref="L227:U227"/>
    <mergeCell ref="L228:O228"/>
    <mergeCell ref="Q228:U228"/>
    <mergeCell ref="S230:U230"/>
    <mergeCell ref="B8:U8"/>
    <mergeCell ref="B9:U9"/>
    <mergeCell ref="B10:U10"/>
    <mergeCell ref="B11:U11"/>
    <mergeCell ref="E16:I16"/>
    <mergeCell ref="E17:I17"/>
    <mergeCell ref="B110:U110"/>
    <mergeCell ref="E25:I25"/>
    <mergeCell ref="D26:I26"/>
    <mergeCell ref="E27:I27"/>
    <mergeCell ref="E28:I28"/>
    <mergeCell ref="B31:I41"/>
    <mergeCell ref="E18:I18"/>
    <mergeCell ref="E19:I19"/>
    <mergeCell ref="E20:I20"/>
    <mergeCell ref="E21:I21"/>
    <mergeCell ref="E23:I23"/>
    <mergeCell ref="E24:I24"/>
    <mergeCell ref="B536:U536"/>
    <mergeCell ref="B537:U537"/>
    <mergeCell ref="B538:K538"/>
    <mergeCell ref="B539:U539"/>
    <mergeCell ref="C540:T540"/>
    <mergeCell ref="C541:K541"/>
    <mergeCell ref="M541:T541"/>
    <mergeCell ref="C542:K542"/>
    <mergeCell ref="M542:T542"/>
    <mergeCell ref="C543:G543"/>
    <mergeCell ref="M543:Q543"/>
    <mergeCell ref="C545:K545"/>
    <mergeCell ref="M545:T545"/>
    <mergeCell ref="C546:K546"/>
    <mergeCell ref="M546:T546"/>
    <mergeCell ref="C547:K547"/>
    <mergeCell ref="M547:T547"/>
    <mergeCell ref="C548:G548"/>
    <mergeCell ref="M548:Q548"/>
    <mergeCell ref="C550:K550"/>
    <mergeCell ref="M550:T550"/>
    <mergeCell ref="C551:K551"/>
    <mergeCell ref="M551:T551"/>
    <mergeCell ref="C552:K552"/>
    <mergeCell ref="M552:T552"/>
    <mergeCell ref="C553:G554"/>
    <mergeCell ref="H553:H554"/>
    <mergeCell ref="I553:K554"/>
    <mergeCell ref="M553:Q554"/>
    <mergeCell ref="R553:R554"/>
    <mergeCell ref="S553:T554"/>
    <mergeCell ref="C556:G556"/>
    <mergeCell ref="H556:K556"/>
    <mergeCell ref="L556:M556"/>
    <mergeCell ref="N556:O556"/>
    <mergeCell ref="C557:G557"/>
    <mergeCell ref="H557:K557"/>
    <mergeCell ref="L557:M557"/>
    <mergeCell ref="N557:O557"/>
    <mergeCell ref="C558:G558"/>
    <mergeCell ref="H558:K558"/>
    <mergeCell ref="L558:M558"/>
    <mergeCell ref="N558:O558"/>
    <mergeCell ref="C559:G559"/>
    <mergeCell ref="H559:K559"/>
    <mergeCell ref="L559:M559"/>
    <mergeCell ref="N559:O559"/>
    <mergeCell ref="C560:G560"/>
    <mergeCell ref="H560:K560"/>
    <mergeCell ref="L560:M560"/>
    <mergeCell ref="N560:O560"/>
    <mergeCell ref="L571:M571"/>
    <mergeCell ref="N571:O571"/>
    <mergeCell ref="C561:G561"/>
    <mergeCell ref="H561:K561"/>
    <mergeCell ref="L561:M561"/>
    <mergeCell ref="N561:O561"/>
    <mergeCell ref="L563:M563"/>
    <mergeCell ref="N563:O563"/>
    <mergeCell ref="B564:K564"/>
    <mergeCell ref="B565:U565"/>
    <mergeCell ref="C571:D571"/>
    <mergeCell ref="E571:G571"/>
    <mergeCell ref="B489:U489"/>
    <mergeCell ref="B479:K479"/>
    <mergeCell ref="B480:U480"/>
    <mergeCell ref="B482:U482"/>
    <mergeCell ref="B483:U483"/>
    <mergeCell ref="B484:U484"/>
    <mergeCell ref="B485:U485"/>
    <mergeCell ref="B486:J486"/>
    <mergeCell ref="B487:J487"/>
    <mergeCell ref="B488:U488"/>
    <mergeCell ref="H572:I572"/>
    <mergeCell ref="J572:K572"/>
    <mergeCell ref="L572:M572"/>
    <mergeCell ref="N572:O572"/>
    <mergeCell ref="C567:T567"/>
    <mergeCell ref="C568:T568"/>
    <mergeCell ref="C569:Q569"/>
    <mergeCell ref="H571:I571"/>
    <mergeCell ref="J571:K571"/>
    <mergeCell ref="C572:D572"/>
    <mergeCell ref="E572:G572"/>
    <mergeCell ref="Q280:R280"/>
    <mergeCell ref="O281:P281"/>
    <mergeCell ref="Q281:R281"/>
    <mergeCell ref="O282:P282"/>
    <mergeCell ref="Q282:R282"/>
    <mergeCell ref="O283:P283"/>
    <mergeCell ref="Q283:R283"/>
    <mergeCell ref="O273:P273"/>
    <mergeCell ref="Q273:R273"/>
    <mergeCell ref="O275:P275"/>
    <mergeCell ref="Q275:R275"/>
    <mergeCell ref="O276:P276"/>
    <mergeCell ref="Q276:R276"/>
    <mergeCell ref="O277:P277"/>
    <mergeCell ref="Q277:R277"/>
    <mergeCell ref="O278:P278"/>
    <mergeCell ref="Q278:R278"/>
    <mergeCell ref="B600:U600"/>
    <mergeCell ref="B143:U143"/>
    <mergeCell ref="C146:T147"/>
    <mergeCell ref="B148:K148"/>
    <mergeCell ref="O285:P286"/>
    <mergeCell ref="O287:P289"/>
    <mergeCell ref="O303:P304"/>
    <mergeCell ref="O295:P295"/>
    <mergeCell ref="O296:P296"/>
    <mergeCell ref="O297:P297"/>
    <mergeCell ref="O298:P298"/>
    <mergeCell ref="O299:P299"/>
    <mergeCell ref="O300:P300"/>
    <mergeCell ref="O301:P301"/>
    <mergeCell ref="O302:P302"/>
    <mergeCell ref="O284:P284"/>
    <mergeCell ref="Q284:R284"/>
    <mergeCell ref="Q285:R285"/>
    <mergeCell ref="Q286:R286"/>
    <mergeCell ref="Q287:R287"/>
    <mergeCell ref="Q288:R288"/>
    <mergeCell ref="O279:P279"/>
    <mergeCell ref="Q279:R279"/>
    <mergeCell ref="O280:P280"/>
  </mergeCells>
  <conditionalFormatting sqref="M273">
    <cfRule type="expression" dxfId="4" priority="5" stopIfTrue="1">
      <formula>#REF!=" "</formula>
    </cfRule>
  </conditionalFormatting>
  <conditionalFormatting sqref="O272">
    <cfRule type="expression" dxfId="3" priority="4" stopIfTrue="1">
      <formula>#REF!=" "</formula>
    </cfRule>
  </conditionalFormatting>
  <conditionalFormatting sqref="S273">
    <cfRule type="expression" dxfId="2" priority="3" stopIfTrue="1">
      <formula>#REF!=" "</formula>
    </cfRule>
  </conditionalFormatting>
  <conditionalFormatting sqref="Q273">
    <cfRule type="expression" dxfId="1" priority="2" stopIfTrue="1">
      <formula>#REF!=" "</formula>
    </cfRule>
  </conditionalFormatting>
  <conditionalFormatting sqref="O273">
    <cfRule type="expression" dxfId="0" priority="1" stopIfTrue="1">
      <formula>#REF!=" "</formula>
    </cfRule>
  </conditionalFormatting>
  <hyperlinks>
    <hyperlink ref="P102:T102" r:id="rId1" display="Descárguesela ya desde Google Play"/>
    <hyperlink ref="P103:T103" r:id="rId2" display="Descárguesela ya desde App Store"/>
  </hyperlinks>
  <printOptions horizontalCentered="1" verticalCentered="1"/>
  <pageMargins left="0.11811023622047245" right="0.11811023622047245" top="0" bottom="0" header="0.19685039370078741" footer="0.31496062992125984"/>
  <pageSetup paperSize="9" scale="43" fitToHeight="0" orientation="landscape" r:id="rId3"/>
  <headerFooter alignWithMargins="0"/>
  <rowBreaks count="13" manualBreakCount="13">
    <brk id="53" max="21" man="1"/>
    <brk id="108" max="21" man="1"/>
    <brk id="152" max="21" man="1"/>
    <brk id="202" max="21" man="1"/>
    <brk id="256" max="21" man="1"/>
    <brk id="327" max="21" man="1"/>
    <brk id="359" max="21" man="1"/>
    <brk id="399" max="21" man="1"/>
    <brk id="441" max="21" man="1"/>
    <brk id="495" max="21" man="1"/>
    <brk id="534" max="21" man="1"/>
    <brk id="575" max="21" man="1"/>
    <brk id="614" max="21" man="1"/>
  </rowBreaks>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tint="-0.749992370372631"/>
  </sheetPr>
  <dimension ref="A1:D77"/>
  <sheetViews>
    <sheetView topLeftCell="A71" workbookViewId="0">
      <selection activeCell="D78" sqref="D78"/>
    </sheetView>
  </sheetViews>
  <sheetFormatPr baseColWidth="10" defaultColWidth="9.140625" defaultRowHeight="12.75"/>
  <cols>
    <col min="1" max="1" width="9.140625" style="1329"/>
    <col min="2" max="2" width="19.140625" customWidth="1"/>
    <col min="3" max="3" width="57.140625" style="1333" bestFit="1" customWidth="1"/>
    <col min="4" max="4" width="167.28515625" style="1330" customWidth="1"/>
  </cols>
  <sheetData>
    <row r="1" spans="1:4" ht="15.75" customHeight="1">
      <c r="A1" s="2643" t="s">
        <v>1728</v>
      </c>
      <c r="B1" s="2643"/>
      <c r="C1" s="2643"/>
    </row>
    <row r="2" spans="1:4" s="813" customFormat="1" ht="13.5" thickBot="1">
      <c r="A2" s="1336" t="s">
        <v>1319</v>
      </c>
      <c r="B2" s="1337" t="s">
        <v>1320</v>
      </c>
      <c r="C2" s="1338" t="s">
        <v>1321</v>
      </c>
      <c r="D2" s="1330"/>
    </row>
    <row r="3" spans="1:4" s="813" customFormat="1" ht="38.25">
      <c r="A3" s="1339" t="s">
        <v>1294</v>
      </c>
      <c r="B3" s="2644" t="s">
        <v>68</v>
      </c>
      <c r="C3" s="1342" t="s">
        <v>1231</v>
      </c>
      <c r="D3" s="1334" t="s">
        <v>1230</v>
      </c>
    </row>
    <row r="4" spans="1:4" s="813" customFormat="1" ht="25.5">
      <c r="A4" s="1340" t="s">
        <v>1295</v>
      </c>
      <c r="B4" s="2645"/>
      <c r="C4" s="1343" t="s">
        <v>1232</v>
      </c>
      <c r="D4" s="1334" t="s">
        <v>1233</v>
      </c>
    </row>
    <row r="5" spans="1:4" s="813" customFormat="1" ht="25.5">
      <c r="A5" s="1340" t="s">
        <v>1296</v>
      </c>
      <c r="B5" s="2645"/>
      <c r="C5" s="1343" t="s">
        <v>1312</v>
      </c>
      <c r="D5" s="1334" t="s">
        <v>1245</v>
      </c>
    </row>
    <row r="6" spans="1:4" s="813" customFormat="1" ht="25.5">
      <c r="A6" s="1340" t="s">
        <v>1297</v>
      </c>
      <c r="B6" s="2645"/>
      <c r="C6" s="1343" t="s">
        <v>1243</v>
      </c>
      <c r="D6" s="1334" t="s">
        <v>1403</v>
      </c>
    </row>
    <row r="7" spans="1:4" s="813" customFormat="1">
      <c r="A7" s="1340" t="s">
        <v>1298</v>
      </c>
      <c r="B7" s="2645"/>
      <c r="C7" s="1343" t="s">
        <v>1316</v>
      </c>
      <c r="D7" s="1331" t="s">
        <v>1235</v>
      </c>
    </row>
    <row r="8" spans="1:4" s="813" customFormat="1" ht="30.75" customHeight="1" thickBot="1">
      <c r="A8" s="1340" t="s">
        <v>1299</v>
      </c>
      <c r="B8" s="2646"/>
      <c r="C8" s="1343" t="s">
        <v>1420</v>
      </c>
      <c r="D8" s="1365"/>
    </row>
    <row r="9" spans="1:4" s="813" customFormat="1">
      <c r="A9" s="1339" t="s">
        <v>1300</v>
      </c>
      <c r="B9" s="2647" t="s">
        <v>452</v>
      </c>
      <c r="C9" s="1342" t="s">
        <v>1313</v>
      </c>
      <c r="D9" s="1331" t="s">
        <v>1404</v>
      </c>
    </row>
    <row r="10" spans="1:4" s="813" customFormat="1">
      <c r="A10" s="1340" t="s">
        <v>1301</v>
      </c>
      <c r="B10" s="2648"/>
      <c r="C10" s="1343" t="s">
        <v>1279</v>
      </c>
      <c r="D10" s="1331" t="s">
        <v>1405</v>
      </c>
    </row>
    <row r="11" spans="1:4" s="813" customFormat="1">
      <c r="A11" s="1340" t="s">
        <v>1302</v>
      </c>
      <c r="B11" s="2648"/>
      <c r="C11" s="1343" t="s">
        <v>1241</v>
      </c>
      <c r="D11" s="1331" t="s">
        <v>1280</v>
      </c>
    </row>
    <row r="12" spans="1:4" s="813" customFormat="1" ht="25.5">
      <c r="A12" s="1340" t="s">
        <v>1303</v>
      </c>
      <c r="B12" s="2648"/>
      <c r="C12" s="1343" t="s">
        <v>1253</v>
      </c>
      <c r="D12" s="1331" t="s">
        <v>1406</v>
      </c>
    </row>
    <row r="13" spans="1:4" s="813" customFormat="1" ht="25.5">
      <c r="A13" s="1340" t="s">
        <v>1304</v>
      </c>
      <c r="B13" s="2648"/>
      <c r="C13" s="1343" t="s">
        <v>1244</v>
      </c>
      <c r="D13" s="1331" t="s">
        <v>1407</v>
      </c>
    </row>
    <row r="14" spans="1:4" s="813" customFormat="1">
      <c r="A14" s="1340" t="s">
        <v>1305</v>
      </c>
      <c r="B14" s="2648"/>
      <c r="C14" s="1343" t="s">
        <v>1314</v>
      </c>
      <c r="D14" s="1331" t="s">
        <v>1408</v>
      </c>
    </row>
    <row r="15" spans="1:4" s="813" customFormat="1" ht="25.5">
      <c r="A15" s="1340" t="s">
        <v>1306</v>
      </c>
      <c r="B15" s="2648"/>
      <c r="C15" s="1343" t="s">
        <v>1318</v>
      </c>
      <c r="D15" s="1331" t="s">
        <v>1242</v>
      </c>
    </row>
    <row r="16" spans="1:4" s="813" customFormat="1">
      <c r="A16" s="1340" t="s">
        <v>1307</v>
      </c>
      <c r="B16" s="2648"/>
      <c r="C16" s="1343" t="s">
        <v>1286</v>
      </c>
      <c r="D16" s="1331" t="s">
        <v>1409</v>
      </c>
    </row>
    <row r="17" spans="1:4" s="813" customFormat="1">
      <c r="A17" s="1340" t="s">
        <v>1308</v>
      </c>
      <c r="B17" s="2648"/>
      <c r="C17" s="1343" t="s">
        <v>1287</v>
      </c>
      <c r="D17" s="1331" t="s">
        <v>1721</v>
      </c>
    </row>
    <row r="18" spans="1:4" ht="26.25" thickBot="1">
      <c r="A18" s="1341" t="s">
        <v>1309</v>
      </c>
      <c r="B18" s="2649"/>
      <c r="C18" s="1401" t="s">
        <v>1315</v>
      </c>
      <c r="D18" s="1331" t="s">
        <v>1317</v>
      </c>
    </row>
    <row r="19" spans="1:4" ht="13.5" thickBot="1">
      <c r="A19" s="1712" t="s">
        <v>1310</v>
      </c>
      <c r="B19" s="1713" t="s">
        <v>1722</v>
      </c>
      <c r="C19" s="1714" t="s">
        <v>1729</v>
      </c>
      <c r="D19" s="1331"/>
    </row>
    <row r="20" spans="1:4" ht="13.5" thickBot="1">
      <c r="A20" s="1709" t="s">
        <v>1311</v>
      </c>
      <c r="B20" s="1710" t="s">
        <v>1322</v>
      </c>
      <c r="C20" s="1711" t="s">
        <v>1246</v>
      </c>
      <c r="D20" s="1334" t="s">
        <v>1254</v>
      </c>
    </row>
    <row r="21" spans="1:4" s="1271" customFormat="1">
      <c r="A21" s="1329"/>
      <c r="B21"/>
      <c r="C21" s="1333"/>
      <c r="D21" s="1365"/>
    </row>
    <row r="22" spans="1:4">
      <c r="A22" s="2643" t="s">
        <v>1723</v>
      </c>
      <c r="B22" s="2643"/>
      <c r="C22" s="2643"/>
    </row>
    <row r="23" spans="1:4" ht="25.5">
      <c r="A23" s="1702" t="s">
        <v>1294</v>
      </c>
      <c r="B23" s="1702" t="s">
        <v>1323</v>
      </c>
      <c r="C23" s="1707" t="s">
        <v>1724</v>
      </c>
      <c r="D23" s="1330" t="s">
        <v>1725</v>
      </c>
    </row>
    <row r="24" spans="1:4" s="1271" customFormat="1" ht="25.5">
      <c r="A24" s="1702" t="s">
        <v>1295</v>
      </c>
      <c r="B24" s="1703" t="s">
        <v>1726</v>
      </c>
      <c r="C24" s="1707" t="s">
        <v>1727</v>
      </c>
      <c r="D24" s="1332"/>
    </row>
    <row r="25" spans="1:4">
      <c r="A25" s="1702" t="s">
        <v>1296</v>
      </c>
      <c r="B25" s="2650" t="s">
        <v>1730</v>
      </c>
      <c r="C25" s="1784" t="s">
        <v>1731</v>
      </c>
    </row>
    <row r="26" spans="1:4">
      <c r="A26" s="1702" t="s">
        <v>1297</v>
      </c>
      <c r="B26" s="2650"/>
      <c r="C26" s="1784" t="s">
        <v>1732</v>
      </c>
    </row>
    <row r="27" spans="1:4" ht="25.5">
      <c r="A27" s="1702" t="s">
        <v>1298</v>
      </c>
      <c r="B27" s="1708" t="s">
        <v>1722</v>
      </c>
      <c r="C27" s="1784" t="s">
        <v>1832</v>
      </c>
    </row>
    <row r="28" spans="1:4" ht="25.5">
      <c r="A28" s="1776" t="s">
        <v>1299</v>
      </c>
      <c r="B28" s="1708" t="s">
        <v>1090</v>
      </c>
      <c r="C28" s="1707" t="s">
        <v>1847</v>
      </c>
    </row>
    <row r="29" spans="1:4">
      <c r="C29" s="1335"/>
    </row>
    <row r="30" spans="1:4">
      <c r="A30" s="2643" t="s">
        <v>1863</v>
      </c>
      <c r="B30" s="2643"/>
      <c r="C30" s="2643"/>
    </row>
    <row r="31" spans="1:4" ht="25.5">
      <c r="A31" s="1825" t="s">
        <v>1294</v>
      </c>
      <c r="B31" s="1826" t="s">
        <v>1864</v>
      </c>
      <c r="C31" s="1707" t="s">
        <v>1865</v>
      </c>
    </row>
    <row r="33" spans="1:3">
      <c r="A33" s="2643" t="s">
        <v>1868</v>
      </c>
      <c r="B33" s="2643"/>
      <c r="C33" s="2643"/>
    </row>
    <row r="34" spans="1:3" ht="47.25" customHeight="1">
      <c r="A34" s="1828" t="s">
        <v>1294</v>
      </c>
      <c r="B34" s="1834" t="s">
        <v>1884</v>
      </c>
      <c r="C34" s="1833" t="s">
        <v>1885</v>
      </c>
    </row>
    <row r="35" spans="1:3" ht="25.5">
      <c r="A35" s="1829" t="s">
        <v>1295</v>
      </c>
      <c r="B35" s="1830" t="s">
        <v>1890</v>
      </c>
      <c r="C35" s="1707" t="s">
        <v>1875</v>
      </c>
    </row>
    <row r="36" spans="1:3" ht="38.25">
      <c r="A36" s="1837" t="s">
        <v>1296</v>
      </c>
      <c r="B36" s="1838" t="s">
        <v>1894</v>
      </c>
      <c r="C36" s="1707" t="s">
        <v>1895</v>
      </c>
    </row>
    <row r="38" spans="1:3">
      <c r="A38" s="2643" t="s">
        <v>1898</v>
      </c>
      <c r="B38" s="2643"/>
      <c r="C38" s="2643"/>
    </row>
    <row r="39" spans="1:3" ht="51">
      <c r="A39" s="1839" t="s">
        <v>1294</v>
      </c>
      <c r="B39" s="1834" t="s">
        <v>1900</v>
      </c>
      <c r="C39" s="1833" t="s">
        <v>1901</v>
      </c>
    </row>
    <row r="41" spans="1:3">
      <c r="A41" s="2643" t="s">
        <v>1904</v>
      </c>
      <c r="B41" s="2643"/>
      <c r="C41" s="2643"/>
    </row>
    <row r="42" spans="1:3" ht="18" customHeight="1">
      <c r="A42" s="1841" t="s">
        <v>1294</v>
      </c>
      <c r="B42" s="1842" t="s">
        <v>1906</v>
      </c>
      <c r="C42" s="1707" t="s">
        <v>1907</v>
      </c>
    </row>
    <row r="43" spans="1:3" ht="38.25">
      <c r="A43" s="1983" t="s">
        <v>1295</v>
      </c>
      <c r="B43" s="1842" t="s">
        <v>1960</v>
      </c>
      <c r="C43" s="1707" t="s">
        <v>1961</v>
      </c>
    </row>
    <row r="45" spans="1:3">
      <c r="A45" s="2643" t="s">
        <v>1952</v>
      </c>
      <c r="B45" s="2643"/>
      <c r="C45" s="2643"/>
    </row>
    <row r="46" spans="1:3" ht="25.5">
      <c r="A46" s="1841" t="s">
        <v>1294</v>
      </c>
      <c r="B46" s="1834" t="s">
        <v>1972</v>
      </c>
      <c r="C46" s="1833" t="s">
        <v>1905</v>
      </c>
    </row>
    <row r="47" spans="1:3" ht="25.5">
      <c r="A47" s="1983" t="s">
        <v>1295</v>
      </c>
      <c r="B47" s="1834" t="s">
        <v>1953</v>
      </c>
      <c r="C47" s="1833" t="s">
        <v>1958</v>
      </c>
    </row>
    <row r="48" spans="1:3" ht="25.5">
      <c r="A48" s="1983" t="s">
        <v>1296</v>
      </c>
      <c r="B48" s="1859" t="s">
        <v>1954</v>
      </c>
      <c r="C48" s="1707" t="s">
        <v>1959</v>
      </c>
    </row>
    <row r="49" spans="1:3" ht="25.5">
      <c r="A49" s="1983" t="s">
        <v>1297</v>
      </c>
      <c r="B49" s="1859" t="s">
        <v>1955</v>
      </c>
      <c r="C49" s="1707" t="s">
        <v>1957</v>
      </c>
    </row>
    <row r="50" spans="1:3" ht="25.5">
      <c r="A50" s="1989" t="s">
        <v>1298</v>
      </c>
      <c r="B50" s="1990" t="s">
        <v>1965</v>
      </c>
      <c r="C50" s="1707" t="s">
        <v>1966</v>
      </c>
    </row>
    <row r="51" spans="1:3" ht="25.5">
      <c r="A51" s="1992" t="s">
        <v>1299</v>
      </c>
      <c r="B51" s="1834" t="s">
        <v>1971</v>
      </c>
      <c r="C51" s="1833" t="s">
        <v>1973</v>
      </c>
    </row>
    <row r="53" spans="1:3" ht="12.75" customHeight="1">
      <c r="A53" s="2651" t="s">
        <v>1976</v>
      </c>
      <c r="B53" s="2652"/>
      <c r="C53" s="2653"/>
    </row>
    <row r="54" spans="1:3" ht="25.5">
      <c r="A54" s="2006" t="s">
        <v>1294</v>
      </c>
      <c r="B54" s="2007" t="s">
        <v>1977</v>
      </c>
      <c r="C54" s="1707" t="s">
        <v>1978</v>
      </c>
    </row>
    <row r="55" spans="1:3" ht="25.5">
      <c r="A55" s="2006" t="s">
        <v>1295</v>
      </c>
      <c r="B55" s="2007" t="s">
        <v>1979</v>
      </c>
      <c r="C55" s="1707" t="s">
        <v>2022</v>
      </c>
    </row>
    <row r="56" spans="1:3" ht="51">
      <c r="A56" s="2006" t="s">
        <v>1296</v>
      </c>
      <c r="B56" s="2007" t="s">
        <v>1980</v>
      </c>
      <c r="C56" s="1707" t="s">
        <v>1981</v>
      </c>
    </row>
    <row r="57" spans="1:3" ht="51">
      <c r="A57" s="2006" t="s">
        <v>1297</v>
      </c>
      <c r="B57" s="2007" t="s">
        <v>1982</v>
      </c>
      <c r="C57" s="1707" t="s">
        <v>1983</v>
      </c>
    </row>
    <row r="58" spans="1:3" ht="25.5">
      <c r="A58" s="2006" t="s">
        <v>1298</v>
      </c>
      <c r="B58" s="2011" t="s">
        <v>2016</v>
      </c>
      <c r="C58" s="1707" t="s">
        <v>2017</v>
      </c>
    </row>
    <row r="59" spans="1:3" ht="25.5">
      <c r="A59" s="2006" t="s">
        <v>1299</v>
      </c>
      <c r="B59" s="2011" t="s">
        <v>2018</v>
      </c>
      <c r="C59" s="1707" t="s">
        <v>2019</v>
      </c>
    </row>
    <row r="60" spans="1:3" ht="38.25">
      <c r="A60" s="2006" t="s">
        <v>1300</v>
      </c>
      <c r="B60" s="2011" t="s">
        <v>2020</v>
      </c>
      <c r="C60" s="1707" t="s">
        <v>2021</v>
      </c>
    </row>
    <row r="61" spans="1:3" ht="51">
      <c r="A61" s="2012" t="s">
        <v>1301</v>
      </c>
      <c r="B61" s="2011" t="s">
        <v>2031</v>
      </c>
      <c r="C61" s="1707" t="s">
        <v>2032</v>
      </c>
    </row>
    <row r="62" spans="1:3" ht="25.5">
      <c r="A62" s="2012" t="s">
        <v>1302</v>
      </c>
      <c r="B62" s="2011" t="s">
        <v>2033</v>
      </c>
      <c r="C62" s="1707" t="s">
        <v>2034</v>
      </c>
    </row>
    <row r="64" spans="1:3">
      <c r="A64" s="2651" t="s">
        <v>2035</v>
      </c>
      <c r="B64" s="2652"/>
      <c r="C64" s="2653"/>
    </row>
    <row r="65" spans="1:3" ht="25.5">
      <c r="A65" s="2013" t="s">
        <v>1294</v>
      </c>
      <c r="B65" s="2014" t="s">
        <v>2036</v>
      </c>
      <c r="C65" s="1707" t="s">
        <v>2037</v>
      </c>
    </row>
    <row r="66" spans="1:3">
      <c r="A66" s="2013" t="s">
        <v>1295</v>
      </c>
      <c r="B66" s="2014" t="s">
        <v>2038</v>
      </c>
      <c r="C66" s="1707" t="s">
        <v>2039</v>
      </c>
    </row>
    <row r="68" spans="1:3">
      <c r="A68" s="2643" t="s">
        <v>2040</v>
      </c>
      <c r="B68" s="2643"/>
      <c r="C68" s="2643"/>
    </row>
    <row r="69" spans="1:3" ht="25.5">
      <c r="A69" s="2032" t="s">
        <v>1294</v>
      </c>
      <c r="B69" s="2033" t="s">
        <v>2041</v>
      </c>
      <c r="C69" s="1707" t="s">
        <v>2042</v>
      </c>
    </row>
    <row r="71" spans="1:3">
      <c r="A71" s="2643" t="s">
        <v>2044</v>
      </c>
      <c r="B71" s="2643"/>
      <c r="C71" s="2643"/>
    </row>
    <row r="72" spans="1:3" ht="25.5">
      <c r="A72" s="2034" t="s">
        <v>1294</v>
      </c>
      <c r="B72" s="2035" t="s">
        <v>2045</v>
      </c>
      <c r="C72" s="1707" t="s">
        <v>2046</v>
      </c>
    </row>
    <row r="73" spans="1:3" ht="38.25">
      <c r="A73" s="2034" t="s">
        <v>1295</v>
      </c>
      <c r="B73" s="2035" t="s">
        <v>2047</v>
      </c>
      <c r="C73" s="1707" t="s">
        <v>2048</v>
      </c>
    </row>
    <row r="75" spans="1:3">
      <c r="A75" s="2643" t="s">
        <v>2062</v>
      </c>
      <c r="B75" s="2643"/>
      <c r="C75" s="2643"/>
    </row>
    <row r="76" spans="1:3" ht="25.5">
      <c r="A76" s="2036" t="s">
        <v>1294</v>
      </c>
      <c r="B76" s="2037" t="s">
        <v>2063</v>
      </c>
      <c r="C76" s="1707" t="s">
        <v>2064</v>
      </c>
    </row>
    <row r="77" spans="1:3" ht="25.5">
      <c r="A77" s="2038" t="s">
        <v>1295</v>
      </c>
      <c r="B77" s="2039" t="s">
        <v>2069</v>
      </c>
      <c r="C77" s="1707" t="s">
        <v>2070</v>
      </c>
    </row>
  </sheetData>
  <sheetProtection algorithmName="SHA-512" hashValue="Wz3c3LtY4tfSn6nNsCtpBrt6Kltn+YaNtPtx/X5AQKCRlc8JPNVIAIz7ZcRKUiT4uaapcz/AgjVUK/nKaRFltQ==" saltValue="VeSaxUz53MCWnXseZq5X0w==" spinCount="100000" sheet="1" selectLockedCells="1" selectUnlockedCells="1"/>
  <mergeCells count="15">
    <mergeCell ref="A75:C75"/>
    <mergeCell ref="A71:C71"/>
    <mergeCell ref="A1:C1"/>
    <mergeCell ref="B3:B8"/>
    <mergeCell ref="B9:B18"/>
    <mergeCell ref="A38:C38"/>
    <mergeCell ref="A33:C33"/>
    <mergeCell ref="A30:C30"/>
    <mergeCell ref="A22:C22"/>
    <mergeCell ref="B25:B26"/>
    <mergeCell ref="A68:C68"/>
    <mergeCell ref="A64:C64"/>
    <mergeCell ref="A53:C53"/>
    <mergeCell ref="A45:C45"/>
    <mergeCell ref="A41:C4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82</vt:i4>
      </vt:variant>
    </vt:vector>
  </HeadingPairs>
  <TitlesOfParts>
    <vt:vector size="87" baseType="lpstr">
      <vt:lpstr>Seleccion de oferta</vt:lpstr>
      <vt:lpstr>Entrada de datos</vt:lpstr>
      <vt:lpstr>Perfiles_usuario</vt:lpstr>
      <vt:lpstr>Calculadora CP Centralita</vt:lpstr>
      <vt:lpstr>Validacion</vt:lpstr>
      <vt:lpstr>_4G</vt:lpstr>
      <vt:lpstr>¿Hay_Móviles?</vt:lpstr>
      <vt:lpstr>Abierto</vt:lpstr>
      <vt:lpstr>Acción_comercial</vt:lpstr>
      <vt:lpstr>ADSL_Máxima_velocidad</vt:lpstr>
      <vt:lpstr>ADSL_ULL</vt:lpstr>
      <vt:lpstr>'Calculadora CP Centralita'!Área_de_impresión</vt:lpstr>
      <vt:lpstr>'Entrada de datos'!Área_de_impresión</vt:lpstr>
      <vt:lpstr>Oferta_Optima!Área_de_impresión</vt:lpstr>
      <vt:lpstr>Oferta_Optima_sinCP!Área_de_impresión</vt:lpstr>
      <vt:lpstr>Oferta_OptimaRPV!Área_de_impresión</vt:lpstr>
      <vt:lpstr>Oferta_OptimaRPV_sinCP!Área_de_impresión</vt:lpstr>
      <vt:lpstr>Oferta_Preaprobadas!Área_de_impresión</vt:lpstr>
      <vt:lpstr>Oferta_Preaprobadas_sinCP!Área_de_impresión</vt:lpstr>
      <vt:lpstr>'Seleccion de oferta'!Área_de_impresión</vt:lpstr>
      <vt:lpstr>Azul</vt:lpstr>
      <vt:lpstr>b291ç</vt:lpstr>
      <vt:lpstr>BONOS_EUROPA</vt:lpstr>
      <vt:lpstr>BONOS_EUROPA2</vt:lpstr>
      <vt:lpstr>BONOS_FIJO_A_MOVIL</vt:lpstr>
      <vt:lpstr>Cabecera</vt:lpstr>
      <vt:lpstr>Causa_de_no_cierre_o_perdida</vt:lpstr>
      <vt:lpstr>CENTRAL</vt:lpstr>
      <vt:lpstr>CENTREX</vt:lpstr>
      <vt:lpstr>Cerrado</vt:lpstr>
      <vt:lpstr>Cliente_no_quiere_que_le_ofertemos</vt:lpstr>
      <vt:lpstr>CP_IP</vt:lpstr>
      <vt:lpstr>CP_Voz</vt:lpstr>
      <vt:lpstr>CP_Voz_Tel</vt:lpstr>
      <vt:lpstr>DECT</vt:lpstr>
      <vt:lpstr>Descartamos_venta</vt:lpstr>
      <vt:lpstr>Dirección_no_válida</vt:lpstr>
      <vt:lpstr>Empresa_cerrada</vt:lpstr>
      <vt:lpstr>Estado_de_la_visita</vt:lpstr>
      <vt:lpstr>Factores_Externos_Impiden_Ofertar</vt:lpstr>
      <vt:lpstr>Fax</vt:lpstr>
      <vt:lpstr>Fibra_FTTH_propia_200M_200M</vt:lpstr>
      <vt:lpstr>Fibra_FTTH_propia_50M_5M</vt:lpstr>
      <vt:lpstr>Fibra_NEBA_30M_5M</vt:lpstr>
      <vt:lpstr>Firmado_Centrex</vt:lpstr>
      <vt:lpstr>Firmado_Móvil</vt:lpstr>
      <vt:lpstr>Firmado_Pto_Masivo</vt:lpstr>
      <vt:lpstr>FTTH_200_200</vt:lpstr>
      <vt:lpstr>Ilocalizable_5_intentos</vt:lpstr>
      <vt:lpstr>Internet_Plus</vt:lpstr>
      <vt:lpstr>IP_Avanzado</vt:lpstr>
      <vt:lpstr>IP_DECT</vt:lpstr>
      <vt:lpstr>IP_Premium</vt:lpstr>
      <vt:lpstr>IP_VPN</vt:lpstr>
      <vt:lpstr>IP_VPN_CENTRAL</vt:lpstr>
      <vt:lpstr>MAX_PUESTOS</vt:lpstr>
      <vt:lpstr>MIN_PUESTOS</vt:lpstr>
      <vt:lpstr>MODALIDAD</vt:lpstr>
      <vt:lpstr>NO_CENTRAL</vt:lpstr>
      <vt:lpstr>No_es_empresa</vt:lpstr>
      <vt:lpstr>NO_IP</vt:lpstr>
      <vt:lpstr>Número_de_teléfono_no_válido</vt:lpstr>
      <vt:lpstr>Oficina_Centrex</vt:lpstr>
      <vt:lpstr>Operador_Fijo_Actual</vt:lpstr>
      <vt:lpstr>Operador_Movil_Actual</vt:lpstr>
      <vt:lpstr>Otra</vt:lpstr>
      <vt:lpstr>Validacion!Otros</vt:lpstr>
      <vt:lpstr>Pack_Empresa</vt:lpstr>
      <vt:lpstr>Pendiente_Contacto</vt:lpstr>
      <vt:lpstr>Pendiente_Respuesta</vt:lpstr>
      <vt:lpstr>Polígonos</vt:lpstr>
      <vt:lpstr>PORTFOLIO_CP</vt:lpstr>
      <vt:lpstr>Pto_Masivo</vt:lpstr>
      <vt:lpstr>Rechazado_por_Cliente</vt:lpstr>
      <vt:lpstr>Registro_no_válido</vt:lpstr>
      <vt:lpstr>Registro_válido</vt:lpstr>
      <vt:lpstr>Rosa</vt:lpstr>
      <vt:lpstr>ROSA_5</vt:lpstr>
      <vt:lpstr>SERVICIO</vt:lpstr>
      <vt:lpstr>SI_IP</vt:lpstr>
      <vt:lpstr>Teleconcertación</vt:lpstr>
      <vt:lpstr>Terminales</vt:lpstr>
      <vt:lpstr>TIPO_ACCESO</vt:lpstr>
      <vt:lpstr>TIPO_INTERNET_VPN</vt:lpstr>
      <vt:lpstr>TIPO_IP_FIJA</vt:lpstr>
      <vt:lpstr>TTPP_FIJO</vt:lpstr>
      <vt:lpstr>Validación_de_registro</vt:lpstr>
    </vt:vector>
  </TitlesOfParts>
  <Company>Orange-MKT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Simulador</dc:title>
  <dc:subject>Soluciones Personalizadas</dc:subject>
  <dc:creator>JML</dc:creator>
  <dc:description>Informacion interna al Grupo France Telecom</dc:description>
  <cp:lastModifiedBy>Jose parra</cp:lastModifiedBy>
  <cp:lastPrinted>2017-07-03T14:48:38Z</cp:lastPrinted>
  <dcterms:created xsi:type="dcterms:W3CDTF">2008-02-13T11:27:26Z</dcterms:created>
  <dcterms:modified xsi:type="dcterms:W3CDTF">2017-09-28T17:04:32Z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